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ml.chartshapes+xml"/>
  <Override PartName="/xl/pivotTables/pivotTable1.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queryTables/queryTable2.xml" ContentType="application/vnd.openxmlformats-officedocument.spreadsheetml.queryTable+xml"/>
  <Override PartName="/xl/tables/table1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https://d.docs.live.net/9fa495188f170a6f/Sample Works/VA Dept of Tax/"/>
    </mc:Choice>
  </mc:AlternateContent>
  <xr:revisionPtr revIDLastSave="155" documentId="8_{31A89639-31FF-4BAF-8D27-7F71D9C8E180}" xr6:coauthVersionLast="47" xr6:coauthVersionMax="47" xr10:uidLastSave="{91A0814A-9C0C-45D5-B589-03FC4D011456}"/>
  <bookViews>
    <workbookView xWindow="-110" yWindow="-110" windowWidth="19420" windowHeight="11500" tabRatio="919" firstSheet="2" activeTab="10" xr2:uid="{92BDBB4F-404F-40F7-A8BF-15B9668AF07A}"/>
  </bookViews>
  <sheets>
    <sheet name="Summary" sheetId="27" r:id="rId1"/>
    <sheet name="Time and Place" sheetId="20" r:id="rId2"/>
    <sheet name="Elasticity and Sales" sheetId="21" r:id="rId3"/>
    <sheet name="Revenue Estimates &amp; Sensitivity" sheetId="22" r:id="rId4"/>
    <sheet name="Conclusion" sheetId="29" r:id="rId5"/>
    <sheet name="Compact tables" sheetId="28" state="hidden" r:id="rId6"/>
    <sheet name="Elasticity" sheetId="23" state="hidden" r:id="rId7"/>
    <sheet name="Revenue and Consumption" sheetId="25" state="hidden" r:id="rId8"/>
    <sheet name="Pivot" sheetId="13" state="hidden" r:id="rId9"/>
    <sheet name="Visuals" sheetId="18" state="hidden" r:id="rId10"/>
    <sheet name="dataset" sheetId="12" r:id="rId11"/>
    <sheet name="Data Dictionary" sheetId="9" r:id="rId12"/>
    <sheet name="total_sales" sheetId="2" r:id="rId13"/>
    <sheet name="stores" sheetId="1" r:id="rId14"/>
    <sheet name="soda_ppu" sheetId="3" r:id="rId15"/>
    <sheet name="soda_units_sold" sheetId="4" r:id="rId16"/>
    <sheet name="soda_sales" sheetId="5" r:id="rId17"/>
    <sheet name="zip_med_income" sheetId="6" r:id="rId18"/>
    <sheet name="zip_med_inc_updated" sheetId="10" r:id="rId19"/>
    <sheet name="zip_tiers" sheetId="8" r:id="rId20"/>
    <sheet name="Sheet2" sheetId="31" state="hidden" r:id="rId21"/>
    <sheet name="presentation plan" sheetId="19" state="hidden" r:id="rId22"/>
  </sheets>
  <externalReferences>
    <externalReference r:id="rId23"/>
  </externalReferences>
  <definedNames>
    <definedName name="ExternalData_1" localSheetId="10" hidden="1">dataset!$A$1:$H$3601</definedName>
    <definedName name="ExternalData_2" localSheetId="18" hidden="1">zip_med_inc_updated!$A$1:$EON$4</definedName>
    <definedName name="_xlnm.Print_Area" localSheetId="0">Summary!$A$1:$G$48</definedName>
  </definedNames>
  <calcPr calcId="191029"/>
  <pivotCaches>
    <pivotCache cacheId="14" r:id="rId24"/>
    <pivotCache cacheId="15" r:id="rId25"/>
    <pivotCache cacheId="16" r:id="rId26"/>
    <pivotCache cacheId="17" r:id="rId27"/>
    <pivotCache cacheId="18" r:id="rId28"/>
    <pivotCache cacheId="19" r:id="rId29"/>
    <pivotCache cacheId="20" r:id="rId30"/>
    <pivotCache cacheId="21" r:id="rId31"/>
    <pivotCache cacheId="22" r:id="rId3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0db2a729-0b47-4870-ac0d-2f77fe258c6f" name="dataset" connection="Query - dataset"/>
          <x15:modelTable id="DimStore_84fa0118-c668-4b6f-a217-2fd597ad28b3" name="DimStore" connection="Query - DimStore"/>
          <x15:modelTable id="DimDate_ec0b25d1-dcdd-4c9a-8a4f-053ce1465fec" name="DimDate" connection="Query - DimDate"/>
          <x15:modelTable id="DimZip_c2a8e653-a6a3-41a0-8021-f44c18aa902e" name="DimZip" connection="Query - DimZip"/>
        </x15:modelTables>
        <x15:modelRelationships>
          <x15:modelRelationship fromTable="dataset" fromColumn="store_id" toTable="DimStore" toColumn="store_id"/>
          <x15:modelRelationship fromTable="dataset" fromColumn="year_month" toTable="DimDate" toColumn="year_month"/>
          <x15:modelRelationship fromTable="dataset" fromColumn="zip" toTable="DimZip" toColumn="zip"/>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7" l="1"/>
  <c r="F6" i="28"/>
  <c r="F7" i="28"/>
  <c r="F8" i="28"/>
  <c r="F9" i="28"/>
  <c r="K9" i="28" l="1"/>
  <c r="G8" i="28"/>
  <c r="G7" i="28"/>
  <c r="G6" i="28"/>
  <c r="G9" i="28"/>
  <c r="G10" i="25"/>
  <c r="K69" i="25" a="1"/>
  <c r="G78" i="25"/>
  <c r="G77" i="25"/>
  <c r="G76" i="25"/>
  <c r="K63" i="25" a="1"/>
  <c r="J63" i="25" a="1"/>
  <c r="K60" i="25" a="1"/>
  <c r="J60" i="25" a="1"/>
  <c r="B15" i="25"/>
  <c r="B16" i="25"/>
  <c r="B17" i="25"/>
  <c r="E39" i="23"/>
  <c r="D39" i="23"/>
  <c r="C39" i="23"/>
  <c r="F32" i="23"/>
  <c r="E32" i="23"/>
  <c r="D32" i="23" a="1"/>
  <c r="F28" i="23"/>
  <c r="E28" i="23"/>
  <c r="D28" i="23" a="1"/>
  <c r="F24" i="23"/>
  <c r="E24" i="23"/>
  <c r="D24" i="23" a="1"/>
  <c r="F20" i="23"/>
  <c r="E20" i="23"/>
  <c r="D20" i="23" a="1"/>
  <c r="F16" i="23"/>
  <c r="E16" i="23"/>
  <c r="D16" i="23" a="1"/>
  <c r="F11" i="23"/>
  <c r="E11" i="23"/>
  <c r="D11" i="23" a="1"/>
  <c r="F6" i="23"/>
  <c r="E6" i="23"/>
  <c r="D6" i="23" a="1"/>
  <c r="J2547" i="12"/>
  <c r="J3001" i="12"/>
  <c r="J3198" i="12"/>
  <c r="J3350" i="12"/>
  <c r="J3509" i="12"/>
  <c r="I1190" i="12"/>
  <c r="I1226" i="12"/>
  <c r="I1082" i="12"/>
  <c r="I1334" i="12"/>
  <c r="I1370" i="12"/>
  <c r="I830" i="12"/>
  <c r="I38" i="12"/>
  <c r="J38" i="12" s="1"/>
  <c r="I1478" i="12"/>
  <c r="I1586" i="12"/>
  <c r="I722" i="12"/>
  <c r="I1298" i="12"/>
  <c r="J1298" i="12" s="1"/>
  <c r="I1010" i="12"/>
  <c r="I974" i="12"/>
  <c r="I1046" i="12"/>
  <c r="J1046" i="12" s="1"/>
  <c r="I1622" i="12"/>
  <c r="J1622" i="12" s="1"/>
  <c r="I938" i="12"/>
  <c r="J938" i="12" s="1"/>
  <c r="I686" i="12"/>
  <c r="J686" i="12" s="1"/>
  <c r="I1154" i="12"/>
  <c r="I1730" i="12"/>
  <c r="I1550" i="12"/>
  <c r="J1550" i="12" s="1"/>
  <c r="I1694" i="12"/>
  <c r="J1694" i="12" s="1"/>
  <c r="I902" i="12"/>
  <c r="I866" i="12"/>
  <c r="J866" i="12" s="1"/>
  <c r="I1406" i="12"/>
  <c r="I1118" i="12"/>
  <c r="J1118" i="12" s="1"/>
  <c r="I650" i="12"/>
  <c r="I1442" i="12"/>
  <c r="I1262" i="12"/>
  <c r="I1514" i="12"/>
  <c r="I794" i="12"/>
  <c r="I758" i="12"/>
  <c r="I1766" i="12"/>
  <c r="I1658" i="12"/>
  <c r="J1658" i="12" s="1"/>
  <c r="I1191" i="12"/>
  <c r="J1191" i="12" s="1"/>
  <c r="I1227" i="12"/>
  <c r="J1227" i="12" s="1"/>
  <c r="I1083" i="12"/>
  <c r="J1083" i="12" s="1"/>
  <c r="I1335" i="12"/>
  <c r="J1335" i="12" s="1"/>
  <c r="I1371" i="12"/>
  <c r="J1371" i="12" s="1"/>
  <c r="I831" i="12"/>
  <c r="J831" i="12" s="1"/>
  <c r="I39" i="12"/>
  <c r="J39" i="12" s="1"/>
  <c r="I1479" i="12"/>
  <c r="J1479" i="12" s="1"/>
  <c r="I1587" i="12"/>
  <c r="J1587" i="12" s="1"/>
  <c r="I723" i="12"/>
  <c r="J723" i="12" s="1"/>
  <c r="I1299" i="12"/>
  <c r="J1299" i="12" s="1"/>
  <c r="I1011" i="12"/>
  <c r="J1011" i="12" s="1"/>
  <c r="I975" i="12"/>
  <c r="J975" i="12" s="1"/>
  <c r="I1047" i="12"/>
  <c r="J1047" i="12" s="1"/>
  <c r="I1623" i="12"/>
  <c r="J1623" i="12" s="1"/>
  <c r="I939" i="12"/>
  <c r="J939" i="12" s="1"/>
  <c r="I687" i="12"/>
  <c r="J687" i="12" s="1"/>
  <c r="I1155" i="12"/>
  <c r="J1155" i="12" s="1"/>
  <c r="I1731" i="12"/>
  <c r="J1731" i="12" s="1"/>
  <c r="I1551" i="12"/>
  <c r="J1551" i="12" s="1"/>
  <c r="I1695" i="12"/>
  <c r="J1695" i="12" s="1"/>
  <c r="I903" i="12"/>
  <c r="J903" i="12" s="1"/>
  <c r="I867" i="12"/>
  <c r="J867" i="12" s="1"/>
  <c r="I1407" i="12"/>
  <c r="J1407" i="12" s="1"/>
  <c r="I1119" i="12"/>
  <c r="J1119" i="12" s="1"/>
  <c r="I651" i="12"/>
  <c r="J651" i="12" s="1"/>
  <c r="I1443" i="12"/>
  <c r="J1443" i="12" s="1"/>
  <c r="I1263" i="12"/>
  <c r="J1263" i="12" s="1"/>
  <c r="I1515" i="12"/>
  <c r="J1515" i="12" s="1"/>
  <c r="I795" i="12"/>
  <c r="J795" i="12" s="1"/>
  <c r="I759" i="12"/>
  <c r="J759" i="12" s="1"/>
  <c r="I1767" i="12"/>
  <c r="J1767" i="12" s="1"/>
  <c r="I1659" i="12"/>
  <c r="J1659" i="12" s="1"/>
  <c r="I1192" i="12"/>
  <c r="J1192" i="12" s="1"/>
  <c r="I1228" i="12"/>
  <c r="J1228" i="12" s="1"/>
  <c r="I1084" i="12"/>
  <c r="J1084" i="12" s="1"/>
  <c r="I1336" i="12"/>
  <c r="J1336" i="12" s="1"/>
  <c r="I1372" i="12"/>
  <c r="J1372" i="12" s="1"/>
  <c r="I832" i="12"/>
  <c r="J832" i="12" s="1"/>
  <c r="I40" i="12"/>
  <c r="J40" i="12" s="1"/>
  <c r="I1480" i="12"/>
  <c r="J1480" i="12" s="1"/>
  <c r="I1588" i="12"/>
  <c r="J1588" i="12" s="1"/>
  <c r="I724" i="12"/>
  <c r="J724" i="12" s="1"/>
  <c r="I1300" i="12"/>
  <c r="J1300" i="12" s="1"/>
  <c r="I1012" i="12"/>
  <c r="J1012" i="12" s="1"/>
  <c r="I976" i="12"/>
  <c r="J976" i="12" s="1"/>
  <c r="I1048" i="12"/>
  <c r="J1048" i="12" s="1"/>
  <c r="I1624" i="12"/>
  <c r="J1624" i="12" s="1"/>
  <c r="I940" i="12"/>
  <c r="J940" i="12" s="1"/>
  <c r="I688" i="12"/>
  <c r="J688" i="12" s="1"/>
  <c r="I1156" i="12"/>
  <c r="J1156" i="12" s="1"/>
  <c r="I1732" i="12"/>
  <c r="J1732" i="12" s="1"/>
  <c r="I1552" i="12"/>
  <c r="J1552" i="12" s="1"/>
  <c r="I1696" i="12"/>
  <c r="J1696" i="12" s="1"/>
  <c r="I904" i="12"/>
  <c r="J904" i="12" s="1"/>
  <c r="I868" i="12"/>
  <c r="J868" i="12" s="1"/>
  <c r="I1408" i="12"/>
  <c r="J1408" i="12" s="1"/>
  <c r="I1120" i="12"/>
  <c r="J1120" i="12" s="1"/>
  <c r="I652" i="12"/>
  <c r="J652" i="12" s="1"/>
  <c r="I1444" i="12"/>
  <c r="J1444" i="12" s="1"/>
  <c r="I1264" i="12"/>
  <c r="J1264" i="12" s="1"/>
  <c r="I1516" i="12"/>
  <c r="J1516" i="12" s="1"/>
  <c r="I796" i="12"/>
  <c r="J796" i="12" s="1"/>
  <c r="I760" i="12"/>
  <c r="J760" i="12" s="1"/>
  <c r="I1768" i="12"/>
  <c r="J1768" i="12" s="1"/>
  <c r="I1660" i="12"/>
  <c r="J1660" i="12" s="1"/>
  <c r="I1193" i="12"/>
  <c r="J1193" i="12" s="1"/>
  <c r="I1229" i="12"/>
  <c r="J1229" i="12" s="1"/>
  <c r="I1085" i="12"/>
  <c r="J1085" i="12" s="1"/>
  <c r="I1337" i="12"/>
  <c r="J1337" i="12" s="1"/>
  <c r="I1373" i="12"/>
  <c r="J1373" i="12" s="1"/>
  <c r="I833" i="12"/>
  <c r="J833" i="12" s="1"/>
  <c r="I41" i="12"/>
  <c r="J41" i="12" s="1"/>
  <c r="I1481" i="12"/>
  <c r="J1481" i="12" s="1"/>
  <c r="I1589" i="12"/>
  <c r="J1589" i="12" s="1"/>
  <c r="I725" i="12"/>
  <c r="J725" i="12" s="1"/>
  <c r="I1301" i="12"/>
  <c r="J1301" i="12" s="1"/>
  <c r="I1013" i="12"/>
  <c r="J1013" i="12" s="1"/>
  <c r="I977" i="12"/>
  <c r="J977" i="12" s="1"/>
  <c r="I1049" i="12"/>
  <c r="J1049" i="12" s="1"/>
  <c r="I1625" i="12"/>
  <c r="J1625" i="12" s="1"/>
  <c r="I941" i="12"/>
  <c r="J941" i="12" s="1"/>
  <c r="I689" i="12"/>
  <c r="J689" i="12" s="1"/>
  <c r="I1157" i="12"/>
  <c r="J1157" i="12" s="1"/>
  <c r="I1733" i="12"/>
  <c r="J1733" i="12" s="1"/>
  <c r="I1553" i="12"/>
  <c r="J1553" i="12" s="1"/>
  <c r="I1697" i="12"/>
  <c r="J1697" i="12" s="1"/>
  <c r="I905" i="12"/>
  <c r="J905" i="12" s="1"/>
  <c r="I869" i="12"/>
  <c r="J869" i="12" s="1"/>
  <c r="I1409" i="12"/>
  <c r="J1409" i="12" s="1"/>
  <c r="I1121" i="12"/>
  <c r="J1121" i="12" s="1"/>
  <c r="I653" i="12"/>
  <c r="J653" i="12" s="1"/>
  <c r="I1445" i="12"/>
  <c r="J1445" i="12" s="1"/>
  <c r="I1265" i="12"/>
  <c r="J1265" i="12" s="1"/>
  <c r="I1517" i="12"/>
  <c r="J1517" i="12" s="1"/>
  <c r="I797" i="12"/>
  <c r="J797" i="12" s="1"/>
  <c r="I761" i="12"/>
  <c r="J761" i="12" s="1"/>
  <c r="I1769" i="12"/>
  <c r="J1769" i="12" s="1"/>
  <c r="I1661" i="12"/>
  <c r="J1661" i="12" s="1"/>
  <c r="I1194" i="12"/>
  <c r="J1194" i="12" s="1"/>
  <c r="I1230" i="12"/>
  <c r="J1230" i="12" s="1"/>
  <c r="I1086" i="12"/>
  <c r="J1086" i="12" s="1"/>
  <c r="I1338" i="12"/>
  <c r="J1338" i="12" s="1"/>
  <c r="I1374" i="12"/>
  <c r="J1374" i="12" s="1"/>
  <c r="I834" i="12"/>
  <c r="J834" i="12" s="1"/>
  <c r="I42" i="12"/>
  <c r="J42" i="12" s="1"/>
  <c r="I1482" i="12"/>
  <c r="J1482" i="12" s="1"/>
  <c r="I1590" i="12"/>
  <c r="J1590" i="12" s="1"/>
  <c r="I726" i="12"/>
  <c r="J726" i="12" s="1"/>
  <c r="I1302" i="12"/>
  <c r="J1302" i="12" s="1"/>
  <c r="I1014" i="12"/>
  <c r="J1014" i="12" s="1"/>
  <c r="I978" i="12"/>
  <c r="J978" i="12" s="1"/>
  <c r="I1050" i="12"/>
  <c r="J1050" i="12" s="1"/>
  <c r="I1626" i="12"/>
  <c r="J1626" i="12" s="1"/>
  <c r="I942" i="12"/>
  <c r="J942" i="12" s="1"/>
  <c r="I690" i="12"/>
  <c r="J690" i="12" s="1"/>
  <c r="I1158" i="12"/>
  <c r="J1158" i="12" s="1"/>
  <c r="I1734" i="12"/>
  <c r="J1734" i="12" s="1"/>
  <c r="I1554" i="12"/>
  <c r="J1554" i="12" s="1"/>
  <c r="I1698" i="12"/>
  <c r="J1698" i="12" s="1"/>
  <c r="I906" i="12"/>
  <c r="J906" i="12" s="1"/>
  <c r="I870" i="12"/>
  <c r="J870" i="12" s="1"/>
  <c r="I1410" i="12"/>
  <c r="J1410" i="12" s="1"/>
  <c r="I1122" i="12"/>
  <c r="J1122" i="12" s="1"/>
  <c r="I654" i="12"/>
  <c r="J654" i="12" s="1"/>
  <c r="I1446" i="12"/>
  <c r="J1446" i="12" s="1"/>
  <c r="I1266" i="12"/>
  <c r="J1266" i="12" s="1"/>
  <c r="I1518" i="12"/>
  <c r="J1518" i="12" s="1"/>
  <c r="I798" i="12"/>
  <c r="J798" i="12" s="1"/>
  <c r="I762" i="12"/>
  <c r="J762" i="12" s="1"/>
  <c r="I1770" i="12"/>
  <c r="J1770" i="12" s="1"/>
  <c r="I1662" i="12"/>
  <c r="J1662" i="12" s="1"/>
  <c r="I1195" i="12"/>
  <c r="J1195" i="12" s="1"/>
  <c r="I1231" i="12"/>
  <c r="J1231" i="12" s="1"/>
  <c r="I1087" i="12"/>
  <c r="J1087" i="12" s="1"/>
  <c r="I1339" i="12"/>
  <c r="J1339" i="12" s="1"/>
  <c r="I1375" i="12"/>
  <c r="J1375" i="12" s="1"/>
  <c r="I835" i="12"/>
  <c r="J835" i="12" s="1"/>
  <c r="I43" i="12"/>
  <c r="J43" i="12" s="1"/>
  <c r="I1483" i="12"/>
  <c r="J1483" i="12" s="1"/>
  <c r="I1591" i="12"/>
  <c r="J1591" i="12" s="1"/>
  <c r="I727" i="12"/>
  <c r="J727" i="12" s="1"/>
  <c r="I1303" i="12"/>
  <c r="J1303" i="12" s="1"/>
  <c r="I1015" i="12"/>
  <c r="J1015" i="12" s="1"/>
  <c r="I979" i="12"/>
  <c r="J979" i="12" s="1"/>
  <c r="I1051" i="12"/>
  <c r="J1051" i="12" s="1"/>
  <c r="I1627" i="12"/>
  <c r="J1627" i="12" s="1"/>
  <c r="I943" i="12"/>
  <c r="J943" i="12" s="1"/>
  <c r="I691" i="12"/>
  <c r="J691" i="12" s="1"/>
  <c r="I1159" i="12"/>
  <c r="J1159" i="12" s="1"/>
  <c r="I1735" i="12"/>
  <c r="J1735" i="12" s="1"/>
  <c r="I1555" i="12"/>
  <c r="J1555" i="12" s="1"/>
  <c r="I1699" i="12"/>
  <c r="J1699" i="12" s="1"/>
  <c r="I907" i="12"/>
  <c r="J907" i="12" s="1"/>
  <c r="I871" i="12"/>
  <c r="J871" i="12" s="1"/>
  <c r="I1411" i="12"/>
  <c r="J1411" i="12" s="1"/>
  <c r="I1123" i="12"/>
  <c r="J1123" i="12" s="1"/>
  <c r="I655" i="12"/>
  <c r="J655" i="12" s="1"/>
  <c r="I1447" i="12"/>
  <c r="J1447" i="12" s="1"/>
  <c r="I1267" i="12"/>
  <c r="J1267" i="12" s="1"/>
  <c r="I1519" i="12"/>
  <c r="J1519" i="12" s="1"/>
  <c r="I799" i="12"/>
  <c r="J799" i="12" s="1"/>
  <c r="I763" i="12"/>
  <c r="J763" i="12" s="1"/>
  <c r="I1771" i="12"/>
  <c r="J1771" i="12" s="1"/>
  <c r="I1663" i="12"/>
  <c r="J1663" i="12" s="1"/>
  <c r="I1196" i="12"/>
  <c r="J1196" i="12" s="1"/>
  <c r="I1232" i="12"/>
  <c r="J1232" i="12" s="1"/>
  <c r="I1088" i="12"/>
  <c r="J1088" i="12" s="1"/>
  <c r="I1340" i="12"/>
  <c r="J1340" i="12" s="1"/>
  <c r="I1376" i="12"/>
  <c r="J1376" i="12" s="1"/>
  <c r="I836" i="12"/>
  <c r="J836" i="12" s="1"/>
  <c r="I44" i="12"/>
  <c r="J44" i="12" s="1"/>
  <c r="I1484" i="12"/>
  <c r="J1484" i="12" s="1"/>
  <c r="I1592" i="12"/>
  <c r="J1592" i="12" s="1"/>
  <c r="I728" i="12"/>
  <c r="J728" i="12" s="1"/>
  <c r="I1304" i="12"/>
  <c r="J1304" i="12" s="1"/>
  <c r="I1016" i="12"/>
  <c r="J1016" i="12" s="1"/>
  <c r="I980" i="12"/>
  <c r="J980" i="12" s="1"/>
  <c r="I1052" i="12"/>
  <c r="J1052" i="12" s="1"/>
  <c r="I1628" i="12"/>
  <c r="J1628" i="12" s="1"/>
  <c r="I944" i="12"/>
  <c r="J944" i="12" s="1"/>
  <c r="I692" i="12"/>
  <c r="J692" i="12" s="1"/>
  <c r="I1160" i="12"/>
  <c r="J1160" i="12" s="1"/>
  <c r="I1736" i="12"/>
  <c r="J1736" i="12" s="1"/>
  <c r="I1556" i="12"/>
  <c r="J1556" i="12" s="1"/>
  <c r="I1700" i="12"/>
  <c r="J1700" i="12" s="1"/>
  <c r="I908" i="12"/>
  <c r="J908" i="12" s="1"/>
  <c r="I872" i="12"/>
  <c r="J872" i="12" s="1"/>
  <c r="I1412" i="12"/>
  <c r="J1412" i="12" s="1"/>
  <c r="I1124" i="12"/>
  <c r="J1124" i="12" s="1"/>
  <c r="I656" i="12"/>
  <c r="J656" i="12" s="1"/>
  <c r="I1448" i="12"/>
  <c r="J1448" i="12" s="1"/>
  <c r="I1268" i="12"/>
  <c r="J1268" i="12" s="1"/>
  <c r="I1520" i="12"/>
  <c r="J1520" i="12" s="1"/>
  <c r="I800" i="12"/>
  <c r="J800" i="12" s="1"/>
  <c r="I764" i="12"/>
  <c r="J764" i="12" s="1"/>
  <c r="I1772" i="12"/>
  <c r="J1772" i="12" s="1"/>
  <c r="I1664" i="12"/>
  <c r="J1664" i="12" s="1"/>
  <c r="I1197" i="12"/>
  <c r="J1197" i="12" s="1"/>
  <c r="I1233" i="12"/>
  <c r="J1233" i="12" s="1"/>
  <c r="I1089" i="12"/>
  <c r="J1089" i="12" s="1"/>
  <c r="I1341" i="12"/>
  <c r="J1341" i="12" s="1"/>
  <c r="I1377" i="12"/>
  <c r="J1377" i="12" s="1"/>
  <c r="I837" i="12"/>
  <c r="J837" i="12" s="1"/>
  <c r="I45" i="12"/>
  <c r="J45" i="12" s="1"/>
  <c r="I1485" i="12"/>
  <c r="J1485" i="12" s="1"/>
  <c r="I1593" i="12"/>
  <c r="J1593" i="12" s="1"/>
  <c r="I729" i="12"/>
  <c r="J729" i="12" s="1"/>
  <c r="I1305" i="12"/>
  <c r="J1305" i="12" s="1"/>
  <c r="I1017" i="12"/>
  <c r="J1017" i="12" s="1"/>
  <c r="I981" i="12"/>
  <c r="J981" i="12" s="1"/>
  <c r="I1053" i="12"/>
  <c r="J1053" i="12" s="1"/>
  <c r="I1629" i="12"/>
  <c r="J1629" i="12" s="1"/>
  <c r="I945" i="12"/>
  <c r="J945" i="12" s="1"/>
  <c r="I693" i="12"/>
  <c r="J693" i="12" s="1"/>
  <c r="I1161" i="12"/>
  <c r="J1161" i="12" s="1"/>
  <c r="I1737" i="12"/>
  <c r="J1737" i="12" s="1"/>
  <c r="I1557" i="12"/>
  <c r="J1557" i="12" s="1"/>
  <c r="I1701" i="12"/>
  <c r="J1701" i="12" s="1"/>
  <c r="I909" i="12"/>
  <c r="J909" i="12" s="1"/>
  <c r="I873" i="12"/>
  <c r="J873" i="12" s="1"/>
  <c r="I1413" i="12"/>
  <c r="J1413" i="12" s="1"/>
  <c r="I1125" i="12"/>
  <c r="J1125" i="12" s="1"/>
  <c r="I657" i="12"/>
  <c r="J657" i="12" s="1"/>
  <c r="I1449" i="12"/>
  <c r="J1449" i="12" s="1"/>
  <c r="I1269" i="12"/>
  <c r="J1269" i="12" s="1"/>
  <c r="I1521" i="12"/>
  <c r="J1521" i="12" s="1"/>
  <c r="I801" i="12"/>
  <c r="J801" i="12" s="1"/>
  <c r="I765" i="12"/>
  <c r="J765" i="12" s="1"/>
  <c r="I1773" i="12"/>
  <c r="J1773" i="12" s="1"/>
  <c r="I1665" i="12"/>
  <c r="J1665" i="12" s="1"/>
  <c r="I1198" i="12"/>
  <c r="J1198" i="12" s="1"/>
  <c r="I1234" i="12"/>
  <c r="J1234" i="12" s="1"/>
  <c r="I1090" i="12"/>
  <c r="J1090" i="12" s="1"/>
  <c r="I1342" i="12"/>
  <c r="J1342" i="12" s="1"/>
  <c r="I1378" i="12"/>
  <c r="J1378" i="12" s="1"/>
  <c r="I838" i="12"/>
  <c r="J838" i="12" s="1"/>
  <c r="I46" i="12"/>
  <c r="J46" i="12" s="1"/>
  <c r="I1486" i="12"/>
  <c r="J1486" i="12" s="1"/>
  <c r="I1594" i="12"/>
  <c r="J1594" i="12" s="1"/>
  <c r="I730" i="12"/>
  <c r="J730" i="12" s="1"/>
  <c r="I1306" i="12"/>
  <c r="J1306" i="12" s="1"/>
  <c r="I1018" i="12"/>
  <c r="J1018" i="12" s="1"/>
  <c r="I982" i="12"/>
  <c r="J982" i="12" s="1"/>
  <c r="I1054" i="12"/>
  <c r="J1054" i="12" s="1"/>
  <c r="I1630" i="12"/>
  <c r="J1630" i="12" s="1"/>
  <c r="I946" i="12"/>
  <c r="J946" i="12" s="1"/>
  <c r="I694" i="12"/>
  <c r="J694" i="12" s="1"/>
  <c r="I1162" i="12"/>
  <c r="J1162" i="12" s="1"/>
  <c r="I1738" i="12"/>
  <c r="J1738" i="12" s="1"/>
  <c r="I1558" i="12"/>
  <c r="J1558" i="12" s="1"/>
  <c r="I1702" i="12"/>
  <c r="J1702" i="12" s="1"/>
  <c r="I910" i="12"/>
  <c r="J910" i="12" s="1"/>
  <c r="I874" i="12"/>
  <c r="J874" i="12" s="1"/>
  <c r="I1414" i="12"/>
  <c r="J1414" i="12" s="1"/>
  <c r="I1126" i="12"/>
  <c r="J1126" i="12" s="1"/>
  <c r="I658" i="12"/>
  <c r="J658" i="12" s="1"/>
  <c r="I1450" i="12"/>
  <c r="J1450" i="12" s="1"/>
  <c r="I1270" i="12"/>
  <c r="J1270" i="12" s="1"/>
  <c r="I1522" i="12"/>
  <c r="J1522" i="12" s="1"/>
  <c r="I802" i="12"/>
  <c r="J802" i="12" s="1"/>
  <c r="I766" i="12"/>
  <c r="J766" i="12" s="1"/>
  <c r="I1774" i="12"/>
  <c r="J1774" i="12" s="1"/>
  <c r="I1666" i="12"/>
  <c r="J1666" i="12" s="1"/>
  <c r="I1199" i="12"/>
  <c r="J1199" i="12" s="1"/>
  <c r="I1235" i="12"/>
  <c r="J1235" i="12" s="1"/>
  <c r="I1091" i="12"/>
  <c r="J1091" i="12" s="1"/>
  <c r="I1343" i="12"/>
  <c r="J1343" i="12" s="1"/>
  <c r="I1379" i="12"/>
  <c r="J1379" i="12" s="1"/>
  <c r="I839" i="12"/>
  <c r="J839" i="12" s="1"/>
  <c r="I47" i="12"/>
  <c r="J47" i="12" s="1"/>
  <c r="I1487" i="12"/>
  <c r="J1487" i="12" s="1"/>
  <c r="I1595" i="12"/>
  <c r="J1595" i="12" s="1"/>
  <c r="I731" i="12"/>
  <c r="J731" i="12" s="1"/>
  <c r="I1307" i="12"/>
  <c r="J1307" i="12" s="1"/>
  <c r="I1019" i="12"/>
  <c r="J1019" i="12" s="1"/>
  <c r="I983" i="12"/>
  <c r="J983" i="12" s="1"/>
  <c r="I1055" i="12"/>
  <c r="J1055" i="12" s="1"/>
  <c r="I1631" i="12"/>
  <c r="J1631" i="12" s="1"/>
  <c r="I947" i="12"/>
  <c r="J947" i="12" s="1"/>
  <c r="I695" i="12"/>
  <c r="J695" i="12" s="1"/>
  <c r="I1163" i="12"/>
  <c r="J1163" i="12" s="1"/>
  <c r="I1739" i="12"/>
  <c r="J1739" i="12" s="1"/>
  <c r="I1559" i="12"/>
  <c r="J1559" i="12" s="1"/>
  <c r="I1703" i="12"/>
  <c r="J1703" i="12" s="1"/>
  <c r="I911" i="12"/>
  <c r="J911" i="12" s="1"/>
  <c r="I875" i="12"/>
  <c r="J875" i="12" s="1"/>
  <c r="I1415" i="12"/>
  <c r="J1415" i="12" s="1"/>
  <c r="I1127" i="12"/>
  <c r="J1127" i="12" s="1"/>
  <c r="I659" i="12"/>
  <c r="J659" i="12" s="1"/>
  <c r="I1451" i="12"/>
  <c r="J1451" i="12" s="1"/>
  <c r="I1271" i="12"/>
  <c r="J1271" i="12" s="1"/>
  <c r="I1523" i="12"/>
  <c r="J1523" i="12" s="1"/>
  <c r="I803" i="12"/>
  <c r="J803" i="12" s="1"/>
  <c r="I767" i="12"/>
  <c r="J767" i="12" s="1"/>
  <c r="I1775" i="12"/>
  <c r="J1775" i="12" s="1"/>
  <c r="I1667" i="12"/>
  <c r="J1667" i="12" s="1"/>
  <c r="I1200" i="12"/>
  <c r="J1200" i="12" s="1"/>
  <c r="I1236" i="12"/>
  <c r="J1236" i="12" s="1"/>
  <c r="I1092" i="12"/>
  <c r="J1092" i="12" s="1"/>
  <c r="I1344" i="12"/>
  <c r="J1344" i="12" s="1"/>
  <c r="I1380" i="12"/>
  <c r="J1380" i="12" s="1"/>
  <c r="I840" i="12"/>
  <c r="J840" i="12" s="1"/>
  <c r="I48" i="12"/>
  <c r="J48" i="12" s="1"/>
  <c r="I1488" i="12"/>
  <c r="J1488" i="12" s="1"/>
  <c r="I1596" i="12"/>
  <c r="J1596" i="12" s="1"/>
  <c r="I732" i="12"/>
  <c r="J732" i="12" s="1"/>
  <c r="I1308" i="12"/>
  <c r="J1308" i="12" s="1"/>
  <c r="I1020" i="12"/>
  <c r="J1020" i="12" s="1"/>
  <c r="I984" i="12"/>
  <c r="J984" i="12" s="1"/>
  <c r="I1056" i="12"/>
  <c r="J1056" i="12" s="1"/>
  <c r="I1632" i="12"/>
  <c r="J1632" i="12" s="1"/>
  <c r="I948" i="12"/>
  <c r="J948" i="12" s="1"/>
  <c r="I696" i="12"/>
  <c r="J696" i="12" s="1"/>
  <c r="I1164" i="12"/>
  <c r="J1164" i="12" s="1"/>
  <c r="I1740" i="12"/>
  <c r="J1740" i="12" s="1"/>
  <c r="I1560" i="12"/>
  <c r="J1560" i="12" s="1"/>
  <c r="I1704" i="12"/>
  <c r="J1704" i="12" s="1"/>
  <c r="I912" i="12"/>
  <c r="J912" i="12" s="1"/>
  <c r="I876" i="12"/>
  <c r="J876" i="12" s="1"/>
  <c r="I1416" i="12"/>
  <c r="J1416" i="12" s="1"/>
  <c r="I1128" i="12"/>
  <c r="J1128" i="12" s="1"/>
  <c r="I660" i="12"/>
  <c r="J660" i="12" s="1"/>
  <c r="I1452" i="12"/>
  <c r="J1452" i="12" s="1"/>
  <c r="I1272" i="12"/>
  <c r="J1272" i="12" s="1"/>
  <c r="I1524" i="12"/>
  <c r="J1524" i="12" s="1"/>
  <c r="I804" i="12"/>
  <c r="J804" i="12" s="1"/>
  <c r="I768" i="12"/>
  <c r="J768" i="12" s="1"/>
  <c r="I1776" i="12"/>
  <c r="J1776" i="12" s="1"/>
  <c r="I1668" i="12"/>
  <c r="J1668" i="12" s="1"/>
  <c r="I1201" i="12"/>
  <c r="J1201" i="12" s="1"/>
  <c r="I1237" i="12"/>
  <c r="J1237" i="12" s="1"/>
  <c r="I1093" i="12"/>
  <c r="J1093" i="12" s="1"/>
  <c r="I1345" i="12"/>
  <c r="J1345" i="12" s="1"/>
  <c r="I1381" i="12"/>
  <c r="J1381" i="12" s="1"/>
  <c r="I841" i="12"/>
  <c r="J841" i="12" s="1"/>
  <c r="I49" i="12"/>
  <c r="J49" i="12" s="1"/>
  <c r="I1489" i="12"/>
  <c r="J1489" i="12" s="1"/>
  <c r="I1597" i="12"/>
  <c r="J1597" i="12" s="1"/>
  <c r="I733" i="12"/>
  <c r="J733" i="12" s="1"/>
  <c r="I1309" i="12"/>
  <c r="J1309" i="12" s="1"/>
  <c r="I1021" i="12"/>
  <c r="J1021" i="12" s="1"/>
  <c r="I985" i="12"/>
  <c r="J985" i="12" s="1"/>
  <c r="I1057" i="12"/>
  <c r="J1057" i="12" s="1"/>
  <c r="I1633" i="12"/>
  <c r="J1633" i="12" s="1"/>
  <c r="I949" i="12"/>
  <c r="J949" i="12" s="1"/>
  <c r="I697" i="12"/>
  <c r="J697" i="12" s="1"/>
  <c r="I1165" i="12"/>
  <c r="J1165" i="12" s="1"/>
  <c r="I1741" i="12"/>
  <c r="J1741" i="12" s="1"/>
  <c r="I1561" i="12"/>
  <c r="J1561" i="12" s="1"/>
  <c r="I1705" i="12"/>
  <c r="J1705" i="12" s="1"/>
  <c r="I913" i="12"/>
  <c r="J913" i="12" s="1"/>
  <c r="I877" i="12"/>
  <c r="J877" i="12" s="1"/>
  <c r="I1417" i="12"/>
  <c r="J1417" i="12" s="1"/>
  <c r="I1129" i="12"/>
  <c r="J1129" i="12" s="1"/>
  <c r="I661" i="12"/>
  <c r="J661" i="12" s="1"/>
  <c r="I1453" i="12"/>
  <c r="J1453" i="12" s="1"/>
  <c r="I1273" i="12"/>
  <c r="J1273" i="12" s="1"/>
  <c r="I1525" i="12"/>
  <c r="J1525" i="12" s="1"/>
  <c r="I805" i="12"/>
  <c r="J805" i="12" s="1"/>
  <c r="I769" i="12"/>
  <c r="J769" i="12" s="1"/>
  <c r="I1777" i="12"/>
  <c r="J1777" i="12" s="1"/>
  <c r="I1669" i="12"/>
  <c r="J1669" i="12" s="1"/>
  <c r="I1202" i="12"/>
  <c r="J1202" i="12" s="1"/>
  <c r="I1238" i="12"/>
  <c r="J1238" i="12" s="1"/>
  <c r="I1094" i="12"/>
  <c r="J1094" i="12" s="1"/>
  <c r="I1346" i="12"/>
  <c r="J1346" i="12" s="1"/>
  <c r="I1382" i="12"/>
  <c r="J1382" i="12" s="1"/>
  <c r="I842" i="12"/>
  <c r="J842" i="12" s="1"/>
  <c r="I50" i="12"/>
  <c r="J50" i="12" s="1"/>
  <c r="I1490" i="12"/>
  <c r="J1490" i="12" s="1"/>
  <c r="I1598" i="12"/>
  <c r="J1598" i="12" s="1"/>
  <c r="I734" i="12"/>
  <c r="J734" i="12" s="1"/>
  <c r="I1310" i="12"/>
  <c r="J1310" i="12" s="1"/>
  <c r="I1022" i="12"/>
  <c r="J1022" i="12" s="1"/>
  <c r="I986" i="12"/>
  <c r="J986" i="12" s="1"/>
  <c r="I1058" i="12"/>
  <c r="J1058" i="12" s="1"/>
  <c r="I1634" i="12"/>
  <c r="J1634" i="12" s="1"/>
  <c r="I950" i="12"/>
  <c r="J950" i="12" s="1"/>
  <c r="I698" i="12"/>
  <c r="J698" i="12" s="1"/>
  <c r="I1166" i="12"/>
  <c r="J1166" i="12" s="1"/>
  <c r="I1742" i="12"/>
  <c r="J1742" i="12" s="1"/>
  <c r="I1562" i="12"/>
  <c r="J1562" i="12" s="1"/>
  <c r="I1706" i="12"/>
  <c r="J1706" i="12" s="1"/>
  <c r="I914" i="12"/>
  <c r="J914" i="12" s="1"/>
  <c r="I878" i="12"/>
  <c r="J878" i="12" s="1"/>
  <c r="I1418" i="12"/>
  <c r="J1418" i="12" s="1"/>
  <c r="I1130" i="12"/>
  <c r="J1130" i="12" s="1"/>
  <c r="I662" i="12"/>
  <c r="J662" i="12" s="1"/>
  <c r="I1454" i="12"/>
  <c r="J1454" i="12" s="1"/>
  <c r="I1274" i="12"/>
  <c r="J1274" i="12" s="1"/>
  <c r="I1526" i="12"/>
  <c r="J1526" i="12" s="1"/>
  <c r="I806" i="12"/>
  <c r="J806" i="12" s="1"/>
  <c r="I770" i="12"/>
  <c r="J770" i="12" s="1"/>
  <c r="I1778" i="12"/>
  <c r="J1778" i="12" s="1"/>
  <c r="I1670" i="12"/>
  <c r="J1670" i="12" s="1"/>
  <c r="I1203" i="12"/>
  <c r="J1203" i="12" s="1"/>
  <c r="I1239" i="12"/>
  <c r="J1239" i="12" s="1"/>
  <c r="I1095" i="12"/>
  <c r="J1095" i="12" s="1"/>
  <c r="I1347" i="12"/>
  <c r="J1347" i="12" s="1"/>
  <c r="I1383" i="12"/>
  <c r="J1383" i="12" s="1"/>
  <c r="I843" i="12"/>
  <c r="J843" i="12" s="1"/>
  <c r="I51" i="12"/>
  <c r="J51" i="12" s="1"/>
  <c r="I1491" i="12"/>
  <c r="J1491" i="12" s="1"/>
  <c r="I1599" i="12"/>
  <c r="J1599" i="12" s="1"/>
  <c r="I735" i="12"/>
  <c r="J735" i="12" s="1"/>
  <c r="I1311" i="12"/>
  <c r="J1311" i="12" s="1"/>
  <c r="I1023" i="12"/>
  <c r="J1023" i="12" s="1"/>
  <c r="I987" i="12"/>
  <c r="J987" i="12" s="1"/>
  <c r="I1059" i="12"/>
  <c r="J1059" i="12" s="1"/>
  <c r="I1635" i="12"/>
  <c r="J1635" i="12" s="1"/>
  <c r="I951" i="12"/>
  <c r="J951" i="12" s="1"/>
  <c r="I699" i="12"/>
  <c r="J699" i="12" s="1"/>
  <c r="I1167" i="12"/>
  <c r="J1167" i="12" s="1"/>
  <c r="I1743" i="12"/>
  <c r="J1743" i="12" s="1"/>
  <c r="I1563" i="12"/>
  <c r="J1563" i="12" s="1"/>
  <c r="I1707" i="12"/>
  <c r="J1707" i="12" s="1"/>
  <c r="I915" i="12"/>
  <c r="J915" i="12" s="1"/>
  <c r="I879" i="12"/>
  <c r="J879" i="12" s="1"/>
  <c r="I1419" i="12"/>
  <c r="J1419" i="12" s="1"/>
  <c r="I1131" i="12"/>
  <c r="J1131" i="12" s="1"/>
  <c r="I663" i="12"/>
  <c r="J663" i="12" s="1"/>
  <c r="I1455" i="12"/>
  <c r="J1455" i="12" s="1"/>
  <c r="I1275" i="12"/>
  <c r="J1275" i="12" s="1"/>
  <c r="I1527" i="12"/>
  <c r="J1527" i="12" s="1"/>
  <c r="I807" i="12"/>
  <c r="J807" i="12" s="1"/>
  <c r="I771" i="12"/>
  <c r="J771" i="12" s="1"/>
  <c r="I1779" i="12"/>
  <c r="J1779" i="12" s="1"/>
  <c r="I1671" i="12"/>
  <c r="J1671" i="12" s="1"/>
  <c r="I1204" i="12"/>
  <c r="J1204" i="12" s="1"/>
  <c r="I1240" i="12"/>
  <c r="J1240" i="12" s="1"/>
  <c r="I1096" i="12"/>
  <c r="J1096" i="12" s="1"/>
  <c r="I1348" i="12"/>
  <c r="J1348" i="12" s="1"/>
  <c r="I1384" i="12"/>
  <c r="J1384" i="12" s="1"/>
  <c r="I844" i="12"/>
  <c r="J844" i="12" s="1"/>
  <c r="I52" i="12"/>
  <c r="J52" i="12" s="1"/>
  <c r="I1492" i="12"/>
  <c r="J1492" i="12" s="1"/>
  <c r="I1600" i="12"/>
  <c r="J1600" i="12" s="1"/>
  <c r="I736" i="12"/>
  <c r="J736" i="12" s="1"/>
  <c r="I1312" i="12"/>
  <c r="J1312" i="12" s="1"/>
  <c r="I1024" i="12"/>
  <c r="J1024" i="12" s="1"/>
  <c r="I988" i="12"/>
  <c r="J988" i="12" s="1"/>
  <c r="I1060" i="12"/>
  <c r="J1060" i="12" s="1"/>
  <c r="I1636" i="12"/>
  <c r="J1636" i="12" s="1"/>
  <c r="I952" i="12"/>
  <c r="J952" i="12" s="1"/>
  <c r="I700" i="12"/>
  <c r="J700" i="12" s="1"/>
  <c r="I1168" i="12"/>
  <c r="J1168" i="12" s="1"/>
  <c r="I1744" i="12"/>
  <c r="J1744" i="12" s="1"/>
  <c r="I1564" i="12"/>
  <c r="J1564" i="12" s="1"/>
  <c r="I1708" i="12"/>
  <c r="J1708" i="12" s="1"/>
  <c r="I916" i="12"/>
  <c r="J916" i="12" s="1"/>
  <c r="I880" i="12"/>
  <c r="J880" i="12" s="1"/>
  <c r="I1420" i="12"/>
  <c r="J1420" i="12" s="1"/>
  <c r="I1132" i="12"/>
  <c r="J1132" i="12" s="1"/>
  <c r="I664" i="12"/>
  <c r="J664" i="12" s="1"/>
  <c r="I1456" i="12"/>
  <c r="J1456" i="12" s="1"/>
  <c r="I1276" i="12"/>
  <c r="J1276" i="12" s="1"/>
  <c r="I1528" i="12"/>
  <c r="J1528" i="12" s="1"/>
  <c r="I808" i="12"/>
  <c r="J808" i="12" s="1"/>
  <c r="I772" i="12"/>
  <c r="J772" i="12" s="1"/>
  <c r="I1780" i="12"/>
  <c r="J1780" i="12" s="1"/>
  <c r="I1672" i="12"/>
  <c r="J1672" i="12" s="1"/>
  <c r="I1205" i="12"/>
  <c r="J1205" i="12" s="1"/>
  <c r="I1241" i="12"/>
  <c r="J1241" i="12" s="1"/>
  <c r="I1097" i="12"/>
  <c r="J1097" i="12" s="1"/>
  <c r="I1349" i="12"/>
  <c r="J1349" i="12" s="1"/>
  <c r="I1385" i="12"/>
  <c r="J1385" i="12" s="1"/>
  <c r="I845" i="12"/>
  <c r="J845" i="12" s="1"/>
  <c r="I53" i="12"/>
  <c r="J53" i="12" s="1"/>
  <c r="I1493" i="12"/>
  <c r="J1493" i="12" s="1"/>
  <c r="I1601" i="12"/>
  <c r="J1601" i="12" s="1"/>
  <c r="I737" i="12"/>
  <c r="J737" i="12" s="1"/>
  <c r="I1313" i="12"/>
  <c r="J1313" i="12" s="1"/>
  <c r="I1025" i="12"/>
  <c r="J1025" i="12" s="1"/>
  <c r="I989" i="12"/>
  <c r="J989" i="12" s="1"/>
  <c r="I1061" i="12"/>
  <c r="J1061" i="12" s="1"/>
  <c r="I1637" i="12"/>
  <c r="J1637" i="12" s="1"/>
  <c r="I953" i="12"/>
  <c r="J953" i="12" s="1"/>
  <c r="I701" i="12"/>
  <c r="J701" i="12" s="1"/>
  <c r="I1169" i="12"/>
  <c r="J1169" i="12" s="1"/>
  <c r="I1745" i="12"/>
  <c r="J1745" i="12" s="1"/>
  <c r="I1565" i="12"/>
  <c r="J1565" i="12" s="1"/>
  <c r="I1709" i="12"/>
  <c r="J1709" i="12" s="1"/>
  <c r="I917" i="12"/>
  <c r="J917" i="12" s="1"/>
  <c r="I881" i="12"/>
  <c r="J881" i="12" s="1"/>
  <c r="I1421" i="12"/>
  <c r="J1421" i="12" s="1"/>
  <c r="I1133" i="12"/>
  <c r="J1133" i="12" s="1"/>
  <c r="I665" i="12"/>
  <c r="J665" i="12" s="1"/>
  <c r="I1457" i="12"/>
  <c r="J1457" i="12" s="1"/>
  <c r="I1277" i="12"/>
  <c r="J1277" i="12" s="1"/>
  <c r="I1529" i="12"/>
  <c r="J1529" i="12" s="1"/>
  <c r="I809" i="12"/>
  <c r="J809" i="12" s="1"/>
  <c r="I773" i="12"/>
  <c r="J773" i="12" s="1"/>
  <c r="I1781" i="12"/>
  <c r="J1781" i="12" s="1"/>
  <c r="I1673" i="12"/>
  <c r="J1673" i="12" s="1"/>
  <c r="I1206" i="12"/>
  <c r="J1206" i="12" s="1"/>
  <c r="I1242" i="12"/>
  <c r="J1242" i="12" s="1"/>
  <c r="I1098" i="12"/>
  <c r="J1098" i="12" s="1"/>
  <c r="I1350" i="12"/>
  <c r="J1350" i="12" s="1"/>
  <c r="I1386" i="12"/>
  <c r="J1386" i="12" s="1"/>
  <c r="I846" i="12"/>
  <c r="J846" i="12" s="1"/>
  <c r="I54" i="12"/>
  <c r="J54" i="12" s="1"/>
  <c r="I1494" i="12"/>
  <c r="J1494" i="12" s="1"/>
  <c r="I1602" i="12"/>
  <c r="J1602" i="12" s="1"/>
  <c r="I738" i="12"/>
  <c r="J738" i="12" s="1"/>
  <c r="I1314" i="12"/>
  <c r="J1314" i="12" s="1"/>
  <c r="I1026" i="12"/>
  <c r="J1026" i="12" s="1"/>
  <c r="I990" i="12"/>
  <c r="J990" i="12" s="1"/>
  <c r="I1062" i="12"/>
  <c r="J1062" i="12" s="1"/>
  <c r="I1638" i="12"/>
  <c r="J1638" i="12" s="1"/>
  <c r="I954" i="12"/>
  <c r="J954" i="12" s="1"/>
  <c r="I702" i="12"/>
  <c r="J702" i="12" s="1"/>
  <c r="I1170" i="12"/>
  <c r="J1170" i="12" s="1"/>
  <c r="I1746" i="12"/>
  <c r="J1746" i="12" s="1"/>
  <c r="I1566" i="12"/>
  <c r="J1566" i="12" s="1"/>
  <c r="I1710" i="12"/>
  <c r="J1710" i="12" s="1"/>
  <c r="I918" i="12"/>
  <c r="J918" i="12" s="1"/>
  <c r="I882" i="12"/>
  <c r="J882" i="12" s="1"/>
  <c r="I1422" i="12"/>
  <c r="J1422" i="12" s="1"/>
  <c r="I1134" i="12"/>
  <c r="J1134" i="12" s="1"/>
  <c r="I666" i="12"/>
  <c r="J666" i="12" s="1"/>
  <c r="I1458" i="12"/>
  <c r="J1458" i="12" s="1"/>
  <c r="I1278" i="12"/>
  <c r="J1278" i="12" s="1"/>
  <c r="I1530" i="12"/>
  <c r="J1530" i="12" s="1"/>
  <c r="I810" i="12"/>
  <c r="J810" i="12" s="1"/>
  <c r="I774" i="12"/>
  <c r="J774" i="12" s="1"/>
  <c r="I1782" i="12"/>
  <c r="J1782" i="12" s="1"/>
  <c r="I1674" i="12"/>
  <c r="J1674" i="12" s="1"/>
  <c r="I1207" i="12"/>
  <c r="J1207" i="12" s="1"/>
  <c r="I1243" i="12"/>
  <c r="J1243" i="12" s="1"/>
  <c r="I1099" i="12"/>
  <c r="J1099" i="12" s="1"/>
  <c r="I1351" i="12"/>
  <c r="J1351" i="12" s="1"/>
  <c r="I1387" i="12"/>
  <c r="J1387" i="12" s="1"/>
  <c r="I847" i="12"/>
  <c r="J847" i="12" s="1"/>
  <c r="I55" i="12"/>
  <c r="J55" i="12" s="1"/>
  <c r="I1495" i="12"/>
  <c r="J1495" i="12" s="1"/>
  <c r="I1603" i="12"/>
  <c r="J1603" i="12" s="1"/>
  <c r="I739" i="12"/>
  <c r="J739" i="12" s="1"/>
  <c r="I1315" i="12"/>
  <c r="J1315" i="12" s="1"/>
  <c r="I1027" i="12"/>
  <c r="J1027" i="12" s="1"/>
  <c r="I991" i="12"/>
  <c r="J991" i="12" s="1"/>
  <c r="I1063" i="12"/>
  <c r="J1063" i="12" s="1"/>
  <c r="I1639" i="12"/>
  <c r="J1639" i="12" s="1"/>
  <c r="I955" i="12"/>
  <c r="J955" i="12" s="1"/>
  <c r="I703" i="12"/>
  <c r="J703" i="12" s="1"/>
  <c r="I1171" i="12"/>
  <c r="J1171" i="12" s="1"/>
  <c r="I1747" i="12"/>
  <c r="J1747" i="12" s="1"/>
  <c r="I1567" i="12"/>
  <c r="J1567" i="12" s="1"/>
  <c r="I1711" i="12"/>
  <c r="J1711" i="12" s="1"/>
  <c r="I919" i="12"/>
  <c r="J919" i="12" s="1"/>
  <c r="I883" i="12"/>
  <c r="J883" i="12" s="1"/>
  <c r="I1423" i="12"/>
  <c r="J1423" i="12" s="1"/>
  <c r="I1135" i="12"/>
  <c r="J1135" i="12" s="1"/>
  <c r="I667" i="12"/>
  <c r="J667" i="12" s="1"/>
  <c r="I1459" i="12"/>
  <c r="J1459" i="12" s="1"/>
  <c r="I1279" i="12"/>
  <c r="J1279" i="12" s="1"/>
  <c r="I1531" i="12"/>
  <c r="J1531" i="12" s="1"/>
  <c r="I811" i="12"/>
  <c r="J811" i="12" s="1"/>
  <c r="I775" i="12"/>
  <c r="J775" i="12" s="1"/>
  <c r="I1783" i="12"/>
  <c r="J1783" i="12" s="1"/>
  <c r="I1675" i="12"/>
  <c r="J1675" i="12" s="1"/>
  <c r="I1208" i="12"/>
  <c r="J1208" i="12" s="1"/>
  <c r="I1244" i="12"/>
  <c r="J1244" i="12" s="1"/>
  <c r="I1100" i="12"/>
  <c r="J1100" i="12" s="1"/>
  <c r="I1352" i="12"/>
  <c r="J1352" i="12" s="1"/>
  <c r="I1388" i="12"/>
  <c r="J1388" i="12" s="1"/>
  <c r="I848" i="12"/>
  <c r="J848" i="12" s="1"/>
  <c r="I56" i="12"/>
  <c r="J56" i="12" s="1"/>
  <c r="I1496" i="12"/>
  <c r="J1496" i="12" s="1"/>
  <c r="I1604" i="12"/>
  <c r="J1604" i="12" s="1"/>
  <c r="I740" i="12"/>
  <c r="J740" i="12" s="1"/>
  <c r="I1316" i="12"/>
  <c r="J1316" i="12" s="1"/>
  <c r="I1028" i="12"/>
  <c r="J1028" i="12" s="1"/>
  <c r="I992" i="12"/>
  <c r="J992" i="12" s="1"/>
  <c r="I1064" i="12"/>
  <c r="J1064" i="12" s="1"/>
  <c r="I1640" i="12"/>
  <c r="J1640" i="12" s="1"/>
  <c r="I956" i="12"/>
  <c r="J956" i="12" s="1"/>
  <c r="I704" i="12"/>
  <c r="J704" i="12" s="1"/>
  <c r="I1172" i="12"/>
  <c r="J1172" i="12" s="1"/>
  <c r="I1748" i="12"/>
  <c r="J1748" i="12" s="1"/>
  <c r="I1568" i="12"/>
  <c r="J1568" i="12" s="1"/>
  <c r="I1712" i="12"/>
  <c r="J1712" i="12" s="1"/>
  <c r="I920" i="12"/>
  <c r="J920" i="12" s="1"/>
  <c r="I884" i="12"/>
  <c r="J884" i="12" s="1"/>
  <c r="I1424" i="12"/>
  <c r="J1424" i="12" s="1"/>
  <c r="I1136" i="12"/>
  <c r="J1136" i="12" s="1"/>
  <c r="I668" i="12"/>
  <c r="J668" i="12" s="1"/>
  <c r="I1460" i="12"/>
  <c r="J1460" i="12" s="1"/>
  <c r="I1280" i="12"/>
  <c r="J1280" i="12" s="1"/>
  <c r="I1532" i="12"/>
  <c r="J1532" i="12" s="1"/>
  <c r="I812" i="12"/>
  <c r="J812" i="12" s="1"/>
  <c r="I776" i="12"/>
  <c r="J776" i="12" s="1"/>
  <c r="I1784" i="12"/>
  <c r="J1784" i="12" s="1"/>
  <c r="I1676" i="12"/>
  <c r="J1676" i="12" s="1"/>
  <c r="I1209" i="12"/>
  <c r="J1209" i="12" s="1"/>
  <c r="I1245" i="12"/>
  <c r="J1245" i="12" s="1"/>
  <c r="I1101" i="12"/>
  <c r="J1101" i="12" s="1"/>
  <c r="I1353" i="12"/>
  <c r="J1353" i="12" s="1"/>
  <c r="I1389" i="12"/>
  <c r="J1389" i="12" s="1"/>
  <c r="I849" i="12"/>
  <c r="J849" i="12" s="1"/>
  <c r="I57" i="12"/>
  <c r="J57" i="12" s="1"/>
  <c r="I1497" i="12"/>
  <c r="J1497" i="12" s="1"/>
  <c r="I1605" i="12"/>
  <c r="J1605" i="12" s="1"/>
  <c r="I741" i="12"/>
  <c r="J741" i="12" s="1"/>
  <c r="I1317" i="12"/>
  <c r="J1317" i="12" s="1"/>
  <c r="I1029" i="12"/>
  <c r="J1029" i="12" s="1"/>
  <c r="I993" i="12"/>
  <c r="J993" i="12" s="1"/>
  <c r="I1065" i="12"/>
  <c r="J1065" i="12" s="1"/>
  <c r="I1641" i="12"/>
  <c r="J1641" i="12" s="1"/>
  <c r="I957" i="12"/>
  <c r="J957" i="12" s="1"/>
  <c r="I705" i="12"/>
  <c r="J705" i="12" s="1"/>
  <c r="I1173" i="12"/>
  <c r="J1173" i="12" s="1"/>
  <c r="I1749" i="12"/>
  <c r="J1749" i="12" s="1"/>
  <c r="I1569" i="12"/>
  <c r="J1569" i="12" s="1"/>
  <c r="I1713" i="12"/>
  <c r="J1713" i="12" s="1"/>
  <c r="I921" i="12"/>
  <c r="J921" i="12" s="1"/>
  <c r="I885" i="12"/>
  <c r="J885" i="12" s="1"/>
  <c r="I1425" i="12"/>
  <c r="J1425" i="12" s="1"/>
  <c r="I1137" i="12"/>
  <c r="J1137" i="12" s="1"/>
  <c r="I669" i="12"/>
  <c r="J669" i="12" s="1"/>
  <c r="I1461" i="12"/>
  <c r="J1461" i="12" s="1"/>
  <c r="I1281" i="12"/>
  <c r="J1281" i="12" s="1"/>
  <c r="I1533" i="12"/>
  <c r="J1533" i="12" s="1"/>
  <c r="I813" i="12"/>
  <c r="J813" i="12" s="1"/>
  <c r="I777" i="12"/>
  <c r="J777" i="12" s="1"/>
  <c r="I1785" i="12"/>
  <c r="J1785" i="12" s="1"/>
  <c r="I1677" i="12"/>
  <c r="J1677" i="12" s="1"/>
  <c r="I1210" i="12"/>
  <c r="J1210" i="12" s="1"/>
  <c r="I1246" i="12"/>
  <c r="J1246" i="12" s="1"/>
  <c r="I1102" i="12"/>
  <c r="J1102" i="12" s="1"/>
  <c r="I1354" i="12"/>
  <c r="J1354" i="12" s="1"/>
  <c r="I1390" i="12"/>
  <c r="J1390" i="12" s="1"/>
  <c r="I850" i="12"/>
  <c r="J850" i="12" s="1"/>
  <c r="I58" i="12"/>
  <c r="J58" i="12" s="1"/>
  <c r="I1498" i="12"/>
  <c r="J1498" i="12" s="1"/>
  <c r="I1606" i="12"/>
  <c r="J1606" i="12" s="1"/>
  <c r="I742" i="12"/>
  <c r="J742" i="12" s="1"/>
  <c r="I1318" i="12"/>
  <c r="J1318" i="12" s="1"/>
  <c r="I1030" i="12"/>
  <c r="J1030" i="12" s="1"/>
  <c r="I994" i="12"/>
  <c r="J994" i="12" s="1"/>
  <c r="I1066" i="12"/>
  <c r="J1066" i="12" s="1"/>
  <c r="I1642" i="12"/>
  <c r="J1642" i="12" s="1"/>
  <c r="I958" i="12"/>
  <c r="J958" i="12" s="1"/>
  <c r="I706" i="12"/>
  <c r="J706" i="12" s="1"/>
  <c r="I1174" i="12"/>
  <c r="J1174" i="12" s="1"/>
  <c r="I1750" i="12"/>
  <c r="J1750" i="12" s="1"/>
  <c r="I1570" i="12"/>
  <c r="J1570" i="12" s="1"/>
  <c r="I1714" i="12"/>
  <c r="J1714" i="12" s="1"/>
  <c r="I922" i="12"/>
  <c r="J922" i="12" s="1"/>
  <c r="I886" i="12"/>
  <c r="J886" i="12" s="1"/>
  <c r="I1426" i="12"/>
  <c r="J1426" i="12" s="1"/>
  <c r="I1138" i="12"/>
  <c r="J1138" i="12" s="1"/>
  <c r="I670" i="12"/>
  <c r="J670" i="12" s="1"/>
  <c r="I1462" i="12"/>
  <c r="J1462" i="12" s="1"/>
  <c r="I1282" i="12"/>
  <c r="J1282" i="12" s="1"/>
  <c r="I1534" i="12"/>
  <c r="J1534" i="12" s="1"/>
  <c r="I814" i="12"/>
  <c r="J814" i="12" s="1"/>
  <c r="I778" i="12"/>
  <c r="J778" i="12" s="1"/>
  <c r="I1786" i="12"/>
  <c r="J1786" i="12" s="1"/>
  <c r="I1678" i="12"/>
  <c r="J1678" i="12" s="1"/>
  <c r="I1211" i="12"/>
  <c r="J1211" i="12" s="1"/>
  <c r="I1247" i="12"/>
  <c r="J1247" i="12" s="1"/>
  <c r="I1103" i="12"/>
  <c r="J1103" i="12" s="1"/>
  <c r="I1355" i="12"/>
  <c r="J1355" i="12" s="1"/>
  <c r="I1391" i="12"/>
  <c r="J1391" i="12" s="1"/>
  <c r="I851" i="12"/>
  <c r="J851" i="12" s="1"/>
  <c r="I59" i="12"/>
  <c r="J59" i="12" s="1"/>
  <c r="I1499" i="12"/>
  <c r="J1499" i="12" s="1"/>
  <c r="I1607" i="12"/>
  <c r="J1607" i="12" s="1"/>
  <c r="I743" i="12"/>
  <c r="J743" i="12" s="1"/>
  <c r="I1319" i="12"/>
  <c r="J1319" i="12" s="1"/>
  <c r="I1031" i="12"/>
  <c r="J1031" i="12" s="1"/>
  <c r="I995" i="12"/>
  <c r="J995" i="12" s="1"/>
  <c r="I1067" i="12"/>
  <c r="J1067" i="12" s="1"/>
  <c r="I1643" i="12"/>
  <c r="J1643" i="12" s="1"/>
  <c r="I959" i="12"/>
  <c r="J959" i="12" s="1"/>
  <c r="I707" i="12"/>
  <c r="J707" i="12" s="1"/>
  <c r="I1175" i="12"/>
  <c r="J1175" i="12" s="1"/>
  <c r="I1751" i="12"/>
  <c r="J1751" i="12" s="1"/>
  <c r="I1571" i="12"/>
  <c r="J1571" i="12" s="1"/>
  <c r="I1715" i="12"/>
  <c r="J1715" i="12" s="1"/>
  <c r="I923" i="12"/>
  <c r="J923" i="12" s="1"/>
  <c r="I887" i="12"/>
  <c r="J887" i="12" s="1"/>
  <c r="I1427" i="12"/>
  <c r="J1427" i="12" s="1"/>
  <c r="I1139" i="12"/>
  <c r="J1139" i="12" s="1"/>
  <c r="I671" i="12"/>
  <c r="J671" i="12" s="1"/>
  <c r="I1463" i="12"/>
  <c r="J1463" i="12" s="1"/>
  <c r="I1283" i="12"/>
  <c r="J1283" i="12" s="1"/>
  <c r="I1535" i="12"/>
  <c r="J1535" i="12" s="1"/>
  <c r="I815" i="12"/>
  <c r="J815" i="12" s="1"/>
  <c r="I779" i="12"/>
  <c r="J779" i="12" s="1"/>
  <c r="I1787" i="12"/>
  <c r="J1787" i="12" s="1"/>
  <c r="I1679" i="12"/>
  <c r="J1679" i="12" s="1"/>
  <c r="I1212" i="12"/>
  <c r="J1212" i="12" s="1"/>
  <c r="I1248" i="12"/>
  <c r="J1248" i="12" s="1"/>
  <c r="I1104" i="12"/>
  <c r="J1104" i="12" s="1"/>
  <c r="I1356" i="12"/>
  <c r="J1356" i="12" s="1"/>
  <c r="I1392" i="12"/>
  <c r="J1392" i="12" s="1"/>
  <c r="I852" i="12"/>
  <c r="J852" i="12" s="1"/>
  <c r="I60" i="12"/>
  <c r="J60" i="12" s="1"/>
  <c r="I1500" i="12"/>
  <c r="J1500" i="12" s="1"/>
  <c r="I1608" i="12"/>
  <c r="J1608" i="12" s="1"/>
  <c r="I744" i="12"/>
  <c r="J744" i="12" s="1"/>
  <c r="I1320" i="12"/>
  <c r="J1320" i="12" s="1"/>
  <c r="I1032" i="12"/>
  <c r="J1032" i="12" s="1"/>
  <c r="I996" i="12"/>
  <c r="J996" i="12" s="1"/>
  <c r="I1068" i="12"/>
  <c r="J1068" i="12" s="1"/>
  <c r="I1644" i="12"/>
  <c r="J1644" i="12" s="1"/>
  <c r="I960" i="12"/>
  <c r="J960" i="12" s="1"/>
  <c r="I708" i="12"/>
  <c r="J708" i="12" s="1"/>
  <c r="I1176" i="12"/>
  <c r="J1176" i="12" s="1"/>
  <c r="I1752" i="12"/>
  <c r="J1752" i="12" s="1"/>
  <c r="I1572" i="12"/>
  <c r="J1572" i="12" s="1"/>
  <c r="I1716" i="12"/>
  <c r="J1716" i="12" s="1"/>
  <c r="I924" i="12"/>
  <c r="J924" i="12" s="1"/>
  <c r="I888" i="12"/>
  <c r="J888" i="12" s="1"/>
  <c r="I1428" i="12"/>
  <c r="J1428" i="12" s="1"/>
  <c r="I1140" i="12"/>
  <c r="J1140" i="12" s="1"/>
  <c r="I672" i="12"/>
  <c r="J672" i="12" s="1"/>
  <c r="I1464" i="12"/>
  <c r="J1464" i="12" s="1"/>
  <c r="I1284" i="12"/>
  <c r="J1284" i="12" s="1"/>
  <c r="I1536" i="12"/>
  <c r="J1536" i="12" s="1"/>
  <c r="I816" i="12"/>
  <c r="J816" i="12" s="1"/>
  <c r="I780" i="12"/>
  <c r="J780" i="12" s="1"/>
  <c r="I1788" i="12"/>
  <c r="J1788" i="12" s="1"/>
  <c r="I1680" i="12"/>
  <c r="J1680" i="12" s="1"/>
  <c r="I1213" i="12"/>
  <c r="J1213" i="12" s="1"/>
  <c r="I1249" i="12"/>
  <c r="J1249" i="12" s="1"/>
  <c r="I1105" i="12"/>
  <c r="J1105" i="12" s="1"/>
  <c r="I1357" i="12"/>
  <c r="J1357" i="12" s="1"/>
  <c r="I1393" i="12"/>
  <c r="J1393" i="12" s="1"/>
  <c r="I853" i="12"/>
  <c r="J853" i="12" s="1"/>
  <c r="I61" i="12"/>
  <c r="J61" i="12" s="1"/>
  <c r="I1501" i="12"/>
  <c r="J1501" i="12" s="1"/>
  <c r="I1609" i="12"/>
  <c r="J1609" i="12" s="1"/>
  <c r="I745" i="12"/>
  <c r="J745" i="12" s="1"/>
  <c r="I1321" i="12"/>
  <c r="J1321" i="12" s="1"/>
  <c r="I1033" i="12"/>
  <c r="J1033" i="12" s="1"/>
  <c r="I997" i="12"/>
  <c r="J997" i="12" s="1"/>
  <c r="I1069" i="12"/>
  <c r="J1069" i="12" s="1"/>
  <c r="I1645" i="12"/>
  <c r="J1645" i="12" s="1"/>
  <c r="I961" i="12"/>
  <c r="J961" i="12" s="1"/>
  <c r="I709" i="12"/>
  <c r="J709" i="12" s="1"/>
  <c r="I1177" i="12"/>
  <c r="J1177" i="12" s="1"/>
  <c r="I1753" i="12"/>
  <c r="J1753" i="12" s="1"/>
  <c r="I1573" i="12"/>
  <c r="J1573" i="12" s="1"/>
  <c r="I1717" i="12"/>
  <c r="J1717" i="12" s="1"/>
  <c r="I925" i="12"/>
  <c r="J925" i="12" s="1"/>
  <c r="I889" i="12"/>
  <c r="J889" i="12" s="1"/>
  <c r="I1429" i="12"/>
  <c r="J1429" i="12" s="1"/>
  <c r="I1141" i="12"/>
  <c r="J1141" i="12" s="1"/>
  <c r="I673" i="12"/>
  <c r="J673" i="12" s="1"/>
  <c r="I1465" i="12"/>
  <c r="J1465" i="12" s="1"/>
  <c r="I1285" i="12"/>
  <c r="J1285" i="12" s="1"/>
  <c r="I1537" i="12"/>
  <c r="J1537" i="12" s="1"/>
  <c r="I817" i="12"/>
  <c r="J817" i="12" s="1"/>
  <c r="I781" i="12"/>
  <c r="J781" i="12" s="1"/>
  <c r="I1789" i="12"/>
  <c r="J1789" i="12" s="1"/>
  <c r="I1681" i="12"/>
  <c r="J1681" i="12" s="1"/>
  <c r="I1214" i="12"/>
  <c r="J1214" i="12" s="1"/>
  <c r="I1250" i="12"/>
  <c r="J1250" i="12" s="1"/>
  <c r="I1106" i="12"/>
  <c r="J1106" i="12" s="1"/>
  <c r="I1358" i="12"/>
  <c r="J1358" i="12" s="1"/>
  <c r="I1394" i="12"/>
  <c r="J1394" i="12" s="1"/>
  <c r="I854" i="12"/>
  <c r="J854" i="12" s="1"/>
  <c r="I62" i="12"/>
  <c r="J62" i="12" s="1"/>
  <c r="I1502" i="12"/>
  <c r="J1502" i="12" s="1"/>
  <c r="I1610" i="12"/>
  <c r="J1610" i="12" s="1"/>
  <c r="I746" i="12"/>
  <c r="J746" i="12" s="1"/>
  <c r="I1322" i="12"/>
  <c r="J1322" i="12" s="1"/>
  <c r="I1034" i="12"/>
  <c r="J1034" i="12" s="1"/>
  <c r="I998" i="12"/>
  <c r="J998" i="12" s="1"/>
  <c r="I1070" i="12"/>
  <c r="J1070" i="12" s="1"/>
  <c r="I1646" i="12"/>
  <c r="J1646" i="12" s="1"/>
  <c r="I962" i="12"/>
  <c r="J962" i="12" s="1"/>
  <c r="I710" i="12"/>
  <c r="J710" i="12" s="1"/>
  <c r="I1178" i="12"/>
  <c r="J1178" i="12" s="1"/>
  <c r="I1754" i="12"/>
  <c r="J1754" i="12" s="1"/>
  <c r="I1574" i="12"/>
  <c r="J1574" i="12" s="1"/>
  <c r="I1718" i="12"/>
  <c r="J1718" i="12" s="1"/>
  <c r="I926" i="12"/>
  <c r="J926" i="12" s="1"/>
  <c r="I890" i="12"/>
  <c r="J890" i="12" s="1"/>
  <c r="I1430" i="12"/>
  <c r="J1430" i="12" s="1"/>
  <c r="I1142" i="12"/>
  <c r="J1142" i="12" s="1"/>
  <c r="I674" i="12"/>
  <c r="J674" i="12" s="1"/>
  <c r="I1466" i="12"/>
  <c r="J1466" i="12" s="1"/>
  <c r="I1286" i="12"/>
  <c r="J1286" i="12" s="1"/>
  <c r="I1538" i="12"/>
  <c r="J1538" i="12" s="1"/>
  <c r="I818" i="12"/>
  <c r="J818" i="12" s="1"/>
  <c r="I782" i="12"/>
  <c r="J782" i="12" s="1"/>
  <c r="I1790" i="12"/>
  <c r="J1790" i="12" s="1"/>
  <c r="I1682" i="12"/>
  <c r="J1682" i="12" s="1"/>
  <c r="I1215" i="12"/>
  <c r="J1215" i="12" s="1"/>
  <c r="I1251" i="12"/>
  <c r="J1251" i="12" s="1"/>
  <c r="I1107" i="12"/>
  <c r="J1107" i="12" s="1"/>
  <c r="I1359" i="12"/>
  <c r="J1359" i="12" s="1"/>
  <c r="I1395" i="12"/>
  <c r="J1395" i="12" s="1"/>
  <c r="I855" i="12"/>
  <c r="J855" i="12" s="1"/>
  <c r="I63" i="12"/>
  <c r="J63" i="12" s="1"/>
  <c r="I1503" i="12"/>
  <c r="J1503" i="12" s="1"/>
  <c r="I1611" i="12"/>
  <c r="J1611" i="12" s="1"/>
  <c r="I747" i="12"/>
  <c r="J747" i="12" s="1"/>
  <c r="I1323" i="12"/>
  <c r="J1323" i="12" s="1"/>
  <c r="I1035" i="12"/>
  <c r="J1035" i="12" s="1"/>
  <c r="I999" i="12"/>
  <c r="J999" i="12" s="1"/>
  <c r="I1071" i="12"/>
  <c r="J1071" i="12" s="1"/>
  <c r="I1647" i="12"/>
  <c r="J1647" i="12" s="1"/>
  <c r="I963" i="12"/>
  <c r="J963" i="12" s="1"/>
  <c r="I711" i="12"/>
  <c r="J711" i="12" s="1"/>
  <c r="I1179" i="12"/>
  <c r="J1179" i="12" s="1"/>
  <c r="I1755" i="12"/>
  <c r="J1755" i="12" s="1"/>
  <c r="I1575" i="12"/>
  <c r="J1575" i="12" s="1"/>
  <c r="I1719" i="12"/>
  <c r="J1719" i="12" s="1"/>
  <c r="I927" i="12"/>
  <c r="J927" i="12" s="1"/>
  <c r="I891" i="12"/>
  <c r="J891" i="12" s="1"/>
  <c r="I1431" i="12"/>
  <c r="J1431" i="12" s="1"/>
  <c r="I1143" i="12"/>
  <c r="J1143" i="12" s="1"/>
  <c r="I675" i="12"/>
  <c r="J675" i="12" s="1"/>
  <c r="I1467" i="12"/>
  <c r="J1467" i="12" s="1"/>
  <c r="I1287" i="12"/>
  <c r="J1287" i="12" s="1"/>
  <c r="I1539" i="12"/>
  <c r="J1539" i="12" s="1"/>
  <c r="I819" i="12"/>
  <c r="J819" i="12" s="1"/>
  <c r="I783" i="12"/>
  <c r="J783" i="12" s="1"/>
  <c r="I1791" i="12"/>
  <c r="J1791" i="12" s="1"/>
  <c r="I1683" i="12"/>
  <c r="J1683" i="12" s="1"/>
  <c r="I1216" i="12"/>
  <c r="J1216" i="12" s="1"/>
  <c r="I1252" i="12"/>
  <c r="J1252" i="12" s="1"/>
  <c r="I1108" i="12"/>
  <c r="J1108" i="12" s="1"/>
  <c r="I1360" i="12"/>
  <c r="J1360" i="12" s="1"/>
  <c r="I1396" i="12"/>
  <c r="J1396" i="12" s="1"/>
  <c r="I856" i="12"/>
  <c r="J856" i="12" s="1"/>
  <c r="I64" i="12"/>
  <c r="J64" i="12" s="1"/>
  <c r="I1504" i="12"/>
  <c r="J1504" i="12" s="1"/>
  <c r="I1612" i="12"/>
  <c r="J1612" i="12" s="1"/>
  <c r="I748" i="12"/>
  <c r="J748" i="12" s="1"/>
  <c r="I1324" i="12"/>
  <c r="J1324" i="12" s="1"/>
  <c r="I1036" i="12"/>
  <c r="J1036" i="12" s="1"/>
  <c r="I1000" i="12"/>
  <c r="J1000" i="12" s="1"/>
  <c r="I1072" i="12"/>
  <c r="J1072" i="12" s="1"/>
  <c r="I1648" i="12"/>
  <c r="J1648" i="12" s="1"/>
  <c r="I964" i="12"/>
  <c r="J964" i="12" s="1"/>
  <c r="I712" i="12"/>
  <c r="J712" i="12" s="1"/>
  <c r="I1180" i="12"/>
  <c r="J1180" i="12" s="1"/>
  <c r="I1756" i="12"/>
  <c r="J1756" i="12" s="1"/>
  <c r="I1576" i="12"/>
  <c r="J1576" i="12" s="1"/>
  <c r="I1720" i="12"/>
  <c r="J1720" i="12" s="1"/>
  <c r="I928" i="12"/>
  <c r="J928" i="12" s="1"/>
  <c r="I892" i="12"/>
  <c r="J892" i="12" s="1"/>
  <c r="I1432" i="12"/>
  <c r="J1432" i="12" s="1"/>
  <c r="I1144" i="12"/>
  <c r="J1144" i="12" s="1"/>
  <c r="I676" i="12"/>
  <c r="J676" i="12" s="1"/>
  <c r="I1468" i="12"/>
  <c r="J1468" i="12" s="1"/>
  <c r="I1288" i="12"/>
  <c r="J1288" i="12" s="1"/>
  <c r="I1540" i="12"/>
  <c r="J1540" i="12" s="1"/>
  <c r="I820" i="12"/>
  <c r="J820" i="12" s="1"/>
  <c r="I784" i="12"/>
  <c r="J784" i="12" s="1"/>
  <c r="I1792" i="12"/>
  <c r="J1792" i="12" s="1"/>
  <c r="I1684" i="12"/>
  <c r="J1684" i="12" s="1"/>
  <c r="I1217" i="12"/>
  <c r="J1217" i="12" s="1"/>
  <c r="I1253" i="12"/>
  <c r="J1253" i="12" s="1"/>
  <c r="I1109" i="12"/>
  <c r="J1109" i="12" s="1"/>
  <c r="I1361" i="12"/>
  <c r="J1361" i="12" s="1"/>
  <c r="I1397" i="12"/>
  <c r="J1397" i="12" s="1"/>
  <c r="I857" i="12"/>
  <c r="J857" i="12" s="1"/>
  <c r="I65" i="12"/>
  <c r="J65" i="12" s="1"/>
  <c r="I1505" i="12"/>
  <c r="J1505" i="12" s="1"/>
  <c r="I1613" i="12"/>
  <c r="J1613" i="12" s="1"/>
  <c r="I749" i="12"/>
  <c r="J749" i="12" s="1"/>
  <c r="I1325" i="12"/>
  <c r="J1325" i="12" s="1"/>
  <c r="I1037" i="12"/>
  <c r="J1037" i="12" s="1"/>
  <c r="I1001" i="12"/>
  <c r="J1001" i="12" s="1"/>
  <c r="I1073" i="12"/>
  <c r="J1073" i="12" s="1"/>
  <c r="I1649" i="12"/>
  <c r="J1649" i="12" s="1"/>
  <c r="I965" i="12"/>
  <c r="J965" i="12" s="1"/>
  <c r="I713" i="12"/>
  <c r="J713" i="12" s="1"/>
  <c r="I1181" i="12"/>
  <c r="J1181" i="12" s="1"/>
  <c r="I1757" i="12"/>
  <c r="J1757" i="12" s="1"/>
  <c r="I1577" i="12"/>
  <c r="J1577" i="12" s="1"/>
  <c r="I1721" i="12"/>
  <c r="J1721" i="12" s="1"/>
  <c r="I929" i="12"/>
  <c r="J929" i="12" s="1"/>
  <c r="I893" i="12"/>
  <c r="J893" i="12" s="1"/>
  <c r="I1433" i="12"/>
  <c r="J1433" i="12" s="1"/>
  <c r="I1145" i="12"/>
  <c r="J1145" i="12" s="1"/>
  <c r="I677" i="12"/>
  <c r="J677" i="12" s="1"/>
  <c r="I1469" i="12"/>
  <c r="J1469" i="12" s="1"/>
  <c r="I1289" i="12"/>
  <c r="J1289" i="12" s="1"/>
  <c r="I1541" i="12"/>
  <c r="J1541" i="12" s="1"/>
  <c r="I821" i="12"/>
  <c r="J821" i="12" s="1"/>
  <c r="I785" i="12"/>
  <c r="J785" i="12" s="1"/>
  <c r="I1793" i="12"/>
  <c r="J1793" i="12" s="1"/>
  <c r="I1685" i="12"/>
  <c r="J1685" i="12" s="1"/>
  <c r="I1218" i="12"/>
  <c r="J1218" i="12" s="1"/>
  <c r="I1254" i="12"/>
  <c r="J1254" i="12" s="1"/>
  <c r="I1110" i="12"/>
  <c r="J1110" i="12" s="1"/>
  <c r="I1362" i="12"/>
  <c r="J1362" i="12" s="1"/>
  <c r="I1398" i="12"/>
  <c r="J1398" i="12" s="1"/>
  <c r="I858" i="12"/>
  <c r="J858" i="12" s="1"/>
  <c r="I66" i="12"/>
  <c r="J66" i="12" s="1"/>
  <c r="I1506" i="12"/>
  <c r="J1506" i="12" s="1"/>
  <c r="I1614" i="12"/>
  <c r="J1614" i="12" s="1"/>
  <c r="I750" i="12"/>
  <c r="J750" i="12" s="1"/>
  <c r="I1326" i="12"/>
  <c r="J1326" i="12" s="1"/>
  <c r="I1038" i="12"/>
  <c r="J1038" i="12" s="1"/>
  <c r="I1002" i="12"/>
  <c r="J1002" i="12" s="1"/>
  <c r="I1074" i="12"/>
  <c r="J1074" i="12" s="1"/>
  <c r="I1650" i="12"/>
  <c r="J1650" i="12" s="1"/>
  <c r="I966" i="12"/>
  <c r="J966" i="12" s="1"/>
  <c r="I714" i="12"/>
  <c r="J714" i="12" s="1"/>
  <c r="I1182" i="12"/>
  <c r="J1182" i="12" s="1"/>
  <c r="I1758" i="12"/>
  <c r="J1758" i="12" s="1"/>
  <c r="I1578" i="12"/>
  <c r="J1578" i="12" s="1"/>
  <c r="I1722" i="12"/>
  <c r="J1722" i="12" s="1"/>
  <c r="I930" i="12"/>
  <c r="J930" i="12" s="1"/>
  <c r="I894" i="12"/>
  <c r="J894" i="12" s="1"/>
  <c r="I1434" i="12"/>
  <c r="J1434" i="12" s="1"/>
  <c r="I1146" i="12"/>
  <c r="J1146" i="12" s="1"/>
  <c r="I678" i="12"/>
  <c r="J678" i="12" s="1"/>
  <c r="I1470" i="12"/>
  <c r="J1470" i="12" s="1"/>
  <c r="I1290" i="12"/>
  <c r="J1290" i="12" s="1"/>
  <c r="I1542" i="12"/>
  <c r="J1542" i="12" s="1"/>
  <c r="I822" i="12"/>
  <c r="J822" i="12" s="1"/>
  <c r="I786" i="12"/>
  <c r="J786" i="12" s="1"/>
  <c r="I1794" i="12"/>
  <c r="J1794" i="12" s="1"/>
  <c r="I1686" i="12"/>
  <c r="J1686" i="12" s="1"/>
  <c r="I1219" i="12"/>
  <c r="J1219" i="12" s="1"/>
  <c r="I1255" i="12"/>
  <c r="J1255" i="12" s="1"/>
  <c r="I1111" i="12"/>
  <c r="J1111" i="12" s="1"/>
  <c r="I1363" i="12"/>
  <c r="J1363" i="12" s="1"/>
  <c r="I1399" i="12"/>
  <c r="J1399" i="12" s="1"/>
  <c r="I859" i="12"/>
  <c r="J859" i="12" s="1"/>
  <c r="I67" i="12"/>
  <c r="J67" i="12" s="1"/>
  <c r="I1507" i="12"/>
  <c r="J1507" i="12" s="1"/>
  <c r="I1615" i="12"/>
  <c r="J1615" i="12" s="1"/>
  <c r="I751" i="12"/>
  <c r="J751" i="12" s="1"/>
  <c r="I1327" i="12"/>
  <c r="J1327" i="12" s="1"/>
  <c r="I1039" i="12"/>
  <c r="J1039" i="12" s="1"/>
  <c r="I1003" i="12"/>
  <c r="J1003" i="12" s="1"/>
  <c r="I1075" i="12"/>
  <c r="J1075" i="12" s="1"/>
  <c r="I1651" i="12"/>
  <c r="J1651" i="12" s="1"/>
  <c r="I967" i="12"/>
  <c r="J967" i="12" s="1"/>
  <c r="I715" i="12"/>
  <c r="J715" i="12" s="1"/>
  <c r="I1183" i="12"/>
  <c r="J1183" i="12" s="1"/>
  <c r="I1759" i="12"/>
  <c r="J1759" i="12" s="1"/>
  <c r="I1579" i="12"/>
  <c r="J1579" i="12" s="1"/>
  <c r="I1723" i="12"/>
  <c r="J1723" i="12" s="1"/>
  <c r="I931" i="12"/>
  <c r="J931" i="12" s="1"/>
  <c r="I895" i="12"/>
  <c r="J895" i="12" s="1"/>
  <c r="I1435" i="12"/>
  <c r="J1435" i="12" s="1"/>
  <c r="I1147" i="12"/>
  <c r="J1147" i="12" s="1"/>
  <c r="I679" i="12"/>
  <c r="J679" i="12" s="1"/>
  <c r="I1471" i="12"/>
  <c r="J1471" i="12" s="1"/>
  <c r="I1291" i="12"/>
  <c r="J1291" i="12" s="1"/>
  <c r="I1543" i="12"/>
  <c r="J1543" i="12" s="1"/>
  <c r="I823" i="12"/>
  <c r="J823" i="12" s="1"/>
  <c r="I787" i="12"/>
  <c r="J787" i="12" s="1"/>
  <c r="I1795" i="12"/>
  <c r="J1795" i="12" s="1"/>
  <c r="I1687" i="12"/>
  <c r="J1687" i="12" s="1"/>
  <c r="I1220" i="12"/>
  <c r="J1220" i="12" s="1"/>
  <c r="I1256" i="12"/>
  <c r="J1256" i="12" s="1"/>
  <c r="I1112" i="12"/>
  <c r="J1112" i="12" s="1"/>
  <c r="I1364" i="12"/>
  <c r="J1364" i="12" s="1"/>
  <c r="I1400" i="12"/>
  <c r="J1400" i="12" s="1"/>
  <c r="I860" i="12"/>
  <c r="J860" i="12" s="1"/>
  <c r="I68" i="12"/>
  <c r="J68" i="12" s="1"/>
  <c r="I1508" i="12"/>
  <c r="J1508" i="12" s="1"/>
  <c r="I1616" i="12"/>
  <c r="J1616" i="12" s="1"/>
  <c r="I752" i="12"/>
  <c r="J752" i="12" s="1"/>
  <c r="I1328" i="12"/>
  <c r="J1328" i="12" s="1"/>
  <c r="I1040" i="12"/>
  <c r="J1040" i="12" s="1"/>
  <c r="I1004" i="12"/>
  <c r="J1004" i="12" s="1"/>
  <c r="I1076" i="12"/>
  <c r="J1076" i="12" s="1"/>
  <c r="I1652" i="12"/>
  <c r="J1652" i="12" s="1"/>
  <c r="I968" i="12"/>
  <c r="J968" i="12" s="1"/>
  <c r="I716" i="12"/>
  <c r="J716" i="12" s="1"/>
  <c r="I1184" i="12"/>
  <c r="J1184" i="12" s="1"/>
  <c r="I1760" i="12"/>
  <c r="J1760" i="12" s="1"/>
  <c r="I1580" i="12"/>
  <c r="J1580" i="12" s="1"/>
  <c r="I1724" i="12"/>
  <c r="J1724" i="12" s="1"/>
  <c r="I932" i="12"/>
  <c r="J932" i="12" s="1"/>
  <c r="I896" i="12"/>
  <c r="J896" i="12" s="1"/>
  <c r="I1436" i="12"/>
  <c r="J1436" i="12" s="1"/>
  <c r="I1148" i="12"/>
  <c r="J1148" i="12" s="1"/>
  <c r="I680" i="12"/>
  <c r="J680" i="12" s="1"/>
  <c r="I1472" i="12"/>
  <c r="J1472" i="12" s="1"/>
  <c r="I1292" i="12"/>
  <c r="J1292" i="12" s="1"/>
  <c r="I1544" i="12"/>
  <c r="J1544" i="12" s="1"/>
  <c r="I824" i="12"/>
  <c r="J824" i="12" s="1"/>
  <c r="I788" i="12"/>
  <c r="J788" i="12" s="1"/>
  <c r="I1796" i="12"/>
  <c r="J1796" i="12" s="1"/>
  <c r="I1688" i="12"/>
  <c r="J1688" i="12" s="1"/>
  <c r="I1221" i="12"/>
  <c r="J1221" i="12" s="1"/>
  <c r="I1257" i="12"/>
  <c r="J1257" i="12" s="1"/>
  <c r="I1113" i="12"/>
  <c r="J1113" i="12" s="1"/>
  <c r="I1365" i="12"/>
  <c r="J1365" i="12" s="1"/>
  <c r="I1401" i="12"/>
  <c r="J1401" i="12" s="1"/>
  <c r="I861" i="12"/>
  <c r="J861" i="12" s="1"/>
  <c r="I69" i="12"/>
  <c r="J69" i="12" s="1"/>
  <c r="I1509" i="12"/>
  <c r="J1509" i="12" s="1"/>
  <c r="I1617" i="12"/>
  <c r="J1617" i="12" s="1"/>
  <c r="I753" i="12"/>
  <c r="J753" i="12" s="1"/>
  <c r="I1329" i="12"/>
  <c r="J1329" i="12" s="1"/>
  <c r="I1041" i="12"/>
  <c r="J1041" i="12" s="1"/>
  <c r="I1005" i="12"/>
  <c r="J1005" i="12" s="1"/>
  <c r="I1077" i="12"/>
  <c r="J1077" i="12" s="1"/>
  <c r="I1653" i="12"/>
  <c r="J1653" i="12" s="1"/>
  <c r="I969" i="12"/>
  <c r="J969" i="12" s="1"/>
  <c r="I717" i="12"/>
  <c r="J717" i="12" s="1"/>
  <c r="I1185" i="12"/>
  <c r="J1185" i="12" s="1"/>
  <c r="I1761" i="12"/>
  <c r="J1761" i="12" s="1"/>
  <c r="I1581" i="12"/>
  <c r="J1581" i="12" s="1"/>
  <c r="I1725" i="12"/>
  <c r="J1725" i="12" s="1"/>
  <c r="I933" i="12"/>
  <c r="J933" i="12" s="1"/>
  <c r="I897" i="12"/>
  <c r="J897" i="12" s="1"/>
  <c r="I1437" i="12"/>
  <c r="J1437" i="12" s="1"/>
  <c r="I1149" i="12"/>
  <c r="J1149" i="12" s="1"/>
  <c r="I681" i="12"/>
  <c r="J681" i="12" s="1"/>
  <c r="I1473" i="12"/>
  <c r="J1473" i="12" s="1"/>
  <c r="I1293" i="12"/>
  <c r="J1293" i="12" s="1"/>
  <c r="I1545" i="12"/>
  <c r="J1545" i="12" s="1"/>
  <c r="I825" i="12"/>
  <c r="J825" i="12" s="1"/>
  <c r="I789" i="12"/>
  <c r="J789" i="12" s="1"/>
  <c r="I1797" i="12"/>
  <c r="J1797" i="12" s="1"/>
  <c r="I1689" i="12"/>
  <c r="J1689" i="12" s="1"/>
  <c r="I1222" i="12"/>
  <c r="J1222" i="12" s="1"/>
  <c r="I1258" i="12"/>
  <c r="J1258" i="12" s="1"/>
  <c r="I1114" i="12"/>
  <c r="J1114" i="12" s="1"/>
  <c r="I1366" i="12"/>
  <c r="J1366" i="12" s="1"/>
  <c r="I1402" i="12"/>
  <c r="J1402" i="12" s="1"/>
  <c r="I862" i="12"/>
  <c r="J862" i="12" s="1"/>
  <c r="I70" i="12"/>
  <c r="J70" i="12" s="1"/>
  <c r="I1510" i="12"/>
  <c r="J1510" i="12" s="1"/>
  <c r="I1618" i="12"/>
  <c r="J1618" i="12" s="1"/>
  <c r="I754" i="12"/>
  <c r="J754" i="12" s="1"/>
  <c r="I1330" i="12"/>
  <c r="J1330" i="12" s="1"/>
  <c r="I1042" i="12"/>
  <c r="J1042" i="12" s="1"/>
  <c r="I1006" i="12"/>
  <c r="J1006" i="12" s="1"/>
  <c r="I1078" i="12"/>
  <c r="J1078" i="12" s="1"/>
  <c r="I1654" i="12"/>
  <c r="J1654" i="12" s="1"/>
  <c r="I970" i="12"/>
  <c r="J970" i="12" s="1"/>
  <c r="I718" i="12"/>
  <c r="J718" i="12" s="1"/>
  <c r="I1186" i="12"/>
  <c r="J1186" i="12" s="1"/>
  <c r="I1762" i="12"/>
  <c r="J1762" i="12" s="1"/>
  <c r="I1582" i="12"/>
  <c r="J1582" i="12" s="1"/>
  <c r="I1726" i="12"/>
  <c r="J1726" i="12" s="1"/>
  <c r="I934" i="12"/>
  <c r="J934" i="12" s="1"/>
  <c r="I898" i="12"/>
  <c r="J898" i="12" s="1"/>
  <c r="I1438" i="12"/>
  <c r="J1438" i="12" s="1"/>
  <c r="I1150" i="12"/>
  <c r="J1150" i="12" s="1"/>
  <c r="I682" i="12"/>
  <c r="J682" i="12" s="1"/>
  <c r="I1474" i="12"/>
  <c r="J1474" i="12" s="1"/>
  <c r="I1294" i="12"/>
  <c r="J1294" i="12" s="1"/>
  <c r="I1546" i="12"/>
  <c r="J1546" i="12" s="1"/>
  <c r="I826" i="12"/>
  <c r="J826" i="12" s="1"/>
  <c r="I790" i="12"/>
  <c r="J790" i="12" s="1"/>
  <c r="I1798" i="12"/>
  <c r="J1798" i="12" s="1"/>
  <c r="I1690" i="12"/>
  <c r="J1690" i="12" s="1"/>
  <c r="I1223" i="12"/>
  <c r="J1223" i="12" s="1"/>
  <c r="I1259" i="12"/>
  <c r="J1259" i="12" s="1"/>
  <c r="I1115" i="12"/>
  <c r="J1115" i="12" s="1"/>
  <c r="I1367" i="12"/>
  <c r="J1367" i="12" s="1"/>
  <c r="I1403" i="12"/>
  <c r="J1403" i="12" s="1"/>
  <c r="I863" i="12"/>
  <c r="J863" i="12" s="1"/>
  <c r="I71" i="12"/>
  <c r="J71" i="12" s="1"/>
  <c r="I1511" i="12"/>
  <c r="J1511" i="12" s="1"/>
  <c r="I1619" i="12"/>
  <c r="J1619" i="12" s="1"/>
  <c r="I755" i="12"/>
  <c r="J755" i="12" s="1"/>
  <c r="I1331" i="12"/>
  <c r="J1331" i="12" s="1"/>
  <c r="I1043" i="12"/>
  <c r="J1043" i="12" s="1"/>
  <c r="I1007" i="12"/>
  <c r="J1007" i="12" s="1"/>
  <c r="I1079" i="12"/>
  <c r="J1079" i="12" s="1"/>
  <c r="I1655" i="12"/>
  <c r="J1655" i="12" s="1"/>
  <c r="I971" i="12"/>
  <c r="J971" i="12" s="1"/>
  <c r="I719" i="12"/>
  <c r="J719" i="12" s="1"/>
  <c r="I1187" i="12"/>
  <c r="J1187" i="12" s="1"/>
  <c r="I1763" i="12"/>
  <c r="J1763" i="12" s="1"/>
  <c r="I1583" i="12"/>
  <c r="J1583" i="12" s="1"/>
  <c r="I1727" i="12"/>
  <c r="J1727" i="12" s="1"/>
  <c r="I935" i="12"/>
  <c r="J935" i="12" s="1"/>
  <c r="I899" i="12"/>
  <c r="J899" i="12" s="1"/>
  <c r="I1439" i="12"/>
  <c r="J1439" i="12" s="1"/>
  <c r="I1151" i="12"/>
  <c r="J1151" i="12" s="1"/>
  <c r="I683" i="12"/>
  <c r="J683" i="12" s="1"/>
  <c r="I1475" i="12"/>
  <c r="J1475" i="12" s="1"/>
  <c r="I1295" i="12"/>
  <c r="J1295" i="12" s="1"/>
  <c r="I1547" i="12"/>
  <c r="J1547" i="12" s="1"/>
  <c r="I827" i="12"/>
  <c r="J827" i="12" s="1"/>
  <c r="I791" i="12"/>
  <c r="J791" i="12" s="1"/>
  <c r="I1799" i="12"/>
  <c r="J1799" i="12" s="1"/>
  <c r="I1691" i="12"/>
  <c r="J1691" i="12" s="1"/>
  <c r="I1224" i="12"/>
  <c r="J1224" i="12" s="1"/>
  <c r="I1260" i="12"/>
  <c r="J1260" i="12" s="1"/>
  <c r="I1116" i="12"/>
  <c r="J1116" i="12" s="1"/>
  <c r="I1368" i="12"/>
  <c r="J1368" i="12" s="1"/>
  <c r="I1404" i="12"/>
  <c r="J1404" i="12" s="1"/>
  <c r="I864" i="12"/>
  <c r="J864" i="12" s="1"/>
  <c r="I72" i="12"/>
  <c r="J72" i="12" s="1"/>
  <c r="I1512" i="12"/>
  <c r="J1512" i="12" s="1"/>
  <c r="I1620" i="12"/>
  <c r="J1620" i="12" s="1"/>
  <c r="I756" i="12"/>
  <c r="J756" i="12" s="1"/>
  <c r="I1332" i="12"/>
  <c r="J1332" i="12" s="1"/>
  <c r="I1044" i="12"/>
  <c r="J1044" i="12" s="1"/>
  <c r="I1008" i="12"/>
  <c r="J1008" i="12" s="1"/>
  <c r="I1080" i="12"/>
  <c r="J1080" i="12" s="1"/>
  <c r="I1656" i="12"/>
  <c r="J1656" i="12" s="1"/>
  <c r="I972" i="12"/>
  <c r="J972" i="12" s="1"/>
  <c r="I720" i="12"/>
  <c r="J720" i="12" s="1"/>
  <c r="I1188" i="12"/>
  <c r="J1188" i="12" s="1"/>
  <c r="I1764" i="12"/>
  <c r="J1764" i="12" s="1"/>
  <c r="I1584" i="12"/>
  <c r="J1584" i="12" s="1"/>
  <c r="I1728" i="12"/>
  <c r="J1728" i="12" s="1"/>
  <c r="I936" i="12"/>
  <c r="J936" i="12" s="1"/>
  <c r="I900" i="12"/>
  <c r="J900" i="12" s="1"/>
  <c r="I1440" i="12"/>
  <c r="J1440" i="12" s="1"/>
  <c r="I1152" i="12"/>
  <c r="J1152" i="12" s="1"/>
  <c r="I684" i="12"/>
  <c r="J684" i="12" s="1"/>
  <c r="I1476" i="12"/>
  <c r="J1476" i="12" s="1"/>
  <c r="I1296" i="12"/>
  <c r="J1296" i="12" s="1"/>
  <c r="I1548" i="12"/>
  <c r="J1548" i="12" s="1"/>
  <c r="I828" i="12"/>
  <c r="J828" i="12" s="1"/>
  <c r="I792" i="12"/>
  <c r="J792" i="12" s="1"/>
  <c r="I1800" i="12"/>
  <c r="J1800" i="12" s="1"/>
  <c r="I1692" i="12"/>
  <c r="J1692" i="12" s="1"/>
  <c r="I1225" i="12"/>
  <c r="J1225" i="12" s="1"/>
  <c r="I1261" i="12"/>
  <c r="J1261" i="12" s="1"/>
  <c r="I1117" i="12"/>
  <c r="J1117" i="12" s="1"/>
  <c r="I1369" i="12"/>
  <c r="J1369" i="12" s="1"/>
  <c r="I1405" i="12"/>
  <c r="J1405" i="12" s="1"/>
  <c r="I865" i="12"/>
  <c r="J865" i="12" s="1"/>
  <c r="I73" i="12"/>
  <c r="J73" i="12" s="1"/>
  <c r="I1513" i="12"/>
  <c r="J1513" i="12" s="1"/>
  <c r="I1621" i="12"/>
  <c r="J1621" i="12" s="1"/>
  <c r="I757" i="12"/>
  <c r="J757" i="12" s="1"/>
  <c r="I1333" i="12"/>
  <c r="J1333" i="12" s="1"/>
  <c r="I1045" i="12"/>
  <c r="J1045" i="12" s="1"/>
  <c r="I1009" i="12"/>
  <c r="J1009" i="12" s="1"/>
  <c r="I1081" i="12"/>
  <c r="J1081" i="12" s="1"/>
  <c r="I1657" i="12"/>
  <c r="J1657" i="12" s="1"/>
  <c r="I973" i="12"/>
  <c r="J973" i="12" s="1"/>
  <c r="I721" i="12"/>
  <c r="J721" i="12" s="1"/>
  <c r="I1189" i="12"/>
  <c r="J1189" i="12" s="1"/>
  <c r="I1765" i="12"/>
  <c r="J1765" i="12" s="1"/>
  <c r="I1585" i="12"/>
  <c r="J1585" i="12" s="1"/>
  <c r="I1729" i="12"/>
  <c r="J1729" i="12" s="1"/>
  <c r="I937" i="12"/>
  <c r="J937" i="12" s="1"/>
  <c r="I901" i="12"/>
  <c r="J901" i="12" s="1"/>
  <c r="I1441" i="12"/>
  <c r="J1441" i="12" s="1"/>
  <c r="I1153" i="12"/>
  <c r="J1153" i="12" s="1"/>
  <c r="I685" i="12"/>
  <c r="J685" i="12" s="1"/>
  <c r="I1477" i="12"/>
  <c r="J1477" i="12" s="1"/>
  <c r="I1297" i="12"/>
  <c r="J1297" i="12" s="1"/>
  <c r="I1549" i="12"/>
  <c r="J1549" i="12" s="1"/>
  <c r="I829" i="12"/>
  <c r="J829" i="12" s="1"/>
  <c r="I793" i="12"/>
  <c r="J793" i="12" s="1"/>
  <c r="I1801" i="12"/>
  <c r="J1801" i="12" s="1"/>
  <c r="I1693" i="12"/>
  <c r="J1693" i="12" s="1"/>
  <c r="I2810" i="12"/>
  <c r="I2738" i="12"/>
  <c r="I2558" i="12"/>
  <c r="I2414" i="12"/>
  <c r="I2702" i="12"/>
  <c r="I2846" i="12"/>
  <c r="J2846" i="12" s="1"/>
  <c r="I2918" i="12"/>
  <c r="J2918" i="12" s="1"/>
  <c r="I2486" i="12"/>
  <c r="I2666" i="12"/>
  <c r="I2306" i="12"/>
  <c r="J2306" i="12" s="1"/>
  <c r="I2450" i="12"/>
  <c r="I2342" i="12"/>
  <c r="I2630" i="12"/>
  <c r="I2774" i="12"/>
  <c r="I2594" i="12"/>
  <c r="I2882" i="12"/>
  <c r="I2522" i="12"/>
  <c r="J2522" i="12" s="1"/>
  <c r="I2378" i="12"/>
  <c r="J2378" i="12" s="1"/>
  <c r="I2270" i="12"/>
  <c r="J2270" i="12" s="1"/>
  <c r="I2811" i="12"/>
  <c r="J2811" i="12" s="1"/>
  <c r="I2739" i="12"/>
  <c r="J2739" i="12" s="1"/>
  <c r="I2559" i="12"/>
  <c r="J2559" i="12" s="1"/>
  <c r="I2415" i="12"/>
  <c r="J2415" i="12" s="1"/>
  <c r="I2703" i="12"/>
  <c r="J2703" i="12" s="1"/>
  <c r="I2847" i="12"/>
  <c r="J2847" i="12" s="1"/>
  <c r="I2919" i="12"/>
  <c r="J2919" i="12" s="1"/>
  <c r="I2487" i="12"/>
  <c r="J2487" i="12" s="1"/>
  <c r="I2667" i="12"/>
  <c r="J2667" i="12" s="1"/>
  <c r="I2307" i="12"/>
  <c r="J2307" i="12" s="1"/>
  <c r="I2451" i="12"/>
  <c r="J2451" i="12" s="1"/>
  <c r="I2343" i="12"/>
  <c r="J2343" i="12" s="1"/>
  <c r="I2631" i="12"/>
  <c r="J2631" i="12" s="1"/>
  <c r="I2775" i="12"/>
  <c r="J2775" i="12" s="1"/>
  <c r="I2595" i="12"/>
  <c r="J2595" i="12" s="1"/>
  <c r="I2883" i="12"/>
  <c r="J2883" i="12" s="1"/>
  <c r="I2523" i="12"/>
  <c r="J2523" i="12" s="1"/>
  <c r="I2379" i="12"/>
  <c r="J2379" i="12" s="1"/>
  <c r="I2271" i="12"/>
  <c r="J2271" i="12" s="1"/>
  <c r="I2812" i="12"/>
  <c r="J2812" i="12" s="1"/>
  <c r="I2740" i="12"/>
  <c r="J2740" i="12" s="1"/>
  <c r="I2560" i="12"/>
  <c r="J2560" i="12" s="1"/>
  <c r="I2416" i="12"/>
  <c r="J2416" i="12" s="1"/>
  <c r="I2704" i="12"/>
  <c r="J2704" i="12" s="1"/>
  <c r="I2848" i="12"/>
  <c r="J2848" i="12" s="1"/>
  <c r="I2920" i="12"/>
  <c r="J2920" i="12" s="1"/>
  <c r="I2488" i="12"/>
  <c r="J2488" i="12" s="1"/>
  <c r="I2668" i="12"/>
  <c r="J2668" i="12" s="1"/>
  <c r="I2308" i="12"/>
  <c r="J2308" i="12" s="1"/>
  <c r="I2452" i="12"/>
  <c r="J2452" i="12" s="1"/>
  <c r="I2344" i="12"/>
  <c r="J2344" i="12" s="1"/>
  <c r="I2632" i="12"/>
  <c r="J2632" i="12" s="1"/>
  <c r="I2776" i="12"/>
  <c r="J2776" i="12" s="1"/>
  <c r="I2596" i="12"/>
  <c r="J2596" i="12" s="1"/>
  <c r="I2884" i="12"/>
  <c r="J2884" i="12" s="1"/>
  <c r="I2524" i="12"/>
  <c r="J2524" i="12" s="1"/>
  <c r="I2380" i="12"/>
  <c r="J2380" i="12" s="1"/>
  <c r="I2272" i="12"/>
  <c r="J2272" i="12" s="1"/>
  <c r="I2813" i="12"/>
  <c r="J2813" i="12" s="1"/>
  <c r="I2741" i="12"/>
  <c r="J2741" i="12" s="1"/>
  <c r="I2561" i="12"/>
  <c r="J2561" i="12" s="1"/>
  <c r="I2417" i="12"/>
  <c r="J2417" i="12" s="1"/>
  <c r="I2705" i="12"/>
  <c r="J2705" i="12" s="1"/>
  <c r="I2849" i="12"/>
  <c r="J2849" i="12" s="1"/>
  <c r="I2921" i="12"/>
  <c r="J2921" i="12" s="1"/>
  <c r="I2489" i="12"/>
  <c r="J2489" i="12" s="1"/>
  <c r="I2669" i="12"/>
  <c r="J2669" i="12" s="1"/>
  <c r="I2309" i="12"/>
  <c r="J2309" i="12" s="1"/>
  <c r="I2453" i="12"/>
  <c r="J2453" i="12" s="1"/>
  <c r="I2345" i="12"/>
  <c r="J2345" i="12" s="1"/>
  <c r="I2633" i="12"/>
  <c r="J2633" i="12" s="1"/>
  <c r="I2777" i="12"/>
  <c r="J2777" i="12" s="1"/>
  <c r="I2597" i="12"/>
  <c r="J2597" i="12" s="1"/>
  <c r="I2885" i="12"/>
  <c r="J2885" i="12" s="1"/>
  <c r="I2525" i="12"/>
  <c r="J2525" i="12" s="1"/>
  <c r="I2381" i="12"/>
  <c r="J2381" i="12" s="1"/>
  <c r="I2273" i="12"/>
  <c r="J2273" i="12" s="1"/>
  <c r="I2814" i="12"/>
  <c r="J2814" i="12" s="1"/>
  <c r="I2742" i="12"/>
  <c r="J2742" i="12" s="1"/>
  <c r="I2562" i="12"/>
  <c r="J2562" i="12" s="1"/>
  <c r="I2418" i="12"/>
  <c r="J2418" i="12" s="1"/>
  <c r="I2706" i="12"/>
  <c r="J2706" i="12" s="1"/>
  <c r="I2850" i="12"/>
  <c r="J2850" i="12" s="1"/>
  <c r="I2922" i="12"/>
  <c r="J2922" i="12" s="1"/>
  <c r="I2490" i="12"/>
  <c r="J2490" i="12" s="1"/>
  <c r="I2670" i="12"/>
  <c r="J2670" i="12" s="1"/>
  <c r="I2310" i="12"/>
  <c r="J2310" i="12" s="1"/>
  <c r="I2454" i="12"/>
  <c r="J2454" i="12" s="1"/>
  <c r="I2346" i="12"/>
  <c r="J2346" i="12" s="1"/>
  <c r="I2634" i="12"/>
  <c r="J2634" i="12" s="1"/>
  <c r="I2778" i="12"/>
  <c r="J2778" i="12" s="1"/>
  <c r="I2598" i="12"/>
  <c r="J2598" i="12" s="1"/>
  <c r="I2886" i="12"/>
  <c r="J2886" i="12" s="1"/>
  <c r="I2526" i="12"/>
  <c r="J2526" i="12" s="1"/>
  <c r="I2382" i="12"/>
  <c r="J2382" i="12" s="1"/>
  <c r="I2274" i="12"/>
  <c r="J2274" i="12" s="1"/>
  <c r="I2815" i="12"/>
  <c r="J2815" i="12" s="1"/>
  <c r="I2743" i="12"/>
  <c r="J2743" i="12" s="1"/>
  <c r="I2563" i="12"/>
  <c r="J2563" i="12" s="1"/>
  <c r="I2419" i="12"/>
  <c r="J2419" i="12" s="1"/>
  <c r="I2707" i="12"/>
  <c r="J2707" i="12" s="1"/>
  <c r="I2851" i="12"/>
  <c r="J2851" i="12" s="1"/>
  <c r="I2923" i="12"/>
  <c r="J2923" i="12" s="1"/>
  <c r="I2491" i="12"/>
  <c r="J2491" i="12" s="1"/>
  <c r="I2671" i="12"/>
  <c r="J2671" i="12" s="1"/>
  <c r="I2311" i="12"/>
  <c r="J2311" i="12" s="1"/>
  <c r="I2455" i="12"/>
  <c r="J2455" i="12" s="1"/>
  <c r="I2347" i="12"/>
  <c r="J2347" i="12" s="1"/>
  <c r="I2635" i="12"/>
  <c r="J2635" i="12" s="1"/>
  <c r="I2779" i="12"/>
  <c r="J2779" i="12" s="1"/>
  <c r="I2599" i="12"/>
  <c r="J2599" i="12" s="1"/>
  <c r="I2887" i="12"/>
  <c r="J2887" i="12" s="1"/>
  <c r="I2527" i="12"/>
  <c r="J2527" i="12" s="1"/>
  <c r="I2383" i="12"/>
  <c r="J2383" i="12" s="1"/>
  <c r="I2275" i="12"/>
  <c r="J2275" i="12" s="1"/>
  <c r="I2816" i="12"/>
  <c r="J2816" i="12" s="1"/>
  <c r="I2744" i="12"/>
  <c r="J2744" i="12" s="1"/>
  <c r="I2564" i="12"/>
  <c r="J2564" i="12" s="1"/>
  <c r="I2420" i="12"/>
  <c r="J2420" i="12" s="1"/>
  <c r="I2708" i="12"/>
  <c r="J2708" i="12" s="1"/>
  <c r="I2852" i="12"/>
  <c r="J2852" i="12" s="1"/>
  <c r="I2924" i="12"/>
  <c r="J2924" i="12" s="1"/>
  <c r="I2492" i="12"/>
  <c r="J2492" i="12" s="1"/>
  <c r="I2672" i="12"/>
  <c r="J2672" i="12" s="1"/>
  <c r="I2312" i="12"/>
  <c r="J2312" i="12" s="1"/>
  <c r="I2456" i="12"/>
  <c r="J2456" i="12" s="1"/>
  <c r="I2348" i="12"/>
  <c r="J2348" i="12" s="1"/>
  <c r="I2636" i="12"/>
  <c r="J2636" i="12" s="1"/>
  <c r="I2780" i="12"/>
  <c r="J2780" i="12" s="1"/>
  <c r="I2600" i="12"/>
  <c r="J2600" i="12" s="1"/>
  <c r="I2888" i="12"/>
  <c r="J2888" i="12" s="1"/>
  <c r="I2528" i="12"/>
  <c r="J2528" i="12" s="1"/>
  <c r="I2384" i="12"/>
  <c r="J2384" i="12" s="1"/>
  <c r="I2276" i="12"/>
  <c r="J2276" i="12" s="1"/>
  <c r="I2817" i="12"/>
  <c r="J2817" i="12" s="1"/>
  <c r="I2745" i="12"/>
  <c r="J2745" i="12" s="1"/>
  <c r="I2565" i="12"/>
  <c r="J2565" i="12" s="1"/>
  <c r="I2421" i="12"/>
  <c r="J2421" i="12" s="1"/>
  <c r="I2709" i="12"/>
  <c r="J2709" i="12" s="1"/>
  <c r="I2853" i="12"/>
  <c r="J2853" i="12" s="1"/>
  <c r="I2925" i="12"/>
  <c r="J2925" i="12" s="1"/>
  <c r="I2493" i="12"/>
  <c r="J2493" i="12" s="1"/>
  <c r="I2673" i="12"/>
  <c r="J2673" i="12" s="1"/>
  <c r="I2313" i="12"/>
  <c r="J2313" i="12" s="1"/>
  <c r="I2457" i="12"/>
  <c r="J2457" i="12" s="1"/>
  <c r="I2349" i="12"/>
  <c r="J2349" i="12" s="1"/>
  <c r="I2637" i="12"/>
  <c r="J2637" i="12" s="1"/>
  <c r="I2781" i="12"/>
  <c r="J2781" i="12" s="1"/>
  <c r="I2601" i="12"/>
  <c r="J2601" i="12" s="1"/>
  <c r="I2889" i="12"/>
  <c r="J2889" i="12" s="1"/>
  <c r="I2529" i="12"/>
  <c r="J2529" i="12" s="1"/>
  <c r="I2385" i="12"/>
  <c r="J2385" i="12" s="1"/>
  <c r="I2277" i="12"/>
  <c r="J2277" i="12" s="1"/>
  <c r="I2818" i="12"/>
  <c r="J2818" i="12" s="1"/>
  <c r="I2746" i="12"/>
  <c r="J2746" i="12" s="1"/>
  <c r="I2566" i="12"/>
  <c r="J2566" i="12" s="1"/>
  <c r="I2422" i="12"/>
  <c r="J2422" i="12" s="1"/>
  <c r="I2710" i="12"/>
  <c r="J2710" i="12" s="1"/>
  <c r="I2854" i="12"/>
  <c r="J2854" i="12" s="1"/>
  <c r="I2926" i="12"/>
  <c r="J2926" i="12" s="1"/>
  <c r="I2494" i="12"/>
  <c r="J2494" i="12" s="1"/>
  <c r="I2674" i="12"/>
  <c r="J2674" i="12" s="1"/>
  <c r="I2314" i="12"/>
  <c r="J2314" i="12" s="1"/>
  <c r="I2458" i="12"/>
  <c r="J2458" i="12" s="1"/>
  <c r="I2350" i="12"/>
  <c r="J2350" i="12" s="1"/>
  <c r="I2638" i="12"/>
  <c r="J2638" i="12" s="1"/>
  <c r="I2782" i="12"/>
  <c r="J2782" i="12" s="1"/>
  <c r="I2602" i="12"/>
  <c r="J2602" i="12" s="1"/>
  <c r="I2890" i="12"/>
  <c r="J2890" i="12" s="1"/>
  <c r="I2530" i="12"/>
  <c r="J2530" i="12" s="1"/>
  <c r="I2386" i="12"/>
  <c r="J2386" i="12" s="1"/>
  <c r="I2278" i="12"/>
  <c r="J2278" i="12" s="1"/>
  <c r="I2819" i="12"/>
  <c r="J2819" i="12" s="1"/>
  <c r="I2747" i="12"/>
  <c r="J2747" i="12" s="1"/>
  <c r="I2567" i="12"/>
  <c r="J2567" i="12" s="1"/>
  <c r="I2423" i="12"/>
  <c r="J2423" i="12" s="1"/>
  <c r="I2711" i="12"/>
  <c r="J2711" i="12" s="1"/>
  <c r="I2855" i="12"/>
  <c r="J2855" i="12" s="1"/>
  <c r="I2927" i="12"/>
  <c r="J2927" i="12" s="1"/>
  <c r="I2495" i="12"/>
  <c r="J2495" i="12" s="1"/>
  <c r="I2675" i="12"/>
  <c r="J2675" i="12" s="1"/>
  <c r="I2315" i="12"/>
  <c r="J2315" i="12" s="1"/>
  <c r="I2459" i="12"/>
  <c r="J2459" i="12" s="1"/>
  <c r="I2351" i="12"/>
  <c r="J2351" i="12" s="1"/>
  <c r="I2639" i="12"/>
  <c r="J2639" i="12" s="1"/>
  <c r="I2783" i="12"/>
  <c r="J2783" i="12" s="1"/>
  <c r="I2603" i="12"/>
  <c r="J2603" i="12" s="1"/>
  <c r="I2891" i="12"/>
  <c r="J2891" i="12" s="1"/>
  <c r="I2531" i="12"/>
  <c r="J2531" i="12" s="1"/>
  <c r="I2387" i="12"/>
  <c r="J2387" i="12" s="1"/>
  <c r="I2279" i="12"/>
  <c r="J2279" i="12" s="1"/>
  <c r="I2820" i="12"/>
  <c r="J2820" i="12" s="1"/>
  <c r="I2748" i="12"/>
  <c r="J2748" i="12" s="1"/>
  <c r="I2568" i="12"/>
  <c r="J2568" i="12" s="1"/>
  <c r="I2424" i="12"/>
  <c r="J2424" i="12" s="1"/>
  <c r="I2712" i="12"/>
  <c r="J2712" i="12" s="1"/>
  <c r="I2856" i="12"/>
  <c r="J2856" i="12" s="1"/>
  <c r="I2928" i="12"/>
  <c r="J2928" i="12" s="1"/>
  <c r="I2496" i="12"/>
  <c r="J2496" i="12" s="1"/>
  <c r="I2676" i="12"/>
  <c r="J2676" i="12" s="1"/>
  <c r="I2316" i="12"/>
  <c r="J2316" i="12" s="1"/>
  <c r="I2460" i="12"/>
  <c r="J2460" i="12" s="1"/>
  <c r="I2352" i="12"/>
  <c r="J2352" i="12" s="1"/>
  <c r="I2640" i="12"/>
  <c r="J2640" i="12" s="1"/>
  <c r="I2784" i="12"/>
  <c r="J2784" i="12" s="1"/>
  <c r="I2604" i="12"/>
  <c r="J2604" i="12" s="1"/>
  <c r="I2892" i="12"/>
  <c r="J2892" i="12" s="1"/>
  <c r="I2532" i="12"/>
  <c r="J2532" i="12" s="1"/>
  <c r="I2388" i="12"/>
  <c r="J2388" i="12" s="1"/>
  <c r="I2280" i="12"/>
  <c r="J2280" i="12" s="1"/>
  <c r="I2821" i="12"/>
  <c r="J2821" i="12" s="1"/>
  <c r="I2749" i="12"/>
  <c r="J2749" i="12" s="1"/>
  <c r="I2569" i="12"/>
  <c r="J2569" i="12" s="1"/>
  <c r="I2425" i="12"/>
  <c r="J2425" i="12" s="1"/>
  <c r="I2713" i="12"/>
  <c r="J2713" i="12" s="1"/>
  <c r="I2857" i="12"/>
  <c r="J2857" i="12" s="1"/>
  <c r="I2929" i="12"/>
  <c r="J2929" i="12" s="1"/>
  <c r="I2497" i="12"/>
  <c r="J2497" i="12" s="1"/>
  <c r="I2677" i="12"/>
  <c r="J2677" i="12" s="1"/>
  <c r="I2317" i="12"/>
  <c r="J2317" i="12" s="1"/>
  <c r="I2461" i="12"/>
  <c r="J2461" i="12" s="1"/>
  <c r="I2353" i="12"/>
  <c r="J2353" i="12" s="1"/>
  <c r="I2641" i="12"/>
  <c r="J2641" i="12" s="1"/>
  <c r="I2785" i="12"/>
  <c r="J2785" i="12" s="1"/>
  <c r="I2605" i="12"/>
  <c r="J2605" i="12" s="1"/>
  <c r="I2893" i="12"/>
  <c r="J2893" i="12" s="1"/>
  <c r="I2533" i="12"/>
  <c r="J2533" i="12" s="1"/>
  <c r="I2389" i="12"/>
  <c r="J2389" i="12" s="1"/>
  <c r="I2281" i="12"/>
  <c r="J2281" i="12" s="1"/>
  <c r="I2822" i="12"/>
  <c r="J2822" i="12" s="1"/>
  <c r="I2750" i="12"/>
  <c r="J2750" i="12" s="1"/>
  <c r="I2570" i="12"/>
  <c r="J2570" i="12" s="1"/>
  <c r="I2426" i="12"/>
  <c r="J2426" i="12" s="1"/>
  <c r="I2714" i="12"/>
  <c r="J2714" i="12" s="1"/>
  <c r="I2858" i="12"/>
  <c r="J2858" i="12" s="1"/>
  <c r="I2930" i="12"/>
  <c r="J2930" i="12" s="1"/>
  <c r="I2498" i="12"/>
  <c r="J2498" i="12" s="1"/>
  <c r="I2678" i="12"/>
  <c r="J2678" i="12" s="1"/>
  <c r="I2318" i="12"/>
  <c r="J2318" i="12" s="1"/>
  <c r="I2462" i="12"/>
  <c r="J2462" i="12" s="1"/>
  <c r="I2354" i="12"/>
  <c r="J2354" i="12" s="1"/>
  <c r="I2642" i="12"/>
  <c r="J2642" i="12" s="1"/>
  <c r="I2786" i="12"/>
  <c r="J2786" i="12" s="1"/>
  <c r="I2606" i="12"/>
  <c r="J2606" i="12" s="1"/>
  <c r="I2894" i="12"/>
  <c r="J2894" i="12" s="1"/>
  <c r="I2534" i="12"/>
  <c r="J2534" i="12" s="1"/>
  <c r="I2390" i="12"/>
  <c r="J2390" i="12" s="1"/>
  <c r="I2282" i="12"/>
  <c r="J2282" i="12" s="1"/>
  <c r="I2823" i="12"/>
  <c r="J2823" i="12" s="1"/>
  <c r="I2751" i="12"/>
  <c r="J2751" i="12" s="1"/>
  <c r="I2571" i="12"/>
  <c r="J2571" i="12" s="1"/>
  <c r="I2427" i="12"/>
  <c r="J2427" i="12" s="1"/>
  <c r="I2715" i="12"/>
  <c r="J2715" i="12" s="1"/>
  <c r="I2859" i="12"/>
  <c r="J2859" i="12" s="1"/>
  <c r="I2931" i="12"/>
  <c r="J2931" i="12" s="1"/>
  <c r="I2499" i="12"/>
  <c r="J2499" i="12" s="1"/>
  <c r="I2679" i="12"/>
  <c r="J2679" i="12" s="1"/>
  <c r="I2319" i="12"/>
  <c r="J2319" i="12" s="1"/>
  <c r="I2463" i="12"/>
  <c r="J2463" i="12" s="1"/>
  <c r="I2355" i="12"/>
  <c r="J2355" i="12" s="1"/>
  <c r="I2643" i="12"/>
  <c r="J2643" i="12" s="1"/>
  <c r="I2787" i="12"/>
  <c r="J2787" i="12" s="1"/>
  <c r="I2607" i="12"/>
  <c r="J2607" i="12" s="1"/>
  <c r="I2895" i="12"/>
  <c r="J2895" i="12" s="1"/>
  <c r="I2535" i="12"/>
  <c r="J2535" i="12" s="1"/>
  <c r="I2391" i="12"/>
  <c r="J2391" i="12" s="1"/>
  <c r="I2283" i="12"/>
  <c r="J2283" i="12" s="1"/>
  <c r="I2824" i="12"/>
  <c r="J2824" i="12" s="1"/>
  <c r="I2752" i="12"/>
  <c r="J2752" i="12" s="1"/>
  <c r="I2572" i="12"/>
  <c r="J2572" i="12" s="1"/>
  <c r="I2428" i="12"/>
  <c r="J2428" i="12" s="1"/>
  <c r="I2716" i="12"/>
  <c r="J2716" i="12" s="1"/>
  <c r="I2860" i="12"/>
  <c r="J2860" i="12" s="1"/>
  <c r="I2932" i="12"/>
  <c r="J2932" i="12" s="1"/>
  <c r="I2500" i="12"/>
  <c r="J2500" i="12" s="1"/>
  <c r="I2680" i="12"/>
  <c r="J2680" i="12" s="1"/>
  <c r="I2320" i="12"/>
  <c r="J2320" i="12" s="1"/>
  <c r="I2464" i="12"/>
  <c r="J2464" i="12" s="1"/>
  <c r="I2356" i="12"/>
  <c r="J2356" i="12" s="1"/>
  <c r="I2644" i="12"/>
  <c r="J2644" i="12" s="1"/>
  <c r="I2788" i="12"/>
  <c r="J2788" i="12" s="1"/>
  <c r="I2608" i="12"/>
  <c r="J2608" i="12" s="1"/>
  <c r="I2896" i="12"/>
  <c r="J2896" i="12" s="1"/>
  <c r="I2536" i="12"/>
  <c r="J2536" i="12" s="1"/>
  <c r="I2392" i="12"/>
  <c r="J2392" i="12" s="1"/>
  <c r="I2284" i="12"/>
  <c r="J2284" i="12" s="1"/>
  <c r="I2825" i="12"/>
  <c r="J2825" i="12" s="1"/>
  <c r="I2753" i="12"/>
  <c r="J2753" i="12" s="1"/>
  <c r="I2573" i="12"/>
  <c r="J2573" i="12" s="1"/>
  <c r="I2429" i="12"/>
  <c r="J2429" i="12" s="1"/>
  <c r="I2717" i="12"/>
  <c r="J2717" i="12" s="1"/>
  <c r="I2861" i="12"/>
  <c r="J2861" i="12" s="1"/>
  <c r="I2933" i="12"/>
  <c r="J2933" i="12" s="1"/>
  <c r="I2501" i="12"/>
  <c r="J2501" i="12" s="1"/>
  <c r="I2681" i="12"/>
  <c r="J2681" i="12" s="1"/>
  <c r="I2321" i="12"/>
  <c r="J2321" i="12" s="1"/>
  <c r="I2465" i="12"/>
  <c r="J2465" i="12" s="1"/>
  <c r="I2357" i="12"/>
  <c r="J2357" i="12" s="1"/>
  <c r="I2645" i="12"/>
  <c r="J2645" i="12" s="1"/>
  <c r="I2789" i="12"/>
  <c r="J2789" i="12" s="1"/>
  <c r="I2609" i="12"/>
  <c r="J2609" i="12" s="1"/>
  <c r="I2897" i="12"/>
  <c r="J2897" i="12" s="1"/>
  <c r="I2537" i="12"/>
  <c r="J2537" i="12" s="1"/>
  <c r="I2393" i="12"/>
  <c r="J2393" i="12" s="1"/>
  <c r="I2285" i="12"/>
  <c r="J2285" i="12" s="1"/>
  <c r="I2826" i="12"/>
  <c r="J2826" i="12" s="1"/>
  <c r="I2754" i="12"/>
  <c r="J2754" i="12" s="1"/>
  <c r="I2574" i="12"/>
  <c r="J2574" i="12" s="1"/>
  <c r="I2430" i="12"/>
  <c r="J2430" i="12" s="1"/>
  <c r="I2718" i="12"/>
  <c r="J2718" i="12" s="1"/>
  <c r="I2862" i="12"/>
  <c r="J2862" i="12" s="1"/>
  <c r="I2934" i="12"/>
  <c r="J2934" i="12" s="1"/>
  <c r="I2502" i="12"/>
  <c r="J2502" i="12" s="1"/>
  <c r="I2682" i="12"/>
  <c r="J2682" i="12" s="1"/>
  <c r="I2322" i="12"/>
  <c r="J2322" i="12" s="1"/>
  <c r="I2466" i="12"/>
  <c r="J2466" i="12" s="1"/>
  <c r="I2358" i="12"/>
  <c r="J2358" i="12" s="1"/>
  <c r="I2646" i="12"/>
  <c r="J2646" i="12" s="1"/>
  <c r="I2790" i="12"/>
  <c r="J2790" i="12" s="1"/>
  <c r="I2610" i="12"/>
  <c r="J2610" i="12" s="1"/>
  <c r="I2898" i="12"/>
  <c r="J2898" i="12" s="1"/>
  <c r="I2538" i="12"/>
  <c r="J2538" i="12" s="1"/>
  <c r="I2394" i="12"/>
  <c r="J2394" i="12" s="1"/>
  <c r="I2286" i="12"/>
  <c r="J2286" i="12" s="1"/>
  <c r="I2827" i="12"/>
  <c r="J2827" i="12" s="1"/>
  <c r="I2755" i="12"/>
  <c r="J2755" i="12" s="1"/>
  <c r="I2575" i="12"/>
  <c r="J2575" i="12" s="1"/>
  <c r="I2431" i="12"/>
  <c r="J2431" i="12" s="1"/>
  <c r="I2719" i="12"/>
  <c r="J2719" i="12" s="1"/>
  <c r="I2863" i="12"/>
  <c r="J2863" i="12" s="1"/>
  <c r="I2935" i="12"/>
  <c r="J2935" i="12" s="1"/>
  <c r="I2503" i="12"/>
  <c r="J2503" i="12" s="1"/>
  <c r="I2683" i="12"/>
  <c r="J2683" i="12" s="1"/>
  <c r="I2323" i="12"/>
  <c r="J2323" i="12" s="1"/>
  <c r="I2467" i="12"/>
  <c r="J2467" i="12" s="1"/>
  <c r="I2359" i="12"/>
  <c r="J2359" i="12" s="1"/>
  <c r="I2647" i="12"/>
  <c r="J2647" i="12" s="1"/>
  <c r="I2791" i="12"/>
  <c r="J2791" i="12" s="1"/>
  <c r="I2611" i="12"/>
  <c r="J2611" i="12" s="1"/>
  <c r="I2899" i="12"/>
  <c r="J2899" i="12" s="1"/>
  <c r="I2539" i="12"/>
  <c r="J2539" i="12" s="1"/>
  <c r="I2395" i="12"/>
  <c r="J2395" i="12" s="1"/>
  <c r="I2287" i="12"/>
  <c r="J2287" i="12" s="1"/>
  <c r="I2828" i="12"/>
  <c r="J2828" i="12" s="1"/>
  <c r="I2756" i="12"/>
  <c r="J2756" i="12" s="1"/>
  <c r="I2576" i="12"/>
  <c r="J2576" i="12" s="1"/>
  <c r="I2432" i="12"/>
  <c r="J2432" i="12" s="1"/>
  <c r="I2720" i="12"/>
  <c r="J2720" i="12" s="1"/>
  <c r="I2864" i="12"/>
  <c r="J2864" i="12" s="1"/>
  <c r="I2936" i="12"/>
  <c r="J2936" i="12" s="1"/>
  <c r="I2504" i="12"/>
  <c r="J2504" i="12" s="1"/>
  <c r="I2684" i="12"/>
  <c r="J2684" i="12" s="1"/>
  <c r="I2324" i="12"/>
  <c r="J2324" i="12" s="1"/>
  <c r="I2468" i="12"/>
  <c r="J2468" i="12" s="1"/>
  <c r="I2360" i="12"/>
  <c r="J2360" i="12" s="1"/>
  <c r="I2648" i="12"/>
  <c r="J2648" i="12" s="1"/>
  <c r="I2792" i="12"/>
  <c r="J2792" i="12" s="1"/>
  <c r="I2612" i="12"/>
  <c r="J2612" i="12" s="1"/>
  <c r="I2900" i="12"/>
  <c r="J2900" i="12" s="1"/>
  <c r="I2540" i="12"/>
  <c r="J2540" i="12" s="1"/>
  <c r="I2396" i="12"/>
  <c r="J2396" i="12" s="1"/>
  <c r="I2288" i="12"/>
  <c r="J2288" i="12" s="1"/>
  <c r="I2829" i="12"/>
  <c r="J2829" i="12" s="1"/>
  <c r="I2757" i="12"/>
  <c r="J2757" i="12" s="1"/>
  <c r="I2577" i="12"/>
  <c r="J2577" i="12" s="1"/>
  <c r="I2433" i="12"/>
  <c r="J2433" i="12" s="1"/>
  <c r="I2721" i="12"/>
  <c r="J2721" i="12" s="1"/>
  <c r="I2865" i="12"/>
  <c r="J2865" i="12" s="1"/>
  <c r="I2937" i="12"/>
  <c r="J2937" i="12" s="1"/>
  <c r="I2505" i="12"/>
  <c r="J2505" i="12" s="1"/>
  <c r="I2685" i="12"/>
  <c r="J2685" i="12" s="1"/>
  <c r="I2325" i="12"/>
  <c r="J2325" i="12" s="1"/>
  <c r="I2469" i="12"/>
  <c r="J2469" i="12" s="1"/>
  <c r="I2361" i="12"/>
  <c r="J2361" i="12" s="1"/>
  <c r="I2649" i="12"/>
  <c r="J2649" i="12" s="1"/>
  <c r="I2793" i="12"/>
  <c r="J2793" i="12" s="1"/>
  <c r="I2613" i="12"/>
  <c r="J2613" i="12" s="1"/>
  <c r="I2901" i="12"/>
  <c r="J2901" i="12" s="1"/>
  <c r="I2541" i="12"/>
  <c r="J2541" i="12" s="1"/>
  <c r="I2397" i="12"/>
  <c r="J2397" i="12" s="1"/>
  <c r="I2289" i="12"/>
  <c r="J2289" i="12" s="1"/>
  <c r="I2830" i="12"/>
  <c r="J2830" i="12" s="1"/>
  <c r="I2758" i="12"/>
  <c r="J2758" i="12" s="1"/>
  <c r="I2578" i="12"/>
  <c r="J2578" i="12" s="1"/>
  <c r="I2434" i="12"/>
  <c r="J2434" i="12" s="1"/>
  <c r="I2722" i="12"/>
  <c r="J2722" i="12" s="1"/>
  <c r="I2866" i="12"/>
  <c r="J2866" i="12" s="1"/>
  <c r="I2938" i="12"/>
  <c r="J2938" i="12" s="1"/>
  <c r="I2506" i="12"/>
  <c r="J2506" i="12" s="1"/>
  <c r="I2686" i="12"/>
  <c r="J2686" i="12" s="1"/>
  <c r="I2326" i="12"/>
  <c r="J2326" i="12" s="1"/>
  <c r="I2470" i="12"/>
  <c r="J2470" i="12" s="1"/>
  <c r="I2362" i="12"/>
  <c r="J2362" i="12" s="1"/>
  <c r="I2650" i="12"/>
  <c r="J2650" i="12" s="1"/>
  <c r="I2794" i="12"/>
  <c r="J2794" i="12" s="1"/>
  <c r="I2614" i="12"/>
  <c r="J2614" i="12" s="1"/>
  <c r="I2902" i="12"/>
  <c r="J2902" i="12" s="1"/>
  <c r="I2542" i="12"/>
  <c r="J2542" i="12" s="1"/>
  <c r="I2398" i="12"/>
  <c r="J2398" i="12" s="1"/>
  <c r="I2290" i="12"/>
  <c r="J2290" i="12" s="1"/>
  <c r="I2831" i="12"/>
  <c r="J2831" i="12" s="1"/>
  <c r="I2759" i="12"/>
  <c r="J2759" i="12" s="1"/>
  <c r="I2579" i="12"/>
  <c r="J2579" i="12" s="1"/>
  <c r="I2435" i="12"/>
  <c r="J2435" i="12" s="1"/>
  <c r="I2723" i="12"/>
  <c r="J2723" i="12" s="1"/>
  <c r="I2867" i="12"/>
  <c r="J2867" i="12" s="1"/>
  <c r="I2939" i="12"/>
  <c r="J2939" i="12" s="1"/>
  <c r="I2507" i="12"/>
  <c r="J2507" i="12" s="1"/>
  <c r="I2687" i="12"/>
  <c r="J2687" i="12" s="1"/>
  <c r="I2327" i="12"/>
  <c r="J2327" i="12" s="1"/>
  <c r="I2471" i="12"/>
  <c r="J2471" i="12" s="1"/>
  <c r="I2363" i="12"/>
  <c r="J2363" i="12" s="1"/>
  <c r="I2651" i="12"/>
  <c r="J2651" i="12" s="1"/>
  <c r="I2795" i="12"/>
  <c r="J2795" i="12" s="1"/>
  <c r="I2615" i="12"/>
  <c r="J2615" i="12" s="1"/>
  <c r="I2903" i="12"/>
  <c r="J2903" i="12" s="1"/>
  <c r="I2543" i="12"/>
  <c r="J2543" i="12" s="1"/>
  <c r="I2399" i="12"/>
  <c r="J2399" i="12" s="1"/>
  <c r="I2291" i="12"/>
  <c r="J2291" i="12" s="1"/>
  <c r="I2832" i="12"/>
  <c r="J2832" i="12" s="1"/>
  <c r="I2760" i="12"/>
  <c r="J2760" i="12" s="1"/>
  <c r="I2580" i="12"/>
  <c r="J2580" i="12" s="1"/>
  <c r="I2436" i="12"/>
  <c r="J2436" i="12" s="1"/>
  <c r="I2724" i="12"/>
  <c r="J2724" i="12" s="1"/>
  <c r="I2868" i="12"/>
  <c r="J2868" i="12" s="1"/>
  <c r="I2940" i="12"/>
  <c r="J2940" i="12" s="1"/>
  <c r="I2508" i="12"/>
  <c r="J2508" i="12" s="1"/>
  <c r="I2688" i="12"/>
  <c r="J2688" i="12" s="1"/>
  <c r="I2328" i="12"/>
  <c r="J2328" i="12" s="1"/>
  <c r="I2472" i="12"/>
  <c r="J2472" i="12" s="1"/>
  <c r="I2364" i="12"/>
  <c r="J2364" i="12" s="1"/>
  <c r="I2652" i="12"/>
  <c r="J2652" i="12" s="1"/>
  <c r="I2796" i="12"/>
  <c r="J2796" i="12" s="1"/>
  <c r="I2616" i="12"/>
  <c r="J2616" i="12" s="1"/>
  <c r="I2904" i="12"/>
  <c r="J2904" i="12" s="1"/>
  <c r="I2544" i="12"/>
  <c r="J2544" i="12" s="1"/>
  <c r="I2400" i="12"/>
  <c r="J2400" i="12" s="1"/>
  <c r="I2292" i="12"/>
  <c r="J2292" i="12" s="1"/>
  <c r="I2833" i="12"/>
  <c r="J2833" i="12" s="1"/>
  <c r="I2761" i="12"/>
  <c r="J2761" i="12" s="1"/>
  <c r="I2581" i="12"/>
  <c r="J2581" i="12" s="1"/>
  <c r="I2437" i="12"/>
  <c r="J2437" i="12" s="1"/>
  <c r="I2725" i="12"/>
  <c r="J2725" i="12" s="1"/>
  <c r="I2869" i="12"/>
  <c r="J2869" i="12" s="1"/>
  <c r="I2941" i="12"/>
  <c r="J2941" i="12" s="1"/>
  <c r="I2509" i="12"/>
  <c r="J2509" i="12" s="1"/>
  <c r="I2689" i="12"/>
  <c r="J2689" i="12" s="1"/>
  <c r="I2329" i="12"/>
  <c r="J2329" i="12" s="1"/>
  <c r="I2473" i="12"/>
  <c r="J2473" i="12" s="1"/>
  <c r="I2365" i="12"/>
  <c r="J2365" i="12" s="1"/>
  <c r="I2653" i="12"/>
  <c r="J2653" i="12" s="1"/>
  <c r="I2797" i="12"/>
  <c r="J2797" i="12" s="1"/>
  <c r="I2617" i="12"/>
  <c r="J2617" i="12" s="1"/>
  <c r="I2905" i="12"/>
  <c r="J2905" i="12" s="1"/>
  <c r="I2545" i="12"/>
  <c r="J2545" i="12" s="1"/>
  <c r="I2401" i="12"/>
  <c r="J2401" i="12" s="1"/>
  <c r="I2293" i="12"/>
  <c r="J2293" i="12" s="1"/>
  <c r="I2834" i="12"/>
  <c r="J2834" i="12" s="1"/>
  <c r="I2762" i="12"/>
  <c r="J2762" i="12" s="1"/>
  <c r="I2582" i="12"/>
  <c r="J2582" i="12" s="1"/>
  <c r="I2438" i="12"/>
  <c r="J2438" i="12" s="1"/>
  <c r="I2726" i="12"/>
  <c r="J2726" i="12" s="1"/>
  <c r="I2870" i="12"/>
  <c r="J2870" i="12" s="1"/>
  <c r="I2942" i="12"/>
  <c r="J2942" i="12" s="1"/>
  <c r="I2510" i="12"/>
  <c r="J2510" i="12" s="1"/>
  <c r="I2690" i="12"/>
  <c r="J2690" i="12" s="1"/>
  <c r="I2330" i="12"/>
  <c r="J2330" i="12" s="1"/>
  <c r="I2474" i="12"/>
  <c r="J2474" i="12" s="1"/>
  <c r="I2366" i="12"/>
  <c r="J2366" i="12" s="1"/>
  <c r="I2654" i="12"/>
  <c r="J2654" i="12" s="1"/>
  <c r="I2798" i="12"/>
  <c r="J2798" i="12" s="1"/>
  <c r="I2618" i="12"/>
  <c r="J2618" i="12" s="1"/>
  <c r="I2906" i="12"/>
  <c r="J2906" i="12" s="1"/>
  <c r="I2546" i="12"/>
  <c r="J2546" i="12" s="1"/>
  <c r="I2402" i="12"/>
  <c r="J2402" i="12" s="1"/>
  <c r="I2294" i="12"/>
  <c r="J2294" i="12" s="1"/>
  <c r="I2835" i="12"/>
  <c r="J2835" i="12" s="1"/>
  <c r="I2763" i="12"/>
  <c r="J2763" i="12" s="1"/>
  <c r="I2583" i="12"/>
  <c r="J2583" i="12" s="1"/>
  <c r="I2439" i="12"/>
  <c r="J2439" i="12" s="1"/>
  <c r="I2727" i="12"/>
  <c r="J2727" i="12" s="1"/>
  <c r="I2871" i="12"/>
  <c r="J2871" i="12" s="1"/>
  <c r="I2943" i="12"/>
  <c r="J2943" i="12" s="1"/>
  <c r="I2511" i="12"/>
  <c r="J2511" i="12" s="1"/>
  <c r="I2691" i="12"/>
  <c r="J2691" i="12" s="1"/>
  <c r="I2331" i="12"/>
  <c r="J2331" i="12" s="1"/>
  <c r="I2475" i="12"/>
  <c r="J2475" i="12" s="1"/>
  <c r="I2367" i="12"/>
  <c r="J2367" i="12" s="1"/>
  <c r="I2655" i="12"/>
  <c r="J2655" i="12" s="1"/>
  <c r="I2799" i="12"/>
  <c r="J2799" i="12" s="1"/>
  <c r="I2619" i="12"/>
  <c r="J2619" i="12" s="1"/>
  <c r="I2907" i="12"/>
  <c r="J2907" i="12" s="1"/>
  <c r="I2547" i="12"/>
  <c r="I2403" i="12"/>
  <c r="J2403" i="12" s="1"/>
  <c r="I2295" i="12"/>
  <c r="J2295" i="12" s="1"/>
  <c r="I2836" i="12"/>
  <c r="J2836" i="12" s="1"/>
  <c r="I2764" i="12"/>
  <c r="J2764" i="12" s="1"/>
  <c r="I2584" i="12"/>
  <c r="J2584" i="12" s="1"/>
  <c r="I2440" i="12"/>
  <c r="J2440" i="12" s="1"/>
  <c r="I2728" i="12"/>
  <c r="J2728" i="12" s="1"/>
  <c r="I2872" i="12"/>
  <c r="J2872" i="12" s="1"/>
  <c r="I2944" i="12"/>
  <c r="J2944" i="12" s="1"/>
  <c r="I2512" i="12"/>
  <c r="J2512" i="12" s="1"/>
  <c r="I2692" i="12"/>
  <c r="J2692" i="12" s="1"/>
  <c r="I2332" i="12"/>
  <c r="J2332" i="12" s="1"/>
  <c r="I2476" i="12"/>
  <c r="J2476" i="12" s="1"/>
  <c r="I2368" i="12"/>
  <c r="J2368" i="12" s="1"/>
  <c r="I2656" i="12"/>
  <c r="J2656" i="12" s="1"/>
  <c r="I2800" i="12"/>
  <c r="J2800" i="12" s="1"/>
  <c r="I2620" i="12"/>
  <c r="J2620" i="12" s="1"/>
  <c r="I2908" i="12"/>
  <c r="J2908" i="12" s="1"/>
  <c r="I2548" i="12"/>
  <c r="J2548" i="12" s="1"/>
  <c r="I2404" i="12"/>
  <c r="J2404" i="12" s="1"/>
  <c r="I2296" i="12"/>
  <c r="J2296" i="12" s="1"/>
  <c r="I2837" i="12"/>
  <c r="J2837" i="12" s="1"/>
  <c r="I2765" i="12"/>
  <c r="J2765" i="12" s="1"/>
  <c r="I2585" i="12"/>
  <c r="J2585" i="12" s="1"/>
  <c r="I2441" i="12"/>
  <c r="J2441" i="12" s="1"/>
  <c r="I2729" i="12"/>
  <c r="J2729" i="12" s="1"/>
  <c r="I2873" i="12"/>
  <c r="J2873" i="12" s="1"/>
  <c r="I2945" i="12"/>
  <c r="J2945" i="12" s="1"/>
  <c r="I2513" i="12"/>
  <c r="J2513" i="12" s="1"/>
  <c r="I2693" i="12"/>
  <c r="J2693" i="12" s="1"/>
  <c r="I2333" i="12"/>
  <c r="J2333" i="12" s="1"/>
  <c r="I2477" i="12"/>
  <c r="J2477" i="12" s="1"/>
  <c r="I2369" i="12"/>
  <c r="J2369" i="12" s="1"/>
  <c r="I2657" i="12"/>
  <c r="J2657" i="12" s="1"/>
  <c r="I2801" i="12"/>
  <c r="J2801" i="12" s="1"/>
  <c r="I2621" i="12"/>
  <c r="J2621" i="12" s="1"/>
  <c r="I2909" i="12"/>
  <c r="J2909" i="12" s="1"/>
  <c r="I2549" i="12"/>
  <c r="J2549" i="12" s="1"/>
  <c r="I2405" i="12"/>
  <c r="J2405" i="12" s="1"/>
  <c r="I2297" i="12"/>
  <c r="J2297" i="12" s="1"/>
  <c r="I2838" i="12"/>
  <c r="J2838" i="12" s="1"/>
  <c r="I2766" i="12"/>
  <c r="J2766" i="12" s="1"/>
  <c r="I2586" i="12"/>
  <c r="J2586" i="12" s="1"/>
  <c r="I2442" i="12"/>
  <c r="J2442" i="12" s="1"/>
  <c r="I2730" i="12"/>
  <c r="J2730" i="12" s="1"/>
  <c r="I2874" i="12"/>
  <c r="J2874" i="12" s="1"/>
  <c r="I2946" i="12"/>
  <c r="J2946" i="12" s="1"/>
  <c r="I2514" i="12"/>
  <c r="J2514" i="12" s="1"/>
  <c r="I2694" i="12"/>
  <c r="J2694" i="12" s="1"/>
  <c r="I2334" i="12"/>
  <c r="J2334" i="12" s="1"/>
  <c r="I2478" i="12"/>
  <c r="J2478" i="12" s="1"/>
  <c r="I2370" i="12"/>
  <c r="J2370" i="12" s="1"/>
  <c r="I2658" i="12"/>
  <c r="J2658" i="12" s="1"/>
  <c r="I2802" i="12"/>
  <c r="J2802" i="12" s="1"/>
  <c r="I2622" i="12"/>
  <c r="J2622" i="12" s="1"/>
  <c r="I2910" i="12"/>
  <c r="J2910" i="12" s="1"/>
  <c r="I2550" i="12"/>
  <c r="J2550" i="12" s="1"/>
  <c r="I2406" i="12"/>
  <c r="J2406" i="12" s="1"/>
  <c r="I2298" i="12"/>
  <c r="J2298" i="12" s="1"/>
  <c r="I2839" i="12"/>
  <c r="J2839" i="12" s="1"/>
  <c r="I2767" i="12"/>
  <c r="J2767" i="12" s="1"/>
  <c r="I2587" i="12"/>
  <c r="J2587" i="12" s="1"/>
  <c r="I2443" i="12"/>
  <c r="J2443" i="12" s="1"/>
  <c r="I2731" i="12"/>
  <c r="J2731" i="12" s="1"/>
  <c r="I2875" i="12"/>
  <c r="J2875" i="12" s="1"/>
  <c r="I2947" i="12"/>
  <c r="J2947" i="12" s="1"/>
  <c r="I2515" i="12"/>
  <c r="J2515" i="12" s="1"/>
  <c r="I2695" i="12"/>
  <c r="J2695" i="12" s="1"/>
  <c r="I2335" i="12"/>
  <c r="J2335" i="12" s="1"/>
  <c r="I2479" i="12"/>
  <c r="J2479" i="12" s="1"/>
  <c r="I2371" i="12"/>
  <c r="J2371" i="12" s="1"/>
  <c r="I2659" i="12"/>
  <c r="J2659" i="12" s="1"/>
  <c r="I2803" i="12"/>
  <c r="J2803" i="12" s="1"/>
  <c r="I2623" i="12"/>
  <c r="J2623" i="12" s="1"/>
  <c r="I2911" i="12"/>
  <c r="J2911" i="12" s="1"/>
  <c r="I2551" i="12"/>
  <c r="J2551" i="12" s="1"/>
  <c r="I2407" i="12"/>
  <c r="J2407" i="12" s="1"/>
  <c r="I2299" i="12"/>
  <c r="J2299" i="12" s="1"/>
  <c r="I2840" i="12"/>
  <c r="J2840" i="12" s="1"/>
  <c r="I2768" i="12"/>
  <c r="J2768" i="12" s="1"/>
  <c r="I2588" i="12"/>
  <c r="J2588" i="12" s="1"/>
  <c r="I2444" i="12"/>
  <c r="J2444" i="12" s="1"/>
  <c r="I2732" i="12"/>
  <c r="J2732" i="12" s="1"/>
  <c r="I2876" i="12"/>
  <c r="J2876" i="12" s="1"/>
  <c r="I2948" i="12"/>
  <c r="J2948" i="12" s="1"/>
  <c r="I2516" i="12"/>
  <c r="J2516" i="12" s="1"/>
  <c r="I2696" i="12"/>
  <c r="J2696" i="12" s="1"/>
  <c r="I2336" i="12"/>
  <c r="J2336" i="12" s="1"/>
  <c r="I2480" i="12"/>
  <c r="J2480" i="12" s="1"/>
  <c r="I2372" i="12"/>
  <c r="J2372" i="12" s="1"/>
  <c r="I2660" i="12"/>
  <c r="J2660" i="12" s="1"/>
  <c r="I2804" i="12"/>
  <c r="J2804" i="12" s="1"/>
  <c r="I2624" i="12"/>
  <c r="J2624" i="12" s="1"/>
  <c r="I2912" i="12"/>
  <c r="J2912" i="12" s="1"/>
  <c r="I2552" i="12"/>
  <c r="J2552" i="12" s="1"/>
  <c r="I2408" i="12"/>
  <c r="J2408" i="12" s="1"/>
  <c r="I2300" i="12"/>
  <c r="J2300" i="12" s="1"/>
  <c r="I2841" i="12"/>
  <c r="J2841" i="12" s="1"/>
  <c r="I2769" i="12"/>
  <c r="J2769" i="12" s="1"/>
  <c r="I2589" i="12"/>
  <c r="J2589" i="12" s="1"/>
  <c r="I2445" i="12"/>
  <c r="J2445" i="12" s="1"/>
  <c r="I2733" i="12"/>
  <c r="J2733" i="12" s="1"/>
  <c r="I2877" i="12"/>
  <c r="J2877" i="12" s="1"/>
  <c r="I2949" i="12"/>
  <c r="J2949" i="12" s="1"/>
  <c r="I2517" i="12"/>
  <c r="J2517" i="12" s="1"/>
  <c r="I2697" i="12"/>
  <c r="J2697" i="12" s="1"/>
  <c r="I2337" i="12"/>
  <c r="J2337" i="12" s="1"/>
  <c r="I2481" i="12"/>
  <c r="J2481" i="12" s="1"/>
  <c r="I2373" i="12"/>
  <c r="J2373" i="12" s="1"/>
  <c r="I2661" i="12"/>
  <c r="J2661" i="12" s="1"/>
  <c r="I2805" i="12"/>
  <c r="J2805" i="12" s="1"/>
  <c r="I2625" i="12"/>
  <c r="J2625" i="12" s="1"/>
  <c r="I2913" i="12"/>
  <c r="J2913" i="12" s="1"/>
  <c r="I2553" i="12"/>
  <c r="J2553" i="12" s="1"/>
  <c r="I2409" i="12"/>
  <c r="J2409" i="12" s="1"/>
  <c r="I2301" i="12"/>
  <c r="J2301" i="12" s="1"/>
  <c r="I2842" i="12"/>
  <c r="J2842" i="12" s="1"/>
  <c r="I2770" i="12"/>
  <c r="J2770" i="12" s="1"/>
  <c r="I2590" i="12"/>
  <c r="J2590" i="12" s="1"/>
  <c r="I2446" i="12"/>
  <c r="J2446" i="12" s="1"/>
  <c r="I2734" i="12"/>
  <c r="J2734" i="12" s="1"/>
  <c r="I2878" i="12"/>
  <c r="J2878" i="12" s="1"/>
  <c r="I2950" i="12"/>
  <c r="J2950" i="12" s="1"/>
  <c r="I2518" i="12"/>
  <c r="J2518" i="12" s="1"/>
  <c r="I2698" i="12"/>
  <c r="J2698" i="12" s="1"/>
  <c r="I2338" i="12"/>
  <c r="J2338" i="12" s="1"/>
  <c r="I2482" i="12"/>
  <c r="J2482" i="12" s="1"/>
  <c r="I2374" i="12"/>
  <c r="J2374" i="12" s="1"/>
  <c r="I2662" i="12"/>
  <c r="J2662" i="12" s="1"/>
  <c r="I2806" i="12"/>
  <c r="J2806" i="12" s="1"/>
  <c r="I2626" i="12"/>
  <c r="J2626" i="12" s="1"/>
  <c r="I2914" i="12"/>
  <c r="J2914" i="12" s="1"/>
  <c r="I2554" i="12"/>
  <c r="J2554" i="12" s="1"/>
  <c r="I2410" i="12"/>
  <c r="J2410" i="12" s="1"/>
  <c r="I2302" i="12"/>
  <c r="J2302" i="12" s="1"/>
  <c r="I2843" i="12"/>
  <c r="J2843" i="12" s="1"/>
  <c r="I2771" i="12"/>
  <c r="J2771" i="12" s="1"/>
  <c r="I2591" i="12"/>
  <c r="J2591" i="12" s="1"/>
  <c r="I2447" i="12"/>
  <c r="J2447" i="12" s="1"/>
  <c r="I2735" i="12"/>
  <c r="J2735" i="12" s="1"/>
  <c r="I2879" i="12"/>
  <c r="J2879" i="12" s="1"/>
  <c r="I2951" i="12"/>
  <c r="J2951" i="12" s="1"/>
  <c r="I2519" i="12"/>
  <c r="J2519" i="12" s="1"/>
  <c r="I2699" i="12"/>
  <c r="J2699" i="12" s="1"/>
  <c r="I2339" i="12"/>
  <c r="J2339" i="12" s="1"/>
  <c r="I2483" i="12"/>
  <c r="J2483" i="12" s="1"/>
  <c r="I2375" i="12"/>
  <c r="J2375" i="12" s="1"/>
  <c r="I2663" i="12"/>
  <c r="J2663" i="12" s="1"/>
  <c r="I2807" i="12"/>
  <c r="J2807" i="12" s="1"/>
  <c r="I2627" i="12"/>
  <c r="J2627" i="12" s="1"/>
  <c r="I2915" i="12"/>
  <c r="J2915" i="12" s="1"/>
  <c r="I2555" i="12"/>
  <c r="J2555" i="12" s="1"/>
  <c r="I2411" i="12"/>
  <c r="J2411" i="12" s="1"/>
  <c r="I2303" i="12"/>
  <c r="J2303" i="12" s="1"/>
  <c r="I2844" i="12"/>
  <c r="J2844" i="12" s="1"/>
  <c r="I2772" i="12"/>
  <c r="J2772" i="12" s="1"/>
  <c r="I2592" i="12"/>
  <c r="J2592" i="12" s="1"/>
  <c r="I2448" i="12"/>
  <c r="J2448" i="12" s="1"/>
  <c r="I2736" i="12"/>
  <c r="J2736" i="12" s="1"/>
  <c r="I2880" i="12"/>
  <c r="J2880" i="12" s="1"/>
  <c r="I2952" i="12"/>
  <c r="J2952" i="12" s="1"/>
  <c r="I2520" i="12"/>
  <c r="J2520" i="12" s="1"/>
  <c r="I2700" i="12"/>
  <c r="J2700" i="12" s="1"/>
  <c r="I2340" i="12"/>
  <c r="J2340" i="12" s="1"/>
  <c r="I2484" i="12"/>
  <c r="J2484" i="12" s="1"/>
  <c r="I2376" i="12"/>
  <c r="J2376" i="12" s="1"/>
  <c r="I2664" i="12"/>
  <c r="J2664" i="12" s="1"/>
  <c r="I2808" i="12"/>
  <c r="J2808" i="12" s="1"/>
  <c r="I2628" i="12"/>
  <c r="J2628" i="12" s="1"/>
  <c r="I2916" i="12"/>
  <c r="J2916" i="12" s="1"/>
  <c r="I2556" i="12"/>
  <c r="J2556" i="12" s="1"/>
  <c r="I2412" i="12"/>
  <c r="J2412" i="12" s="1"/>
  <c r="I2304" i="12"/>
  <c r="J2304" i="12" s="1"/>
  <c r="I2845" i="12"/>
  <c r="J2845" i="12" s="1"/>
  <c r="I2773" i="12"/>
  <c r="J2773" i="12" s="1"/>
  <c r="I2593" i="12"/>
  <c r="J2593" i="12" s="1"/>
  <c r="I2449" i="12"/>
  <c r="J2449" i="12" s="1"/>
  <c r="I2737" i="12"/>
  <c r="J2737" i="12" s="1"/>
  <c r="I2881" i="12"/>
  <c r="J2881" i="12" s="1"/>
  <c r="I2953" i="12"/>
  <c r="J2953" i="12" s="1"/>
  <c r="I2521" i="12"/>
  <c r="J2521" i="12" s="1"/>
  <c r="I2701" i="12"/>
  <c r="J2701" i="12" s="1"/>
  <c r="I2341" i="12"/>
  <c r="J2341" i="12" s="1"/>
  <c r="I2485" i="12"/>
  <c r="J2485" i="12" s="1"/>
  <c r="I2377" i="12"/>
  <c r="J2377" i="12" s="1"/>
  <c r="I2665" i="12"/>
  <c r="J2665" i="12" s="1"/>
  <c r="I2809" i="12"/>
  <c r="J2809" i="12" s="1"/>
  <c r="I2629" i="12"/>
  <c r="J2629" i="12" s="1"/>
  <c r="I2917" i="12"/>
  <c r="J2917" i="12" s="1"/>
  <c r="I2557" i="12"/>
  <c r="J2557" i="12" s="1"/>
  <c r="I2413" i="12"/>
  <c r="J2413" i="12" s="1"/>
  <c r="I2305" i="12"/>
  <c r="J2305" i="12" s="1"/>
  <c r="I3098" i="12"/>
  <c r="I2954" i="12"/>
  <c r="I3206" i="12"/>
  <c r="I3458" i="12"/>
  <c r="I3566" i="12"/>
  <c r="I2990" i="12"/>
  <c r="J2990" i="12" s="1"/>
  <c r="I3530" i="12"/>
  <c r="J3530" i="12" s="1"/>
  <c r="I3134" i="12"/>
  <c r="J3134" i="12" s="1"/>
  <c r="I3350" i="12"/>
  <c r="I3026" i="12"/>
  <c r="J3026" i="12" s="1"/>
  <c r="I3062" i="12"/>
  <c r="J3062" i="12" s="1"/>
  <c r="I3278" i="12"/>
  <c r="J3278" i="12" s="1"/>
  <c r="I3314" i="12"/>
  <c r="J3314" i="12" s="1"/>
  <c r="I3494" i="12"/>
  <c r="J3494" i="12" s="1"/>
  <c r="I3170" i="12"/>
  <c r="I3422" i="12"/>
  <c r="J3422" i="12" s="1"/>
  <c r="I3242" i="12"/>
  <c r="I3386" i="12"/>
  <c r="I3099" i="12"/>
  <c r="J3099" i="12" s="1"/>
  <c r="I2955" i="12"/>
  <c r="J2955" i="12" s="1"/>
  <c r="I3207" i="12"/>
  <c r="J3207" i="12" s="1"/>
  <c r="I3459" i="12"/>
  <c r="J3459" i="12" s="1"/>
  <c r="I3567" i="12"/>
  <c r="J3567" i="12" s="1"/>
  <c r="I2991" i="12"/>
  <c r="J2991" i="12" s="1"/>
  <c r="I3531" i="12"/>
  <c r="J3531" i="12" s="1"/>
  <c r="I3135" i="12"/>
  <c r="J3135" i="12" s="1"/>
  <c r="I3351" i="12"/>
  <c r="J3351" i="12" s="1"/>
  <c r="I3027" i="12"/>
  <c r="J3027" i="12" s="1"/>
  <c r="I3063" i="12"/>
  <c r="J3063" i="12" s="1"/>
  <c r="I3279" i="12"/>
  <c r="J3279" i="12" s="1"/>
  <c r="I3315" i="12"/>
  <c r="J3315" i="12" s="1"/>
  <c r="I3495" i="12"/>
  <c r="J3495" i="12" s="1"/>
  <c r="I3171" i="12"/>
  <c r="J3171" i="12" s="1"/>
  <c r="I3423" i="12"/>
  <c r="J3423" i="12" s="1"/>
  <c r="I3243" i="12"/>
  <c r="J3243" i="12" s="1"/>
  <c r="I3387" i="12"/>
  <c r="J3387" i="12" s="1"/>
  <c r="I3100" i="12"/>
  <c r="J3100" i="12" s="1"/>
  <c r="I2956" i="12"/>
  <c r="J2956" i="12" s="1"/>
  <c r="I3208" i="12"/>
  <c r="J3208" i="12" s="1"/>
  <c r="I3460" i="12"/>
  <c r="J3460" i="12" s="1"/>
  <c r="I3568" i="12"/>
  <c r="J3568" i="12" s="1"/>
  <c r="I2992" i="12"/>
  <c r="J2992" i="12" s="1"/>
  <c r="I3532" i="12"/>
  <c r="J3532" i="12" s="1"/>
  <c r="I3136" i="12"/>
  <c r="J3136" i="12" s="1"/>
  <c r="I3352" i="12"/>
  <c r="J3352" i="12" s="1"/>
  <c r="I3028" i="12"/>
  <c r="J3028" i="12" s="1"/>
  <c r="I3064" i="12"/>
  <c r="J3064" i="12" s="1"/>
  <c r="I3280" i="12"/>
  <c r="J3280" i="12" s="1"/>
  <c r="I3316" i="12"/>
  <c r="J3316" i="12" s="1"/>
  <c r="I3496" i="12"/>
  <c r="J3496" i="12" s="1"/>
  <c r="I3172" i="12"/>
  <c r="J3172" i="12" s="1"/>
  <c r="I3424" i="12"/>
  <c r="J3424" i="12" s="1"/>
  <c r="I3244" i="12"/>
  <c r="J3244" i="12" s="1"/>
  <c r="I3388" i="12"/>
  <c r="J3388" i="12" s="1"/>
  <c r="I3101" i="12"/>
  <c r="J3101" i="12" s="1"/>
  <c r="I2957" i="12"/>
  <c r="J2957" i="12" s="1"/>
  <c r="I3209" i="12"/>
  <c r="J3209" i="12" s="1"/>
  <c r="I3461" i="12"/>
  <c r="J3461" i="12" s="1"/>
  <c r="I3569" i="12"/>
  <c r="J3569" i="12" s="1"/>
  <c r="I2993" i="12"/>
  <c r="J2993" i="12" s="1"/>
  <c r="I3533" i="12"/>
  <c r="J3533" i="12" s="1"/>
  <c r="I3137" i="12"/>
  <c r="J3137" i="12" s="1"/>
  <c r="I3353" i="12"/>
  <c r="J3353" i="12" s="1"/>
  <c r="I3029" i="12"/>
  <c r="J3029" i="12" s="1"/>
  <c r="I3065" i="12"/>
  <c r="J3065" i="12" s="1"/>
  <c r="I3281" i="12"/>
  <c r="J3281" i="12" s="1"/>
  <c r="I3317" i="12"/>
  <c r="J3317" i="12" s="1"/>
  <c r="I3497" i="12"/>
  <c r="J3497" i="12" s="1"/>
  <c r="I3173" i="12"/>
  <c r="J3173" i="12" s="1"/>
  <c r="I3425" i="12"/>
  <c r="J3425" i="12" s="1"/>
  <c r="I3245" i="12"/>
  <c r="J3245" i="12" s="1"/>
  <c r="I3389" i="12"/>
  <c r="J3389" i="12" s="1"/>
  <c r="I3102" i="12"/>
  <c r="J3102" i="12" s="1"/>
  <c r="I2958" i="12"/>
  <c r="J2958" i="12" s="1"/>
  <c r="I3210" i="12"/>
  <c r="J3210" i="12" s="1"/>
  <c r="I3462" i="12"/>
  <c r="J3462" i="12" s="1"/>
  <c r="I3570" i="12"/>
  <c r="J3570" i="12" s="1"/>
  <c r="I2994" i="12"/>
  <c r="J2994" i="12" s="1"/>
  <c r="I3534" i="12"/>
  <c r="J3534" i="12" s="1"/>
  <c r="I3138" i="12"/>
  <c r="J3138" i="12" s="1"/>
  <c r="I3354" i="12"/>
  <c r="J3354" i="12" s="1"/>
  <c r="I3030" i="12"/>
  <c r="J3030" i="12" s="1"/>
  <c r="I3066" i="12"/>
  <c r="J3066" i="12" s="1"/>
  <c r="I3282" i="12"/>
  <c r="J3282" i="12" s="1"/>
  <c r="I3318" i="12"/>
  <c r="J3318" i="12" s="1"/>
  <c r="I3498" i="12"/>
  <c r="J3498" i="12" s="1"/>
  <c r="I3174" i="12"/>
  <c r="J3174" i="12" s="1"/>
  <c r="I3426" i="12"/>
  <c r="J3426" i="12" s="1"/>
  <c r="I3246" i="12"/>
  <c r="J3246" i="12" s="1"/>
  <c r="I3390" i="12"/>
  <c r="J3390" i="12" s="1"/>
  <c r="I3103" i="12"/>
  <c r="J3103" i="12" s="1"/>
  <c r="I2959" i="12"/>
  <c r="J2959" i="12" s="1"/>
  <c r="I3211" i="12"/>
  <c r="J3211" i="12" s="1"/>
  <c r="I3463" i="12"/>
  <c r="J3463" i="12" s="1"/>
  <c r="I3571" i="12"/>
  <c r="J3571" i="12" s="1"/>
  <c r="I2995" i="12"/>
  <c r="J2995" i="12" s="1"/>
  <c r="I3535" i="12"/>
  <c r="J3535" i="12" s="1"/>
  <c r="I3139" i="12"/>
  <c r="J3139" i="12" s="1"/>
  <c r="I3355" i="12"/>
  <c r="J3355" i="12" s="1"/>
  <c r="I3031" i="12"/>
  <c r="J3031" i="12" s="1"/>
  <c r="I3067" i="12"/>
  <c r="J3067" i="12" s="1"/>
  <c r="I3283" i="12"/>
  <c r="J3283" i="12" s="1"/>
  <c r="I3319" i="12"/>
  <c r="J3319" i="12" s="1"/>
  <c r="I3499" i="12"/>
  <c r="J3499" i="12" s="1"/>
  <c r="I3175" i="12"/>
  <c r="J3175" i="12" s="1"/>
  <c r="I3427" i="12"/>
  <c r="J3427" i="12" s="1"/>
  <c r="I3247" i="12"/>
  <c r="J3247" i="12" s="1"/>
  <c r="I3391" i="12"/>
  <c r="J3391" i="12" s="1"/>
  <c r="I3104" i="12"/>
  <c r="J3104" i="12" s="1"/>
  <c r="I2960" i="12"/>
  <c r="J2960" i="12" s="1"/>
  <c r="I3212" i="12"/>
  <c r="J3212" i="12" s="1"/>
  <c r="I3464" i="12"/>
  <c r="J3464" i="12" s="1"/>
  <c r="I3572" i="12"/>
  <c r="J3572" i="12" s="1"/>
  <c r="I2996" i="12"/>
  <c r="J2996" i="12" s="1"/>
  <c r="I3536" i="12"/>
  <c r="J3536" i="12" s="1"/>
  <c r="I3140" i="12"/>
  <c r="J3140" i="12" s="1"/>
  <c r="I3356" i="12"/>
  <c r="J3356" i="12" s="1"/>
  <c r="I3032" i="12"/>
  <c r="J3032" i="12" s="1"/>
  <c r="I3068" i="12"/>
  <c r="J3068" i="12" s="1"/>
  <c r="I3284" i="12"/>
  <c r="J3284" i="12" s="1"/>
  <c r="I3320" i="12"/>
  <c r="J3320" i="12" s="1"/>
  <c r="I3500" i="12"/>
  <c r="J3500" i="12" s="1"/>
  <c r="I3176" i="12"/>
  <c r="J3176" i="12" s="1"/>
  <c r="I3428" i="12"/>
  <c r="J3428" i="12" s="1"/>
  <c r="I3248" i="12"/>
  <c r="J3248" i="12" s="1"/>
  <c r="I3392" i="12"/>
  <c r="J3392" i="12" s="1"/>
  <c r="I3105" i="12"/>
  <c r="J3105" i="12" s="1"/>
  <c r="I2961" i="12"/>
  <c r="J2961" i="12" s="1"/>
  <c r="I3213" i="12"/>
  <c r="J3213" i="12" s="1"/>
  <c r="I3465" i="12"/>
  <c r="J3465" i="12" s="1"/>
  <c r="I3573" i="12"/>
  <c r="J3573" i="12" s="1"/>
  <c r="I2997" i="12"/>
  <c r="J2997" i="12" s="1"/>
  <c r="I3537" i="12"/>
  <c r="J3537" i="12" s="1"/>
  <c r="I3141" i="12"/>
  <c r="J3141" i="12" s="1"/>
  <c r="I3357" i="12"/>
  <c r="J3357" i="12" s="1"/>
  <c r="I3033" i="12"/>
  <c r="J3033" i="12" s="1"/>
  <c r="I3069" i="12"/>
  <c r="J3069" i="12" s="1"/>
  <c r="I3285" i="12"/>
  <c r="J3285" i="12" s="1"/>
  <c r="I3321" i="12"/>
  <c r="J3321" i="12" s="1"/>
  <c r="I3501" i="12"/>
  <c r="J3501" i="12" s="1"/>
  <c r="I3177" i="12"/>
  <c r="J3177" i="12" s="1"/>
  <c r="I3429" i="12"/>
  <c r="J3429" i="12" s="1"/>
  <c r="I3249" i="12"/>
  <c r="J3249" i="12" s="1"/>
  <c r="I3393" i="12"/>
  <c r="J3393" i="12" s="1"/>
  <c r="I3106" i="12"/>
  <c r="J3106" i="12" s="1"/>
  <c r="I2962" i="12"/>
  <c r="J2962" i="12" s="1"/>
  <c r="I3214" i="12"/>
  <c r="J3214" i="12" s="1"/>
  <c r="I3466" i="12"/>
  <c r="J3466" i="12" s="1"/>
  <c r="I3574" i="12"/>
  <c r="J3574" i="12" s="1"/>
  <c r="I2998" i="12"/>
  <c r="J2998" i="12" s="1"/>
  <c r="I3538" i="12"/>
  <c r="J3538" i="12" s="1"/>
  <c r="I3142" i="12"/>
  <c r="J3142" i="12" s="1"/>
  <c r="I3358" i="12"/>
  <c r="J3358" i="12" s="1"/>
  <c r="I3034" i="12"/>
  <c r="J3034" i="12" s="1"/>
  <c r="I3070" i="12"/>
  <c r="J3070" i="12" s="1"/>
  <c r="I3286" i="12"/>
  <c r="J3286" i="12" s="1"/>
  <c r="I3322" i="12"/>
  <c r="J3322" i="12" s="1"/>
  <c r="I3502" i="12"/>
  <c r="J3502" i="12" s="1"/>
  <c r="I3178" i="12"/>
  <c r="J3178" i="12" s="1"/>
  <c r="I3430" i="12"/>
  <c r="J3430" i="12" s="1"/>
  <c r="I3250" i="12"/>
  <c r="J3250" i="12" s="1"/>
  <c r="I3394" i="12"/>
  <c r="J3394" i="12" s="1"/>
  <c r="I3107" i="12"/>
  <c r="J3107" i="12" s="1"/>
  <c r="I2963" i="12"/>
  <c r="J2963" i="12" s="1"/>
  <c r="I3215" i="12"/>
  <c r="J3215" i="12" s="1"/>
  <c r="I3467" i="12"/>
  <c r="J3467" i="12" s="1"/>
  <c r="I3575" i="12"/>
  <c r="J3575" i="12" s="1"/>
  <c r="I2999" i="12"/>
  <c r="J2999" i="12" s="1"/>
  <c r="I3539" i="12"/>
  <c r="J3539" i="12" s="1"/>
  <c r="I3143" i="12"/>
  <c r="J3143" i="12" s="1"/>
  <c r="I3359" i="12"/>
  <c r="J3359" i="12" s="1"/>
  <c r="I3035" i="12"/>
  <c r="J3035" i="12" s="1"/>
  <c r="I3071" i="12"/>
  <c r="J3071" i="12" s="1"/>
  <c r="I3287" i="12"/>
  <c r="J3287" i="12" s="1"/>
  <c r="I3323" i="12"/>
  <c r="J3323" i="12" s="1"/>
  <c r="I3503" i="12"/>
  <c r="J3503" i="12" s="1"/>
  <c r="I3179" i="12"/>
  <c r="J3179" i="12" s="1"/>
  <c r="I3431" i="12"/>
  <c r="J3431" i="12" s="1"/>
  <c r="I3251" i="12"/>
  <c r="J3251" i="12" s="1"/>
  <c r="I3395" i="12"/>
  <c r="J3395" i="12" s="1"/>
  <c r="I3108" i="12"/>
  <c r="J3108" i="12" s="1"/>
  <c r="I2964" i="12"/>
  <c r="J2964" i="12" s="1"/>
  <c r="I3216" i="12"/>
  <c r="J3216" i="12" s="1"/>
  <c r="I3468" i="12"/>
  <c r="J3468" i="12" s="1"/>
  <c r="I3576" i="12"/>
  <c r="J3576" i="12" s="1"/>
  <c r="I3000" i="12"/>
  <c r="J3000" i="12" s="1"/>
  <c r="I3540" i="12"/>
  <c r="J3540" i="12" s="1"/>
  <c r="I3144" i="12"/>
  <c r="J3144" i="12" s="1"/>
  <c r="I3360" i="12"/>
  <c r="J3360" i="12" s="1"/>
  <c r="I3036" i="12"/>
  <c r="J3036" i="12" s="1"/>
  <c r="I3072" i="12"/>
  <c r="J3072" i="12" s="1"/>
  <c r="I3288" i="12"/>
  <c r="J3288" i="12" s="1"/>
  <c r="I3324" i="12"/>
  <c r="J3324" i="12" s="1"/>
  <c r="I3504" i="12"/>
  <c r="J3504" i="12" s="1"/>
  <c r="I3180" i="12"/>
  <c r="J3180" i="12" s="1"/>
  <c r="I3432" i="12"/>
  <c r="J3432" i="12" s="1"/>
  <c r="I3252" i="12"/>
  <c r="J3252" i="12" s="1"/>
  <c r="I3396" i="12"/>
  <c r="J3396" i="12" s="1"/>
  <c r="I3109" i="12"/>
  <c r="J3109" i="12" s="1"/>
  <c r="I2965" i="12"/>
  <c r="J2965" i="12" s="1"/>
  <c r="I3217" i="12"/>
  <c r="J3217" i="12" s="1"/>
  <c r="I3469" i="12"/>
  <c r="J3469" i="12" s="1"/>
  <c r="I3577" i="12"/>
  <c r="J3577" i="12" s="1"/>
  <c r="I3001" i="12"/>
  <c r="I3541" i="12"/>
  <c r="J3541" i="12" s="1"/>
  <c r="I3145" i="12"/>
  <c r="J3145" i="12" s="1"/>
  <c r="I3361" i="12"/>
  <c r="J3361" i="12" s="1"/>
  <c r="I3037" i="12"/>
  <c r="J3037" i="12" s="1"/>
  <c r="I3073" i="12"/>
  <c r="J3073" i="12" s="1"/>
  <c r="I3289" i="12"/>
  <c r="J3289" i="12" s="1"/>
  <c r="I3325" i="12"/>
  <c r="J3325" i="12" s="1"/>
  <c r="I3505" i="12"/>
  <c r="J3505" i="12" s="1"/>
  <c r="I3181" i="12"/>
  <c r="J3181" i="12" s="1"/>
  <c r="I3433" i="12"/>
  <c r="J3433" i="12" s="1"/>
  <c r="I3253" i="12"/>
  <c r="J3253" i="12" s="1"/>
  <c r="I3397" i="12"/>
  <c r="J3397" i="12" s="1"/>
  <c r="I3110" i="12"/>
  <c r="J3110" i="12" s="1"/>
  <c r="I2966" i="12"/>
  <c r="J2966" i="12" s="1"/>
  <c r="I3218" i="12"/>
  <c r="J3218" i="12" s="1"/>
  <c r="I3470" i="12"/>
  <c r="J3470" i="12" s="1"/>
  <c r="I3578" i="12"/>
  <c r="J3578" i="12" s="1"/>
  <c r="I3002" i="12"/>
  <c r="J3002" i="12" s="1"/>
  <c r="I3542" i="12"/>
  <c r="J3542" i="12" s="1"/>
  <c r="I3146" i="12"/>
  <c r="J3146" i="12" s="1"/>
  <c r="I3362" i="12"/>
  <c r="J3362" i="12" s="1"/>
  <c r="I3038" i="12"/>
  <c r="J3038" i="12" s="1"/>
  <c r="I3074" i="12"/>
  <c r="J3074" i="12" s="1"/>
  <c r="I3290" i="12"/>
  <c r="J3290" i="12" s="1"/>
  <c r="I3326" i="12"/>
  <c r="J3326" i="12" s="1"/>
  <c r="I3506" i="12"/>
  <c r="J3506" i="12" s="1"/>
  <c r="I3182" i="12"/>
  <c r="J3182" i="12" s="1"/>
  <c r="I3434" i="12"/>
  <c r="J3434" i="12" s="1"/>
  <c r="I3254" i="12"/>
  <c r="J3254" i="12" s="1"/>
  <c r="I3398" i="12"/>
  <c r="J3398" i="12" s="1"/>
  <c r="I3111" i="12"/>
  <c r="J3111" i="12" s="1"/>
  <c r="I2967" i="12"/>
  <c r="J2967" i="12" s="1"/>
  <c r="I3219" i="12"/>
  <c r="J3219" i="12" s="1"/>
  <c r="I3471" i="12"/>
  <c r="J3471" i="12" s="1"/>
  <c r="I3579" i="12"/>
  <c r="J3579" i="12" s="1"/>
  <c r="I3003" i="12"/>
  <c r="J3003" i="12" s="1"/>
  <c r="I3543" i="12"/>
  <c r="J3543" i="12" s="1"/>
  <c r="I3147" i="12"/>
  <c r="J3147" i="12" s="1"/>
  <c r="I3363" i="12"/>
  <c r="J3363" i="12" s="1"/>
  <c r="I3039" i="12"/>
  <c r="J3039" i="12" s="1"/>
  <c r="I3075" i="12"/>
  <c r="J3075" i="12" s="1"/>
  <c r="I3291" i="12"/>
  <c r="J3291" i="12" s="1"/>
  <c r="I3327" i="12"/>
  <c r="J3327" i="12" s="1"/>
  <c r="I3507" i="12"/>
  <c r="J3507" i="12" s="1"/>
  <c r="I3183" i="12"/>
  <c r="J3183" i="12" s="1"/>
  <c r="I3435" i="12"/>
  <c r="J3435" i="12" s="1"/>
  <c r="I3255" i="12"/>
  <c r="J3255" i="12" s="1"/>
  <c r="I3399" i="12"/>
  <c r="J3399" i="12" s="1"/>
  <c r="I3112" i="12"/>
  <c r="J3112" i="12" s="1"/>
  <c r="I2968" i="12"/>
  <c r="J2968" i="12" s="1"/>
  <c r="I3220" i="12"/>
  <c r="J3220" i="12" s="1"/>
  <c r="I3472" i="12"/>
  <c r="J3472" i="12" s="1"/>
  <c r="I3580" i="12"/>
  <c r="J3580" i="12" s="1"/>
  <c r="I3004" i="12"/>
  <c r="J3004" i="12" s="1"/>
  <c r="I3544" i="12"/>
  <c r="J3544" i="12" s="1"/>
  <c r="I3148" i="12"/>
  <c r="J3148" i="12" s="1"/>
  <c r="I3364" i="12"/>
  <c r="J3364" i="12" s="1"/>
  <c r="I3040" i="12"/>
  <c r="J3040" i="12" s="1"/>
  <c r="I3076" i="12"/>
  <c r="J3076" i="12" s="1"/>
  <c r="I3292" i="12"/>
  <c r="J3292" i="12" s="1"/>
  <c r="I3328" i="12"/>
  <c r="J3328" i="12" s="1"/>
  <c r="I3508" i="12"/>
  <c r="J3508" i="12" s="1"/>
  <c r="I3184" i="12"/>
  <c r="J3184" i="12" s="1"/>
  <c r="I3436" i="12"/>
  <c r="J3436" i="12" s="1"/>
  <c r="I3256" i="12"/>
  <c r="J3256" i="12" s="1"/>
  <c r="I3400" i="12"/>
  <c r="J3400" i="12" s="1"/>
  <c r="I3113" i="12"/>
  <c r="J3113" i="12" s="1"/>
  <c r="I2969" i="12"/>
  <c r="J2969" i="12" s="1"/>
  <c r="I3221" i="12"/>
  <c r="J3221" i="12" s="1"/>
  <c r="I3473" i="12"/>
  <c r="J3473" i="12" s="1"/>
  <c r="I3581" i="12"/>
  <c r="J3581" i="12" s="1"/>
  <c r="I3005" i="12"/>
  <c r="J3005" i="12" s="1"/>
  <c r="I3545" i="12"/>
  <c r="J3545" i="12" s="1"/>
  <c r="I3149" i="12"/>
  <c r="J3149" i="12" s="1"/>
  <c r="I3365" i="12"/>
  <c r="J3365" i="12" s="1"/>
  <c r="I3041" i="12"/>
  <c r="J3041" i="12" s="1"/>
  <c r="I3077" i="12"/>
  <c r="J3077" i="12" s="1"/>
  <c r="I3293" i="12"/>
  <c r="J3293" i="12" s="1"/>
  <c r="I3329" i="12"/>
  <c r="J3329" i="12" s="1"/>
  <c r="I3509" i="12"/>
  <c r="I3185" i="12"/>
  <c r="J3185" i="12" s="1"/>
  <c r="I3437" i="12"/>
  <c r="J3437" i="12" s="1"/>
  <c r="I3257" i="12"/>
  <c r="J3257" i="12" s="1"/>
  <c r="I3401" i="12"/>
  <c r="J3401" i="12" s="1"/>
  <c r="I3114" i="12"/>
  <c r="J3114" i="12" s="1"/>
  <c r="I2970" i="12"/>
  <c r="J2970" i="12" s="1"/>
  <c r="I3222" i="12"/>
  <c r="J3222" i="12" s="1"/>
  <c r="I3474" i="12"/>
  <c r="J3474" i="12" s="1"/>
  <c r="I3582" i="12"/>
  <c r="J3582" i="12" s="1"/>
  <c r="I3006" i="12"/>
  <c r="J3006" i="12" s="1"/>
  <c r="I3546" i="12"/>
  <c r="J3546" i="12" s="1"/>
  <c r="I3150" i="12"/>
  <c r="J3150" i="12" s="1"/>
  <c r="I3366" i="12"/>
  <c r="J3366" i="12" s="1"/>
  <c r="I3042" i="12"/>
  <c r="J3042" i="12" s="1"/>
  <c r="I3078" i="12"/>
  <c r="J3078" i="12" s="1"/>
  <c r="I3294" i="12"/>
  <c r="J3294" i="12" s="1"/>
  <c r="I3330" i="12"/>
  <c r="J3330" i="12" s="1"/>
  <c r="I3510" i="12"/>
  <c r="J3510" i="12" s="1"/>
  <c r="I3186" i="12"/>
  <c r="J3186" i="12" s="1"/>
  <c r="I3438" i="12"/>
  <c r="J3438" i="12" s="1"/>
  <c r="I3258" i="12"/>
  <c r="J3258" i="12" s="1"/>
  <c r="I3402" i="12"/>
  <c r="J3402" i="12" s="1"/>
  <c r="I3115" i="12"/>
  <c r="J3115" i="12" s="1"/>
  <c r="I2971" i="12"/>
  <c r="J2971" i="12" s="1"/>
  <c r="I3223" i="12"/>
  <c r="J3223" i="12" s="1"/>
  <c r="I3475" i="12"/>
  <c r="J3475" i="12" s="1"/>
  <c r="I3583" i="12"/>
  <c r="J3583" i="12" s="1"/>
  <c r="I3007" i="12"/>
  <c r="J3007" i="12" s="1"/>
  <c r="I3547" i="12"/>
  <c r="J3547" i="12" s="1"/>
  <c r="I3151" i="12"/>
  <c r="J3151" i="12" s="1"/>
  <c r="I3367" i="12"/>
  <c r="J3367" i="12" s="1"/>
  <c r="I3043" i="12"/>
  <c r="J3043" i="12" s="1"/>
  <c r="I3079" i="12"/>
  <c r="J3079" i="12" s="1"/>
  <c r="I3295" i="12"/>
  <c r="J3295" i="12" s="1"/>
  <c r="I3331" i="12"/>
  <c r="J3331" i="12" s="1"/>
  <c r="I3511" i="12"/>
  <c r="J3511" i="12" s="1"/>
  <c r="I3187" i="12"/>
  <c r="J3187" i="12" s="1"/>
  <c r="I3439" i="12"/>
  <c r="J3439" i="12" s="1"/>
  <c r="I3259" i="12"/>
  <c r="J3259" i="12" s="1"/>
  <c r="I3403" i="12"/>
  <c r="J3403" i="12" s="1"/>
  <c r="I3116" i="12"/>
  <c r="J3116" i="12" s="1"/>
  <c r="I2972" i="12"/>
  <c r="J2972" i="12" s="1"/>
  <c r="I3224" i="12"/>
  <c r="J3224" i="12" s="1"/>
  <c r="I3476" i="12"/>
  <c r="J3476" i="12" s="1"/>
  <c r="I3584" i="12"/>
  <c r="J3584" i="12" s="1"/>
  <c r="I3008" i="12"/>
  <c r="J3008" i="12" s="1"/>
  <c r="I3548" i="12"/>
  <c r="J3548" i="12" s="1"/>
  <c r="I3152" i="12"/>
  <c r="J3152" i="12" s="1"/>
  <c r="I3368" i="12"/>
  <c r="J3368" i="12" s="1"/>
  <c r="I3044" i="12"/>
  <c r="J3044" i="12" s="1"/>
  <c r="I3080" i="12"/>
  <c r="J3080" i="12" s="1"/>
  <c r="I3296" i="12"/>
  <c r="J3296" i="12" s="1"/>
  <c r="I3332" i="12"/>
  <c r="J3332" i="12" s="1"/>
  <c r="I3512" i="12"/>
  <c r="J3512" i="12" s="1"/>
  <c r="I3188" i="12"/>
  <c r="J3188" i="12" s="1"/>
  <c r="I3440" i="12"/>
  <c r="J3440" i="12" s="1"/>
  <c r="I3260" i="12"/>
  <c r="J3260" i="12" s="1"/>
  <c r="I3404" i="12"/>
  <c r="J3404" i="12" s="1"/>
  <c r="I3117" i="12"/>
  <c r="J3117" i="12" s="1"/>
  <c r="I2973" i="12"/>
  <c r="J2973" i="12" s="1"/>
  <c r="I3225" i="12"/>
  <c r="J3225" i="12" s="1"/>
  <c r="I3477" i="12"/>
  <c r="J3477" i="12" s="1"/>
  <c r="I3585" i="12"/>
  <c r="J3585" i="12" s="1"/>
  <c r="I3009" i="12"/>
  <c r="J3009" i="12" s="1"/>
  <c r="I3549" i="12"/>
  <c r="J3549" i="12" s="1"/>
  <c r="I3153" i="12"/>
  <c r="J3153" i="12" s="1"/>
  <c r="I3369" i="12"/>
  <c r="J3369" i="12" s="1"/>
  <c r="I3045" i="12"/>
  <c r="J3045" i="12" s="1"/>
  <c r="I3081" i="12"/>
  <c r="J3081" i="12" s="1"/>
  <c r="I3297" i="12"/>
  <c r="J3297" i="12" s="1"/>
  <c r="I3333" i="12"/>
  <c r="J3333" i="12" s="1"/>
  <c r="I3513" i="12"/>
  <c r="J3513" i="12" s="1"/>
  <c r="I3189" i="12"/>
  <c r="J3189" i="12" s="1"/>
  <c r="I3441" i="12"/>
  <c r="J3441" i="12" s="1"/>
  <c r="I3261" i="12"/>
  <c r="J3261" i="12" s="1"/>
  <c r="I3405" i="12"/>
  <c r="J3405" i="12" s="1"/>
  <c r="I3118" i="12"/>
  <c r="J3118" i="12" s="1"/>
  <c r="I2974" i="12"/>
  <c r="J2974" i="12" s="1"/>
  <c r="I3226" i="12"/>
  <c r="J3226" i="12" s="1"/>
  <c r="I3478" i="12"/>
  <c r="J3478" i="12" s="1"/>
  <c r="I3586" i="12"/>
  <c r="J3586" i="12" s="1"/>
  <c r="I3010" i="12"/>
  <c r="J3010" i="12" s="1"/>
  <c r="I3550" i="12"/>
  <c r="J3550" i="12" s="1"/>
  <c r="I3154" i="12"/>
  <c r="J3154" i="12" s="1"/>
  <c r="I3370" i="12"/>
  <c r="J3370" i="12" s="1"/>
  <c r="I3046" i="12"/>
  <c r="J3046" i="12" s="1"/>
  <c r="I3082" i="12"/>
  <c r="J3082" i="12" s="1"/>
  <c r="I3298" i="12"/>
  <c r="J3298" i="12" s="1"/>
  <c r="I3334" i="12"/>
  <c r="J3334" i="12" s="1"/>
  <c r="I3514" i="12"/>
  <c r="J3514" i="12" s="1"/>
  <c r="I3190" i="12"/>
  <c r="J3190" i="12" s="1"/>
  <c r="I3442" i="12"/>
  <c r="J3442" i="12" s="1"/>
  <c r="I3262" i="12"/>
  <c r="J3262" i="12" s="1"/>
  <c r="I3406" i="12"/>
  <c r="J3406" i="12" s="1"/>
  <c r="I3119" i="12"/>
  <c r="J3119" i="12" s="1"/>
  <c r="I2975" i="12"/>
  <c r="J2975" i="12" s="1"/>
  <c r="I3227" i="12"/>
  <c r="J3227" i="12" s="1"/>
  <c r="I3479" i="12"/>
  <c r="J3479" i="12" s="1"/>
  <c r="I3587" i="12"/>
  <c r="J3587" i="12" s="1"/>
  <c r="I3011" i="12"/>
  <c r="J3011" i="12" s="1"/>
  <c r="I3551" i="12"/>
  <c r="J3551" i="12" s="1"/>
  <c r="I3155" i="12"/>
  <c r="J3155" i="12" s="1"/>
  <c r="I3371" i="12"/>
  <c r="J3371" i="12" s="1"/>
  <c r="I3047" i="12"/>
  <c r="J3047" i="12" s="1"/>
  <c r="I3083" i="12"/>
  <c r="J3083" i="12" s="1"/>
  <c r="I3299" i="12"/>
  <c r="J3299" i="12" s="1"/>
  <c r="I3335" i="12"/>
  <c r="J3335" i="12" s="1"/>
  <c r="I3515" i="12"/>
  <c r="J3515" i="12" s="1"/>
  <c r="I3191" i="12"/>
  <c r="J3191" i="12" s="1"/>
  <c r="I3443" i="12"/>
  <c r="J3443" i="12" s="1"/>
  <c r="I3263" i="12"/>
  <c r="J3263" i="12" s="1"/>
  <c r="I3407" i="12"/>
  <c r="J3407" i="12" s="1"/>
  <c r="I3120" i="12"/>
  <c r="J3120" i="12" s="1"/>
  <c r="I2976" i="12"/>
  <c r="J2976" i="12" s="1"/>
  <c r="I3228" i="12"/>
  <c r="J3228" i="12" s="1"/>
  <c r="I3480" i="12"/>
  <c r="J3480" i="12" s="1"/>
  <c r="I3588" i="12"/>
  <c r="J3588" i="12" s="1"/>
  <c r="I3012" i="12"/>
  <c r="J3012" i="12" s="1"/>
  <c r="I3552" i="12"/>
  <c r="J3552" i="12" s="1"/>
  <c r="I3156" i="12"/>
  <c r="J3156" i="12" s="1"/>
  <c r="I3372" i="12"/>
  <c r="J3372" i="12" s="1"/>
  <c r="I3048" i="12"/>
  <c r="J3048" i="12" s="1"/>
  <c r="I3084" i="12"/>
  <c r="J3084" i="12" s="1"/>
  <c r="I3300" i="12"/>
  <c r="J3300" i="12" s="1"/>
  <c r="I3336" i="12"/>
  <c r="J3336" i="12" s="1"/>
  <c r="I3516" i="12"/>
  <c r="J3516" i="12" s="1"/>
  <c r="I3192" i="12"/>
  <c r="J3192" i="12" s="1"/>
  <c r="I3444" i="12"/>
  <c r="J3444" i="12" s="1"/>
  <c r="I3264" i="12"/>
  <c r="J3264" i="12" s="1"/>
  <c r="I3408" i="12"/>
  <c r="J3408" i="12" s="1"/>
  <c r="I3121" i="12"/>
  <c r="J3121" i="12" s="1"/>
  <c r="I2977" i="12"/>
  <c r="J2977" i="12" s="1"/>
  <c r="I3229" i="12"/>
  <c r="J3229" i="12" s="1"/>
  <c r="I3481" i="12"/>
  <c r="J3481" i="12" s="1"/>
  <c r="I3589" i="12"/>
  <c r="J3589" i="12" s="1"/>
  <c r="I3013" i="12"/>
  <c r="J3013" i="12" s="1"/>
  <c r="I3553" i="12"/>
  <c r="J3553" i="12" s="1"/>
  <c r="I3157" i="12"/>
  <c r="J3157" i="12" s="1"/>
  <c r="I3373" i="12"/>
  <c r="J3373" i="12" s="1"/>
  <c r="I3049" i="12"/>
  <c r="J3049" i="12" s="1"/>
  <c r="I3085" i="12"/>
  <c r="J3085" i="12" s="1"/>
  <c r="I3301" i="12"/>
  <c r="J3301" i="12" s="1"/>
  <c r="I3337" i="12"/>
  <c r="J3337" i="12" s="1"/>
  <c r="I3517" i="12"/>
  <c r="J3517" i="12" s="1"/>
  <c r="I3193" i="12"/>
  <c r="J3193" i="12" s="1"/>
  <c r="I3445" i="12"/>
  <c r="J3445" i="12" s="1"/>
  <c r="I3265" i="12"/>
  <c r="J3265" i="12" s="1"/>
  <c r="I3409" i="12"/>
  <c r="J3409" i="12" s="1"/>
  <c r="I3122" i="12"/>
  <c r="J3122" i="12" s="1"/>
  <c r="I2978" i="12"/>
  <c r="J2978" i="12" s="1"/>
  <c r="I3230" i="12"/>
  <c r="J3230" i="12" s="1"/>
  <c r="I3482" i="12"/>
  <c r="J3482" i="12" s="1"/>
  <c r="I3590" i="12"/>
  <c r="J3590" i="12" s="1"/>
  <c r="I3014" i="12"/>
  <c r="J3014" i="12" s="1"/>
  <c r="I3554" i="12"/>
  <c r="J3554" i="12" s="1"/>
  <c r="I3158" i="12"/>
  <c r="J3158" i="12" s="1"/>
  <c r="I3374" i="12"/>
  <c r="J3374" i="12" s="1"/>
  <c r="I3050" i="12"/>
  <c r="J3050" i="12" s="1"/>
  <c r="I3086" i="12"/>
  <c r="J3086" i="12" s="1"/>
  <c r="I3302" i="12"/>
  <c r="J3302" i="12" s="1"/>
  <c r="I3338" i="12"/>
  <c r="J3338" i="12" s="1"/>
  <c r="I3518" i="12"/>
  <c r="J3518" i="12" s="1"/>
  <c r="I3194" i="12"/>
  <c r="J3194" i="12" s="1"/>
  <c r="I3446" i="12"/>
  <c r="J3446" i="12" s="1"/>
  <c r="I3266" i="12"/>
  <c r="J3266" i="12" s="1"/>
  <c r="I3410" i="12"/>
  <c r="J3410" i="12" s="1"/>
  <c r="I3123" i="12"/>
  <c r="J3123" i="12" s="1"/>
  <c r="I2979" i="12"/>
  <c r="J2979" i="12" s="1"/>
  <c r="I3231" i="12"/>
  <c r="J3231" i="12" s="1"/>
  <c r="I3483" i="12"/>
  <c r="J3483" i="12" s="1"/>
  <c r="I3591" i="12"/>
  <c r="J3591" i="12" s="1"/>
  <c r="I3015" i="12"/>
  <c r="J3015" i="12" s="1"/>
  <c r="I3555" i="12"/>
  <c r="J3555" i="12" s="1"/>
  <c r="I3159" i="12"/>
  <c r="J3159" i="12" s="1"/>
  <c r="I3375" i="12"/>
  <c r="J3375" i="12" s="1"/>
  <c r="I3051" i="12"/>
  <c r="J3051" i="12" s="1"/>
  <c r="I3087" i="12"/>
  <c r="J3087" i="12" s="1"/>
  <c r="I3303" i="12"/>
  <c r="J3303" i="12" s="1"/>
  <c r="I3339" i="12"/>
  <c r="J3339" i="12" s="1"/>
  <c r="I3519" i="12"/>
  <c r="J3519" i="12" s="1"/>
  <c r="I3195" i="12"/>
  <c r="J3195" i="12" s="1"/>
  <c r="I3447" i="12"/>
  <c r="J3447" i="12" s="1"/>
  <c r="I3267" i="12"/>
  <c r="J3267" i="12" s="1"/>
  <c r="I3411" i="12"/>
  <c r="J3411" i="12" s="1"/>
  <c r="I3124" i="12"/>
  <c r="J3124" i="12" s="1"/>
  <c r="I2980" i="12"/>
  <c r="J2980" i="12" s="1"/>
  <c r="I3232" i="12"/>
  <c r="J3232" i="12" s="1"/>
  <c r="I3484" i="12"/>
  <c r="J3484" i="12" s="1"/>
  <c r="I3592" i="12"/>
  <c r="J3592" i="12" s="1"/>
  <c r="I3016" i="12"/>
  <c r="J3016" i="12" s="1"/>
  <c r="I3556" i="12"/>
  <c r="J3556" i="12" s="1"/>
  <c r="I3160" i="12"/>
  <c r="J3160" i="12" s="1"/>
  <c r="I3376" i="12"/>
  <c r="J3376" i="12" s="1"/>
  <c r="I3052" i="12"/>
  <c r="J3052" i="12" s="1"/>
  <c r="I3088" i="12"/>
  <c r="J3088" i="12" s="1"/>
  <c r="I3304" i="12"/>
  <c r="J3304" i="12" s="1"/>
  <c r="I3340" i="12"/>
  <c r="J3340" i="12" s="1"/>
  <c r="I3520" i="12"/>
  <c r="J3520" i="12" s="1"/>
  <c r="I3196" i="12"/>
  <c r="J3196" i="12" s="1"/>
  <c r="I3448" i="12"/>
  <c r="J3448" i="12" s="1"/>
  <c r="I3268" i="12"/>
  <c r="J3268" i="12" s="1"/>
  <c r="I3412" i="12"/>
  <c r="J3412" i="12" s="1"/>
  <c r="I3125" i="12"/>
  <c r="J3125" i="12" s="1"/>
  <c r="I2981" i="12"/>
  <c r="J2981" i="12" s="1"/>
  <c r="I3233" i="12"/>
  <c r="J3233" i="12" s="1"/>
  <c r="I3485" i="12"/>
  <c r="J3485" i="12" s="1"/>
  <c r="I3593" i="12"/>
  <c r="J3593" i="12" s="1"/>
  <c r="I3017" i="12"/>
  <c r="J3017" i="12" s="1"/>
  <c r="I3557" i="12"/>
  <c r="J3557" i="12" s="1"/>
  <c r="I3161" i="12"/>
  <c r="J3161" i="12" s="1"/>
  <c r="I3377" i="12"/>
  <c r="J3377" i="12" s="1"/>
  <c r="I3053" i="12"/>
  <c r="J3053" i="12" s="1"/>
  <c r="I3089" i="12"/>
  <c r="J3089" i="12" s="1"/>
  <c r="I3305" i="12"/>
  <c r="J3305" i="12" s="1"/>
  <c r="I3341" i="12"/>
  <c r="J3341" i="12" s="1"/>
  <c r="I3521" i="12"/>
  <c r="J3521" i="12" s="1"/>
  <c r="I3197" i="12"/>
  <c r="J3197" i="12" s="1"/>
  <c r="I3449" i="12"/>
  <c r="J3449" i="12" s="1"/>
  <c r="I3269" i="12"/>
  <c r="J3269" i="12" s="1"/>
  <c r="I3413" i="12"/>
  <c r="J3413" i="12" s="1"/>
  <c r="I3126" i="12"/>
  <c r="J3126" i="12" s="1"/>
  <c r="I2982" i="12"/>
  <c r="J2982" i="12" s="1"/>
  <c r="I3234" i="12"/>
  <c r="J3234" i="12" s="1"/>
  <c r="I3486" i="12"/>
  <c r="J3486" i="12" s="1"/>
  <c r="I3594" i="12"/>
  <c r="J3594" i="12" s="1"/>
  <c r="I3018" i="12"/>
  <c r="J3018" i="12" s="1"/>
  <c r="I3558" i="12"/>
  <c r="J3558" i="12" s="1"/>
  <c r="I3162" i="12"/>
  <c r="J3162" i="12" s="1"/>
  <c r="I3378" i="12"/>
  <c r="J3378" i="12" s="1"/>
  <c r="I3054" i="12"/>
  <c r="J3054" i="12" s="1"/>
  <c r="I3090" i="12"/>
  <c r="J3090" i="12" s="1"/>
  <c r="I3306" i="12"/>
  <c r="J3306" i="12" s="1"/>
  <c r="I3342" i="12"/>
  <c r="J3342" i="12" s="1"/>
  <c r="I3522" i="12"/>
  <c r="J3522" i="12" s="1"/>
  <c r="I3198" i="12"/>
  <c r="I3450" i="12"/>
  <c r="J3450" i="12" s="1"/>
  <c r="I3270" i="12"/>
  <c r="J3270" i="12" s="1"/>
  <c r="I3414" i="12"/>
  <c r="J3414" i="12" s="1"/>
  <c r="I3127" i="12"/>
  <c r="J3127" i="12" s="1"/>
  <c r="I2983" i="12"/>
  <c r="J2983" i="12" s="1"/>
  <c r="I3235" i="12"/>
  <c r="J3235" i="12" s="1"/>
  <c r="I3487" i="12"/>
  <c r="J3487" i="12" s="1"/>
  <c r="I3595" i="12"/>
  <c r="J3595" i="12" s="1"/>
  <c r="I3019" i="12"/>
  <c r="J3019" i="12" s="1"/>
  <c r="I3559" i="12"/>
  <c r="J3559" i="12" s="1"/>
  <c r="I3163" i="12"/>
  <c r="J3163" i="12" s="1"/>
  <c r="I3379" i="12"/>
  <c r="J3379" i="12" s="1"/>
  <c r="I3055" i="12"/>
  <c r="J3055" i="12" s="1"/>
  <c r="I3091" i="12"/>
  <c r="J3091" i="12" s="1"/>
  <c r="I3307" i="12"/>
  <c r="J3307" i="12" s="1"/>
  <c r="I3343" i="12"/>
  <c r="J3343" i="12" s="1"/>
  <c r="I3523" i="12"/>
  <c r="J3523" i="12" s="1"/>
  <c r="I3199" i="12"/>
  <c r="J3199" i="12" s="1"/>
  <c r="I3451" i="12"/>
  <c r="J3451" i="12" s="1"/>
  <c r="I3271" i="12"/>
  <c r="J3271" i="12" s="1"/>
  <c r="I3415" i="12"/>
  <c r="J3415" i="12" s="1"/>
  <c r="I3128" i="12"/>
  <c r="J3128" i="12" s="1"/>
  <c r="I2984" i="12"/>
  <c r="J2984" i="12" s="1"/>
  <c r="I3236" i="12"/>
  <c r="J3236" i="12" s="1"/>
  <c r="I3488" i="12"/>
  <c r="J3488" i="12" s="1"/>
  <c r="I3596" i="12"/>
  <c r="J3596" i="12" s="1"/>
  <c r="I3020" i="12"/>
  <c r="J3020" i="12" s="1"/>
  <c r="I3560" i="12"/>
  <c r="J3560" i="12" s="1"/>
  <c r="I3164" i="12"/>
  <c r="J3164" i="12" s="1"/>
  <c r="I3380" i="12"/>
  <c r="J3380" i="12" s="1"/>
  <c r="I3056" i="12"/>
  <c r="J3056" i="12" s="1"/>
  <c r="I3092" i="12"/>
  <c r="J3092" i="12" s="1"/>
  <c r="I3308" i="12"/>
  <c r="J3308" i="12" s="1"/>
  <c r="I3344" i="12"/>
  <c r="J3344" i="12" s="1"/>
  <c r="I3524" i="12"/>
  <c r="J3524" i="12" s="1"/>
  <c r="I3200" i="12"/>
  <c r="J3200" i="12" s="1"/>
  <c r="I3452" i="12"/>
  <c r="J3452" i="12" s="1"/>
  <c r="I3272" i="12"/>
  <c r="J3272" i="12" s="1"/>
  <c r="I3416" i="12"/>
  <c r="J3416" i="12" s="1"/>
  <c r="I3129" i="12"/>
  <c r="J3129" i="12" s="1"/>
  <c r="I2985" i="12"/>
  <c r="J2985" i="12" s="1"/>
  <c r="I3237" i="12"/>
  <c r="J3237" i="12" s="1"/>
  <c r="I3489" i="12"/>
  <c r="J3489" i="12" s="1"/>
  <c r="I3597" i="12"/>
  <c r="J3597" i="12" s="1"/>
  <c r="I3021" i="12"/>
  <c r="J3021" i="12" s="1"/>
  <c r="I3561" i="12"/>
  <c r="J3561" i="12" s="1"/>
  <c r="I3165" i="12"/>
  <c r="J3165" i="12" s="1"/>
  <c r="I3381" i="12"/>
  <c r="J3381" i="12" s="1"/>
  <c r="I3057" i="12"/>
  <c r="J3057" i="12" s="1"/>
  <c r="I3093" i="12"/>
  <c r="J3093" i="12" s="1"/>
  <c r="I3309" i="12"/>
  <c r="J3309" i="12" s="1"/>
  <c r="I3345" i="12"/>
  <c r="J3345" i="12" s="1"/>
  <c r="I3525" i="12"/>
  <c r="J3525" i="12" s="1"/>
  <c r="I3201" i="12"/>
  <c r="J3201" i="12" s="1"/>
  <c r="I3453" i="12"/>
  <c r="J3453" i="12" s="1"/>
  <c r="I3273" i="12"/>
  <c r="J3273" i="12" s="1"/>
  <c r="I3417" i="12"/>
  <c r="J3417" i="12" s="1"/>
  <c r="I3130" i="12"/>
  <c r="J3130" i="12" s="1"/>
  <c r="I2986" i="12"/>
  <c r="J2986" i="12" s="1"/>
  <c r="I3238" i="12"/>
  <c r="J3238" i="12" s="1"/>
  <c r="I3490" i="12"/>
  <c r="J3490" i="12" s="1"/>
  <c r="I3598" i="12"/>
  <c r="J3598" i="12" s="1"/>
  <c r="I3022" i="12"/>
  <c r="J3022" i="12" s="1"/>
  <c r="I3562" i="12"/>
  <c r="J3562" i="12" s="1"/>
  <c r="I3166" i="12"/>
  <c r="J3166" i="12" s="1"/>
  <c r="I3382" i="12"/>
  <c r="J3382" i="12" s="1"/>
  <c r="I3058" i="12"/>
  <c r="J3058" i="12" s="1"/>
  <c r="I3094" i="12"/>
  <c r="J3094" i="12" s="1"/>
  <c r="I3310" i="12"/>
  <c r="J3310" i="12" s="1"/>
  <c r="I3346" i="12"/>
  <c r="J3346" i="12" s="1"/>
  <c r="I3526" i="12"/>
  <c r="J3526" i="12" s="1"/>
  <c r="I3202" i="12"/>
  <c r="J3202" i="12" s="1"/>
  <c r="I3454" i="12"/>
  <c r="J3454" i="12" s="1"/>
  <c r="I3274" i="12"/>
  <c r="J3274" i="12" s="1"/>
  <c r="I3418" i="12"/>
  <c r="J3418" i="12" s="1"/>
  <c r="I3131" i="12"/>
  <c r="J3131" i="12" s="1"/>
  <c r="I2987" i="12"/>
  <c r="J2987" i="12" s="1"/>
  <c r="I3239" i="12"/>
  <c r="J3239" i="12" s="1"/>
  <c r="I3491" i="12"/>
  <c r="J3491" i="12" s="1"/>
  <c r="I3599" i="12"/>
  <c r="J3599" i="12" s="1"/>
  <c r="I3023" i="12"/>
  <c r="J3023" i="12" s="1"/>
  <c r="I3563" i="12"/>
  <c r="J3563" i="12" s="1"/>
  <c r="I3167" i="12"/>
  <c r="J3167" i="12" s="1"/>
  <c r="I3383" i="12"/>
  <c r="J3383" i="12" s="1"/>
  <c r="I3059" i="12"/>
  <c r="J3059" i="12" s="1"/>
  <c r="I3095" i="12"/>
  <c r="J3095" i="12" s="1"/>
  <c r="I3311" i="12"/>
  <c r="J3311" i="12" s="1"/>
  <c r="I3347" i="12"/>
  <c r="J3347" i="12" s="1"/>
  <c r="I3527" i="12"/>
  <c r="J3527" i="12" s="1"/>
  <c r="I3203" i="12"/>
  <c r="J3203" i="12" s="1"/>
  <c r="I3455" i="12"/>
  <c r="J3455" i="12" s="1"/>
  <c r="I3275" i="12"/>
  <c r="J3275" i="12" s="1"/>
  <c r="I3419" i="12"/>
  <c r="J3419" i="12" s="1"/>
  <c r="I3132" i="12"/>
  <c r="J3132" i="12" s="1"/>
  <c r="I2988" i="12"/>
  <c r="J2988" i="12" s="1"/>
  <c r="I3240" i="12"/>
  <c r="J3240" i="12" s="1"/>
  <c r="I3492" i="12"/>
  <c r="J3492" i="12" s="1"/>
  <c r="I3600" i="12"/>
  <c r="J3600" i="12" s="1"/>
  <c r="I3024" i="12"/>
  <c r="J3024" i="12" s="1"/>
  <c r="I3564" i="12"/>
  <c r="J3564" i="12" s="1"/>
  <c r="I3168" i="12"/>
  <c r="J3168" i="12" s="1"/>
  <c r="I3384" i="12"/>
  <c r="J3384" i="12" s="1"/>
  <c r="I3060" i="12"/>
  <c r="J3060" i="12" s="1"/>
  <c r="I3096" i="12"/>
  <c r="J3096" i="12" s="1"/>
  <c r="I3312" i="12"/>
  <c r="J3312" i="12" s="1"/>
  <c r="I3348" i="12"/>
  <c r="J3348" i="12" s="1"/>
  <c r="I3528" i="12"/>
  <c r="J3528" i="12" s="1"/>
  <c r="I3204" i="12"/>
  <c r="J3204" i="12" s="1"/>
  <c r="I3456" i="12"/>
  <c r="J3456" i="12" s="1"/>
  <c r="I3276" i="12"/>
  <c r="J3276" i="12" s="1"/>
  <c r="I3420" i="12"/>
  <c r="J3420" i="12" s="1"/>
  <c r="I3133" i="12"/>
  <c r="J3133" i="12" s="1"/>
  <c r="I2989" i="12"/>
  <c r="J2989" i="12" s="1"/>
  <c r="I3241" i="12"/>
  <c r="J3241" i="12" s="1"/>
  <c r="I3493" i="12"/>
  <c r="J3493" i="12" s="1"/>
  <c r="I3601" i="12"/>
  <c r="J3601" i="12" s="1"/>
  <c r="I3025" i="12"/>
  <c r="J3025" i="12" s="1"/>
  <c r="I3565" i="12"/>
  <c r="J3565" i="12" s="1"/>
  <c r="I3169" i="12"/>
  <c r="J3169" i="12" s="1"/>
  <c r="I3385" i="12"/>
  <c r="J3385" i="12" s="1"/>
  <c r="I3061" i="12"/>
  <c r="J3061" i="12" s="1"/>
  <c r="I3097" i="12"/>
  <c r="J3097" i="12" s="1"/>
  <c r="I3313" i="12"/>
  <c r="J3313" i="12" s="1"/>
  <c r="I3349" i="12"/>
  <c r="J3349" i="12" s="1"/>
  <c r="I3529" i="12"/>
  <c r="J3529" i="12" s="1"/>
  <c r="I3205" i="12"/>
  <c r="J3205" i="12" s="1"/>
  <c r="I3457" i="12"/>
  <c r="J3457" i="12" s="1"/>
  <c r="I3277" i="12"/>
  <c r="J3277" i="12" s="1"/>
  <c r="I3421" i="12"/>
  <c r="J3421" i="12" s="1"/>
  <c r="I362" i="12"/>
  <c r="I110" i="12"/>
  <c r="I254" i="12"/>
  <c r="I470" i="12"/>
  <c r="I182" i="12"/>
  <c r="I434" i="12"/>
  <c r="I146" i="12"/>
  <c r="J146" i="12" s="1"/>
  <c r="I614" i="12"/>
  <c r="I506" i="12"/>
  <c r="J506" i="12" s="1"/>
  <c r="I290" i="12"/>
  <c r="I398" i="12"/>
  <c r="J398" i="12" s="1"/>
  <c r="I326" i="12"/>
  <c r="I218" i="12"/>
  <c r="J218" i="12" s="1"/>
  <c r="I363" i="12"/>
  <c r="J363" i="12" s="1"/>
  <c r="I111" i="12"/>
  <c r="J111" i="12" s="1"/>
  <c r="I255" i="12"/>
  <c r="J255" i="12" s="1"/>
  <c r="I471" i="12"/>
  <c r="J471" i="12" s="1"/>
  <c r="I183" i="12"/>
  <c r="J183" i="12" s="1"/>
  <c r="I435" i="12"/>
  <c r="J435" i="12" s="1"/>
  <c r="I147" i="12"/>
  <c r="J147" i="12" s="1"/>
  <c r="I615" i="12"/>
  <c r="J615" i="12" s="1"/>
  <c r="I507" i="12"/>
  <c r="J507" i="12" s="1"/>
  <c r="I291" i="12"/>
  <c r="J291" i="12" s="1"/>
  <c r="I399" i="12"/>
  <c r="J399" i="12" s="1"/>
  <c r="I327" i="12"/>
  <c r="J327" i="12" s="1"/>
  <c r="I219" i="12"/>
  <c r="J219" i="12" s="1"/>
  <c r="I364" i="12"/>
  <c r="J364" i="12" s="1"/>
  <c r="I112" i="12"/>
  <c r="J112" i="12" s="1"/>
  <c r="I256" i="12"/>
  <c r="J256" i="12" s="1"/>
  <c r="I472" i="12"/>
  <c r="J472" i="12" s="1"/>
  <c r="I184" i="12"/>
  <c r="J184" i="12" s="1"/>
  <c r="I436" i="12"/>
  <c r="J436" i="12" s="1"/>
  <c r="I148" i="12"/>
  <c r="J148" i="12" s="1"/>
  <c r="I616" i="12"/>
  <c r="J616" i="12" s="1"/>
  <c r="I508" i="12"/>
  <c r="J508" i="12" s="1"/>
  <c r="I292" i="12"/>
  <c r="J292" i="12" s="1"/>
  <c r="I400" i="12"/>
  <c r="J400" i="12" s="1"/>
  <c r="I328" i="12"/>
  <c r="J328" i="12" s="1"/>
  <c r="I220" i="12"/>
  <c r="J220" i="12" s="1"/>
  <c r="I365" i="12"/>
  <c r="J365" i="12" s="1"/>
  <c r="I113" i="12"/>
  <c r="J113" i="12" s="1"/>
  <c r="I257" i="12"/>
  <c r="J257" i="12" s="1"/>
  <c r="I473" i="12"/>
  <c r="J473" i="12" s="1"/>
  <c r="I185" i="12"/>
  <c r="J185" i="12" s="1"/>
  <c r="I437" i="12"/>
  <c r="J437" i="12" s="1"/>
  <c r="I149" i="12"/>
  <c r="J149" i="12" s="1"/>
  <c r="I617" i="12"/>
  <c r="J617" i="12" s="1"/>
  <c r="I509" i="12"/>
  <c r="J509" i="12" s="1"/>
  <c r="I293" i="12"/>
  <c r="J293" i="12" s="1"/>
  <c r="I401" i="12"/>
  <c r="J401" i="12" s="1"/>
  <c r="I329" i="12"/>
  <c r="J329" i="12" s="1"/>
  <c r="I221" i="12"/>
  <c r="J221" i="12" s="1"/>
  <c r="I366" i="12"/>
  <c r="J366" i="12" s="1"/>
  <c r="I114" i="12"/>
  <c r="J114" i="12" s="1"/>
  <c r="I258" i="12"/>
  <c r="J258" i="12" s="1"/>
  <c r="I474" i="12"/>
  <c r="J474" i="12" s="1"/>
  <c r="I186" i="12"/>
  <c r="J186" i="12" s="1"/>
  <c r="I438" i="12"/>
  <c r="J438" i="12" s="1"/>
  <c r="I150" i="12"/>
  <c r="J150" i="12" s="1"/>
  <c r="I618" i="12"/>
  <c r="J618" i="12" s="1"/>
  <c r="I510" i="12"/>
  <c r="J510" i="12" s="1"/>
  <c r="I294" i="12"/>
  <c r="J294" i="12" s="1"/>
  <c r="I402" i="12"/>
  <c r="J402" i="12" s="1"/>
  <c r="I330" i="12"/>
  <c r="J330" i="12" s="1"/>
  <c r="I222" i="12"/>
  <c r="J222" i="12" s="1"/>
  <c r="I367" i="12"/>
  <c r="J367" i="12" s="1"/>
  <c r="I115" i="12"/>
  <c r="J115" i="12" s="1"/>
  <c r="I259" i="12"/>
  <c r="J259" i="12" s="1"/>
  <c r="I475" i="12"/>
  <c r="J475" i="12" s="1"/>
  <c r="I187" i="12"/>
  <c r="J187" i="12" s="1"/>
  <c r="I439" i="12"/>
  <c r="J439" i="12" s="1"/>
  <c r="I151" i="12"/>
  <c r="J151" i="12" s="1"/>
  <c r="I619" i="12"/>
  <c r="J619" i="12" s="1"/>
  <c r="I511" i="12"/>
  <c r="J511" i="12" s="1"/>
  <c r="I295" i="12"/>
  <c r="J295" i="12" s="1"/>
  <c r="I403" i="12"/>
  <c r="J403" i="12" s="1"/>
  <c r="I331" i="12"/>
  <c r="J331" i="12" s="1"/>
  <c r="I223" i="12"/>
  <c r="J223" i="12" s="1"/>
  <c r="I368" i="12"/>
  <c r="J368" i="12" s="1"/>
  <c r="I116" i="12"/>
  <c r="J116" i="12" s="1"/>
  <c r="I260" i="12"/>
  <c r="J260" i="12" s="1"/>
  <c r="I476" i="12"/>
  <c r="J476" i="12" s="1"/>
  <c r="I188" i="12"/>
  <c r="J188" i="12" s="1"/>
  <c r="I440" i="12"/>
  <c r="J440" i="12" s="1"/>
  <c r="I152" i="12"/>
  <c r="J152" i="12" s="1"/>
  <c r="I620" i="12"/>
  <c r="J620" i="12" s="1"/>
  <c r="I512" i="12"/>
  <c r="J512" i="12" s="1"/>
  <c r="I296" i="12"/>
  <c r="J296" i="12" s="1"/>
  <c r="I404" i="12"/>
  <c r="J404" i="12" s="1"/>
  <c r="I332" i="12"/>
  <c r="J332" i="12" s="1"/>
  <c r="I224" i="12"/>
  <c r="J224" i="12" s="1"/>
  <c r="I369" i="12"/>
  <c r="J369" i="12" s="1"/>
  <c r="I117" i="12"/>
  <c r="J117" i="12" s="1"/>
  <c r="I261" i="12"/>
  <c r="J261" i="12" s="1"/>
  <c r="I477" i="12"/>
  <c r="J477" i="12" s="1"/>
  <c r="I189" i="12"/>
  <c r="J189" i="12" s="1"/>
  <c r="I441" i="12"/>
  <c r="J441" i="12" s="1"/>
  <c r="I153" i="12"/>
  <c r="J153" i="12" s="1"/>
  <c r="I621" i="12"/>
  <c r="J621" i="12" s="1"/>
  <c r="I513" i="12"/>
  <c r="J513" i="12" s="1"/>
  <c r="I297" i="12"/>
  <c r="J297" i="12" s="1"/>
  <c r="I405" i="12"/>
  <c r="J405" i="12" s="1"/>
  <c r="I333" i="12"/>
  <c r="J333" i="12" s="1"/>
  <c r="I225" i="12"/>
  <c r="J225" i="12" s="1"/>
  <c r="I370" i="12"/>
  <c r="J370" i="12" s="1"/>
  <c r="I118" i="12"/>
  <c r="J118" i="12" s="1"/>
  <c r="I262" i="12"/>
  <c r="J262" i="12" s="1"/>
  <c r="I478" i="12"/>
  <c r="J478" i="12" s="1"/>
  <c r="I190" i="12"/>
  <c r="J190" i="12" s="1"/>
  <c r="I442" i="12"/>
  <c r="J442" i="12" s="1"/>
  <c r="I154" i="12"/>
  <c r="J154" i="12" s="1"/>
  <c r="I622" i="12"/>
  <c r="J622" i="12" s="1"/>
  <c r="I514" i="12"/>
  <c r="J514" i="12" s="1"/>
  <c r="I298" i="12"/>
  <c r="J298" i="12" s="1"/>
  <c r="I406" i="12"/>
  <c r="J406" i="12" s="1"/>
  <c r="I334" i="12"/>
  <c r="J334" i="12" s="1"/>
  <c r="I226" i="12"/>
  <c r="J226" i="12" s="1"/>
  <c r="I371" i="12"/>
  <c r="J371" i="12" s="1"/>
  <c r="I119" i="12"/>
  <c r="J119" i="12" s="1"/>
  <c r="I263" i="12"/>
  <c r="J263" i="12" s="1"/>
  <c r="I479" i="12"/>
  <c r="J479" i="12" s="1"/>
  <c r="I191" i="12"/>
  <c r="J191" i="12" s="1"/>
  <c r="I443" i="12"/>
  <c r="J443" i="12" s="1"/>
  <c r="I155" i="12"/>
  <c r="J155" i="12" s="1"/>
  <c r="I623" i="12"/>
  <c r="J623" i="12" s="1"/>
  <c r="I515" i="12"/>
  <c r="J515" i="12" s="1"/>
  <c r="I299" i="12"/>
  <c r="J299" i="12" s="1"/>
  <c r="I407" i="12"/>
  <c r="J407" i="12" s="1"/>
  <c r="I335" i="12"/>
  <c r="J335" i="12" s="1"/>
  <c r="I227" i="12"/>
  <c r="J227" i="12" s="1"/>
  <c r="I372" i="12"/>
  <c r="J372" i="12" s="1"/>
  <c r="I120" i="12"/>
  <c r="J120" i="12" s="1"/>
  <c r="I264" i="12"/>
  <c r="J264" i="12" s="1"/>
  <c r="I480" i="12"/>
  <c r="J480" i="12" s="1"/>
  <c r="I192" i="12"/>
  <c r="J192" i="12" s="1"/>
  <c r="I444" i="12"/>
  <c r="J444" i="12" s="1"/>
  <c r="I156" i="12"/>
  <c r="J156" i="12" s="1"/>
  <c r="I624" i="12"/>
  <c r="J624" i="12" s="1"/>
  <c r="I516" i="12"/>
  <c r="J516" i="12" s="1"/>
  <c r="I300" i="12"/>
  <c r="J300" i="12" s="1"/>
  <c r="I408" i="12"/>
  <c r="J408" i="12" s="1"/>
  <c r="I336" i="12"/>
  <c r="J336" i="12" s="1"/>
  <c r="I228" i="12"/>
  <c r="J228" i="12" s="1"/>
  <c r="I373" i="12"/>
  <c r="J373" i="12" s="1"/>
  <c r="I121" i="12"/>
  <c r="J121" i="12" s="1"/>
  <c r="I265" i="12"/>
  <c r="J265" i="12" s="1"/>
  <c r="I481" i="12"/>
  <c r="J481" i="12" s="1"/>
  <c r="I193" i="12"/>
  <c r="J193" i="12" s="1"/>
  <c r="I445" i="12"/>
  <c r="J445" i="12" s="1"/>
  <c r="I157" i="12"/>
  <c r="J157" i="12" s="1"/>
  <c r="I625" i="12"/>
  <c r="J625" i="12" s="1"/>
  <c r="I517" i="12"/>
  <c r="J517" i="12" s="1"/>
  <c r="I301" i="12"/>
  <c r="J301" i="12" s="1"/>
  <c r="I409" i="12"/>
  <c r="J409" i="12" s="1"/>
  <c r="I337" i="12"/>
  <c r="J337" i="12" s="1"/>
  <c r="I229" i="12"/>
  <c r="J229" i="12" s="1"/>
  <c r="I374" i="12"/>
  <c r="J374" i="12" s="1"/>
  <c r="I122" i="12"/>
  <c r="J122" i="12" s="1"/>
  <c r="I266" i="12"/>
  <c r="J266" i="12" s="1"/>
  <c r="I482" i="12"/>
  <c r="J482" i="12" s="1"/>
  <c r="I194" i="12"/>
  <c r="J194" i="12" s="1"/>
  <c r="I446" i="12"/>
  <c r="J446" i="12" s="1"/>
  <c r="I158" i="12"/>
  <c r="J158" i="12" s="1"/>
  <c r="I626" i="12"/>
  <c r="J626" i="12" s="1"/>
  <c r="I518" i="12"/>
  <c r="J518" i="12" s="1"/>
  <c r="I302" i="12"/>
  <c r="J302" i="12" s="1"/>
  <c r="I410" i="12"/>
  <c r="J410" i="12" s="1"/>
  <c r="I338" i="12"/>
  <c r="J338" i="12" s="1"/>
  <c r="I230" i="12"/>
  <c r="J230" i="12" s="1"/>
  <c r="I375" i="12"/>
  <c r="J375" i="12" s="1"/>
  <c r="I123" i="12"/>
  <c r="J123" i="12" s="1"/>
  <c r="I267" i="12"/>
  <c r="J267" i="12" s="1"/>
  <c r="I483" i="12"/>
  <c r="J483" i="12" s="1"/>
  <c r="I195" i="12"/>
  <c r="J195" i="12" s="1"/>
  <c r="I447" i="12"/>
  <c r="J447" i="12" s="1"/>
  <c r="I159" i="12"/>
  <c r="J159" i="12" s="1"/>
  <c r="I627" i="12"/>
  <c r="J627" i="12" s="1"/>
  <c r="I519" i="12"/>
  <c r="J519" i="12" s="1"/>
  <c r="I303" i="12"/>
  <c r="J303" i="12" s="1"/>
  <c r="I411" i="12"/>
  <c r="J411" i="12" s="1"/>
  <c r="I339" i="12"/>
  <c r="J339" i="12" s="1"/>
  <c r="I231" i="12"/>
  <c r="J231" i="12" s="1"/>
  <c r="I376" i="12"/>
  <c r="J376" i="12" s="1"/>
  <c r="I124" i="12"/>
  <c r="J124" i="12" s="1"/>
  <c r="I268" i="12"/>
  <c r="J268" i="12" s="1"/>
  <c r="I484" i="12"/>
  <c r="J484" i="12" s="1"/>
  <c r="I196" i="12"/>
  <c r="J196" i="12" s="1"/>
  <c r="I448" i="12"/>
  <c r="J448" i="12" s="1"/>
  <c r="I160" i="12"/>
  <c r="J160" i="12" s="1"/>
  <c r="I628" i="12"/>
  <c r="J628" i="12" s="1"/>
  <c r="I520" i="12"/>
  <c r="J520" i="12" s="1"/>
  <c r="I304" i="12"/>
  <c r="J304" i="12" s="1"/>
  <c r="I412" i="12"/>
  <c r="J412" i="12" s="1"/>
  <c r="I340" i="12"/>
  <c r="J340" i="12" s="1"/>
  <c r="I232" i="12"/>
  <c r="J232" i="12" s="1"/>
  <c r="I377" i="12"/>
  <c r="J377" i="12" s="1"/>
  <c r="I125" i="12"/>
  <c r="J125" i="12" s="1"/>
  <c r="I269" i="12"/>
  <c r="J269" i="12" s="1"/>
  <c r="I485" i="12"/>
  <c r="J485" i="12" s="1"/>
  <c r="I197" i="12"/>
  <c r="J197" i="12" s="1"/>
  <c r="I449" i="12"/>
  <c r="J449" i="12" s="1"/>
  <c r="I161" i="12"/>
  <c r="J161" i="12" s="1"/>
  <c r="I629" i="12"/>
  <c r="J629" i="12" s="1"/>
  <c r="I521" i="12"/>
  <c r="J521" i="12" s="1"/>
  <c r="I305" i="12"/>
  <c r="J305" i="12" s="1"/>
  <c r="I413" i="12"/>
  <c r="J413" i="12" s="1"/>
  <c r="I341" i="12"/>
  <c r="J341" i="12" s="1"/>
  <c r="I233" i="12"/>
  <c r="J233" i="12" s="1"/>
  <c r="I378" i="12"/>
  <c r="J378" i="12" s="1"/>
  <c r="I126" i="12"/>
  <c r="J126" i="12" s="1"/>
  <c r="I270" i="12"/>
  <c r="J270" i="12" s="1"/>
  <c r="I486" i="12"/>
  <c r="J486" i="12" s="1"/>
  <c r="I198" i="12"/>
  <c r="J198" i="12" s="1"/>
  <c r="I450" i="12"/>
  <c r="J450" i="12" s="1"/>
  <c r="I162" i="12"/>
  <c r="J162" i="12" s="1"/>
  <c r="I630" i="12"/>
  <c r="J630" i="12" s="1"/>
  <c r="I522" i="12"/>
  <c r="J522" i="12" s="1"/>
  <c r="I306" i="12"/>
  <c r="J306" i="12" s="1"/>
  <c r="I414" i="12"/>
  <c r="J414" i="12" s="1"/>
  <c r="I342" i="12"/>
  <c r="J342" i="12" s="1"/>
  <c r="I234" i="12"/>
  <c r="J234" i="12" s="1"/>
  <c r="I379" i="12"/>
  <c r="J379" i="12" s="1"/>
  <c r="I127" i="12"/>
  <c r="J127" i="12" s="1"/>
  <c r="I271" i="12"/>
  <c r="J271" i="12" s="1"/>
  <c r="I487" i="12"/>
  <c r="J487" i="12" s="1"/>
  <c r="I199" i="12"/>
  <c r="J199" i="12" s="1"/>
  <c r="I451" i="12"/>
  <c r="J451" i="12" s="1"/>
  <c r="I163" i="12"/>
  <c r="J163" i="12" s="1"/>
  <c r="I631" i="12"/>
  <c r="J631" i="12" s="1"/>
  <c r="I523" i="12"/>
  <c r="J523" i="12" s="1"/>
  <c r="I307" i="12"/>
  <c r="J307" i="12" s="1"/>
  <c r="I415" i="12"/>
  <c r="J415" i="12" s="1"/>
  <c r="I343" i="12"/>
  <c r="J343" i="12" s="1"/>
  <c r="I235" i="12"/>
  <c r="J235" i="12" s="1"/>
  <c r="I380" i="12"/>
  <c r="J380" i="12" s="1"/>
  <c r="I128" i="12"/>
  <c r="J128" i="12" s="1"/>
  <c r="I272" i="12"/>
  <c r="J272" i="12" s="1"/>
  <c r="I488" i="12"/>
  <c r="J488" i="12" s="1"/>
  <c r="I200" i="12"/>
  <c r="J200" i="12" s="1"/>
  <c r="I452" i="12"/>
  <c r="J452" i="12" s="1"/>
  <c r="I164" i="12"/>
  <c r="J164" i="12" s="1"/>
  <c r="I632" i="12"/>
  <c r="J632" i="12" s="1"/>
  <c r="I524" i="12"/>
  <c r="J524" i="12" s="1"/>
  <c r="I308" i="12"/>
  <c r="J308" i="12" s="1"/>
  <c r="I416" i="12"/>
  <c r="J416" i="12" s="1"/>
  <c r="I344" i="12"/>
  <c r="J344" i="12" s="1"/>
  <c r="I236" i="12"/>
  <c r="J236" i="12" s="1"/>
  <c r="I381" i="12"/>
  <c r="J381" i="12" s="1"/>
  <c r="I129" i="12"/>
  <c r="J129" i="12" s="1"/>
  <c r="I273" i="12"/>
  <c r="J273" i="12" s="1"/>
  <c r="I489" i="12"/>
  <c r="J489" i="12" s="1"/>
  <c r="I201" i="12"/>
  <c r="J201" i="12" s="1"/>
  <c r="I453" i="12"/>
  <c r="J453" i="12" s="1"/>
  <c r="I165" i="12"/>
  <c r="J165" i="12" s="1"/>
  <c r="I633" i="12"/>
  <c r="J633" i="12" s="1"/>
  <c r="I525" i="12"/>
  <c r="J525" i="12" s="1"/>
  <c r="I309" i="12"/>
  <c r="J309" i="12" s="1"/>
  <c r="I417" i="12"/>
  <c r="J417" i="12" s="1"/>
  <c r="I345" i="12"/>
  <c r="J345" i="12" s="1"/>
  <c r="I237" i="12"/>
  <c r="J237" i="12" s="1"/>
  <c r="I382" i="12"/>
  <c r="J382" i="12" s="1"/>
  <c r="I130" i="12"/>
  <c r="J130" i="12" s="1"/>
  <c r="I274" i="12"/>
  <c r="J274" i="12" s="1"/>
  <c r="I490" i="12"/>
  <c r="J490" i="12" s="1"/>
  <c r="I202" i="12"/>
  <c r="J202" i="12" s="1"/>
  <c r="I454" i="12"/>
  <c r="J454" i="12" s="1"/>
  <c r="I166" i="12"/>
  <c r="J166" i="12" s="1"/>
  <c r="I634" i="12"/>
  <c r="J634" i="12" s="1"/>
  <c r="I526" i="12"/>
  <c r="J526" i="12" s="1"/>
  <c r="I310" i="12"/>
  <c r="J310" i="12" s="1"/>
  <c r="I418" i="12"/>
  <c r="J418" i="12" s="1"/>
  <c r="I346" i="12"/>
  <c r="J346" i="12" s="1"/>
  <c r="I238" i="12"/>
  <c r="J238" i="12" s="1"/>
  <c r="I383" i="12"/>
  <c r="J383" i="12" s="1"/>
  <c r="I131" i="12"/>
  <c r="J131" i="12" s="1"/>
  <c r="I275" i="12"/>
  <c r="J275" i="12" s="1"/>
  <c r="I491" i="12"/>
  <c r="J491" i="12" s="1"/>
  <c r="I203" i="12"/>
  <c r="J203" i="12" s="1"/>
  <c r="I455" i="12"/>
  <c r="J455" i="12" s="1"/>
  <c r="I167" i="12"/>
  <c r="J167" i="12" s="1"/>
  <c r="I635" i="12"/>
  <c r="J635" i="12" s="1"/>
  <c r="I527" i="12"/>
  <c r="J527" i="12" s="1"/>
  <c r="I311" i="12"/>
  <c r="J311" i="12" s="1"/>
  <c r="I419" i="12"/>
  <c r="J419" i="12" s="1"/>
  <c r="I347" i="12"/>
  <c r="J347" i="12" s="1"/>
  <c r="I239" i="12"/>
  <c r="J239" i="12" s="1"/>
  <c r="I384" i="12"/>
  <c r="J384" i="12" s="1"/>
  <c r="I132" i="12"/>
  <c r="J132" i="12" s="1"/>
  <c r="I276" i="12"/>
  <c r="J276" i="12" s="1"/>
  <c r="I492" i="12"/>
  <c r="J492" i="12" s="1"/>
  <c r="I204" i="12"/>
  <c r="J204" i="12" s="1"/>
  <c r="I456" i="12"/>
  <c r="J456" i="12" s="1"/>
  <c r="I168" i="12"/>
  <c r="J168" i="12" s="1"/>
  <c r="I636" i="12"/>
  <c r="J636" i="12" s="1"/>
  <c r="I528" i="12"/>
  <c r="J528" i="12" s="1"/>
  <c r="I312" i="12"/>
  <c r="J312" i="12" s="1"/>
  <c r="I420" i="12"/>
  <c r="J420" i="12" s="1"/>
  <c r="I348" i="12"/>
  <c r="J348" i="12" s="1"/>
  <c r="I240" i="12"/>
  <c r="J240" i="12" s="1"/>
  <c r="I385" i="12"/>
  <c r="J385" i="12" s="1"/>
  <c r="I133" i="12"/>
  <c r="J133" i="12" s="1"/>
  <c r="I277" i="12"/>
  <c r="J277" i="12" s="1"/>
  <c r="I493" i="12"/>
  <c r="J493" i="12" s="1"/>
  <c r="I205" i="12"/>
  <c r="J205" i="12" s="1"/>
  <c r="I457" i="12"/>
  <c r="J457" i="12" s="1"/>
  <c r="I169" i="12"/>
  <c r="J169" i="12" s="1"/>
  <c r="I637" i="12"/>
  <c r="J637" i="12" s="1"/>
  <c r="I529" i="12"/>
  <c r="J529" i="12" s="1"/>
  <c r="I313" i="12"/>
  <c r="J313" i="12" s="1"/>
  <c r="I421" i="12"/>
  <c r="J421" i="12" s="1"/>
  <c r="I349" i="12"/>
  <c r="J349" i="12" s="1"/>
  <c r="I241" i="12"/>
  <c r="J241" i="12" s="1"/>
  <c r="I386" i="12"/>
  <c r="J386" i="12" s="1"/>
  <c r="I134" i="12"/>
  <c r="J134" i="12" s="1"/>
  <c r="I278" i="12"/>
  <c r="J278" i="12" s="1"/>
  <c r="I494" i="12"/>
  <c r="J494" i="12" s="1"/>
  <c r="I206" i="12"/>
  <c r="J206" i="12" s="1"/>
  <c r="I458" i="12"/>
  <c r="J458" i="12" s="1"/>
  <c r="I170" i="12"/>
  <c r="J170" i="12" s="1"/>
  <c r="I638" i="12"/>
  <c r="J638" i="12" s="1"/>
  <c r="I530" i="12"/>
  <c r="J530" i="12" s="1"/>
  <c r="I314" i="12"/>
  <c r="J314" i="12" s="1"/>
  <c r="I422" i="12"/>
  <c r="J422" i="12" s="1"/>
  <c r="I350" i="12"/>
  <c r="J350" i="12" s="1"/>
  <c r="I242" i="12"/>
  <c r="J242" i="12" s="1"/>
  <c r="I387" i="12"/>
  <c r="J387" i="12" s="1"/>
  <c r="I135" i="12"/>
  <c r="J135" i="12" s="1"/>
  <c r="I279" i="12"/>
  <c r="J279" i="12" s="1"/>
  <c r="I495" i="12"/>
  <c r="J495" i="12" s="1"/>
  <c r="I207" i="12"/>
  <c r="J207" i="12" s="1"/>
  <c r="I459" i="12"/>
  <c r="J459" i="12" s="1"/>
  <c r="I171" i="12"/>
  <c r="J171" i="12" s="1"/>
  <c r="I639" i="12"/>
  <c r="J639" i="12" s="1"/>
  <c r="I531" i="12"/>
  <c r="J531" i="12" s="1"/>
  <c r="I315" i="12"/>
  <c r="J315" i="12" s="1"/>
  <c r="I423" i="12"/>
  <c r="J423" i="12" s="1"/>
  <c r="I351" i="12"/>
  <c r="J351" i="12" s="1"/>
  <c r="I243" i="12"/>
  <c r="J243" i="12" s="1"/>
  <c r="I388" i="12"/>
  <c r="J388" i="12" s="1"/>
  <c r="I136" i="12"/>
  <c r="J136" i="12" s="1"/>
  <c r="I280" i="12"/>
  <c r="J280" i="12" s="1"/>
  <c r="I496" i="12"/>
  <c r="J496" i="12" s="1"/>
  <c r="I208" i="12"/>
  <c r="J208" i="12" s="1"/>
  <c r="I460" i="12"/>
  <c r="J460" i="12" s="1"/>
  <c r="I172" i="12"/>
  <c r="J172" i="12" s="1"/>
  <c r="I640" i="12"/>
  <c r="J640" i="12" s="1"/>
  <c r="I532" i="12"/>
  <c r="J532" i="12" s="1"/>
  <c r="I316" i="12"/>
  <c r="J316" i="12" s="1"/>
  <c r="I424" i="12"/>
  <c r="J424" i="12" s="1"/>
  <c r="I352" i="12"/>
  <c r="J352" i="12" s="1"/>
  <c r="I244" i="12"/>
  <c r="J244" i="12" s="1"/>
  <c r="I389" i="12"/>
  <c r="J389" i="12" s="1"/>
  <c r="I137" i="12"/>
  <c r="J137" i="12" s="1"/>
  <c r="I281" i="12"/>
  <c r="J281" i="12" s="1"/>
  <c r="I497" i="12"/>
  <c r="J497" i="12" s="1"/>
  <c r="I209" i="12"/>
  <c r="J209" i="12" s="1"/>
  <c r="I461" i="12"/>
  <c r="J461" i="12" s="1"/>
  <c r="I173" i="12"/>
  <c r="J173" i="12" s="1"/>
  <c r="I641" i="12"/>
  <c r="J641" i="12" s="1"/>
  <c r="I533" i="12"/>
  <c r="J533" i="12" s="1"/>
  <c r="I317" i="12"/>
  <c r="J317" i="12" s="1"/>
  <c r="I425" i="12"/>
  <c r="J425" i="12" s="1"/>
  <c r="I353" i="12"/>
  <c r="J353" i="12" s="1"/>
  <c r="I245" i="12"/>
  <c r="J245" i="12" s="1"/>
  <c r="I390" i="12"/>
  <c r="J390" i="12" s="1"/>
  <c r="I138" i="12"/>
  <c r="J138" i="12" s="1"/>
  <c r="I282" i="12"/>
  <c r="J282" i="12" s="1"/>
  <c r="I498" i="12"/>
  <c r="J498" i="12" s="1"/>
  <c r="I210" i="12"/>
  <c r="J210" i="12" s="1"/>
  <c r="I462" i="12"/>
  <c r="J462" i="12" s="1"/>
  <c r="I174" i="12"/>
  <c r="J174" i="12" s="1"/>
  <c r="I642" i="12"/>
  <c r="J642" i="12" s="1"/>
  <c r="I534" i="12"/>
  <c r="J534" i="12" s="1"/>
  <c r="I318" i="12"/>
  <c r="J318" i="12" s="1"/>
  <c r="I426" i="12"/>
  <c r="J426" i="12" s="1"/>
  <c r="I354" i="12"/>
  <c r="J354" i="12" s="1"/>
  <c r="I246" i="12"/>
  <c r="J246" i="12" s="1"/>
  <c r="I391" i="12"/>
  <c r="J391" i="12" s="1"/>
  <c r="I139" i="12"/>
  <c r="J139" i="12" s="1"/>
  <c r="I283" i="12"/>
  <c r="J283" i="12" s="1"/>
  <c r="I499" i="12"/>
  <c r="J499" i="12" s="1"/>
  <c r="I211" i="12"/>
  <c r="J211" i="12" s="1"/>
  <c r="I463" i="12"/>
  <c r="J463" i="12" s="1"/>
  <c r="I175" i="12"/>
  <c r="J175" i="12" s="1"/>
  <c r="I643" i="12"/>
  <c r="J643" i="12" s="1"/>
  <c r="I535" i="12"/>
  <c r="J535" i="12" s="1"/>
  <c r="I319" i="12"/>
  <c r="J319" i="12" s="1"/>
  <c r="I427" i="12"/>
  <c r="J427" i="12" s="1"/>
  <c r="I355" i="12"/>
  <c r="J355" i="12" s="1"/>
  <c r="I247" i="12"/>
  <c r="J247" i="12" s="1"/>
  <c r="I392" i="12"/>
  <c r="J392" i="12" s="1"/>
  <c r="I140" i="12"/>
  <c r="J140" i="12" s="1"/>
  <c r="I284" i="12"/>
  <c r="J284" i="12" s="1"/>
  <c r="I500" i="12"/>
  <c r="J500" i="12" s="1"/>
  <c r="I212" i="12"/>
  <c r="J212" i="12" s="1"/>
  <c r="I464" i="12"/>
  <c r="J464" i="12" s="1"/>
  <c r="I176" i="12"/>
  <c r="J176" i="12" s="1"/>
  <c r="I644" i="12"/>
  <c r="J644" i="12" s="1"/>
  <c r="I536" i="12"/>
  <c r="J536" i="12" s="1"/>
  <c r="I320" i="12"/>
  <c r="J320" i="12" s="1"/>
  <c r="I428" i="12"/>
  <c r="J428" i="12" s="1"/>
  <c r="I356" i="12"/>
  <c r="J356" i="12" s="1"/>
  <c r="I248" i="12"/>
  <c r="J248" i="12" s="1"/>
  <c r="I393" i="12"/>
  <c r="J393" i="12" s="1"/>
  <c r="I141" i="12"/>
  <c r="J141" i="12" s="1"/>
  <c r="I285" i="12"/>
  <c r="J285" i="12" s="1"/>
  <c r="I501" i="12"/>
  <c r="J501" i="12" s="1"/>
  <c r="I213" i="12"/>
  <c r="J213" i="12" s="1"/>
  <c r="I465" i="12"/>
  <c r="J465" i="12" s="1"/>
  <c r="I177" i="12"/>
  <c r="J177" i="12" s="1"/>
  <c r="I645" i="12"/>
  <c r="J645" i="12" s="1"/>
  <c r="I537" i="12"/>
  <c r="J537" i="12" s="1"/>
  <c r="I321" i="12"/>
  <c r="J321" i="12" s="1"/>
  <c r="I429" i="12"/>
  <c r="J429" i="12" s="1"/>
  <c r="I357" i="12"/>
  <c r="J357" i="12" s="1"/>
  <c r="I249" i="12"/>
  <c r="J249" i="12" s="1"/>
  <c r="I394" i="12"/>
  <c r="J394" i="12" s="1"/>
  <c r="I142" i="12"/>
  <c r="J142" i="12" s="1"/>
  <c r="I286" i="12"/>
  <c r="J286" i="12" s="1"/>
  <c r="I502" i="12"/>
  <c r="J502" i="12" s="1"/>
  <c r="I214" i="12"/>
  <c r="J214" i="12" s="1"/>
  <c r="I466" i="12"/>
  <c r="J466" i="12" s="1"/>
  <c r="I178" i="12"/>
  <c r="J178" i="12" s="1"/>
  <c r="I646" i="12"/>
  <c r="J646" i="12" s="1"/>
  <c r="I538" i="12"/>
  <c r="J538" i="12" s="1"/>
  <c r="I322" i="12"/>
  <c r="J322" i="12" s="1"/>
  <c r="I430" i="12"/>
  <c r="J430" i="12" s="1"/>
  <c r="I358" i="12"/>
  <c r="J358" i="12" s="1"/>
  <c r="I250" i="12"/>
  <c r="J250" i="12" s="1"/>
  <c r="I395" i="12"/>
  <c r="J395" i="12" s="1"/>
  <c r="I143" i="12"/>
  <c r="J143" i="12" s="1"/>
  <c r="I287" i="12"/>
  <c r="J287" i="12" s="1"/>
  <c r="I503" i="12"/>
  <c r="J503" i="12" s="1"/>
  <c r="I215" i="12"/>
  <c r="J215" i="12" s="1"/>
  <c r="I467" i="12"/>
  <c r="J467" i="12" s="1"/>
  <c r="I179" i="12"/>
  <c r="J179" i="12" s="1"/>
  <c r="I647" i="12"/>
  <c r="J647" i="12" s="1"/>
  <c r="I539" i="12"/>
  <c r="J539" i="12" s="1"/>
  <c r="I323" i="12"/>
  <c r="J323" i="12" s="1"/>
  <c r="I431" i="12"/>
  <c r="J431" i="12" s="1"/>
  <c r="I359" i="12"/>
  <c r="J359" i="12" s="1"/>
  <c r="I251" i="12"/>
  <c r="J251" i="12" s="1"/>
  <c r="I396" i="12"/>
  <c r="J396" i="12" s="1"/>
  <c r="I144" i="12"/>
  <c r="J144" i="12" s="1"/>
  <c r="I288" i="12"/>
  <c r="J288" i="12" s="1"/>
  <c r="I504" i="12"/>
  <c r="J504" i="12" s="1"/>
  <c r="I216" i="12"/>
  <c r="J216" i="12" s="1"/>
  <c r="I468" i="12"/>
  <c r="J468" i="12" s="1"/>
  <c r="I180" i="12"/>
  <c r="J180" i="12" s="1"/>
  <c r="I648" i="12"/>
  <c r="J648" i="12" s="1"/>
  <c r="I540" i="12"/>
  <c r="J540" i="12" s="1"/>
  <c r="I324" i="12"/>
  <c r="J324" i="12" s="1"/>
  <c r="I432" i="12"/>
  <c r="J432" i="12" s="1"/>
  <c r="I360" i="12"/>
  <c r="J360" i="12" s="1"/>
  <c r="I252" i="12"/>
  <c r="J252" i="12" s="1"/>
  <c r="I397" i="12"/>
  <c r="J397" i="12" s="1"/>
  <c r="I145" i="12"/>
  <c r="J145" i="12" s="1"/>
  <c r="I289" i="12"/>
  <c r="J289" i="12" s="1"/>
  <c r="I505" i="12"/>
  <c r="J505" i="12" s="1"/>
  <c r="I217" i="12"/>
  <c r="J217" i="12" s="1"/>
  <c r="I469" i="12"/>
  <c r="J469" i="12" s="1"/>
  <c r="I181" i="12"/>
  <c r="J181" i="12" s="1"/>
  <c r="I649" i="12"/>
  <c r="J649" i="12" s="1"/>
  <c r="I541" i="12"/>
  <c r="J541" i="12" s="1"/>
  <c r="I325" i="12"/>
  <c r="J325" i="12" s="1"/>
  <c r="I433" i="12"/>
  <c r="J433" i="12" s="1"/>
  <c r="I361" i="12"/>
  <c r="J361" i="12" s="1"/>
  <c r="I253" i="12"/>
  <c r="J253" i="12" s="1"/>
  <c r="I542" i="12"/>
  <c r="I543" i="12"/>
  <c r="J543" i="12" s="1"/>
  <c r="I544" i="12"/>
  <c r="J544" i="12" s="1"/>
  <c r="I545" i="12"/>
  <c r="J545" i="12" s="1"/>
  <c r="I546" i="12"/>
  <c r="J546" i="12" s="1"/>
  <c r="I547" i="12"/>
  <c r="J547" i="12" s="1"/>
  <c r="I548" i="12"/>
  <c r="J548" i="12" s="1"/>
  <c r="I549" i="12"/>
  <c r="J549" i="12" s="1"/>
  <c r="I550" i="12"/>
  <c r="J550" i="12" s="1"/>
  <c r="I551" i="12"/>
  <c r="J551" i="12" s="1"/>
  <c r="I552" i="12"/>
  <c r="J552" i="12" s="1"/>
  <c r="I553" i="12"/>
  <c r="J553" i="12" s="1"/>
  <c r="I554" i="12"/>
  <c r="J554" i="12" s="1"/>
  <c r="I555" i="12"/>
  <c r="J555" i="12" s="1"/>
  <c r="I556" i="12"/>
  <c r="J556" i="12" s="1"/>
  <c r="I557" i="12"/>
  <c r="J557" i="12" s="1"/>
  <c r="I558" i="12"/>
  <c r="J558" i="12" s="1"/>
  <c r="I559" i="12"/>
  <c r="J559" i="12" s="1"/>
  <c r="I560" i="12"/>
  <c r="J560" i="12" s="1"/>
  <c r="I561" i="12"/>
  <c r="J561" i="12" s="1"/>
  <c r="I562" i="12"/>
  <c r="J562" i="12" s="1"/>
  <c r="I563" i="12"/>
  <c r="J563" i="12" s="1"/>
  <c r="I564" i="12"/>
  <c r="J564" i="12" s="1"/>
  <c r="I565" i="12"/>
  <c r="J565" i="12" s="1"/>
  <c r="I566" i="12"/>
  <c r="J566" i="12" s="1"/>
  <c r="I567" i="12"/>
  <c r="J567" i="12" s="1"/>
  <c r="I568" i="12"/>
  <c r="J568" i="12" s="1"/>
  <c r="I569" i="12"/>
  <c r="J569" i="12" s="1"/>
  <c r="I570" i="12"/>
  <c r="J570" i="12" s="1"/>
  <c r="I571" i="12"/>
  <c r="J571" i="12" s="1"/>
  <c r="I572" i="12"/>
  <c r="J572" i="12" s="1"/>
  <c r="I573" i="12"/>
  <c r="J573" i="12" s="1"/>
  <c r="I574" i="12"/>
  <c r="J574" i="12" s="1"/>
  <c r="I575" i="12"/>
  <c r="J575" i="12" s="1"/>
  <c r="I576" i="12"/>
  <c r="J576" i="12" s="1"/>
  <c r="I577" i="12"/>
  <c r="J577" i="12" s="1"/>
  <c r="I578" i="12"/>
  <c r="J578" i="12" s="1"/>
  <c r="I579" i="12"/>
  <c r="J579" i="12" s="1"/>
  <c r="I580" i="12"/>
  <c r="J580" i="12" s="1"/>
  <c r="I581" i="12"/>
  <c r="J581" i="12" s="1"/>
  <c r="I582" i="12"/>
  <c r="J582" i="12" s="1"/>
  <c r="I583" i="12"/>
  <c r="J583" i="12" s="1"/>
  <c r="I584" i="12"/>
  <c r="J584" i="12" s="1"/>
  <c r="I585" i="12"/>
  <c r="J585" i="12" s="1"/>
  <c r="I586" i="12"/>
  <c r="J586" i="12" s="1"/>
  <c r="I587" i="12"/>
  <c r="J587" i="12" s="1"/>
  <c r="I588" i="12"/>
  <c r="J588" i="12" s="1"/>
  <c r="I589" i="12"/>
  <c r="J589" i="12" s="1"/>
  <c r="I590" i="12"/>
  <c r="J590" i="12" s="1"/>
  <c r="I591" i="12"/>
  <c r="J591" i="12" s="1"/>
  <c r="I592" i="12"/>
  <c r="J592" i="12" s="1"/>
  <c r="I593" i="12"/>
  <c r="J593" i="12" s="1"/>
  <c r="I594" i="12"/>
  <c r="J594" i="12" s="1"/>
  <c r="I595" i="12"/>
  <c r="J595" i="12" s="1"/>
  <c r="I596" i="12"/>
  <c r="J596" i="12" s="1"/>
  <c r="I597" i="12"/>
  <c r="J597" i="12" s="1"/>
  <c r="I598" i="12"/>
  <c r="J598" i="12" s="1"/>
  <c r="I599" i="12"/>
  <c r="J599" i="12" s="1"/>
  <c r="I600" i="12"/>
  <c r="J600" i="12" s="1"/>
  <c r="I601" i="12"/>
  <c r="J601" i="12" s="1"/>
  <c r="I602" i="12"/>
  <c r="J602" i="12" s="1"/>
  <c r="I603" i="12"/>
  <c r="J603" i="12" s="1"/>
  <c r="I604" i="12"/>
  <c r="J604" i="12" s="1"/>
  <c r="I605" i="12"/>
  <c r="J605" i="12" s="1"/>
  <c r="I606" i="12"/>
  <c r="J606" i="12" s="1"/>
  <c r="I607" i="12"/>
  <c r="J607" i="12" s="1"/>
  <c r="I608" i="12"/>
  <c r="J608" i="12" s="1"/>
  <c r="I609" i="12"/>
  <c r="J609" i="12" s="1"/>
  <c r="I610" i="12"/>
  <c r="J610" i="12" s="1"/>
  <c r="I611" i="12"/>
  <c r="J611" i="12" s="1"/>
  <c r="I612" i="12"/>
  <c r="J612" i="12" s="1"/>
  <c r="I613" i="12"/>
  <c r="J613" i="12" s="1"/>
  <c r="I2090" i="12"/>
  <c r="I2234" i="12"/>
  <c r="J2234" i="12" s="1"/>
  <c r="I2126" i="12"/>
  <c r="I1874" i="12"/>
  <c r="I2054" i="12"/>
  <c r="I2198" i="12"/>
  <c r="I1982" i="12"/>
  <c r="I1838" i="12"/>
  <c r="I1946" i="12"/>
  <c r="I1910" i="12"/>
  <c r="J1910" i="12" s="1"/>
  <c r="I1802" i="12"/>
  <c r="I2018" i="12"/>
  <c r="I2162" i="12"/>
  <c r="I2091" i="12"/>
  <c r="J2091" i="12" s="1"/>
  <c r="I2235" i="12"/>
  <c r="J2235" i="12" s="1"/>
  <c r="I2127" i="12"/>
  <c r="J2127" i="12" s="1"/>
  <c r="I1875" i="12"/>
  <c r="J1875" i="12" s="1"/>
  <c r="I2055" i="12"/>
  <c r="J2055" i="12" s="1"/>
  <c r="I2199" i="12"/>
  <c r="J2199" i="12" s="1"/>
  <c r="I1983" i="12"/>
  <c r="J1983" i="12" s="1"/>
  <c r="I1839" i="12"/>
  <c r="J1839" i="12" s="1"/>
  <c r="I1947" i="12"/>
  <c r="J1947" i="12" s="1"/>
  <c r="I1911" i="12"/>
  <c r="J1911" i="12" s="1"/>
  <c r="I1803" i="12"/>
  <c r="J1803" i="12" s="1"/>
  <c r="I2019" i="12"/>
  <c r="J2019" i="12" s="1"/>
  <c r="I2163" i="12"/>
  <c r="J2163" i="12" s="1"/>
  <c r="I2092" i="12"/>
  <c r="J2092" i="12" s="1"/>
  <c r="I2236" i="12"/>
  <c r="J2236" i="12" s="1"/>
  <c r="I2128" i="12"/>
  <c r="J2128" i="12" s="1"/>
  <c r="I1876" i="12"/>
  <c r="J1876" i="12" s="1"/>
  <c r="I2056" i="12"/>
  <c r="J2056" i="12" s="1"/>
  <c r="I2200" i="12"/>
  <c r="J2200" i="12" s="1"/>
  <c r="I1984" i="12"/>
  <c r="J1984" i="12" s="1"/>
  <c r="I1840" i="12"/>
  <c r="J1840" i="12" s="1"/>
  <c r="I1948" i="12"/>
  <c r="J1948" i="12" s="1"/>
  <c r="I1912" i="12"/>
  <c r="J1912" i="12" s="1"/>
  <c r="I1804" i="12"/>
  <c r="J1804" i="12" s="1"/>
  <c r="I2020" i="12"/>
  <c r="J2020" i="12" s="1"/>
  <c r="I2164" i="12"/>
  <c r="J2164" i="12" s="1"/>
  <c r="I2093" i="12"/>
  <c r="J2093" i="12" s="1"/>
  <c r="I2237" i="12"/>
  <c r="J2237" i="12" s="1"/>
  <c r="I2129" i="12"/>
  <c r="J2129" i="12" s="1"/>
  <c r="I1877" i="12"/>
  <c r="J1877" i="12" s="1"/>
  <c r="I2057" i="12"/>
  <c r="J2057" i="12" s="1"/>
  <c r="I2201" i="12"/>
  <c r="J2201" i="12" s="1"/>
  <c r="I1985" i="12"/>
  <c r="J1985" i="12" s="1"/>
  <c r="I1841" i="12"/>
  <c r="J1841" i="12" s="1"/>
  <c r="I1949" i="12"/>
  <c r="J1949" i="12" s="1"/>
  <c r="I1913" i="12"/>
  <c r="J1913" i="12" s="1"/>
  <c r="I1805" i="12"/>
  <c r="J1805" i="12" s="1"/>
  <c r="I2021" i="12"/>
  <c r="J2021" i="12" s="1"/>
  <c r="I2165" i="12"/>
  <c r="J2165" i="12" s="1"/>
  <c r="I2094" i="12"/>
  <c r="J2094" i="12" s="1"/>
  <c r="I2238" i="12"/>
  <c r="J2238" i="12" s="1"/>
  <c r="I2130" i="12"/>
  <c r="J2130" i="12" s="1"/>
  <c r="I1878" i="12"/>
  <c r="J1878" i="12" s="1"/>
  <c r="I2058" i="12"/>
  <c r="J2058" i="12" s="1"/>
  <c r="I2202" i="12"/>
  <c r="J2202" i="12" s="1"/>
  <c r="I1986" i="12"/>
  <c r="J1986" i="12" s="1"/>
  <c r="I1842" i="12"/>
  <c r="J1842" i="12" s="1"/>
  <c r="I1950" i="12"/>
  <c r="J1950" i="12" s="1"/>
  <c r="I1914" i="12"/>
  <c r="J1914" i="12" s="1"/>
  <c r="I1806" i="12"/>
  <c r="J1806" i="12" s="1"/>
  <c r="I2022" i="12"/>
  <c r="J2022" i="12" s="1"/>
  <c r="I2166" i="12"/>
  <c r="J2166" i="12" s="1"/>
  <c r="I2095" i="12"/>
  <c r="J2095" i="12" s="1"/>
  <c r="I2239" i="12"/>
  <c r="J2239" i="12" s="1"/>
  <c r="I2131" i="12"/>
  <c r="J2131" i="12" s="1"/>
  <c r="I1879" i="12"/>
  <c r="J1879" i="12" s="1"/>
  <c r="I2059" i="12"/>
  <c r="J2059" i="12" s="1"/>
  <c r="I2203" i="12"/>
  <c r="J2203" i="12" s="1"/>
  <c r="I1987" i="12"/>
  <c r="J1987" i="12" s="1"/>
  <c r="I1843" i="12"/>
  <c r="J1843" i="12" s="1"/>
  <c r="I1951" i="12"/>
  <c r="J1951" i="12" s="1"/>
  <c r="I1915" i="12"/>
  <c r="J1915" i="12" s="1"/>
  <c r="I1807" i="12"/>
  <c r="J1807" i="12" s="1"/>
  <c r="I2023" i="12"/>
  <c r="J2023" i="12" s="1"/>
  <c r="I2167" i="12"/>
  <c r="J2167" i="12" s="1"/>
  <c r="I2096" i="12"/>
  <c r="J2096" i="12" s="1"/>
  <c r="I2240" i="12"/>
  <c r="J2240" i="12" s="1"/>
  <c r="I2132" i="12"/>
  <c r="J2132" i="12" s="1"/>
  <c r="I1880" i="12"/>
  <c r="J1880" i="12" s="1"/>
  <c r="I2060" i="12"/>
  <c r="J2060" i="12" s="1"/>
  <c r="I2204" i="12"/>
  <c r="J2204" i="12" s="1"/>
  <c r="I1988" i="12"/>
  <c r="J1988" i="12" s="1"/>
  <c r="I1844" i="12"/>
  <c r="J1844" i="12" s="1"/>
  <c r="I1952" i="12"/>
  <c r="J1952" i="12" s="1"/>
  <c r="I1916" i="12"/>
  <c r="J1916" i="12" s="1"/>
  <c r="I1808" i="12"/>
  <c r="J1808" i="12" s="1"/>
  <c r="I2024" i="12"/>
  <c r="J2024" i="12" s="1"/>
  <c r="I2168" i="12"/>
  <c r="J2168" i="12" s="1"/>
  <c r="I2097" i="12"/>
  <c r="J2097" i="12" s="1"/>
  <c r="I2241" i="12"/>
  <c r="J2241" i="12" s="1"/>
  <c r="I2133" i="12"/>
  <c r="J2133" i="12" s="1"/>
  <c r="I1881" i="12"/>
  <c r="J1881" i="12" s="1"/>
  <c r="I2061" i="12"/>
  <c r="J2061" i="12" s="1"/>
  <c r="I2205" i="12"/>
  <c r="J2205" i="12" s="1"/>
  <c r="I1989" i="12"/>
  <c r="J1989" i="12" s="1"/>
  <c r="I1845" i="12"/>
  <c r="J1845" i="12" s="1"/>
  <c r="I1953" i="12"/>
  <c r="J1953" i="12" s="1"/>
  <c r="I1917" i="12"/>
  <c r="J1917" i="12" s="1"/>
  <c r="I1809" i="12"/>
  <c r="J1809" i="12" s="1"/>
  <c r="I2025" i="12"/>
  <c r="J2025" i="12" s="1"/>
  <c r="I2169" i="12"/>
  <c r="J2169" i="12" s="1"/>
  <c r="I2098" i="12"/>
  <c r="J2098" i="12" s="1"/>
  <c r="I2242" i="12"/>
  <c r="J2242" i="12" s="1"/>
  <c r="I2134" i="12"/>
  <c r="J2134" i="12" s="1"/>
  <c r="I1882" i="12"/>
  <c r="J1882" i="12" s="1"/>
  <c r="I2062" i="12"/>
  <c r="J2062" i="12" s="1"/>
  <c r="I2206" i="12"/>
  <c r="J2206" i="12" s="1"/>
  <c r="I1990" i="12"/>
  <c r="J1990" i="12" s="1"/>
  <c r="I1846" i="12"/>
  <c r="J1846" i="12" s="1"/>
  <c r="I1954" i="12"/>
  <c r="J1954" i="12" s="1"/>
  <c r="I1918" i="12"/>
  <c r="J1918" i="12" s="1"/>
  <c r="I1810" i="12"/>
  <c r="J1810" i="12" s="1"/>
  <c r="I2026" i="12"/>
  <c r="J2026" i="12" s="1"/>
  <c r="I2170" i="12"/>
  <c r="J2170" i="12" s="1"/>
  <c r="I2099" i="12"/>
  <c r="J2099" i="12" s="1"/>
  <c r="I2243" i="12"/>
  <c r="J2243" i="12" s="1"/>
  <c r="I2135" i="12"/>
  <c r="J2135" i="12" s="1"/>
  <c r="I1883" i="12"/>
  <c r="J1883" i="12" s="1"/>
  <c r="I2063" i="12"/>
  <c r="J2063" i="12" s="1"/>
  <c r="I2207" i="12"/>
  <c r="J2207" i="12" s="1"/>
  <c r="I1991" i="12"/>
  <c r="J1991" i="12" s="1"/>
  <c r="I1847" i="12"/>
  <c r="J1847" i="12" s="1"/>
  <c r="I1955" i="12"/>
  <c r="J1955" i="12" s="1"/>
  <c r="I1919" i="12"/>
  <c r="J1919" i="12" s="1"/>
  <c r="I1811" i="12"/>
  <c r="J1811" i="12" s="1"/>
  <c r="I2027" i="12"/>
  <c r="J2027" i="12" s="1"/>
  <c r="I2171" i="12"/>
  <c r="J2171" i="12" s="1"/>
  <c r="I2100" i="12"/>
  <c r="J2100" i="12" s="1"/>
  <c r="I2244" i="12"/>
  <c r="J2244" i="12" s="1"/>
  <c r="I2136" i="12"/>
  <c r="J2136" i="12" s="1"/>
  <c r="I1884" i="12"/>
  <c r="J1884" i="12" s="1"/>
  <c r="I2064" i="12"/>
  <c r="J2064" i="12" s="1"/>
  <c r="I2208" i="12"/>
  <c r="J2208" i="12" s="1"/>
  <c r="I1992" i="12"/>
  <c r="J1992" i="12" s="1"/>
  <c r="I1848" i="12"/>
  <c r="J1848" i="12" s="1"/>
  <c r="I1956" i="12"/>
  <c r="J1956" i="12" s="1"/>
  <c r="I1920" i="12"/>
  <c r="J1920" i="12" s="1"/>
  <c r="I1812" i="12"/>
  <c r="J1812" i="12" s="1"/>
  <c r="I2028" i="12"/>
  <c r="J2028" i="12" s="1"/>
  <c r="I2172" i="12"/>
  <c r="J2172" i="12" s="1"/>
  <c r="I2101" i="12"/>
  <c r="J2101" i="12" s="1"/>
  <c r="I2245" i="12"/>
  <c r="J2245" i="12" s="1"/>
  <c r="I2137" i="12"/>
  <c r="J2137" i="12" s="1"/>
  <c r="I1885" i="12"/>
  <c r="J1885" i="12" s="1"/>
  <c r="I2065" i="12"/>
  <c r="J2065" i="12" s="1"/>
  <c r="I2209" i="12"/>
  <c r="J2209" i="12" s="1"/>
  <c r="I1993" i="12"/>
  <c r="J1993" i="12" s="1"/>
  <c r="I1849" i="12"/>
  <c r="J1849" i="12" s="1"/>
  <c r="I1957" i="12"/>
  <c r="J1957" i="12" s="1"/>
  <c r="I1921" i="12"/>
  <c r="J1921" i="12" s="1"/>
  <c r="I1813" i="12"/>
  <c r="J1813" i="12" s="1"/>
  <c r="I2029" i="12"/>
  <c r="J2029" i="12" s="1"/>
  <c r="I2173" i="12"/>
  <c r="J2173" i="12" s="1"/>
  <c r="I2102" i="12"/>
  <c r="J2102" i="12" s="1"/>
  <c r="I2246" i="12"/>
  <c r="J2246" i="12" s="1"/>
  <c r="I2138" i="12"/>
  <c r="J2138" i="12" s="1"/>
  <c r="I1886" i="12"/>
  <c r="J1886" i="12" s="1"/>
  <c r="I2066" i="12"/>
  <c r="J2066" i="12" s="1"/>
  <c r="I2210" i="12"/>
  <c r="J2210" i="12" s="1"/>
  <c r="I1994" i="12"/>
  <c r="J1994" i="12" s="1"/>
  <c r="I1850" i="12"/>
  <c r="J1850" i="12" s="1"/>
  <c r="I1958" i="12"/>
  <c r="J1958" i="12" s="1"/>
  <c r="I1922" i="12"/>
  <c r="J1922" i="12" s="1"/>
  <c r="I1814" i="12"/>
  <c r="J1814" i="12" s="1"/>
  <c r="I2030" i="12"/>
  <c r="J2030" i="12" s="1"/>
  <c r="I2174" i="12"/>
  <c r="J2174" i="12" s="1"/>
  <c r="I2103" i="12"/>
  <c r="J2103" i="12" s="1"/>
  <c r="I2247" i="12"/>
  <c r="J2247" i="12" s="1"/>
  <c r="I2139" i="12"/>
  <c r="J2139" i="12" s="1"/>
  <c r="I1887" i="12"/>
  <c r="J1887" i="12" s="1"/>
  <c r="I2067" i="12"/>
  <c r="J2067" i="12" s="1"/>
  <c r="I2211" i="12"/>
  <c r="J2211" i="12" s="1"/>
  <c r="I1995" i="12"/>
  <c r="J1995" i="12" s="1"/>
  <c r="I1851" i="12"/>
  <c r="J1851" i="12" s="1"/>
  <c r="I1959" i="12"/>
  <c r="J1959" i="12" s="1"/>
  <c r="I1923" i="12"/>
  <c r="J1923" i="12" s="1"/>
  <c r="I1815" i="12"/>
  <c r="J1815" i="12" s="1"/>
  <c r="I2031" i="12"/>
  <c r="J2031" i="12" s="1"/>
  <c r="I2175" i="12"/>
  <c r="J2175" i="12" s="1"/>
  <c r="I2104" i="12"/>
  <c r="J2104" i="12" s="1"/>
  <c r="I2248" i="12"/>
  <c r="J2248" i="12" s="1"/>
  <c r="I2140" i="12"/>
  <c r="J2140" i="12" s="1"/>
  <c r="I1888" i="12"/>
  <c r="J1888" i="12" s="1"/>
  <c r="I2068" i="12"/>
  <c r="J2068" i="12" s="1"/>
  <c r="I2212" i="12"/>
  <c r="J2212" i="12" s="1"/>
  <c r="I1996" i="12"/>
  <c r="J1996" i="12" s="1"/>
  <c r="I1852" i="12"/>
  <c r="J1852" i="12" s="1"/>
  <c r="I1960" i="12"/>
  <c r="J1960" i="12" s="1"/>
  <c r="I1924" i="12"/>
  <c r="J1924" i="12" s="1"/>
  <c r="I1816" i="12"/>
  <c r="J1816" i="12" s="1"/>
  <c r="I2032" i="12"/>
  <c r="J2032" i="12" s="1"/>
  <c r="I2176" i="12"/>
  <c r="J2176" i="12" s="1"/>
  <c r="I2105" i="12"/>
  <c r="J2105" i="12" s="1"/>
  <c r="I2249" i="12"/>
  <c r="J2249" i="12" s="1"/>
  <c r="I2141" i="12"/>
  <c r="J2141" i="12" s="1"/>
  <c r="I1889" i="12"/>
  <c r="J1889" i="12" s="1"/>
  <c r="I2069" i="12"/>
  <c r="J2069" i="12" s="1"/>
  <c r="I2213" i="12"/>
  <c r="J2213" i="12" s="1"/>
  <c r="I1997" i="12"/>
  <c r="J1997" i="12" s="1"/>
  <c r="I1853" i="12"/>
  <c r="J1853" i="12" s="1"/>
  <c r="I1961" i="12"/>
  <c r="J1961" i="12" s="1"/>
  <c r="I1925" i="12"/>
  <c r="J1925" i="12" s="1"/>
  <c r="I1817" i="12"/>
  <c r="J1817" i="12" s="1"/>
  <c r="I2033" i="12"/>
  <c r="J2033" i="12" s="1"/>
  <c r="I2177" i="12"/>
  <c r="J2177" i="12" s="1"/>
  <c r="I2106" i="12"/>
  <c r="J2106" i="12" s="1"/>
  <c r="I2250" i="12"/>
  <c r="J2250" i="12" s="1"/>
  <c r="I2142" i="12"/>
  <c r="J2142" i="12" s="1"/>
  <c r="I1890" i="12"/>
  <c r="J1890" i="12" s="1"/>
  <c r="I2070" i="12"/>
  <c r="J2070" i="12" s="1"/>
  <c r="I2214" i="12"/>
  <c r="J2214" i="12" s="1"/>
  <c r="I1998" i="12"/>
  <c r="J1998" i="12" s="1"/>
  <c r="I1854" i="12"/>
  <c r="J1854" i="12" s="1"/>
  <c r="I1962" i="12"/>
  <c r="J1962" i="12" s="1"/>
  <c r="I1926" i="12"/>
  <c r="J1926" i="12" s="1"/>
  <c r="I1818" i="12"/>
  <c r="J1818" i="12" s="1"/>
  <c r="I2034" i="12"/>
  <c r="J2034" i="12" s="1"/>
  <c r="I2178" i="12"/>
  <c r="J2178" i="12" s="1"/>
  <c r="I2107" i="12"/>
  <c r="J2107" i="12" s="1"/>
  <c r="I2251" i="12"/>
  <c r="J2251" i="12" s="1"/>
  <c r="I2143" i="12"/>
  <c r="J2143" i="12" s="1"/>
  <c r="I1891" i="12"/>
  <c r="J1891" i="12" s="1"/>
  <c r="I2071" i="12"/>
  <c r="J2071" i="12" s="1"/>
  <c r="I2215" i="12"/>
  <c r="J2215" i="12" s="1"/>
  <c r="I1999" i="12"/>
  <c r="J1999" i="12" s="1"/>
  <c r="I1855" i="12"/>
  <c r="J1855" i="12" s="1"/>
  <c r="I1963" i="12"/>
  <c r="J1963" i="12" s="1"/>
  <c r="I1927" i="12"/>
  <c r="J1927" i="12" s="1"/>
  <c r="I1819" i="12"/>
  <c r="J1819" i="12" s="1"/>
  <c r="I2035" i="12"/>
  <c r="J2035" i="12" s="1"/>
  <c r="I2179" i="12"/>
  <c r="J2179" i="12" s="1"/>
  <c r="I2108" i="12"/>
  <c r="J2108" i="12" s="1"/>
  <c r="I2252" i="12"/>
  <c r="J2252" i="12" s="1"/>
  <c r="I2144" i="12"/>
  <c r="J2144" i="12" s="1"/>
  <c r="I1892" i="12"/>
  <c r="J1892" i="12" s="1"/>
  <c r="I2072" i="12"/>
  <c r="J2072" i="12" s="1"/>
  <c r="I2216" i="12"/>
  <c r="J2216" i="12" s="1"/>
  <c r="I2000" i="12"/>
  <c r="J2000" i="12" s="1"/>
  <c r="I1856" i="12"/>
  <c r="J1856" i="12" s="1"/>
  <c r="I1964" i="12"/>
  <c r="J1964" i="12" s="1"/>
  <c r="I1928" i="12"/>
  <c r="J1928" i="12" s="1"/>
  <c r="I1820" i="12"/>
  <c r="J1820" i="12" s="1"/>
  <c r="I2036" i="12"/>
  <c r="J2036" i="12" s="1"/>
  <c r="I2180" i="12"/>
  <c r="J2180" i="12" s="1"/>
  <c r="I2109" i="12"/>
  <c r="J2109" i="12" s="1"/>
  <c r="I2253" i="12"/>
  <c r="J2253" i="12" s="1"/>
  <c r="I2145" i="12"/>
  <c r="J2145" i="12" s="1"/>
  <c r="I1893" i="12"/>
  <c r="J1893" i="12" s="1"/>
  <c r="I2073" i="12"/>
  <c r="J2073" i="12" s="1"/>
  <c r="I2217" i="12"/>
  <c r="J2217" i="12" s="1"/>
  <c r="I2001" i="12"/>
  <c r="J2001" i="12" s="1"/>
  <c r="I1857" i="12"/>
  <c r="J1857" i="12" s="1"/>
  <c r="I1965" i="12"/>
  <c r="J1965" i="12" s="1"/>
  <c r="I1929" i="12"/>
  <c r="J1929" i="12" s="1"/>
  <c r="I1821" i="12"/>
  <c r="J1821" i="12" s="1"/>
  <c r="I2037" i="12"/>
  <c r="J2037" i="12" s="1"/>
  <c r="I2181" i="12"/>
  <c r="J2181" i="12" s="1"/>
  <c r="I2110" i="12"/>
  <c r="J2110" i="12" s="1"/>
  <c r="I2254" i="12"/>
  <c r="J2254" i="12" s="1"/>
  <c r="I2146" i="12"/>
  <c r="J2146" i="12" s="1"/>
  <c r="I1894" i="12"/>
  <c r="J1894" i="12" s="1"/>
  <c r="I2074" i="12"/>
  <c r="J2074" i="12" s="1"/>
  <c r="I2218" i="12"/>
  <c r="J2218" i="12" s="1"/>
  <c r="I2002" i="12"/>
  <c r="J2002" i="12" s="1"/>
  <c r="I1858" i="12"/>
  <c r="J1858" i="12" s="1"/>
  <c r="I1966" i="12"/>
  <c r="J1966" i="12" s="1"/>
  <c r="I1930" i="12"/>
  <c r="J1930" i="12" s="1"/>
  <c r="I1822" i="12"/>
  <c r="J1822" i="12" s="1"/>
  <c r="I2038" i="12"/>
  <c r="J2038" i="12" s="1"/>
  <c r="I2182" i="12"/>
  <c r="J2182" i="12" s="1"/>
  <c r="I2111" i="12"/>
  <c r="J2111" i="12" s="1"/>
  <c r="I2255" i="12"/>
  <c r="J2255" i="12" s="1"/>
  <c r="I2147" i="12"/>
  <c r="J2147" i="12" s="1"/>
  <c r="I1895" i="12"/>
  <c r="J1895" i="12" s="1"/>
  <c r="I2075" i="12"/>
  <c r="J2075" i="12" s="1"/>
  <c r="I2219" i="12"/>
  <c r="J2219" i="12" s="1"/>
  <c r="I2003" i="12"/>
  <c r="J2003" i="12" s="1"/>
  <c r="I1859" i="12"/>
  <c r="J1859" i="12" s="1"/>
  <c r="I1967" i="12"/>
  <c r="J1967" i="12" s="1"/>
  <c r="I1931" i="12"/>
  <c r="J1931" i="12" s="1"/>
  <c r="I1823" i="12"/>
  <c r="J1823" i="12" s="1"/>
  <c r="I2039" i="12"/>
  <c r="J2039" i="12" s="1"/>
  <c r="I2183" i="12"/>
  <c r="J2183" i="12" s="1"/>
  <c r="I2112" i="12"/>
  <c r="J2112" i="12" s="1"/>
  <c r="I2256" i="12"/>
  <c r="J2256" i="12" s="1"/>
  <c r="I2148" i="12"/>
  <c r="J2148" i="12" s="1"/>
  <c r="I1896" i="12"/>
  <c r="J1896" i="12" s="1"/>
  <c r="I2076" i="12"/>
  <c r="J2076" i="12" s="1"/>
  <c r="I2220" i="12"/>
  <c r="J2220" i="12" s="1"/>
  <c r="I2004" i="12"/>
  <c r="J2004" i="12" s="1"/>
  <c r="I1860" i="12"/>
  <c r="J1860" i="12" s="1"/>
  <c r="I1968" i="12"/>
  <c r="J1968" i="12" s="1"/>
  <c r="I1932" i="12"/>
  <c r="J1932" i="12" s="1"/>
  <c r="I1824" i="12"/>
  <c r="J1824" i="12" s="1"/>
  <c r="I2040" i="12"/>
  <c r="J2040" i="12" s="1"/>
  <c r="I2184" i="12"/>
  <c r="J2184" i="12" s="1"/>
  <c r="I2113" i="12"/>
  <c r="J2113" i="12" s="1"/>
  <c r="I2257" i="12"/>
  <c r="J2257" i="12" s="1"/>
  <c r="I2149" i="12"/>
  <c r="J2149" i="12" s="1"/>
  <c r="I1897" i="12"/>
  <c r="J1897" i="12" s="1"/>
  <c r="I2077" i="12"/>
  <c r="J2077" i="12" s="1"/>
  <c r="I2221" i="12"/>
  <c r="J2221" i="12" s="1"/>
  <c r="I2005" i="12"/>
  <c r="J2005" i="12" s="1"/>
  <c r="I1861" i="12"/>
  <c r="J1861" i="12" s="1"/>
  <c r="I1969" i="12"/>
  <c r="J1969" i="12" s="1"/>
  <c r="I1933" i="12"/>
  <c r="J1933" i="12" s="1"/>
  <c r="I1825" i="12"/>
  <c r="J1825" i="12" s="1"/>
  <c r="I2041" i="12"/>
  <c r="J2041" i="12" s="1"/>
  <c r="I2185" i="12"/>
  <c r="J2185" i="12" s="1"/>
  <c r="I2114" i="12"/>
  <c r="J2114" i="12" s="1"/>
  <c r="I2258" i="12"/>
  <c r="J2258" i="12" s="1"/>
  <c r="I2150" i="12"/>
  <c r="J2150" i="12" s="1"/>
  <c r="I1898" i="12"/>
  <c r="J1898" i="12" s="1"/>
  <c r="I2078" i="12"/>
  <c r="J2078" i="12" s="1"/>
  <c r="I2222" i="12"/>
  <c r="J2222" i="12" s="1"/>
  <c r="I2006" i="12"/>
  <c r="J2006" i="12" s="1"/>
  <c r="I1862" i="12"/>
  <c r="J1862" i="12" s="1"/>
  <c r="I1970" i="12"/>
  <c r="J1970" i="12" s="1"/>
  <c r="I1934" i="12"/>
  <c r="J1934" i="12" s="1"/>
  <c r="I1826" i="12"/>
  <c r="J1826" i="12" s="1"/>
  <c r="I2042" i="12"/>
  <c r="J2042" i="12" s="1"/>
  <c r="I2186" i="12"/>
  <c r="J2186" i="12" s="1"/>
  <c r="I2115" i="12"/>
  <c r="J2115" i="12" s="1"/>
  <c r="I2259" i="12"/>
  <c r="J2259" i="12" s="1"/>
  <c r="I2151" i="12"/>
  <c r="J2151" i="12" s="1"/>
  <c r="I1899" i="12"/>
  <c r="J1899" i="12" s="1"/>
  <c r="I2079" i="12"/>
  <c r="J2079" i="12" s="1"/>
  <c r="I2223" i="12"/>
  <c r="J2223" i="12" s="1"/>
  <c r="I2007" i="12"/>
  <c r="J2007" i="12" s="1"/>
  <c r="I1863" i="12"/>
  <c r="J1863" i="12" s="1"/>
  <c r="I1971" i="12"/>
  <c r="J1971" i="12" s="1"/>
  <c r="I1935" i="12"/>
  <c r="J1935" i="12" s="1"/>
  <c r="I1827" i="12"/>
  <c r="J1827" i="12" s="1"/>
  <c r="I2043" i="12"/>
  <c r="J2043" i="12" s="1"/>
  <c r="I2187" i="12"/>
  <c r="J2187" i="12" s="1"/>
  <c r="I2116" i="12"/>
  <c r="J2116" i="12" s="1"/>
  <c r="I2260" i="12"/>
  <c r="J2260" i="12" s="1"/>
  <c r="I2152" i="12"/>
  <c r="J2152" i="12" s="1"/>
  <c r="I1900" i="12"/>
  <c r="J1900" i="12" s="1"/>
  <c r="I2080" i="12"/>
  <c r="J2080" i="12" s="1"/>
  <c r="I2224" i="12"/>
  <c r="J2224" i="12" s="1"/>
  <c r="I2008" i="12"/>
  <c r="J2008" i="12" s="1"/>
  <c r="I1864" i="12"/>
  <c r="J1864" i="12" s="1"/>
  <c r="I1972" i="12"/>
  <c r="J1972" i="12" s="1"/>
  <c r="I1936" i="12"/>
  <c r="J1936" i="12" s="1"/>
  <c r="I1828" i="12"/>
  <c r="J1828" i="12" s="1"/>
  <c r="I2044" i="12"/>
  <c r="J2044" i="12" s="1"/>
  <c r="I2188" i="12"/>
  <c r="J2188" i="12" s="1"/>
  <c r="I2117" i="12"/>
  <c r="J2117" i="12" s="1"/>
  <c r="I2261" i="12"/>
  <c r="J2261" i="12" s="1"/>
  <c r="I2153" i="12"/>
  <c r="J2153" i="12" s="1"/>
  <c r="I1901" i="12"/>
  <c r="J1901" i="12" s="1"/>
  <c r="I2081" i="12"/>
  <c r="J2081" i="12" s="1"/>
  <c r="I2225" i="12"/>
  <c r="J2225" i="12" s="1"/>
  <c r="I2009" i="12"/>
  <c r="J2009" i="12" s="1"/>
  <c r="I1865" i="12"/>
  <c r="J1865" i="12" s="1"/>
  <c r="I1973" i="12"/>
  <c r="J1973" i="12" s="1"/>
  <c r="I1937" i="12"/>
  <c r="J1937" i="12" s="1"/>
  <c r="I1829" i="12"/>
  <c r="J1829" i="12" s="1"/>
  <c r="I2045" i="12"/>
  <c r="J2045" i="12" s="1"/>
  <c r="I2189" i="12"/>
  <c r="J2189" i="12" s="1"/>
  <c r="I2118" i="12"/>
  <c r="J2118" i="12" s="1"/>
  <c r="I2262" i="12"/>
  <c r="J2262" i="12" s="1"/>
  <c r="I2154" i="12"/>
  <c r="J2154" i="12" s="1"/>
  <c r="I1902" i="12"/>
  <c r="J1902" i="12" s="1"/>
  <c r="I2082" i="12"/>
  <c r="J2082" i="12" s="1"/>
  <c r="I2226" i="12"/>
  <c r="J2226" i="12" s="1"/>
  <c r="I2010" i="12"/>
  <c r="J2010" i="12" s="1"/>
  <c r="I1866" i="12"/>
  <c r="J1866" i="12" s="1"/>
  <c r="I1974" i="12"/>
  <c r="J1974" i="12" s="1"/>
  <c r="I1938" i="12"/>
  <c r="J1938" i="12" s="1"/>
  <c r="I1830" i="12"/>
  <c r="J1830" i="12" s="1"/>
  <c r="I2046" i="12"/>
  <c r="J2046" i="12" s="1"/>
  <c r="I2190" i="12"/>
  <c r="J2190" i="12" s="1"/>
  <c r="I2119" i="12"/>
  <c r="J2119" i="12" s="1"/>
  <c r="I2263" i="12"/>
  <c r="J2263" i="12" s="1"/>
  <c r="I2155" i="12"/>
  <c r="J2155" i="12" s="1"/>
  <c r="I1903" i="12"/>
  <c r="J1903" i="12" s="1"/>
  <c r="I2083" i="12"/>
  <c r="J2083" i="12" s="1"/>
  <c r="I2227" i="12"/>
  <c r="J2227" i="12" s="1"/>
  <c r="I2011" i="12"/>
  <c r="J2011" i="12" s="1"/>
  <c r="I1867" i="12"/>
  <c r="J1867" i="12" s="1"/>
  <c r="I1975" i="12"/>
  <c r="J1975" i="12" s="1"/>
  <c r="I1939" i="12"/>
  <c r="J1939" i="12" s="1"/>
  <c r="I1831" i="12"/>
  <c r="J1831" i="12" s="1"/>
  <c r="I2047" i="12"/>
  <c r="J2047" i="12" s="1"/>
  <c r="I2191" i="12"/>
  <c r="J2191" i="12" s="1"/>
  <c r="I2120" i="12"/>
  <c r="J2120" i="12" s="1"/>
  <c r="I2264" i="12"/>
  <c r="J2264" i="12" s="1"/>
  <c r="I2156" i="12"/>
  <c r="J2156" i="12" s="1"/>
  <c r="I1904" i="12"/>
  <c r="J1904" i="12" s="1"/>
  <c r="I2084" i="12"/>
  <c r="J2084" i="12" s="1"/>
  <c r="I2228" i="12"/>
  <c r="J2228" i="12" s="1"/>
  <c r="I2012" i="12"/>
  <c r="J2012" i="12" s="1"/>
  <c r="I1868" i="12"/>
  <c r="J1868" i="12" s="1"/>
  <c r="I1976" i="12"/>
  <c r="J1976" i="12" s="1"/>
  <c r="I1940" i="12"/>
  <c r="J1940" i="12" s="1"/>
  <c r="I1832" i="12"/>
  <c r="J1832" i="12" s="1"/>
  <c r="I2048" i="12"/>
  <c r="J2048" i="12" s="1"/>
  <c r="I2192" i="12"/>
  <c r="J2192" i="12" s="1"/>
  <c r="I2121" i="12"/>
  <c r="J2121" i="12" s="1"/>
  <c r="I2265" i="12"/>
  <c r="J2265" i="12" s="1"/>
  <c r="I2157" i="12"/>
  <c r="J2157" i="12" s="1"/>
  <c r="I1905" i="12"/>
  <c r="J1905" i="12" s="1"/>
  <c r="I2085" i="12"/>
  <c r="J2085" i="12" s="1"/>
  <c r="I2229" i="12"/>
  <c r="J2229" i="12" s="1"/>
  <c r="I2013" i="12"/>
  <c r="J2013" i="12" s="1"/>
  <c r="I1869" i="12"/>
  <c r="J1869" i="12" s="1"/>
  <c r="I1977" i="12"/>
  <c r="J1977" i="12" s="1"/>
  <c r="I1941" i="12"/>
  <c r="J1941" i="12" s="1"/>
  <c r="I1833" i="12"/>
  <c r="J1833" i="12" s="1"/>
  <c r="I2049" i="12"/>
  <c r="J2049" i="12" s="1"/>
  <c r="I2193" i="12"/>
  <c r="J2193" i="12" s="1"/>
  <c r="I2122" i="12"/>
  <c r="J2122" i="12" s="1"/>
  <c r="I2266" i="12"/>
  <c r="J2266" i="12" s="1"/>
  <c r="I2158" i="12"/>
  <c r="J2158" i="12" s="1"/>
  <c r="I1906" i="12"/>
  <c r="J1906" i="12" s="1"/>
  <c r="I2086" i="12"/>
  <c r="J2086" i="12" s="1"/>
  <c r="I2230" i="12"/>
  <c r="J2230" i="12" s="1"/>
  <c r="I2014" i="12"/>
  <c r="J2014" i="12" s="1"/>
  <c r="I1870" i="12"/>
  <c r="J1870" i="12" s="1"/>
  <c r="I1978" i="12"/>
  <c r="J1978" i="12" s="1"/>
  <c r="I1942" i="12"/>
  <c r="J1942" i="12" s="1"/>
  <c r="I1834" i="12"/>
  <c r="J1834" i="12" s="1"/>
  <c r="I2050" i="12"/>
  <c r="J2050" i="12" s="1"/>
  <c r="I2194" i="12"/>
  <c r="J2194" i="12" s="1"/>
  <c r="I2123" i="12"/>
  <c r="J2123" i="12" s="1"/>
  <c r="I2267" i="12"/>
  <c r="J2267" i="12" s="1"/>
  <c r="I2159" i="12"/>
  <c r="J2159" i="12" s="1"/>
  <c r="I1907" i="12"/>
  <c r="J1907" i="12" s="1"/>
  <c r="I2087" i="12"/>
  <c r="J2087" i="12" s="1"/>
  <c r="I2231" i="12"/>
  <c r="J2231" i="12" s="1"/>
  <c r="I2015" i="12"/>
  <c r="J2015" i="12" s="1"/>
  <c r="I1871" i="12"/>
  <c r="J1871" i="12" s="1"/>
  <c r="I1979" i="12"/>
  <c r="J1979" i="12" s="1"/>
  <c r="I1943" i="12"/>
  <c r="J1943" i="12" s="1"/>
  <c r="I1835" i="12"/>
  <c r="J1835" i="12" s="1"/>
  <c r="I2051" i="12"/>
  <c r="J2051" i="12" s="1"/>
  <c r="I2195" i="12"/>
  <c r="J2195" i="12" s="1"/>
  <c r="I2124" i="12"/>
  <c r="J2124" i="12" s="1"/>
  <c r="I2268" i="12"/>
  <c r="J2268" i="12" s="1"/>
  <c r="I2160" i="12"/>
  <c r="J2160" i="12" s="1"/>
  <c r="I1908" i="12"/>
  <c r="J1908" i="12" s="1"/>
  <c r="I2088" i="12"/>
  <c r="J2088" i="12" s="1"/>
  <c r="I2232" i="12"/>
  <c r="J2232" i="12" s="1"/>
  <c r="I2016" i="12"/>
  <c r="J2016" i="12" s="1"/>
  <c r="I1872" i="12"/>
  <c r="J1872" i="12" s="1"/>
  <c r="I1980" i="12"/>
  <c r="J1980" i="12" s="1"/>
  <c r="I1944" i="12"/>
  <c r="J1944" i="12" s="1"/>
  <c r="I1836" i="12"/>
  <c r="J1836" i="12" s="1"/>
  <c r="I2052" i="12"/>
  <c r="J2052" i="12" s="1"/>
  <c r="I2196" i="12"/>
  <c r="J2196" i="12" s="1"/>
  <c r="I2125" i="12"/>
  <c r="J2125" i="12" s="1"/>
  <c r="I2269" i="12"/>
  <c r="J2269" i="12" s="1"/>
  <c r="I2161" i="12"/>
  <c r="J2161" i="12" s="1"/>
  <c r="I1909" i="12"/>
  <c r="J1909" i="12" s="1"/>
  <c r="I2089" i="12"/>
  <c r="J2089" i="12" s="1"/>
  <c r="I2233" i="12"/>
  <c r="J2233" i="12" s="1"/>
  <c r="I2017" i="12"/>
  <c r="J2017" i="12" s="1"/>
  <c r="I1873" i="12"/>
  <c r="J1873" i="12" s="1"/>
  <c r="I1981" i="12"/>
  <c r="J1981" i="12" s="1"/>
  <c r="I1945" i="12"/>
  <c r="J1945" i="12" s="1"/>
  <c r="I1837" i="12"/>
  <c r="J1837" i="12" s="1"/>
  <c r="I2053" i="12"/>
  <c r="J2053" i="12" s="1"/>
  <c r="I2197" i="12"/>
  <c r="J2197" i="12" s="1"/>
  <c r="I2" i="12"/>
  <c r="J2" i="12" s="1"/>
  <c r="I74" i="12"/>
  <c r="I3" i="12"/>
  <c r="J3" i="12" s="1"/>
  <c r="I75" i="12"/>
  <c r="J75" i="12" s="1"/>
  <c r="I4" i="12"/>
  <c r="J4" i="12" s="1"/>
  <c r="I76" i="12"/>
  <c r="J76" i="12" s="1"/>
  <c r="I5" i="12"/>
  <c r="J5" i="12" s="1"/>
  <c r="I77" i="12"/>
  <c r="J77" i="12" s="1"/>
  <c r="I6" i="12"/>
  <c r="J6" i="12" s="1"/>
  <c r="I78" i="12"/>
  <c r="J78" i="12" s="1"/>
  <c r="I7" i="12"/>
  <c r="J7" i="12" s="1"/>
  <c r="I79" i="12"/>
  <c r="J79" i="12" s="1"/>
  <c r="I8" i="12"/>
  <c r="J8" i="12" s="1"/>
  <c r="I80" i="12"/>
  <c r="J80" i="12" s="1"/>
  <c r="I9" i="12"/>
  <c r="J9" i="12" s="1"/>
  <c r="I81" i="12"/>
  <c r="J81" i="12" s="1"/>
  <c r="I10" i="12"/>
  <c r="J10" i="12" s="1"/>
  <c r="I82" i="12"/>
  <c r="J82" i="12" s="1"/>
  <c r="I11" i="12"/>
  <c r="J11" i="12" s="1"/>
  <c r="I83" i="12"/>
  <c r="J83" i="12" s="1"/>
  <c r="I12" i="12"/>
  <c r="J12" i="12" s="1"/>
  <c r="I84" i="12"/>
  <c r="J84" i="12" s="1"/>
  <c r="I13" i="12"/>
  <c r="J13" i="12" s="1"/>
  <c r="I85" i="12"/>
  <c r="J85" i="12" s="1"/>
  <c r="I14" i="12"/>
  <c r="J14" i="12" s="1"/>
  <c r="I86" i="12"/>
  <c r="J86" i="12" s="1"/>
  <c r="I15" i="12"/>
  <c r="J15" i="12" s="1"/>
  <c r="I87" i="12"/>
  <c r="J87" i="12" s="1"/>
  <c r="I16" i="12"/>
  <c r="J16" i="12" s="1"/>
  <c r="I88" i="12"/>
  <c r="J88" i="12" s="1"/>
  <c r="I17" i="12"/>
  <c r="J17" i="12" s="1"/>
  <c r="I89" i="12"/>
  <c r="J89" i="12" s="1"/>
  <c r="I18" i="12"/>
  <c r="J18" i="12" s="1"/>
  <c r="I90" i="12"/>
  <c r="J90" i="12" s="1"/>
  <c r="I19" i="12"/>
  <c r="J19" i="12" s="1"/>
  <c r="I91" i="12"/>
  <c r="J91" i="12" s="1"/>
  <c r="I20" i="12"/>
  <c r="J20" i="12" s="1"/>
  <c r="I92" i="12"/>
  <c r="J92" i="12" s="1"/>
  <c r="I21" i="12"/>
  <c r="J21" i="12" s="1"/>
  <c r="I93" i="12"/>
  <c r="J93" i="12" s="1"/>
  <c r="I22" i="12"/>
  <c r="J22" i="12" s="1"/>
  <c r="I94" i="12"/>
  <c r="J94" i="12" s="1"/>
  <c r="I23" i="12"/>
  <c r="J23" i="12" s="1"/>
  <c r="I95" i="12"/>
  <c r="J95" i="12" s="1"/>
  <c r="I24" i="12"/>
  <c r="J24" i="12" s="1"/>
  <c r="I96" i="12"/>
  <c r="J96" i="12" s="1"/>
  <c r="I25" i="12"/>
  <c r="J25" i="12" s="1"/>
  <c r="I97" i="12"/>
  <c r="J97" i="12" s="1"/>
  <c r="I26" i="12"/>
  <c r="J26" i="12" s="1"/>
  <c r="I98" i="12"/>
  <c r="J98" i="12" s="1"/>
  <c r="I27" i="12"/>
  <c r="J27" i="12" s="1"/>
  <c r="I99" i="12"/>
  <c r="J99" i="12" s="1"/>
  <c r="I28" i="12"/>
  <c r="J28" i="12" s="1"/>
  <c r="I100" i="12"/>
  <c r="J100" i="12" s="1"/>
  <c r="I29" i="12"/>
  <c r="J29" i="12" s="1"/>
  <c r="I101" i="12"/>
  <c r="J101" i="12" s="1"/>
  <c r="I30" i="12"/>
  <c r="J30" i="12" s="1"/>
  <c r="I102" i="12"/>
  <c r="J102" i="12" s="1"/>
  <c r="I31" i="12"/>
  <c r="J31" i="12" s="1"/>
  <c r="I103" i="12"/>
  <c r="J103" i="12" s="1"/>
  <c r="I32" i="12"/>
  <c r="J32" i="12" s="1"/>
  <c r="I104" i="12"/>
  <c r="J104" i="12" s="1"/>
  <c r="I33" i="12"/>
  <c r="J33" i="12" s="1"/>
  <c r="I105" i="12"/>
  <c r="J105" i="12" s="1"/>
  <c r="I34" i="12"/>
  <c r="J34" i="12" s="1"/>
  <c r="I106" i="12"/>
  <c r="J106" i="12" s="1"/>
  <c r="I35" i="12"/>
  <c r="J35" i="12" s="1"/>
  <c r="I107" i="12"/>
  <c r="J107" i="12" s="1"/>
  <c r="I36" i="12"/>
  <c r="J36" i="12" s="1"/>
  <c r="I108" i="12"/>
  <c r="J108" i="12" s="1"/>
  <c r="I37" i="12"/>
  <c r="J37" i="12" s="1"/>
  <c r="I109" i="12"/>
  <c r="J109" i="12" s="1"/>
  <c r="F28" i="18"/>
  <c r="E28" i="18"/>
  <c r="D28" i="18"/>
  <c r="C28" i="18"/>
  <c r="B28" i="18"/>
  <c r="A28" i="18"/>
  <c r="D24" i="18"/>
  <c r="C24" i="18"/>
  <c r="B24" i="18"/>
  <c r="A24" i="18"/>
  <c r="F8" i="18"/>
  <c r="E8" i="18"/>
  <c r="D8" i="18"/>
  <c r="C8" i="18"/>
  <c r="B8" i="18"/>
  <c r="A8" i="18"/>
  <c r="F7" i="18"/>
  <c r="E7" i="18"/>
  <c r="D7" i="18"/>
  <c r="C7" i="18"/>
  <c r="B7" i="18"/>
  <c r="A7" i="18"/>
  <c r="F6" i="18"/>
  <c r="E6" i="18"/>
  <c r="D6" i="18"/>
  <c r="C6" i="18"/>
  <c r="B6" i="18"/>
  <c r="A6" i="18"/>
  <c r="F5" i="18"/>
  <c r="E5" i="18"/>
  <c r="D5" i="18"/>
  <c r="C5" i="18"/>
  <c r="B5" i="18"/>
  <c r="A5" i="18"/>
  <c r="F4" i="18"/>
  <c r="E4" i="18"/>
  <c r="D4" i="18"/>
  <c r="C4" i="18"/>
  <c r="B4" i="18"/>
  <c r="A4" i="18"/>
  <c r="F3" i="18"/>
  <c r="E3" i="18"/>
  <c r="D3" i="18"/>
  <c r="C3" i="18"/>
  <c r="B3" i="18"/>
  <c r="A3" i="18"/>
  <c r="J78" i="25"/>
  <c r="J77" i="25"/>
  <c r="J76" i="25"/>
  <c r="I78" i="25"/>
  <c r="I77" i="25"/>
  <c r="I76" i="25"/>
  <c r="E78" i="25"/>
  <c r="D78" i="25"/>
  <c r="E77" i="25"/>
  <c r="D77" i="25"/>
  <c r="E76" i="25"/>
  <c r="D76" i="25"/>
  <c r="K71" i="25"/>
  <c r="F71" i="25"/>
  <c r="E71" i="25"/>
  <c r="F69" i="25"/>
  <c r="E69" i="25"/>
  <c r="F70" i="25"/>
  <c r="E70" i="25"/>
  <c r="J71" i="25"/>
  <c r="J70" i="25"/>
  <c r="J69" i="25"/>
  <c r="F62" i="25"/>
  <c r="F65" i="25"/>
  <c r="E65" i="25"/>
  <c r="E62" i="25"/>
  <c r="F64" i="25"/>
  <c r="E64" i="25"/>
  <c r="F61" i="25"/>
  <c r="E61" i="25"/>
  <c r="F63" i="25"/>
  <c r="E63" i="25"/>
  <c r="F60" i="25"/>
  <c r="E60" i="25"/>
  <c r="G9" i="25"/>
  <c r="G8" i="25"/>
  <c r="F8" i="25"/>
  <c r="F9" i="25"/>
  <c r="F7" i="25"/>
  <c r="F10" i="25"/>
  <c r="G7" i="25"/>
  <c r="L76" i="25" l="1"/>
  <c r="M60" i="25"/>
  <c r="M70" i="25"/>
  <c r="G69" i="25"/>
  <c r="L77" i="25"/>
  <c r="L78" i="25"/>
  <c r="M69" i="25"/>
  <c r="M71" i="25"/>
  <c r="M65" i="25"/>
  <c r="M64" i="25"/>
  <c r="M62" i="25"/>
  <c r="M61" i="25"/>
  <c r="F77" i="25"/>
  <c r="F78" i="25"/>
  <c r="F76" i="25"/>
  <c r="G61" i="25"/>
  <c r="M63" i="25"/>
  <c r="G60" i="25"/>
  <c r="G62" i="25"/>
  <c r="G63" i="25"/>
  <c r="G65" i="25"/>
  <c r="G64" i="25"/>
  <c r="J2090" i="12"/>
  <c r="J1370" i="12"/>
  <c r="J2594" i="12"/>
  <c r="J1730" i="12"/>
  <c r="J1082" i="12"/>
  <c r="J326" i="12"/>
  <c r="J2882" i="12"/>
  <c r="J290" i="12"/>
  <c r="J3386" i="12"/>
  <c r="J2954" i="12"/>
  <c r="J2774" i="12"/>
  <c r="J1154" i="12"/>
  <c r="J1226" i="12"/>
  <c r="J3458" i="12"/>
  <c r="J2162" i="12"/>
  <c r="J3242" i="12"/>
  <c r="J3098" i="12"/>
  <c r="J2630" i="12"/>
  <c r="J1190" i="12"/>
  <c r="J2018" i="12"/>
  <c r="J614" i="12"/>
  <c r="J2342" i="12"/>
  <c r="J1802" i="12"/>
  <c r="J2450" i="12"/>
  <c r="J758" i="12"/>
  <c r="F35" i="23" s="1"/>
  <c r="J2810" i="12"/>
  <c r="J434" i="12"/>
  <c r="J794" i="12"/>
  <c r="J1946" i="12"/>
  <c r="J542" i="12"/>
  <c r="J182" i="12"/>
  <c r="J2666" i="12"/>
  <c r="J1514" i="12"/>
  <c r="J974" i="12"/>
  <c r="J3566" i="12"/>
  <c r="J3170" i="12"/>
  <c r="J1334" i="12"/>
  <c r="J1838" i="12"/>
  <c r="J470" i="12"/>
  <c r="J2486" i="12"/>
  <c r="J1262" i="12"/>
  <c r="J1010" i="12"/>
  <c r="J1982" i="12"/>
  <c r="J254" i="12"/>
  <c r="J1442" i="12"/>
  <c r="J74" i="12"/>
  <c r="J2198" i="12"/>
  <c r="J110" i="12"/>
  <c r="J650" i="12"/>
  <c r="J722" i="12"/>
  <c r="J3206" i="12"/>
  <c r="J1766" i="12"/>
  <c r="E41" i="23"/>
  <c r="E30" i="23"/>
  <c r="D41" i="23"/>
  <c r="E35" i="23"/>
  <c r="E42" i="23"/>
  <c r="F34" i="23"/>
  <c r="D40" i="23"/>
  <c r="J2054" i="12"/>
  <c r="J362" i="12"/>
  <c r="J2702" i="12"/>
  <c r="J1586" i="12"/>
  <c r="J1874" i="12"/>
  <c r="J2414" i="12"/>
  <c r="F26" i="23" s="1"/>
  <c r="J1406" i="12"/>
  <c r="J1478" i="12"/>
  <c r="J2126" i="12"/>
  <c r="J2558" i="12"/>
  <c r="J2738" i="12"/>
  <c r="J902" i="12"/>
  <c r="J830" i="12"/>
  <c r="G71" i="25"/>
  <c r="G70" i="25"/>
  <c r="E22" i="23" l="1"/>
  <c r="E8" i="23"/>
  <c r="E33" i="23"/>
  <c r="F33" i="23"/>
  <c r="F13" i="23"/>
  <c r="E34" i="23"/>
  <c r="E40" i="23"/>
  <c r="F31" i="23"/>
  <c r="D42" i="23"/>
  <c r="E26" i="23"/>
  <c r="C19" i="23" a="1"/>
  <c r="D9" i="23" a="1"/>
  <c r="F17" i="23"/>
  <c r="C18" i="23" a="1"/>
  <c r="F8" i="23"/>
  <c r="D27" i="23" a="1"/>
  <c r="D8" i="23" a="1"/>
  <c r="D14" i="23" a="1"/>
  <c r="D7" i="23" a="1"/>
  <c r="D21" i="23" a="1"/>
  <c r="B40" i="23"/>
  <c r="E29" i="23"/>
  <c r="D35" i="23" a="1"/>
  <c r="D31" i="23" a="1"/>
  <c r="B39" i="23"/>
  <c r="F39" i="23" s="1"/>
  <c r="D13" i="23" a="1"/>
  <c r="C23" i="23" a="1"/>
  <c r="E27" i="23"/>
  <c r="B41" i="23"/>
  <c r="C42" i="23"/>
  <c r="F27" i="23"/>
  <c r="D12" i="23" a="1"/>
  <c r="F30" i="23"/>
  <c r="B42" i="23"/>
  <c r="D22" i="23" a="1"/>
  <c r="E12" i="23"/>
  <c r="E14" i="23"/>
  <c r="E7" i="23"/>
  <c r="E13" i="23"/>
  <c r="E9" i="23"/>
  <c r="C25" i="23" a="1"/>
  <c r="D33" i="23" a="1"/>
  <c r="C40" i="23"/>
  <c r="F40" i="23" s="1"/>
  <c r="C41" i="23"/>
  <c r="F14" i="23"/>
  <c r="D29" i="23" a="1"/>
  <c r="F9" i="23"/>
  <c r="D30" i="23" a="1"/>
  <c r="F22" i="23"/>
  <c r="F21" i="23"/>
  <c r="E21" i="23"/>
  <c r="F12" i="23"/>
  <c r="D26" i="23" a="1"/>
  <c r="D17" i="23" a="1"/>
  <c r="F7" i="23"/>
  <c r="E17" i="23"/>
  <c r="D34" i="23" a="1"/>
  <c r="E31" i="23"/>
  <c r="F29" i="23"/>
  <c r="F42" i="23" l="1"/>
  <c r="F41" i="23"/>
  <c r="Q1190" i="12" l="1"/>
  <c r="Q1226" i="12"/>
  <c r="Q1082" i="12"/>
  <c r="Q1334" i="12"/>
  <c r="Q1370" i="12"/>
  <c r="Q830" i="12"/>
  <c r="Q38" i="12"/>
  <c r="Q1478" i="12"/>
  <c r="Q1586" i="12"/>
  <c r="Q722" i="12"/>
  <c r="Q1298" i="12"/>
  <c r="Q1010" i="12"/>
  <c r="Q974" i="12"/>
  <c r="Q1046" i="12"/>
  <c r="Q1622" i="12"/>
  <c r="Q938" i="12"/>
  <c r="Q686" i="12"/>
  <c r="Q1154" i="12"/>
  <c r="Q1730" i="12"/>
  <c r="Q1550" i="12"/>
  <c r="Q1694" i="12"/>
  <c r="Q902" i="12"/>
  <c r="Q866" i="12"/>
  <c r="Q1406" i="12"/>
  <c r="Q1118" i="12"/>
  <c r="Q650" i="12"/>
  <c r="Q1442" i="12"/>
  <c r="Q1262" i="12"/>
  <c r="Q1514" i="12"/>
  <c r="Q794" i="12"/>
  <c r="Q758" i="12"/>
  <c r="Q1766" i="12"/>
  <c r="Q1658" i="12"/>
  <c r="Q1191" i="12"/>
  <c r="Q1227" i="12"/>
  <c r="Q1083" i="12"/>
  <c r="Q1335" i="12"/>
  <c r="Q1371" i="12"/>
  <c r="Q831" i="12"/>
  <c r="Q39" i="12"/>
  <c r="Q1479" i="12"/>
  <c r="Q1587" i="12"/>
  <c r="Q723" i="12"/>
  <c r="Q1299" i="12"/>
  <c r="Q1011" i="12"/>
  <c r="Q975" i="12"/>
  <c r="Q1047" i="12"/>
  <c r="Q1623" i="12"/>
  <c r="Q939" i="12"/>
  <c r="Q687" i="12"/>
  <c r="Q1155" i="12"/>
  <c r="Q1731" i="12"/>
  <c r="Q1551" i="12"/>
  <c r="Q1695" i="12"/>
  <c r="Q903" i="12"/>
  <c r="Q867" i="12"/>
  <c r="Q1407" i="12"/>
  <c r="Q1119" i="12"/>
  <c r="Q651" i="12"/>
  <c r="Q1443" i="12"/>
  <c r="Q1263" i="12"/>
  <c r="Q1515" i="12"/>
  <c r="Q795" i="12"/>
  <c r="Q759" i="12"/>
  <c r="Q1767" i="12"/>
  <c r="Q1659" i="12"/>
  <c r="Q1192" i="12"/>
  <c r="Q1228" i="12"/>
  <c r="Q1084" i="12"/>
  <c r="Q1336" i="12"/>
  <c r="Q1372" i="12"/>
  <c r="Q832" i="12"/>
  <c r="Q40" i="12"/>
  <c r="Q1480" i="12"/>
  <c r="Q1588" i="12"/>
  <c r="Q724" i="12"/>
  <c r="Q1300" i="12"/>
  <c r="Q1012" i="12"/>
  <c r="Q976" i="12"/>
  <c r="Q1048" i="12"/>
  <c r="Q1624" i="12"/>
  <c r="Q940" i="12"/>
  <c r="Q688" i="12"/>
  <c r="Q1156" i="12"/>
  <c r="Q1732" i="12"/>
  <c r="Q1552" i="12"/>
  <c r="Q1696" i="12"/>
  <c r="Q904" i="12"/>
  <c r="Q868" i="12"/>
  <c r="Q1408" i="12"/>
  <c r="Q1120" i="12"/>
  <c r="Q652" i="12"/>
  <c r="Q1444" i="12"/>
  <c r="Q1264" i="12"/>
  <c r="Q1516" i="12"/>
  <c r="Q796" i="12"/>
  <c r="Q760" i="12"/>
  <c r="Q1768" i="12"/>
  <c r="Q1660" i="12"/>
  <c r="Q1193" i="12"/>
  <c r="Q1229" i="12"/>
  <c r="Q1085" i="12"/>
  <c r="Q1337" i="12"/>
  <c r="Q1373" i="12"/>
  <c r="Q833" i="12"/>
  <c r="Q41" i="12"/>
  <c r="Q1481" i="12"/>
  <c r="Q1589" i="12"/>
  <c r="Q725" i="12"/>
  <c r="Q1301" i="12"/>
  <c r="Q1013" i="12"/>
  <c r="Q977" i="12"/>
  <c r="Q1049" i="12"/>
  <c r="Q1625" i="12"/>
  <c r="Q941" i="12"/>
  <c r="Q689" i="12"/>
  <c r="Q1157" i="12"/>
  <c r="Q1733" i="12"/>
  <c r="Q1553" i="12"/>
  <c r="Q1697" i="12"/>
  <c r="Q905" i="12"/>
  <c r="Q869" i="12"/>
  <c r="Q1409" i="12"/>
  <c r="Q1121" i="12"/>
  <c r="Q653" i="12"/>
  <c r="Q1445" i="12"/>
  <c r="Q1265" i="12"/>
  <c r="Q1517" i="12"/>
  <c r="Q797" i="12"/>
  <c r="Q761" i="12"/>
  <c r="Q1769" i="12"/>
  <c r="Q1661" i="12"/>
  <c r="Q1194" i="12"/>
  <c r="Q1230" i="12"/>
  <c r="Q1086" i="12"/>
  <c r="Q1338" i="12"/>
  <c r="Q1374" i="12"/>
  <c r="Q834" i="12"/>
  <c r="Q42" i="12"/>
  <c r="Q1482" i="12"/>
  <c r="Q1590" i="12"/>
  <c r="Q726" i="12"/>
  <c r="Q1302" i="12"/>
  <c r="Q1014" i="12"/>
  <c r="Q978" i="12"/>
  <c r="Q1050" i="12"/>
  <c r="Q1626" i="12"/>
  <c r="Q942" i="12"/>
  <c r="Q690" i="12"/>
  <c r="Q1158" i="12"/>
  <c r="Q1734" i="12"/>
  <c r="Q1554" i="12"/>
  <c r="Q1698" i="12"/>
  <c r="Q906" i="12"/>
  <c r="Q870" i="12"/>
  <c r="Q1410" i="12"/>
  <c r="Q1122" i="12"/>
  <c r="Q654" i="12"/>
  <c r="Q1446" i="12"/>
  <c r="Q1266" i="12"/>
  <c r="Q1518" i="12"/>
  <c r="Q798" i="12"/>
  <c r="Q762" i="12"/>
  <c r="Q1770" i="12"/>
  <c r="Q1662" i="12"/>
  <c r="Q1195" i="12"/>
  <c r="Q1231" i="12"/>
  <c r="Q1087" i="12"/>
  <c r="Q1339" i="12"/>
  <c r="Q1375" i="12"/>
  <c r="Q835" i="12"/>
  <c r="Q43" i="12"/>
  <c r="Q1483" i="12"/>
  <c r="Q1591" i="12"/>
  <c r="Q727" i="12"/>
  <c r="Q1303" i="12"/>
  <c r="Q1015" i="12"/>
  <c r="Q979" i="12"/>
  <c r="Q1051" i="12"/>
  <c r="Q1627" i="12"/>
  <c r="Q943" i="12"/>
  <c r="Q691" i="12"/>
  <c r="Q1159" i="12"/>
  <c r="Q1735" i="12"/>
  <c r="Q1555" i="12"/>
  <c r="Q1699" i="12"/>
  <c r="Q907" i="12"/>
  <c r="Q871" i="12"/>
  <c r="Q1411" i="12"/>
  <c r="Q1123" i="12"/>
  <c r="Q655" i="12"/>
  <c r="Q1447" i="12"/>
  <c r="Q1267" i="12"/>
  <c r="Q1519" i="12"/>
  <c r="Q799" i="12"/>
  <c r="Q763" i="12"/>
  <c r="Q1771" i="12"/>
  <c r="Q1663" i="12"/>
  <c r="Q1196" i="12"/>
  <c r="Q1232" i="12"/>
  <c r="Q1088" i="12"/>
  <c r="Q1340" i="12"/>
  <c r="Q1376" i="12"/>
  <c r="Q836" i="12"/>
  <c r="Q44" i="12"/>
  <c r="Q1484" i="12"/>
  <c r="Q1592" i="12"/>
  <c r="Q728" i="12"/>
  <c r="Q1304" i="12"/>
  <c r="Q1016" i="12"/>
  <c r="Q980" i="12"/>
  <c r="Q1052" i="12"/>
  <c r="Q1628" i="12"/>
  <c r="Q944" i="12"/>
  <c r="Q692" i="12"/>
  <c r="Q1160" i="12"/>
  <c r="Q1736" i="12"/>
  <c r="Q1556" i="12"/>
  <c r="Q1700" i="12"/>
  <c r="Q908" i="12"/>
  <c r="Q872" i="12"/>
  <c r="Q1412" i="12"/>
  <c r="Q1124" i="12"/>
  <c r="Q656" i="12"/>
  <c r="Q1448" i="12"/>
  <c r="Q1268" i="12"/>
  <c r="Q1520" i="12"/>
  <c r="Q800" i="12"/>
  <c r="Q764" i="12"/>
  <c r="Q1772" i="12"/>
  <c r="Q1664" i="12"/>
  <c r="Q1197" i="12"/>
  <c r="Q1233" i="12"/>
  <c r="Q1089" i="12"/>
  <c r="Q1341" i="12"/>
  <c r="Q1377" i="12"/>
  <c r="Q837" i="12"/>
  <c r="Q45" i="12"/>
  <c r="Q1485" i="12"/>
  <c r="Q1593" i="12"/>
  <c r="Q729" i="12"/>
  <c r="Q1305" i="12"/>
  <c r="Q1017" i="12"/>
  <c r="Q981" i="12"/>
  <c r="Q1053" i="12"/>
  <c r="Q1629" i="12"/>
  <c r="Q945" i="12"/>
  <c r="Q693" i="12"/>
  <c r="Q1161" i="12"/>
  <c r="Q1737" i="12"/>
  <c r="Q1557" i="12"/>
  <c r="Q1701" i="12"/>
  <c r="Q909" i="12"/>
  <c r="Q873" i="12"/>
  <c r="Q1413" i="12"/>
  <c r="Q1125" i="12"/>
  <c r="Q657" i="12"/>
  <c r="Q1449" i="12"/>
  <c r="Q1269" i="12"/>
  <c r="Q1521" i="12"/>
  <c r="Q801" i="12"/>
  <c r="Q765" i="12"/>
  <c r="Q1773" i="12"/>
  <c r="Q1665" i="12"/>
  <c r="Q1198" i="12"/>
  <c r="Q1234" i="12"/>
  <c r="Q1090" i="12"/>
  <c r="Q1342" i="12"/>
  <c r="Q1378" i="12"/>
  <c r="Q838" i="12"/>
  <c r="Q46" i="12"/>
  <c r="Q1486" i="12"/>
  <c r="Q1594" i="12"/>
  <c r="Q730" i="12"/>
  <c r="Q1306" i="12"/>
  <c r="Q1018" i="12"/>
  <c r="Q982" i="12"/>
  <c r="Q1054" i="12"/>
  <c r="Q1630" i="12"/>
  <c r="Q946" i="12"/>
  <c r="Q694" i="12"/>
  <c r="Q1162" i="12"/>
  <c r="Q1738" i="12"/>
  <c r="Q1558" i="12"/>
  <c r="Q1702" i="12"/>
  <c r="Q910" i="12"/>
  <c r="Q874" i="12"/>
  <c r="Q1414" i="12"/>
  <c r="Q1126" i="12"/>
  <c r="Q658" i="12"/>
  <c r="Q1450" i="12"/>
  <c r="Q1270" i="12"/>
  <c r="Q1522" i="12"/>
  <c r="Q802" i="12"/>
  <c r="Q766" i="12"/>
  <c r="Q1774" i="12"/>
  <c r="Q1666" i="12"/>
  <c r="Q1199" i="12"/>
  <c r="Q1235" i="12"/>
  <c r="Q1091" i="12"/>
  <c r="Q1343" i="12"/>
  <c r="Q1379" i="12"/>
  <c r="Q839" i="12"/>
  <c r="Q47" i="12"/>
  <c r="Q1487" i="12"/>
  <c r="Q1595" i="12"/>
  <c r="Q731" i="12"/>
  <c r="Q1307" i="12"/>
  <c r="Q1019" i="12"/>
  <c r="Q983" i="12"/>
  <c r="Q1055" i="12"/>
  <c r="Q1631" i="12"/>
  <c r="Q947" i="12"/>
  <c r="Q695" i="12"/>
  <c r="Q1163" i="12"/>
  <c r="Q1739" i="12"/>
  <c r="Q1559" i="12"/>
  <c r="Q1703" i="12"/>
  <c r="Q911" i="12"/>
  <c r="Q875" i="12"/>
  <c r="Q1415" i="12"/>
  <c r="Q1127" i="12"/>
  <c r="Q659" i="12"/>
  <c r="Q1451" i="12"/>
  <c r="Q1271" i="12"/>
  <c r="Q1523" i="12"/>
  <c r="Q803" i="12"/>
  <c r="Q767" i="12"/>
  <c r="Q1775" i="12"/>
  <c r="Q1667" i="12"/>
  <c r="Q1200" i="12"/>
  <c r="Q1236" i="12"/>
  <c r="Q1092" i="12"/>
  <c r="Q1344" i="12"/>
  <c r="Q1380" i="12"/>
  <c r="Q840" i="12"/>
  <c r="Q48" i="12"/>
  <c r="Q1488" i="12"/>
  <c r="Q1596" i="12"/>
  <c r="Q732" i="12"/>
  <c r="Q1308" i="12"/>
  <c r="Q1020" i="12"/>
  <c r="Q984" i="12"/>
  <c r="Q1056" i="12"/>
  <c r="Q1632" i="12"/>
  <c r="Q948" i="12"/>
  <c r="Q696" i="12"/>
  <c r="Q1164" i="12"/>
  <c r="Q1740" i="12"/>
  <c r="Q1560" i="12"/>
  <c r="Q1704" i="12"/>
  <c r="Q912" i="12"/>
  <c r="Q876" i="12"/>
  <c r="Q1416" i="12"/>
  <c r="Q1128" i="12"/>
  <c r="Q660" i="12"/>
  <c r="Q1452" i="12"/>
  <c r="Q1272" i="12"/>
  <c r="Q1524" i="12"/>
  <c r="Q804" i="12"/>
  <c r="Q768" i="12"/>
  <c r="Q1776" i="12"/>
  <c r="Q1668" i="12"/>
  <c r="Q1201" i="12"/>
  <c r="Q1237" i="12"/>
  <c r="Q1093" i="12"/>
  <c r="Q1345" i="12"/>
  <c r="Q1381" i="12"/>
  <c r="Q841" i="12"/>
  <c r="Q49" i="12"/>
  <c r="Q1489" i="12"/>
  <c r="Q1597" i="12"/>
  <c r="Q733" i="12"/>
  <c r="Q1309" i="12"/>
  <c r="Q1021" i="12"/>
  <c r="Q985" i="12"/>
  <c r="Q1057" i="12"/>
  <c r="Q1633" i="12"/>
  <c r="Q949" i="12"/>
  <c r="Q697" i="12"/>
  <c r="Q1165" i="12"/>
  <c r="Q1741" i="12"/>
  <c r="Q1561" i="12"/>
  <c r="Q1705" i="12"/>
  <c r="Q913" i="12"/>
  <c r="Q877" i="12"/>
  <c r="Q1417" i="12"/>
  <c r="Q1129" i="12"/>
  <c r="Q661" i="12"/>
  <c r="Q1453" i="12"/>
  <c r="Q1273" i="12"/>
  <c r="Q1525" i="12"/>
  <c r="Q805" i="12"/>
  <c r="Q769" i="12"/>
  <c r="Q1777" i="12"/>
  <c r="Q1669" i="12"/>
  <c r="Q1202" i="12"/>
  <c r="Q1238" i="12"/>
  <c r="Q1094" i="12"/>
  <c r="Q1346" i="12"/>
  <c r="Q1382" i="12"/>
  <c r="Q842" i="12"/>
  <c r="Q50" i="12"/>
  <c r="Q1490" i="12"/>
  <c r="Q1598" i="12"/>
  <c r="Q734" i="12"/>
  <c r="Q1310" i="12"/>
  <c r="Q1022" i="12"/>
  <c r="Q986" i="12"/>
  <c r="Q1058" i="12"/>
  <c r="Q1634" i="12"/>
  <c r="Q950" i="12"/>
  <c r="Q698" i="12"/>
  <c r="Q1166" i="12"/>
  <c r="Q1742" i="12"/>
  <c r="Q1562" i="12"/>
  <c r="Q1706" i="12"/>
  <c r="Q914" i="12"/>
  <c r="Q878" i="12"/>
  <c r="Q1418" i="12"/>
  <c r="Q1130" i="12"/>
  <c r="Q662" i="12"/>
  <c r="Q1454" i="12"/>
  <c r="Q1274" i="12"/>
  <c r="Q1526" i="12"/>
  <c r="Q806" i="12"/>
  <c r="Q770" i="12"/>
  <c r="Q1778" i="12"/>
  <c r="Q1670" i="12"/>
  <c r="Q1203" i="12"/>
  <c r="Q1239" i="12"/>
  <c r="Q1095" i="12"/>
  <c r="Q1347" i="12"/>
  <c r="Q1383" i="12"/>
  <c r="Q843" i="12"/>
  <c r="Q51" i="12"/>
  <c r="Q1491" i="12"/>
  <c r="Q1599" i="12"/>
  <c r="Q735" i="12"/>
  <c r="Q1311" i="12"/>
  <c r="Q1023" i="12"/>
  <c r="Q987" i="12"/>
  <c r="Q1059" i="12"/>
  <c r="Q1635" i="12"/>
  <c r="Q951" i="12"/>
  <c r="Q699" i="12"/>
  <c r="Q1167" i="12"/>
  <c r="Q1743" i="12"/>
  <c r="Q1563" i="12"/>
  <c r="Q1707" i="12"/>
  <c r="Q915" i="12"/>
  <c r="Q879" i="12"/>
  <c r="Q1419" i="12"/>
  <c r="Q1131" i="12"/>
  <c r="Q663" i="12"/>
  <c r="Q1455" i="12"/>
  <c r="Q1275" i="12"/>
  <c r="Q1527" i="12"/>
  <c r="Q807" i="12"/>
  <c r="Q771" i="12"/>
  <c r="Q1779" i="12"/>
  <c r="Q1671" i="12"/>
  <c r="Q1204" i="12"/>
  <c r="Q1240" i="12"/>
  <c r="Q1096" i="12"/>
  <c r="Q1348" i="12"/>
  <c r="Q1384" i="12"/>
  <c r="Q844" i="12"/>
  <c r="Q52" i="12"/>
  <c r="Q1492" i="12"/>
  <c r="Q1600" i="12"/>
  <c r="Q736" i="12"/>
  <c r="Q1312" i="12"/>
  <c r="Q1024" i="12"/>
  <c r="Q988" i="12"/>
  <c r="Q1060" i="12"/>
  <c r="Q1636" i="12"/>
  <c r="Q952" i="12"/>
  <c r="Q700" i="12"/>
  <c r="Q1168" i="12"/>
  <c r="Q1744" i="12"/>
  <c r="Q1564" i="12"/>
  <c r="Q1708" i="12"/>
  <c r="Q916" i="12"/>
  <c r="Q880" i="12"/>
  <c r="Q1420" i="12"/>
  <c r="Q1132" i="12"/>
  <c r="Q664" i="12"/>
  <c r="Q1456" i="12"/>
  <c r="Q1276" i="12"/>
  <c r="Q1528" i="12"/>
  <c r="Q808" i="12"/>
  <c r="Q772" i="12"/>
  <c r="Q1780" i="12"/>
  <c r="Q1672" i="12"/>
  <c r="Q1205" i="12"/>
  <c r="Q1241" i="12"/>
  <c r="Q1097" i="12"/>
  <c r="Q1349" i="12"/>
  <c r="Q1385" i="12"/>
  <c r="Q845" i="12"/>
  <c r="Q53" i="12"/>
  <c r="Q1493" i="12"/>
  <c r="Q1601" i="12"/>
  <c r="Q737" i="12"/>
  <c r="Q1313" i="12"/>
  <c r="Q1025" i="12"/>
  <c r="Q989" i="12"/>
  <c r="Q1061" i="12"/>
  <c r="Q1637" i="12"/>
  <c r="Q953" i="12"/>
  <c r="Q701" i="12"/>
  <c r="Q1169" i="12"/>
  <c r="Q1745" i="12"/>
  <c r="Q1565" i="12"/>
  <c r="Q1709" i="12"/>
  <c r="Q917" i="12"/>
  <c r="Q881" i="12"/>
  <c r="Q1421" i="12"/>
  <c r="Q1133" i="12"/>
  <c r="Q665" i="12"/>
  <c r="Q1457" i="12"/>
  <c r="Q1277" i="12"/>
  <c r="Q1529" i="12"/>
  <c r="Q809" i="12"/>
  <c r="Q773" i="12"/>
  <c r="Q1781" i="12"/>
  <c r="Q1673" i="12"/>
  <c r="Q1206" i="12"/>
  <c r="Q1242" i="12"/>
  <c r="Q1098" i="12"/>
  <c r="Q1350" i="12"/>
  <c r="Q1386" i="12"/>
  <c r="Q846" i="12"/>
  <c r="Q54" i="12"/>
  <c r="Q1494" i="12"/>
  <c r="Q1602" i="12"/>
  <c r="Q738" i="12"/>
  <c r="Q1314" i="12"/>
  <c r="Q1026" i="12"/>
  <c r="Q990" i="12"/>
  <c r="Q1062" i="12"/>
  <c r="Q1638" i="12"/>
  <c r="Q954" i="12"/>
  <c r="Q702" i="12"/>
  <c r="Q1170" i="12"/>
  <c r="Q1746" i="12"/>
  <c r="Q1566" i="12"/>
  <c r="Q1710" i="12"/>
  <c r="Q918" i="12"/>
  <c r="Q882" i="12"/>
  <c r="Q1422" i="12"/>
  <c r="Q1134" i="12"/>
  <c r="Q666" i="12"/>
  <c r="Q1458" i="12"/>
  <c r="Q1278" i="12"/>
  <c r="Q1530" i="12"/>
  <c r="Q810" i="12"/>
  <c r="Q774" i="12"/>
  <c r="Q1782" i="12"/>
  <c r="Q1674" i="12"/>
  <c r="Q1207" i="12"/>
  <c r="Q1243" i="12"/>
  <c r="Q1099" i="12"/>
  <c r="Q1351" i="12"/>
  <c r="Q1387" i="12"/>
  <c r="Q847" i="12"/>
  <c r="Q55" i="12"/>
  <c r="Q1495" i="12"/>
  <c r="Q1603" i="12"/>
  <c r="Q739" i="12"/>
  <c r="Q1315" i="12"/>
  <c r="Q1027" i="12"/>
  <c r="Q991" i="12"/>
  <c r="Q1063" i="12"/>
  <c r="Q1639" i="12"/>
  <c r="Q955" i="12"/>
  <c r="Q703" i="12"/>
  <c r="Q1171" i="12"/>
  <c r="Q1747" i="12"/>
  <c r="Q1567" i="12"/>
  <c r="Q1711" i="12"/>
  <c r="Q919" i="12"/>
  <c r="Q883" i="12"/>
  <c r="Q1423" i="12"/>
  <c r="Q1135" i="12"/>
  <c r="Q667" i="12"/>
  <c r="Q1459" i="12"/>
  <c r="Q1279" i="12"/>
  <c r="Q1531" i="12"/>
  <c r="Q811" i="12"/>
  <c r="Q775" i="12"/>
  <c r="Q1783" i="12"/>
  <c r="Q1675" i="12"/>
  <c r="Q1208" i="12"/>
  <c r="Q1244" i="12"/>
  <c r="Q1100" i="12"/>
  <c r="Q1352" i="12"/>
  <c r="Q1388" i="12"/>
  <c r="Q848" i="12"/>
  <c r="Q56" i="12"/>
  <c r="Q1496" i="12"/>
  <c r="Q1604" i="12"/>
  <c r="Q740" i="12"/>
  <c r="Q1316" i="12"/>
  <c r="Q1028" i="12"/>
  <c r="Q992" i="12"/>
  <c r="Q1064" i="12"/>
  <c r="Q1640" i="12"/>
  <c r="Q956" i="12"/>
  <c r="Q704" i="12"/>
  <c r="Q1172" i="12"/>
  <c r="Q1748" i="12"/>
  <c r="Q1568" i="12"/>
  <c r="Q1712" i="12"/>
  <c r="Q920" i="12"/>
  <c r="Q884" i="12"/>
  <c r="Q1424" i="12"/>
  <c r="Q1136" i="12"/>
  <c r="Q668" i="12"/>
  <c r="Q1460" i="12"/>
  <c r="Q1280" i="12"/>
  <c r="Q1532" i="12"/>
  <c r="Q812" i="12"/>
  <c r="Q776" i="12"/>
  <c r="Q1784" i="12"/>
  <c r="Q1676" i="12"/>
  <c r="Q1209" i="12"/>
  <c r="Q1245" i="12"/>
  <c r="Q1101" i="12"/>
  <c r="Q1353" i="12"/>
  <c r="Q1389" i="12"/>
  <c r="Q849" i="12"/>
  <c r="Q57" i="12"/>
  <c r="Q1497" i="12"/>
  <c r="Q1605" i="12"/>
  <c r="Q741" i="12"/>
  <c r="Q1317" i="12"/>
  <c r="Q1029" i="12"/>
  <c r="Q993" i="12"/>
  <c r="Q1065" i="12"/>
  <c r="Q1641" i="12"/>
  <c r="Q957" i="12"/>
  <c r="Q705" i="12"/>
  <c r="Q1173" i="12"/>
  <c r="Q1749" i="12"/>
  <c r="Q1569" i="12"/>
  <c r="Q1713" i="12"/>
  <c r="Q921" i="12"/>
  <c r="Q885" i="12"/>
  <c r="Q1425" i="12"/>
  <c r="Q1137" i="12"/>
  <c r="Q669" i="12"/>
  <c r="Q1461" i="12"/>
  <c r="Q1281" i="12"/>
  <c r="Q1533" i="12"/>
  <c r="Q813" i="12"/>
  <c r="Q777" i="12"/>
  <c r="Q1785" i="12"/>
  <c r="Q1677" i="12"/>
  <c r="Q1210" i="12"/>
  <c r="Q1246" i="12"/>
  <c r="Q1102" i="12"/>
  <c r="Q1354" i="12"/>
  <c r="Q1390" i="12"/>
  <c r="Q850" i="12"/>
  <c r="Q58" i="12"/>
  <c r="Q1498" i="12"/>
  <c r="Q1606" i="12"/>
  <c r="Q742" i="12"/>
  <c r="Q1318" i="12"/>
  <c r="Q1030" i="12"/>
  <c r="Q994" i="12"/>
  <c r="Q1066" i="12"/>
  <c r="Q1642" i="12"/>
  <c r="Q958" i="12"/>
  <c r="Q706" i="12"/>
  <c r="Q1174" i="12"/>
  <c r="Q1750" i="12"/>
  <c r="Q1570" i="12"/>
  <c r="Q1714" i="12"/>
  <c r="Q922" i="12"/>
  <c r="Q886" i="12"/>
  <c r="Q1426" i="12"/>
  <c r="Q1138" i="12"/>
  <c r="Q670" i="12"/>
  <c r="Q1462" i="12"/>
  <c r="Q1282" i="12"/>
  <c r="Q1534" i="12"/>
  <c r="Q814" i="12"/>
  <c r="Q778" i="12"/>
  <c r="Q1786" i="12"/>
  <c r="Q1678" i="12"/>
  <c r="Q1211" i="12"/>
  <c r="Q1247" i="12"/>
  <c r="Q1103" i="12"/>
  <c r="Q1355" i="12"/>
  <c r="Q1391" i="12"/>
  <c r="Q851" i="12"/>
  <c r="Q59" i="12"/>
  <c r="Q1499" i="12"/>
  <c r="Q1607" i="12"/>
  <c r="Q743" i="12"/>
  <c r="Q1319" i="12"/>
  <c r="Q1031" i="12"/>
  <c r="Q995" i="12"/>
  <c r="Q1067" i="12"/>
  <c r="Q1643" i="12"/>
  <c r="Q959" i="12"/>
  <c r="Q707" i="12"/>
  <c r="Q1175" i="12"/>
  <c r="Q1751" i="12"/>
  <c r="Q1571" i="12"/>
  <c r="Q1715" i="12"/>
  <c r="Q923" i="12"/>
  <c r="Q887" i="12"/>
  <c r="Q1427" i="12"/>
  <c r="Q1139" i="12"/>
  <c r="Q671" i="12"/>
  <c r="Q1463" i="12"/>
  <c r="Q1283" i="12"/>
  <c r="Q1535" i="12"/>
  <c r="Q815" i="12"/>
  <c r="Q779" i="12"/>
  <c r="Q1787" i="12"/>
  <c r="Q1679" i="12"/>
  <c r="Q1212" i="12"/>
  <c r="Q1248" i="12"/>
  <c r="Q1104" i="12"/>
  <c r="Q1356" i="12"/>
  <c r="Q1392" i="12"/>
  <c r="Q852" i="12"/>
  <c r="Q60" i="12"/>
  <c r="Q1500" i="12"/>
  <c r="Q1608" i="12"/>
  <c r="Q744" i="12"/>
  <c r="Q1320" i="12"/>
  <c r="Q1032" i="12"/>
  <c r="Q996" i="12"/>
  <c r="Q1068" i="12"/>
  <c r="Q1644" i="12"/>
  <c r="Q960" i="12"/>
  <c r="Q708" i="12"/>
  <c r="Q1176" i="12"/>
  <c r="Q1752" i="12"/>
  <c r="Q1572" i="12"/>
  <c r="Q1716" i="12"/>
  <c r="Q924" i="12"/>
  <c r="Q888" i="12"/>
  <c r="Q1428" i="12"/>
  <c r="Q1140" i="12"/>
  <c r="Q672" i="12"/>
  <c r="Q1464" i="12"/>
  <c r="Q1284" i="12"/>
  <c r="Q1536" i="12"/>
  <c r="Q816" i="12"/>
  <c r="Q780" i="12"/>
  <c r="Q1788" i="12"/>
  <c r="Q1680" i="12"/>
  <c r="Q1213" i="12"/>
  <c r="Q1249" i="12"/>
  <c r="Q1105" i="12"/>
  <c r="Q1357" i="12"/>
  <c r="Q1393" i="12"/>
  <c r="Q853" i="12"/>
  <c r="Q61" i="12"/>
  <c r="Q1501" i="12"/>
  <c r="Q1609" i="12"/>
  <c r="Q745" i="12"/>
  <c r="Q1321" i="12"/>
  <c r="Q1033" i="12"/>
  <c r="Q997" i="12"/>
  <c r="Q1069" i="12"/>
  <c r="Q1645" i="12"/>
  <c r="Q961" i="12"/>
  <c r="Q709" i="12"/>
  <c r="Q1177" i="12"/>
  <c r="Q1753" i="12"/>
  <c r="Q1573" i="12"/>
  <c r="Q1717" i="12"/>
  <c r="Q925" i="12"/>
  <c r="Q889" i="12"/>
  <c r="Q1429" i="12"/>
  <c r="Q1141" i="12"/>
  <c r="Q673" i="12"/>
  <c r="Q1465" i="12"/>
  <c r="Q1285" i="12"/>
  <c r="Q1537" i="12"/>
  <c r="Q817" i="12"/>
  <c r="Q781" i="12"/>
  <c r="Q1789" i="12"/>
  <c r="Q1681" i="12"/>
  <c r="Q1214" i="12"/>
  <c r="Q1250" i="12"/>
  <c r="Q1106" i="12"/>
  <c r="Q1358" i="12"/>
  <c r="Q1394" i="12"/>
  <c r="Q854" i="12"/>
  <c r="Q62" i="12"/>
  <c r="Q1502" i="12"/>
  <c r="Q1610" i="12"/>
  <c r="Q746" i="12"/>
  <c r="Q1322" i="12"/>
  <c r="Q1034" i="12"/>
  <c r="Q998" i="12"/>
  <c r="Q1070" i="12"/>
  <c r="Q1646" i="12"/>
  <c r="Q962" i="12"/>
  <c r="Q710" i="12"/>
  <c r="Q1178" i="12"/>
  <c r="Q1754" i="12"/>
  <c r="Q1574" i="12"/>
  <c r="Q1718" i="12"/>
  <c r="Q926" i="12"/>
  <c r="Q890" i="12"/>
  <c r="Q1430" i="12"/>
  <c r="Q1142" i="12"/>
  <c r="Q674" i="12"/>
  <c r="Q1466" i="12"/>
  <c r="Q1286" i="12"/>
  <c r="Q1538" i="12"/>
  <c r="Q818" i="12"/>
  <c r="Q782" i="12"/>
  <c r="Q1790" i="12"/>
  <c r="Q1682" i="12"/>
  <c r="Q1215" i="12"/>
  <c r="Q1251" i="12"/>
  <c r="Q1107" i="12"/>
  <c r="Q1359" i="12"/>
  <c r="Q1395" i="12"/>
  <c r="Q855" i="12"/>
  <c r="Q63" i="12"/>
  <c r="Q1503" i="12"/>
  <c r="Q1611" i="12"/>
  <c r="Q747" i="12"/>
  <c r="Q1323" i="12"/>
  <c r="Q1035" i="12"/>
  <c r="Q999" i="12"/>
  <c r="Q1071" i="12"/>
  <c r="Q1647" i="12"/>
  <c r="Q963" i="12"/>
  <c r="Q711" i="12"/>
  <c r="Q1179" i="12"/>
  <c r="Q1755" i="12"/>
  <c r="Q1575" i="12"/>
  <c r="Q1719" i="12"/>
  <c r="Q927" i="12"/>
  <c r="Q891" i="12"/>
  <c r="Q1431" i="12"/>
  <c r="Q1143" i="12"/>
  <c r="Q675" i="12"/>
  <c r="Q1467" i="12"/>
  <c r="Q1287" i="12"/>
  <c r="Q1539" i="12"/>
  <c r="Q819" i="12"/>
  <c r="Q783" i="12"/>
  <c r="Q1791" i="12"/>
  <c r="Q1683" i="12"/>
  <c r="Q1216" i="12"/>
  <c r="Q1252" i="12"/>
  <c r="Q1108" i="12"/>
  <c r="Q1360" i="12"/>
  <c r="Q1396" i="12"/>
  <c r="Q856" i="12"/>
  <c r="Q64" i="12"/>
  <c r="Q1504" i="12"/>
  <c r="Q1612" i="12"/>
  <c r="Q748" i="12"/>
  <c r="Q1324" i="12"/>
  <c r="Q1036" i="12"/>
  <c r="Q1000" i="12"/>
  <c r="Q1072" i="12"/>
  <c r="Q1648" i="12"/>
  <c r="Q964" i="12"/>
  <c r="Q712" i="12"/>
  <c r="Q1180" i="12"/>
  <c r="Q1756" i="12"/>
  <c r="Q1576" i="12"/>
  <c r="Q1720" i="12"/>
  <c r="Q928" i="12"/>
  <c r="Q892" i="12"/>
  <c r="Q1432" i="12"/>
  <c r="Q1144" i="12"/>
  <c r="Q676" i="12"/>
  <c r="Q1468" i="12"/>
  <c r="Q1288" i="12"/>
  <c r="Q1540" i="12"/>
  <c r="Q820" i="12"/>
  <c r="Q784" i="12"/>
  <c r="Q1792" i="12"/>
  <c r="Q1684" i="12"/>
  <c r="Q1217" i="12"/>
  <c r="Q1253" i="12"/>
  <c r="Q1109" i="12"/>
  <c r="Q1361" i="12"/>
  <c r="Q1397" i="12"/>
  <c r="Q857" i="12"/>
  <c r="Q65" i="12"/>
  <c r="Q1505" i="12"/>
  <c r="Q1613" i="12"/>
  <c r="Q749" i="12"/>
  <c r="Q1325" i="12"/>
  <c r="Q1037" i="12"/>
  <c r="Q1001" i="12"/>
  <c r="Q1073" i="12"/>
  <c r="Q1649" i="12"/>
  <c r="Q965" i="12"/>
  <c r="Q713" i="12"/>
  <c r="Q1181" i="12"/>
  <c r="Q1757" i="12"/>
  <c r="Q1577" i="12"/>
  <c r="Q1721" i="12"/>
  <c r="Q929" i="12"/>
  <c r="Q893" i="12"/>
  <c r="Q1433" i="12"/>
  <c r="Q1145" i="12"/>
  <c r="Q677" i="12"/>
  <c r="Q1469" i="12"/>
  <c r="Q1289" i="12"/>
  <c r="Q1541" i="12"/>
  <c r="Q821" i="12"/>
  <c r="Q785" i="12"/>
  <c r="Q1793" i="12"/>
  <c r="Q1685" i="12"/>
  <c r="Q1218" i="12"/>
  <c r="Q1254" i="12"/>
  <c r="Q1110" i="12"/>
  <c r="Q1362" i="12"/>
  <c r="Q1398" i="12"/>
  <c r="Q858" i="12"/>
  <c r="Q66" i="12"/>
  <c r="Q1506" i="12"/>
  <c r="Q1614" i="12"/>
  <c r="Q750" i="12"/>
  <c r="Q1326" i="12"/>
  <c r="Q1038" i="12"/>
  <c r="Q1002" i="12"/>
  <c r="Q1074" i="12"/>
  <c r="Q1650" i="12"/>
  <c r="Q966" i="12"/>
  <c r="Q714" i="12"/>
  <c r="Q1182" i="12"/>
  <c r="Q1758" i="12"/>
  <c r="Q1578" i="12"/>
  <c r="Q1722" i="12"/>
  <c r="Q930" i="12"/>
  <c r="Q894" i="12"/>
  <c r="Q1434" i="12"/>
  <c r="Q1146" i="12"/>
  <c r="Q678" i="12"/>
  <c r="Q1470" i="12"/>
  <c r="Q1290" i="12"/>
  <c r="Q1542" i="12"/>
  <c r="Q822" i="12"/>
  <c r="Q786" i="12"/>
  <c r="Q1794" i="12"/>
  <c r="Q1686" i="12"/>
  <c r="Q1219" i="12"/>
  <c r="Q1255" i="12"/>
  <c r="Q1111" i="12"/>
  <c r="Q1363" i="12"/>
  <c r="Q1399" i="12"/>
  <c r="Q859" i="12"/>
  <c r="Q67" i="12"/>
  <c r="Q1507" i="12"/>
  <c r="Q1615" i="12"/>
  <c r="Q751" i="12"/>
  <c r="Q1327" i="12"/>
  <c r="Q1039" i="12"/>
  <c r="Q1003" i="12"/>
  <c r="Q1075" i="12"/>
  <c r="Q1651" i="12"/>
  <c r="Q967" i="12"/>
  <c r="Q715" i="12"/>
  <c r="Q1183" i="12"/>
  <c r="Q1759" i="12"/>
  <c r="Q1579" i="12"/>
  <c r="Q1723" i="12"/>
  <c r="Q931" i="12"/>
  <c r="Q895" i="12"/>
  <c r="Q1435" i="12"/>
  <c r="Q1147" i="12"/>
  <c r="Q679" i="12"/>
  <c r="Q1471" i="12"/>
  <c r="Q1291" i="12"/>
  <c r="Q1543" i="12"/>
  <c r="Q823" i="12"/>
  <c r="Q787" i="12"/>
  <c r="Q1795" i="12"/>
  <c r="Q1687" i="12"/>
  <c r="Q1220" i="12"/>
  <c r="Q1256" i="12"/>
  <c r="Q1112" i="12"/>
  <c r="Q1364" i="12"/>
  <c r="Q1400" i="12"/>
  <c r="Q860" i="12"/>
  <c r="Q68" i="12"/>
  <c r="Q1508" i="12"/>
  <c r="Q1616" i="12"/>
  <c r="Q752" i="12"/>
  <c r="Q1328" i="12"/>
  <c r="Q1040" i="12"/>
  <c r="Q1004" i="12"/>
  <c r="Q1076" i="12"/>
  <c r="Q1652" i="12"/>
  <c r="Q968" i="12"/>
  <c r="Q716" i="12"/>
  <c r="Q1184" i="12"/>
  <c r="Q1760" i="12"/>
  <c r="Q1580" i="12"/>
  <c r="Q1724" i="12"/>
  <c r="Q932" i="12"/>
  <c r="Q896" i="12"/>
  <c r="Q1436" i="12"/>
  <c r="Q1148" i="12"/>
  <c r="Q680" i="12"/>
  <c r="Q1472" i="12"/>
  <c r="Q1292" i="12"/>
  <c r="Q1544" i="12"/>
  <c r="Q824" i="12"/>
  <c r="Q788" i="12"/>
  <c r="Q1796" i="12"/>
  <c r="Q1688" i="12"/>
  <c r="Q1221" i="12"/>
  <c r="Q1257" i="12"/>
  <c r="Q1113" i="12"/>
  <c r="Q1365" i="12"/>
  <c r="Q1401" i="12"/>
  <c r="Q861" i="12"/>
  <c r="Q69" i="12"/>
  <c r="Q1509" i="12"/>
  <c r="Q1617" i="12"/>
  <c r="Q753" i="12"/>
  <c r="Q1329" i="12"/>
  <c r="Q1041" i="12"/>
  <c r="Q1005" i="12"/>
  <c r="Q1077" i="12"/>
  <c r="Q1653" i="12"/>
  <c r="Q969" i="12"/>
  <c r="Q717" i="12"/>
  <c r="Q1185" i="12"/>
  <c r="Q1761" i="12"/>
  <c r="Q1581" i="12"/>
  <c r="Q1725" i="12"/>
  <c r="Q933" i="12"/>
  <c r="Q897" i="12"/>
  <c r="Q1437" i="12"/>
  <c r="Q1149" i="12"/>
  <c r="Q681" i="12"/>
  <c r="Q1473" i="12"/>
  <c r="Q1293" i="12"/>
  <c r="Q1545" i="12"/>
  <c r="Q825" i="12"/>
  <c r="Q789" i="12"/>
  <c r="Q1797" i="12"/>
  <c r="Q1689" i="12"/>
  <c r="Q1222" i="12"/>
  <c r="Q1258" i="12"/>
  <c r="Q1114" i="12"/>
  <c r="Q1366" i="12"/>
  <c r="Q1402" i="12"/>
  <c r="Q862" i="12"/>
  <c r="Q70" i="12"/>
  <c r="Q1510" i="12"/>
  <c r="Q1618" i="12"/>
  <c r="Q754" i="12"/>
  <c r="Q1330" i="12"/>
  <c r="Q1042" i="12"/>
  <c r="Q1006" i="12"/>
  <c r="Q1078" i="12"/>
  <c r="Q1654" i="12"/>
  <c r="Q970" i="12"/>
  <c r="Q718" i="12"/>
  <c r="Q1186" i="12"/>
  <c r="Q1762" i="12"/>
  <c r="Q1582" i="12"/>
  <c r="Q1726" i="12"/>
  <c r="Q934" i="12"/>
  <c r="Q898" i="12"/>
  <c r="Q1438" i="12"/>
  <c r="Q1150" i="12"/>
  <c r="Q682" i="12"/>
  <c r="Q1474" i="12"/>
  <c r="Q1294" i="12"/>
  <c r="Q1546" i="12"/>
  <c r="Q826" i="12"/>
  <c r="Q790" i="12"/>
  <c r="Q1798" i="12"/>
  <c r="Q1690" i="12"/>
  <c r="Q1223" i="12"/>
  <c r="Q1259" i="12"/>
  <c r="Q1115" i="12"/>
  <c r="Q1367" i="12"/>
  <c r="Q1403" i="12"/>
  <c r="Q863" i="12"/>
  <c r="Q71" i="12"/>
  <c r="Q1511" i="12"/>
  <c r="Q1619" i="12"/>
  <c r="Q755" i="12"/>
  <c r="Q1331" i="12"/>
  <c r="Q1043" i="12"/>
  <c r="Q1007" i="12"/>
  <c r="Q1079" i="12"/>
  <c r="Q1655" i="12"/>
  <c r="Q971" i="12"/>
  <c r="Q719" i="12"/>
  <c r="Q1187" i="12"/>
  <c r="Q1763" i="12"/>
  <c r="Q1583" i="12"/>
  <c r="Q1727" i="12"/>
  <c r="Q935" i="12"/>
  <c r="Q899" i="12"/>
  <c r="Q1439" i="12"/>
  <c r="Q1151" i="12"/>
  <c r="Q683" i="12"/>
  <c r="Q1475" i="12"/>
  <c r="Q1295" i="12"/>
  <c r="Q1547" i="12"/>
  <c r="Q827" i="12"/>
  <c r="Q791" i="12"/>
  <c r="Q1799" i="12"/>
  <c r="Q1691" i="12"/>
  <c r="Q1224" i="12"/>
  <c r="Q1260" i="12"/>
  <c r="Q1116" i="12"/>
  <c r="Q1368" i="12"/>
  <c r="Q1404" i="12"/>
  <c r="Q864" i="12"/>
  <c r="Q72" i="12"/>
  <c r="Q1512" i="12"/>
  <c r="Q1620" i="12"/>
  <c r="Q756" i="12"/>
  <c r="Q1332" i="12"/>
  <c r="Q1044" i="12"/>
  <c r="Q1008" i="12"/>
  <c r="Q1080" i="12"/>
  <c r="Q1656" i="12"/>
  <c r="Q972" i="12"/>
  <c r="Q720" i="12"/>
  <c r="Q1188" i="12"/>
  <c r="Q1764" i="12"/>
  <c r="Q1584" i="12"/>
  <c r="Q1728" i="12"/>
  <c r="Q936" i="12"/>
  <c r="Q900" i="12"/>
  <c r="Q1440" i="12"/>
  <c r="Q1152" i="12"/>
  <c r="Q684" i="12"/>
  <c r="Q1476" i="12"/>
  <c r="Q1296" i="12"/>
  <c r="Q1548" i="12"/>
  <c r="Q828" i="12"/>
  <c r="Q792" i="12"/>
  <c r="Q1800" i="12"/>
  <c r="Q1692" i="12"/>
  <c r="Q1225" i="12"/>
  <c r="Q1261" i="12"/>
  <c r="Q1117" i="12"/>
  <c r="Q1369" i="12"/>
  <c r="Q1405" i="12"/>
  <c r="Q865" i="12"/>
  <c r="Q73" i="12"/>
  <c r="Q1513" i="12"/>
  <c r="Q1621" i="12"/>
  <c r="Q757" i="12"/>
  <c r="Q1333" i="12"/>
  <c r="Q1045" i="12"/>
  <c r="Q1009" i="12"/>
  <c r="Q1081" i="12"/>
  <c r="Q1657" i="12"/>
  <c r="Q973" i="12"/>
  <c r="Q721" i="12"/>
  <c r="Q1189" i="12"/>
  <c r="Q1765" i="12"/>
  <c r="Q1585" i="12"/>
  <c r="Q1729" i="12"/>
  <c r="Q937" i="12"/>
  <c r="Q901" i="12"/>
  <c r="Q1441" i="12"/>
  <c r="Q1153" i="12"/>
  <c r="Q685" i="12"/>
  <c r="Q1477" i="12"/>
  <c r="Q1297" i="12"/>
  <c r="Q1549" i="12"/>
  <c r="Q829" i="12"/>
  <c r="Q793" i="12"/>
  <c r="Q1801" i="12"/>
  <c r="Q1693" i="12"/>
  <c r="Q2810" i="12"/>
  <c r="Q2738" i="12"/>
  <c r="Q2558" i="12"/>
  <c r="Q2414" i="12"/>
  <c r="Q2702" i="12"/>
  <c r="Q2846" i="12"/>
  <c r="Q2918" i="12"/>
  <c r="Q2486" i="12"/>
  <c r="Q2666" i="12"/>
  <c r="Q2306" i="12"/>
  <c r="Q2450" i="12"/>
  <c r="Q2342" i="12"/>
  <c r="Q2630" i="12"/>
  <c r="Q2774" i="12"/>
  <c r="Q2594" i="12"/>
  <c r="Q2882" i="12"/>
  <c r="Q2522" i="12"/>
  <c r="Q2378" i="12"/>
  <c r="Q2270" i="12"/>
  <c r="Q2811" i="12"/>
  <c r="Q2739" i="12"/>
  <c r="Q2559" i="12"/>
  <c r="Q2415" i="12"/>
  <c r="Q2703" i="12"/>
  <c r="Q2847" i="12"/>
  <c r="Q2919" i="12"/>
  <c r="Q2487" i="12"/>
  <c r="Q2667" i="12"/>
  <c r="Q2307" i="12"/>
  <c r="Q2451" i="12"/>
  <c r="Q2343" i="12"/>
  <c r="Q2631" i="12"/>
  <c r="Q2775" i="12"/>
  <c r="Q2595" i="12"/>
  <c r="Q2883" i="12"/>
  <c r="Q2523" i="12"/>
  <c r="Q2379" i="12"/>
  <c r="Q2271" i="12"/>
  <c r="Q2812" i="12"/>
  <c r="Q2740" i="12"/>
  <c r="Q2560" i="12"/>
  <c r="Q2416" i="12"/>
  <c r="Q2704" i="12"/>
  <c r="Q2848" i="12"/>
  <c r="Q2920" i="12"/>
  <c r="Q2488" i="12"/>
  <c r="Q2668" i="12"/>
  <c r="Q2308" i="12"/>
  <c r="Q2452" i="12"/>
  <c r="Q2344" i="12"/>
  <c r="Q2632" i="12"/>
  <c r="Q2776" i="12"/>
  <c r="Q2596" i="12"/>
  <c r="Q2884" i="12"/>
  <c r="Q2524" i="12"/>
  <c r="Q2380" i="12"/>
  <c r="Q2272" i="12"/>
  <c r="Q2813" i="12"/>
  <c r="Q2741" i="12"/>
  <c r="Q2561" i="12"/>
  <c r="Q2417" i="12"/>
  <c r="Q2705" i="12"/>
  <c r="Q2849" i="12"/>
  <c r="Q2921" i="12"/>
  <c r="Q2489" i="12"/>
  <c r="Q2669" i="12"/>
  <c r="Q2309" i="12"/>
  <c r="Q2453" i="12"/>
  <c r="Q2345" i="12"/>
  <c r="Q2633" i="12"/>
  <c r="Q2777" i="12"/>
  <c r="Q2597" i="12"/>
  <c r="Q2885" i="12"/>
  <c r="Q2525" i="12"/>
  <c r="Q2381" i="12"/>
  <c r="Q2273" i="12"/>
  <c r="Q2814" i="12"/>
  <c r="Q2742" i="12"/>
  <c r="Q2562" i="12"/>
  <c r="Q2418" i="12"/>
  <c r="Q2706" i="12"/>
  <c r="Q2850" i="12"/>
  <c r="Q2922" i="12"/>
  <c r="Q2490" i="12"/>
  <c r="Q2670" i="12"/>
  <c r="Q2310" i="12"/>
  <c r="Q2454" i="12"/>
  <c r="Q2346" i="12"/>
  <c r="Q2634" i="12"/>
  <c r="Q2778" i="12"/>
  <c r="Q2598" i="12"/>
  <c r="Q2886" i="12"/>
  <c r="Q2526" i="12"/>
  <c r="Q2382" i="12"/>
  <c r="Q2274" i="12"/>
  <c r="Q2815" i="12"/>
  <c r="Q2743" i="12"/>
  <c r="Q2563" i="12"/>
  <c r="Q2419" i="12"/>
  <c r="Q2707" i="12"/>
  <c r="Q2851" i="12"/>
  <c r="Q2923" i="12"/>
  <c r="Q2491" i="12"/>
  <c r="Q2671" i="12"/>
  <c r="Q2311" i="12"/>
  <c r="Q2455" i="12"/>
  <c r="Q2347" i="12"/>
  <c r="Q2635" i="12"/>
  <c r="Q2779" i="12"/>
  <c r="Q2599" i="12"/>
  <c r="Q2887" i="12"/>
  <c r="Q2527" i="12"/>
  <c r="Q2383" i="12"/>
  <c r="Q2275" i="12"/>
  <c r="Q2816" i="12"/>
  <c r="Q2744" i="12"/>
  <c r="Q2564" i="12"/>
  <c r="Q2420" i="12"/>
  <c r="Q2708" i="12"/>
  <c r="Q2852" i="12"/>
  <c r="Q2924" i="12"/>
  <c r="Q2492" i="12"/>
  <c r="Q2672" i="12"/>
  <c r="Q2312" i="12"/>
  <c r="Q2456" i="12"/>
  <c r="Q2348" i="12"/>
  <c r="Q2636" i="12"/>
  <c r="Q2780" i="12"/>
  <c r="Q2600" i="12"/>
  <c r="Q2888" i="12"/>
  <c r="Q2528" i="12"/>
  <c r="Q2384" i="12"/>
  <c r="Q2276" i="12"/>
  <c r="Q2817" i="12"/>
  <c r="Q2745" i="12"/>
  <c r="Q2565" i="12"/>
  <c r="Q2421" i="12"/>
  <c r="Q2709" i="12"/>
  <c r="Q2853" i="12"/>
  <c r="Q2925" i="12"/>
  <c r="Q2493" i="12"/>
  <c r="Q2673" i="12"/>
  <c r="Q2313" i="12"/>
  <c r="Q2457" i="12"/>
  <c r="Q2349" i="12"/>
  <c r="Q2637" i="12"/>
  <c r="Q2781" i="12"/>
  <c r="Q2601" i="12"/>
  <c r="Q2889" i="12"/>
  <c r="Q2529" i="12"/>
  <c r="Q2385" i="12"/>
  <c r="Q2277" i="12"/>
  <c r="Q2818" i="12"/>
  <c r="Q2746" i="12"/>
  <c r="Q2566" i="12"/>
  <c r="Q2422" i="12"/>
  <c r="Q2710" i="12"/>
  <c r="Q2854" i="12"/>
  <c r="Q2926" i="12"/>
  <c r="Q2494" i="12"/>
  <c r="Q2674" i="12"/>
  <c r="Q2314" i="12"/>
  <c r="Q2458" i="12"/>
  <c r="Q2350" i="12"/>
  <c r="Q2638" i="12"/>
  <c r="Q2782" i="12"/>
  <c r="Q2602" i="12"/>
  <c r="Q2890" i="12"/>
  <c r="Q2530" i="12"/>
  <c r="Q2386" i="12"/>
  <c r="Q2278" i="12"/>
  <c r="Q2819" i="12"/>
  <c r="Q2747" i="12"/>
  <c r="Q2567" i="12"/>
  <c r="Q2423" i="12"/>
  <c r="Q2711" i="12"/>
  <c r="Q2855" i="12"/>
  <c r="Q2927" i="12"/>
  <c r="Q2495" i="12"/>
  <c r="Q2675" i="12"/>
  <c r="Q2315" i="12"/>
  <c r="Q2459" i="12"/>
  <c r="Q2351" i="12"/>
  <c r="Q2639" i="12"/>
  <c r="Q2783" i="12"/>
  <c r="Q2603" i="12"/>
  <c r="Q2891" i="12"/>
  <c r="Q2531" i="12"/>
  <c r="Q2387" i="12"/>
  <c r="Q2279" i="12"/>
  <c r="Q2820" i="12"/>
  <c r="Q2748" i="12"/>
  <c r="Q2568" i="12"/>
  <c r="Q2424" i="12"/>
  <c r="Q2712" i="12"/>
  <c r="Q2856" i="12"/>
  <c r="Q2928" i="12"/>
  <c r="Q2496" i="12"/>
  <c r="Q2676" i="12"/>
  <c r="Q2316" i="12"/>
  <c r="Q2460" i="12"/>
  <c r="Q2352" i="12"/>
  <c r="Q2640" i="12"/>
  <c r="Q2784" i="12"/>
  <c r="Q2604" i="12"/>
  <c r="Q2892" i="12"/>
  <c r="Q2532" i="12"/>
  <c r="Q2388" i="12"/>
  <c r="Q2280" i="12"/>
  <c r="Q2821" i="12"/>
  <c r="Q2749" i="12"/>
  <c r="Q2569" i="12"/>
  <c r="Q2425" i="12"/>
  <c r="Q2713" i="12"/>
  <c r="Q2857" i="12"/>
  <c r="Q2929" i="12"/>
  <c r="Q2497" i="12"/>
  <c r="Q2677" i="12"/>
  <c r="Q2317" i="12"/>
  <c r="Q2461" i="12"/>
  <c r="Q2353" i="12"/>
  <c r="Q2641" i="12"/>
  <c r="Q2785" i="12"/>
  <c r="Q2605" i="12"/>
  <c r="Q2893" i="12"/>
  <c r="Q2533" i="12"/>
  <c r="Q2389" i="12"/>
  <c r="Q2281" i="12"/>
  <c r="Q2822" i="12"/>
  <c r="Q2750" i="12"/>
  <c r="Q2570" i="12"/>
  <c r="Q2426" i="12"/>
  <c r="Q2714" i="12"/>
  <c r="Q2858" i="12"/>
  <c r="Q2930" i="12"/>
  <c r="Q2498" i="12"/>
  <c r="Q2678" i="12"/>
  <c r="Q2318" i="12"/>
  <c r="Q2462" i="12"/>
  <c r="Q2354" i="12"/>
  <c r="Q2642" i="12"/>
  <c r="Q2786" i="12"/>
  <c r="Q2606" i="12"/>
  <c r="Q2894" i="12"/>
  <c r="Q2534" i="12"/>
  <c r="Q2390" i="12"/>
  <c r="Q2282" i="12"/>
  <c r="Q2823" i="12"/>
  <c r="Q2751" i="12"/>
  <c r="Q2571" i="12"/>
  <c r="Q2427" i="12"/>
  <c r="Q2715" i="12"/>
  <c r="Q2859" i="12"/>
  <c r="Q2931" i="12"/>
  <c r="Q2499" i="12"/>
  <c r="Q2679" i="12"/>
  <c r="Q2319" i="12"/>
  <c r="Q2463" i="12"/>
  <c r="Q2355" i="12"/>
  <c r="Q2643" i="12"/>
  <c r="Q2787" i="12"/>
  <c r="Q2607" i="12"/>
  <c r="Q2895" i="12"/>
  <c r="Q2535" i="12"/>
  <c r="Q2391" i="12"/>
  <c r="Q2283" i="12"/>
  <c r="Q2824" i="12"/>
  <c r="Q2752" i="12"/>
  <c r="Q2572" i="12"/>
  <c r="Q2428" i="12"/>
  <c r="Q2716" i="12"/>
  <c r="Q2860" i="12"/>
  <c r="Q2932" i="12"/>
  <c r="Q2500" i="12"/>
  <c r="Q2680" i="12"/>
  <c r="Q2320" i="12"/>
  <c r="Q2464" i="12"/>
  <c r="Q2356" i="12"/>
  <c r="Q2644" i="12"/>
  <c r="Q2788" i="12"/>
  <c r="Q2608" i="12"/>
  <c r="Q2896" i="12"/>
  <c r="Q2536" i="12"/>
  <c r="Q2392" i="12"/>
  <c r="Q2284" i="12"/>
  <c r="Q2825" i="12"/>
  <c r="Q2753" i="12"/>
  <c r="Q2573" i="12"/>
  <c r="Q2429" i="12"/>
  <c r="Q2717" i="12"/>
  <c r="Q2861" i="12"/>
  <c r="Q2933" i="12"/>
  <c r="Q2501" i="12"/>
  <c r="Q2681" i="12"/>
  <c r="Q2321" i="12"/>
  <c r="Q2465" i="12"/>
  <c r="Q2357" i="12"/>
  <c r="Q2645" i="12"/>
  <c r="Q2789" i="12"/>
  <c r="Q2609" i="12"/>
  <c r="Q2897" i="12"/>
  <c r="Q2537" i="12"/>
  <c r="Q2393" i="12"/>
  <c r="Q2285" i="12"/>
  <c r="Q2826" i="12"/>
  <c r="Q2754" i="12"/>
  <c r="Q2574" i="12"/>
  <c r="Q2430" i="12"/>
  <c r="Q2718" i="12"/>
  <c r="Q2862" i="12"/>
  <c r="Q2934" i="12"/>
  <c r="Q2502" i="12"/>
  <c r="Q2682" i="12"/>
  <c r="Q2322" i="12"/>
  <c r="Q2466" i="12"/>
  <c r="Q2358" i="12"/>
  <c r="Q2646" i="12"/>
  <c r="Q2790" i="12"/>
  <c r="Q2610" i="12"/>
  <c r="Q2898" i="12"/>
  <c r="Q2538" i="12"/>
  <c r="Q2394" i="12"/>
  <c r="Q2286" i="12"/>
  <c r="Q2827" i="12"/>
  <c r="Q2755" i="12"/>
  <c r="Q2575" i="12"/>
  <c r="Q2431" i="12"/>
  <c r="Q2719" i="12"/>
  <c r="Q2863" i="12"/>
  <c r="Q2935" i="12"/>
  <c r="Q2503" i="12"/>
  <c r="Q2683" i="12"/>
  <c r="Q2323" i="12"/>
  <c r="Q2467" i="12"/>
  <c r="Q2359" i="12"/>
  <c r="Q2647" i="12"/>
  <c r="Q2791" i="12"/>
  <c r="Q2611" i="12"/>
  <c r="Q2899" i="12"/>
  <c r="Q2539" i="12"/>
  <c r="Q2395" i="12"/>
  <c r="Q2287" i="12"/>
  <c r="Q2828" i="12"/>
  <c r="Q2756" i="12"/>
  <c r="Q2576" i="12"/>
  <c r="Q2432" i="12"/>
  <c r="Q2720" i="12"/>
  <c r="Q2864" i="12"/>
  <c r="Q2936" i="12"/>
  <c r="Q2504" i="12"/>
  <c r="Q2684" i="12"/>
  <c r="Q2324" i="12"/>
  <c r="Q2468" i="12"/>
  <c r="Q2360" i="12"/>
  <c r="Q2648" i="12"/>
  <c r="Q2792" i="12"/>
  <c r="Q2612" i="12"/>
  <c r="Q2900" i="12"/>
  <c r="Q2540" i="12"/>
  <c r="Q2396" i="12"/>
  <c r="Q2288" i="12"/>
  <c r="Q2829" i="12"/>
  <c r="Q2757" i="12"/>
  <c r="Q2577" i="12"/>
  <c r="Q2433" i="12"/>
  <c r="Q2721" i="12"/>
  <c r="Q2865" i="12"/>
  <c r="Q2937" i="12"/>
  <c r="Q2505" i="12"/>
  <c r="Q2685" i="12"/>
  <c r="Q2325" i="12"/>
  <c r="Q2469" i="12"/>
  <c r="Q2361" i="12"/>
  <c r="Q2649" i="12"/>
  <c r="Q2793" i="12"/>
  <c r="Q2613" i="12"/>
  <c r="Q2901" i="12"/>
  <c r="Q2541" i="12"/>
  <c r="Q2397" i="12"/>
  <c r="Q2289" i="12"/>
  <c r="Q2830" i="12"/>
  <c r="Q2758" i="12"/>
  <c r="Q2578" i="12"/>
  <c r="Q2434" i="12"/>
  <c r="Q2722" i="12"/>
  <c r="Q2866" i="12"/>
  <c r="Q2938" i="12"/>
  <c r="Q2506" i="12"/>
  <c r="Q2686" i="12"/>
  <c r="Q2326" i="12"/>
  <c r="Q2470" i="12"/>
  <c r="Q2362" i="12"/>
  <c r="Q2650" i="12"/>
  <c r="Q2794" i="12"/>
  <c r="Q2614" i="12"/>
  <c r="Q2902" i="12"/>
  <c r="Q2542" i="12"/>
  <c r="Q2398" i="12"/>
  <c r="Q2290" i="12"/>
  <c r="Q2831" i="12"/>
  <c r="Q2759" i="12"/>
  <c r="Q2579" i="12"/>
  <c r="Q2435" i="12"/>
  <c r="Q2723" i="12"/>
  <c r="Q2867" i="12"/>
  <c r="Q2939" i="12"/>
  <c r="Q2507" i="12"/>
  <c r="Q2687" i="12"/>
  <c r="Q2327" i="12"/>
  <c r="Q2471" i="12"/>
  <c r="Q2363" i="12"/>
  <c r="Q2651" i="12"/>
  <c r="Q2795" i="12"/>
  <c r="Q2615" i="12"/>
  <c r="Q2903" i="12"/>
  <c r="Q2543" i="12"/>
  <c r="Q2399" i="12"/>
  <c r="Q2291" i="12"/>
  <c r="Q2832" i="12"/>
  <c r="Q2760" i="12"/>
  <c r="Q2580" i="12"/>
  <c r="Q2436" i="12"/>
  <c r="Q2724" i="12"/>
  <c r="Q2868" i="12"/>
  <c r="Q2940" i="12"/>
  <c r="Q2508" i="12"/>
  <c r="Q2688" i="12"/>
  <c r="Q2328" i="12"/>
  <c r="Q2472" i="12"/>
  <c r="Q2364" i="12"/>
  <c r="Q2652" i="12"/>
  <c r="Q2796" i="12"/>
  <c r="Q2616" i="12"/>
  <c r="Q2904" i="12"/>
  <c r="Q2544" i="12"/>
  <c r="Q2400" i="12"/>
  <c r="Q2292" i="12"/>
  <c r="Q2833" i="12"/>
  <c r="Q2761" i="12"/>
  <c r="Q2581" i="12"/>
  <c r="Q2437" i="12"/>
  <c r="Q2725" i="12"/>
  <c r="Q2869" i="12"/>
  <c r="Q2941" i="12"/>
  <c r="Q2509" i="12"/>
  <c r="Q2689" i="12"/>
  <c r="Q2329" i="12"/>
  <c r="Q2473" i="12"/>
  <c r="Q2365" i="12"/>
  <c r="Q2653" i="12"/>
  <c r="Q2797" i="12"/>
  <c r="Q2617" i="12"/>
  <c r="Q2905" i="12"/>
  <c r="Q2545" i="12"/>
  <c r="Q2401" i="12"/>
  <c r="Q2293" i="12"/>
  <c r="Q2834" i="12"/>
  <c r="Q2762" i="12"/>
  <c r="Q2582" i="12"/>
  <c r="Q2438" i="12"/>
  <c r="Q2726" i="12"/>
  <c r="Q2870" i="12"/>
  <c r="Q2942" i="12"/>
  <c r="Q2510" i="12"/>
  <c r="Q2690" i="12"/>
  <c r="Q2330" i="12"/>
  <c r="Q2474" i="12"/>
  <c r="Q2366" i="12"/>
  <c r="Q2654" i="12"/>
  <c r="Q2798" i="12"/>
  <c r="Q2618" i="12"/>
  <c r="Q2906" i="12"/>
  <c r="Q2546" i="12"/>
  <c r="Q2402" i="12"/>
  <c r="Q2294" i="12"/>
  <c r="Q2835" i="12"/>
  <c r="Q2763" i="12"/>
  <c r="Q2583" i="12"/>
  <c r="Q2439" i="12"/>
  <c r="Q2727" i="12"/>
  <c r="Q2871" i="12"/>
  <c r="Q2943" i="12"/>
  <c r="Q2511" i="12"/>
  <c r="Q2691" i="12"/>
  <c r="Q2331" i="12"/>
  <c r="Q2475" i="12"/>
  <c r="Q2367" i="12"/>
  <c r="Q2655" i="12"/>
  <c r="Q2799" i="12"/>
  <c r="Q2619" i="12"/>
  <c r="Q2907" i="12"/>
  <c r="Q2547" i="12"/>
  <c r="Q2403" i="12"/>
  <c r="Q2295" i="12"/>
  <c r="Q2836" i="12"/>
  <c r="Q2764" i="12"/>
  <c r="Q2584" i="12"/>
  <c r="Q2440" i="12"/>
  <c r="Q2728" i="12"/>
  <c r="Q2872" i="12"/>
  <c r="Q2944" i="12"/>
  <c r="Q2512" i="12"/>
  <c r="Q2692" i="12"/>
  <c r="Q2332" i="12"/>
  <c r="Q2476" i="12"/>
  <c r="Q2368" i="12"/>
  <c r="Q2656" i="12"/>
  <c r="Q2800" i="12"/>
  <c r="Q2620" i="12"/>
  <c r="Q2908" i="12"/>
  <c r="Q2548" i="12"/>
  <c r="Q2404" i="12"/>
  <c r="Q2296" i="12"/>
  <c r="Q2837" i="12"/>
  <c r="Q2765" i="12"/>
  <c r="Q2585" i="12"/>
  <c r="Q2441" i="12"/>
  <c r="Q2729" i="12"/>
  <c r="Q2873" i="12"/>
  <c r="Q2945" i="12"/>
  <c r="Q2513" i="12"/>
  <c r="Q2693" i="12"/>
  <c r="Q2333" i="12"/>
  <c r="Q2477" i="12"/>
  <c r="Q2369" i="12"/>
  <c r="Q2657" i="12"/>
  <c r="Q2801" i="12"/>
  <c r="Q2621" i="12"/>
  <c r="Q2909" i="12"/>
  <c r="Q2549" i="12"/>
  <c r="Q2405" i="12"/>
  <c r="Q2297" i="12"/>
  <c r="Q2838" i="12"/>
  <c r="Q2766" i="12"/>
  <c r="Q2586" i="12"/>
  <c r="Q2442" i="12"/>
  <c r="Q2730" i="12"/>
  <c r="Q2874" i="12"/>
  <c r="Q2946" i="12"/>
  <c r="Q2514" i="12"/>
  <c r="Q2694" i="12"/>
  <c r="Q2334" i="12"/>
  <c r="Q2478" i="12"/>
  <c r="Q2370" i="12"/>
  <c r="Q2658" i="12"/>
  <c r="Q2802" i="12"/>
  <c r="Q2622" i="12"/>
  <c r="Q2910" i="12"/>
  <c r="Q2550" i="12"/>
  <c r="Q2406" i="12"/>
  <c r="Q2298" i="12"/>
  <c r="Q2839" i="12"/>
  <c r="Q2767" i="12"/>
  <c r="Q2587" i="12"/>
  <c r="Q2443" i="12"/>
  <c r="Q2731" i="12"/>
  <c r="Q2875" i="12"/>
  <c r="Q2947" i="12"/>
  <c r="Q2515" i="12"/>
  <c r="Q2695" i="12"/>
  <c r="Q2335" i="12"/>
  <c r="Q2479" i="12"/>
  <c r="Q2371" i="12"/>
  <c r="Q2659" i="12"/>
  <c r="Q2803" i="12"/>
  <c r="Q2623" i="12"/>
  <c r="Q2911" i="12"/>
  <c r="Q2551" i="12"/>
  <c r="Q2407" i="12"/>
  <c r="Q2299" i="12"/>
  <c r="Q2840" i="12"/>
  <c r="Q2768" i="12"/>
  <c r="Q2588" i="12"/>
  <c r="Q2444" i="12"/>
  <c r="Q2732" i="12"/>
  <c r="Q2876" i="12"/>
  <c r="Q2948" i="12"/>
  <c r="Q2516" i="12"/>
  <c r="Q2696" i="12"/>
  <c r="Q2336" i="12"/>
  <c r="Q2480" i="12"/>
  <c r="Q2372" i="12"/>
  <c r="Q2660" i="12"/>
  <c r="Q2804" i="12"/>
  <c r="Q2624" i="12"/>
  <c r="Q2912" i="12"/>
  <c r="Q2552" i="12"/>
  <c r="Q2408" i="12"/>
  <c r="Q2300" i="12"/>
  <c r="Q2841" i="12"/>
  <c r="Q2769" i="12"/>
  <c r="Q2589" i="12"/>
  <c r="Q2445" i="12"/>
  <c r="Q2733" i="12"/>
  <c r="Q2877" i="12"/>
  <c r="Q2949" i="12"/>
  <c r="Q2517" i="12"/>
  <c r="Q2697" i="12"/>
  <c r="Q2337" i="12"/>
  <c r="Q2481" i="12"/>
  <c r="Q2373" i="12"/>
  <c r="Q2661" i="12"/>
  <c r="Q2805" i="12"/>
  <c r="Q2625" i="12"/>
  <c r="Q2913" i="12"/>
  <c r="Q2553" i="12"/>
  <c r="Q2409" i="12"/>
  <c r="Q2301" i="12"/>
  <c r="Q2842" i="12"/>
  <c r="Q2770" i="12"/>
  <c r="Q2590" i="12"/>
  <c r="Q2446" i="12"/>
  <c r="Q2734" i="12"/>
  <c r="Q2878" i="12"/>
  <c r="Q2950" i="12"/>
  <c r="Q2518" i="12"/>
  <c r="Q2698" i="12"/>
  <c r="Q2338" i="12"/>
  <c r="Q2482" i="12"/>
  <c r="Q2374" i="12"/>
  <c r="Q2662" i="12"/>
  <c r="Q2806" i="12"/>
  <c r="Q2626" i="12"/>
  <c r="Q2914" i="12"/>
  <c r="Q2554" i="12"/>
  <c r="Q2410" i="12"/>
  <c r="Q2302" i="12"/>
  <c r="Q2843" i="12"/>
  <c r="Q2771" i="12"/>
  <c r="Q2591" i="12"/>
  <c r="Q2447" i="12"/>
  <c r="Q2735" i="12"/>
  <c r="Q2879" i="12"/>
  <c r="Q2951" i="12"/>
  <c r="Q2519" i="12"/>
  <c r="Q2699" i="12"/>
  <c r="Q2339" i="12"/>
  <c r="Q2483" i="12"/>
  <c r="Q2375" i="12"/>
  <c r="Q2663" i="12"/>
  <c r="Q2807" i="12"/>
  <c r="Q2627" i="12"/>
  <c r="Q2915" i="12"/>
  <c r="Q2555" i="12"/>
  <c r="Q2411" i="12"/>
  <c r="Q2303" i="12"/>
  <c r="Q2844" i="12"/>
  <c r="Q2772" i="12"/>
  <c r="Q2592" i="12"/>
  <c r="Q2448" i="12"/>
  <c r="Q2736" i="12"/>
  <c r="Q2880" i="12"/>
  <c r="Q2952" i="12"/>
  <c r="Q2520" i="12"/>
  <c r="Q2700" i="12"/>
  <c r="Q2340" i="12"/>
  <c r="Q2484" i="12"/>
  <c r="Q2376" i="12"/>
  <c r="Q2664" i="12"/>
  <c r="Q2808" i="12"/>
  <c r="Q2628" i="12"/>
  <c r="Q2916" i="12"/>
  <c r="Q2556" i="12"/>
  <c r="Q2412" i="12"/>
  <c r="Q2304" i="12"/>
  <c r="Q2845" i="12"/>
  <c r="Q2773" i="12"/>
  <c r="Q2593" i="12"/>
  <c r="Q2449" i="12"/>
  <c r="Q2737" i="12"/>
  <c r="Q2881" i="12"/>
  <c r="Q2953" i="12"/>
  <c r="Q2521" i="12"/>
  <c r="Q2701" i="12"/>
  <c r="Q2341" i="12"/>
  <c r="Q2485" i="12"/>
  <c r="Q2377" i="12"/>
  <c r="Q2665" i="12"/>
  <c r="Q2809" i="12"/>
  <c r="Q2629" i="12"/>
  <c r="Q2917" i="12"/>
  <c r="Q2557" i="12"/>
  <c r="Q2413" i="12"/>
  <c r="Q2305" i="12"/>
  <c r="Q3098" i="12"/>
  <c r="Q2954" i="12"/>
  <c r="Q3206" i="12"/>
  <c r="Q3458" i="12"/>
  <c r="Q3566" i="12"/>
  <c r="Q2990" i="12"/>
  <c r="Q3530" i="12"/>
  <c r="Q3134" i="12"/>
  <c r="Q3350" i="12"/>
  <c r="Q3026" i="12"/>
  <c r="Q3062" i="12"/>
  <c r="Q3278" i="12"/>
  <c r="Q3314" i="12"/>
  <c r="Q3494" i="12"/>
  <c r="Q3170" i="12"/>
  <c r="Q3422" i="12"/>
  <c r="Q3242" i="12"/>
  <c r="Q3386" i="12"/>
  <c r="Q3099" i="12"/>
  <c r="Q2955" i="12"/>
  <c r="Q3207" i="12"/>
  <c r="Q3459" i="12"/>
  <c r="Q3567" i="12"/>
  <c r="Q2991" i="12"/>
  <c r="Q3531" i="12"/>
  <c r="Q3135" i="12"/>
  <c r="Q3351" i="12"/>
  <c r="Q3027" i="12"/>
  <c r="Q3063" i="12"/>
  <c r="Q3279" i="12"/>
  <c r="Q3315" i="12"/>
  <c r="Q3495" i="12"/>
  <c r="Q3171" i="12"/>
  <c r="Q3423" i="12"/>
  <c r="Q3243" i="12"/>
  <c r="Q3387" i="12"/>
  <c r="Q3100" i="12"/>
  <c r="Q2956" i="12"/>
  <c r="Q3208" i="12"/>
  <c r="Q3460" i="12"/>
  <c r="Q3568" i="12"/>
  <c r="Q2992" i="12"/>
  <c r="Q3532" i="12"/>
  <c r="Q3136" i="12"/>
  <c r="Q3352" i="12"/>
  <c r="Q3028" i="12"/>
  <c r="Q3064" i="12"/>
  <c r="Q3280" i="12"/>
  <c r="Q3316" i="12"/>
  <c r="Q3496" i="12"/>
  <c r="Q3172" i="12"/>
  <c r="Q3424" i="12"/>
  <c r="Q3244" i="12"/>
  <c r="Q3388" i="12"/>
  <c r="Q3101" i="12"/>
  <c r="Q2957" i="12"/>
  <c r="Q3209" i="12"/>
  <c r="Q3461" i="12"/>
  <c r="Q3569" i="12"/>
  <c r="Q2993" i="12"/>
  <c r="Q3533" i="12"/>
  <c r="Q3137" i="12"/>
  <c r="Q3353" i="12"/>
  <c r="Q3029" i="12"/>
  <c r="Q3065" i="12"/>
  <c r="Q3281" i="12"/>
  <c r="Q3317" i="12"/>
  <c r="Q3497" i="12"/>
  <c r="Q3173" i="12"/>
  <c r="Q3425" i="12"/>
  <c r="Q3245" i="12"/>
  <c r="Q3389" i="12"/>
  <c r="Q3102" i="12"/>
  <c r="Q2958" i="12"/>
  <c r="Q3210" i="12"/>
  <c r="Q3462" i="12"/>
  <c r="Q3570" i="12"/>
  <c r="Q2994" i="12"/>
  <c r="Q3534" i="12"/>
  <c r="Q3138" i="12"/>
  <c r="Q3354" i="12"/>
  <c r="Q3030" i="12"/>
  <c r="Q3066" i="12"/>
  <c r="Q3282" i="12"/>
  <c r="Q3318" i="12"/>
  <c r="Q3498" i="12"/>
  <c r="Q3174" i="12"/>
  <c r="Q3426" i="12"/>
  <c r="Q3246" i="12"/>
  <c r="Q3390" i="12"/>
  <c r="Q3103" i="12"/>
  <c r="Q2959" i="12"/>
  <c r="Q3211" i="12"/>
  <c r="Q3463" i="12"/>
  <c r="Q3571" i="12"/>
  <c r="Q2995" i="12"/>
  <c r="Q3535" i="12"/>
  <c r="Q3139" i="12"/>
  <c r="Q3355" i="12"/>
  <c r="Q3031" i="12"/>
  <c r="Q3067" i="12"/>
  <c r="Q3283" i="12"/>
  <c r="Q3319" i="12"/>
  <c r="Q3499" i="12"/>
  <c r="Q3175" i="12"/>
  <c r="Q3427" i="12"/>
  <c r="Q3247" i="12"/>
  <c r="Q3391" i="12"/>
  <c r="Q3104" i="12"/>
  <c r="Q2960" i="12"/>
  <c r="Q3212" i="12"/>
  <c r="Q3464" i="12"/>
  <c r="Q3572" i="12"/>
  <c r="Q2996" i="12"/>
  <c r="Q3536" i="12"/>
  <c r="Q3140" i="12"/>
  <c r="Q3356" i="12"/>
  <c r="Q3032" i="12"/>
  <c r="Q3068" i="12"/>
  <c r="Q3284" i="12"/>
  <c r="Q3320" i="12"/>
  <c r="Q3500" i="12"/>
  <c r="Q3176" i="12"/>
  <c r="Q3428" i="12"/>
  <c r="Q3248" i="12"/>
  <c r="Q3392" i="12"/>
  <c r="Q3105" i="12"/>
  <c r="Q2961" i="12"/>
  <c r="Q3213" i="12"/>
  <c r="Q3465" i="12"/>
  <c r="Q3573" i="12"/>
  <c r="Q2997" i="12"/>
  <c r="Q3537" i="12"/>
  <c r="Q3141" i="12"/>
  <c r="Q3357" i="12"/>
  <c r="Q3033" i="12"/>
  <c r="Q3069" i="12"/>
  <c r="Q3285" i="12"/>
  <c r="Q3321" i="12"/>
  <c r="Q3501" i="12"/>
  <c r="Q3177" i="12"/>
  <c r="Q3429" i="12"/>
  <c r="Q3249" i="12"/>
  <c r="Q3393" i="12"/>
  <c r="Q3106" i="12"/>
  <c r="Q2962" i="12"/>
  <c r="Q3214" i="12"/>
  <c r="Q3466" i="12"/>
  <c r="Q3574" i="12"/>
  <c r="Q2998" i="12"/>
  <c r="Q3538" i="12"/>
  <c r="Q3142" i="12"/>
  <c r="Q3358" i="12"/>
  <c r="Q3034" i="12"/>
  <c r="Q3070" i="12"/>
  <c r="Q3286" i="12"/>
  <c r="Q3322" i="12"/>
  <c r="Q3502" i="12"/>
  <c r="Q3178" i="12"/>
  <c r="Q3430" i="12"/>
  <c r="Q3250" i="12"/>
  <c r="Q3394" i="12"/>
  <c r="Q3107" i="12"/>
  <c r="Q2963" i="12"/>
  <c r="Q3215" i="12"/>
  <c r="Q3467" i="12"/>
  <c r="Q3575" i="12"/>
  <c r="Q2999" i="12"/>
  <c r="Q3539" i="12"/>
  <c r="Q3143" i="12"/>
  <c r="Q3359" i="12"/>
  <c r="Q3035" i="12"/>
  <c r="Q3071" i="12"/>
  <c r="Q3287" i="12"/>
  <c r="Q3323" i="12"/>
  <c r="Q3503" i="12"/>
  <c r="Q3179" i="12"/>
  <c r="Q3431" i="12"/>
  <c r="Q3251" i="12"/>
  <c r="Q3395" i="12"/>
  <c r="Q3108" i="12"/>
  <c r="Q2964" i="12"/>
  <c r="Q3216" i="12"/>
  <c r="Q3468" i="12"/>
  <c r="Q3576" i="12"/>
  <c r="Q3000" i="12"/>
  <c r="Q3540" i="12"/>
  <c r="Q3144" i="12"/>
  <c r="Q3360" i="12"/>
  <c r="Q3036" i="12"/>
  <c r="Q3072" i="12"/>
  <c r="Q3288" i="12"/>
  <c r="Q3324" i="12"/>
  <c r="Q3504" i="12"/>
  <c r="Q3180" i="12"/>
  <c r="Q3432" i="12"/>
  <c r="Q3252" i="12"/>
  <c r="Q3396" i="12"/>
  <c r="Q3109" i="12"/>
  <c r="Q2965" i="12"/>
  <c r="Q3217" i="12"/>
  <c r="Q3469" i="12"/>
  <c r="Q3577" i="12"/>
  <c r="Q3001" i="12"/>
  <c r="Q3541" i="12"/>
  <c r="Q3145" i="12"/>
  <c r="Q3361" i="12"/>
  <c r="Q3037" i="12"/>
  <c r="Q3073" i="12"/>
  <c r="Q3289" i="12"/>
  <c r="Q3325" i="12"/>
  <c r="Q3505" i="12"/>
  <c r="Q3181" i="12"/>
  <c r="Q3433" i="12"/>
  <c r="Q3253" i="12"/>
  <c r="Q3397" i="12"/>
  <c r="Q3110" i="12"/>
  <c r="Q2966" i="12"/>
  <c r="Q3218" i="12"/>
  <c r="Q3470" i="12"/>
  <c r="Q3578" i="12"/>
  <c r="Q3002" i="12"/>
  <c r="Q3542" i="12"/>
  <c r="Q3146" i="12"/>
  <c r="Q3362" i="12"/>
  <c r="Q3038" i="12"/>
  <c r="Q3074" i="12"/>
  <c r="Q3290" i="12"/>
  <c r="Q3326" i="12"/>
  <c r="Q3506" i="12"/>
  <c r="Q3182" i="12"/>
  <c r="Q3434" i="12"/>
  <c r="Q3254" i="12"/>
  <c r="Q3398" i="12"/>
  <c r="Q3111" i="12"/>
  <c r="Q2967" i="12"/>
  <c r="Q3219" i="12"/>
  <c r="Q3471" i="12"/>
  <c r="Q3579" i="12"/>
  <c r="Q3003" i="12"/>
  <c r="Q3543" i="12"/>
  <c r="Q3147" i="12"/>
  <c r="Q3363" i="12"/>
  <c r="Q3039" i="12"/>
  <c r="Q3075" i="12"/>
  <c r="Q3291" i="12"/>
  <c r="Q3327" i="12"/>
  <c r="Q3507" i="12"/>
  <c r="Q3183" i="12"/>
  <c r="Q3435" i="12"/>
  <c r="Q3255" i="12"/>
  <c r="Q3399" i="12"/>
  <c r="Q3112" i="12"/>
  <c r="Q2968" i="12"/>
  <c r="Q3220" i="12"/>
  <c r="Q3472" i="12"/>
  <c r="Q3580" i="12"/>
  <c r="Q3004" i="12"/>
  <c r="Q3544" i="12"/>
  <c r="Q3148" i="12"/>
  <c r="Q3364" i="12"/>
  <c r="Q3040" i="12"/>
  <c r="Q3076" i="12"/>
  <c r="Q3292" i="12"/>
  <c r="Q3328" i="12"/>
  <c r="Q3508" i="12"/>
  <c r="Q3184" i="12"/>
  <c r="Q3436" i="12"/>
  <c r="Q3256" i="12"/>
  <c r="Q3400" i="12"/>
  <c r="Q3113" i="12"/>
  <c r="Q2969" i="12"/>
  <c r="Q3221" i="12"/>
  <c r="Q3473" i="12"/>
  <c r="Q3581" i="12"/>
  <c r="Q3005" i="12"/>
  <c r="Q3545" i="12"/>
  <c r="Q3149" i="12"/>
  <c r="Q3365" i="12"/>
  <c r="Q3041" i="12"/>
  <c r="Q3077" i="12"/>
  <c r="Q3293" i="12"/>
  <c r="Q3329" i="12"/>
  <c r="Q3509" i="12"/>
  <c r="Q3185" i="12"/>
  <c r="Q3437" i="12"/>
  <c r="Q3257" i="12"/>
  <c r="Q3401" i="12"/>
  <c r="Q3114" i="12"/>
  <c r="Q2970" i="12"/>
  <c r="Q3222" i="12"/>
  <c r="Q3474" i="12"/>
  <c r="Q3582" i="12"/>
  <c r="Q3006" i="12"/>
  <c r="Q3546" i="12"/>
  <c r="Q3150" i="12"/>
  <c r="Q3366" i="12"/>
  <c r="Q3042" i="12"/>
  <c r="Q3078" i="12"/>
  <c r="Q3294" i="12"/>
  <c r="Q3330" i="12"/>
  <c r="Q3510" i="12"/>
  <c r="Q3186" i="12"/>
  <c r="Q3438" i="12"/>
  <c r="Q3258" i="12"/>
  <c r="Q3402" i="12"/>
  <c r="Q3115" i="12"/>
  <c r="Q2971" i="12"/>
  <c r="Q3223" i="12"/>
  <c r="Q3475" i="12"/>
  <c r="Q3583" i="12"/>
  <c r="Q3007" i="12"/>
  <c r="Q3547" i="12"/>
  <c r="Q3151" i="12"/>
  <c r="Q3367" i="12"/>
  <c r="Q3043" i="12"/>
  <c r="Q3079" i="12"/>
  <c r="Q3295" i="12"/>
  <c r="Q3331" i="12"/>
  <c r="Q3511" i="12"/>
  <c r="Q3187" i="12"/>
  <c r="Q3439" i="12"/>
  <c r="Q3259" i="12"/>
  <c r="Q3403" i="12"/>
  <c r="Q3116" i="12"/>
  <c r="Q2972" i="12"/>
  <c r="Q3224" i="12"/>
  <c r="Q3476" i="12"/>
  <c r="Q3584" i="12"/>
  <c r="Q3008" i="12"/>
  <c r="Q3548" i="12"/>
  <c r="Q3152" i="12"/>
  <c r="Q3368" i="12"/>
  <c r="Q3044" i="12"/>
  <c r="Q3080" i="12"/>
  <c r="Q3296" i="12"/>
  <c r="Q3332" i="12"/>
  <c r="Q3512" i="12"/>
  <c r="Q3188" i="12"/>
  <c r="Q3440" i="12"/>
  <c r="Q3260" i="12"/>
  <c r="Q3404" i="12"/>
  <c r="Q3117" i="12"/>
  <c r="Q2973" i="12"/>
  <c r="Q3225" i="12"/>
  <c r="Q3477" i="12"/>
  <c r="Q3585" i="12"/>
  <c r="Q3009" i="12"/>
  <c r="Q3549" i="12"/>
  <c r="Q3153" i="12"/>
  <c r="Q3369" i="12"/>
  <c r="Q3045" i="12"/>
  <c r="Q3081" i="12"/>
  <c r="Q3297" i="12"/>
  <c r="Q3333" i="12"/>
  <c r="Q3513" i="12"/>
  <c r="Q3189" i="12"/>
  <c r="Q3441" i="12"/>
  <c r="Q3261" i="12"/>
  <c r="Q3405" i="12"/>
  <c r="Q3118" i="12"/>
  <c r="Q2974" i="12"/>
  <c r="Q3226" i="12"/>
  <c r="Q3478" i="12"/>
  <c r="Q3586" i="12"/>
  <c r="Q3010" i="12"/>
  <c r="Q3550" i="12"/>
  <c r="Q3154" i="12"/>
  <c r="Q3370" i="12"/>
  <c r="Q3046" i="12"/>
  <c r="Q3082" i="12"/>
  <c r="Q3298" i="12"/>
  <c r="Q3334" i="12"/>
  <c r="Q3514" i="12"/>
  <c r="Q3190" i="12"/>
  <c r="Q3442" i="12"/>
  <c r="Q3262" i="12"/>
  <c r="Q3406" i="12"/>
  <c r="Q3119" i="12"/>
  <c r="Q2975" i="12"/>
  <c r="Q3227" i="12"/>
  <c r="Q3479" i="12"/>
  <c r="Q3587" i="12"/>
  <c r="Q3011" i="12"/>
  <c r="Q3551" i="12"/>
  <c r="Q3155" i="12"/>
  <c r="Q3371" i="12"/>
  <c r="Q3047" i="12"/>
  <c r="Q3083" i="12"/>
  <c r="Q3299" i="12"/>
  <c r="Q3335" i="12"/>
  <c r="Q3515" i="12"/>
  <c r="Q3191" i="12"/>
  <c r="Q3443" i="12"/>
  <c r="Q3263" i="12"/>
  <c r="Q3407" i="12"/>
  <c r="Q3120" i="12"/>
  <c r="Q2976" i="12"/>
  <c r="Q3228" i="12"/>
  <c r="Q3480" i="12"/>
  <c r="Q3588" i="12"/>
  <c r="Q3012" i="12"/>
  <c r="Q3552" i="12"/>
  <c r="Q3156" i="12"/>
  <c r="Q3372" i="12"/>
  <c r="Q3048" i="12"/>
  <c r="Q3084" i="12"/>
  <c r="Q3300" i="12"/>
  <c r="Q3336" i="12"/>
  <c r="Q3516" i="12"/>
  <c r="Q3192" i="12"/>
  <c r="Q3444" i="12"/>
  <c r="Q3264" i="12"/>
  <c r="Q3408" i="12"/>
  <c r="Q3121" i="12"/>
  <c r="Q2977" i="12"/>
  <c r="Q3229" i="12"/>
  <c r="Q3481" i="12"/>
  <c r="Q3589" i="12"/>
  <c r="Q3013" i="12"/>
  <c r="Q3553" i="12"/>
  <c r="Q3157" i="12"/>
  <c r="Q3373" i="12"/>
  <c r="Q3049" i="12"/>
  <c r="Q3085" i="12"/>
  <c r="Q3301" i="12"/>
  <c r="Q3337" i="12"/>
  <c r="Q3517" i="12"/>
  <c r="Q3193" i="12"/>
  <c r="Q3445" i="12"/>
  <c r="Q3265" i="12"/>
  <c r="Q3409" i="12"/>
  <c r="Q3122" i="12"/>
  <c r="Q2978" i="12"/>
  <c r="Q3230" i="12"/>
  <c r="Q3482" i="12"/>
  <c r="Q3590" i="12"/>
  <c r="Q3014" i="12"/>
  <c r="Q3554" i="12"/>
  <c r="Q3158" i="12"/>
  <c r="Q3374" i="12"/>
  <c r="Q3050" i="12"/>
  <c r="Q3086" i="12"/>
  <c r="Q3302" i="12"/>
  <c r="Q3338" i="12"/>
  <c r="Q3518" i="12"/>
  <c r="Q3194" i="12"/>
  <c r="Q3446" i="12"/>
  <c r="Q3266" i="12"/>
  <c r="Q3410" i="12"/>
  <c r="Q3123" i="12"/>
  <c r="Q2979" i="12"/>
  <c r="Q3231" i="12"/>
  <c r="Q3483" i="12"/>
  <c r="Q3591" i="12"/>
  <c r="Q3015" i="12"/>
  <c r="Q3555" i="12"/>
  <c r="Q3159" i="12"/>
  <c r="Q3375" i="12"/>
  <c r="Q3051" i="12"/>
  <c r="Q3087" i="12"/>
  <c r="Q3303" i="12"/>
  <c r="Q3339" i="12"/>
  <c r="Q3519" i="12"/>
  <c r="Q3195" i="12"/>
  <c r="Q3447" i="12"/>
  <c r="Q3267" i="12"/>
  <c r="Q3411" i="12"/>
  <c r="Q3124" i="12"/>
  <c r="Q2980" i="12"/>
  <c r="Q3232" i="12"/>
  <c r="Q3484" i="12"/>
  <c r="Q3592" i="12"/>
  <c r="Q3016" i="12"/>
  <c r="Q3556" i="12"/>
  <c r="Q3160" i="12"/>
  <c r="Q3376" i="12"/>
  <c r="Q3052" i="12"/>
  <c r="Q3088" i="12"/>
  <c r="Q3304" i="12"/>
  <c r="Q3340" i="12"/>
  <c r="Q3520" i="12"/>
  <c r="Q3196" i="12"/>
  <c r="Q3448" i="12"/>
  <c r="Q3268" i="12"/>
  <c r="Q3412" i="12"/>
  <c r="Q3125" i="12"/>
  <c r="Q2981" i="12"/>
  <c r="Q3233" i="12"/>
  <c r="Q3485" i="12"/>
  <c r="Q3593" i="12"/>
  <c r="Q3017" i="12"/>
  <c r="Q3557" i="12"/>
  <c r="Q3161" i="12"/>
  <c r="Q3377" i="12"/>
  <c r="Q3053" i="12"/>
  <c r="Q3089" i="12"/>
  <c r="Q3305" i="12"/>
  <c r="Q3341" i="12"/>
  <c r="Q3521" i="12"/>
  <c r="Q3197" i="12"/>
  <c r="Q3449" i="12"/>
  <c r="Q3269" i="12"/>
  <c r="Q3413" i="12"/>
  <c r="Q3126" i="12"/>
  <c r="Q2982" i="12"/>
  <c r="Q3234" i="12"/>
  <c r="Q3486" i="12"/>
  <c r="Q3594" i="12"/>
  <c r="Q3018" i="12"/>
  <c r="Q3558" i="12"/>
  <c r="Q3162" i="12"/>
  <c r="Q3378" i="12"/>
  <c r="Q3054" i="12"/>
  <c r="Q3090" i="12"/>
  <c r="Q3306" i="12"/>
  <c r="Q3342" i="12"/>
  <c r="Q3522" i="12"/>
  <c r="Q3198" i="12"/>
  <c r="Q3450" i="12"/>
  <c r="Q3270" i="12"/>
  <c r="Q3414" i="12"/>
  <c r="Q3127" i="12"/>
  <c r="Q2983" i="12"/>
  <c r="Q3235" i="12"/>
  <c r="Q3487" i="12"/>
  <c r="Q3595" i="12"/>
  <c r="Q3019" i="12"/>
  <c r="Q3559" i="12"/>
  <c r="Q3163" i="12"/>
  <c r="Q3379" i="12"/>
  <c r="Q3055" i="12"/>
  <c r="Q3091" i="12"/>
  <c r="Q3307" i="12"/>
  <c r="Q3343" i="12"/>
  <c r="Q3523" i="12"/>
  <c r="Q3199" i="12"/>
  <c r="Q3451" i="12"/>
  <c r="Q3271" i="12"/>
  <c r="Q3415" i="12"/>
  <c r="Q3128" i="12"/>
  <c r="Q2984" i="12"/>
  <c r="Q3236" i="12"/>
  <c r="Q3488" i="12"/>
  <c r="Q3596" i="12"/>
  <c r="Q3020" i="12"/>
  <c r="Q3560" i="12"/>
  <c r="Q3164" i="12"/>
  <c r="Q3380" i="12"/>
  <c r="Q3056" i="12"/>
  <c r="Q3092" i="12"/>
  <c r="Q3308" i="12"/>
  <c r="Q3344" i="12"/>
  <c r="Q3524" i="12"/>
  <c r="Q3200" i="12"/>
  <c r="Q3452" i="12"/>
  <c r="Q3272" i="12"/>
  <c r="Q3416" i="12"/>
  <c r="Q3129" i="12"/>
  <c r="Q2985" i="12"/>
  <c r="Q3237" i="12"/>
  <c r="Q3489" i="12"/>
  <c r="Q3597" i="12"/>
  <c r="Q3021" i="12"/>
  <c r="Q3561" i="12"/>
  <c r="Q3165" i="12"/>
  <c r="Q3381" i="12"/>
  <c r="Q3057" i="12"/>
  <c r="Q3093" i="12"/>
  <c r="Q3309" i="12"/>
  <c r="Q3345" i="12"/>
  <c r="Q3525" i="12"/>
  <c r="Q3201" i="12"/>
  <c r="Q3453" i="12"/>
  <c r="Q3273" i="12"/>
  <c r="Q3417" i="12"/>
  <c r="Q3130" i="12"/>
  <c r="Q2986" i="12"/>
  <c r="Q3238" i="12"/>
  <c r="Q3490" i="12"/>
  <c r="Q3598" i="12"/>
  <c r="Q3022" i="12"/>
  <c r="Q3562" i="12"/>
  <c r="Q3166" i="12"/>
  <c r="Q3382" i="12"/>
  <c r="Q3058" i="12"/>
  <c r="Q3094" i="12"/>
  <c r="Q3310" i="12"/>
  <c r="Q3346" i="12"/>
  <c r="Q3526" i="12"/>
  <c r="Q3202" i="12"/>
  <c r="Q3454" i="12"/>
  <c r="Q3274" i="12"/>
  <c r="Q3418" i="12"/>
  <c r="Q3131" i="12"/>
  <c r="Q2987" i="12"/>
  <c r="Q3239" i="12"/>
  <c r="Q3491" i="12"/>
  <c r="Q3599" i="12"/>
  <c r="Q3023" i="12"/>
  <c r="Q3563" i="12"/>
  <c r="Q3167" i="12"/>
  <c r="Q3383" i="12"/>
  <c r="Q3059" i="12"/>
  <c r="Q3095" i="12"/>
  <c r="Q3311" i="12"/>
  <c r="Q3347" i="12"/>
  <c r="Q3527" i="12"/>
  <c r="Q3203" i="12"/>
  <c r="Q3455" i="12"/>
  <c r="Q3275" i="12"/>
  <c r="Q3419" i="12"/>
  <c r="Q3132" i="12"/>
  <c r="Q2988" i="12"/>
  <c r="Q3240" i="12"/>
  <c r="Q3492" i="12"/>
  <c r="Q3600" i="12"/>
  <c r="Q3024" i="12"/>
  <c r="Q3564" i="12"/>
  <c r="Q3168" i="12"/>
  <c r="Q3384" i="12"/>
  <c r="Q3060" i="12"/>
  <c r="Q3096" i="12"/>
  <c r="Q3312" i="12"/>
  <c r="Q3348" i="12"/>
  <c r="Q3528" i="12"/>
  <c r="Q3204" i="12"/>
  <c r="Q3456" i="12"/>
  <c r="Q3276" i="12"/>
  <c r="Q3420" i="12"/>
  <c r="Q3133" i="12"/>
  <c r="Q2989" i="12"/>
  <c r="Q3241" i="12"/>
  <c r="Q3493" i="12"/>
  <c r="Q3601" i="12"/>
  <c r="Q3025" i="12"/>
  <c r="Q3565" i="12"/>
  <c r="Q3169" i="12"/>
  <c r="Q3385" i="12"/>
  <c r="Q3061" i="12"/>
  <c r="Q3097" i="12"/>
  <c r="Q3313" i="12"/>
  <c r="Q3349" i="12"/>
  <c r="Q3529" i="12"/>
  <c r="Q3205" i="12"/>
  <c r="Q3457" i="12"/>
  <c r="Q3277" i="12"/>
  <c r="Q3421" i="12"/>
  <c r="Q362" i="12"/>
  <c r="Q110" i="12"/>
  <c r="Q254" i="12"/>
  <c r="Q470" i="12"/>
  <c r="Q182" i="12"/>
  <c r="Q434" i="12"/>
  <c r="Q146" i="12"/>
  <c r="Q614" i="12"/>
  <c r="Q506" i="12"/>
  <c r="Q290" i="12"/>
  <c r="Q398" i="12"/>
  <c r="Q326" i="12"/>
  <c r="Q218" i="12"/>
  <c r="Q363" i="12"/>
  <c r="Q111" i="12"/>
  <c r="Q255" i="12"/>
  <c r="Q471" i="12"/>
  <c r="Q183" i="12"/>
  <c r="Q435" i="12"/>
  <c r="Q147" i="12"/>
  <c r="Q615" i="12"/>
  <c r="Q507" i="12"/>
  <c r="Q291" i="12"/>
  <c r="Q399" i="12"/>
  <c r="Q327" i="12"/>
  <c r="Q219" i="12"/>
  <c r="Q364" i="12"/>
  <c r="Q112" i="12"/>
  <c r="Q256" i="12"/>
  <c r="Q472" i="12"/>
  <c r="Q184" i="12"/>
  <c r="Q436" i="12"/>
  <c r="Q148" i="12"/>
  <c r="Q616" i="12"/>
  <c r="Q508" i="12"/>
  <c r="Q292" i="12"/>
  <c r="Q400" i="12"/>
  <c r="Q328" i="12"/>
  <c r="Q220" i="12"/>
  <c r="Q365" i="12"/>
  <c r="Q113" i="12"/>
  <c r="Q257" i="12"/>
  <c r="Q473" i="12"/>
  <c r="Q185" i="12"/>
  <c r="Q437" i="12"/>
  <c r="Q149" i="12"/>
  <c r="Q617" i="12"/>
  <c r="Q509" i="12"/>
  <c r="Q293" i="12"/>
  <c r="Q401" i="12"/>
  <c r="Q329" i="12"/>
  <c r="Q221" i="12"/>
  <c r="Q366" i="12"/>
  <c r="Q114" i="12"/>
  <c r="Q258" i="12"/>
  <c r="Q474" i="12"/>
  <c r="Q186" i="12"/>
  <c r="Q438" i="12"/>
  <c r="Q150" i="12"/>
  <c r="Q618" i="12"/>
  <c r="Q510" i="12"/>
  <c r="Q294" i="12"/>
  <c r="Q402" i="12"/>
  <c r="Q330" i="12"/>
  <c r="Q222" i="12"/>
  <c r="Q367" i="12"/>
  <c r="Q115" i="12"/>
  <c r="Q259" i="12"/>
  <c r="Q475" i="12"/>
  <c r="Q187" i="12"/>
  <c r="Q439" i="12"/>
  <c r="Q151" i="12"/>
  <c r="Q619" i="12"/>
  <c r="Q511" i="12"/>
  <c r="Q295" i="12"/>
  <c r="Q403" i="12"/>
  <c r="Q331" i="12"/>
  <c r="Q223" i="12"/>
  <c r="Q368" i="12"/>
  <c r="Q116" i="12"/>
  <c r="Q260" i="12"/>
  <c r="Q476" i="12"/>
  <c r="Q188" i="12"/>
  <c r="Q440" i="12"/>
  <c r="Q152" i="12"/>
  <c r="Q620" i="12"/>
  <c r="Q512" i="12"/>
  <c r="Q296" i="12"/>
  <c r="Q404" i="12"/>
  <c r="Q332" i="12"/>
  <c r="Q224" i="12"/>
  <c r="Q369" i="12"/>
  <c r="Q117" i="12"/>
  <c r="Q261" i="12"/>
  <c r="Q477" i="12"/>
  <c r="Q189" i="12"/>
  <c r="Q441" i="12"/>
  <c r="Q153" i="12"/>
  <c r="Q621" i="12"/>
  <c r="Q513" i="12"/>
  <c r="Q297" i="12"/>
  <c r="Q405" i="12"/>
  <c r="Q333" i="12"/>
  <c r="Q225" i="12"/>
  <c r="Q370" i="12"/>
  <c r="Q118" i="12"/>
  <c r="Q262" i="12"/>
  <c r="Q478" i="12"/>
  <c r="Q190" i="12"/>
  <c r="Q442" i="12"/>
  <c r="Q154" i="12"/>
  <c r="Q622" i="12"/>
  <c r="Q514" i="12"/>
  <c r="Q298" i="12"/>
  <c r="Q406" i="12"/>
  <c r="Q334" i="12"/>
  <c r="Q226" i="12"/>
  <c r="Q371" i="12"/>
  <c r="Q119" i="12"/>
  <c r="Q263" i="12"/>
  <c r="Q479" i="12"/>
  <c r="Q191" i="12"/>
  <c r="Q443" i="12"/>
  <c r="Q155" i="12"/>
  <c r="Q623" i="12"/>
  <c r="Q515" i="12"/>
  <c r="Q299" i="12"/>
  <c r="Q407" i="12"/>
  <c r="Q335" i="12"/>
  <c r="Q227" i="12"/>
  <c r="Q372" i="12"/>
  <c r="Q120" i="12"/>
  <c r="Q264" i="12"/>
  <c r="Q480" i="12"/>
  <c r="Q192" i="12"/>
  <c r="Q444" i="12"/>
  <c r="Q156" i="12"/>
  <c r="Q624" i="12"/>
  <c r="Q516" i="12"/>
  <c r="Q300" i="12"/>
  <c r="Q408" i="12"/>
  <c r="Q336" i="12"/>
  <c r="Q228" i="12"/>
  <c r="Q373" i="12"/>
  <c r="Q121" i="12"/>
  <c r="Q265" i="12"/>
  <c r="Q481" i="12"/>
  <c r="Q193" i="12"/>
  <c r="Q445" i="12"/>
  <c r="Q157" i="12"/>
  <c r="Q625" i="12"/>
  <c r="Q517" i="12"/>
  <c r="Q301" i="12"/>
  <c r="Q409" i="12"/>
  <c r="Q337" i="12"/>
  <c r="Q229" i="12"/>
  <c r="Q374" i="12"/>
  <c r="Q122" i="12"/>
  <c r="Q266" i="12"/>
  <c r="Q482" i="12"/>
  <c r="Q194" i="12"/>
  <c r="Q446" i="12"/>
  <c r="Q158" i="12"/>
  <c r="Q626" i="12"/>
  <c r="Q518" i="12"/>
  <c r="Q302" i="12"/>
  <c r="Q410" i="12"/>
  <c r="Q338" i="12"/>
  <c r="Q230" i="12"/>
  <c r="Q375" i="12"/>
  <c r="Q123" i="12"/>
  <c r="Q267" i="12"/>
  <c r="Q483" i="12"/>
  <c r="Q195" i="12"/>
  <c r="Q447" i="12"/>
  <c r="Q159" i="12"/>
  <c r="Q627" i="12"/>
  <c r="Q519" i="12"/>
  <c r="Q303" i="12"/>
  <c r="Q411" i="12"/>
  <c r="Q339" i="12"/>
  <c r="Q231" i="12"/>
  <c r="Q376" i="12"/>
  <c r="Q124" i="12"/>
  <c r="Q268" i="12"/>
  <c r="Q484" i="12"/>
  <c r="Q196" i="12"/>
  <c r="Q448" i="12"/>
  <c r="Q160" i="12"/>
  <c r="Q628" i="12"/>
  <c r="Q520" i="12"/>
  <c r="Q304" i="12"/>
  <c r="Q412" i="12"/>
  <c r="Q340" i="12"/>
  <c r="Q232" i="12"/>
  <c r="Q377" i="12"/>
  <c r="Q125" i="12"/>
  <c r="Q269" i="12"/>
  <c r="Q485" i="12"/>
  <c r="Q197" i="12"/>
  <c r="Q449" i="12"/>
  <c r="Q161" i="12"/>
  <c r="Q629" i="12"/>
  <c r="Q521" i="12"/>
  <c r="Q305" i="12"/>
  <c r="Q413" i="12"/>
  <c r="Q341" i="12"/>
  <c r="Q233" i="12"/>
  <c r="Q378" i="12"/>
  <c r="Q126" i="12"/>
  <c r="Q270" i="12"/>
  <c r="Q486" i="12"/>
  <c r="Q198" i="12"/>
  <c r="Q450" i="12"/>
  <c r="Q162" i="12"/>
  <c r="Q630" i="12"/>
  <c r="Q522" i="12"/>
  <c r="Q306" i="12"/>
  <c r="Q414" i="12"/>
  <c r="Q342" i="12"/>
  <c r="Q234" i="12"/>
  <c r="Q379" i="12"/>
  <c r="Q127" i="12"/>
  <c r="Q271" i="12"/>
  <c r="Q487" i="12"/>
  <c r="Q199" i="12"/>
  <c r="Q451" i="12"/>
  <c r="Q163" i="12"/>
  <c r="Q631" i="12"/>
  <c r="Q523" i="12"/>
  <c r="Q307" i="12"/>
  <c r="Q415" i="12"/>
  <c r="Q343" i="12"/>
  <c r="Q235" i="12"/>
  <c r="Q380" i="12"/>
  <c r="Q128" i="12"/>
  <c r="Q272" i="12"/>
  <c r="Q488" i="12"/>
  <c r="Q200" i="12"/>
  <c r="Q452" i="12"/>
  <c r="Q164" i="12"/>
  <c r="Q632" i="12"/>
  <c r="Q524" i="12"/>
  <c r="Q308" i="12"/>
  <c r="Q416" i="12"/>
  <c r="Q344" i="12"/>
  <c r="Q236" i="12"/>
  <c r="Q381" i="12"/>
  <c r="Q129" i="12"/>
  <c r="Q273" i="12"/>
  <c r="Q489" i="12"/>
  <c r="Q201" i="12"/>
  <c r="Q453" i="12"/>
  <c r="Q165" i="12"/>
  <c r="Q633" i="12"/>
  <c r="Q525" i="12"/>
  <c r="Q309" i="12"/>
  <c r="Q417" i="12"/>
  <c r="Q345" i="12"/>
  <c r="Q237" i="12"/>
  <c r="Q382" i="12"/>
  <c r="Q130" i="12"/>
  <c r="Q274" i="12"/>
  <c r="Q490" i="12"/>
  <c r="Q202" i="12"/>
  <c r="Q454" i="12"/>
  <c r="Q166" i="12"/>
  <c r="Q634" i="12"/>
  <c r="Q526" i="12"/>
  <c r="Q310" i="12"/>
  <c r="Q418" i="12"/>
  <c r="Q346" i="12"/>
  <c r="Q238" i="12"/>
  <c r="Q383" i="12"/>
  <c r="Q131" i="12"/>
  <c r="Q275" i="12"/>
  <c r="Q491" i="12"/>
  <c r="Q203" i="12"/>
  <c r="Q455" i="12"/>
  <c r="Q167" i="12"/>
  <c r="Q635" i="12"/>
  <c r="Q527" i="12"/>
  <c r="Q311" i="12"/>
  <c r="Q419" i="12"/>
  <c r="Q347" i="12"/>
  <c r="Q239" i="12"/>
  <c r="Q384" i="12"/>
  <c r="Q132" i="12"/>
  <c r="Q276" i="12"/>
  <c r="Q492" i="12"/>
  <c r="Q204" i="12"/>
  <c r="Q456" i="12"/>
  <c r="Q168" i="12"/>
  <c r="Q636" i="12"/>
  <c r="Q528" i="12"/>
  <c r="Q312" i="12"/>
  <c r="Q420" i="12"/>
  <c r="Q348" i="12"/>
  <c r="Q240" i="12"/>
  <c r="Q385" i="12"/>
  <c r="Q133" i="12"/>
  <c r="Q277" i="12"/>
  <c r="Q493" i="12"/>
  <c r="Q205" i="12"/>
  <c r="Q457" i="12"/>
  <c r="Q169" i="12"/>
  <c r="Q637" i="12"/>
  <c r="Q529" i="12"/>
  <c r="Q313" i="12"/>
  <c r="Q421" i="12"/>
  <c r="Q349" i="12"/>
  <c r="Q241" i="12"/>
  <c r="Q386" i="12"/>
  <c r="Q134" i="12"/>
  <c r="Q278" i="12"/>
  <c r="Q494" i="12"/>
  <c r="Q206" i="12"/>
  <c r="Q458" i="12"/>
  <c r="Q170" i="12"/>
  <c r="Q638" i="12"/>
  <c r="Q530" i="12"/>
  <c r="Q314" i="12"/>
  <c r="Q422" i="12"/>
  <c r="Q350" i="12"/>
  <c r="Q242" i="12"/>
  <c r="Q387" i="12"/>
  <c r="Q135" i="12"/>
  <c r="Q279" i="12"/>
  <c r="Q495" i="12"/>
  <c r="Q207" i="12"/>
  <c r="Q459" i="12"/>
  <c r="Q171" i="12"/>
  <c r="Q639" i="12"/>
  <c r="Q531" i="12"/>
  <c r="Q315" i="12"/>
  <c r="Q423" i="12"/>
  <c r="Q351" i="12"/>
  <c r="Q243" i="12"/>
  <c r="Q388" i="12"/>
  <c r="Q136" i="12"/>
  <c r="Q280" i="12"/>
  <c r="Q496" i="12"/>
  <c r="Q208" i="12"/>
  <c r="Q460" i="12"/>
  <c r="Q172" i="12"/>
  <c r="Q640" i="12"/>
  <c r="Q532" i="12"/>
  <c r="Q316" i="12"/>
  <c r="Q424" i="12"/>
  <c r="Q352" i="12"/>
  <c r="Q244" i="12"/>
  <c r="Q389" i="12"/>
  <c r="Q137" i="12"/>
  <c r="Q281" i="12"/>
  <c r="Q497" i="12"/>
  <c r="Q209" i="12"/>
  <c r="Q461" i="12"/>
  <c r="Q173" i="12"/>
  <c r="Q641" i="12"/>
  <c r="Q533" i="12"/>
  <c r="Q317" i="12"/>
  <c r="Q425" i="12"/>
  <c r="Q353" i="12"/>
  <c r="Q245" i="12"/>
  <c r="Q390" i="12"/>
  <c r="Q138" i="12"/>
  <c r="Q282" i="12"/>
  <c r="Q498" i="12"/>
  <c r="Q210" i="12"/>
  <c r="Q462" i="12"/>
  <c r="Q174" i="12"/>
  <c r="Q642" i="12"/>
  <c r="Q534" i="12"/>
  <c r="Q318" i="12"/>
  <c r="Q426" i="12"/>
  <c r="Q354" i="12"/>
  <c r="Q246" i="12"/>
  <c r="Q391" i="12"/>
  <c r="Q139" i="12"/>
  <c r="Q283" i="12"/>
  <c r="Q499" i="12"/>
  <c r="Q211" i="12"/>
  <c r="Q463" i="12"/>
  <c r="Q175" i="12"/>
  <c r="Q643" i="12"/>
  <c r="Q535" i="12"/>
  <c r="Q319" i="12"/>
  <c r="Q427" i="12"/>
  <c r="Q355" i="12"/>
  <c r="Q247" i="12"/>
  <c r="Q392" i="12"/>
  <c r="Q140" i="12"/>
  <c r="Q284" i="12"/>
  <c r="Q500" i="12"/>
  <c r="Q212" i="12"/>
  <c r="Q464" i="12"/>
  <c r="Q176" i="12"/>
  <c r="Q644" i="12"/>
  <c r="Q536" i="12"/>
  <c r="Q320" i="12"/>
  <c r="Q428" i="12"/>
  <c r="Q356" i="12"/>
  <c r="Q248" i="12"/>
  <c r="Q393" i="12"/>
  <c r="Q141" i="12"/>
  <c r="Q285" i="12"/>
  <c r="Q501" i="12"/>
  <c r="Q213" i="12"/>
  <c r="Q465" i="12"/>
  <c r="Q177" i="12"/>
  <c r="Q645" i="12"/>
  <c r="Q537" i="12"/>
  <c r="Q321" i="12"/>
  <c r="Q429" i="12"/>
  <c r="Q357" i="12"/>
  <c r="Q249" i="12"/>
  <c r="Q394" i="12"/>
  <c r="Q142" i="12"/>
  <c r="Q286" i="12"/>
  <c r="Q502" i="12"/>
  <c r="Q214" i="12"/>
  <c r="Q466" i="12"/>
  <c r="Q178" i="12"/>
  <c r="Q646" i="12"/>
  <c r="Q538" i="12"/>
  <c r="Q322" i="12"/>
  <c r="Q430" i="12"/>
  <c r="Q358" i="12"/>
  <c r="Q250" i="12"/>
  <c r="Q395" i="12"/>
  <c r="Q143" i="12"/>
  <c r="Q287" i="12"/>
  <c r="Q503" i="12"/>
  <c r="Q215" i="12"/>
  <c r="Q467" i="12"/>
  <c r="Q179" i="12"/>
  <c r="Q647" i="12"/>
  <c r="Q539" i="12"/>
  <c r="Q323" i="12"/>
  <c r="Q431" i="12"/>
  <c r="Q359" i="12"/>
  <c r="Q251" i="12"/>
  <c r="Q396" i="12"/>
  <c r="Q144" i="12"/>
  <c r="Q288" i="12"/>
  <c r="Q504" i="12"/>
  <c r="Q216" i="12"/>
  <c r="Q468" i="12"/>
  <c r="Q180" i="12"/>
  <c r="Q648" i="12"/>
  <c r="Q540" i="12"/>
  <c r="Q324" i="12"/>
  <c r="Q432" i="12"/>
  <c r="Q360" i="12"/>
  <c r="Q252" i="12"/>
  <c r="Q397" i="12"/>
  <c r="Q145" i="12"/>
  <c r="Q289" i="12"/>
  <c r="Q505" i="12"/>
  <c r="Q217" i="12"/>
  <c r="Q469" i="12"/>
  <c r="Q181" i="12"/>
  <c r="Q649" i="12"/>
  <c r="Q541" i="12"/>
  <c r="Q325" i="12"/>
  <c r="Q433" i="12"/>
  <c r="Q361" i="12"/>
  <c r="Q253" i="12"/>
  <c r="Q542" i="12"/>
  <c r="Q543" i="12"/>
  <c r="Q544" i="12"/>
  <c r="Q545" i="12"/>
  <c r="Q546" i="12"/>
  <c r="Q547" i="12"/>
  <c r="Q548" i="12"/>
  <c r="Q549" i="12"/>
  <c r="Q550" i="12"/>
  <c r="Q551" i="12"/>
  <c r="Q552" i="12"/>
  <c r="Q553" i="12"/>
  <c r="Q554" i="12"/>
  <c r="Q555" i="12"/>
  <c r="Q556" i="12"/>
  <c r="Q557" i="12"/>
  <c r="Q558" i="12"/>
  <c r="Q559" i="12"/>
  <c r="Q560" i="12"/>
  <c r="Q561" i="12"/>
  <c r="Q562" i="12"/>
  <c r="Q563" i="12"/>
  <c r="Q564" i="12"/>
  <c r="Q565" i="12"/>
  <c r="Q566" i="12"/>
  <c r="Q567" i="12"/>
  <c r="Q568" i="12"/>
  <c r="Q569" i="12"/>
  <c r="Q570" i="12"/>
  <c r="Q571" i="12"/>
  <c r="Q572" i="12"/>
  <c r="Q573" i="12"/>
  <c r="Q574" i="12"/>
  <c r="Q575" i="12"/>
  <c r="Q576" i="12"/>
  <c r="Q577" i="12"/>
  <c r="Q578" i="12"/>
  <c r="Q579" i="12"/>
  <c r="Q580" i="12"/>
  <c r="Q581" i="12"/>
  <c r="Q582" i="12"/>
  <c r="Q583" i="12"/>
  <c r="Q584" i="12"/>
  <c r="Q585" i="12"/>
  <c r="Q586" i="12"/>
  <c r="Q587" i="12"/>
  <c r="Q588" i="12"/>
  <c r="Q589" i="12"/>
  <c r="Q590" i="12"/>
  <c r="Q591" i="12"/>
  <c r="Q592" i="12"/>
  <c r="Q593" i="12"/>
  <c r="Q594" i="12"/>
  <c r="Q595" i="12"/>
  <c r="Q596" i="12"/>
  <c r="Q597" i="12"/>
  <c r="Q598" i="12"/>
  <c r="Q599" i="12"/>
  <c r="Q600" i="12"/>
  <c r="Q601" i="12"/>
  <c r="Q602" i="12"/>
  <c r="Q603" i="12"/>
  <c r="Q604" i="12"/>
  <c r="Q605" i="12"/>
  <c r="Q606" i="12"/>
  <c r="Q607" i="12"/>
  <c r="Q608" i="12"/>
  <c r="Q609" i="12"/>
  <c r="Q610" i="12"/>
  <c r="Q611" i="12"/>
  <c r="Q612" i="12"/>
  <c r="Q613" i="12"/>
  <c r="Q2090" i="12"/>
  <c r="Q2234" i="12"/>
  <c r="Q2126" i="12"/>
  <c r="Q1874" i="12"/>
  <c r="Q2054" i="12"/>
  <c r="Q2198" i="12"/>
  <c r="Q1982" i="12"/>
  <c r="Q1838" i="12"/>
  <c r="Q1946" i="12"/>
  <c r="Q1910" i="12"/>
  <c r="Q1802" i="12"/>
  <c r="Q2018" i="12"/>
  <c r="Q2162" i="12"/>
  <c r="Q2091" i="12"/>
  <c r="Q2235" i="12"/>
  <c r="Q2127" i="12"/>
  <c r="Q1875" i="12"/>
  <c r="Q2055" i="12"/>
  <c r="Q2199" i="12"/>
  <c r="Q1983" i="12"/>
  <c r="Q1839" i="12"/>
  <c r="Q1947" i="12"/>
  <c r="Q1911" i="12"/>
  <c r="Q1803" i="12"/>
  <c r="Q2019" i="12"/>
  <c r="Q2163" i="12"/>
  <c r="Q2092" i="12"/>
  <c r="Q2236" i="12"/>
  <c r="Q2128" i="12"/>
  <c r="Q1876" i="12"/>
  <c r="Q2056" i="12"/>
  <c r="Q2200" i="12"/>
  <c r="Q1984" i="12"/>
  <c r="Q1840" i="12"/>
  <c r="Q1948" i="12"/>
  <c r="Q1912" i="12"/>
  <c r="Q1804" i="12"/>
  <c r="Q2020" i="12"/>
  <c r="Q2164" i="12"/>
  <c r="Q2093" i="12"/>
  <c r="Q2237" i="12"/>
  <c r="Q2129" i="12"/>
  <c r="Q1877" i="12"/>
  <c r="Q2057" i="12"/>
  <c r="Q2201" i="12"/>
  <c r="Q1985" i="12"/>
  <c r="Q1841" i="12"/>
  <c r="Q1949" i="12"/>
  <c r="Q1913" i="12"/>
  <c r="Q1805" i="12"/>
  <c r="Q2021" i="12"/>
  <c r="Q2165" i="12"/>
  <c r="Q2094" i="12"/>
  <c r="Q2238" i="12"/>
  <c r="Q2130" i="12"/>
  <c r="Q1878" i="12"/>
  <c r="Q2058" i="12"/>
  <c r="Q2202" i="12"/>
  <c r="Q1986" i="12"/>
  <c r="Q1842" i="12"/>
  <c r="Q1950" i="12"/>
  <c r="Q1914" i="12"/>
  <c r="Q1806" i="12"/>
  <c r="Q2022" i="12"/>
  <c r="Q2166" i="12"/>
  <c r="Q2095" i="12"/>
  <c r="Q2239" i="12"/>
  <c r="Q2131" i="12"/>
  <c r="Q1879" i="12"/>
  <c r="Q2059" i="12"/>
  <c r="Q2203" i="12"/>
  <c r="Q1987" i="12"/>
  <c r="Q1843" i="12"/>
  <c r="Q1951" i="12"/>
  <c r="Q1915" i="12"/>
  <c r="Q1807" i="12"/>
  <c r="Q2023" i="12"/>
  <c r="Q2167" i="12"/>
  <c r="Q2096" i="12"/>
  <c r="Q2240" i="12"/>
  <c r="Q2132" i="12"/>
  <c r="Q1880" i="12"/>
  <c r="Q2060" i="12"/>
  <c r="Q2204" i="12"/>
  <c r="Q1988" i="12"/>
  <c r="Q1844" i="12"/>
  <c r="Q1952" i="12"/>
  <c r="Q1916" i="12"/>
  <c r="Q1808" i="12"/>
  <c r="Q2024" i="12"/>
  <c r="Q2168" i="12"/>
  <c r="Q2097" i="12"/>
  <c r="Q2241" i="12"/>
  <c r="Q2133" i="12"/>
  <c r="Q1881" i="12"/>
  <c r="Q2061" i="12"/>
  <c r="Q2205" i="12"/>
  <c r="Q1989" i="12"/>
  <c r="Q1845" i="12"/>
  <c r="Q1953" i="12"/>
  <c r="Q1917" i="12"/>
  <c r="Q1809" i="12"/>
  <c r="Q2025" i="12"/>
  <c r="Q2169" i="12"/>
  <c r="Q2098" i="12"/>
  <c r="Q2242" i="12"/>
  <c r="Q2134" i="12"/>
  <c r="Q1882" i="12"/>
  <c r="Q2062" i="12"/>
  <c r="Q2206" i="12"/>
  <c r="Q1990" i="12"/>
  <c r="Q1846" i="12"/>
  <c r="Q1954" i="12"/>
  <c r="Q1918" i="12"/>
  <c r="Q1810" i="12"/>
  <c r="Q2026" i="12"/>
  <c r="Q2170" i="12"/>
  <c r="Q2099" i="12"/>
  <c r="Q2243" i="12"/>
  <c r="Q2135" i="12"/>
  <c r="Q1883" i="12"/>
  <c r="Q2063" i="12"/>
  <c r="Q2207" i="12"/>
  <c r="Q1991" i="12"/>
  <c r="Q1847" i="12"/>
  <c r="Q1955" i="12"/>
  <c r="Q1919" i="12"/>
  <c r="Q1811" i="12"/>
  <c r="Q2027" i="12"/>
  <c r="Q2171" i="12"/>
  <c r="Q2100" i="12"/>
  <c r="Q2244" i="12"/>
  <c r="Q2136" i="12"/>
  <c r="Q1884" i="12"/>
  <c r="Q2064" i="12"/>
  <c r="Q2208" i="12"/>
  <c r="Q1992" i="12"/>
  <c r="Q1848" i="12"/>
  <c r="Q1956" i="12"/>
  <c r="Q1920" i="12"/>
  <c r="Q1812" i="12"/>
  <c r="Q2028" i="12"/>
  <c r="Q2172" i="12"/>
  <c r="Q2101" i="12"/>
  <c r="Q2245" i="12"/>
  <c r="Q2137" i="12"/>
  <c r="Q1885" i="12"/>
  <c r="Q2065" i="12"/>
  <c r="Q2209" i="12"/>
  <c r="Q1993" i="12"/>
  <c r="Q1849" i="12"/>
  <c r="Q1957" i="12"/>
  <c r="Q1921" i="12"/>
  <c r="Q1813" i="12"/>
  <c r="Q2029" i="12"/>
  <c r="Q2173" i="12"/>
  <c r="Q2102" i="12"/>
  <c r="Q2246" i="12"/>
  <c r="Q2138" i="12"/>
  <c r="Q1886" i="12"/>
  <c r="Q2066" i="12"/>
  <c r="Q2210" i="12"/>
  <c r="Q1994" i="12"/>
  <c r="Q1850" i="12"/>
  <c r="Q1958" i="12"/>
  <c r="Q1922" i="12"/>
  <c r="Q1814" i="12"/>
  <c r="Q2030" i="12"/>
  <c r="Q2174" i="12"/>
  <c r="Q2103" i="12"/>
  <c r="Q2247" i="12"/>
  <c r="Q2139" i="12"/>
  <c r="Q1887" i="12"/>
  <c r="Q2067" i="12"/>
  <c r="Q2211" i="12"/>
  <c r="Q1995" i="12"/>
  <c r="Q1851" i="12"/>
  <c r="Q1959" i="12"/>
  <c r="Q1923" i="12"/>
  <c r="Q1815" i="12"/>
  <c r="Q2031" i="12"/>
  <c r="Q2175" i="12"/>
  <c r="Q2104" i="12"/>
  <c r="Q2248" i="12"/>
  <c r="Q2140" i="12"/>
  <c r="Q1888" i="12"/>
  <c r="Q2068" i="12"/>
  <c r="Q2212" i="12"/>
  <c r="Q1996" i="12"/>
  <c r="Q1852" i="12"/>
  <c r="Q1960" i="12"/>
  <c r="Q1924" i="12"/>
  <c r="Q1816" i="12"/>
  <c r="Q2032" i="12"/>
  <c r="Q2176" i="12"/>
  <c r="Q2105" i="12"/>
  <c r="Q2249" i="12"/>
  <c r="Q2141" i="12"/>
  <c r="Q1889" i="12"/>
  <c r="Q2069" i="12"/>
  <c r="Q2213" i="12"/>
  <c r="Q1997" i="12"/>
  <c r="Q1853" i="12"/>
  <c r="Q1961" i="12"/>
  <c r="Q1925" i="12"/>
  <c r="Q1817" i="12"/>
  <c r="Q2033" i="12"/>
  <c r="Q2177" i="12"/>
  <c r="Q2106" i="12"/>
  <c r="Q2250" i="12"/>
  <c r="Q2142" i="12"/>
  <c r="Q1890" i="12"/>
  <c r="Q2070" i="12"/>
  <c r="Q2214" i="12"/>
  <c r="Q1998" i="12"/>
  <c r="Q1854" i="12"/>
  <c r="Q1962" i="12"/>
  <c r="Q1926" i="12"/>
  <c r="Q1818" i="12"/>
  <c r="Q2034" i="12"/>
  <c r="Q2178" i="12"/>
  <c r="Q2107" i="12"/>
  <c r="Q2251" i="12"/>
  <c r="Q2143" i="12"/>
  <c r="Q1891" i="12"/>
  <c r="Q2071" i="12"/>
  <c r="Q2215" i="12"/>
  <c r="Q1999" i="12"/>
  <c r="Q1855" i="12"/>
  <c r="Q1963" i="12"/>
  <c r="Q1927" i="12"/>
  <c r="Q1819" i="12"/>
  <c r="Q2035" i="12"/>
  <c r="Q2179" i="12"/>
  <c r="Q2108" i="12"/>
  <c r="Q2252" i="12"/>
  <c r="Q2144" i="12"/>
  <c r="Q1892" i="12"/>
  <c r="Q2072" i="12"/>
  <c r="Q2216" i="12"/>
  <c r="Q2000" i="12"/>
  <c r="Q1856" i="12"/>
  <c r="Q1964" i="12"/>
  <c r="Q1928" i="12"/>
  <c r="Q1820" i="12"/>
  <c r="Q2036" i="12"/>
  <c r="Q2180" i="12"/>
  <c r="Q2109" i="12"/>
  <c r="Q2253" i="12"/>
  <c r="Q2145" i="12"/>
  <c r="Q1893" i="12"/>
  <c r="Q2073" i="12"/>
  <c r="Q2217" i="12"/>
  <c r="Q2001" i="12"/>
  <c r="Q1857" i="12"/>
  <c r="Q1965" i="12"/>
  <c r="Q1929" i="12"/>
  <c r="Q1821" i="12"/>
  <c r="Q2037" i="12"/>
  <c r="Q2181" i="12"/>
  <c r="Q2110" i="12"/>
  <c r="Q2254" i="12"/>
  <c r="Q2146" i="12"/>
  <c r="Q1894" i="12"/>
  <c r="Q2074" i="12"/>
  <c r="Q2218" i="12"/>
  <c r="Q2002" i="12"/>
  <c r="Q1858" i="12"/>
  <c r="Q1966" i="12"/>
  <c r="Q1930" i="12"/>
  <c r="Q1822" i="12"/>
  <c r="Q2038" i="12"/>
  <c r="Q2182" i="12"/>
  <c r="Q2111" i="12"/>
  <c r="Q2255" i="12"/>
  <c r="Q2147" i="12"/>
  <c r="Q1895" i="12"/>
  <c r="Q2075" i="12"/>
  <c r="Q2219" i="12"/>
  <c r="Q2003" i="12"/>
  <c r="Q1859" i="12"/>
  <c r="Q1967" i="12"/>
  <c r="Q1931" i="12"/>
  <c r="Q1823" i="12"/>
  <c r="Q2039" i="12"/>
  <c r="Q2183" i="12"/>
  <c r="Q2112" i="12"/>
  <c r="Q2256" i="12"/>
  <c r="Q2148" i="12"/>
  <c r="Q1896" i="12"/>
  <c r="Q2076" i="12"/>
  <c r="Q2220" i="12"/>
  <c r="Q2004" i="12"/>
  <c r="Q1860" i="12"/>
  <c r="Q1968" i="12"/>
  <c r="Q1932" i="12"/>
  <c r="Q1824" i="12"/>
  <c r="Q2040" i="12"/>
  <c r="Q2184" i="12"/>
  <c r="Q2113" i="12"/>
  <c r="Q2257" i="12"/>
  <c r="Q2149" i="12"/>
  <c r="Q1897" i="12"/>
  <c r="Q2077" i="12"/>
  <c r="Q2221" i="12"/>
  <c r="Q2005" i="12"/>
  <c r="Q1861" i="12"/>
  <c r="Q1969" i="12"/>
  <c r="Q1933" i="12"/>
  <c r="Q1825" i="12"/>
  <c r="Q2041" i="12"/>
  <c r="Q2185" i="12"/>
  <c r="Q2114" i="12"/>
  <c r="Q2258" i="12"/>
  <c r="Q2150" i="12"/>
  <c r="Q1898" i="12"/>
  <c r="Q2078" i="12"/>
  <c r="Q2222" i="12"/>
  <c r="Q2006" i="12"/>
  <c r="Q1862" i="12"/>
  <c r="Q1970" i="12"/>
  <c r="Q1934" i="12"/>
  <c r="Q1826" i="12"/>
  <c r="Q2042" i="12"/>
  <c r="Q2186" i="12"/>
  <c r="Q2115" i="12"/>
  <c r="Q2259" i="12"/>
  <c r="Q2151" i="12"/>
  <c r="Q1899" i="12"/>
  <c r="Q2079" i="12"/>
  <c r="Q2223" i="12"/>
  <c r="Q2007" i="12"/>
  <c r="Q1863" i="12"/>
  <c r="Q1971" i="12"/>
  <c r="Q1935" i="12"/>
  <c r="Q1827" i="12"/>
  <c r="Q2043" i="12"/>
  <c r="Q2187" i="12"/>
  <c r="Q2116" i="12"/>
  <c r="Q2260" i="12"/>
  <c r="Q2152" i="12"/>
  <c r="Q1900" i="12"/>
  <c r="Q2080" i="12"/>
  <c r="Q2224" i="12"/>
  <c r="Q2008" i="12"/>
  <c r="Q1864" i="12"/>
  <c r="Q1972" i="12"/>
  <c r="Q1936" i="12"/>
  <c r="Q1828" i="12"/>
  <c r="Q2044" i="12"/>
  <c r="Q2188" i="12"/>
  <c r="Q2117" i="12"/>
  <c r="Q2261" i="12"/>
  <c r="Q2153" i="12"/>
  <c r="Q1901" i="12"/>
  <c r="Q2081" i="12"/>
  <c r="Q2225" i="12"/>
  <c r="Q2009" i="12"/>
  <c r="Q1865" i="12"/>
  <c r="Q1973" i="12"/>
  <c r="Q1937" i="12"/>
  <c r="Q1829" i="12"/>
  <c r="Q2045" i="12"/>
  <c r="Q2189" i="12"/>
  <c r="Q2118" i="12"/>
  <c r="Q2262" i="12"/>
  <c r="Q2154" i="12"/>
  <c r="Q1902" i="12"/>
  <c r="Q2082" i="12"/>
  <c r="Q2226" i="12"/>
  <c r="Q2010" i="12"/>
  <c r="Q1866" i="12"/>
  <c r="Q1974" i="12"/>
  <c r="Q1938" i="12"/>
  <c r="Q1830" i="12"/>
  <c r="Q2046" i="12"/>
  <c r="Q2190" i="12"/>
  <c r="Q2119" i="12"/>
  <c r="Q2263" i="12"/>
  <c r="Q2155" i="12"/>
  <c r="Q1903" i="12"/>
  <c r="Q2083" i="12"/>
  <c r="Q2227" i="12"/>
  <c r="Q2011" i="12"/>
  <c r="Q1867" i="12"/>
  <c r="Q1975" i="12"/>
  <c r="Q1939" i="12"/>
  <c r="Q1831" i="12"/>
  <c r="Q2047" i="12"/>
  <c r="Q2191" i="12"/>
  <c r="Q2120" i="12"/>
  <c r="Q2264" i="12"/>
  <c r="Q2156" i="12"/>
  <c r="Q1904" i="12"/>
  <c r="Q2084" i="12"/>
  <c r="Q2228" i="12"/>
  <c r="Q2012" i="12"/>
  <c r="Q1868" i="12"/>
  <c r="Q1976" i="12"/>
  <c r="Q1940" i="12"/>
  <c r="Q1832" i="12"/>
  <c r="Q2048" i="12"/>
  <c r="Q2192" i="12"/>
  <c r="Q2121" i="12"/>
  <c r="Q2265" i="12"/>
  <c r="Q2157" i="12"/>
  <c r="Q1905" i="12"/>
  <c r="Q2085" i="12"/>
  <c r="Q2229" i="12"/>
  <c r="Q2013" i="12"/>
  <c r="Q1869" i="12"/>
  <c r="Q1977" i="12"/>
  <c r="Q1941" i="12"/>
  <c r="Q1833" i="12"/>
  <c r="Q2049" i="12"/>
  <c r="Q2193" i="12"/>
  <c r="Q2122" i="12"/>
  <c r="Q2266" i="12"/>
  <c r="Q2158" i="12"/>
  <c r="Q1906" i="12"/>
  <c r="Q2086" i="12"/>
  <c r="Q2230" i="12"/>
  <c r="Q2014" i="12"/>
  <c r="Q1870" i="12"/>
  <c r="Q1978" i="12"/>
  <c r="Q1942" i="12"/>
  <c r="Q1834" i="12"/>
  <c r="Q2050" i="12"/>
  <c r="Q2194" i="12"/>
  <c r="Q2123" i="12"/>
  <c r="Q2267" i="12"/>
  <c r="Q2159" i="12"/>
  <c r="Q1907" i="12"/>
  <c r="Q2087" i="12"/>
  <c r="Q2231" i="12"/>
  <c r="Q2015" i="12"/>
  <c r="Q1871" i="12"/>
  <c r="Q1979" i="12"/>
  <c r="Q1943" i="12"/>
  <c r="Q1835" i="12"/>
  <c r="Q2051" i="12"/>
  <c r="Q2195" i="12"/>
  <c r="Q2124" i="12"/>
  <c r="Q2268" i="12"/>
  <c r="Q2160" i="12"/>
  <c r="Q1908" i="12"/>
  <c r="Q2088" i="12"/>
  <c r="Q2232" i="12"/>
  <c r="Q2016" i="12"/>
  <c r="Q1872" i="12"/>
  <c r="Q1980" i="12"/>
  <c r="Q1944" i="12"/>
  <c r="Q1836" i="12"/>
  <c r="Q2052" i="12"/>
  <c r="Q2196" i="12"/>
  <c r="Q2125" i="12"/>
  <c r="Q2269" i="12"/>
  <c r="Q2161" i="12"/>
  <c r="Q1909" i="12"/>
  <c r="Q2089" i="12"/>
  <c r="Q2233" i="12"/>
  <c r="Q2017" i="12"/>
  <c r="Q1873" i="12"/>
  <c r="Q1981" i="12"/>
  <c r="Q1945" i="12"/>
  <c r="Q1837" i="12"/>
  <c r="Q2053" i="12"/>
  <c r="Q2197" i="12"/>
  <c r="Q2" i="12"/>
  <c r="Q74" i="12"/>
  <c r="Q3" i="12"/>
  <c r="Q75" i="12"/>
  <c r="Q4" i="12"/>
  <c r="Q76" i="12"/>
  <c r="Q5" i="12"/>
  <c r="Q77" i="12"/>
  <c r="Q6" i="12"/>
  <c r="Q78" i="12"/>
  <c r="Q7" i="12"/>
  <c r="Q79" i="12"/>
  <c r="Q8" i="12"/>
  <c r="Q80" i="12"/>
  <c r="Q9" i="12"/>
  <c r="Q81" i="12"/>
  <c r="Q10" i="12"/>
  <c r="Q82" i="12"/>
  <c r="Q11" i="12"/>
  <c r="Q83" i="12"/>
  <c r="Q12" i="12"/>
  <c r="Q84" i="12"/>
  <c r="Q13" i="12"/>
  <c r="Q85" i="12"/>
  <c r="Q14" i="12"/>
  <c r="Q86" i="12"/>
  <c r="Q15" i="12"/>
  <c r="Q87" i="12"/>
  <c r="Q16" i="12"/>
  <c r="Q88" i="12"/>
  <c r="Q17" i="12"/>
  <c r="Q89" i="12"/>
  <c r="Q18" i="12"/>
  <c r="Q90" i="12"/>
  <c r="Q19" i="12"/>
  <c r="Q91" i="12"/>
  <c r="Q20" i="12"/>
  <c r="Q92" i="12"/>
  <c r="Q21" i="12"/>
  <c r="Q93" i="12"/>
  <c r="Q22" i="12"/>
  <c r="Q94" i="12"/>
  <c r="Q23" i="12"/>
  <c r="Q95" i="12"/>
  <c r="Q24" i="12"/>
  <c r="Q96" i="12"/>
  <c r="Q25" i="12"/>
  <c r="Q97" i="12"/>
  <c r="Q26" i="12"/>
  <c r="Q98" i="12"/>
  <c r="Q27" i="12"/>
  <c r="Q99" i="12"/>
  <c r="Q28" i="12"/>
  <c r="Q100" i="12"/>
  <c r="Q29" i="12"/>
  <c r="Q101" i="12"/>
  <c r="Q30" i="12"/>
  <c r="Q102" i="12"/>
  <c r="Q31" i="12"/>
  <c r="Q103" i="12"/>
  <c r="Q32" i="12"/>
  <c r="Q104" i="12"/>
  <c r="Q33" i="12"/>
  <c r="Q105" i="12"/>
  <c r="Q34" i="12"/>
  <c r="Q106" i="12"/>
  <c r="Q35" i="12"/>
  <c r="Q107" i="12"/>
  <c r="Q36" i="12"/>
  <c r="Q108" i="12"/>
  <c r="Q37" i="12"/>
  <c r="Q109" i="12"/>
  <c r="P1190" i="12"/>
  <c r="P1226" i="12"/>
  <c r="P1082" i="12"/>
  <c r="P1334" i="12"/>
  <c r="P1370" i="12"/>
  <c r="P830" i="12"/>
  <c r="P38" i="12"/>
  <c r="P1478" i="12"/>
  <c r="P1586" i="12"/>
  <c r="P722" i="12"/>
  <c r="P1298" i="12"/>
  <c r="P1010" i="12"/>
  <c r="P974" i="12"/>
  <c r="P1046" i="12"/>
  <c r="P1622" i="12"/>
  <c r="P938" i="12"/>
  <c r="P686" i="12"/>
  <c r="P1154" i="12"/>
  <c r="P1730" i="12"/>
  <c r="P1550" i="12"/>
  <c r="P1694" i="12"/>
  <c r="P902" i="12"/>
  <c r="P866" i="12"/>
  <c r="P1406" i="12"/>
  <c r="P1118" i="12"/>
  <c r="P650" i="12"/>
  <c r="P1442" i="12"/>
  <c r="P1262" i="12"/>
  <c r="P1514" i="12"/>
  <c r="P794" i="12"/>
  <c r="P758" i="12"/>
  <c r="P1766" i="12"/>
  <c r="P1658" i="12"/>
  <c r="P1191" i="12"/>
  <c r="P1227" i="12"/>
  <c r="P1083" i="12"/>
  <c r="P1335" i="12"/>
  <c r="P1371" i="12"/>
  <c r="P831" i="12"/>
  <c r="P39" i="12"/>
  <c r="P1479" i="12"/>
  <c r="P1587" i="12"/>
  <c r="P723" i="12"/>
  <c r="P1299" i="12"/>
  <c r="P1011" i="12"/>
  <c r="P975" i="12"/>
  <c r="P1047" i="12"/>
  <c r="P1623" i="12"/>
  <c r="P939" i="12"/>
  <c r="P687" i="12"/>
  <c r="P1155" i="12"/>
  <c r="P1731" i="12"/>
  <c r="P1551" i="12"/>
  <c r="P1695" i="12"/>
  <c r="P903" i="12"/>
  <c r="P867" i="12"/>
  <c r="P1407" i="12"/>
  <c r="P1119" i="12"/>
  <c r="P651" i="12"/>
  <c r="P1443" i="12"/>
  <c r="P1263" i="12"/>
  <c r="P1515" i="12"/>
  <c r="P795" i="12"/>
  <c r="P759" i="12"/>
  <c r="P1767" i="12"/>
  <c r="P1659" i="12"/>
  <c r="P1192" i="12"/>
  <c r="P1228" i="12"/>
  <c r="P1084" i="12"/>
  <c r="P1336" i="12"/>
  <c r="P1372" i="12"/>
  <c r="P832" i="12"/>
  <c r="P40" i="12"/>
  <c r="P1480" i="12"/>
  <c r="P1588" i="12"/>
  <c r="P724" i="12"/>
  <c r="P1300" i="12"/>
  <c r="P1012" i="12"/>
  <c r="P976" i="12"/>
  <c r="P1048" i="12"/>
  <c r="P1624" i="12"/>
  <c r="P940" i="12"/>
  <c r="P688" i="12"/>
  <c r="P1156" i="12"/>
  <c r="P1732" i="12"/>
  <c r="P1552" i="12"/>
  <c r="P1696" i="12"/>
  <c r="P904" i="12"/>
  <c r="P868" i="12"/>
  <c r="P1408" i="12"/>
  <c r="P1120" i="12"/>
  <c r="P652" i="12"/>
  <c r="P1444" i="12"/>
  <c r="P1264" i="12"/>
  <c r="P1516" i="12"/>
  <c r="P796" i="12"/>
  <c r="P760" i="12"/>
  <c r="P1768" i="12"/>
  <c r="P1660" i="12"/>
  <c r="P1193" i="12"/>
  <c r="P1229" i="12"/>
  <c r="P1085" i="12"/>
  <c r="P1337" i="12"/>
  <c r="P1373" i="12"/>
  <c r="P833" i="12"/>
  <c r="P41" i="12"/>
  <c r="P1481" i="12"/>
  <c r="P1589" i="12"/>
  <c r="P725" i="12"/>
  <c r="P1301" i="12"/>
  <c r="P1013" i="12"/>
  <c r="P977" i="12"/>
  <c r="P1049" i="12"/>
  <c r="P1625" i="12"/>
  <c r="P941" i="12"/>
  <c r="P689" i="12"/>
  <c r="P1157" i="12"/>
  <c r="P1733" i="12"/>
  <c r="P1553" i="12"/>
  <c r="P1697" i="12"/>
  <c r="P905" i="12"/>
  <c r="P869" i="12"/>
  <c r="P1409" i="12"/>
  <c r="P1121" i="12"/>
  <c r="P653" i="12"/>
  <c r="P1445" i="12"/>
  <c r="P1265" i="12"/>
  <c r="P1517" i="12"/>
  <c r="P797" i="12"/>
  <c r="P761" i="12"/>
  <c r="P1769" i="12"/>
  <c r="P1661" i="12"/>
  <c r="P1194" i="12"/>
  <c r="P1230" i="12"/>
  <c r="P1086" i="12"/>
  <c r="P1338" i="12"/>
  <c r="P1374" i="12"/>
  <c r="P834" i="12"/>
  <c r="P42" i="12"/>
  <c r="P1482" i="12"/>
  <c r="P1590" i="12"/>
  <c r="P726" i="12"/>
  <c r="P1302" i="12"/>
  <c r="P1014" i="12"/>
  <c r="P978" i="12"/>
  <c r="P1050" i="12"/>
  <c r="P1626" i="12"/>
  <c r="P942" i="12"/>
  <c r="P690" i="12"/>
  <c r="P1158" i="12"/>
  <c r="P1734" i="12"/>
  <c r="P1554" i="12"/>
  <c r="P1698" i="12"/>
  <c r="P906" i="12"/>
  <c r="P870" i="12"/>
  <c r="P1410" i="12"/>
  <c r="P1122" i="12"/>
  <c r="P654" i="12"/>
  <c r="P1446" i="12"/>
  <c r="P1266" i="12"/>
  <c r="P1518" i="12"/>
  <c r="P798" i="12"/>
  <c r="P762" i="12"/>
  <c r="P1770" i="12"/>
  <c r="P1662" i="12"/>
  <c r="P1195" i="12"/>
  <c r="P1231" i="12"/>
  <c r="P1087" i="12"/>
  <c r="P1339" i="12"/>
  <c r="P1375" i="12"/>
  <c r="P835" i="12"/>
  <c r="P43" i="12"/>
  <c r="P1483" i="12"/>
  <c r="P1591" i="12"/>
  <c r="P727" i="12"/>
  <c r="P1303" i="12"/>
  <c r="P1015" i="12"/>
  <c r="P979" i="12"/>
  <c r="P1051" i="12"/>
  <c r="P1627" i="12"/>
  <c r="P943" i="12"/>
  <c r="P691" i="12"/>
  <c r="P1159" i="12"/>
  <c r="P1735" i="12"/>
  <c r="P1555" i="12"/>
  <c r="P1699" i="12"/>
  <c r="P907" i="12"/>
  <c r="P871" i="12"/>
  <c r="P1411" i="12"/>
  <c r="P1123" i="12"/>
  <c r="P655" i="12"/>
  <c r="P1447" i="12"/>
  <c r="P1267" i="12"/>
  <c r="P1519" i="12"/>
  <c r="P799" i="12"/>
  <c r="P763" i="12"/>
  <c r="P1771" i="12"/>
  <c r="P1663" i="12"/>
  <c r="P1196" i="12"/>
  <c r="P1232" i="12"/>
  <c r="P1088" i="12"/>
  <c r="P1340" i="12"/>
  <c r="P1376" i="12"/>
  <c r="P836" i="12"/>
  <c r="P44" i="12"/>
  <c r="P1484" i="12"/>
  <c r="P1592" i="12"/>
  <c r="P728" i="12"/>
  <c r="P1304" i="12"/>
  <c r="P1016" i="12"/>
  <c r="P980" i="12"/>
  <c r="P1052" i="12"/>
  <c r="P1628" i="12"/>
  <c r="P944" i="12"/>
  <c r="P692" i="12"/>
  <c r="P1160" i="12"/>
  <c r="P1736" i="12"/>
  <c r="P1556" i="12"/>
  <c r="P1700" i="12"/>
  <c r="P908" i="12"/>
  <c r="P872" i="12"/>
  <c r="P1412" i="12"/>
  <c r="P1124" i="12"/>
  <c r="P656" i="12"/>
  <c r="P1448" i="12"/>
  <c r="P1268" i="12"/>
  <c r="P1520" i="12"/>
  <c r="P800" i="12"/>
  <c r="P764" i="12"/>
  <c r="P1772" i="12"/>
  <c r="P1664" i="12"/>
  <c r="P1197" i="12"/>
  <c r="P1233" i="12"/>
  <c r="P1089" i="12"/>
  <c r="P1341" i="12"/>
  <c r="P1377" i="12"/>
  <c r="P837" i="12"/>
  <c r="P45" i="12"/>
  <c r="P1485" i="12"/>
  <c r="P1593" i="12"/>
  <c r="P729" i="12"/>
  <c r="P1305" i="12"/>
  <c r="P1017" i="12"/>
  <c r="P981" i="12"/>
  <c r="P1053" i="12"/>
  <c r="P1629" i="12"/>
  <c r="P945" i="12"/>
  <c r="P693" i="12"/>
  <c r="P1161" i="12"/>
  <c r="P1737" i="12"/>
  <c r="P1557" i="12"/>
  <c r="P1701" i="12"/>
  <c r="P909" i="12"/>
  <c r="P873" i="12"/>
  <c r="P1413" i="12"/>
  <c r="P1125" i="12"/>
  <c r="P657" i="12"/>
  <c r="P1449" i="12"/>
  <c r="P1269" i="12"/>
  <c r="P1521" i="12"/>
  <c r="P801" i="12"/>
  <c r="P765" i="12"/>
  <c r="P1773" i="12"/>
  <c r="P1665" i="12"/>
  <c r="P1198" i="12"/>
  <c r="P1234" i="12"/>
  <c r="P1090" i="12"/>
  <c r="P1342" i="12"/>
  <c r="P1378" i="12"/>
  <c r="P838" i="12"/>
  <c r="P46" i="12"/>
  <c r="P1486" i="12"/>
  <c r="P1594" i="12"/>
  <c r="P730" i="12"/>
  <c r="P1306" i="12"/>
  <c r="P1018" i="12"/>
  <c r="P982" i="12"/>
  <c r="P1054" i="12"/>
  <c r="P1630" i="12"/>
  <c r="P946" i="12"/>
  <c r="P694" i="12"/>
  <c r="P1162" i="12"/>
  <c r="P1738" i="12"/>
  <c r="P1558" i="12"/>
  <c r="P1702" i="12"/>
  <c r="P910" i="12"/>
  <c r="P874" i="12"/>
  <c r="P1414" i="12"/>
  <c r="P1126" i="12"/>
  <c r="P658" i="12"/>
  <c r="P1450" i="12"/>
  <c r="P1270" i="12"/>
  <c r="P1522" i="12"/>
  <c r="P802" i="12"/>
  <c r="P766" i="12"/>
  <c r="P1774" i="12"/>
  <c r="P1666" i="12"/>
  <c r="P1199" i="12"/>
  <c r="P1235" i="12"/>
  <c r="P1091" i="12"/>
  <c r="P1343" i="12"/>
  <c r="P1379" i="12"/>
  <c r="P839" i="12"/>
  <c r="P47" i="12"/>
  <c r="P1487" i="12"/>
  <c r="P1595" i="12"/>
  <c r="P731" i="12"/>
  <c r="P1307" i="12"/>
  <c r="P1019" i="12"/>
  <c r="P983" i="12"/>
  <c r="P1055" i="12"/>
  <c r="P1631" i="12"/>
  <c r="P947" i="12"/>
  <c r="P695" i="12"/>
  <c r="P1163" i="12"/>
  <c r="P1739" i="12"/>
  <c r="P1559" i="12"/>
  <c r="P1703" i="12"/>
  <c r="P911" i="12"/>
  <c r="P875" i="12"/>
  <c r="P1415" i="12"/>
  <c r="P1127" i="12"/>
  <c r="P659" i="12"/>
  <c r="P1451" i="12"/>
  <c r="P1271" i="12"/>
  <c r="P1523" i="12"/>
  <c r="P803" i="12"/>
  <c r="P767" i="12"/>
  <c r="P1775" i="12"/>
  <c r="P1667" i="12"/>
  <c r="P1200" i="12"/>
  <c r="P1236" i="12"/>
  <c r="P1092" i="12"/>
  <c r="P1344" i="12"/>
  <c r="P1380" i="12"/>
  <c r="P840" i="12"/>
  <c r="P48" i="12"/>
  <c r="P1488" i="12"/>
  <c r="P1596" i="12"/>
  <c r="P732" i="12"/>
  <c r="P1308" i="12"/>
  <c r="P1020" i="12"/>
  <c r="P984" i="12"/>
  <c r="P1056" i="12"/>
  <c r="P1632" i="12"/>
  <c r="P948" i="12"/>
  <c r="P696" i="12"/>
  <c r="P1164" i="12"/>
  <c r="P1740" i="12"/>
  <c r="P1560" i="12"/>
  <c r="P1704" i="12"/>
  <c r="P912" i="12"/>
  <c r="P876" i="12"/>
  <c r="P1416" i="12"/>
  <c r="P1128" i="12"/>
  <c r="P660" i="12"/>
  <c r="P1452" i="12"/>
  <c r="P1272" i="12"/>
  <c r="P1524" i="12"/>
  <c r="P804" i="12"/>
  <c r="P768" i="12"/>
  <c r="P1776" i="12"/>
  <c r="P1668" i="12"/>
  <c r="P1201" i="12"/>
  <c r="P1237" i="12"/>
  <c r="P1093" i="12"/>
  <c r="P1345" i="12"/>
  <c r="P1381" i="12"/>
  <c r="P841" i="12"/>
  <c r="P49" i="12"/>
  <c r="P1489" i="12"/>
  <c r="P1597" i="12"/>
  <c r="P733" i="12"/>
  <c r="P1309" i="12"/>
  <c r="P1021" i="12"/>
  <c r="P985" i="12"/>
  <c r="P1057" i="12"/>
  <c r="P1633" i="12"/>
  <c r="P949" i="12"/>
  <c r="P697" i="12"/>
  <c r="P1165" i="12"/>
  <c r="P1741" i="12"/>
  <c r="P1561" i="12"/>
  <c r="P1705" i="12"/>
  <c r="P913" i="12"/>
  <c r="P877" i="12"/>
  <c r="P1417" i="12"/>
  <c r="P1129" i="12"/>
  <c r="P661" i="12"/>
  <c r="P1453" i="12"/>
  <c r="P1273" i="12"/>
  <c r="P1525" i="12"/>
  <c r="P805" i="12"/>
  <c r="P769" i="12"/>
  <c r="P1777" i="12"/>
  <c r="P1669" i="12"/>
  <c r="P1202" i="12"/>
  <c r="P1238" i="12"/>
  <c r="P1094" i="12"/>
  <c r="P1346" i="12"/>
  <c r="P1382" i="12"/>
  <c r="P842" i="12"/>
  <c r="P50" i="12"/>
  <c r="P1490" i="12"/>
  <c r="P1598" i="12"/>
  <c r="P734" i="12"/>
  <c r="P1310" i="12"/>
  <c r="P1022" i="12"/>
  <c r="P986" i="12"/>
  <c r="P1058" i="12"/>
  <c r="P1634" i="12"/>
  <c r="P950" i="12"/>
  <c r="P698" i="12"/>
  <c r="P1166" i="12"/>
  <c r="P1742" i="12"/>
  <c r="P1562" i="12"/>
  <c r="P1706" i="12"/>
  <c r="P914" i="12"/>
  <c r="P878" i="12"/>
  <c r="P1418" i="12"/>
  <c r="P1130" i="12"/>
  <c r="P662" i="12"/>
  <c r="P1454" i="12"/>
  <c r="P1274" i="12"/>
  <c r="P1526" i="12"/>
  <c r="P806" i="12"/>
  <c r="P770" i="12"/>
  <c r="P1778" i="12"/>
  <c r="P1670" i="12"/>
  <c r="P1203" i="12"/>
  <c r="P1239" i="12"/>
  <c r="P1095" i="12"/>
  <c r="P1347" i="12"/>
  <c r="P1383" i="12"/>
  <c r="P843" i="12"/>
  <c r="P51" i="12"/>
  <c r="P1491" i="12"/>
  <c r="P1599" i="12"/>
  <c r="P735" i="12"/>
  <c r="P1311" i="12"/>
  <c r="P1023" i="12"/>
  <c r="P987" i="12"/>
  <c r="P1059" i="12"/>
  <c r="P1635" i="12"/>
  <c r="P951" i="12"/>
  <c r="P699" i="12"/>
  <c r="P1167" i="12"/>
  <c r="P1743" i="12"/>
  <c r="P1563" i="12"/>
  <c r="P1707" i="12"/>
  <c r="P915" i="12"/>
  <c r="P879" i="12"/>
  <c r="P1419" i="12"/>
  <c r="P1131" i="12"/>
  <c r="P663" i="12"/>
  <c r="P1455" i="12"/>
  <c r="P1275" i="12"/>
  <c r="P1527" i="12"/>
  <c r="P807" i="12"/>
  <c r="P771" i="12"/>
  <c r="P1779" i="12"/>
  <c r="P1671" i="12"/>
  <c r="P1204" i="12"/>
  <c r="P1240" i="12"/>
  <c r="P1096" i="12"/>
  <c r="P1348" i="12"/>
  <c r="P1384" i="12"/>
  <c r="P844" i="12"/>
  <c r="P52" i="12"/>
  <c r="P1492" i="12"/>
  <c r="P1600" i="12"/>
  <c r="P736" i="12"/>
  <c r="P1312" i="12"/>
  <c r="P1024" i="12"/>
  <c r="P988" i="12"/>
  <c r="P1060" i="12"/>
  <c r="P1636" i="12"/>
  <c r="P952" i="12"/>
  <c r="P700" i="12"/>
  <c r="P1168" i="12"/>
  <c r="P1744" i="12"/>
  <c r="P1564" i="12"/>
  <c r="P1708" i="12"/>
  <c r="P916" i="12"/>
  <c r="P880" i="12"/>
  <c r="P1420" i="12"/>
  <c r="P1132" i="12"/>
  <c r="P664" i="12"/>
  <c r="P1456" i="12"/>
  <c r="P1276" i="12"/>
  <c r="P1528" i="12"/>
  <c r="P808" i="12"/>
  <c r="P772" i="12"/>
  <c r="P1780" i="12"/>
  <c r="P1672" i="12"/>
  <c r="P1205" i="12"/>
  <c r="P1241" i="12"/>
  <c r="P1097" i="12"/>
  <c r="P1349" i="12"/>
  <c r="P1385" i="12"/>
  <c r="P845" i="12"/>
  <c r="P53" i="12"/>
  <c r="P1493" i="12"/>
  <c r="P1601" i="12"/>
  <c r="P737" i="12"/>
  <c r="P1313" i="12"/>
  <c r="P1025" i="12"/>
  <c r="P989" i="12"/>
  <c r="P1061" i="12"/>
  <c r="P1637" i="12"/>
  <c r="P953" i="12"/>
  <c r="P701" i="12"/>
  <c r="P1169" i="12"/>
  <c r="P1745" i="12"/>
  <c r="P1565" i="12"/>
  <c r="P1709" i="12"/>
  <c r="P917" i="12"/>
  <c r="P881" i="12"/>
  <c r="P1421" i="12"/>
  <c r="P1133" i="12"/>
  <c r="P665" i="12"/>
  <c r="P1457" i="12"/>
  <c r="P1277" i="12"/>
  <c r="P1529" i="12"/>
  <c r="P809" i="12"/>
  <c r="P773" i="12"/>
  <c r="P1781" i="12"/>
  <c r="P1673" i="12"/>
  <c r="P1206" i="12"/>
  <c r="P1242" i="12"/>
  <c r="P1098" i="12"/>
  <c r="P1350" i="12"/>
  <c r="P1386" i="12"/>
  <c r="P846" i="12"/>
  <c r="P54" i="12"/>
  <c r="P1494" i="12"/>
  <c r="P1602" i="12"/>
  <c r="P738" i="12"/>
  <c r="P1314" i="12"/>
  <c r="P1026" i="12"/>
  <c r="P990" i="12"/>
  <c r="P1062" i="12"/>
  <c r="P1638" i="12"/>
  <c r="P954" i="12"/>
  <c r="P702" i="12"/>
  <c r="P1170" i="12"/>
  <c r="P1746" i="12"/>
  <c r="P1566" i="12"/>
  <c r="P1710" i="12"/>
  <c r="P918" i="12"/>
  <c r="P882" i="12"/>
  <c r="P1422" i="12"/>
  <c r="P1134" i="12"/>
  <c r="P666" i="12"/>
  <c r="P1458" i="12"/>
  <c r="P1278" i="12"/>
  <c r="P1530" i="12"/>
  <c r="P810" i="12"/>
  <c r="P774" i="12"/>
  <c r="P1782" i="12"/>
  <c r="P1674" i="12"/>
  <c r="P1207" i="12"/>
  <c r="P1243" i="12"/>
  <c r="P1099" i="12"/>
  <c r="P1351" i="12"/>
  <c r="P1387" i="12"/>
  <c r="P847" i="12"/>
  <c r="P55" i="12"/>
  <c r="P1495" i="12"/>
  <c r="P1603" i="12"/>
  <c r="P739" i="12"/>
  <c r="P1315" i="12"/>
  <c r="P1027" i="12"/>
  <c r="P991" i="12"/>
  <c r="P1063" i="12"/>
  <c r="P1639" i="12"/>
  <c r="P955" i="12"/>
  <c r="P703" i="12"/>
  <c r="P1171" i="12"/>
  <c r="P1747" i="12"/>
  <c r="P1567" i="12"/>
  <c r="P1711" i="12"/>
  <c r="P919" i="12"/>
  <c r="P883" i="12"/>
  <c r="P1423" i="12"/>
  <c r="P1135" i="12"/>
  <c r="P667" i="12"/>
  <c r="P1459" i="12"/>
  <c r="P1279" i="12"/>
  <c r="P1531" i="12"/>
  <c r="P811" i="12"/>
  <c r="P775" i="12"/>
  <c r="P1783" i="12"/>
  <c r="P1675" i="12"/>
  <c r="P1208" i="12"/>
  <c r="P1244" i="12"/>
  <c r="P1100" i="12"/>
  <c r="P1352" i="12"/>
  <c r="P1388" i="12"/>
  <c r="P848" i="12"/>
  <c r="P56" i="12"/>
  <c r="P1496" i="12"/>
  <c r="P1604" i="12"/>
  <c r="P740" i="12"/>
  <c r="P1316" i="12"/>
  <c r="P1028" i="12"/>
  <c r="P992" i="12"/>
  <c r="P1064" i="12"/>
  <c r="P1640" i="12"/>
  <c r="P956" i="12"/>
  <c r="P704" i="12"/>
  <c r="P1172" i="12"/>
  <c r="P1748" i="12"/>
  <c r="P1568" i="12"/>
  <c r="P1712" i="12"/>
  <c r="P920" i="12"/>
  <c r="P884" i="12"/>
  <c r="P1424" i="12"/>
  <c r="P1136" i="12"/>
  <c r="P668" i="12"/>
  <c r="P1460" i="12"/>
  <c r="P1280" i="12"/>
  <c r="P1532" i="12"/>
  <c r="P812" i="12"/>
  <c r="P776" i="12"/>
  <c r="P1784" i="12"/>
  <c r="P1676" i="12"/>
  <c r="P1209" i="12"/>
  <c r="P1245" i="12"/>
  <c r="P1101" i="12"/>
  <c r="P1353" i="12"/>
  <c r="P1389" i="12"/>
  <c r="P849" i="12"/>
  <c r="P57" i="12"/>
  <c r="P1497" i="12"/>
  <c r="P1605" i="12"/>
  <c r="P741" i="12"/>
  <c r="P1317" i="12"/>
  <c r="P1029" i="12"/>
  <c r="P993" i="12"/>
  <c r="P1065" i="12"/>
  <c r="P1641" i="12"/>
  <c r="P957" i="12"/>
  <c r="P705" i="12"/>
  <c r="P1173" i="12"/>
  <c r="P1749" i="12"/>
  <c r="P1569" i="12"/>
  <c r="P1713" i="12"/>
  <c r="P921" i="12"/>
  <c r="P885" i="12"/>
  <c r="P1425" i="12"/>
  <c r="P1137" i="12"/>
  <c r="P669" i="12"/>
  <c r="P1461" i="12"/>
  <c r="P1281" i="12"/>
  <c r="P1533" i="12"/>
  <c r="P813" i="12"/>
  <c r="P777" i="12"/>
  <c r="P1785" i="12"/>
  <c r="P1677" i="12"/>
  <c r="P1210" i="12"/>
  <c r="P1246" i="12"/>
  <c r="P1102" i="12"/>
  <c r="P1354" i="12"/>
  <c r="P1390" i="12"/>
  <c r="P850" i="12"/>
  <c r="P58" i="12"/>
  <c r="P1498" i="12"/>
  <c r="P1606" i="12"/>
  <c r="P742" i="12"/>
  <c r="P1318" i="12"/>
  <c r="P1030" i="12"/>
  <c r="P994" i="12"/>
  <c r="P1066" i="12"/>
  <c r="P1642" i="12"/>
  <c r="P958" i="12"/>
  <c r="P706" i="12"/>
  <c r="P1174" i="12"/>
  <c r="P1750" i="12"/>
  <c r="P1570" i="12"/>
  <c r="P1714" i="12"/>
  <c r="P922" i="12"/>
  <c r="P886" i="12"/>
  <c r="P1426" i="12"/>
  <c r="P1138" i="12"/>
  <c r="P670" i="12"/>
  <c r="P1462" i="12"/>
  <c r="P1282" i="12"/>
  <c r="P1534" i="12"/>
  <c r="P814" i="12"/>
  <c r="P778" i="12"/>
  <c r="P1786" i="12"/>
  <c r="P1678" i="12"/>
  <c r="P1211" i="12"/>
  <c r="P1247" i="12"/>
  <c r="P1103" i="12"/>
  <c r="P1355" i="12"/>
  <c r="P1391" i="12"/>
  <c r="P851" i="12"/>
  <c r="P59" i="12"/>
  <c r="P1499" i="12"/>
  <c r="P1607" i="12"/>
  <c r="P743" i="12"/>
  <c r="P1319" i="12"/>
  <c r="P1031" i="12"/>
  <c r="P995" i="12"/>
  <c r="P1067" i="12"/>
  <c r="P1643" i="12"/>
  <c r="P959" i="12"/>
  <c r="P707" i="12"/>
  <c r="P1175" i="12"/>
  <c r="P1751" i="12"/>
  <c r="P1571" i="12"/>
  <c r="P1715" i="12"/>
  <c r="P923" i="12"/>
  <c r="P887" i="12"/>
  <c r="P1427" i="12"/>
  <c r="P1139" i="12"/>
  <c r="P671" i="12"/>
  <c r="P1463" i="12"/>
  <c r="P1283" i="12"/>
  <c r="P1535" i="12"/>
  <c r="P815" i="12"/>
  <c r="P779" i="12"/>
  <c r="P1787" i="12"/>
  <c r="P1679" i="12"/>
  <c r="P1212" i="12"/>
  <c r="P1248" i="12"/>
  <c r="P1104" i="12"/>
  <c r="P1356" i="12"/>
  <c r="P1392" i="12"/>
  <c r="P852" i="12"/>
  <c r="P60" i="12"/>
  <c r="P1500" i="12"/>
  <c r="P1608" i="12"/>
  <c r="P744" i="12"/>
  <c r="P1320" i="12"/>
  <c r="P1032" i="12"/>
  <c r="P996" i="12"/>
  <c r="P1068" i="12"/>
  <c r="P1644" i="12"/>
  <c r="P960" i="12"/>
  <c r="P708" i="12"/>
  <c r="P1176" i="12"/>
  <c r="P1752" i="12"/>
  <c r="P1572" i="12"/>
  <c r="P1716" i="12"/>
  <c r="P924" i="12"/>
  <c r="P888" i="12"/>
  <c r="P1428" i="12"/>
  <c r="P1140" i="12"/>
  <c r="P672" i="12"/>
  <c r="P1464" i="12"/>
  <c r="P1284" i="12"/>
  <c r="P1536" i="12"/>
  <c r="P816" i="12"/>
  <c r="P780" i="12"/>
  <c r="P1788" i="12"/>
  <c r="P1680" i="12"/>
  <c r="P1213" i="12"/>
  <c r="P1249" i="12"/>
  <c r="P1105" i="12"/>
  <c r="P1357" i="12"/>
  <c r="P1393" i="12"/>
  <c r="P853" i="12"/>
  <c r="P61" i="12"/>
  <c r="P1501" i="12"/>
  <c r="P1609" i="12"/>
  <c r="P745" i="12"/>
  <c r="P1321" i="12"/>
  <c r="P1033" i="12"/>
  <c r="P997" i="12"/>
  <c r="P1069" i="12"/>
  <c r="P1645" i="12"/>
  <c r="P961" i="12"/>
  <c r="P709" i="12"/>
  <c r="P1177" i="12"/>
  <c r="P1753" i="12"/>
  <c r="P1573" i="12"/>
  <c r="P1717" i="12"/>
  <c r="P925" i="12"/>
  <c r="P889" i="12"/>
  <c r="P1429" i="12"/>
  <c r="P1141" i="12"/>
  <c r="P673" i="12"/>
  <c r="P1465" i="12"/>
  <c r="P1285" i="12"/>
  <c r="P1537" i="12"/>
  <c r="P817" i="12"/>
  <c r="P781" i="12"/>
  <c r="P1789" i="12"/>
  <c r="P1681" i="12"/>
  <c r="P1214" i="12"/>
  <c r="P1250" i="12"/>
  <c r="P1106" i="12"/>
  <c r="P1358" i="12"/>
  <c r="P1394" i="12"/>
  <c r="P854" i="12"/>
  <c r="P62" i="12"/>
  <c r="P1502" i="12"/>
  <c r="P1610" i="12"/>
  <c r="P746" i="12"/>
  <c r="P1322" i="12"/>
  <c r="P1034" i="12"/>
  <c r="P998" i="12"/>
  <c r="P1070" i="12"/>
  <c r="P1646" i="12"/>
  <c r="P962" i="12"/>
  <c r="P710" i="12"/>
  <c r="P1178" i="12"/>
  <c r="P1754" i="12"/>
  <c r="P1574" i="12"/>
  <c r="P1718" i="12"/>
  <c r="P926" i="12"/>
  <c r="P890" i="12"/>
  <c r="P1430" i="12"/>
  <c r="P1142" i="12"/>
  <c r="P674" i="12"/>
  <c r="P1466" i="12"/>
  <c r="P1286" i="12"/>
  <c r="P1538" i="12"/>
  <c r="P818" i="12"/>
  <c r="P782" i="12"/>
  <c r="P1790" i="12"/>
  <c r="P1682" i="12"/>
  <c r="P1215" i="12"/>
  <c r="P1251" i="12"/>
  <c r="P1107" i="12"/>
  <c r="P1359" i="12"/>
  <c r="P1395" i="12"/>
  <c r="P855" i="12"/>
  <c r="P63" i="12"/>
  <c r="P1503" i="12"/>
  <c r="P1611" i="12"/>
  <c r="P747" i="12"/>
  <c r="P1323" i="12"/>
  <c r="P1035" i="12"/>
  <c r="P999" i="12"/>
  <c r="P1071" i="12"/>
  <c r="P1647" i="12"/>
  <c r="P963" i="12"/>
  <c r="P711" i="12"/>
  <c r="P1179" i="12"/>
  <c r="P1755" i="12"/>
  <c r="P1575" i="12"/>
  <c r="P1719" i="12"/>
  <c r="P927" i="12"/>
  <c r="P891" i="12"/>
  <c r="P1431" i="12"/>
  <c r="P1143" i="12"/>
  <c r="P675" i="12"/>
  <c r="P1467" i="12"/>
  <c r="P1287" i="12"/>
  <c r="P1539" i="12"/>
  <c r="P819" i="12"/>
  <c r="P783" i="12"/>
  <c r="P1791" i="12"/>
  <c r="P1683" i="12"/>
  <c r="P1216" i="12"/>
  <c r="P1252" i="12"/>
  <c r="P1108" i="12"/>
  <c r="P1360" i="12"/>
  <c r="P1396" i="12"/>
  <c r="P856" i="12"/>
  <c r="P64" i="12"/>
  <c r="P1504" i="12"/>
  <c r="P1612" i="12"/>
  <c r="P748" i="12"/>
  <c r="P1324" i="12"/>
  <c r="P1036" i="12"/>
  <c r="P1000" i="12"/>
  <c r="P1072" i="12"/>
  <c r="P1648" i="12"/>
  <c r="P964" i="12"/>
  <c r="P712" i="12"/>
  <c r="P1180" i="12"/>
  <c r="P1756" i="12"/>
  <c r="P1576" i="12"/>
  <c r="P1720" i="12"/>
  <c r="P928" i="12"/>
  <c r="P892" i="12"/>
  <c r="P1432" i="12"/>
  <c r="P1144" i="12"/>
  <c r="P676" i="12"/>
  <c r="P1468" i="12"/>
  <c r="P1288" i="12"/>
  <c r="P1540" i="12"/>
  <c r="P820" i="12"/>
  <c r="P784" i="12"/>
  <c r="P1792" i="12"/>
  <c r="P1684" i="12"/>
  <c r="P1217" i="12"/>
  <c r="P1253" i="12"/>
  <c r="P1109" i="12"/>
  <c r="P1361" i="12"/>
  <c r="P1397" i="12"/>
  <c r="P857" i="12"/>
  <c r="P65" i="12"/>
  <c r="P1505" i="12"/>
  <c r="P1613" i="12"/>
  <c r="P749" i="12"/>
  <c r="P1325" i="12"/>
  <c r="P1037" i="12"/>
  <c r="P1001" i="12"/>
  <c r="P1073" i="12"/>
  <c r="P1649" i="12"/>
  <c r="P965" i="12"/>
  <c r="P713" i="12"/>
  <c r="P1181" i="12"/>
  <c r="P1757" i="12"/>
  <c r="P1577" i="12"/>
  <c r="P1721" i="12"/>
  <c r="P929" i="12"/>
  <c r="P893" i="12"/>
  <c r="P1433" i="12"/>
  <c r="P1145" i="12"/>
  <c r="P677" i="12"/>
  <c r="P1469" i="12"/>
  <c r="P1289" i="12"/>
  <c r="P1541" i="12"/>
  <c r="P821" i="12"/>
  <c r="P785" i="12"/>
  <c r="P1793" i="12"/>
  <c r="P1685" i="12"/>
  <c r="P1218" i="12"/>
  <c r="P1254" i="12"/>
  <c r="P1110" i="12"/>
  <c r="P1362" i="12"/>
  <c r="P1398" i="12"/>
  <c r="P858" i="12"/>
  <c r="P66" i="12"/>
  <c r="P1506" i="12"/>
  <c r="P1614" i="12"/>
  <c r="P750" i="12"/>
  <c r="P1326" i="12"/>
  <c r="P1038" i="12"/>
  <c r="P1002" i="12"/>
  <c r="P1074" i="12"/>
  <c r="P1650" i="12"/>
  <c r="P966" i="12"/>
  <c r="P714" i="12"/>
  <c r="P1182" i="12"/>
  <c r="P1758" i="12"/>
  <c r="P1578" i="12"/>
  <c r="P1722" i="12"/>
  <c r="P930" i="12"/>
  <c r="P894" i="12"/>
  <c r="P1434" i="12"/>
  <c r="P1146" i="12"/>
  <c r="P678" i="12"/>
  <c r="P1470" i="12"/>
  <c r="P1290" i="12"/>
  <c r="P1542" i="12"/>
  <c r="P822" i="12"/>
  <c r="P786" i="12"/>
  <c r="P1794" i="12"/>
  <c r="P1686" i="12"/>
  <c r="P1219" i="12"/>
  <c r="P1255" i="12"/>
  <c r="P1111" i="12"/>
  <c r="P1363" i="12"/>
  <c r="P1399" i="12"/>
  <c r="P859" i="12"/>
  <c r="P67" i="12"/>
  <c r="P1507" i="12"/>
  <c r="P1615" i="12"/>
  <c r="P751" i="12"/>
  <c r="P1327" i="12"/>
  <c r="P1039" i="12"/>
  <c r="P1003" i="12"/>
  <c r="P1075" i="12"/>
  <c r="P1651" i="12"/>
  <c r="P967" i="12"/>
  <c r="P715" i="12"/>
  <c r="P1183" i="12"/>
  <c r="P1759" i="12"/>
  <c r="P1579" i="12"/>
  <c r="P1723" i="12"/>
  <c r="P931" i="12"/>
  <c r="P895" i="12"/>
  <c r="P1435" i="12"/>
  <c r="P1147" i="12"/>
  <c r="P679" i="12"/>
  <c r="P1471" i="12"/>
  <c r="P1291" i="12"/>
  <c r="P1543" i="12"/>
  <c r="P823" i="12"/>
  <c r="P787" i="12"/>
  <c r="P1795" i="12"/>
  <c r="P1687" i="12"/>
  <c r="P1220" i="12"/>
  <c r="P1256" i="12"/>
  <c r="P1112" i="12"/>
  <c r="P1364" i="12"/>
  <c r="P1400" i="12"/>
  <c r="P860" i="12"/>
  <c r="P68" i="12"/>
  <c r="P1508" i="12"/>
  <c r="P1616" i="12"/>
  <c r="P752" i="12"/>
  <c r="P1328" i="12"/>
  <c r="P1040" i="12"/>
  <c r="P1004" i="12"/>
  <c r="P1076" i="12"/>
  <c r="P1652" i="12"/>
  <c r="P968" i="12"/>
  <c r="P716" i="12"/>
  <c r="P1184" i="12"/>
  <c r="P1760" i="12"/>
  <c r="P1580" i="12"/>
  <c r="P1724" i="12"/>
  <c r="P932" i="12"/>
  <c r="P896" i="12"/>
  <c r="P1436" i="12"/>
  <c r="P1148" i="12"/>
  <c r="P680" i="12"/>
  <c r="P1472" i="12"/>
  <c r="P1292" i="12"/>
  <c r="P1544" i="12"/>
  <c r="P824" i="12"/>
  <c r="P788" i="12"/>
  <c r="P1796" i="12"/>
  <c r="P1688" i="12"/>
  <c r="P1221" i="12"/>
  <c r="P1257" i="12"/>
  <c r="P1113" i="12"/>
  <c r="P1365" i="12"/>
  <c r="P1401" i="12"/>
  <c r="P861" i="12"/>
  <c r="P69" i="12"/>
  <c r="P1509" i="12"/>
  <c r="P1617" i="12"/>
  <c r="P753" i="12"/>
  <c r="P1329" i="12"/>
  <c r="P1041" i="12"/>
  <c r="P1005" i="12"/>
  <c r="P1077" i="12"/>
  <c r="P1653" i="12"/>
  <c r="P969" i="12"/>
  <c r="P717" i="12"/>
  <c r="P1185" i="12"/>
  <c r="P1761" i="12"/>
  <c r="P1581" i="12"/>
  <c r="P1725" i="12"/>
  <c r="P933" i="12"/>
  <c r="P897" i="12"/>
  <c r="P1437" i="12"/>
  <c r="P1149" i="12"/>
  <c r="P681" i="12"/>
  <c r="P1473" i="12"/>
  <c r="P1293" i="12"/>
  <c r="P1545" i="12"/>
  <c r="P825" i="12"/>
  <c r="P789" i="12"/>
  <c r="P1797" i="12"/>
  <c r="P1689" i="12"/>
  <c r="P1222" i="12"/>
  <c r="P1258" i="12"/>
  <c r="P1114" i="12"/>
  <c r="P1366" i="12"/>
  <c r="P1402" i="12"/>
  <c r="P862" i="12"/>
  <c r="P70" i="12"/>
  <c r="P1510" i="12"/>
  <c r="P1618" i="12"/>
  <c r="P754" i="12"/>
  <c r="P1330" i="12"/>
  <c r="P1042" i="12"/>
  <c r="P1006" i="12"/>
  <c r="P1078" i="12"/>
  <c r="P1654" i="12"/>
  <c r="P970" i="12"/>
  <c r="P718" i="12"/>
  <c r="P1186" i="12"/>
  <c r="P1762" i="12"/>
  <c r="P1582" i="12"/>
  <c r="P1726" i="12"/>
  <c r="P934" i="12"/>
  <c r="P898" i="12"/>
  <c r="P1438" i="12"/>
  <c r="P1150" i="12"/>
  <c r="P682" i="12"/>
  <c r="P1474" i="12"/>
  <c r="P1294" i="12"/>
  <c r="P1546" i="12"/>
  <c r="P826" i="12"/>
  <c r="P790" i="12"/>
  <c r="P1798" i="12"/>
  <c r="P1690" i="12"/>
  <c r="P1223" i="12"/>
  <c r="P1259" i="12"/>
  <c r="P1115" i="12"/>
  <c r="P1367" i="12"/>
  <c r="P1403" i="12"/>
  <c r="P863" i="12"/>
  <c r="P71" i="12"/>
  <c r="P1511" i="12"/>
  <c r="P1619" i="12"/>
  <c r="P755" i="12"/>
  <c r="P1331" i="12"/>
  <c r="P1043" i="12"/>
  <c r="P1007" i="12"/>
  <c r="P1079" i="12"/>
  <c r="P1655" i="12"/>
  <c r="P971" i="12"/>
  <c r="P719" i="12"/>
  <c r="P1187" i="12"/>
  <c r="P1763" i="12"/>
  <c r="P1583" i="12"/>
  <c r="P1727" i="12"/>
  <c r="P935" i="12"/>
  <c r="P899" i="12"/>
  <c r="P1439" i="12"/>
  <c r="P1151" i="12"/>
  <c r="P683" i="12"/>
  <c r="P1475" i="12"/>
  <c r="P1295" i="12"/>
  <c r="P1547" i="12"/>
  <c r="P827" i="12"/>
  <c r="P791" i="12"/>
  <c r="P1799" i="12"/>
  <c r="P1691" i="12"/>
  <c r="P1224" i="12"/>
  <c r="P1260" i="12"/>
  <c r="P1116" i="12"/>
  <c r="P1368" i="12"/>
  <c r="P1404" i="12"/>
  <c r="P864" i="12"/>
  <c r="P72" i="12"/>
  <c r="P1512" i="12"/>
  <c r="P1620" i="12"/>
  <c r="P756" i="12"/>
  <c r="P1332" i="12"/>
  <c r="P1044" i="12"/>
  <c r="P1008" i="12"/>
  <c r="P1080" i="12"/>
  <c r="P1656" i="12"/>
  <c r="P972" i="12"/>
  <c r="P720" i="12"/>
  <c r="P1188" i="12"/>
  <c r="P1764" i="12"/>
  <c r="P1584" i="12"/>
  <c r="P1728" i="12"/>
  <c r="P936" i="12"/>
  <c r="P900" i="12"/>
  <c r="P1440" i="12"/>
  <c r="P1152" i="12"/>
  <c r="P684" i="12"/>
  <c r="P1476" i="12"/>
  <c r="P1296" i="12"/>
  <c r="P1548" i="12"/>
  <c r="P828" i="12"/>
  <c r="P792" i="12"/>
  <c r="P1800" i="12"/>
  <c r="P1692" i="12"/>
  <c r="P1225" i="12"/>
  <c r="P1261" i="12"/>
  <c r="P1117" i="12"/>
  <c r="P1369" i="12"/>
  <c r="P1405" i="12"/>
  <c r="P865" i="12"/>
  <c r="P73" i="12"/>
  <c r="P1513" i="12"/>
  <c r="P1621" i="12"/>
  <c r="P757" i="12"/>
  <c r="P1333" i="12"/>
  <c r="P1045" i="12"/>
  <c r="P1009" i="12"/>
  <c r="P1081" i="12"/>
  <c r="P1657" i="12"/>
  <c r="P973" i="12"/>
  <c r="P721" i="12"/>
  <c r="P1189" i="12"/>
  <c r="P1765" i="12"/>
  <c r="P1585" i="12"/>
  <c r="P1729" i="12"/>
  <c r="P937" i="12"/>
  <c r="P901" i="12"/>
  <c r="P1441" i="12"/>
  <c r="P1153" i="12"/>
  <c r="P685" i="12"/>
  <c r="P1477" i="12"/>
  <c r="P1297" i="12"/>
  <c r="P1549" i="12"/>
  <c r="P829" i="12"/>
  <c r="P793" i="12"/>
  <c r="P1801" i="12"/>
  <c r="P1693" i="12"/>
  <c r="P2810" i="12"/>
  <c r="P2738" i="12"/>
  <c r="P2558" i="12"/>
  <c r="P2414" i="12"/>
  <c r="P2702" i="12"/>
  <c r="P2846" i="12"/>
  <c r="P2918" i="12"/>
  <c r="P2486" i="12"/>
  <c r="P2666" i="12"/>
  <c r="P2306" i="12"/>
  <c r="P2450" i="12"/>
  <c r="P2342" i="12"/>
  <c r="P2630" i="12"/>
  <c r="P2774" i="12"/>
  <c r="P2594" i="12"/>
  <c r="P2882" i="12"/>
  <c r="P2522" i="12"/>
  <c r="P2378" i="12"/>
  <c r="P2270" i="12"/>
  <c r="P2811" i="12"/>
  <c r="P2739" i="12"/>
  <c r="P2559" i="12"/>
  <c r="P2415" i="12"/>
  <c r="P2703" i="12"/>
  <c r="P2847" i="12"/>
  <c r="P2919" i="12"/>
  <c r="P2487" i="12"/>
  <c r="P2667" i="12"/>
  <c r="P2307" i="12"/>
  <c r="P2451" i="12"/>
  <c r="P2343" i="12"/>
  <c r="P2631" i="12"/>
  <c r="P2775" i="12"/>
  <c r="P2595" i="12"/>
  <c r="P2883" i="12"/>
  <c r="P2523" i="12"/>
  <c r="P2379" i="12"/>
  <c r="P2271" i="12"/>
  <c r="P2812" i="12"/>
  <c r="P2740" i="12"/>
  <c r="P2560" i="12"/>
  <c r="P2416" i="12"/>
  <c r="P2704" i="12"/>
  <c r="P2848" i="12"/>
  <c r="P2920" i="12"/>
  <c r="P2488" i="12"/>
  <c r="P2668" i="12"/>
  <c r="P2308" i="12"/>
  <c r="P2452" i="12"/>
  <c r="P2344" i="12"/>
  <c r="P2632" i="12"/>
  <c r="P2776" i="12"/>
  <c r="P2596" i="12"/>
  <c r="P2884" i="12"/>
  <c r="P2524" i="12"/>
  <c r="P2380" i="12"/>
  <c r="P2272" i="12"/>
  <c r="P2813" i="12"/>
  <c r="P2741" i="12"/>
  <c r="P2561" i="12"/>
  <c r="P2417" i="12"/>
  <c r="P2705" i="12"/>
  <c r="P2849" i="12"/>
  <c r="P2921" i="12"/>
  <c r="P2489" i="12"/>
  <c r="P2669" i="12"/>
  <c r="P2309" i="12"/>
  <c r="P2453" i="12"/>
  <c r="P2345" i="12"/>
  <c r="P2633" i="12"/>
  <c r="P2777" i="12"/>
  <c r="P2597" i="12"/>
  <c r="P2885" i="12"/>
  <c r="P2525" i="12"/>
  <c r="P2381" i="12"/>
  <c r="P2273" i="12"/>
  <c r="P2814" i="12"/>
  <c r="P2742" i="12"/>
  <c r="P2562" i="12"/>
  <c r="P2418" i="12"/>
  <c r="P2706" i="12"/>
  <c r="P2850" i="12"/>
  <c r="P2922" i="12"/>
  <c r="P2490" i="12"/>
  <c r="P2670" i="12"/>
  <c r="P2310" i="12"/>
  <c r="P2454" i="12"/>
  <c r="P2346" i="12"/>
  <c r="P2634" i="12"/>
  <c r="P2778" i="12"/>
  <c r="P2598" i="12"/>
  <c r="P2886" i="12"/>
  <c r="P2526" i="12"/>
  <c r="P2382" i="12"/>
  <c r="P2274" i="12"/>
  <c r="P2815" i="12"/>
  <c r="P2743" i="12"/>
  <c r="P2563" i="12"/>
  <c r="P2419" i="12"/>
  <c r="P2707" i="12"/>
  <c r="P2851" i="12"/>
  <c r="P2923" i="12"/>
  <c r="P2491" i="12"/>
  <c r="P2671" i="12"/>
  <c r="P2311" i="12"/>
  <c r="P2455" i="12"/>
  <c r="P2347" i="12"/>
  <c r="P2635" i="12"/>
  <c r="P2779" i="12"/>
  <c r="P2599" i="12"/>
  <c r="P2887" i="12"/>
  <c r="P2527" i="12"/>
  <c r="P2383" i="12"/>
  <c r="P2275" i="12"/>
  <c r="P2816" i="12"/>
  <c r="P2744" i="12"/>
  <c r="P2564" i="12"/>
  <c r="P2420" i="12"/>
  <c r="P2708" i="12"/>
  <c r="P2852" i="12"/>
  <c r="P2924" i="12"/>
  <c r="P2492" i="12"/>
  <c r="P2672" i="12"/>
  <c r="P2312" i="12"/>
  <c r="P2456" i="12"/>
  <c r="P2348" i="12"/>
  <c r="P2636" i="12"/>
  <c r="P2780" i="12"/>
  <c r="P2600" i="12"/>
  <c r="P2888" i="12"/>
  <c r="P2528" i="12"/>
  <c r="P2384" i="12"/>
  <c r="P2276" i="12"/>
  <c r="P2817" i="12"/>
  <c r="P2745" i="12"/>
  <c r="P2565" i="12"/>
  <c r="P2421" i="12"/>
  <c r="P2709" i="12"/>
  <c r="P2853" i="12"/>
  <c r="P2925" i="12"/>
  <c r="P2493" i="12"/>
  <c r="P2673" i="12"/>
  <c r="P2313" i="12"/>
  <c r="P2457" i="12"/>
  <c r="P2349" i="12"/>
  <c r="P2637" i="12"/>
  <c r="P2781" i="12"/>
  <c r="P2601" i="12"/>
  <c r="P2889" i="12"/>
  <c r="P2529" i="12"/>
  <c r="P2385" i="12"/>
  <c r="P2277" i="12"/>
  <c r="P2818" i="12"/>
  <c r="P2746" i="12"/>
  <c r="P2566" i="12"/>
  <c r="P2422" i="12"/>
  <c r="P2710" i="12"/>
  <c r="P2854" i="12"/>
  <c r="P2926" i="12"/>
  <c r="P2494" i="12"/>
  <c r="P2674" i="12"/>
  <c r="P2314" i="12"/>
  <c r="P2458" i="12"/>
  <c r="P2350" i="12"/>
  <c r="P2638" i="12"/>
  <c r="P2782" i="12"/>
  <c r="P2602" i="12"/>
  <c r="P2890" i="12"/>
  <c r="P2530" i="12"/>
  <c r="P2386" i="12"/>
  <c r="P2278" i="12"/>
  <c r="P2819" i="12"/>
  <c r="P2747" i="12"/>
  <c r="P2567" i="12"/>
  <c r="P2423" i="12"/>
  <c r="P2711" i="12"/>
  <c r="P2855" i="12"/>
  <c r="P2927" i="12"/>
  <c r="P2495" i="12"/>
  <c r="P2675" i="12"/>
  <c r="P2315" i="12"/>
  <c r="P2459" i="12"/>
  <c r="P2351" i="12"/>
  <c r="P2639" i="12"/>
  <c r="P2783" i="12"/>
  <c r="P2603" i="12"/>
  <c r="P2891" i="12"/>
  <c r="P2531" i="12"/>
  <c r="P2387" i="12"/>
  <c r="P2279" i="12"/>
  <c r="P2820" i="12"/>
  <c r="P2748" i="12"/>
  <c r="P2568" i="12"/>
  <c r="P2424" i="12"/>
  <c r="P2712" i="12"/>
  <c r="P2856" i="12"/>
  <c r="P2928" i="12"/>
  <c r="P2496" i="12"/>
  <c r="P2676" i="12"/>
  <c r="P2316" i="12"/>
  <c r="P2460" i="12"/>
  <c r="P2352" i="12"/>
  <c r="P2640" i="12"/>
  <c r="P2784" i="12"/>
  <c r="P2604" i="12"/>
  <c r="P2892" i="12"/>
  <c r="P2532" i="12"/>
  <c r="P2388" i="12"/>
  <c r="P2280" i="12"/>
  <c r="P2821" i="12"/>
  <c r="P2749" i="12"/>
  <c r="P2569" i="12"/>
  <c r="P2425" i="12"/>
  <c r="P2713" i="12"/>
  <c r="P2857" i="12"/>
  <c r="P2929" i="12"/>
  <c r="P2497" i="12"/>
  <c r="P2677" i="12"/>
  <c r="P2317" i="12"/>
  <c r="P2461" i="12"/>
  <c r="P2353" i="12"/>
  <c r="P2641" i="12"/>
  <c r="P2785" i="12"/>
  <c r="P2605" i="12"/>
  <c r="P2893" i="12"/>
  <c r="P2533" i="12"/>
  <c r="P2389" i="12"/>
  <c r="P2281" i="12"/>
  <c r="P2822" i="12"/>
  <c r="P2750" i="12"/>
  <c r="P2570" i="12"/>
  <c r="P2426" i="12"/>
  <c r="P2714" i="12"/>
  <c r="P2858" i="12"/>
  <c r="P2930" i="12"/>
  <c r="P2498" i="12"/>
  <c r="P2678" i="12"/>
  <c r="P2318" i="12"/>
  <c r="P2462" i="12"/>
  <c r="P2354" i="12"/>
  <c r="P2642" i="12"/>
  <c r="P2786" i="12"/>
  <c r="P2606" i="12"/>
  <c r="P2894" i="12"/>
  <c r="P2534" i="12"/>
  <c r="P2390" i="12"/>
  <c r="P2282" i="12"/>
  <c r="P2823" i="12"/>
  <c r="P2751" i="12"/>
  <c r="P2571" i="12"/>
  <c r="P2427" i="12"/>
  <c r="P2715" i="12"/>
  <c r="P2859" i="12"/>
  <c r="P2931" i="12"/>
  <c r="P2499" i="12"/>
  <c r="P2679" i="12"/>
  <c r="P2319" i="12"/>
  <c r="P2463" i="12"/>
  <c r="P2355" i="12"/>
  <c r="P2643" i="12"/>
  <c r="P2787" i="12"/>
  <c r="P2607" i="12"/>
  <c r="P2895" i="12"/>
  <c r="P2535" i="12"/>
  <c r="P2391" i="12"/>
  <c r="P2283" i="12"/>
  <c r="P2824" i="12"/>
  <c r="P2752" i="12"/>
  <c r="P2572" i="12"/>
  <c r="P2428" i="12"/>
  <c r="P2716" i="12"/>
  <c r="P2860" i="12"/>
  <c r="P2932" i="12"/>
  <c r="P2500" i="12"/>
  <c r="P2680" i="12"/>
  <c r="P2320" i="12"/>
  <c r="P2464" i="12"/>
  <c r="P2356" i="12"/>
  <c r="P2644" i="12"/>
  <c r="P2788" i="12"/>
  <c r="P2608" i="12"/>
  <c r="P2896" i="12"/>
  <c r="P2536" i="12"/>
  <c r="P2392" i="12"/>
  <c r="P2284" i="12"/>
  <c r="P2825" i="12"/>
  <c r="P2753" i="12"/>
  <c r="P2573" i="12"/>
  <c r="P2429" i="12"/>
  <c r="P2717" i="12"/>
  <c r="P2861" i="12"/>
  <c r="P2933" i="12"/>
  <c r="P2501" i="12"/>
  <c r="P2681" i="12"/>
  <c r="P2321" i="12"/>
  <c r="P2465" i="12"/>
  <c r="P2357" i="12"/>
  <c r="P2645" i="12"/>
  <c r="P2789" i="12"/>
  <c r="P2609" i="12"/>
  <c r="P2897" i="12"/>
  <c r="P2537" i="12"/>
  <c r="P2393" i="12"/>
  <c r="P2285" i="12"/>
  <c r="P2826" i="12"/>
  <c r="P2754" i="12"/>
  <c r="P2574" i="12"/>
  <c r="P2430" i="12"/>
  <c r="P2718" i="12"/>
  <c r="P2862" i="12"/>
  <c r="P2934" i="12"/>
  <c r="P2502" i="12"/>
  <c r="P2682" i="12"/>
  <c r="P2322" i="12"/>
  <c r="P2466" i="12"/>
  <c r="P2358" i="12"/>
  <c r="P2646" i="12"/>
  <c r="P2790" i="12"/>
  <c r="P2610" i="12"/>
  <c r="P2898" i="12"/>
  <c r="P2538" i="12"/>
  <c r="P2394" i="12"/>
  <c r="P2286" i="12"/>
  <c r="P2827" i="12"/>
  <c r="P2755" i="12"/>
  <c r="P2575" i="12"/>
  <c r="P2431" i="12"/>
  <c r="P2719" i="12"/>
  <c r="P2863" i="12"/>
  <c r="P2935" i="12"/>
  <c r="P2503" i="12"/>
  <c r="P2683" i="12"/>
  <c r="P2323" i="12"/>
  <c r="P2467" i="12"/>
  <c r="P2359" i="12"/>
  <c r="P2647" i="12"/>
  <c r="P2791" i="12"/>
  <c r="P2611" i="12"/>
  <c r="P2899" i="12"/>
  <c r="P2539" i="12"/>
  <c r="P2395" i="12"/>
  <c r="P2287" i="12"/>
  <c r="P2828" i="12"/>
  <c r="P2756" i="12"/>
  <c r="P2576" i="12"/>
  <c r="P2432" i="12"/>
  <c r="P2720" i="12"/>
  <c r="P2864" i="12"/>
  <c r="P2936" i="12"/>
  <c r="P2504" i="12"/>
  <c r="P2684" i="12"/>
  <c r="P2324" i="12"/>
  <c r="P2468" i="12"/>
  <c r="P2360" i="12"/>
  <c r="P2648" i="12"/>
  <c r="P2792" i="12"/>
  <c r="P2612" i="12"/>
  <c r="P2900" i="12"/>
  <c r="P2540" i="12"/>
  <c r="P2396" i="12"/>
  <c r="P2288" i="12"/>
  <c r="P2829" i="12"/>
  <c r="P2757" i="12"/>
  <c r="P2577" i="12"/>
  <c r="P2433" i="12"/>
  <c r="P2721" i="12"/>
  <c r="P2865" i="12"/>
  <c r="P2937" i="12"/>
  <c r="P2505" i="12"/>
  <c r="P2685" i="12"/>
  <c r="P2325" i="12"/>
  <c r="P2469" i="12"/>
  <c r="P2361" i="12"/>
  <c r="P2649" i="12"/>
  <c r="P2793" i="12"/>
  <c r="P2613" i="12"/>
  <c r="P2901" i="12"/>
  <c r="P2541" i="12"/>
  <c r="P2397" i="12"/>
  <c r="P2289" i="12"/>
  <c r="P2830" i="12"/>
  <c r="P2758" i="12"/>
  <c r="P2578" i="12"/>
  <c r="P2434" i="12"/>
  <c r="P2722" i="12"/>
  <c r="P2866" i="12"/>
  <c r="P2938" i="12"/>
  <c r="P2506" i="12"/>
  <c r="P2686" i="12"/>
  <c r="P2326" i="12"/>
  <c r="P2470" i="12"/>
  <c r="P2362" i="12"/>
  <c r="P2650" i="12"/>
  <c r="P2794" i="12"/>
  <c r="P2614" i="12"/>
  <c r="P2902" i="12"/>
  <c r="P2542" i="12"/>
  <c r="P2398" i="12"/>
  <c r="P2290" i="12"/>
  <c r="P2831" i="12"/>
  <c r="P2759" i="12"/>
  <c r="P2579" i="12"/>
  <c r="P2435" i="12"/>
  <c r="P2723" i="12"/>
  <c r="P2867" i="12"/>
  <c r="P2939" i="12"/>
  <c r="P2507" i="12"/>
  <c r="P2687" i="12"/>
  <c r="P2327" i="12"/>
  <c r="P2471" i="12"/>
  <c r="P2363" i="12"/>
  <c r="P2651" i="12"/>
  <c r="P2795" i="12"/>
  <c r="P2615" i="12"/>
  <c r="P2903" i="12"/>
  <c r="P2543" i="12"/>
  <c r="P2399" i="12"/>
  <c r="P2291" i="12"/>
  <c r="P2832" i="12"/>
  <c r="P2760" i="12"/>
  <c r="P2580" i="12"/>
  <c r="P2436" i="12"/>
  <c r="P2724" i="12"/>
  <c r="P2868" i="12"/>
  <c r="P2940" i="12"/>
  <c r="P2508" i="12"/>
  <c r="P2688" i="12"/>
  <c r="P2328" i="12"/>
  <c r="P2472" i="12"/>
  <c r="P2364" i="12"/>
  <c r="P2652" i="12"/>
  <c r="P2796" i="12"/>
  <c r="P2616" i="12"/>
  <c r="P2904" i="12"/>
  <c r="P2544" i="12"/>
  <c r="P2400" i="12"/>
  <c r="P2292" i="12"/>
  <c r="P2833" i="12"/>
  <c r="P2761" i="12"/>
  <c r="P2581" i="12"/>
  <c r="P2437" i="12"/>
  <c r="P2725" i="12"/>
  <c r="P2869" i="12"/>
  <c r="P2941" i="12"/>
  <c r="P2509" i="12"/>
  <c r="P2689" i="12"/>
  <c r="P2329" i="12"/>
  <c r="P2473" i="12"/>
  <c r="P2365" i="12"/>
  <c r="P2653" i="12"/>
  <c r="P2797" i="12"/>
  <c r="P2617" i="12"/>
  <c r="P2905" i="12"/>
  <c r="P2545" i="12"/>
  <c r="P2401" i="12"/>
  <c r="P2293" i="12"/>
  <c r="P2834" i="12"/>
  <c r="P2762" i="12"/>
  <c r="P2582" i="12"/>
  <c r="P2438" i="12"/>
  <c r="P2726" i="12"/>
  <c r="P2870" i="12"/>
  <c r="P2942" i="12"/>
  <c r="P2510" i="12"/>
  <c r="P2690" i="12"/>
  <c r="P2330" i="12"/>
  <c r="P2474" i="12"/>
  <c r="P2366" i="12"/>
  <c r="P2654" i="12"/>
  <c r="P2798" i="12"/>
  <c r="P2618" i="12"/>
  <c r="P2906" i="12"/>
  <c r="P2546" i="12"/>
  <c r="P2402" i="12"/>
  <c r="P2294" i="12"/>
  <c r="P2835" i="12"/>
  <c r="P2763" i="12"/>
  <c r="P2583" i="12"/>
  <c r="P2439" i="12"/>
  <c r="P2727" i="12"/>
  <c r="P2871" i="12"/>
  <c r="P2943" i="12"/>
  <c r="P2511" i="12"/>
  <c r="P2691" i="12"/>
  <c r="P2331" i="12"/>
  <c r="P2475" i="12"/>
  <c r="P2367" i="12"/>
  <c r="P2655" i="12"/>
  <c r="P2799" i="12"/>
  <c r="P2619" i="12"/>
  <c r="P2907" i="12"/>
  <c r="P2547" i="12"/>
  <c r="P2403" i="12"/>
  <c r="P2295" i="12"/>
  <c r="P2836" i="12"/>
  <c r="P2764" i="12"/>
  <c r="P2584" i="12"/>
  <c r="P2440" i="12"/>
  <c r="P2728" i="12"/>
  <c r="P2872" i="12"/>
  <c r="P2944" i="12"/>
  <c r="P2512" i="12"/>
  <c r="P2692" i="12"/>
  <c r="P2332" i="12"/>
  <c r="P2476" i="12"/>
  <c r="P2368" i="12"/>
  <c r="P2656" i="12"/>
  <c r="P2800" i="12"/>
  <c r="P2620" i="12"/>
  <c r="P2908" i="12"/>
  <c r="P2548" i="12"/>
  <c r="P2404" i="12"/>
  <c r="P2296" i="12"/>
  <c r="P2837" i="12"/>
  <c r="P2765" i="12"/>
  <c r="P2585" i="12"/>
  <c r="P2441" i="12"/>
  <c r="P2729" i="12"/>
  <c r="P2873" i="12"/>
  <c r="P2945" i="12"/>
  <c r="P2513" i="12"/>
  <c r="P2693" i="12"/>
  <c r="P2333" i="12"/>
  <c r="P2477" i="12"/>
  <c r="P2369" i="12"/>
  <c r="P2657" i="12"/>
  <c r="P2801" i="12"/>
  <c r="P2621" i="12"/>
  <c r="P2909" i="12"/>
  <c r="P2549" i="12"/>
  <c r="P2405" i="12"/>
  <c r="P2297" i="12"/>
  <c r="P2838" i="12"/>
  <c r="P2766" i="12"/>
  <c r="P2586" i="12"/>
  <c r="P2442" i="12"/>
  <c r="P2730" i="12"/>
  <c r="P2874" i="12"/>
  <c r="P2946" i="12"/>
  <c r="P2514" i="12"/>
  <c r="P2694" i="12"/>
  <c r="P2334" i="12"/>
  <c r="P2478" i="12"/>
  <c r="P2370" i="12"/>
  <c r="P2658" i="12"/>
  <c r="P2802" i="12"/>
  <c r="P2622" i="12"/>
  <c r="P2910" i="12"/>
  <c r="P2550" i="12"/>
  <c r="P2406" i="12"/>
  <c r="P2298" i="12"/>
  <c r="P2839" i="12"/>
  <c r="P2767" i="12"/>
  <c r="P2587" i="12"/>
  <c r="P2443" i="12"/>
  <c r="P2731" i="12"/>
  <c r="P2875" i="12"/>
  <c r="P2947" i="12"/>
  <c r="P2515" i="12"/>
  <c r="P2695" i="12"/>
  <c r="P2335" i="12"/>
  <c r="P2479" i="12"/>
  <c r="P2371" i="12"/>
  <c r="P2659" i="12"/>
  <c r="P2803" i="12"/>
  <c r="P2623" i="12"/>
  <c r="P2911" i="12"/>
  <c r="P2551" i="12"/>
  <c r="P2407" i="12"/>
  <c r="P2299" i="12"/>
  <c r="P2840" i="12"/>
  <c r="P2768" i="12"/>
  <c r="P2588" i="12"/>
  <c r="P2444" i="12"/>
  <c r="P2732" i="12"/>
  <c r="P2876" i="12"/>
  <c r="P2948" i="12"/>
  <c r="P2516" i="12"/>
  <c r="P2696" i="12"/>
  <c r="P2336" i="12"/>
  <c r="P2480" i="12"/>
  <c r="P2372" i="12"/>
  <c r="P2660" i="12"/>
  <c r="P2804" i="12"/>
  <c r="P2624" i="12"/>
  <c r="P2912" i="12"/>
  <c r="P2552" i="12"/>
  <c r="P2408" i="12"/>
  <c r="P2300" i="12"/>
  <c r="P2841" i="12"/>
  <c r="P2769" i="12"/>
  <c r="P2589" i="12"/>
  <c r="P2445" i="12"/>
  <c r="P2733" i="12"/>
  <c r="P2877" i="12"/>
  <c r="P2949" i="12"/>
  <c r="P2517" i="12"/>
  <c r="P2697" i="12"/>
  <c r="P2337" i="12"/>
  <c r="P2481" i="12"/>
  <c r="P2373" i="12"/>
  <c r="P2661" i="12"/>
  <c r="P2805" i="12"/>
  <c r="P2625" i="12"/>
  <c r="P2913" i="12"/>
  <c r="P2553" i="12"/>
  <c r="P2409" i="12"/>
  <c r="P2301" i="12"/>
  <c r="P2842" i="12"/>
  <c r="P2770" i="12"/>
  <c r="P2590" i="12"/>
  <c r="P2446" i="12"/>
  <c r="P2734" i="12"/>
  <c r="P2878" i="12"/>
  <c r="P2950" i="12"/>
  <c r="P2518" i="12"/>
  <c r="P2698" i="12"/>
  <c r="P2338" i="12"/>
  <c r="P2482" i="12"/>
  <c r="P2374" i="12"/>
  <c r="P2662" i="12"/>
  <c r="P2806" i="12"/>
  <c r="P2626" i="12"/>
  <c r="P2914" i="12"/>
  <c r="P2554" i="12"/>
  <c r="P2410" i="12"/>
  <c r="P2302" i="12"/>
  <c r="P2843" i="12"/>
  <c r="P2771" i="12"/>
  <c r="P2591" i="12"/>
  <c r="P2447" i="12"/>
  <c r="P2735" i="12"/>
  <c r="P2879" i="12"/>
  <c r="P2951" i="12"/>
  <c r="P2519" i="12"/>
  <c r="P2699" i="12"/>
  <c r="P2339" i="12"/>
  <c r="P2483" i="12"/>
  <c r="P2375" i="12"/>
  <c r="P2663" i="12"/>
  <c r="P2807" i="12"/>
  <c r="P2627" i="12"/>
  <c r="P2915" i="12"/>
  <c r="P2555" i="12"/>
  <c r="P2411" i="12"/>
  <c r="P2303" i="12"/>
  <c r="P2844" i="12"/>
  <c r="P2772" i="12"/>
  <c r="P2592" i="12"/>
  <c r="P2448" i="12"/>
  <c r="P2736" i="12"/>
  <c r="P2880" i="12"/>
  <c r="P2952" i="12"/>
  <c r="P2520" i="12"/>
  <c r="P2700" i="12"/>
  <c r="P2340" i="12"/>
  <c r="P2484" i="12"/>
  <c r="P2376" i="12"/>
  <c r="P2664" i="12"/>
  <c r="P2808" i="12"/>
  <c r="P2628" i="12"/>
  <c r="P2916" i="12"/>
  <c r="P2556" i="12"/>
  <c r="P2412" i="12"/>
  <c r="P2304" i="12"/>
  <c r="P2845" i="12"/>
  <c r="P2773" i="12"/>
  <c r="P2593" i="12"/>
  <c r="P2449" i="12"/>
  <c r="P2737" i="12"/>
  <c r="P2881" i="12"/>
  <c r="P2953" i="12"/>
  <c r="P2521" i="12"/>
  <c r="P2701" i="12"/>
  <c r="P2341" i="12"/>
  <c r="P2485" i="12"/>
  <c r="P2377" i="12"/>
  <c r="P2665" i="12"/>
  <c r="P2809" i="12"/>
  <c r="P2629" i="12"/>
  <c r="P2917" i="12"/>
  <c r="P2557" i="12"/>
  <c r="P2413" i="12"/>
  <c r="P2305" i="12"/>
  <c r="P3098" i="12"/>
  <c r="P2954" i="12"/>
  <c r="P3206" i="12"/>
  <c r="P3458" i="12"/>
  <c r="P3566" i="12"/>
  <c r="P2990" i="12"/>
  <c r="P3530" i="12"/>
  <c r="P3134" i="12"/>
  <c r="P3350" i="12"/>
  <c r="P3026" i="12"/>
  <c r="P3062" i="12"/>
  <c r="P3278" i="12"/>
  <c r="P3314" i="12"/>
  <c r="P3494" i="12"/>
  <c r="P3170" i="12"/>
  <c r="P3422" i="12"/>
  <c r="P3242" i="12"/>
  <c r="P3386" i="12"/>
  <c r="P3099" i="12"/>
  <c r="P2955" i="12"/>
  <c r="P3207" i="12"/>
  <c r="P3459" i="12"/>
  <c r="P3567" i="12"/>
  <c r="P2991" i="12"/>
  <c r="P3531" i="12"/>
  <c r="P3135" i="12"/>
  <c r="P3351" i="12"/>
  <c r="P3027" i="12"/>
  <c r="P3063" i="12"/>
  <c r="P3279" i="12"/>
  <c r="P3315" i="12"/>
  <c r="P3495" i="12"/>
  <c r="P3171" i="12"/>
  <c r="P3423" i="12"/>
  <c r="P3243" i="12"/>
  <c r="P3387" i="12"/>
  <c r="P3100" i="12"/>
  <c r="P2956" i="12"/>
  <c r="P3208" i="12"/>
  <c r="P3460" i="12"/>
  <c r="P3568" i="12"/>
  <c r="P2992" i="12"/>
  <c r="P3532" i="12"/>
  <c r="P3136" i="12"/>
  <c r="P3352" i="12"/>
  <c r="P3028" i="12"/>
  <c r="P3064" i="12"/>
  <c r="P3280" i="12"/>
  <c r="P3316" i="12"/>
  <c r="P3496" i="12"/>
  <c r="P3172" i="12"/>
  <c r="P3424" i="12"/>
  <c r="P3244" i="12"/>
  <c r="P3388" i="12"/>
  <c r="P3101" i="12"/>
  <c r="P2957" i="12"/>
  <c r="P3209" i="12"/>
  <c r="P3461" i="12"/>
  <c r="P3569" i="12"/>
  <c r="P2993" i="12"/>
  <c r="P3533" i="12"/>
  <c r="P3137" i="12"/>
  <c r="P3353" i="12"/>
  <c r="P3029" i="12"/>
  <c r="P3065" i="12"/>
  <c r="P3281" i="12"/>
  <c r="P3317" i="12"/>
  <c r="P3497" i="12"/>
  <c r="P3173" i="12"/>
  <c r="P3425" i="12"/>
  <c r="P3245" i="12"/>
  <c r="P3389" i="12"/>
  <c r="P3102" i="12"/>
  <c r="P2958" i="12"/>
  <c r="P3210" i="12"/>
  <c r="P3462" i="12"/>
  <c r="P3570" i="12"/>
  <c r="P2994" i="12"/>
  <c r="P3534" i="12"/>
  <c r="P3138" i="12"/>
  <c r="P3354" i="12"/>
  <c r="P3030" i="12"/>
  <c r="P3066" i="12"/>
  <c r="P3282" i="12"/>
  <c r="P3318" i="12"/>
  <c r="P3498" i="12"/>
  <c r="P3174" i="12"/>
  <c r="P3426" i="12"/>
  <c r="P3246" i="12"/>
  <c r="P3390" i="12"/>
  <c r="P3103" i="12"/>
  <c r="P2959" i="12"/>
  <c r="P3211" i="12"/>
  <c r="P3463" i="12"/>
  <c r="P3571" i="12"/>
  <c r="P2995" i="12"/>
  <c r="P3535" i="12"/>
  <c r="P3139" i="12"/>
  <c r="P3355" i="12"/>
  <c r="P3031" i="12"/>
  <c r="P3067" i="12"/>
  <c r="P3283" i="12"/>
  <c r="P3319" i="12"/>
  <c r="P3499" i="12"/>
  <c r="P3175" i="12"/>
  <c r="P3427" i="12"/>
  <c r="P3247" i="12"/>
  <c r="P3391" i="12"/>
  <c r="P3104" i="12"/>
  <c r="P2960" i="12"/>
  <c r="P3212" i="12"/>
  <c r="P3464" i="12"/>
  <c r="P3572" i="12"/>
  <c r="P2996" i="12"/>
  <c r="P3536" i="12"/>
  <c r="P3140" i="12"/>
  <c r="P3356" i="12"/>
  <c r="P3032" i="12"/>
  <c r="P3068" i="12"/>
  <c r="P3284" i="12"/>
  <c r="P3320" i="12"/>
  <c r="P3500" i="12"/>
  <c r="P3176" i="12"/>
  <c r="P3428" i="12"/>
  <c r="P3248" i="12"/>
  <c r="P3392" i="12"/>
  <c r="P3105" i="12"/>
  <c r="P2961" i="12"/>
  <c r="P3213" i="12"/>
  <c r="P3465" i="12"/>
  <c r="P3573" i="12"/>
  <c r="P2997" i="12"/>
  <c r="P3537" i="12"/>
  <c r="P3141" i="12"/>
  <c r="P3357" i="12"/>
  <c r="P3033" i="12"/>
  <c r="P3069" i="12"/>
  <c r="P3285" i="12"/>
  <c r="P3321" i="12"/>
  <c r="P3501" i="12"/>
  <c r="P3177" i="12"/>
  <c r="P3429" i="12"/>
  <c r="P3249" i="12"/>
  <c r="P3393" i="12"/>
  <c r="P3106" i="12"/>
  <c r="P2962" i="12"/>
  <c r="P3214" i="12"/>
  <c r="P3466" i="12"/>
  <c r="P3574" i="12"/>
  <c r="P2998" i="12"/>
  <c r="P3538" i="12"/>
  <c r="P3142" i="12"/>
  <c r="P3358" i="12"/>
  <c r="P3034" i="12"/>
  <c r="P3070" i="12"/>
  <c r="P3286" i="12"/>
  <c r="P3322" i="12"/>
  <c r="P3502" i="12"/>
  <c r="P3178" i="12"/>
  <c r="P3430" i="12"/>
  <c r="P3250" i="12"/>
  <c r="P3394" i="12"/>
  <c r="P3107" i="12"/>
  <c r="P2963" i="12"/>
  <c r="P3215" i="12"/>
  <c r="P3467" i="12"/>
  <c r="P3575" i="12"/>
  <c r="P2999" i="12"/>
  <c r="P3539" i="12"/>
  <c r="P3143" i="12"/>
  <c r="P3359" i="12"/>
  <c r="P3035" i="12"/>
  <c r="P3071" i="12"/>
  <c r="P3287" i="12"/>
  <c r="P3323" i="12"/>
  <c r="P3503" i="12"/>
  <c r="P3179" i="12"/>
  <c r="P3431" i="12"/>
  <c r="P3251" i="12"/>
  <c r="P3395" i="12"/>
  <c r="P3108" i="12"/>
  <c r="P2964" i="12"/>
  <c r="P3216" i="12"/>
  <c r="P3468" i="12"/>
  <c r="P3576" i="12"/>
  <c r="P3000" i="12"/>
  <c r="P3540" i="12"/>
  <c r="P3144" i="12"/>
  <c r="P3360" i="12"/>
  <c r="P3036" i="12"/>
  <c r="P3072" i="12"/>
  <c r="P3288" i="12"/>
  <c r="P3324" i="12"/>
  <c r="P3504" i="12"/>
  <c r="P3180" i="12"/>
  <c r="P3432" i="12"/>
  <c r="P3252" i="12"/>
  <c r="P3396" i="12"/>
  <c r="P3109" i="12"/>
  <c r="P2965" i="12"/>
  <c r="P3217" i="12"/>
  <c r="P3469" i="12"/>
  <c r="P3577" i="12"/>
  <c r="P3001" i="12"/>
  <c r="P3541" i="12"/>
  <c r="P3145" i="12"/>
  <c r="P3361" i="12"/>
  <c r="P3037" i="12"/>
  <c r="P3073" i="12"/>
  <c r="P3289" i="12"/>
  <c r="P3325" i="12"/>
  <c r="P3505" i="12"/>
  <c r="P3181" i="12"/>
  <c r="P3433" i="12"/>
  <c r="P3253" i="12"/>
  <c r="P3397" i="12"/>
  <c r="P3110" i="12"/>
  <c r="P2966" i="12"/>
  <c r="P3218" i="12"/>
  <c r="P3470" i="12"/>
  <c r="P3578" i="12"/>
  <c r="P3002" i="12"/>
  <c r="P3542" i="12"/>
  <c r="P3146" i="12"/>
  <c r="P3362" i="12"/>
  <c r="P3038" i="12"/>
  <c r="P3074" i="12"/>
  <c r="P3290" i="12"/>
  <c r="P3326" i="12"/>
  <c r="P3506" i="12"/>
  <c r="P3182" i="12"/>
  <c r="P3434" i="12"/>
  <c r="P3254" i="12"/>
  <c r="P3398" i="12"/>
  <c r="P3111" i="12"/>
  <c r="P2967" i="12"/>
  <c r="P3219" i="12"/>
  <c r="P3471" i="12"/>
  <c r="P3579" i="12"/>
  <c r="P3003" i="12"/>
  <c r="P3543" i="12"/>
  <c r="P3147" i="12"/>
  <c r="P3363" i="12"/>
  <c r="P3039" i="12"/>
  <c r="P3075" i="12"/>
  <c r="P3291" i="12"/>
  <c r="P3327" i="12"/>
  <c r="P3507" i="12"/>
  <c r="P3183" i="12"/>
  <c r="P3435" i="12"/>
  <c r="P3255" i="12"/>
  <c r="P3399" i="12"/>
  <c r="P3112" i="12"/>
  <c r="P2968" i="12"/>
  <c r="P3220" i="12"/>
  <c r="P3472" i="12"/>
  <c r="P3580" i="12"/>
  <c r="P3004" i="12"/>
  <c r="P3544" i="12"/>
  <c r="P3148" i="12"/>
  <c r="P3364" i="12"/>
  <c r="P3040" i="12"/>
  <c r="P3076" i="12"/>
  <c r="P3292" i="12"/>
  <c r="P3328" i="12"/>
  <c r="P3508" i="12"/>
  <c r="P3184" i="12"/>
  <c r="P3436" i="12"/>
  <c r="P3256" i="12"/>
  <c r="P3400" i="12"/>
  <c r="P3113" i="12"/>
  <c r="P2969" i="12"/>
  <c r="P3221" i="12"/>
  <c r="P3473" i="12"/>
  <c r="P3581" i="12"/>
  <c r="P3005" i="12"/>
  <c r="P3545" i="12"/>
  <c r="P3149" i="12"/>
  <c r="P3365" i="12"/>
  <c r="P3041" i="12"/>
  <c r="P3077" i="12"/>
  <c r="P3293" i="12"/>
  <c r="P3329" i="12"/>
  <c r="P3509" i="12"/>
  <c r="P3185" i="12"/>
  <c r="P3437" i="12"/>
  <c r="P3257" i="12"/>
  <c r="P3401" i="12"/>
  <c r="P3114" i="12"/>
  <c r="P2970" i="12"/>
  <c r="P3222" i="12"/>
  <c r="P3474" i="12"/>
  <c r="P3582" i="12"/>
  <c r="P3006" i="12"/>
  <c r="P3546" i="12"/>
  <c r="P3150" i="12"/>
  <c r="P3366" i="12"/>
  <c r="P3042" i="12"/>
  <c r="P3078" i="12"/>
  <c r="P3294" i="12"/>
  <c r="P3330" i="12"/>
  <c r="P3510" i="12"/>
  <c r="P3186" i="12"/>
  <c r="P3438" i="12"/>
  <c r="P3258" i="12"/>
  <c r="P3402" i="12"/>
  <c r="P3115" i="12"/>
  <c r="P2971" i="12"/>
  <c r="P3223" i="12"/>
  <c r="P3475" i="12"/>
  <c r="P3583" i="12"/>
  <c r="P3007" i="12"/>
  <c r="P3547" i="12"/>
  <c r="P3151" i="12"/>
  <c r="P3367" i="12"/>
  <c r="P3043" i="12"/>
  <c r="P3079" i="12"/>
  <c r="P3295" i="12"/>
  <c r="P3331" i="12"/>
  <c r="P3511" i="12"/>
  <c r="P3187" i="12"/>
  <c r="P3439" i="12"/>
  <c r="P3259" i="12"/>
  <c r="P3403" i="12"/>
  <c r="P3116" i="12"/>
  <c r="P2972" i="12"/>
  <c r="P3224" i="12"/>
  <c r="P3476" i="12"/>
  <c r="P3584" i="12"/>
  <c r="P3008" i="12"/>
  <c r="P3548" i="12"/>
  <c r="P3152" i="12"/>
  <c r="P3368" i="12"/>
  <c r="P3044" i="12"/>
  <c r="P3080" i="12"/>
  <c r="P3296" i="12"/>
  <c r="P3332" i="12"/>
  <c r="P3512" i="12"/>
  <c r="P3188" i="12"/>
  <c r="P3440" i="12"/>
  <c r="P3260" i="12"/>
  <c r="P3404" i="12"/>
  <c r="P3117" i="12"/>
  <c r="P2973" i="12"/>
  <c r="P3225" i="12"/>
  <c r="P3477" i="12"/>
  <c r="P3585" i="12"/>
  <c r="P3009" i="12"/>
  <c r="P3549" i="12"/>
  <c r="P3153" i="12"/>
  <c r="P3369" i="12"/>
  <c r="P3045" i="12"/>
  <c r="P3081" i="12"/>
  <c r="P3297" i="12"/>
  <c r="P3333" i="12"/>
  <c r="P3513" i="12"/>
  <c r="P3189" i="12"/>
  <c r="P3441" i="12"/>
  <c r="P3261" i="12"/>
  <c r="P3405" i="12"/>
  <c r="P3118" i="12"/>
  <c r="P2974" i="12"/>
  <c r="P3226" i="12"/>
  <c r="P3478" i="12"/>
  <c r="P3586" i="12"/>
  <c r="P3010" i="12"/>
  <c r="P3550" i="12"/>
  <c r="P3154" i="12"/>
  <c r="P3370" i="12"/>
  <c r="P3046" i="12"/>
  <c r="P3082" i="12"/>
  <c r="P3298" i="12"/>
  <c r="P3334" i="12"/>
  <c r="P3514" i="12"/>
  <c r="P3190" i="12"/>
  <c r="P3442" i="12"/>
  <c r="P3262" i="12"/>
  <c r="P3406" i="12"/>
  <c r="P3119" i="12"/>
  <c r="P2975" i="12"/>
  <c r="P3227" i="12"/>
  <c r="P3479" i="12"/>
  <c r="P3587" i="12"/>
  <c r="P3011" i="12"/>
  <c r="P3551" i="12"/>
  <c r="P3155" i="12"/>
  <c r="P3371" i="12"/>
  <c r="P3047" i="12"/>
  <c r="P3083" i="12"/>
  <c r="P3299" i="12"/>
  <c r="P3335" i="12"/>
  <c r="P3515" i="12"/>
  <c r="P3191" i="12"/>
  <c r="P3443" i="12"/>
  <c r="P3263" i="12"/>
  <c r="P3407" i="12"/>
  <c r="P3120" i="12"/>
  <c r="P2976" i="12"/>
  <c r="P3228" i="12"/>
  <c r="P3480" i="12"/>
  <c r="P3588" i="12"/>
  <c r="P3012" i="12"/>
  <c r="P3552" i="12"/>
  <c r="P3156" i="12"/>
  <c r="P3372" i="12"/>
  <c r="P3048" i="12"/>
  <c r="P3084" i="12"/>
  <c r="P3300" i="12"/>
  <c r="P3336" i="12"/>
  <c r="P3516" i="12"/>
  <c r="P3192" i="12"/>
  <c r="P3444" i="12"/>
  <c r="P3264" i="12"/>
  <c r="P3408" i="12"/>
  <c r="P3121" i="12"/>
  <c r="P2977" i="12"/>
  <c r="P3229" i="12"/>
  <c r="P3481" i="12"/>
  <c r="P3589" i="12"/>
  <c r="P3013" i="12"/>
  <c r="P3553" i="12"/>
  <c r="P3157" i="12"/>
  <c r="P3373" i="12"/>
  <c r="P3049" i="12"/>
  <c r="P3085" i="12"/>
  <c r="P3301" i="12"/>
  <c r="P3337" i="12"/>
  <c r="P3517" i="12"/>
  <c r="P3193" i="12"/>
  <c r="P3445" i="12"/>
  <c r="P3265" i="12"/>
  <c r="P3409" i="12"/>
  <c r="P3122" i="12"/>
  <c r="P2978" i="12"/>
  <c r="P3230" i="12"/>
  <c r="P3482" i="12"/>
  <c r="P3590" i="12"/>
  <c r="P3014" i="12"/>
  <c r="P3554" i="12"/>
  <c r="P3158" i="12"/>
  <c r="P3374" i="12"/>
  <c r="P3050" i="12"/>
  <c r="P3086" i="12"/>
  <c r="P3302" i="12"/>
  <c r="P3338" i="12"/>
  <c r="P3518" i="12"/>
  <c r="P3194" i="12"/>
  <c r="P3446" i="12"/>
  <c r="P3266" i="12"/>
  <c r="P3410" i="12"/>
  <c r="P3123" i="12"/>
  <c r="P2979" i="12"/>
  <c r="P3231" i="12"/>
  <c r="P3483" i="12"/>
  <c r="P3591" i="12"/>
  <c r="P3015" i="12"/>
  <c r="P3555" i="12"/>
  <c r="P3159" i="12"/>
  <c r="P3375" i="12"/>
  <c r="P3051" i="12"/>
  <c r="P3087" i="12"/>
  <c r="P3303" i="12"/>
  <c r="P3339" i="12"/>
  <c r="P3519" i="12"/>
  <c r="P3195" i="12"/>
  <c r="P3447" i="12"/>
  <c r="P3267" i="12"/>
  <c r="P3411" i="12"/>
  <c r="P3124" i="12"/>
  <c r="P2980" i="12"/>
  <c r="P3232" i="12"/>
  <c r="P3484" i="12"/>
  <c r="P3592" i="12"/>
  <c r="P3016" i="12"/>
  <c r="P3556" i="12"/>
  <c r="P3160" i="12"/>
  <c r="P3376" i="12"/>
  <c r="P3052" i="12"/>
  <c r="P3088" i="12"/>
  <c r="P3304" i="12"/>
  <c r="P3340" i="12"/>
  <c r="P3520" i="12"/>
  <c r="P3196" i="12"/>
  <c r="P3448" i="12"/>
  <c r="P3268" i="12"/>
  <c r="P3412" i="12"/>
  <c r="P3125" i="12"/>
  <c r="P2981" i="12"/>
  <c r="P3233" i="12"/>
  <c r="P3485" i="12"/>
  <c r="P3593" i="12"/>
  <c r="P3017" i="12"/>
  <c r="P3557" i="12"/>
  <c r="P3161" i="12"/>
  <c r="P3377" i="12"/>
  <c r="P3053" i="12"/>
  <c r="P3089" i="12"/>
  <c r="P3305" i="12"/>
  <c r="P3341" i="12"/>
  <c r="P3521" i="12"/>
  <c r="P3197" i="12"/>
  <c r="P3449" i="12"/>
  <c r="P3269" i="12"/>
  <c r="P3413" i="12"/>
  <c r="P3126" i="12"/>
  <c r="P2982" i="12"/>
  <c r="P3234" i="12"/>
  <c r="P3486" i="12"/>
  <c r="P3594" i="12"/>
  <c r="P3018" i="12"/>
  <c r="P3558" i="12"/>
  <c r="P3162" i="12"/>
  <c r="P3378" i="12"/>
  <c r="P3054" i="12"/>
  <c r="P3090" i="12"/>
  <c r="P3306" i="12"/>
  <c r="P3342" i="12"/>
  <c r="P3522" i="12"/>
  <c r="P3198" i="12"/>
  <c r="P3450" i="12"/>
  <c r="P3270" i="12"/>
  <c r="P3414" i="12"/>
  <c r="P3127" i="12"/>
  <c r="P2983" i="12"/>
  <c r="P3235" i="12"/>
  <c r="P3487" i="12"/>
  <c r="P3595" i="12"/>
  <c r="P3019" i="12"/>
  <c r="P3559" i="12"/>
  <c r="P3163" i="12"/>
  <c r="P3379" i="12"/>
  <c r="P3055" i="12"/>
  <c r="P3091" i="12"/>
  <c r="P3307" i="12"/>
  <c r="P3343" i="12"/>
  <c r="P3523" i="12"/>
  <c r="P3199" i="12"/>
  <c r="P3451" i="12"/>
  <c r="P3271" i="12"/>
  <c r="P3415" i="12"/>
  <c r="P3128" i="12"/>
  <c r="P2984" i="12"/>
  <c r="P3236" i="12"/>
  <c r="P3488" i="12"/>
  <c r="P3596" i="12"/>
  <c r="P3020" i="12"/>
  <c r="P3560" i="12"/>
  <c r="P3164" i="12"/>
  <c r="P3380" i="12"/>
  <c r="P3056" i="12"/>
  <c r="P3092" i="12"/>
  <c r="P3308" i="12"/>
  <c r="P3344" i="12"/>
  <c r="P3524" i="12"/>
  <c r="P3200" i="12"/>
  <c r="P3452" i="12"/>
  <c r="P3272" i="12"/>
  <c r="P3416" i="12"/>
  <c r="P3129" i="12"/>
  <c r="P2985" i="12"/>
  <c r="P3237" i="12"/>
  <c r="P3489" i="12"/>
  <c r="P3597" i="12"/>
  <c r="P3021" i="12"/>
  <c r="P3561" i="12"/>
  <c r="P3165" i="12"/>
  <c r="P3381" i="12"/>
  <c r="P3057" i="12"/>
  <c r="P3093" i="12"/>
  <c r="P3309" i="12"/>
  <c r="P3345" i="12"/>
  <c r="P3525" i="12"/>
  <c r="P3201" i="12"/>
  <c r="P3453" i="12"/>
  <c r="P3273" i="12"/>
  <c r="P3417" i="12"/>
  <c r="P3130" i="12"/>
  <c r="P2986" i="12"/>
  <c r="P3238" i="12"/>
  <c r="P3490" i="12"/>
  <c r="P3598" i="12"/>
  <c r="P3022" i="12"/>
  <c r="P3562" i="12"/>
  <c r="P3166" i="12"/>
  <c r="P3382" i="12"/>
  <c r="P3058" i="12"/>
  <c r="P3094" i="12"/>
  <c r="P3310" i="12"/>
  <c r="P3346" i="12"/>
  <c r="P3526" i="12"/>
  <c r="P3202" i="12"/>
  <c r="P3454" i="12"/>
  <c r="P3274" i="12"/>
  <c r="P3418" i="12"/>
  <c r="P3131" i="12"/>
  <c r="P2987" i="12"/>
  <c r="P3239" i="12"/>
  <c r="P3491" i="12"/>
  <c r="P3599" i="12"/>
  <c r="P3023" i="12"/>
  <c r="P3563" i="12"/>
  <c r="P3167" i="12"/>
  <c r="P3383" i="12"/>
  <c r="P3059" i="12"/>
  <c r="P3095" i="12"/>
  <c r="P3311" i="12"/>
  <c r="P3347" i="12"/>
  <c r="P3527" i="12"/>
  <c r="P3203" i="12"/>
  <c r="P3455" i="12"/>
  <c r="P3275" i="12"/>
  <c r="P3419" i="12"/>
  <c r="P3132" i="12"/>
  <c r="P2988" i="12"/>
  <c r="P3240" i="12"/>
  <c r="P3492" i="12"/>
  <c r="P3600" i="12"/>
  <c r="P3024" i="12"/>
  <c r="P3564" i="12"/>
  <c r="P3168" i="12"/>
  <c r="P3384" i="12"/>
  <c r="P3060" i="12"/>
  <c r="P3096" i="12"/>
  <c r="P3312" i="12"/>
  <c r="P3348" i="12"/>
  <c r="P3528" i="12"/>
  <c r="P3204" i="12"/>
  <c r="P3456" i="12"/>
  <c r="P3276" i="12"/>
  <c r="P3420" i="12"/>
  <c r="P3133" i="12"/>
  <c r="P2989" i="12"/>
  <c r="P3241" i="12"/>
  <c r="P3493" i="12"/>
  <c r="P3601" i="12"/>
  <c r="P3025" i="12"/>
  <c r="P3565" i="12"/>
  <c r="P3169" i="12"/>
  <c r="P3385" i="12"/>
  <c r="P3061" i="12"/>
  <c r="P3097" i="12"/>
  <c r="P3313" i="12"/>
  <c r="P3349" i="12"/>
  <c r="P3529" i="12"/>
  <c r="P3205" i="12"/>
  <c r="P3457" i="12"/>
  <c r="P3277" i="12"/>
  <c r="P3421" i="12"/>
  <c r="P362" i="12"/>
  <c r="P110" i="12"/>
  <c r="P254" i="12"/>
  <c r="P470" i="12"/>
  <c r="P182" i="12"/>
  <c r="P434" i="12"/>
  <c r="P146" i="12"/>
  <c r="P614" i="12"/>
  <c r="P506" i="12"/>
  <c r="P290" i="12"/>
  <c r="P398" i="12"/>
  <c r="P326" i="12"/>
  <c r="P218" i="12"/>
  <c r="P363" i="12"/>
  <c r="P111" i="12"/>
  <c r="P255" i="12"/>
  <c r="P471" i="12"/>
  <c r="P183" i="12"/>
  <c r="P435" i="12"/>
  <c r="P147" i="12"/>
  <c r="P615" i="12"/>
  <c r="P507" i="12"/>
  <c r="P291" i="12"/>
  <c r="P399" i="12"/>
  <c r="P327" i="12"/>
  <c r="P219" i="12"/>
  <c r="P364" i="12"/>
  <c r="P112" i="12"/>
  <c r="P256" i="12"/>
  <c r="P472" i="12"/>
  <c r="P184" i="12"/>
  <c r="P436" i="12"/>
  <c r="P148" i="12"/>
  <c r="P616" i="12"/>
  <c r="P508" i="12"/>
  <c r="P292" i="12"/>
  <c r="P400" i="12"/>
  <c r="P328" i="12"/>
  <c r="P220" i="12"/>
  <c r="P365" i="12"/>
  <c r="P113" i="12"/>
  <c r="P257" i="12"/>
  <c r="P473" i="12"/>
  <c r="P185" i="12"/>
  <c r="P437" i="12"/>
  <c r="P149" i="12"/>
  <c r="P617" i="12"/>
  <c r="P509" i="12"/>
  <c r="P293" i="12"/>
  <c r="P401" i="12"/>
  <c r="P329" i="12"/>
  <c r="P221" i="12"/>
  <c r="P366" i="12"/>
  <c r="P114" i="12"/>
  <c r="P258" i="12"/>
  <c r="P474" i="12"/>
  <c r="P186" i="12"/>
  <c r="P438" i="12"/>
  <c r="P150" i="12"/>
  <c r="P618" i="12"/>
  <c r="P510" i="12"/>
  <c r="P294" i="12"/>
  <c r="P402" i="12"/>
  <c r="P330" i="12"/>
  <c r="P222" i="12"/>
  <c r="P367" i="12"/>
  <c r="P115" i="12"/>
  <c r="P259" i="12"/>
  <c r="P475" i="12"/>
  <c r="P187" i="12"/>
  <c r="P439" i="12"/>
  <c r="P151" i="12"/>
  <c r="P619" i="12"/>
  <c r="P511" i="12"/>
  <c r="P295" i="12"/>
  <c r="P403" i="12"/>
  <c r="P331" i="12"/>
  <c r="P223" i="12"/>
  <c r="P368" i="12"/>
  <c r="P116" i="12"/>
  <c r="P260" i="12"/>
  <c r="P476" i="12"/>
  <c r="P188" i="12"/>
  <c r="P440" i="12"/>
  <c r="P152" i="12"/>
  <c r="P620" i="12"/>
  <c r="P512" i="12"/>
  <c r="P296" i="12"/>
  <c r="P404" i="12"/>
  <c r="P332" i="12"/>
  <c r="P224" i="12"/>
  <c r="P369" i="12"/>
  <c r="P117" i="12"/>
  <c r="P261" i="12"/>
  <c r="P477" i="12"/>
  <c r="P189" i="12"/>
  <c r="P441" i="12"/>
  <c r="P153" i="12"/>
  <c r="P621" i="12"/>
  <c r="P513" i="12"/>
  <c r="P297" i="12"/>
  <c r="P405" i="12"/>
  <c r="P333" i="12"/>
  <c r="P225" i="12"/>
  <c r="P370" i="12"/>
  <c r="P118" i="12"/>
  <c r="P262" i="12"/>
  <c r="P478" i="12"/>
  <c r="P190" i="12"/>
  <c r="P442" i="12"/>
  <c r="P154" i="12"/>
  <c r="P622" i="12"/>
  <c r="P514" i="12"/>
  <c r="P298" i="12"/>
  <c r="P406" i="12"/>
  <c r="P334" i="12"/>
  <c r="P226" i="12"/>
  <c r="P371" i="12"/>
  <c r="P119" i="12"/>
  <c r="P263" i="12"/>
  <c r="P479" i="12"/>
  <c r="P191" i="12"/>
  <c r="P443" i="12"/>
  <c r="P155" i="12"/>
  <c r="P623" i="12"/>
  <c r="P515" i="12"/>
  <c r="P299" i="12"/>
  <c r="P407" i="12"/>
  <c r="P335" i="12"/>
  <c r="P227" i="12"/>
  <c r="P372" i="12"/>
  <c r="P120" i="12"/>
  <c r="P264" i="12"/>
  <c r="P480" i="12"/>
  <c r="P192" i="12"/>
  <c r="P444" i="12"/>
  <c r="P156" i="12"/>
  <c r="P624" i="12"/>
  <c r="P516" i="12"/>
  <c r="P300" i="12"/>
  <c r="P408" i="12"/>
  <c r="P336" i="12"/>
  <c r="P228" i="12"/>
  <c r="P373" i="12"/>
  <c r="P121" i="12"/>
  <c r="P265" i="12"/>
  <c r="P481" i="12"/>
  <c r="P193" i="12"/>
  <c r="P445" i="12"/>
  <c r="P157" i="12"/>
  <c r="P625" i="12"/>
  <c r="P517" i="12"/>
  <c r="P301" i="12"/>
  <c r="P409" i="12"/>
  <c r="P337" i="12"/>
  <c r="P229" i="12"/>
  <c r="P374" i="12"/>
  <c r="P122" i="12"/>
  <c r="P266" i="12"/>
  <c r="P482" i="12"/>
  <c r="P194" i="12"/>
  <c r="P446" i="12"/>
  <c r="P158" i="12"/>
  <c r="P626" i="12"/>
  <c r="P518" i="12"/>
  <c r="P302" i="12"/>
  <c r="P410" i="12"/>
  <c r="P338" i="12"/>
  <c r="P230" i="12"/>
  <c r="P375" i="12"/>
  <c r="P123" i="12"/>
  <c r="P267" i="12"/>
  <c r="P483" i="12"/>
  <c r="P195" i="12"/>
  <c r="P447" i="12"/>
  <c r="P159" i="12"/>
  <c r="P627" i="12"/>
  <c r="P519" i="12"/>
  <c r="P303" i="12"/>
  <c r="P411" i="12"/>
  <c r="P339" i="12"/>
  <c r="P231" i="12"/>
  <c r="P376" i="12"/>
  <c r="P124" i="12"/>
  <c r="P268" i="12"/>
  <c r="P484" i="12"/>
  <c r="P196" i="12"/>
  <c r="P448" i="12"/>
  <c r="P160" i="12"/>
  <c r="P628" i="12"/>
  <c r="P520" i="12"/>
  <c r="P304" i="12"/>
  <c r="P412" i="12"/>
  <c r="P340" i="12"/>
  <c r="P232" i="12"/>
  <c r="P377" i="12"/>
  <c r="P125" i="12"/>
  <c r="P269" i="12"/>
  <c r="P485" i="12"/>
  <c r="P197" i="12"/>
  <c r="P449" i="12"/>
  <c r="P161" i="12"/>
  <c r="P629" i="12"/>
  <c r="P521" i="12"/>
  <c r="P305" i="12"/>
  <c r="P413" i="12"/>
  <c r="P341" i="12"/>
  <c r="P233" i="12"/>
  <c r="P378" i="12"/>
  <c r="P126" i="12"/>
  <c r="P270" i="12"/>
  <c r="P486" i="12"/>
  <c r="P198" i="12"/>
  <c r="P450" i="12"/>
  <c r="P162" i="12"/>
  <c r="P630" i="12"/>
  <c r="P522" i="12"/>
  <c r="P306" i="12"/>
  <c r="P414" i="12"/>
  <c r="P342" i="12"/>
  <c r="P234" i="12"/>
  <c r="P379" i="12"/>
  <c r="P127" i="12"/>
  <c r="P271" i="12"/>
  <c r="P487" i="12"/>
  <c r="P199" i="12"/>
  <c r="P451" i="12"/>
  <c r="P163" i="12"/>
  <c r="P631" i="12"/>
  <c r="P523" i="12"/>
  <c r="P307" i="12"/>
  <c r="P415" i="12"/>
  <c r="P343" i="12"/>
  <c r="P235" i="12"/>
  <c r="P380" i="12"/>
  <c r="P128" i="12"/>
  <c r="P272" i="12"/>
  <c r="P488" i="12"/>
  <c r="P200" i="12"/>
  <c r="P452" i="12"/>
  <c r="P164" i="12"/>
  <c r="P632" i="12"/>
  <c r="P524" i="12"/>
  <c r="P308" i="12"/>
  <c r="P416" i="12"/>
  <c r="P344" i="12"/>
  <c r="P236" i="12"/>
  <c r="P381" i="12"/>
  <c r="P129" i="12"/>
  <c r="P273" i="12"/>
  <c r="P489" i="12"/>
  <c r="P201" i="12"/>
  <c r="P453" i="12"/>
  <c r="P165" i="12"/>
  <c r="P633" i="12"/>
  <c r="P525" i="12"/>
  <c r="P309" i="12"/>
  <c r="P417" i="12"/>
  <c r="P345" i="12"/>
  <c r="P237" i="12"/>
  <c r="P382" i="12"/>
  <c r="P130" i="12"/>
  <c r="P274" i="12"/>
  <c r="P490" i="12"/>
  <c r="P202" i="12"/>
  <c r="P454" i="12"/>
  <c r="P166" i="12"/>
  <c r="P634" i="12"/>
  <c r="P526" i="12"/>
  <c r="P310" i="12"/>
  <c r="P418" i="12"/>
  <c r="P346" i="12"/>
  <c r="P238" i="12"/>
  <c r="P383" i="12"/>
  <c r="P131" i="12"/>
  <c r="P275" i="12"/>
  <c r="P491" i="12"/>
  <c r="P203" i="12"/>
  <c r="P455" i="12"/>
  <c r="P167" i="12"/>
  <c r="P635" i="12"/>
  <c r="P527" i="12"/>
  <c r="P311" i="12"/>
  <c r="P419" i="12"/>
  <c r="P347" i="12"/>
  <c r="P239" i="12"/>
  <c r="P384" i="12"/>
  <c r="P132" i="12"/>
  <c r="P276" i="12"/>
  <c r="P492" i="12"/>
  <c r="P204" i="12"/>
  <c r="P456" i="12"/>
  <c r="P168" i="12"/>
  <c r="P636" i="12"/>
  <c r="P528" i="12"/>
  <c r="P312" i="12"/>
  <c r="P420" i="12"/>
  <c r="P348" i="12"/>
  <c r="P240" i="12"/>
  <c r="P385" i="12"/>
  <c r="P133" i="12"/>
  <c r="P277" i="12"/>
  <c r="P493" i="12"/>
  <c r="P205" i="12"/>
  <c r="P457" i="12"/>
  <c r="P169" i="12"/>
  <c r="P637" i="12"/>
  <c r="P529" i="12"/>
  <c r="P313" i="12"/>
  <c r="P421" i="12"/>
  <c r="P349" i="12"/>
  <c r="P241" i="12"/>
  <c r="P386" i="12"/>
  <c r="P134" i="12"/>
  <c r="P278" i="12"/>
  <c r="P494" i="12"/>
  <c r="P206" i="12"/>
  <c r="P458" i="12"/>
  <c r="P170" i="12"/>
  <c r="P638" i="12"/>
  <c r="P530" i="12"/>
  <c r="P314" i="12"/>
  <c r="P422" i="12"/>
  <c r="P350" i="12"/>
  <c r="P242" i="12"/>
  <c r="P387" i="12"/>
  <c r="P135" i="12"/>
  <c r="P279" i="12"/>
  <c r="P495" i="12"/>
  <c r="P207" i="12"/>
  <c r="P459" i="12"/>
  <c r="P171" i="12"/>
  <c r="P639" i="12"/>
  <c r="P531" i="12"/>
  <c r="P315" i="12"/>
  <c r="P423" i="12"/>
  <c r="P351" i="12"/>
  <c r="P243" i="12"/>
  <c r="P388" i="12"/>
  <c r="P136" i="12"/>
  <c r="P280" i="12"/>
  <c r="P496" i="12"/>
  <c r="P208" i="12"/>
  <c r="P460" i="12"/>
  <c r="P172" i="12"/>
  <c r="P640" i="12"/>
  <c r="P532" i="12"/>
  <c r="P316" i="12"/>
  <c r="P424" i="12"/>
  <c r="P352" i="12"/>
  <c r="P244" i="12"/>
  <c r="P389" i="12"/>
  <c r="P137" i="12"/>
  <c r="P281" i="12"/>
  <c r="P497" i="12"/>
  <c r="P209" i="12"/>
  <c r="P461" i="12"/>
  <c r="P173" i="12"/>
  <c r="P641" i="12"/>
  <c r="P533" i="12"/>
  <c r="P317" i="12"/>
  <c r="P425" i="12"/>
  <c r="P353" i="12"/>
  <c r="P245" i="12"/>
  <c r="P390" i="12"/>
  <c r="P138" i="12"/>
  <c r="P282" i="12"/>
  <c r="P498" i="12"/>
  <c r="P210" i="12"/>
  <c r="P462" i="12"/>
  <c r="P174" i="12"/>
  <c r="P642" i="12"/>
  <c r="P534" i="12"/>
  <c r="P318" i="12"/>
  <c r="P426" i="12"/>
  <c r="P354" i="12"/>
  <c r="P246" i="12"/>
  <c r="P391" i="12"/>
  <c r="P139" i="12"/>
  <c r="P283" i="12"/>
  <c r="P499" i="12"/>
  <c r="P211" i="12"/>
  <c r="P463" i="12"/>
  <c r="P175" i="12"/>
  <c r="P643" i="12"/>
  <c r="P535" i="12"/>
  <c r="P319" i="12"/>
  <c r="P427" i="12"/>
  <c r="P355" i="12"/>
  <c r="P247" i="12"/>
  <c r="P392" i="12"/>
  <c r="P140" i="12"/>
  <c r="P284" i="12"/>
  <c r="P500" i="12"/>
  <c r="P212" i="12"/>
  <c r="P464" i="12"/>
  <c r="P176" i="12"/>
  <c r="P644" i="12"/>
  <c r="P536" i="12"/>
  <c r="P320" i="12"/>
  <c r="P428" i="12"/>
  <c r="P356" i="12"/>
  <c r="P248" i="12"/>
  <c r="P393" i="12"/>
  <c r="P141" i="12"/>
  <c r="P285" i="12"/>
  <c r="P501" i="12"/>
  <c r="P213" i="12"/>
  <c r="P465" i="12"/>
  <c r="P177" i="12"/>
  <c r="P645" i="12"/>
  <c r="P537" i="12"/>
  <c r="P321" i="12"/>
  <c r="P429" i="12"/>
  <c r="P357" i="12"/>
  <c r="P249" i="12"/>
  <c r="P394" i="12"/>
  <c r="P142" i="12"/>
  <c r="P286" i="12"/>
  <c r="P502" i="12"/>
  <c r="P214" i="12"/>
  <c r="P466" i="12"/>
  <c r="P178" i="12"/>
  <c r="P646" i="12"/>
  <c r="P538" i="12"/>
  <c r="P322" i="12"/>
  <c r="P430" i="12"/>
  <c r="P358" i="12"/>
  <c r="P250" i="12"/>
  <c r="P395" i="12"/>
  <c r="P143" i="12"/>
  <c r="P287" i="12"/>
  <c r="P503" i="12"/>
  <c r="P215" i="12"/>
  <c r="P467" i="12"/>
  <c r="P179" i="12"/>
  <c r="P647" i="12"/>
  <c r="P539" i="12"/>
  <c r="P323" i="12"/>
  <c r="P431" i="12"/>
  <c r="P359" i="12"/>
  <c r="P251" i="12"/>
  <c r="P396" i="12"/>
  <c r="P144" i="12"/>
  <c r="P288" i="12"/>
  <c r="P504" i="12"/>
  <c r="P216" i="12"/>
  <c r="P468" i="12"/>
  <c r="P180" i="12"/>
  <c r="P648" i="12"/>
  <c r="P540" i="12"/>
  <c r="P324" i="12"/>
  <c r="P432" i="12"/>
  <c r="P360" i="12"/>
  <c r="P252" i="12"/>
  <c r="P397" i="12"/>
  <c r="P145" i="12"/>
  <c r="P289" i="12"/>
  <c r="P505" i="12"/>
  <c r="P217" i="12"/>
  <c r="P469" i="12"/>
  <c r="P181" i="12"/>
  <c r="P649" i="12"/>
  <c r="P541" i="12"/>
  <c r="P325" i="12"/>
  <c r="P433" i="12"/>
  <c r="P361" i="12"/>
  <c r="P253" i="12"/>
  <c r="P542" i="12"/>
  <c r="P543" i="12"/>
  <c r="P544" i="12"/>
  <c r="P545" i="12"/>
  <c r="P546" i="12"/>
  <c r="P547" i="12"/>
  <c r="P548" i="12"/>
  <c r="P549" i="12"/>
  <c r="P550" i="12"/>
  <c r="P551" i="12"/>
  <c r="P552" i="12"/>
  <c r="P553" i="12"/>
  <c r="P554" i="12"/>
  <c r="P555" i="12"/>
  <c r="P556" i="12"/>
  <c r="P557" i="12"/>
  <c r="P558" i="12"/>
  <c r="P559" i="12"/>
  <c r="P560" i="12"/>
  <c r="P561" i="12"/>
  <c r="P562" i="12"/>
  <c r="P563" i="12"/>
  <c r="P564" i="12"/>
  <c r="P565" i="12"/>
  <c r="P566" i="12"/>
  <c r="P567" i="12"/>
  <c r="P568" i="12"/>
  <c r="P569" i="12"/>
  <c r="P570" i="12"/>
  <c r="P571" i="12"/>
  <c r="P572" i="12"/>
  <c r="P573" i="12"/>
  <c r="P574" i="12"/>
  <c r="P575" i="12"/>
  <c r="P576" i="12"/>
  <c r="P577" i="12"/>
  <c r="P578" i="12"/>
  <c r="P579" i="12"/>
  <c r="P580" i="12"/>
  <c r="P581" i="12"/>
  <c r="P582" i="12"/>
  <c r="P583" i="12"/>
  <c r="P584" i="12"/>
  <c r="P585" i="12"/>
  <c r="P586" i="12"/>
  <c r="P587" i="12"/>
  <c r="P588" i="12"/>
  <c r="P589" i="12"/>
  <c r="P590" i="12"/>
  <c r="P591" i="12"/>
  <c r="P592" i="12"/>
  <c r="P593" i="12"/>
  <c r="P594" i="12"/>
  <c r="P595" i="12"/>
  <c r="P596" i="12"/>
  <c r="P597" i="12"/>
  <c r="P598" i="12"/>
  <c r="P599" i="12"/>
  <c r="P600" i="12"/>
  <c r="P601" i="12"/>
  <c r="P602" i="12"/>
  <c r="P603" i="12"/>
  <c r="P604" i="12"/>
  <c r="P605" i="12"/>
  <c r="P606" i="12"/>
  <c r="P607" i="12"/>
  <c r="P608" i="12"/>
  <c r="P609" i="12"/>
  <c r="P610" i="12"/>
  <c r="P611" i="12"/>
  <c r="P612" i="12"/>
  <c r="P613" i="12"/>
  <c r="P2090" i="12"/>
  <c r="P2234" i="12"/>
  <c r="P2126" i="12"/>
  <c r="P1874" i="12"/>
  <c r="P2054" i="12"/>
  <c r="P2198" i="12"/>
  <c r="P1982" i="12"/>
  <c r="P1838" i="12"/>
  <c r="P1946" i="12"/>
  <c r="P1910" i="12"/>
  <c r="P1802" i="12"/>
  <c r="P2018" i="12"/>
  <c r="P2162" i="12"/>
  <c r="P2091" i="12"/>
  <c r="P2235" i="12"/>
  <c r="P2127" i="12"/>
  <c r="P1875" i="12"/>
  <c r="P2055" i="12"/>
  <c r="P2199" i="12"/>
  <c r="P1983" i="12"/>
  <c r="P1839" i="12"/>
  <c r="P1947" i="12"/>
  <c r="P1911" i="12"/>
  <c r="P1803" i="12"/>
  <c r="P2019" i="12"/>
  <c r="P2163" i="12"/>
  <c r="P2092" i="12"/>
  <c r="P2236" i="12"/>
  <c r="P2128" i="12"/>
  <c r="P1876" i="12"/>
  <c r="P2056" i="12"/>
  <c r="P2200" i="12"/>
  <c r="P1984" i="12"/>
  <c r="P1840" i="12"/>
  <c r="P1948" i="12"/>
  <c r="P1912" i="12"/>
  <c r="P1804" i="12"/>
  <c r="P2020" i="12"/>
  <c r="P2164" i="12"/>
  <c r="P2093" i="12"/>
  <c r="P2237" i="12"/>
  <c r="P2129" i="12"/>
  <c r="P1877" i="12"/>
  <c r="P2057" i="12"/>
  <c r="P2201" i="12"/>
  <c r="P1985" i="12"/>
  <c r="P1841" i="12"/>
  <c r="P1949" i="12"/>
  <c r="P1913" i="12"/>
  <c r="P1805" i="12"/>
  <c r="P2021" i="12"/>
  <c r="P2165" i="12"/>
  <c r="P2094" i="12"/>
  <c r="P2238" i="12"/>
  <c r="P2130" i="12"/>
  <c r="P1878" i="12"/>
  <c r="P2058" i="12"/>
  <c r="P2202" i="12"/>
  <c r="P1986" i="12"/>
  <c r="P1842" i="12"/>
  <c r="P1950" i="12"/>
  <c r="P1914" i="12"/>
  <c r="P1806" i="12"/>
  <c r="P2022" i="12"/>
  <c r="P2166" i="12"/>
  <c r="P2095" i="12"/>
  <c r="P2239" i="12"/>
  <c r="P2131" i="12"/>
  <c r="P1879" i="12"/>
  <c r="P2059" i="12"/>
  <c r="P2203" i="12"/>
  <c r="P1987" i="12"/>
  <c r="P1843" i="12"/>
  <c r="P1951" i="12"/>
  <c r="P1915" i="12"/>
  <c r="P1807" i="12"/>
  <c r="P2023" i="12"/>
  <c r="P2167" i="12"/>
  <c r="P2096" i="12"/>
  <c r="P2240" i="12"/>
  <c r="P2132" i="12"/>
  <c r="P1880" i="12"/>
  <c r="P2060" i="12"/>
  <c r="P2204" i="12"/>
  <c r="P1988" i="12"/>
  <c r="P1844" i="12"/>
  <c r="P1952" i="12"/>
  <c r="P1916" i="12"/>
  <c r="P1808" i="12"/>
  <c r="P2024" i="12"/>
  <c r="P2168" i="12"/>
  <c r="P2097" i="12"/>
  <c r="P2241" i="12"/>
  <c r="P2133" i="12"/>
  <c r="P1881" i="12"/>
  <c r="P2061" i="12"/>
  <c r="P2205" i="12"/>
  <c r="P1989" i="12"/>
  <c r="P1845" i="12"/>
  <c r="P1953" i="12"/>
  <c r="P1917" i="12"/>
  <c r="P1809" i="12"/>
  <c r="P2025" i="12"/>
  <c r="P2169" i="12"/>
  <c r="P2098" i="12"/>
  <c r="P2242" i="12"/>
  <c r="P2134" i="12"/>
  <c r="P1882" i="12"/>
  <c r="P2062" i="12"/>
  <c r="P2206" i="12"/>
  <c r="P1990" i="12"/>
  <c r="P1846" i="12"/>
  <c r="P1954" i="12"/>
  <c r="P1918" i="12"/>
  <c r="P1810" i="12"/>
  <c r="P2026" i="12"/>
  <c r="P2170" i="12"/>
  <c r="P2099" i="12"/>
  <c r="P2243" i="12"/>
  <c r="P2135" i="12"/>
  <c r="P1883" i="12"/>
  <c r="P2063" i="12"/>
  <c r="P2207" i="12"/>
  <c r="P1991" i="12"/>
  <c r="P1847" i="12"/>
  <c r="P1955" i="12"/>
  <c r="P1919" i="12"/>
  <c r="P1811" i="12"/>
  <c r="P2027" i="12"/>
  <c r="P2171" i="12"/>
  <c r="P2100" i="12"/>
  <c r="P2244" i="12"/>
  <c r="P2136" i="12"/>
  <c r="P1884" i="12"/>
  <c r="P2064" i="12"/>
  <c r="P2208" i="12"/>
  <c r="P1992" i="12"/>
  <c r="P1848" i="12"/>
  <c r="P1956" i="12"/>
  <c r="P1920" i="12"/>
  <c r="P1812" i="12"/>
  <c r="P2028" i="12"/>
  <c r="P2172" i="12"/>
  <c r="P2101" i="12"/>
  <c r="P2245" i="12"/>
  <c r="P2137" i="12"/>
  <c r="P1885" i="12"/>
  <c r="P2065" i="12"/>
  <c r="P2209" i="12"/>
  <c r="P1993" i="12"/>
  <c r="P1849" i="12"/>
  <c r="P1957" i="12"/>
  <c r="P1921" i="12"/>
  <c r="P1813" i="12"/>
  <c r="P2029" i="12"/>
  <c r="P2173" i="12"/>
  <c r="P2102" i="12"/>
  <c r="P2246" i="12"/>
  <c r="P2138" i="12"/>
  <c r="P1886" i="12"/>
  <c r="P2066" i="12"/>
  <c r="P2210" i="12"/>
  <c r="P1994" i="12"/>
  <c r="P1850" i="12"/>
  <c r="P1958" i="12"/>
  <c r="P1922" i="12"/>
  <c r="P1814" i="12"/>
  <c r="P2030" i="12"/>
  <c r="P2174" i="12"/>
  <c r="P2103" i="12"/>
  <c r="P2247" i="12"/>
  <c r="P2139" i="12"/>
  <c r="P1887" i="12"/>
  <c r="P2067" i="12"/>
  <c r="P2211" i="12"/>
  <c r="P1995" i="12"/>
  <c r="P1851" i="12"/>
  <c r="P1959" i="12"/>
  <c r="P1923" i="12"/>
  <c r="P1815" i="12"/>
  <c r="P2031" i="12"/>
  <c r="P2175" i="12"/>
  <c r="P2104" i="12"/>
  <c r="P2248" i="12"/>
  <c r="P2140" i="12"/>
  <c r="P1888" i="12"/>
  <c r="P2068" i="12"/>
  <c r="P2212" i="12"/>
  <c r="P1996" i="12"/>
  <c r="P1852" i="12"/>
  <c r="P1960" i="12"/>
  <c r="P1924" i="12"/>
  <c r="P1816" i="12"/>
  <c r="P2032" i="12"/>
  <c r="P2176" i="12"/>
  <c r="P2105" i="12"/>
  <c r="P2249" i="12"/>
  <c r="P2141" i="12"/>
  <c r="P1889" i="12"/>
  <c r="P2069" i="12"/>
  <c r="P2213" i="12"/>
  <c r="P1997" i="12"/>
  <c r="P1853" i="12"/>
  <c r="P1961" i="12"/>
  <c r="P1925" i="12"/>
  <c r="P1817" i="12"/>
  <c r="P2033" i="12"/>
  <c r="P2177" i="12"/>
  <c r="P2106" i="12"/>
  <c r="P2250" i="12"/>
  <c r="P2142" i="12"/>
  <c r="P1890" i="12"/>
  <c r="P2070" i="12"/>
  <c r="P2214" i="12"/>
  <c r="P1998" i="12"/>
  <c r="P1854" i="12"/>
  <c r="P1962" i="12"/>
  <c r="P1926" i="12"/>
  <c r="P1818" i="12"/>
  <c r="P2034" i="12"/>
  <c r="P2178" i="12"/>
  <c r="P2107" i="12"/>
  <c r="P2251" i="12"/>
  <c r="P2143" i="12"/>
  <c r="P1891" i="12"/>
  <c r="P2071" i="12"/>
  <c r="P2215" i="12"/>
  <c r="P1999" i="12"/>
  <c r="P1855" i="12"/>
  <c r="P1963" i="12"/>
  <c r="P1927" i="12"/>
  <c r="P1819" i="12"/>
  <c r="P2035" i="12"/>
  <c r="P2179" i="12"/>
  <c r="P2108" i="12"/>
  <c r="P2252" i="12"/>
  <c r="P2144" i="12"/>
  <c r="P1892" i="12"/>
  <c r="P2072" i="12"/>
  <c r="P2216" i="12"/>
  <c r="P2000" i="12"/>
  <c r="P1856" i="12"/>
  <c r="P1964" i="12"/>
  <c r="P1928" i="12"/>
  <c r="P1820" i="12"/>
  <c r="P2036" i="12"/>
  <c r="P2180" i="12"/>
  <c r="P2109" i="12"/>
  <c r="P2253" i="12"/>
  <c r="P2145" i="12"/>
  <c r="P1893" i="12"/>
  <c r="P2073" i="12"/>
  <c r="P2217" i="12"/>
  <c r="P2001" i="12"/>
  <c r="P1857" i="12"/>
  <c r="P1965" i="12"/>
  <c r="P1929" i="12"/>
  <c r="P1821" i="12"/>
  <c r="P2037" i="12"/>
  <c r="P2181" i="12"/>
  <c r="P2110" i="12"/>
  <c r="P2254" i="12"/>
  <c r="P2146" i="12"/>
  <c r="P1894" i="12"/>
  <c r="P2074" i="12"/>
  <c r="P2218" i="12"/>
  <c r="P2002" i="12"/>
  <c r="P1858" i="12"/>
  <c r="P1966" i="12"/>
  <c r="P1930" i="12"/>
  <c r="P1822" i="12"/>
  <c r="P2038" i="12"/>
  <c r="P2182" i="12"/>
  <c r="P2111" i="12"/>
  <c r="P2255" i="12"/>
  <c r="P2147" i="12"/>
  <c r="P1895" i="12"/>
  <c r="P2075" i="12"/>
  <c r="P2219" i="12"/>
  <c r="P2003" i="12"/>
  <c r="P1859" i="12"/>
  <c r="P1967" i="12"/>
  <c r="P1931" i="12"/>
  <c r="P1823" i="12"/>
  <c r="P2039" i="12"/>
  <c r="P2183" i="12"/>
  <c r="P2112" i="12"/>
  <c r="P2256" i="12"/>
  <c r="P2148" i="12"/>
  <c r="P1896" i="12"/>
  <c r="P2076" i="12"/>
  <c r="P2220" i="12"/>
  <c r="P2004" i="12"/>
  <c r="P1860" i="12"/>
  <c r="P1968" i="12"/>
  <c r="P1932" i="12"/>
  <c r="P1824" i="12"/>
  <c r="P2040" i="12"/>
  <c r="P2184" i="12"/>
  <c r="P2113" i="12"/>
  <c r="P2257" i="12"/>
  <c r="P2149" i="12"/>
  <c r="P1897" i="12"/>
  <c r="P2077" i="12"/>
  <c r="P2221" i="12"/>
  <c r="P2005" i="12"/>
  <c r="P1861" i="12"/>
  <c r="P1969" i="12"/>
  <c r="P1933" i="12"/>
  <c r="P1825" i="12"/>
  <c r="P2041" i="12"/>
  <c r="P2185" i="12"/>
  <c r="P2114" i="12"/>
  <c r="P2258" i="12"/>
  <c r="P2150" i="12"/>
  <c r="P1898" i="12"/>
  <c r="P2078" i="12"/>
  <c r="P2222" i="12"/>
  <c r="P2006" i="12"/>
  <c r="P1862" i="12"/>
  <c r="P1970" i="12"/>
  <c r="P1934" i="12"/>
  <c r="P1826" i="12"/>
  <c r="P2042" i="12"/>
  <c r="P2186" i="12"/>
  <c r="P2115" i="12"/>
  <c r="P2259" i="12"/>
  <c r="P2151" i="12"/>
  <c r="P1899" i="12"/>
  <c r="P2079" i="12"/>
  <c r="P2223" i="12"/>
  <c r="P2007" i="12"/>
  <c r="P1863" i="12"/>
  <c r="P1971" i="12"/>
  <c r="P1935" i="12"/>
  <c r="P1827" i="12"/>
  <c r="P2043" i="12"/>
  <c r="P2187" i="12"/>
  <c r="P2116" i="12"/>
  <c r="P2260" i="12"/>
  <c r="P2152" i="12"/>
  <c r="P1900" i="12"/>
  <c r="P2080" i="12"/>
  <c r="P2224" i="12"/>
  <c r="P2008" i="12"/>
  <c r="P1864" i="12"/>
  <c r="P1972" i="12"/>
  <c r="P1936" i="12"/>
  <c r="P1828" i="12"/>
  <c r="P2044" i="12"/>
  <c r="P2188" i="12"/>
  <c r="P2117" i="12"/>
  <c r="P2261" i="12"/>
  <c r="P2153" i="12"/>
  <c r="P1901" i="12"/>
  <c r="P2081" i="12"/>
  <c r="P2225" i="12"/>
  <c r="P2009" i="12"/>
  <c r="P1865" i="12"/>
  <c r="P1973" i="12"/>
  <c r="P1937" i="12"/>
  <c r="P1829" i="12"/>
  <c r="P2045" i="12"/>
  <c r="P2189" i="12"/>
  <c r="P2118" i="12"/>
  <c r="P2262" i="12"/>
  <c r="P2154" i="12"/>
  <c r="P1902" i="12"/>
  <c r="P2082" i="12"/>
  <c r="P2226" i="12"/>
  <c r="P2010" i="12"/>
  <c r="P1866" i="12"/>
  <c r="P1974" i="12"/>
  <c r="P1938" i="12"/>
  <c r="P1830" i="12"/>
  <c r="P2046" i="12"/>
  <c r="P2190" i="12"/>
  <c r="P2119" i="12"/>
  <c r="P2263" i="12"/>
  <c r="P2155" i="12"/>
  <c r="P1903" i="12"/>
  <c r="P2083" i="12"/>
  <c r="P2227" i="12"/>
  <c r="P2011" i="12"/>
  <c r="P1867" i="12"/>
  <c r="P1975" i="12"/>
  <c r="P1939" i="12"/>
  <c r="P1831" i="12"/>
  <c r="P2047" i="12"/>
  <c r="P2191" i="12"/>
  <c r="P2120" i="12"/>
  <c r="P2264" i="12"/>
  <c r="P2156" i="12"/>
  <c r="P1904" i="12"/>
  <c r="P2084" i="12"/>
  <c r="P2228" i="12"/>
  <c r="P2012" i="12"/>
  <c r="P1868" i="12"/>
  <c r="P1976" i="12"/>
  <c r="P1940" i="12"/>
  <c r="P1832" i="12"/>
  <c r="P2048" i="12"/>
  <c r="P2192" i="12"/>
  <c r="P2121" i="12"/>
  <c r="P2265" i="12"/>
  <c r="P2157" i="12"/>
  <c r="P1905" i="12"/>
  <c r="P2085" i="12"/>
  <c r="P2229" i="12"/>
  <c r="P2013" i="12"/>
  <c r="P1869" i="12"/>
  <c r="P1977" i="12"/>
  <c r="P1941" i="12"/>
  <c r="P1833" i="12"/>
  <c r="P2049" i="12"/>
  <c r="P2193" i="12"/>
  <c r="P2122" i="12"/>
  <c r="P2266" i="12"/>
  <c r="P2158" i="12"/>
  <c r="P1906" i="12"/>
  <c r="P2086" i="12"/>
  <c r="P2230" i="12"/>
  <c r="P2014" i="12"/>
  <c r="P1870" i="12"/>
  <c r="P1978" i="12"/>
  <c r="P1942" i="12"/>
  <c r="P1834" i="12"/>
  <c r="P2050" i="12"/>
  <c r="P2194" i="12"/>
  <c r="P2123" i="12"/>
  <c r="P2267" i="12"/>
  <c r="P2159" i="12"/>
  <c r="P1907" i="12"/>
  <c r="P2087" i="12"/>
  <c r="P2231" i="12"/>
  <c r="P2015" i="12"/>
  <c r="P1871" i="12"/>
  <c r="P1979" i="12"/>
  <c r="P1943" i="12"/>
  <c r="P1835" i="12"/>
  <c r="P2051" i="12"/>
  <c r="P2195" i="12"/>
  <c r="P2124" i="12"/>
  <c r="P2268" i="12"/>
  <c r="P2160" i="12"/>
  <c r="P1908" i="12"/>
  <c r="P2088" i="12"/>
  <c r="P2232" i="12"/>
  <c r="P2016" i="12"/>
  <c r="P1872" i="12"/>
  <c r="P1980" i="12"/>
  <c r="P1944" i="12"/>
  <c r="P1836" i="12"/>
  <c r="P2052" i="12"/>
  <c r="P2196" i="12"/>
  <c r="P2125" i="12"/>
  <c r="P2269" i="12"/>
  <c r="P2161" i="12"/>
  <c r="P1909" i="12"/>
  <c r="P2089" i="12"/>
  <c r="P2233" i="12"/>
  <c r="P2017" i="12"/>
  <c r="P1873" i="12"/>
  <c r="P1981" i="12"/>
  <c r="P1945" i="12"/>
  <c r="P1837" i="12"/>
  <c r="P2053" i="12"/>
  <c r="P2197" i="12"/>
  <c r="P2" i="12"/>
  <c r="P74" i="12"/>
  <c r="P3" i="12"/>
  <c r="P75" i="12"/>
  <c r="P4" i="12"/>
  <c r="P76" i="12"/>
  <c r="P5" i="12"/>
  <c r="P77" i="12"/>
  <c r="P6" i="12"/>
  <c r="P78" i="12"/>
  <c r="P7" i="12"/>
  <c r="P79" i="12"/>
  <c r="P8" i="12"/>
  <c r="P80" i="12"/>
  <c r="P9" i="12"/>
  <c r="P81" i="12"/>
  <c r="P10" i="12"/>
  <c r="P82" i="12"/>
  <c r="P11" i="12"/>
  <c r="P83" i="12"/>
  <c r="P12" i="12"/>
  <c r="P84" i="12"/>
  <c r="P13" i="12"/>
  <c r="P85" i="12"/>
  <c r="P14" i="12"/>
  <c r="P86" i="12"/>
  <c r="P15" i="12"/>
  <c r="P87" i="12"/>
  <c r="P16" i="12"/>
  <c r="P88" i="12"/>
  <c r="P17" i="12"/>
  <c r="P89" i="12"/>
  <c r="P18" i="12"/>
  <c r="P90" i="12"/>
  <c r="P19" i="12"/>
  <c r="P91" i="12"/>
  <c r="P20" i="12"/>
  <c r="P92" i="12"/>
  <c r="P21" i="12"/>
  <c r="P93" i="12"/>
  <c r="P22" i="12"/>
  <c r="P94" i="12"/>
  <c r="P23" i="12"/>
  <c r="P95" i="12"/>
  <c r="P24" i="12"/>
  <c r="P96" i="12"/>
  <c r="P25" i="12"/>
  <c r="P97" i="12"/>
  <c r="P26" i="12"/>
  <c r="P98" i="12"/>
  <c r="P27" i="12"/>
  <c r="P99" i="12"/>
  <c r="P28" i="12"/>
  <c r="P100" i="12"/>
  <c r="P29" i="12"/>
  <c r="P101" i="12"/>
  <c r="P30" i="12"/>
  <c r="P102" i="12"/>
  <c r="P31" i="12"/>
  <c r="P103" i="12"/>
  <c r="P32" i="12"/>
  <c r="P104" i="12"/>
  <c r="P33" i="12"/>
  <c r="P105" i="12"/>
  <c r="P34" i="12"/>
  <c r="P106" i="12"/>
  <c r="P35" i="12"/>
  <c r="P107" i="12"/>
  <c r="P36" i="12"/>
  <c r="P108" i="12"/>
  <c r="P37" i="12"/>
  <c r="P109" i="12"/>
  <c r="O1226" i="12"/>
  <c r="O1082" i="12"/>
  <c r="O1334" i="12"/>
  <c r="O1370" i="12"/>
  <c r="O830" i="12"/>
  <c r="O38" i="12"/>
  <c r="O1478" i="12"/>
  <c r="O1586" i="12"/>
  <c r="O722" i="12"/>
  <c r="O1298" i="12"/>
  <c r="O1010" i="12"/>
  <c r="O974" i="12"/>
  <c r="O1046" i="12"/>
  <c r="O1622" i="12"/>
  <c r="O938" i="12"/>
  <c r="O686" i="12"/>
  <c r="O1154" i="12"/>
  <c r="O1730" i="12"/>
  <c r="O1550" i="12"/>
  <c r="O1694" i="12"/>
  <c r="O902" i="12"/>
  <c r="O866" i="12"/>
  <c r="O1406" i="12"/>
  <c r="O1118" i="12"/>
  <c r="O650" i="12"/>
  <c r="O1442" i="12"/>
  <c r="O1262" i="12"/>
  <c r="O1514" i="12"/>
  <c r="O794" i="12"/>
  <c r="O758" i="12"/>
  <c r="O1766" i="12"/>
  <c r="O1658" i="12"/>
  <c r="O1191" i="12"/>
  <c r="O1227" i="12"/>
  <c r="O1083" i="12"/>
  <c r="O1335" i="12"/>
  <c r="O1371" i="12"/>
  <c r="O831" i="12"/>
  <c r="O39" i="12"/>
  <c r="O1479" i="12"/>
  <c r="O1587" i="12"/>
  <c r="O723" i="12"/>
  <c r="O1299" i="12"/>
  <c r="O1011" i="12"/>
  <c r="O975" i="12"/>
  <c r="O1047" i="12"/>
  <c r="O1623" i="12"/>
  <c r="O939" i="12"/>
  <c r="O687" i="12"/>
  <c r="O1155" i="12"/>
  <c r="O1731" i="12"/>
  <c r="O1551" i="12"/>
  <c r="O1695" i="12"/>
  <c r="O903" i="12"/>
  <c r="O867" i="12"/>
  <c r="O1407" i="12"/>
  <c r="O1119" i="12"/>
  <c r="O651" i="12"/>
  <c r="O1443" i="12"/>
  <c r="O1263" i="12"/>
  <c r="O1515" i="12"/>
  <c r="O795" i="12"/>
  <c r="O759" i="12"/>
  <c r="O1767" i="12"/>
  <c r="O1659" i="12"/>
  <c r="O1192" i="12"/>
  <c r="O1228" i="12"/>
  <c r="O1084" i="12"/>
  <c r="O1336" i="12"/>
  <c r="O1372" i="12"/>
  <c r="O832" i="12"/>
  <c r="O40" i="12"/>
  <c r="O1480" i="12"/>
  <c r="O1588" i="12"/>
  <c r="O724" i="12"/>
  <c r="O1300" i="12"/>
  <c r="O1012" i="12"/>
  <c r="O976" i="12"/>
  <c r="O1048" i="12"/>
  <c r="O1624" i="12"/>
  <c r="O940" i="12"/>
  <c r="O688" i="12"/>
  <c r="O1156" i="12"/>
  <c r="O1732" i="12"/>
  <c r="O1552" i="12"/>
  <c r="O1696" i="12"/>
  <c r="O904" i="12"/>
  <c r="O868" i="12"/>
  <c r="O1408" i="12"/>
  <c r="O1120" i="12"/>
  <c r="O652" i="12"/>
  <c r="O1444" i="12"/>
  <c r="O1264" i="12"/>
  <c r="O1516" i="12"/>
  <c r="O796" i="12"/>
  <c r="O760" i="12"/>
  <c r="O1768" i="12"/>
  <c r="O1660" i="12"/>
  <c r="O1193" i="12"/>
  <c r="O1229" i="12"/>
  <c r="O1085" i="12"/>
  <c r="O1337" i="12"/>
  <c r="O1373" i="12"/>
  <c r="O833" i="12"/>
  <c r="O41" i="12"/>
  <c r="O1481" i="12"/>
  <c r="O1589" i="12"/>
  <c r="O725" i="12"/>
  <c r="O1301" i="12"/>
  <c r="O1013" i="12"/>
  <c r="O977" i="12"/>
  <c r="O1049" i="12"/>
  <c r="O1625" i="12"/>
  <c r="O941" i="12"/>
  <c r="O689" i="12"/>
  <c r="O1157" i="12"/>
  <c r="O1733" i="12"/>
  <c r="O1553" i="12"/>
  <c r="O1697" i="12"/>
  <c r="O905" i="12"/>
  <c r="O869" i="12"/>
  <c r="O1409" i="12"/>
  <c r="O1121" i="12"/>
  <c r="O653" i="12"/>
  <c r="O1445" i="12"/>
  <c r="O1265" i="12"/>
  <c r="O1517" i="12"/>
  <c r="O797" i="12"/>
  <c r="O761" i="12"/>
  <c r="O1769" i="12"/>
  <c r="O1661" i="12"/>
  <c r="O1194" i="12"/>
  <c r="O1230" i="12"/>
  <c r="O1086" i="12"/>
  <c r="O1338" i="12"/>
  <c r="O1374" i="12"/>
  <c r="O834" i="12"/>
  <c r="O42" i="12"/>
  <c r="O1482" i="12"/>
  <c r="O1590" i="12"/>
  <c r="O726" i="12"/>
  <c r="O1302" i="12"/>
  <c r="O1014" i="12"/>
  <c r="O978" i="12"/>
  <c r="O1050" i="12"/>
  <c r="O1626" i="12"/>
  <c r="O942" i="12"/>
  <c r="O690" i="12"/>
  <c r="O1158" i="12"/>
  <c r="O1734" i="12"/>
  <c r="O1554" i="12"/>
  <c r="O1698" i="12"/>
  <c r="O906" i="12"/>
  <c r="O870" i="12"/>
  <c r="O1410" i="12"/>
  <c r="O1122" i="12"/>
  <c r="O654" i="12"/>
  <c r="O1446" i="12"/>
  <c r="O1266" i="12"/>
  <c r="O1518" i="12"/>
  <c r="O798" i="12"/>
  <c r="O762" i="12"/>
  <c r="O1770" i="12"/>
  <c r="O1662" i="12"/>
  <c r="O1195" i="12"/>
  <c r="O1231" i="12"/>
  <c r="O1087" i="12"/>
  <c r="O1339" i="12"/>
  <c r="O1375" i="12"/>
  <c r="O835" i="12"/>
  <c r="O43" i="12"/>
  <c r="O1483" i="12"/>
  <c r="O1591" i="12"/>
  <c r="O727" i="12"/>
  <c r="O1303" i="12"/>
  <c r="O1015" i="12"/>
  <c r="O979" i="12"/>
  <c r="O1051" i="12"/>
  <c r="O1627" i="12"/>
  <c r="O943" i="12"/>
  <c r="O691" i="12"/>
  <c r="O1159" i="12"/>
  <c r="O1735" i="12"/>
  <c r="O1555" i="12"/>
  <c r="O1699" i="12"/>
  <c r="O907" i="12"/>
  <c r="O871" i="12"/>
  <c r="O1411" i="12"/>
  <c r="O1123" i="12"/>
  <c r="O655" i="12"/>
  <c r="O1447" i="12"/>
  <c r="O1267" i="12"/>
  <c r="O1519" i="12"/>
  <c r="O799" i="12"/>
  <c r="O763" i="12"/>
  <c r="O1771" i="12"/>
  <c r="O1663" i="12"/>
  <c r="O1196" i="12"/>
  <c r="O1232" i="12"/>
  <c r="O1088" i="12"/>
  <c r="O1340" i="12"/>
  <c r="O1376" i="12"/>
  <c r="O836" i="12"/>
  <c r="O44" i="12"/>
  <c r="O1484" i="12"/>
  <c r="O1592" i="12"/>
  <c r="O728" i="12"/>
  <c r="O1304" i="12"/>
  <c r="O1016" i="12"/>
  <c r="O980" i="12"/>
  <c r="O1052" i="12"/>
  <c r="O1628" i="12"/>
  <c r="O944" i="12"/>
  <c r="O692" i="12"/>
  <c r="O1160" i="12"/>
  <c r="O1736" i="12"/>
  <c r="O1556" i="12"/>
  <c r="O1700" i="12"/>
  <c r="O908" i="12"/>
  <c r="O872" i="12"/>
  <c r="O1412" i="12"/>
  <c r="O1124" i="12"/>
  <c r="O656" i="12"/>
  <c r="O1448" i="12"/>
  <c r="O1268" i="12"/>
  <c r="O1520" i="12"/>
  <c r="O800" i="12"/>
  <c r="O764" i="12"/>
  <c r="O1772" i="12"/>
  <c r="O1664" i="12"/>
  <c r="O1197" i="12"/>
  <c r="O1233" i="12"/>
  <c r="O1089" i="12"/>
  <c r="O1341" i="12"/>
  <c r="O1377" i="12"/>
  <c r="O837" i="12"/>
  <c r="O45" i="12"/>
  <c r="O1485" i="12"/>
  <c r="O1593" i="12"/>
  <c r="O729" i="12"/>
  <c r="O1305" i="12"/>
  <c r="O1017" i="12"/>
  <c r="O981" i="12"/>
  <c r="O1053" i="12"/>
  <c r="O1629" i="12"/>
  <c r="O945" i="12"/>
  <c r="O693" i="12"/>
  <c r="O1161" i="12"/>
  <c r="O1737" i="12"/>
  <c r="O1557" i="12"/>
  <c r="O1701" i="12"/>
  <c r="O909" i="12"/>
  <c r="O873" i="12"/>
  <c r="O1413" i="12"/>
  <c r="O1125" i="12"/>
  <c r="O657" i="12"/>
  <c r="O1449" i="12"/>
  <c r="O1269" i="12"/>
  <c r="O1521" i="12"/>
  <c r="O801" i="12"/>
  <c r="O765" i="12"/>
  <c r="O1773" i="12"/>
  <c r="O1665" i="12"/>
  <c r="O1198" i="12"/>
  <c r="O1234" i="12"/>
  <c r="O1090" i="12"/>
  <c r="O1342" i="12"/>
  <c r="O1378" i="12"/>
  <c r="O838" i="12"/>
  <c r="O46" i="12"/>
  <c r="O1486" i="12"/>
  <c r="O1594" i="12"/>
  <c r="O730" i="12"/>
  <c r="O1306" i="12"/>
  <c r="O1018" i="12"/>
  <c r="O982" i="12"/>
  <c r="O1054" i="12"/>
  <c r="O1630" i="12"/>
  <c r="O946" i="12"/>
  <c r="O694" i="12"/>
  <c r="O1162" i="12"/>
  <c r="O1738" i="12"/>
  <c r="O1558" i="12"/>
  <c r="O1702" i="12"/>
  <c r="O910" i="12"/>
  <c r="O874" i="12"/>
  <c r="O1414" i="12"/>
  <c r="O1126" i="12"/>
  <c r="O658" i="12"/>
  <c r="O1450" i="12"/>
  <c r="O1270" i="12"/>
  <c r="O1522" i="12"/>
  <c r="O802" i="12"/>
  <c r="O766" i="12"/>
  <c r="O1774" i="12"/>
  <c r="O1666" i="12"/>
  <c r="O1199" i="12"/>
  <c r="O1235" i="12"/>
  <c r="O1091" i="12"/>
  <c r="O1343" i="12"/>
  <c r="O1379" i="12"/>
  <c r="O839" i="12"/>
  <c r="O47" i="12"/>
  <c r="O1487" i="12"/>
  <c r="O1595" i="12"/>
  <c r="O731" i="12"/>
  <c r="O1307" i="12"/>
  <c r="O1019" i="12"/>
  <c r="O983" i="12"/>
  <c r="O1055" i="12"/>
  <c r="O1631" i="12"/>
  <c r="O947" i="12"/>
  <c r="O695" i="12"/>
  <c r="O1163" i="12"/>
  <c r="O1739" i="12"/>
  <c r="O1559" i="12"/>
  <c r="O1703" i="12"/>
  <c r="O911" i="12"/>
  <c r="O875" i="12"/>
  <c r="O1415" i="12"/>
  <c r="O1127" i="12"/>
  <c r="O659" i="12"/>
  <c r="O1451" i="12"/>
  <c r="O1271" i="12"/>
  <c r="O1523" i="12"/>
  <c r="O803" i="12"/>
  <c r="O767" i="12"/>
  <c r="O1775" i="12"/>
  <c r="O1667" i="12"/>
  <c r="O1200" i="12"/>
  <c r="O1236" i="12"/>
  <c r="O1092" i="12"/>
  <c r="O1344" i="12"/>
  <c r="O1380" i="12"/>
  <c r="O840" i="12"/>
  <c r="O48" i="12"/>
  <c r="O1488" i="12"/>
  <c r="O1596" i="12"/>
  <c r="O732" i="12"/>
  <c r="O1308" i="12"/>
  <c r="O1020" i="12"/>
  <c r="O984" i="12"/>
  <c r="O1056" i="12"/>
  <c r="O1632" i="12"/>
  <c r="O948" i="12"/>
  <c r="O696" i="12"/>
  <c r="O1164" i="12"/>
  <c r="O1740" i="12"/>
  <c r="O1560" i="12"/>
  <c r="O1704" i="12"/>
  <c r="O912" i="12"/>
  <c r="O876" i="12"/>
  <c r="O1416" i="12"/>
  <c r="O1128" i="12"/>
  <c r="O660" i="12"/>
  <c r="O1452" i="12"/>
  <c r="O1272" i="12"/>
  <c r="O1524" i="12"/>
  <c r="O804" i="12"/>
  <c r="O768" i="12"/>
  <c r="O1776" i="12"/>
  <c r="O1668" i="12"/>
  <c r="O1201" i="12"/>
  <c r="O1237" i="12"/>
  <c r="O1093" i="12"/>
  <c r="O1345" i="12"/>
  <c r="O1381" i="12"/>
  <c r="O841" i="12"/>
  <c r="O49" i="12"/>
  <c r="O1489" i="12"/>
  <c r="O1597" i="12"/>
  <c r="O733" i="12"/>
  <c r="O1309" i="12"/>
  <c r="O1021" i="12"/>
  <c r="O985" i="12"/>
  <c r="O1057" i="12"/>
  <c r="O1633" i="12"/>
  <c r="O949" i="12"/>
  <c r="O697" i="12"/>
  <c r="O1165" i="12"/>
  <c r="O1741" i="12"/>
  <c r="O1561" i="12"/>
  <c r="O1705" i="12"/>
  <c r="O913" i="12"/>
  <c r="O877" i="12"/>
  <c r="O1417" i="12"/>
  <c r="O1129" i="12"/>
  <c r="O661" i="12"/>
  <c r="O1453" i="12"/>
  <c r="O1273" i="12"/>
  <c r="O1525" i="12"/>
  <c r="O805" i="12"/>
  <c r="O769" i="12"/>
  <c r="O1777" i="12"/>
  <c r="O1669" i="12"/>
  <c r="O1202" i="12"/>
  <c r="O1238" i="12"/>
  <c r="O1094" i="12"/>
  <c r="O1346" i="12"/>
  <c r="O1382" i="12"/>
  <c r="O842" i="12"/>
  <c r="O50" i="12"/>
  <c r="O1490" i="12"/>
  <c r="O1598" i="12"/>
  <c r="O734" i="12"/>
  <c r="O1310" i="12"/>
  <c r="O1022" i="12"/>
  <c r="O986" i="12"/>
  <c r="O1058" i="12"/>
  <c r="O1634" i="12"/>
  <c r="O950" i="12"/>
  <c r="O698" i="12"/>
  <c r="O1166" i="12"/>
  <c r="O1742" i="12"/>
  <c r="O1562" i="12"/>
  <c r="O1706" i="12"/>
  <c r="O914" i="12"/>
  <c r="O878" i="12"/>
  <c r="O1418" i="12"/>
  <c r="O1130" i="12"/>
  <c r="O662" i="12"/>
  <c r="O1454" i="12"/>
  <c r="O1274" i="12"/>
  <c r="O1526" i="12"/>
  <c r="O806" i="12"/>
  <c r="O770" i="12"/>
  <c r="O1778" i="12"/>
  <c r="O1670" i="12"/>
  <c r="O1203" i="12"/>
  <c r="O1239" i="12"/>
  <c r="O1095" i="12"/>
  <c r="O1347" i="12"/>
  <c r="O1383" i="12"/>
  <c r="O843" i="12"/>
  <c r="O51" i="12"/>
  <c r="O1491" i="12"/>
  <c r="O1599" i="12"/>
  <c r="O735" i="12"/>
  <c r="O1311" i="12"/>
  <c r="O1023" i="12"/>
  <c r="O987" i="12"/>
  <c r="O1059" i="12"/>
  <c r="O1635" i="12"/>
  <c r="O951" i="12"/>
  <c r="O699" i="12"/>
  <c r="O1167" i="12"/>
  <c r="O1743" i="12"/>
  <c r="O1563" i="12"/>
  <c r="O1707" i="12"/>
  <c r="O915" i="12"/>
  <c r="O879" i="12"/>
  <c r="O1419" i="12"/>
  <c r="O1131" i="12"/>
  <c r="O663" i="12"/>
  <c r="O1455" i="12"/>
  <c r="O1275" i="12"/>
  <c r="O1527" i="12"/>
  <c r="O807" i="12"/>
  <c r="O771" i="12"/>
  <c r="O1779" i="12"/>
  <c r="O1671" i="12"/>
  <c r="O1204" i="12"/>
  <c r="O1240" i="12"/>
  <c r="O1096" i="12"/>
  <c r="O1348" i="12"/>
  <c r="O1384" i="12"/>
  <c r="O844" i="12"/>
  <c r="O52" i="12"/>
  <c r="O1492" i="12"/>
  <c r="O1600" i="12"/>
  <c r="O736" i="12"/>
  <c r="O1312" i="12"/>
  <c r="O1024" i="12"/>
  <c r="O988" i="12"/>
  <c r="O1060" i="12"/>
  <c r="O1636" i="12"/>
  <c r="O952" i="12"/>
  <c r="O700" i="12"/>
  <c r="O1168" i="12"/>
  <c r="O1744" i="12"/>
  <c r="O1564" i="12"/>
  <c r="O1708" i="12"/>
  <c r="O916" i="12"/>
  <c r="O880" i="12"/>
  <c r="O1420" i="12"/>
  <c r="O1132" i="12"/>
  <c r="O664" i="12"/>
  <c r="O1456" i="12"/>
  <c r="O1276" i="12"/>
  <c r="O1528" i="12"/>
  <c r="O808" i="12"/>
  <c r="O772" i="12"/>
  <c r="O1780" i="12"/>
  <c r="O1672" i="12"/>
  <c r="O1205" i="12"/>
  <c r="O1241" i="12"/>
  <c r="O1097" i="12"/>
  <c r="O1349" i="12"/>
  <c r="O1385" i="12"/>
  <c r="O845" i="12"/>
  <c r="O53" i="12"/>
  <c r="O1493" i="12"/>
  <c r="O1601" i="12"/>
  <c r="O737" i="12"/>
  <c r="O1313" i="12"/>
  <c r="O1025" i="12"/>
  <c r="O989" i="12"/>
  <c r="O1061" i="12"/>
  <c r="O1637" i="12"/>
  <c r="O953" i="12"/>
  <c r="O701" i="12"/>
  <c r="O1169" i="12"/>
  <c r="O1745" i="12"/>
  <c r="O1565" i="12"/>
  <c r="O1709" i="12"/>
  <c r="O917" i="12"/>
  <c r="O881" i="12"/>
  <c r="O1421" i="12"/>
  <c r="O1133" i="12"/>
  <c r="O665" i="12"/>
  <c r="O1457" i="12"/>
  <c r="O1277" i="12"/>
  <c r="O1529" i="12"/>
  <c r="O809" i="12"/>
  <c r="O773" i="12"/>
  <c r="O1781" i="12"/>
  <c r="O1673" i="12"/>
  <c r="O1206" i="12"/>
  <c r="O1242" i="12"/>
  <c r="O1098" i="12"/>
  <c r="O1350" i="12"/>
  <c r="O1386" i="12"/>
  <c r="O846" i="12"/>
  <c r="O54" i="12"/>
  <c r="O1494" i="12"/>
  <c r="O1602" i="12"/>
  <c r="O738" i="12"/>
  <c r="O1314" i="12"/>
  <c r="O1026" i="12"/>
  <c r="O990" i="12"/>
  <c r="O1062" i="12"/>
  <c r="O1638" i="12"/>
  <c r="O954" i="12"/>
  <c r="O702" i="12"/>
  <c r="O1170" i="12"/>
  <c r="O1746" i="12"/>
  <c r="O1566" i="12"/>
  <c r="O1710" i="12"/>
  <c r="O918" i="12"/>
  <c r="O882" i="12"/>
  <c r="O1422" i="12"/>
  <c r="O1134" i="12"/>
  <c r="O666" i="12"/>
  <c r="O1458" i="12"/>
  <c r="O1278" i="12"/>
  <c r="O1530" i="12"/>
  <c r="O810" i="12"/>
  <c r="O774" i="12"/>
  <c r="O1782" i="12"/>
  <c r="O1674" i="12"/>
  <c r="O1207" i="12"/>
  <c r="O1243" i="12"/>
  <c r="O1099" i="12"/>
  <c r="O1351" i="12"/>
  <c r="O1387" i="12"/>
  <c r="O847" i="12"/>
  <c r="O55" i="12"/>
  <c r="O1495" i="12"/>
  <c r="O1603" i="12"/>
  <c r="O739" i="12"/>
  <c r="O1315" i="12"/>
  <c r="O1027" i="12"/>
  <c r="O991" i="12"/>
  <c r="O1063" i="12"/>
  <c r="O1639" i="12"/>
  <c r="O955" i="12"/>
  <c r="O703" i="12"/>
  <c r="O1171" i="12"/>
  <c r="O1747" i="12"/>
  <c r="O1567" i="12"/>
  <c r="O1711" i="12"/>
  <c r="O919" i="12"/>
  <c r="O883" i="12"/>
  <c r="O1423" i="12"/>
  <c r="O1135" i="12"/>
  <c r="O667" i="12"/>
  <c r="O1459" i="12"/>
  <c r="O1279" i="12"/>
  <c r="O1531" i="12"/>
  <c r="O811" i="12"/>
  <c r="O775" i="12"/>
  <c r="O1783" i="12"/>
  <c r="O1675" i="12"/>
  <c r="O1208" i="12"/>
  <c r="O1244" i="12"/>
  <c r="O1100" i="12"/>
  <c r="O1352" i="12"/>
  <c r="O1388" i="12"/>
  <c r="O848" i="12"/>
  <c r="O56" i="12"/>
  <c r="O1496" i="12"/>
  <c r="O1604" i="12"/>
  <c r="O740" i="12"/>
  <c r="O1316" i="12"/>
  <c r="O1028" i="12"/>
  <c r="O992" i="12"/>
  <c r="O1064" i="12"/>
  <c r="O1640" i="12"/>
  <c r="O956" i="12"/>
  <c r="O704" i="12"/>
  <c r="O1172" i="12"/>
  <c r="O1748" i="12"/>
  <c r="O1568" i="12"/>
  <c r="O1712" i="12"/>
  <c r="O920" i="12"/>
  <c r="O884" i="12"/>
  <c r="O1424" i="12"/>
  <c r="O1136" i="12"/>
  <c r="O668" i="12"/>
  <c r="O1460" i="12"/>
  <c r="O1280" i="12"/>
  <c r="O1532" i="12"/>
  <c r="O812" i="12"/>
  <c r="O776" i="12"/>
  <c r="O1784" i="12"/>
  <c r="O1676" i="12"/>
  <c r="O1209" i="12"/>
  <c r="O1245" i="12"/>
  <c r="O1101" i="12"/>
  <c r="O1353" i="12"/>
  <c r="O1389" i="12"/>
  <c r="O849" i="12"/>
  <c r="O57" i="12"/>
  <c r="O1497" i="12"/>
  <c r="O1605" i="12"/>
  <c r="O741" i="12"/>
  <c r="O1317" i="12"/>
  <c r="O1029" i="12"/>
  <c r="O993" i="12"/>
  <c r="O1065" i="12"/>
  <c r="O1641" i="12"/>
  <c r="O957" i="12"/>
  <c r="O705" i="12"/>
  <c r="O1173" i="12"/>
  <c r="O1749" i="12"/>
  <c r="O1569" i="12"/>
  <c r="O1713" i="12"/>
  <c r="O921" i="12"/>
  <c r="O885" i="12"/>
  <c r="O1425" i="12"/>
  <c r="O1137" i="12"/>
  <c r="O669" i="12"/>
  <c r="O1461" i="12"/>
  <c r="O1281" i="12"/>
  <c r="O1533" i="12"/>
  <c r="O813" i="12"/>
  <c r="O777" i="12"/>
  <c r="O1785" i="12"/>
  <c r="O1677" i="12"/>
  <c r="O1210" i="12"/>
  <c r="O1246" i="12"/>
  <c r="O1102" i="12"/>
  <c r="O1354" i="12"/>
  <c r="O1390" i="12"/>
  <c r="O850" i="12"/>
  <c r="O58" i="12"/>
  <c r="O1498" i="12"/>
  <c r="O1606" i="12"/>
  <c r="O742" i="12"/>
  <c r="O1318" i="12"/>
  <c r="O1030" i="12"/>
  <c r="O994" i="12"/>
  <c r="O1066" i="12"/>
  <c r="O1642" i="12"/>
  <c r="O958" i="12"/>
  <c r="O706" i="12"/>
  <c r="O1174" i="12"/>
  <c r="O1750" i="12"/>
  <c r="O1570" i="12"/>
  <c r="O1714" i="12"/>
  <c r="O922" i="12"/>
  <c r="O886" i="12"/>
  <c r="O1426" i="12"/>
  <c r="O1138" i="12"/>
  <c r="O670" i="12"/>
  <c r="O1462" i="12"/>
  <c r="O1282" i="12"/>
  <c r="O1534" i="12"/>
  <c r="O814" i="12"/>
  <c r="O778" i="12"/>
  <c r="O1786" i="12"/>
  <c r="O1678" i="12"/>
  <c r="O1211" i="12"/>
  <c r="O1247" i="12"/>
  <c r="O1103" i="12"/>
  <c r="O1355" i="12"/>
  <c r="O1391" i="12"/>
  <c r="O851" i="12"/>
  <c r="O59" i="12"/>
  <c r="O1499" i="12"/>
  <c r="O1607" i="12"/>
  <c r="O743" i="12"/>
  <c r="O1319" i="12"/>
  <c r="O1031" i="12"/>
  <c r="O995" i="12"/>
  <c r="O1067" i="12"/>
  <c r="O1643" i="12"/>
  <c r="O959" i="12"/>
  <c r="O707" i="12"/>
  <c r="O1175" i="12"/>
  <c r="O1751" i="12"/>
  <c r="O1571" i="12"/>
  <c r="O1715" i="12"/>
  <c r="O923" i="12"/>
  <c r="O887" i="12"/>
  <c r="O1427" i="12"/>
  <c r="O1139" i="12"/>
  <c r="O671" i="12"/>
  <c r="O1463" i="12"/>
  <c r="O1283" i="12"/>
  <c r="O1535" i="12"/>
  <c r="O815" i="12"/>
  <c r="O779" i="12"/>
  <c r="O1787" i="12"/>
  <c r="O1679" i="12"/>
  <c r="O1212" i="12"/>
  <c r="O1248" i="12"/>
  <c r="O1104" i="12"/>
  <c r="O1356" i="12"/>
  <c r="O1392" i="12"/>
  <c r="O852" i="12"/>
  <c r="O60" i="12"/>
  <c r="O1500" i="12"/>
  <c r="O1608" i="12"/>
  <c r="O744" i="12"/>
  <c r="O1320" i="12"/>
  <c r="O1032" i="12"/>
  <c r="O996" i="12"/>
  <c r="O1068" i="12"/>
  <c r="O1644" i="12"/>
  <c r="O960" i="12"/>
  <c r="O708" i="12"/>
  <c r="O1176" i="12"/>
  <c r="O1752" i="12"/>
  <c r="O1572" i="12"/>
  <c r="O1716" i="12"/>
  <c r="O924" i="12"/>
  <c r="O888" i="12"/>
  <c r="O1428" i="12"/>
  <c r="O1140" i="12"/>
  <c r="O672" i="12"/>
  <c r="O1464" i="12"/>
  <c r="O1284" i="12"/>
  <c r="O1536" i="12"/>
  <c r="O816" i="12"/>
  <c r="O780" i="12"/>
  <c r="O1788" i="12"/>
  <c r="O1680" i="12"/>
  <c r="O1213" i="12"/>
  <c r="O1249" i="12"/>
  <c r="O1105" i="12"/>
  <c r="O1357" i="12"/>
  <c r="O1393" i="12"/>
  <c r="O853" i="12"/>
  <c r="O61" i="12"/>
  <c r="O1501" i="12"/>
  <c r="O1609" i="12"/>
  <c r="O745" i="12"/>
  <c r="O1321" i="12"/>
  <c r="O1033" i="12"/>
  <c r="O997" i="12"/>
  <c r="O1069" i="12"/>
  <c r="O1645" i="12"/>
  <c r="O961" i="12"/>
  <c r="O709" i="12"/>
  <c r="O1177" i="12"/>
  <c r="O1753" i="12"/>
  <c r="O1573" i="12"/>
  <c r="O1717" i="12"/>
  <c r="O925" i="12"/>
  <c r="O889" i="12"/>
  <c r="O1429" i="12"/>
  <c r="O1141" i="12"/>
  <c r="O673" i="12"/>
  <c r="O1465" i="12"/>
  <c r="O1285" i="12"/>
  <c r="O1537" i="12"/>
  <c r="O817" i="12"/>
  <c r="O781" i="12"/>
  <c r="O1789" i="12"/>
  <c r="O1681" i="12"/>
  <c r="O1214" i="12"/>
  <c r="O1250" i="12"/>
  <c r="O1106" i="12"/>
  <c r="O1358" i="12"/>
  <c r="O1394" i="12"/>
  <c r="O854" i="12"/>
  <c r="O62" i="12"/>
  <c r="O1502" i="12"/>
  <c r="O1610" i="12"/>
  <c r="O746" i="12"/>
  <c r="O1322" i="12"/>
  <c r="O1034" i="12"/>
  <c r="O998" i="12"/>
  <c r="O1070" i="12"/>
  <c r="O1646" i="12"/>
  <c r="O962" i="12"/>
  <c r="O710" i="12"/>
  <c r="O1178" i="12"/>
  <c r="O1754" i="12"/>
  <c r="O1574" i="12"/>
  <c r="O1718" i="12"/>
  <c r="O926" i="12"/>
  <c r="O890" i="12"/>
  <c r="O1430" i="12"/>
  <c r="O1142" i="12"/>
  <c r="O674" i="12"/>
  <c r="O1466" i="12"/>
  <c r="O1286" i="12"/>
  <c r="O1538" i="12"/>
  <c r="O818" i="12"/>
  <c r="O782" i="12"/>
  <c r="O1790" i="12"/>
  <c r="O1682" i="12"/>
  <c r="O1215" i="12"/>
  <c r="O1251" i="12"/>
  <c r="O1107" i="12"/>
  <c r="O1359" i="12"/>
  <c r="O1395" i="12"/>
  <c r="O855" i="12"/>
  <c r="O63" i="12"/>
  <c r="O1503" i="12"/>
  <c r="O1611" i="12"/>
  <c r="O747" i="12"/>
  <c r="O1323" i="12"/>
  <c r="O1035" i="12"/>
  <c r="O999" i="12"/>
  <c r="O1071" i="12"/>
  <c r="O1647" i="12"/>
  <c r="O963" i="12"/>
  <c r="O711" i="12"/>
  <c r="O1179" i="12"/>
  <c r="O1755" i="12"/>
  <c r="O1575" i="12"/>
  <c r="O1719" i="12"/>
  <c r="O927" i="12"/>
  <c r="O891" i="12"/>
  <c r="O1431" i="12"/>
  <c r="O1143" i="12"/>
  <c r="O675" i="12"/>
  <c r="O1467" i="12"/>
  <c r="O1287" i="12"/>
  <c r="O1539" i="12"/>
  <c r="O819" i="12"/>
  <c r="O783" i="12"/>
  <c r="O1791" i="12"/>
  <c r="O1683" i="12"/>
  <c r="O1216" i="12"/>
  <c r="O1252" i="12"/>
  <c r="O1108" i="12"/>
  <c r="O1360" i="12"/>
  <c r="O1396" i="12"/>
  <c r="O856" i="12"/>
  <c r="O64" i="12"/>
  <c r="O1504" i="12"/>
  <c r="O1612" i="12"/>
  <c r="O748" i="12"/>
  <c r="O1324" i="12"/>
  <c r="O1036" i="12"/>
  <c r="O1000" i="12"/>
  <c r="O1072" i="12"/>
  <c r="O1648" i="12"/>
  <c r="O964" i="12"/>
  <c r="O712" i="12"/>
  <c r="O1180" i="12"/>
  <c r="O1756" i="12"/>
  <c r="O1576" i="12"/>
  <c r="O1720" i="12"/>
  <c r="O928" i="12"/>
  <c r="O892" i="12"/>
  <c r="O1432" i="12"/>
  <c r="O1144" i="12"/>
  <c r="O676" i="12"/>
  <c r="O1468" i="12"/>
  <c r="O1288" i="12"/>
  <c r="O1540" i="12"/>
  <c r="O820" i="12"/>
  <c r="O784" i="12"/>
  <c r="O1792" i="12"/>
  <c r="O1684" i="12"/>
  <c r="O1217" i="12"/>
  <c r="O1253" i="12"/>
  <c r="O1109" i="12"/>
  <c r="O1361" i="12"/>
  <c r="O1397" i="12"/>
  <c r="O857" i="12"/>
  <c r="O65" i="12"/>
  <c r="O1505" i="12"/>
  <c r="O1613" i="12"/>
  <c r="O749" i="12"/>
  <c r="O1325" i="12"/>
  <c r="O1037" i="12"/>
  <c r="O1001" i="12"/>
  <c r="O1073" i="12"/>
  <c r="O1649" i="12"/>
  <c r="O965" i="12"/>
  <c r="O713" i="12"/>
  <c r="O1181" i="12"/>
  <c r="O1757" i="12"/>
  <c r="O1577" i="12"/>
  <c r="O1721" i="12"/>
  <c r="O929" i="12"/>
  <c r="O893" i="12"/>
  <c r="O1433" i="12"/>
  <c r="O1145" i="12"/>
  <c r="O677" i="12"/>
  <c r="O1469" i="12"/>
  <c r="O1289" i="12"/>
  <c r="O1541" i="12"/>
  <c r="O821" i="12"/>
  <c r="O785" i="12"/>
  <c r="O1793" i="12"/>
  <c r="O1685" i="12"/>
  <c r="O1218" i="12"/>
  <c r="O1254" i="12"/>
  <c r="O1110" i="12"/>
  <c r="O1362" i="12"/>
  <c r="O1398" i="12"/>
  <c r="O858" i="12"/>
  <c r="O66" i="12"/>
  <c r="O1506" i="12"/>
  <c r="O1614" i="12"/>
  <c r="O750" i="12"/>
  <c r="O1326" i="12"/>
  <c r="O1038" i="12"/>
  <c r="O1002" i="12"/>
  <c r="O1074" i="12"/>
  <c r="O1650" i="12"/>
  <c r="O966" i="12"/>
  <c r="O714" i="12"/>
  <c r="O1182" i="12"/>
  <c r="O1758" i="12"/>
  <c r="O1578" i="12"/>
  <c r="O1722" i="12"/>
  <c r="O930" i="12"/>
  <c r="O894" i="12"/>
  <c r="O1434" i="12"/>
  <c r="O1146" i="12"/>
  <c r="O678" i="12"/>
  <c r="O1470" i="12"/>
  <c r="O1290" i="12"/>
  <c r="O1542" i="12"/>
  <c r="O822" i="12"/>
  <c r="O786" i="12"/>
  <c r="O1794" i="12"/>
  <c r="O1686" i="12"/>
  <c r="O1219" i="12"/>
  <c r="O1255" i="12"/>
  <c r="O1111" i="12"/>
  <c r="O1363" i="12"/>
  <c r="O1399" i="12"/>
  <c r="O859" i="12"/>
  <c r="O67" i="12"/>
  <c r="O1507" i="12"/>
  <c r="O1615" i="12"/>
  <c r="O751" i="12"/>
  <c r="O1327" i="12"/>
  <c r="O1039" i="12"/>
  <c r="O1003" i="12"/>
  <c r="O1075" i="12"/>
  <c r="O1651" i="12"/>
  <c r="O967" i="12"/>
  <c r="O715" i="12"/>
  <c r="O1183" i="12"/>
  <c r="O1759" i="12"/>
  <c r="O1579" i="12"/>
  <c r="O1723" i="12"/>
  <c r="O931" i="12"/>
  <c r="O895" i="12"/>
  <c r="O1435" i="12"/>
  <c r="O1147" i="12"/>
  <c r="O679" i="12"/>
  <c r="O1471" i="12"/>
  <c r="O1291" i="12"/>
  <c r="O1543" i="12"/>
  <c r="O823" i="12"/>
  <c r="O787" i="12"/>
  <c r="O1795" i="12"/>
  <c r="O1687" i="12"/>
  <c r="O1220" i="12"/>
  <c r="O1256" i="12"/>
  <c r="O1112" i="12"/>
  <c r="O1364" i="12"/>
  <c r="O1400" i="12"/>
  <c r="O860" i="12"/>
  <c r="O68" i="12"/>
  <c r="O1508" i="12"/>
  <c r="O1616" i="12"/>
  <c r="O752" i="12"/>
  <c r="O1328" i="12"/>
  <c r="O1040" i="12"/>
  <c r="O1004" i="12"/>
  <c r="O1076" i="12"/>
  <c r="O1652" i="12"/>
  <c r="O968" i="12"/>
  <c r="O716" i="12"/>
  <c r="O1184" i="12"/>
  <c r="O1760" i="12"/>
  <c r="O1580" i="12"/>
  <c r="O1724" i="12"/>
  <c r="O932" i="12"/>
  <c r="O896" i="12"/>
  <c r="O1436" i="12"/>
  <c r="O1148" i="12"/>
  <c r="O680" i="12"/>
  <c r="O1472" i="12"/>
  <c r="O1292" i="12"/>
  <c r="O1544" i="12"/>
  <c r="O824" i="12"/>
  <c r="O788" i="12"/>
  <c r="O1796" i="12"/>
  <c r="O1688" i="12"/>
  <c r="O1221" i="12"/>
  <c r="O1257" i="12"/>
  <c r="O1113" i="12"/>
  <c r="O1365" i="12"/>
  <c r="O1401" i="12"/>
  <c r="O861" i="12"/>
  <c r="O69" i="12"/>
  <c r="O1509" i="12"/>
  <c r="O1617" i="12"/>
  <c r="O753" i="12"/>
  <c r="O1329" i="12"/>
  <c r="O1041" i="12"/>
  <c r="O1005" i="12"/>
  <c r="O1077" i="12"/>
  <c r="O1653" i="12"/>
  <c r="O969" i="12"/>
  <c r="O717" i="12"/>
  <c r="O1185" i="12"/>
  <c r="O1761" i="12"/>
  <c r="O1581" i="12"/>
  <c r="O1725" i="12"/>
  <c r="O933" i="12"/>
  <c r="O897" i="12"/>
  <c r="O1437" i="12"/>
  <c r="O1149" i="12"/>
  <c r="O681" i="12"/>
  <c r="O1473" i="12"/>
  <c r="O1293" i="12"/>
  <c r="O1545" i="12"/>
  <c r="O825" i="12"/>
  <c r="O789" i="12"/>
  <c r="O1797" i="12"/>
  <c r="O1689" i="12"/>
  <c r="O1222" i="12"/>
  <c r="O1258" i="12"/>
  <c r="O1114" i="12"/>
  <c r="O1366" i="12"/>
  <c r="O1402" i="12"/>
  <c r="O862" i="12"/>
  <c r="O70" i="12"/>
  <c r="O1510" i="12"/>
  <c r="O1618" i="12"/>
  <c r="O754" i="12"/>
  <c r="O1330" i="12"/>
  <c r="O1042" i="12"/>
  <c r="O1006" i="12"/>
  <c r="O1078" i="12"/>
  <c r="O1654" i="12"/>
  <c r="O970" i="12"/>
  <c r="O718" i="12"/>
  <c r="O1186" i="12"/>
  <c r="O1762" i="12"/>
  <c r="O1582" i="12"/>
  <c r="O1726" i="12"/>
  <c r="O934" i="12"/>
  <c r="O898" i="12"/>
  <c r="O1438" i="12"/>
  <c r="O1150" i="12"/>
  <c r="O682" i="12"/>
  <c r="O1474" i="12"/>
  <c r="O1294" i="12"/>
  <c r="O1546" i="12"/>
  <c r="O826" i="12"/>
  <c r="O790" i="12"/>
  <c r="O1798" i="12"/>
  <c r="O1690" i="12"/>
  <c r="O1223" i="12"/>
  <c r="O1259" i="12"/>
  <c r="O1115" i="12"/>
  <c r="O1367" i="12"/>
  <c r="O1403" i="12"/>
  <c r="O863" i="12"/>
  <c r="O71" i="12"/>
  <c r="O1511" i="12"/>
  <c r="O1619" i="12"/>
  <c r="O755" i="12"/>
  <c r="O1331" i="12"/>
  <c r="O1043" i="12"/>
  <c r="O1007" i="12"/>
  <c r="O1079" i="12"/>
  <c r="O1655" i="12"/>
  <c r="O971" i="12"/>
  <c r="O719" i="12"/>
  <c r="O1187" i="12"/>
  <c r="O1763" i="12"/>
  <c r="O1583" i="12"/>
  <c r="O1727" i="12"/>
  <c r="O935" i="12"/>
  <c r="O899" i="12"/>
  <c r="O1439" i="12"/>
  <c r="O1151" i="12"/>
  <c r="O683" i="12"/>
  <c r="O1475" i="12"/>
  <c r="O1295" i="12"/>
  <c r="O1547" i="12"/>
  <c r="O827" i="12"/>
  <c r="O791" i="12"/>
  <c r="O1799" i="12"/>
  <c r="O1691" i="12"/>
  <c r="O1224" i="12"/>
  <c r="O1260" i="12"/>
  <c r="O1116" i="12"/>
  <c r="O1368" i="12"/>
  <c r="O1404" i="12"/>
  <c r="O864" i="12"/>
  <c r="O72" i="12"/>
  <c r="O1512" i="12"/>
  <c r="O1620" i="12"/>
  <c r="O756" i="12"/>
  <c r="O1332" i="12"/>
  <c r="O1044" i="12"/>
  <c r="O1008" i="12"/>
  <c r="O1080" i="12"/>
  <c r="O1656" i="12"/>
  <c r="O972" i="12"/>
  <c r="O720" i="12"/>
  <c r="O1188" i="12"/>
  <c r="O1764" i="12"/>
  <c r="O1584" i="12"/>
  <c r="O1728" i="12"/>
  <c r="O936" i="12"/>
  <c r="O900" i="12"/>
  <c r="O1440" i="12"/>
  <c r="O1152" i="12"/>
  <c r="O684" i="12"/>
  <c r="O1476" i="12"/>
  <c r="O1296" i="12"/>
  <c r="O1548" i="12"/>
  <c r="O828" i="12"/>
  <c r="O792" i="12"/>
  <c r="O1800" i="12"/>
  <c r="O1692" i="12"/>
  <c r="O1225" i="12"/>
  <c r="O1261" i="12"/>
  <c r="O1117" i="12"/>
  <c r="O1369" i="12"/>
  <c r="O1405" i="12"/>
  <c r="O865" i="12"/>
  <c r="O73" i="12"/>
  <c r="O1513" i="12"/>
  <c r="O1621" i="12"/>
  <c r="O757" i="12"/>
  <c r="O1333" i="12"/>
  <c r="O1045" i="12"/>
  <c r="O1009" i="12"/>
  <c r="O1081" i="12"/>
  <c r="O1657" i="12"/>
  <c r="O973" i="12"/>
  <c r="O721" i="12"/>
  <c r="O1189" i="12"/>
  <c r="O1765" i="12"/>
  <c r="O1585" i="12"/>
  <c r="O1729" i="12"/>
  <c r="O937" i="12"/>
  <c r="O901" i="12"/>
  <c r="O1441" i="12"/>
  <c r="O1153" i="12"/>
  <c r="O685" i="12"/>
  <c r="O1477" i="12"/>
  <c r="O1297" i="12"/>
  <c r="O1549" i="12"/>
  <c r="O829" i="12"/>
  <c r="O793" i="12"/>
  <c r="O1801" i="12"/>
  <c r="O1693" i="12"/>
  <c r="O2810" i="12"/>
  <c r="O2738" i="12"/>
  <c r="O2558" i="12"/>
  <c r="O2414" i="12"/>
  <c r="O2702" i="12"/>
  <c r="O2846" i="12"/>
  <c r="O2918" i="12"/>
  <c r="O2486" i="12"/>
  <c r="O2666" i="12"/>
  <c r="O2306" i="12"/>
  <c r="O2450" i="12"/>
  <c r="O2342" i="12"/>
  <c r="O2630" i="12"/>
  <c r="O2774" i="12"/>
  <c r="O2594" i="12"/>
  <c r="O2882" i="12"/>
  <c r="O2522" i="12"/>
  <c r="O2378" i="12"/>
  <c r="O2270" i="12"/>
  <c r="O2811" i="12"/>
  <c r="O2739" i="12"/>
  <c r="O2559" i="12"/>
  <c r="O2415" i="12"/>
  <c r="O2703" i="12"/>
  <c r="O2847" i="12"/>
  <c r="O2919" i="12"/>
  <c r="O2487" i="12"/>
  <c r="O2667" i="12"/>
  <c r="O2307" i="12"/>
  <c r="O2451" i="12"/>
  <c r="O2343" i="12"/>
  <c r="O2631" i="12"/>
  <c r="O2775" i="12"/>
  <c r="O2595" i="12"/>
  <c r="O2883" i="12"/>
  <c r="O2523" i="12"/>
  <c r="O2379" i="12"/>
  <c r="O2271" i="12"/>
  <c r="O2812" i="12"/>
  <c r="O2740" i="12"/>
  <c r="O2560" i="12"/>
  <c r="O2416" i="12"/>
  <c r="O2704" i="12"/>
  <c r="O2848" i="12"/>
  <c r="O2920" i="12"/>
  <c r="O2488" i="12"/>
  <c r="O2668" i="12"/>
  <c r="O2308" i="12"/>
  <c r="O2452" i="12"/>
  <c r="O2344" i="12"/>
  <c r="O2632" i="12"/>
  <c r="O2776" i="12"/>
  <c r="O2596" i="12"/>
  <c r="O2884" i="12"/>
  <c r="O2524" i="12"/>
  <c r="O2380" i="12"/>
  <c r="O2272" i="12"/>
  <c r="O2813" i="12"/>
  <c r="O2741" i="12"/>
  <c r="O2561" i="12"/>
  <c r="O2417" i="12"/>
  <c r="O2705" i="12"/>
  <c r="O2849" i="12"/>
  <c r="O2921" i="12"/>
  <c r="O2489" i="12"/>
  <c r="O2669" i="12"/>
  <c r="O2309" i="12"/>
  <c r="O2453" i="12"/>
  <c r="O2345" i="12"/>
  <c r="O2633" i="12"/>
  <c r="O2777" i="12"/>
  <c r="O2597" i="12"/>
  <c r="O2885" i="12"/>
  <c r="O2525" i="12"/>
  <c r="O2381" i="12"/>
  <c r="O2273" i="12"/>
  <c r="O2814" i="12"/>
  <c r="O2742" i="12"/>
  <c r="O2562" i="12"/>
  <c r="O2418" i="12"/>
  <c r="O2706" i="12"/>
  <c r="O2850" i="12"/>
  <c r="O2922" i="12"/>
  <c r="O2490" i="12"/>
  <c r="O2670" i="12"/>
  <c r="O2310" i="12"/>
  <c r="O2454" i="12"/>
  <c r="O2346" i="12"/>
  <c r="O2634" i="12"/>
  <c r="O2778" i="12"/>
  <c r="O2598" i="12"/>
  <c r="O2886" i="12"/>
  <c r="O2526" i="12"/>
  <c r="O2382" i="12"/>
  <c r="O2274" i="12"/>
  <c r="O2815" i="12"/>
  <c r="O2743" i="12"/>
  <c r="O2563" i="12"/>
  <c r="O2419" i="12"/>
  <c r="O2707" i="12"/>
  <c r="O2851" i="12"/>
  <c r="O2923" i="12"/>
  <c r="O2491" i="12"/>
  <c r="O2671" i="12"/>
  <c r="O2311" i="12"/>
  <c r="O2455" i="12"/>
  <c r="O2347" i="12"/>
  <c r="O2635" i="12"/>
  <c r="O2779" i="12"/>
  <c r="O2599" i="12"/>
  <c r="O2887" i="12"/>
  <c r="O2527" i="12"/>
  <c r="O2383" i="12"/>
  <c r="O2275" i="12"/>
  <c r="O2816" i="12"/>
  <c r="O2744" i="12"/>
  <c r="O2564" i="12"/>
  <c r="O2420" i="12"/>
  <c r="O2708" i="12"/>
  <c r="O2852" i="12"/>
  <c r="O2924" i="12"/>
  <c r="O2492" i="12"/>
  <c r="O2672" i="12"/>
  <c r="O2312" i="12"/>
  <c r="O2456" i="12"/>
  <c r="O2348" i="12"/>
  <c r="O2636" i="12"/>
  <c r="O2780" i="12"/>
  <c r="O2600" i="12"/>
  <c r="O2888" i="12"/>
  <c r="O2528" i="12"/>
  <c r="O2384" i="12"/>
  <c r="O2276" i="12"/>
  <c r="O2817" i="12"/>
  <c r="O2745" i="12"/>
  <c r="O2565" i="12"/>
  <c r="O2421" i="12"/>
  <c r="O2709" i="12"/>
  <c r="O2853" i="12"/>
  <c r="O2925" i="12"/>
  <c r="O2493" i="12"/>
  <c r="O2673" i="12"/>
  <c r="O2313" i="12"/>
  <c r="O2457" i="12"/>
  <c r="O2349" i="12"/>
  <c r="O2637" i="12"/>
  <c r="O2781" i="12"/>
  <c r="O2601" i="12"/>
  <c r="O2889" i="12"/>
  <c r="O2529" i="12"/>
  <c r="O2385" i="12"/>
  <c r="O2277" i="12"/>
  <c r="O2818" i="12"/>
  <c r="O2746" i="12"/>
  <c r="O2566" i="12"/>
  <c r="O2422" i="12"/>
  <c r="O2710" i="12"/>
  <c r="O2854" i="12"/>
  <c r="O2926" i="12"/>
  <c r="O2494" i="12"/>
  <c r="O2674" i="12"/>
  <c r="O2314" i="12"/>
  <c r="O2458" i="12"/>
  <c r="O2350" i="12"/>
  <c r="O2638" i="12"/>
  <c r="O2782" i="12"/>
  <c r="O2602" i="12"/>
  <c r="O2890" i="12"/>
  <c r="O2530" i="12"/>
  <c r="O2386" i="12"/>
  <c r="O2278" i="12"/>
  <c r="O2819" i="12"/>
  <c r="O2747" i="12"/>
  <c r="O2567" i="12"/>
  <c r="O2423" i="12"/>
  <c r="O2711" i="12"/>
  <c r="O2855" i="12"/>
  <c r="O2927" i="12"/>
  <c r="O2495" i="12"/>
  <c r="O2675" i="12"/>
  <c r="O2315" i="12"/>
  <c r="O2459" i="12"/>
  <c r="O2351" i="12"/>
  <c r="O2639" i="12"/>
  <c r="O2783" i="12"/>
  <c r="O2603" i="12"/>
  <c r="O2891" i="12"/>
  <c r="O2531" i="12"/>
  <c r="O2387" i="12"/>
  <c r="O2279" i="12"/>
  <c r="O2820" i="12"/>
  <c r="O2748" i="12"/>
  <c r="O2568" i="12"/>
  <c r="O2424" i="12"/>
  <c r="O2712" i="12"/>
  <c r="O2856" i="12"/>
  <c r="O2928" i="12"/>
  <c r="O2496" i="12"/>
  <c r="O2676" i="12"/>
  <c r="O2316" i="12"/>
  <c r="O2460" i="12"/>
  <c r="O2352" i="12"/>
  <c r="O2640" i="12"/>
  <c r="O2784" i="12"/>
  <c r="O2604" i="12"/>
  <c r="O2892" i="12"/>
  <c r="O2532" i="12"/>
  <c r="O2388" i="12"/>
  <c r="O2280" i="12"/>
  <c r="O2821" i="12"/>
  <c r="O2749" i="12"/>
  <c r="O2569" i="12"/>
  <c r="O2425" i="12"/>
  <c r="O2713" i="12"/>
  <c r="O2857" i="12"/>
  <c r="O2929" i="12"/>
  <c r="O2497" i="12"/>
  <c r="O2677" i="12"/>
  <c r="O2317" i="12"/>
  <c r="O2461" i="12"/>
  <c r="O2353" i="12"/>
  <c r="O2641" i="12"/>
  <c r="O2785" i="12"/>
  <c r="O2605" i="12"/>
  <c r="O2893" i="12"/>
  <c r="O2533" i="12"/>
  <c r="O2389" i="12"/>
  <c r="O2281" i="12"/>
  <c r="O2822" i="12"/>
  <c r="O2750" i="12"/>
  <c r="O2570" i="12"/>
  <c r="O2426" i="12"/>
  <c r="O2714" i="12"/>
  <c r="O2858" i="12"/>
  <c r="O2930" i="12"/>
  <c r="O2498" i="12"/>
  <c r="O2678" i="12"/>
  <c r="O2318" i="12"/>
  <c r="O2462" i="12"/>
  <c r="O2354" i="12"/>
  <c r="O2642" i="12"/>
  <c r="O2786" i="12"/>
  <c r="O2606" i="12"/>
  <c r="O2894" i="12"/>
  <c r="O2534" i="12"/>
  <c r="O2390" i="12"/>
  <c r="O2282" i="12"/>
  <c r="O2823" i="12"/>
  <c r="O2751" i="12"/>
  <c r="O2571" i="12"/>
  <c r="O2427" i="12"/>
  <c r="O2715" i="12"/>
  <c r="O2859" i="12"/>
  <c r="O2931" i="12"/>
  <c r="O2499" i="12"/>
  <c r="O2679" i="12"/>
  <c r="O2319" i="12"/>
  <c r="O2463" i="12"/>
  <c r="O2355" i="12"/>
  <c r="O2643" i="12"/>
  <c r="O2787" i="12"/>
  <c r="O2607" i="12"/>
  <c r="O2895" i="12"/>
  <c r="O2535" i="12"/>
  <c r="O2391" i="12"/>
  <c r="O2283" i="12"/>
  <c r="O2824" i="12"/>
  <c r="O2752" i="12"/>
  <c r="O2572" i="12"/>
  <c r="O2428" i="12"/>
  <c r="O2716" i="12"/>
  <c r="O2860" i="12"/>
  <c r="O2932" i="12"/>
  <c r="O2500" i="12"/>
  <c r="O2680" i="12"/>
  <c r="O2320" i="12"/>
  <c r="O2464" i="12"/>
  <c r="O2356" i="12"/>
  <c r="O2644" i="12"/>
  <c r="O2788" i="12"/>
  <c r="O2608" i="12"/>
  <c r="O2896" i="12"/>
  <c r="O2536" i="12"/>
  <c r="O2392" i="12"/>
  <c r="O2284" i="12"/>
  <c r="O2825" i="12"/>
  <c r="O2753" i="12"/>
  <c r="O2573" i="12"/>
  <c r="O2429" i="12"/>
  <c r="O2717" i="12"/>
  <c r="O2861" i="12"/>
  <c r="O2933" i="12"/>
  <c r="O2501" i="12"/>
  <c r="O2681" i="12"/>
  <c r="O2321" i="12"/>
  <c r="O2465" i="12"/>
  <c r="O2357" i="12"/>
  <c r="O2645" i="12"/>
  <c r="O2789" i="12"/>
  <c r="O2609" i="12"/>
  <c r="O2897" i="12"/>
  <c r="O2537" i="12"/>
  <c r="O2393" i="12"/>
  <c r="O2285" i="12"/>
  <c r="O2826" i="12"/>
  <c r="O2754" i="12"/>
  <c r="O2574" i="12"/>
  <c r="O2430" i="12"/>
  <c r="O2718" i="12"/>
  <c r="O2862" i="12"/>
  <c r="O2934" i="12"/>
  <c r="O2502" i="12"/>
  <c r="O2682" i="12"/>
  <c r="O2322" i="12"/>
  <c r="O2466" i="12"/>
  <c r="O2358" i="12"/>
  <c r="O2646" i="12"/>
  <c r="O2790" i="12"/>
  <c r="O2610" i="12"/>
  <c r="O2898" i="12"/>
  <c r="O2538" i="12"/>
  <c r="O2394" i="12"/>
  <c r="O2286" i="12"/>
  <c r="O2827" i="12"/>
  <c r="O2755" i="12"/>
  <c r="O2575" i="12"/>
  <c r="O2431" i="12"/>
  <c r="O2719" i="12"/>
  <c r="O2863" i="12"/>
  <c r="O2935" i="12"/>
  <c r="O2503" i="12"/>
  <c r="O2683" i="12"/>
  <c r="O2323" i="12"/>
  <c r="O2467" i="12"/>
  <c r="O2359" i="12"/>
  <c r="O2647" i="12"/>
  <c r="O2791" i="12"/>
  <c r="O2611" i="12"/>
  <c r="O2899" i="12"/>
  <c r="O2539" i="12"/>
  <c r="O2395" i="12"/>
  <c r="O2287" i="12"/>
  <c r="O2828" i="12"/>
  <c r="O2756" i="12"/>
  <c r="O2576" i="12"/>
  <c r="O2432" i="12"/>
  <c r="O2720" i="12"/>
  <c r="O2864" i="12"/>
  <c r="O2936" i="12"/>
  <c r="O2504" i="12"/>
  <c r="O2684" i="12"/>
  <c r="O2324" i="12"/>
  <c r="O2468" i="12"/>
  <c r="O2360" i="12"/>
  <c r="O2648" i="12"/>
  <c r="O2792" i="12"/>
  <c r="O2612" i="12"/>
  <c r="O2900" i="12"/>
  <c r="O2540" i="12"/>
  <c r="O2396" i="12"/>
  <c r="O2288" i="12"/>
  <c r="O2829" i="12"/>
  <c r="O2757" i="12"/>
  <c r="O2577" i="12"/>
  <c r="O2433" i="12"/>
  <c r="O2721" i="12"/>
  <c r="O2865" i="12"/>
  <c r="O2937" i="12"/>
  <c r="O2505" i="12"/>
  <c r="O2685" i="12"/>
  <c r="O2325" i="12"/>
  <c r="O2469" i="12"/>
  <c r="O2361" i="12"/>
  <c r="O2649" i="12"/>
  <c r="O2793" i="12"/>
  <c r="O2613" i="12"/>
  <c r="O2901" i="12"/>
  <c r="O2541" i="12"/>
  <c r="O2397" i="12"/>
  <c r="O2289" i="12"/>
  <c r="O2830" i="12"/>
  <c r="O2758" i="12"/>
  <c r="O2578" i="12"/>
  <c r="O2434" i="12"/>
  <c r="O2722" i="12"/>
  <c r="O2866" i="12"/>
  <c r="O2938" i="12"/>
  <c r="O2506" i="12"/>
  <c r="O2686" i="12"/>
  <c r="O2326" i="12"/>
  <c r="O2470" i="12"/>
  <c r="O2362" i="12"/>
  <c r="O2650" i="12"/>
  <c r="O2794" i="12"/>
  <c r="O2614" i="12"/>
  <c r="O2902" i="12"/>
  <c r="O2542" i="12"/>
  <c r="O2398" i="12"/>
  <c r="O2290" i="12"/>
  <c r="O2831" i="12"/>
  <c r="O2759" i="12"/>
  <c r="O2579" i="12"/>
  <c r="O2435" i="12"/>
  <c r="O2723" i="12"/>
  <c r="O2867" i="12"/>
  <c r="O2939" i="12"/>
  <c r="O2507" i="12"/>
  <c r="O2687" i="12"/>
  <c r="O2327" i="12"/>
  <c r="O2471" i="12"/>
  <c r="O2363" i="12"/>
  <c r="O2651" i="12"/>
  <c r="O2795" i="12"/>
  <c r="O2615" i="12"/>
  <c r="O2903" i="12"/>
  <c r="O2543" i="12"/>
  <c r="O2399" i="12"/>
  <c r="O2291" i="12"/>
  <c r="O2832" i="12"/>
  <c r="O2760" i="12"/>
  <c r="O2580" i="12"/>
  <c r="O2436" i="12"/>
  <c r="O2724" i="12"/>
  <c r="O2868" i="12"/>
  <c r="O2940" i="12"/>
  <c r="O2508" i="12"/>
  <c r="O2688" i="12"/>
  <c r="O2328" i="12"/>
  <c r="O2472" i="12"/>
  <c r="O2364" i="12"/>
  <c r="O2652" i="12"/>
  <c r="O2796" i="12"/>
  <c r="O2616" i="12"/>
  <c r="O2904" i="12"/>
  <c r="O2544" i="12"/>
  <c r="O2400" i="12"/>
  <c r="O2292" i="12"/>
  <c r="O2833" i="12"/>
  <c r="O2761" i="12"/>
  <c r="O2581" i="12"/>
  <c r="O2437" i="12"/>
  <c r="O2725" i="12"/>
  <c r="O2869" i="12"/>
  <c r="O2941" i="12"/>
  <c r="O2509" i="12"/>
  <c r="O2689" i="12"/>
  <c r="O2329" i="12"/>
  <c r="O2473" i="12"/>
  <c r="O2365" i="12"/>
  <c r="O2653" i="12"/>
  <c r="O2797" i="12"/>
  <c r="O2617" i="12"/>
  <c r="O2905" i="12"/>
  <c r="O2545" i="12"/>
  <c r="O2401" i="12"/>
  <c r="O2293" i="12"/>
  <c r="O2834" i="12"/>
  <c r="O2762" i="12"/>
  <c r="O2582" i="12"/>
  <c r="O2438" i="12"/>
  <c r="O2726" i="12"/>
  <c r="O2870" i="12"/>
  <c r="O2942" i="12"/>
  <c r="O2510" i="12"/>
  <c r="O2690" i="12"/>
  <c r="O2330" i="12"/>
  <c r="O2474" i="12"/>
  <c r="O2366" i="12"/>
  <c r="O2654" i="12"/>
  <c r="O2798" i="12"/>
  <c r="O2618" i="12"/>
  <c r="O2906" i="12"/>
  <c r="O2546" i="12"/>
  <c r="O2402" i="12"/>
  <c r="O2294" i="12"/>
  <c r="O2835" i="12"/>
  <c r="O2763" i="12"/>
  <c r="O2583" i="12"/>
  <c r="O2439" i="12"/>
  <c r="O2727" i="12"/>
  <c r="O2871" i="12"/>
  <c r="O2943" i="12"/>
  <c r="O2511" i="12"/>
  <c r="O2691" i="12"/>
  <c r="O2331" i="12"/>
  <c r="O2475" i="12"/>
  <c r="O2367" i="12"/>
  <c r="O2655" i="12"/>
  <c r="O2799" i="12"/>
  <c r="O2619" i="12"/>
  <c r="O2907" i="12"/>
  <c r="O2547" i="12"/>
  <c r="O2403" i="12"/>
  <c r="O2295" i="12"/>
  <c r="O2836" i="12"/>
  <c r="O2764" i="12"/>
  <c r="O2584" i="12"/>
  <c r="O2440" i="12"/>
  <c r="O2728" i="12"/>
  <c r="O2872" i="12"/>
  <c r="O2944" i="12"/>
  <c r="O2512" i="12"/>
  <c r="O2692" i="12"/>
  <c r="O2332" i="12"/>
  <c r="O2476" i="12"/>
  <c r="O2368" i="12"/>
  <c r="O2656" i="12"/>
  <c r="O2800" i="12"/>
  <c r="O2620" i="12"/>
  <c r="O2908" i="12"/>
  <c r="O2548" i="12"/>
  <c r="O2404" i="12"/>
  <c r="O2296" i="12"/>
  <c r="O2837" i="12"/>
  <c r="O2765" i="12"/>
  <c r="O2585" i="12"/>
  <c r="O2441" i="12"/>
  <c r="O2729" i="12"/>
  <c r="O2873" i="12"/>
  <c r="O2945" i="12"/>
  <c r="O2513" i="12"/>
  <c r="O2693" i="12"/>
  <c r="O2333" i="12"/>
  <c r="O2477" i="12"/>
  <c r="O2369" i="12"/>
  <c r="O2657" i="12"/>
  <c r="O2801" i="12"/>
  <c r="O2621" i="12"/>
  <c r="O2909" i="12"/>
  <c r="O2549" i="12"/>
  <c r="O2405" i="12"/>
  <c r="O2297" i="12"/>
  <c r="O2838" i="12"/>
  <c r="O2766" i="12"/>
  <c r="O2586" i="12"/>
  <c r="O2442" i="12"/>
  <c r="O2730" i="12"/>
  <c r="O2874" i="12"/>
  <c r="O2946" i="12"/>
  <c r="O2514" i="12"/>
  <c r="O2694" i="12"/>
  <c r="O2334" i="12"/>
  <c r="O2478" i="12"/>
  <c r="O2370" i="12"/>
  <c r="O2658" i="12"/>
  <c r="O2802" i="12"/>
  <c r="O2622" i="12"/>
  <c r="O2910" i="12"/>
  <c r="O2550" i="12"/>
  <c r="O2406" i="12"/>
  <c r="O2298" i="12"/>
  <c r="O2839" i="12"/>
  <c r="O2767" i="12"/>
  <c r="O2587" i="12"/>
  <c r="O2443" i="12"/>
  <c r="O2731" i="12"/>
  <c r="O2875" i="12"/>
  <c r="O2947" i="12"/>
  <c r="O2515" i="12"/>
  <c r="O2695" i="12"/>
  <c r="O2335" i="12"/>
  <c r="O2479" i="12"/>
  <c r="O2371" i="12"/>
  <c r="O2659" i="12"/>
  <c r="O2803" i="12"/>
  <c r="O2623" i="12"/>
  <c r="O2911" i="12"/>
  <c r="O2551" i="12"/>
  <c r="O2407" i="12"/>
  <c r="O2299" i="12"/>
  <c r="O2840" i="12"/>
  <c r="O2768" i="12"/>
  <c r="O2588" i="12"/>
  <c r="O2444" i="12"/>
  <c r="O2732" i="12"/>
  <c r="O2876" i="12"/>
  <c r="O2948" i="12"/>
  <c r="O2516" i="12"/>
  <c r="O2696" i="12"/>
  <c r="O2336" i="12"/>
  <c r="O2480" i="12"/>
  <c r="O2372" i="12"/>
  <c r="O2660" i="12"/>
  <c r="O2804" i="12"/>
  <c r="O2624" i="12"/>
  <c r="O2912" i="12"/>
  <c r="O2552" i="12"/>
  <c r="O2408" i="12"/>
  <c r="O2300" i="12"/>
  <c r="O2841" i="12"/>
  <c r="O2769" i="12"/>
  <c r="O2589" i="12"/>
  <c r="O2445" i="12"/>
  <c r="O2733" i="12"/>
  <c r="O2877" i="12"/>
  <c r="O2949" i="12"/>
  <c r="O2517" i="12"/>
  <c r="O2697" i="12"/>
  <c r="O2337" i="12"/>
  <c r="O2481" i="12"/>
  <c r="O2373" i="12"/>
  <c r="O2661" i="12"/>
  <c r="O2805" i="12"/>
  <c r="O2625" i="12"/>
  <c r="O2913" i="12"/>
  <c r="O2553" i="12"/>
  <c r="O2409" i="12"/>
  <c r="O2301" i="12"/>
  <c r="O2842" i="12"/>
  <c r="O2770" i="12"/>
  <c r="O2590" i="12"/>
  <c r="O2446" i="12"/>
  <c r="O2734" i="12"/>
  <c r="O2878" i="12"/>
  <c r="O2950" i="12"/>
  <c r="O2518" i="12"/>
  <c r="O2698" i="12"/>
  <c r="O2338" i="12"/>
  <c r="O2482" i="12"/>
  <c r="O2374" i="12"/>
  <c r="O2662" i="12"/>
  <c r="O2806" i="12"/>
  <c r="O2626" i="12"/>
  <c r="O2914" i="12"/>
  <c r="O2554" i="12"/>
  <c r="O2410" i="12"/>
  <c r="O2302" i="12"/>
  <c r="O2843" i="12"/>
  <c r="O2771" i="12"/>
  <c r="O2591" i="12"/>
  <c r="O2447" i="12"/>
  <c r="O2735" i="12"/>
  <c r="O2879" i="12"/>
  <c r="O2951" i="12"/>
  <c r="O2519" i="12"/>
  <c r="O2699" i="12"/>
  <c r="O2339" i="12"/>
  <c r="O2483" i="12"/>
  <c r="O2375" i="12"/>
  <c r="O2663" i="12"/>
  <c r="O2807" i="12"/>
  <c r="O2627" i="12"/>
  <c r="O2915" i="12"/>
  <c r="O2555" i="12"/>
  <c r="O2411" i="12"/>
  <c r="O2303" i="12"/>
  <c r="O2844" i="12"/>
  <c r="O2772" i="12"/>
  <c r="O2592" i="12"/>
  <c r="O2448" i="12"/>
  <c r="O2736" i="12"/>
  <c r="O2880" i="12"/>
  <c r="O2952" i="12"/>
  <c r="O2520" i="12"/>
  <c r="O2700" i="12"/>
  <c r="O2340" i="12"/>
  <c r="O2484" i="12"/>
  <c r="O2376" i="12"/>
  <c r="O2664" i="12"/>
  <c r="O2808" i="12"/>
  <c r="O2628" i="12"/>
  <c r="O2916" i="12"/>
  <c r="O2556" i="12"/>
  <c r="O2412" i="12"/>
  <c r="O2304" i="12"/>
  <c r="O2845" i="12"/>
  <c r="O2773" i="12"/>
  <c r="O2593" i="12"/>
  <c r="O2449" i="12"/>
  <c r="O2737" i="12"/>
  <c r="O2881" i="12"/>
  <c r="O2953" i="12"/>
  <c r="O2521" i="12"/>
  <c r="O2701" i="12"/>
  <c r="O2341" i="12"/>
  <c r="O2485" i="12"/>
  <c r="O2377" i="12"/>
  <c r="O2665" i="12"/>
  <c r="O2809" i="12"/>
  <c r="O2629" i="12"/>
  <c r="O2917" i="12"/>
  <c r="O2557" i="12"/>
  <c r="O2413" i="12"/>
  <c r="O2305" i="12"/>
  <c r="O3098" i="12"/>
  <c r="O2954" i="12"/>
  <c r="O3206" i="12"/>
  <c r="O3458" i="12"/>
  <c r="O3566" i="12"/>
  <c r="O2990" i="12"/>
  <c r="O3530" i="12"/>
  <c r="O3134" i="12"/>
  <c r="O3350" i="12"/>
  <c r="O3026" i="12"/>
  <c r="O3062" i="12"/>
  <c r="O3278" i="12"/>
  <c r="O3314" i="12"/>
  <c r="O3494" i="12"/>
  <c r="O3170" i="12"/>
  <c r="O3422" i="12"/>
  <c r="O3242" i="12"/>
  <c r="O3386" i="12"/>
  <c r="O3099" i="12"/>
  <c r="O2955" i="12"/>
  <c r="O3207" i="12"/>
  <c r="O3459" i="12"/>
  <c r="O3567" i="12"/>
  <c r="O2991" i="12"/>
  <c r="O3531" i="12"/>
  <c r="O3135" i="12"/>
  <c r="O3351" i="12"/>
  <c r="O3027" i="12"/>
  <c r="O3063" i="12"/>
  <c r="O3279" i="12"/>
  <c r="O3315" i="12"/>
  <c r="O3495" i="12"/>
  <c r="O3171" i="12"/>
  <c r="O3423" i="12"/>
  <c r="O3243" i="12"/>
  <c r="O3387" i="12"/>
  <c r="O3100" i="12"/>
  <c r="O2956" i="12"/>
  <c r="O3208" i="12"/>
  <c r="O3460" i="12"/>
  <c r="O3568" i="12"/>
  <c r="O2992" i="12"/>
  <c r="O3532" i="12"/>
  <c r="O3136" i="12"/>
  <c r="O3352" i="12"/>
  <c r="O3028" i="12"/>
  <c r="O3064" i="12"/>
  <c r="O3280" i="12"/>
  <c r="O3316" i="12"/>
  <c r="O3496" i="12"/>
  <c r="O3172" i="12"/>
  <c r="O3424" i="12"/>
  <c r="O3244" i="12"/>
  <c r="O3388" i="12"/>
  <c r="O3101" i="12"/>
  <c r="O2957" i="12"/>
  <c r="O3209" i="12"/>
  <c r="O3461" i="12"/>
  <c r="O3569" i="12"/>
  <c r="O2993" i="12"/>
  <c r="O3533" i="12"/>
  <c r="O3137" i="12"/>
  <c r="O3353" i="12"/>
  <c r="O3029" i="12"/>
  <c r="O3065" i="12"/>
  <c r="O3281" i="12"/>
  <c r="O3317" i="12"/>
  <c r="O3497" i="12"/>
  <c r="O3173" i="12"/>
  <c r="O3425" i="12"/>
  <c r="O3245" i="12"/>
  <c r="O3389" i="12"/>
  <c r="O3102" i="12"/>
  <c r="O2958" i="12"/>
  <c r="O3210" i="12"/>
  <c r="O3462" i="12"/>
  <c r="O3570" i="12"/>
  <c r="O2994" i="12"/>
  <c r="O3534" i="12"/>
  <c r="O3138" i="12"/>
  <c r="O3354" i="12"/>
  <c r="O3030" i="12"/>
  <c r="O3066" i="12"/>
  <c r="O3282" i="12"/>
  <c r="O3318" i="12"/>
  <c r="O3498" i="12"/>
  <c r="O3174" i="12"/>
  <c r="O3426" i="12"/>
  <c r="O3246" i="12"/>
  <c r="O3390" i="12"/>
  <c r="O3103" i="12"/>
  <c r="O2959" i="12"/>
  <c r="O3211" i="12"/>
  <c r="O3463" i="12"/>
  <c r="O3571" i="12"/>
  <c r="O2995" i="12"/>
  <c r="O3535" i="12"/>
  <c r="O3139" i="12"/>
  <c r="O3355" i="12"/>
  <c r="O3031" i="12"/>
  <c r="O3067" i="12"/>
  <c r="O3283" i="12"/>
  <c r="O3319" i="12"/>
  <c r="O3499" i="12"/>
  <c r="O3175" i="12"/>
  <c r="O3427" i="12"/>
  <c r="O3247" i="12"/>
  <c r="O3391" i="12"/>
  <c r="O3104" i="12"/>
  <c r="O2960" i="12"/>
  <c r="O3212" i="12"/>
  <c r="O3464" i="12"/>
  <c r="O3572" i="12"/>
  <c r="O2996" i="12"/>
  <c r="O3536" i="12"/>
  <c r="O3140" i="12"/>
  <c r="O3356" i="12"/>
  <c r="O3032" i="12"/>
  <c r="O3068" i="12"/>
  <c r="O3284" i="12"/>
  <c r="O3320" i="12"/>
  <c r="O3500" i="12"/>
  <c r="O3176" i="12"/>
  <c r="O3428" i="12"/>
  <c r="O3248" i="12"/>
  <c r="O3392" i="12"/>
  <c r="O3105" i="12"/>
  <c r="O2961" i="12"/>
  <c r="O3213" i="12"/>
  <c r="O3465" i="12"/>
  <c r="O3573" i="12"/>
  <c r="O2997" i="12"/>
  <c r="O3537" i="12"/>
  <c r="O3141" i="12"/>
  <c r="O3357" i="12"/>
  <c r="O3033" i="12"/>
  <c r="O3069" i="12"/>
  <c r="O3285" i="12"/>
  <c r="O3321" i="12"/>
  <c r="O3501" i="12"/>
  <c r="O3177" i="12"/>
  <c r="O3429" i="12"/>
  <c r="O3249" i="12"/>
  <c r="O3393" i="12"/>
  <c r="O3106" i="12"/>
  <c r="O2962" i="12"/>
  <c r="O3214" i="12"/>
  <c r="O3466" i="12"/>
  <c r="O3574" i="12"/>
  <c r="O2998" i="12"/>
  <c r="O3538" i="12"/>
  <c r="O3142" i="12"/>
  <c r="O3358" i="12"/>
  <c r="O3034" i="12"/>
  <c r="O3070" i="12"/>
  <c r="O3286" i="12"/>
  <c r="O3322" i="12"/>
  <c r="O3502" i="12"/>
  <c r="O3178" i="12"/>
  <c r="O3430" i="12"/>
  <c r="O3250" i="12"/>
  <c r="O3394" i="12"/>
  <c r="O3107" i="12"/>
  <c r="O2963" i="12"/>
  <c r="O3215" i="12"/>
  <c r="O3467" i="12"/>
  <c r="O3575" i="12"/>
  <c r="O2999" i="12"/>
  <c r="O3539" i="12"/>
  <c r="O3143" i="12"/>
  <c r="O3359" i="12"/>
  <c r="O3035" i="12"/>
  <c r="O3071" i="12"/>
  <c r="O3287" i="12"/>
  <c r="O3323" i="12"/>
  <c r="O3503" i="12"/>
  <c r="O3179" i="12"/>
  <c r="O3431" i="12"/>
  <c r="O3251" i="12"/>
  <c r="O3395" i="12"/>
  <c r="O3108" i="12"/>
  <c r="O2964" i="12"/>
  <c r="O3216" i="12"/>
  <c r="O3468" i="12"/>
  <c r="O3576" i="12"/>
  <c r="O3000" i="12"/>
  <c r="O3540" i="12"/>
  <c r="O3144" i="12"/>
  <c r="O3360" i="12"/>
  <c r="O3036" i="12"/>
  <c r="O3072" i="12"/>
  <c r="O3288" i="12"/>
  <c r="O3324" i="12"/>
  <c r="O3504" i="12"/>
  <c r="O3180" i="12"/>
  <c r="O3432" i="12"/>
  <c r="O3252" i="12"/>
  <c r="O3396" i="12"/>
  <c r="O3109" i="12"/>
  <c r="O2965" i="12"/>
  <c r="O3217" i="12"/>
  <c r="O3469" i="12"/>
  <c r="O3577" i="12"/>
  <c r="O3001" i="12"/>
  <c r="O3541" i="12"/>
  <c r="O3145" i="12"/>
  <c r="O3361" i="12"/>
  <c r="O3037" i="12"/>
  <c r="O3073" i="12"/>
  <c r="O3289" i="12"/>
  <c r="O3325" i="12"/>
  <c r="O3505" i="12"/>
  <c r="O3181" i="12"/>
  <c r="O3433" i="12"/>
  <c r="O3253" i="12"/>
  <c r="O3397" i="12"/>
  <c r="O3110" i="12"/>
  <c r="O2966" i="12"/>
  <c r="O3218" i="12"/>
  <c r="O3470" i="12"/>
  <c r="O3578" i="12"/>
  <c r="O3002" i="12"/>
  <c r="O3542" i="12"/>
  <c r="O3146" i="12"/>
  <c r="O3362" i="12"/>
  <c r="O3038" i="12"/>
  <c r="O3074" i="12"/>
  <c r="O3290" i="12"/>
  <c r="O3326" i="12"/>
  <c r="O3506" i="12"/>
  <c r="O3182" i="12"/>
  <c r="O3434" i="12"/>
  <c r="O3254" i="12"/>
  <c r="O3398" i="12"/>
  <c r="O3111" i="12"/>
  <c r="O2967" i="12"/>
  <c r="O3219" i="12"/>
  <c r="O3471" i="12"/>
  <c r="O3579" i="12"/>
  <c r="O3003" i="12"/>
  <c r="O3543" i="12"/>
  <c r="O3147" i="12"/>
  <c r="O3363" i="12"/>
  <c r="O3039" i="12"/>
  <c r="O3075" i="12"/>
  <c r="O3291" i="12"/>
  <c r="O3327" i="12"/>
  <c r="O3507" i="12"/>
  <c r="O3183" i="12"/>
  <c r="O3435" i="12"/>
  <c r="O3255" i="12"/>
  <c r="O3399" i="12"/>
  <c r="O3112" i="12"/>
  <c r="O2968" i="12"/>
  <c r="O3220" i="12"/>
  <c r="O3472" i="12"/>
  <c r="O3580" i="12"/>
  <c r="O3004" i="12"/>
  <c r="O3544" i="12"/>
  <c r="O3148" i="12"/>
  <c r="O3364" i="12"/>
  <c r="O3040" i="12"/>
  <c r="O3076" i="12"/>
  <c r="O3292" i="12"/>
  <c r="O3328" i="12"/>
  <c r="O3508" i="12"/>
  <c r="O3184" i="12"/>
  <c r="O3436" i="12"/>
  <c r="O3256" i="12"/>
  <c r="O3400" i="12"/>
  <c r="O3113" i="12"/>
  <c r="O2969" i="12"/>
  <c r="O3221" i="12"/>
  <c r="O3473" i="12"/>
  <c r="O3581" i="12"/>
  <c r="O3005" i="12"/>
  <c r="O3545" i="12"/>
  <c r="O3149" i="12"/>
  <c r="O3365" i="12"/>
  <c r="O3041" i="12"/>
  <c r="O3077" i="12"/>
  <c r="O3293" i="12"/>
  <c r="O3329" i="12"/>
  <c r="O3509" i="12"/>
  <c r="O3185" i="12"/>
  <c r="O3437" i="12"/>
  <c r="O3257" i="12"/>
  <c r="O3401" i="12"/>
  <c r="O3114" i="12"/>
  <c r="O2970" i="12"/>
  <c r="O3222" i="12"/>
  <c r="O3474" i="12"/>
  <c r="O3582" i="12"/>
  <c r="O3006" i="12"/>
  <c r="O3546" i="12"/>
  <c r="O3150" i="12"/>
  <c r="O3366" i="12"/>
  <c r="O3042" i="12"/>
  <c r="O3078" i="12"/>
  <c r="O3294" i="12"/>
  <c r="O3330" i="12"/>
  <c r="O3510" i="12"/>
  <c r="O3186" i="12"/>
  <c r="O3438" i="12"/>
  <c r="O3258" i="12"/>
  <c r="O3402" i="12"/>
  <c r="O3115" i="12"/>
  <c r="O2971" i="12"/>
  <c r="O3223" i="12"/>
  <c r="O3475" i="12"/>
  <c r="O3583" i="12"/>
  <c r="O3007" i="12"/>
  <c r="O3547" i="12"/>
  <c r="O3151" i="12"/>
  <c r="O3367" i="12"/>
  <c r="O3043" i="12"/>
  <c r="O3079" i="12"/>
  <c r="O3295" i="12"/>
  <c r="O3331" i="12"/>
  <c r="O3511" i="12"/>
  <c r="O3187" i="12"/>
  <c r="O3439" i="12"/>
  <c r="O3259" i="12"/>
  <c r="O3403" i="12"/>
  <c r="O3116" i="12"/>
  <c r="O2972" i="12"/>
  <c r="O3224" i="12"/>
  <c r="O3476" i="12"/>
  <c r="O3584" i="12"/>
  <c r="O3008" i="12"/>
  <c r="O3548" i="12"/>
  <c r="O3152" i="12"/>
  <c r="O3368" i="12"/>
  <c r="O3044" i="12"/>
  <c r="O3080" i="12"/>
  <c r="O3296" i="12"/>
  <c r="O3332" i="12"/>
  <c r="O3512" i="12"/>
  <c r="O3188" i="12"/>
  <c r="O3440" i="12"/>
  <c r="O3260" i="12"/>
  <c r="O3404" i="12"/>
  <c r="O3117" i="12"/>
  <c r="O2973" i="12"/>
  <c r="O3225" i="12"/>
  <c r="O3477" i="12"/>
  <c r="O3585" i="12"/>
  <c r="O3009" i="12"/>
  <c r="O3549" i="12"/>
  <c r="O3153" i="12"/>
  <c r="O3369" i="12"/>
  <c r="O3045" i="12"/>
  <c r="O3081" i="12"/>
  <c r="O3297" i="12"/>
  <c r="O3333" i="12"/>
  <c r="O3513" i="12"/>
  <c r="O3189" i="12"/>
  <c r="O3441" i="12"/>
  <c r="O3261" i="12"/>
  <c r="O3405" i="12"/>
  <c r="O3118" i="12"/>
  <c r="O2974" i="12"/>
  <c r="O3226" i="12"/>
  <c r="O3478" i="12"/>
  <c r="O3586" i="12"/>
  <c r="O3010" i="12"/>
  <c r="O3550" i="12"/>
  <c r="O3154" i="12"/>
  <c r="O3370" i="12"/>
  <c r="O3046" i="12"/>
  <c r="O3082" i="12"/>
  <c r="O3298" i="12"/>
  <c r="O3334" i="12"/>
  <c r="O3514" i="12"/>
  <c r="O3190" i="12"/>
  <c r="O3442" i="12"/>
  <c r="O3262" i="12"/>
  <c r="O3406" i="12"/>
  <c r="O3119" i="12"/>
  <c r="O2975" i="12"/>
  <c r="O3227" i="12"/>
  <c r="O3479" i="12"/>
  <c r="O3587" i="12"/>
  <c r="O3011" i="12"/>
  <c r="O3551" i="12"/>
  <c r="O3155" i="12"/>
  <c r="O3371" i="12"/>
  <c r="O3047" i="12"/>
  <c r="O3083" i="12"/>
  <c r="O3299" i="12"/>
  <c r="O3335" i="12"/>
  <c r="O3515" i="12"/>
  <c r="O3191" i="12"/>
  <c r="O3443" i="12"/>
  <c r="O3263" i="12"/>
  <c r="O3407" i="12"/>
  <c r="O3120" i="12"/>
  <c r="O2976" i="12"/>
  <c r="O3228" i="12"/>
  <c r="O3480" i="12"/>
  <c r="O3588" i="12"/>
  <c r="O3012" i="12"/>
  <c r="O3552" i="12"/>
  <c r="O3156" i="12"/>
  <c r="O3372" i="12"/>
  <c r="O3048" i="12"/>
  <c r="O3084" i="12"/>
  <c r="O3300" i="12"/>
  <c r="O3336" i="12"/>
  <c r="O3516" i="12"/>
  <c r="O3192" i="12"/>
  <c r="O3444" i="12"/>
  <c r="O3264" i="12"/>
  <c r="O3408" i="12"/>
  <c r="O3121" i="12"/>
  <c r="O2977" i="12"/>
  <c r="O3229" i="12"/>
  <c r="O3481" i="12"/>
  <c r="O3589" i="12"/>
  <c r="O3013" i="12"/>
  <c r="O3553" i="12"/>
  <c r="O3157" i="12"/>
  <c r="O3373" i="12"/>
  <c r="O3049" i="12"/>
  <c r="O3085" i="12"/>
  <c r="O3301" i="12"/>
  <c r="O3337" i="12"/>
  <c r="O3517" i="12"/>
  <c r="O3193" i="12"/>
  <c r="O3445" i="12"/>
  <c r="O3265" i="12"/>
  <c r="O3409" i="12"/>
  <c r="O3122" i="12"/>
  <c r="O2978" i="12"/>
  <c r="O3230" i="12"/>
  <c r="O3482" i="12"/>
  <c r="O3590" i="12"/>
  <c r="O3014" i="12"/>
  <c r="O3554" i="12"/>
  <c r="O3158" i="12"/>
  <c r="O3374" i="12"/>
  <c r="O3050" i="12"/>
  <c r="O3086" i="12"/>
  <c r="O3302" i="12"/>
  <c r="O3338" i="12"/>
  <c r="O3518" i="12"/>
  <c r="O3194" i="12"/>
  <c r="O3446" i="12"/>
  <c r="O3266" i="12"/>
  <c r="O3410" i="12"/>
  <c r="O3123" i="12"/>
  <c r="O2979" i="12"/>
  <c r="O3231" i="12"/>
  <c r="O3483" i="12"/>
  <c r="O3591" i="12"/>
  <c r="O3015" i="12"/>
  <c r="O3555" i="12"/>
  <c r="O3159" i="12"/>
  <c r="O3375" i="12"/>
  <c r="O3051" i="12"/>
  <c r="O3087" i="12"/>
  <c r="O3303" i="12"/>
  <c r="O3339" i="12"/>
  <c r="O3519" i="12"/>
  <c r="O3195" i="12"/>
  <c r="O3447" i="12"/>
  <c r="O3267" i="12"/>
  <c r="O3411" i="12"/>
  <c r="O3124" i="12"/>
  <c r="O2980" i="12"/>
  <c r="O3232" i="12"/>
  <c r="O3484" i="12"/>
  <c r="O3592" i="12"/>
  <c r="O3016" i="12"/>
  <c r="O3556" i="12"/>
  <c r="O3160" i="12"/>
  <c r="O3376" i="12"/>
  <c r="O3052" i="12"/>
  <c r="O3088" i="12"/>
  <c r="O3304" i="12"/>
  <c r="O3340" i="12"/>
  <c r="O3520" i="12"/>
  <c r="O3196" i="12"/>
  <c r="O3448" i="12"/>
  <c r="O3268" i="12"/>
  <c r="O3412" i="12"/>
  <c r="O3125" i="12"/>
  <c r="O2981" i="12"/>
  <c r="O3233" i="12"/>
  <c r="O3485" i="12"/>
  <c r="O3593" i="12"/>
  <c r="O3017" i="12"/>
  <c r="O3557" i="12"/>
  <c r="O3161" i="12"/>
  <c r="O3377" i="12"/>
  <c r="O3053" i="12"/>
  <c r="O3089" i="12"/>
  <c r="O3305" i="12"/>
  <c r="O3341" i="12"/>
  <c r="O3521" i="12"/>
  <c r="O3197" i="12"/>
  <c r="O3449" i="12"/>
  <c r="O3269" i="12"/>
  <c r="O3413" i="12"/>
  <c r="O3126" i="12"/>
  <c r="O2982" i="12"/>
  <c r="O3234" i="12"/>
  <c r="O3486" i="12"/>
  <c r="O3594" i="12"/>
  <c r="O3018" i="12"/>
  <c r="O3558" i="12"/>
  <c r="O3162" i="12"/>
  <c r="O3378" i="12"/>
  <c r="O3054" i="12"/>
  <c r="O3090" i="12"/>
  <c r="O3306" i="12"/>
  <c r="O3342" i="12"/>
  <c r="O3522" i="12"/>
  <c r="O3198" i="12"/>
  <c r="O3450" i="12"/>
  <c r="O3270" i="12"/>
  <c r="O3414" i="12"/>
  <c r="O3127" i="12"/>
  <c r="O2983" i="12"/>
  <c r="O3235" i="12"/>
  <c r="O3487" i="12"/>
  <c r="O3595" i="12"/>
  <c r="O3019" i="12"/>
  <c r="O3559" i="12"/>
  <c r="O3163" i="12"/>
  <c r="O3379" i="12"/>
  <c r="O3055" i="12"/>
  <c r="O3091" i="12"/>
  <c r="O3307" i="12"/>
  <c r="O3343" i="12"/>
  <c r="O3523" i="12"/>
  <c r="O3199" i="12"/>
  <c r="O3451" i="12"/>
  <c r="O3271" i="12"/>
  <c r="O3415" i="12"/>
  <c r="O3128" i="12"/>
  <c r="O2984" i="12"/>
  <c r="O3236" i="12"/>
  <c r="O3488" i="12"/>
  <c r="O3596" i="12"/>
  <c r="O3020" i="12"/>
  <c r="O3560" i="12"/>
  <c r="O3164" i="12"/>
  <c r="O3380" i="12"/>
  <c r="O3056" i="12"/>
  <c r="O3092" i="12"/>
  <c r="O3308" i="12"/>
  <c r="O3344" i="12"/>
  <c r="O3524" i="12"/>
  <c r="O3200" i="12"/>
  <c r="O3452" i="12"/>
  <c r="O3272" i="12"/>
  <c r="O3416" i="12"/>
  <c r="O3129" i="12"/>
  <c r="O2985" i="12"/>
  <c r="O3237" i="12"/>
  <c r="O3489" i="12"/>
  <c r="O3597" i="12"/>
  <c r="O3021" i="12"/>
  <c r="O3561" i="12"/>
  <c r="O3165" i="12"/>
  <c r="O3381" i="12"/>
  <c r="O3057" i="12"/>
  <c r="O3093" i="12"/>
  <c r="O3309" i="12"/>
  <c r="O3345" i="12"/>
  <c r="O3525" i="12"/>
  <c r="O3201" i="12"/>
  <c r="O3453" i="12"/>
  <c r="O3273" i="12"/>
  <c r="O3417" i="12"/>
  <c r="O3130" i="12"/>
  <c r="O2986" i="12"/>
  <c r="O3238" i="12"/>
  <c r="O3490" i="12"/>
  <c r="O3598" i="12"/>
  <c r="O3022" i="12"/>
  <c r="O3562" i="12"/>
  <c r="O3166" i="12"/>
  <c r="O3382" i="12"/>
  <c r="O3058" i="12"/>
  <c r="O3094" i="12"/>
  <c r="O3310" i="12"/>
  <c r="O3346" i="12"/>
  <c r="O3526" i="12"/>
  <c r="O3202" i="12"/>
  <c r="O3454" i="12"/>
  <c r="O3274" i="12"/>
  <c r="O3418" i="12"/>
  <c r="O3131" i="12"/>
  <c r="O2987" i="12"/>
  <c r="O3239" i="12"/>
  <c r="O3491" i="12"/>
  <c r="O3599" i="12"/>
  <c r="O3023" i="12"/>
  <c r="O3563" i="12"/>
  <c r="O3167" i="12"/>
  <c r="O3383" i="12"/>
  <c r="O3059" i="12"/>
  <c r="O3095" i="12"/>
  <c r="O3311" i="12"/>
  <c r="O3347" i="12"/>
  <c r="O3527" i="12"/>
  <c r="O3203" i="12"/>
  <c r="O3455" i="12"/>
  <c r="O3275" i="12"/>
  <c r="O3419" i="12"/>
  <c r="O3132" i="12"/>
  <c r="O2988" i="12"/>
  <c r="O3240" i="12"/>
  <c r="O3492" i="12"/>
  <c r="O3600" i="12"/>
  <c r="O3024" i="12"/>
  <c r="O3564" i="12"/>
  <c r="O3168" i="12"/>
  <c r="O3384" i="12"/>
  <c r="O3060" i="12"/>
  <c r="O3096" i="12"/>
  <c r="O3312" i="12"/>
  <c r="O3348" i="12"/>
  <c r="O3528" i="12"/>
  <c r="O3204" i="12"/>
  <c r="O3456" i="12"/>
  <c r="O3276" i="12"/>
  <c r="O3420" i="12"/>
  <c r="O3133" i="12"/>
  <c r="O2989" i="12"/>
  <c r="O3241" i="12"/>
  <c r="O3493" i="12"/>
  <c r="O3601" i="12"/>
  <c r="O3025" i="12"/>
  <c r="O3565" i="12"/>
  <c r="O3169" i="12"/>
  <c r="O3385" i="12"/>
  <c r="O3061" i="12"/>
  <c r="O3097" i="12"/>
  <c r="O3313" i="12"/>
  <c r="O3349" i="12"/>
  <c r="O3529" i="12"/>
  <c r="O3205" i="12"/>
  <c r="O3457" i="12"/>
  <c r="O3277" i="12"/>
  <c r="O3421" i="12"/>
  <c r="O362" i="12"/>
  <c r="O110" i="12"/>
  <c r="O254" i="12"/>
  <c r="O470" i="12"/>
  <c r="O182" i="12"/>
  <c r="O434" i="12"/>
  <c r="O146" i="12"/>
  <c r="O614" i="12"/>
  <c r="O506" i="12"/>
  <c r="O290" i="12"/>
  <c r="O398" i="12"/>
  <c r="O326" i="12"/>
  <c r="O218" i="12"/>
  <c r="O363" i="12"/>
  <c r="O111" i="12"/>
  <c r="O255" i="12"/>
  <c r="O471" i="12"/>
  <c r="O183" i="12"/>
  <c r="O435" i="12"/>
  <c r="O147" i="12"/>
  <c r="O615" i="12"/>
  <c r="O507" i="12"/>
  <c r="O291" i="12"/>
  <c r="O399" i="12"/>
  <c r="O327" i="12"/>
  <c r="O219" i="12"/>
  <c r="O364" i="12"/>
  <c r="O112" i="12"/>
  <c r="O256" i="12"/>
  <c r="O472" i="12"/>
  <c r="O184" i="12"/>
  <c r="O436" i="12"/>
  <c r="O148" i="12"/>
  <c r="O616" i="12"/>
  <c r="O508" i="12"/>
  <c r="O292" i="12"/>
  <c r="O400" i="12"/>
  <c r="O328" i="12"/>
  <c r="O220" i="12"/>
  <c r="O365" i="12"/>
  <c r="O113" i="12"/>
  <c r="O257" i="12"/>
  <c r="O473" i="12"/>
  <c r="O185" i="12"/>
  <c r="O437" i="12"/>
  <c r="O149" i="12"/>
  <c r="O617" i="12"/>
  <c r="O509" i="12"/>
  <c r="O293" i="12"/>
  <c r="O401" i="12"/>
  <c r="O329" i="12"/>
  <c r="O221" i="12"/>
  <c r="O366" i="12"/>
  <c r="O114" i="12"/>
  <c r="O258" i="12"/>
  <c r="O474" i="12"/>
  <c r="O186" i="12"/>
  <c r="O438" i="12"/>
  <c r="O150" i="12"/>
  <c r="O618" i="12"/>
  <c r="O510" i="12"/>
  <c r="O294" i="12"/>
  <c r="O402" i="12"/>
  <c r="O330" i="12"/>
  <c r="O222" i="12"/>
  <c r="O367" i="12"/>
  <c r="O115" i="12"/>
  <c r="O259" i="12"/>
  <c r="O475" i="12"/>
  <c r="O187" i="12"/>
  <c r="O439" i="12"/>
  <c r="O151" i="12"/>
  <c r="O619" i="12"/>
  <c r="O511" i="12"/>
  <c r="O295" i="12"/>
  <c r="O403" i="12"/>
  <c r="O331" i="12"/>
  <c r="O223" i="12"/>
  <c r="O368" i="12"/>
  <c r="O116" i="12"/>
  <c r="O260" i="12"/>
  <c r="O476" i="12"/>
  <c r="O188" i="12"/>
  <c r="O440" i="12"/>
  <c r="O152" i="12"/>
  <c r="O620" i="12"/>
  <c r="O512" i="12"/>
  <c r="O296" i="12"/>
  <c r="O404" i="12"/>
  <c r="O332" i="12"/>
  <c r="O224" i="12"/>
  <c r="O369" i="12"/>
  <c r="O117" i="12"/>
  <c r="O261" i="12"/>
  <c r="O477" i="12"/>
  <c r="O189" i="12"/>
  <c r="O441" i="12"/>
  <c r="O153" i="12"/>
  <c r="O621" i="12"/>
  <c r="O513" i="12"/>
  <c r="O297" i="12"/>
  <c r="O405" i="12"/>
  <c r="O333" i="12"/>
  <c r="O225" i="12"/>
  <c r="O370" i="12"/>
  <c r="O118" i="12"/>
  <c r="O262" i="12"/>
  <c r="O478" i="12"/>
  <c r="O190" i="12"/>
  <c r="O442" i="12"/>
  <c r="O154" i="12"/>
  <c r="O622" i="12"/>
  <c r="O514" i="12"/>
  <c r="O298" i="12"/>
  <c r="O406" i="12"/>
  <c r="O334" i="12"/>
  <c r="O226" i="12"/>
  <c r="O371" i="12"/>
  <c r="O119" i="12"/>
  <c r="O263" i="12"/>
  <c r="O479" i="12"/>
  <c r="O191" i="12"/>
  <c r="O443" i="12"/>
  <c r="O155" i="12"/>
  <c r="O623" i="12"/>
  <c r="O515" i="12"/>
  <c r="O299" i="12"/>
  <c r="O407" i="12"/>
  <c r="O335" i="12"/>
  <c r="O227" i="12"/>
  <c r="O372" i="12"/>
  <c r="O120" i="12"/>
  <c r="O264" i="12"/>
  <c r="O480" i="12"/>
  <c r="O192" i="12"/>
  <c r="O444" i="12"/>
  <c r="O156" i="12"/>
  <c r="O624" i="12"/>
  <c r="O516" i="12"/>
  <c r="O300" i="12"/>
  <c r="O408" i="12"/>
  <c r="O336" i="12"/>
  <c r="O228" i="12"/>
  <c r="O373" i="12"/>
  <c r="O121" i="12"/>
  <c r="O265" i="12"/>
  <c r="O481" i="12"/>
  <c r="O193" i="12"/>
  <c r="O445" i="12"/>
  <c r="O157" i="12"/>
  <c r="O625" i="12"/>
  <c r="O517" i="12"/>
  <c r="O301" i="12"/>
  <c r="O409" i="12"/>
  <c r="O337" i="12"/>
  <c r="O229" i="12"/>
  <c r="O374" i="12"/>
  <c r="O122" i="12"/>
  <c r="O266" i="12"/>
  <c r="O482" i="12"/>
  <c r="O194" i="12"/>
  <c r="O446" i="12"/>
  <c r="O158" i="12"/>
  <c r="O626" i="12"/>
  <c r="O518" i="12"/>
  <c r="O302" i="12"/>
  <c r="O410" i="12"/>
  <c r="O338" i="12"/>
  <c r="O230" i="12"/>
  <c r="O375" i="12"/>
  <c r="O123" i="12"/>
  <c r="O267" i="12"/>
  <c r="O483" i="12"/>
  <c r="O195" i="12"/>
  <c r="O447" i="12"/>
  <c r="O159" i="12"/>
  <c r="O627" i="12"/>
  <c r="O519" i="12"/>
  <c r="O303" i="12"/>
  <c r="O411" i="12"/>
  <c r="O339" i="12"/>
  <c r="O231" i="12"/>
  <c r="O376" i="12"/>
  <c r="O124" i="12"/>
  <c r="O268" i="12"/>
  <c r="O484" i="12"/>
  <c r="O196" i="12"/>
  <c r="O448" i="12"/>
  <c r="O160" i="12"/>
  <c r="O628" i="12"/>
  <c r="O520" i="12"/>
  <c r="O304" i="12"/>
  <c r="O412" i="12"/>
  <c r="O340" i="12"/>
  <c r="O232" i="12"/>
  <c r="O377" i="12"/>
  <c r="O125" i="12"/>
  <c r="O269" i="12"/>
  <c r="O485" i="12"/>
  <c r="O197" i="12"/>
  <c r="O449" i="12"/>
  <c r="O161" i="12"/>
  <c r="O629" i="12"/>
  <c r="O521" i="12"/>
  <c r="O305" i="12"/>
  <c r="O413" i="12"/>
  <c r="O341" i="12"/>
  <c r="O233" i="12"/>
  <c r="O378" i="12"/>
  <c r="O126" i="12"/>
  <c r="O270" i="12"/>
  <c r="O486" i="12"/>
  <c r="O198" i="12"/>
  <c r="O450" i="12"/>
  <c r="O162" i="12"/>
  <c r="O630" i="12"/>
  <c r="O522" i="12"/>
  <c r="O306" i="12"/>
  <c r="O414" i="12"/>
  <c r="O342" i="12"/>
  <c r="O234" i="12"/>
  <c r="O379" i="12"/>
  <c r="O127" i="12"/>
  <c r="O271" i="12"/>
  <c r="O487" i="12"/>
  <c r="O199" i="12"/>
  <c r="O451" i="12"/>
  <c r="O163" i="12"/>
  <c r="O631" i="12"/>
  <c r="O523" i="12"/>
  <c r="O307" i="12"/>
  <c r="O415" i="12"/>
  <c r="O343" i="12"/>
  <c r="O235" i="12"/>
  <c r="O380" i="12"/>
  <c r="O128" i="12"/>
  <c r="O272" i="12"/>
  <c r="O488" i="12"/>
  <c r="O200" i="12"/>
  <c r="O452" i="12"/>
  <c r="O164" i="12"/>
  <c r="O632" i="12"/>
  <c r="O524" i="12"/>
  <c r="O308" i="12"/>
  <c r="O416" i="12"/>
  <c r="O344" i="12"/>
  <c r="O236" i="12"/>
  <c r="O381" i="12"/>
  <c r="O129" i="12"/>
  <c r="O273" i="12"/>
  <c r="O489" i="12"/>
  <c r="O201" i="12"/>
  <c r="O453" i="12"/>
  <c r="O165" i="12"/>
  <c r="O633" i="12"/>
  <c r="O525" i="12"/>
  <c r="O309" i="12"/>
  <c r="O417" i="12"/>
  <c r="O345" i="12"/>
  <c r="O237" i="12"/>
  <c r="O382" i="12"/>
  <c r="O130" i="12"/>
  <c r="O274" i="12"/>
  <c r="O490" i="12"/>
  <c r="O202" i="12"/>
  <c r="O454" i="12"/>
  <c r="O166" i="12"/>
  <c r="O634" i="12"/>
  <c r="O526" i="12"/>
  <c r="O310" i="12"/>
  <c r="O418" i="12"/>
  <c r="O346" i="12"/>
  <c r="O238" i="12"/>
  <c r="O383" i="12"/>
  <c r="O131" i="12"/>
  <c r="O275" i="12"/>
  <c r="O491" i="12"/>
  <c r="O203" i="12"/>
  <c r="O455" i="12"/>
  <c r="O167" i="12"/>
  <c r="O635" i="12"/>
  <c r="O527" i="12"/>
  <c r="O311" i="12"/>
  <c r="O419" i="12"/>
  <c r="O347" i="12"/>
  <c r="O239" i="12"/>
  <c r="O384" i="12"/>
  <c r="O132" i="12"/>
  <c r="O276" i="12"/>
  <c r="O492" i="12"/>
  <c r="O204" i="12"/>
  <c r="O456" i="12"/>
  <c r="O168" i="12"/>
  <c r="O636" i="12"/>
  <c r="O528" i="12"/>
  <c r="O312" i="12"/>
  <c r="O420" i="12"/>
  <c r="O348" i="12"/>
  <c r="O240" i="12"/>
  <c r="O385" i="12"/>
  <c r="O133" i="12"/>
  <c r="O277" i="12"/>
  <c r="O493" i="12"/>
  <c r="O205" i="12"/>
  <c r="O457" i="12"/>
  <c r="O169" i="12"/>
  <c r="O637" i="12"/>
  <c r="O529" i="12"/>
  <c r="O313" i="12"/>
  <c r="O421" i="12"/>
  <c r="O349" i="12"/>
  <c r="O241" i="12"/>
  <c r="O386" i="12"/>
  <c r="O134" i="12"/>
  <c r="O278" i="12"/>
  <c r="O494" i="12"/>
  <c r="O206" i="12"/>
  <c r="O458" i="12"/>
  <c r="O170" i="12"/>
  <c r="O638" i="12"/>
  <c r="O530" i="12"/>
  <c r="O314" i="12"/>
  <c r="O422" i="12"/>
  <c r="O350" i="12"/>
  <c r="O242" i="12"/>
  <c r="O387" i="12"/>
  <c r="O135" i="12"/>
  <c r="O279" i="12"/>
  <c r="O495" i="12"/>
  <c r="O207" i="12"/>
  <c r="O459" i="12"/>
  <c r="O171" i="12"/>
  <c r="O639" i="12"/>
  <c r="O531" i="12"/>
  <c r="O315" i="12"/>
  <c r="O423" i="12"/>
  <c r="O351" i="12"/>
  <c r="O243" i="12"/>
  <c r="O388" i="12"/>
  <c r="O136" i="12"/>
  <c r="O280" i="12"/>
  <c r="O496" i="12"/>
  <c r="O208" i="12"/>
  <c r="O460" i="12"/>
  <c r="O172" i="12"/>
  <c r="O640" i="12"/>
  <c r="O532" i="12"/>
  <c r="O316" i="12"/>
  <c r="O424" i="12"/>
  <c r="O352" i="12"/>
  <c r="O244" i="12"/>
  <c r="O389" i="12"/>
  <c r="O137" i="12"/>
  <c r="O281" i="12"/>
  <c r="O497" i="12"/>
  <c r="O209" i="12"/>
  <c r="O461" i="12"/>
  <c r="O173" i="12"/>
  <c r="O641" i="12"/>
  <c r="O533" i="12"/>
  <c r="O317" i="12"/>
  <c r="O425" i="12"/>
  <c r="O353" i="12"/>
  <c r="O245" i="12"/>
  <c r="O390" i="12"/>
  <c r="O138" i="12"/>
  <c r="O282" i="12"/>
  <c r="O498" i="12"/>
  <c r="O210" i="12"/>
  <c r="O462" i="12"/>
  <c r="O174" i="12"/>
  <c r="O642" i="12"/>
  <c r="O534" i="12"/>
  <c r="O318" i="12"/>
  <c r="O426" i="12"/>
  <c r="O354" i="12"/>
  <c r="O246" i="12"/>
  <c r="O391" i="12"/>
  <c r="O139" i="12"/>
  <c r="O283" i="12"/>
  <c r="O499" i="12"/>
  <c r="O211" i="12"/>
  <c r="O463" i="12"/>
  <c r="O175" i="12"/>
  <c r="O643" i="12"/>
  <c r="O535" i="12"/>
  <c r="O319" i="12"/>
  <c r="O427" i="12"/>
  <c r="O355" i="12"/>
  <c r="O247" i="12"/>
  <c r="O392" i="12"/>
  <c r="O140" i="12"/>
  <c r="O284" i="12"/>
  <c r="O500" i="12"/>
  <c r="O212" i="12"/>
  <c r="O464" i="12"/>
  <c r="O176" i="12"/>
  <c r="O644" i="12"/>
  <c r="O536" i="12"/>
  <c r="O320" i="12"/>
  <c r="O428" i="12"/>
  <c r="O356" i="12"/>
  <c r="O248" i="12"/>
  <c r="O393" i="12"/>
  <c r="O141" i="12"/>
  <c r="O285" i="12"/>
  <c r="O501" i="12"/>
  <c r="O213" i="12"/>
  <c r="O465" i="12"/>
  <c r="O177" i="12"/>
  <c r="O645" i="12"/>
  <c r="O537" i="12"/>
  <c r="O321" i="12"/>
  <c r="O429" i="12"/>
  <c r="O357" i="12"/>
  <c r="O249" i="12"/>
  <c r="O394" i="12"/>
  <c r="O142" i="12"/>
  <c r="O286" i="12"/>
  <c r="O502" i="12"/>
  <c r="O214" i="12"/>
  <c r="O466" i="12"/>
  <c r="O178" i="12"/>
  <c r="O646" i="12"/>
  <c r="O538" i="12"/>
  <c r="O322" i="12"/>
  <c r="O430" i="12"/>
  <c r="O358" i="12"/>
  <c r="O250" i="12"/>
  <c r="O395" i="12"/>
  <c r="O143" i="12"/>
  <c r="O287" i="12"/>
  <c r="O503" i="12"/>
  <c r="O215" i="12"/>
  <c r="O467" i="12"/>
  <c r="O179" i="12"/>
  <c r="O647" i="12"/>
  <c r="O539" i="12"/>
  <c r="O323" i="12"/>
  <c r="O431" i="12"/>
  <c r="O359" i="12"/>
  <c r="O251" i="12"/>
  <c r="O396" i="12"/>
  <c r="O144" i="12"/>
  <c r="O288" i="12"/>
  <c r="O504" i="12"/>
  <c r="O216" i="12"/>
  <c r="O468" i="12"/>
  <c r="O180" i="12"/>
  <c r="O648" i="12"/>
  <c r="O540" i="12"/>
  <c r="O324" i="12"/>
  <c r="O432" i="12"/>
  <c r="O360" i="12"/>
  <c r="O252" i="12"/>
  <c r="O397" i="12"/>
  <c r="O145" i="12"/>
  <c r="O289" i="12"/>
  <c r="O505" i="12"/>
  <c r="O217" i="12"/>
  <c r="O469" i="12"/>
  <c r="O181" i="12"/>
  <c r="O649" i="12"/>
  <c r="O541" i="12"/>
  <c r="O325" i="12"/>
  <c r="O433" i="12"/>
  <c r="O361" i="12"/>
  <c r="O253" i="12"/>
  <c r="O542" i="12"/>
  <c r="O543" i="12"/>
  <c r="O544" i="12"/>
  <c r="O545" i="12"/>
  <c r="O546" i="12"/>
  <c r="O547" i="12"/>
  <c r="O548" i="12"/>
  <c r="O549" i="12"/>
  <c r="O550" i="12"/>
  <c r="O551" i="12"/>
  <c r="O552" i="12"/>
  <c r="O553" i="12"/>
  <c r="O554" i="12"/>
  <c r="O555" i="12"/>
  <c r="O556" i="12"/>
  <c r="O557" i="12"/>
  <c r="O558" i="12"/>
  <c r="O559" i="12"/>
  <c r="O560" i="12"/>
  <c r="O561" i="12"/>
  <c r="O562" i="12"/>
  <c r="O563" i="12"/>
  <c r="O564" i="12"/>
  <c r="O565" i="12"/>
  <c r="O566" i="12"/>
  <c r="O567" i="12"/>
  <c r="O568" i="12"/>
  <c r="O569" i="12"/>
  <c r="O570" i="12"/>
  <c r="O571" i="12"/>
  <c r="O572" i="12"/>
  <c r="O573" i="12"/>
  <c r="O574" i="12"/>
  <c r="O575" i="12"/>
  <c r="O576" i="12"/>
  <c r="O577" i="12"/>
  <c r="O578" i="12"/>
  <c r="O579" i="12"/>
  <c r="O580" i="12"/>
  <c r="O581" i="12"/>
  <c r="O582" i="12"/>
  <c r="O583" i="12"/>
  <c r="O584" i="12"/>
  <c r="O585" i="12"/>
  <c r="O586" i="12"/>
  <c r="O587" i="12"/>
  <c r="O588" i="12"/>
  <c r="O589" i="12"/>
  <c r="O590" i="12"/>
  <c r="O591" i="12"/>
  <c r="O592" i="12"/>
  <c r="O593" i="12"/>
  <c r="O594" i="12"/>
  <c r="O595" i="12"/>
  <c r="O596" i="12"/>
  <c r="O597" i="12"/>
  <c r="O598" i="12"/>
  <c r="O599" i="12"/>
  <c r="O600" i="12"/>
  <c r="O601" i="12"/>
  <c r="O602" i="12"/>
  <c r="O603" i="12"/>
  <c r="O604" i="12"/>
  <c r="O605" i="12"/>
  <c r="O606" i="12"/>
  <c r="O607" i="12"/>
  <c r="O608" i="12"/>
  <c r="O609" i="12"/>
  <c r="O610" i="12"/>
  <c r="O611" i="12"/>
  <c r="O612" i="12"/>
  <c r="O613" i="12"/>
  <c r="O2090" i="12"/>
  <c r="O2234" i="12"/>
  <c r="O2126" i="12"/>
  <c r="O1874" i="12"/>
  <c r="O2054" i="12"/>
  <c r="O2198" i="12"/>
  <c r="O1982" i="12"/>
  <c r="O1838" i="12"/>
  <c r="O1946" i="12"/>
  <c r="O1910" i="12"/>
  <c r="O1802" i="12"/>
  <c r="O2018" i="12"/>
  <c r="O2162" i="12"/>
  <c r="O2091" i="12"/>
  <c r="O2235" i="12"/>
  <c r="O2127" i="12"/>
  <c r="O1875" i="12"/>
  <c r="O2055" i="12"/>
  <c r="O2199" i="12"/>
  <c r="O1983" i="12"/>
  <c r="O1839" i="12"/>
  <c r="O1947" i="12"/>
  <c r="O1911" i="12"/>
  <c r="O1803" i="12"/>
  <c r="O2019" i="12"/>
  <c r="O2163" i="12"/>
  <c r="O2092" i="12"/>
  <c r="O2236" i="12"/>
  <c r="O2128" i="12"/>
  <c r="O1876" i="12"/>
  <c r="O2056" i="12"/>
  <c r="O2200" i="12"/>
  <c r="O1984" i="12"/>
  <c r="O1840" i="12"/>
  <c r="O1948" i="12"/>
  <c r="O1912" i="12"/>
  <c r="O1804" i="12"/>
  <c r="O2020" i="12"/>
  <c r="O2164" i="12"/>
  <c r="O2093" i="12"/>
  <c r="O2237" i="12"/>
  <c r="O2129" i="12"/>
  <c r="O1877" i="12"/>
  <c r="O2057" i="12"/>
  <c r="O2201" i="12"/>
  <c r="O1985" i="12"/>
  <c r="O1841" i="12"/>
  <c r="O1949" i="12"/>
  <c r="O1913" i="12"/>
  <c r="O1805" i="12"/>
  <c r="O2021" i="12"/>
  <c r="O2165" i="12"/>
  <c r="O2094" i="12"/>
  <c r="O2238" i="12"/>
  <c r="O2130" i="12"/>
  <c r="O1878" i="12"/>
  <c r="O2058" i="12"/>
  <c r="O2202" i="12"/>
  <c r="O1986" i="12"/>
  <c r="O1842" i="12"/>
  <c r="O1950" i="12"/>
  <c r="O1914" i="12"/>
  <c r="O1806" i="12"/>
  <c r="O2022" i="12"/>
  <c r="O2166" i="12"/>
  <c r="O2095" i="12"/>
  <c r="O2239" i="12"/>
  <c r="O2131" i="12"/>
  <c r="O1879" i="12"/>
  <c r="O2059" i="12"/>
  <c r="O2203" i="12"/>
  <c r="O1987" i="12"/>
  <c r="O1843" i="12"/>
  <c r="O1951" i="12"/>
  <c r="O1915" i="12"/>
  <c r="O1807" i="12"/>
  <c r="O2023" i="12"/>
  <c r="O2167" i="12"/>
  <c r="O2096" i="12"/>
  <c r="O2240" i="12"/>
  <c r="O2132" i="12"/>
  <c r="O1880" i="12"/>
  <c r="O2060" i="12"/>
  <c r="O2204" i="12"/>
  <c r="O1988" i="12"/>
  <c r="O1844" i="12"/>
  <c r="O1952" i="12"/>
  <c r="O1916" i="12"/>
  <c r="O1808" i="12"/>
  <c r="O2024" i="12"/>
  <c r="O2168" i="12"/>
  <c r="O2097" i="12"/>
  <c r="O2241" i="12"/>
  <c r="O2133" i="12"/>
  <c r="O1881" i="12"/>
  <c r="O2061" i="12"/>
  <c r="O2205" i="12"/>
  <c r="O1989" i="12"/>
  <c r="O1845" i="12"/>
  <c r="O1953" i="12"/>
  <c r="O1917" i="12"/>
  <c r="O1809" i="12"/>
  <c r="O2025" i="12"/>
  <c r="O2169" i="12"/>
  <c r="O2098" i="12"/>
  <c r="O2242" i="12"/>
  <c r="O2134" i="12"/>
  <c r="O1882" i="12"/>
  <c r="O2062" i="12"/>
  <c r="O2206" i="12"/>
  <c r="O1990" i="12"/>
  <c r="O1846" i="12"/>
  <c r="O1954" i="12"/>
  <c r="O1918" i="12"/>
  <c r="O1810" i="12"/>
  <c r="O2026" i="12"/>
  <c r="O2170" i="12"/>
  <c r="O2099" i="12"/>
  <c r="O2243" i="12"/>
  <c r="O2135" i="12"/>
  <c r="O1883" i="12"/>
  <c r="O2063" i="12"/>
  <c r="O2207" i="12"/>
  <c r="O1991" i="12"/>
  <c r="O1847" i="12"/>
  <c r="O1955" i="12"/>
  <c r="O1919" i="12"/>
  <c r="O1811" i="12"/>
  <c r="O2027" i="12"/>
  <c r="O2171" i="12"/>
  <c r="O2100" i="12"/>
  <c r="O2244" i="12"/>
  <c r="O2136" i="12"/>
  <c r="O1884" i="12"/>
  <c r="O2064" i="12"/>
  <c r="O2208" i="12"/>
  <c r="O1992" i="12"/>
  <c r="O1848" i="12"/>
  <c r="O1956" i="12"/>
  <c r="O1920" i="12"/>
  <c r="O1812" i="12"/>
  <c r="O2028" i="12"/>
  <c r="O2172" i="12"/>
  <c r="O2101" i="12"/>
  <c r="O2245" i="12"/>
  <c r="O2137" i="12"/>
  <c r="O1885" i="12"/>
  <c r="O2065" i="12"/>
  <c r="O2209" i="12"/>
  <c r="O1993" i="12"/>
  <c r="O1849" i="12"/>
  <c r="O1957" i="12"/>
  <c r="O1921" i="12"/>
  <c r="O1813" i="12"/>
  <c r="O2029" i="12"/>
  <c r="O2173" i="12"/>
  <c r="O2102" i="12"/>
  <c r="O2246" i="12"/>
  <c r="O2138" i="12"/>
  <c r="O1886" i="12"/>
  <c r="O2066" i="12"/>
  <c r="O2210" i="12"/>
  <c r="O1994" i="12"/>
  <c r="O1850" i="12"/>
  <c r="O1958" i="12"/>
  <c r="O1922" i="12"/>
  <c r="O1814" i="12"/>
  <c r="O2030" i="12"/>
  <c r="O2174" i="12"/>
  <c r="O2103" i="12"/>
  <c r="O2247" i="12"/>
  <c r="O2139" i="12"/>
  <c r="O1887" i="12"/>
  <c r="O2067" i="12"/>
  <c r="O2211" i="12"/>
  <c r="O1995" i="12"/>
  <c r="O1851" i="12"/>
  <c r="O1959" i="12"/>
  <c r="O1923" i="12"/>
  <c r="O1815" i="12"/>
  <c r="O2031" i="12"/>
  <c r="O2175" i="12"/>
  <c r="O2104" i="12"/>
  <c r="O2248" i="12"/>
  <c r="O2140" i="12"/>
  <c r="O1888" i="12"/>
  <c r="O2068" i="12"/>
  <c r="O2212" i="12"/>
  <c r="O1996" i="12"/>
  <c r="O1852" i="12"/>
  <c r="O1960" i="12"/>
  <c r="O1924" i="12"/>
  <c r="O1816" i="12"/>
  <c r="O2032" i="12"/>
  <c r="O2176" i="12"/>
  <c r="O2105" i="12"/>
  <c r="O2249" i="12"/>
  <c r="O2141" i="12"/>
  <c r="O1889" i="12"/>
  <c r="O2069" i="12"/>
  <c r="O2213" i="12"/>
  <c r="O1997" i="12"/>
  <c r="O1853" i="12"/>
  <c r="O1961" i="12"/>
  <c r="O1925" i="12"/>
  <c r="O1817" i="12"/>
  <c r="O2033" i="12"/>
  <c r="O2177" i="12"/>
  <c r="O2106" i="12"/>
  <c r="O2250" i="12"/>
  <c r="O2142" i="12"/>
  <c r="O1890" i="12"/>
  <c r="O2070" i="12"/>
  <c r="O2214" i="12"/>
  <c r="O1998" i="12"/>
  <c r="O1854" i="12"/>
  <c r="O1962" i="12"/>
  <c r="O1926" i="12"/>
  <c r="O1818" i="12"/>
  <c r="O2034" i="12"/>
  <c r="O2178" i="12"/>
  <c r="O2107" i="12"/>
  <c r="O2251" i="12"/>
  <c r="O2143" i="12"/>
  <c r="O1891" i="12"/>
  <c r="O2071" i="12"/>
  <c r="O2215" i="12"/>
  <c r="O1999" i="12"/>
  <c r="O1855" i="12"/>
  <c r="O1963" i="12"/>
  <c r="O1927" i="12"/>
  <c r="O1819" i="12"/>
  <c r="O2035" i="12"/>
  <c r="O2179" i="12"/>
  <c r="O2108" i="12"/>
  <c r="O2252" i="12"/>
  <c r="O2144" i="12"/>
  <c r="O1892" i="12"/>
  <c r="O2072" i="12"/>
  <c r="O2216" i="12"/>
  <c r="O2000" i="12"/>
  <c r="O1856" i="12"/>
  <c r="O1964" i="12"/>
  <c r="O1928" i="12"/>
  <c r="O1820" i="12"/>
  <c r="O2036" i="12"/>
  <c r="O2180" i="12"/>
  <c r="O2109" i="12"/>
  <c r="O2253" i="12"/>
  <c r="O2145" i="12"/>
  <c r="O1893" i="12"/>
  <c r="O2073" i="12"/>
  <c r="O2217" i="12"/>
  <c r="O2001" i="12"/>
  <c r="O1857" i="12"/>
  <c r="O1965" i="12"/>
  <c r="O1929" i="12"/>
  <c r="O1821" i="12"/>
  <c r="O2037" i="12"/>
  <c r="O2181" i="12"/>
  <c r="O2110" i="12"/>
  <c r="O2254" i="12"/>
  <c r="O2146" i="12"/>
  <c r="O1894" i="12"/>
  <c r="O2074" i="12"/>
  <c r="O2218" i="12"/>
  <c r="O2002" i="12"/>
  <c r="O1858" i="12"/>
  <c r="O1966" i="12"/>
  <c r="O1930" i="12"/>
  <c r="O1822" i="12"/>
  <c r="O2038" i="12"/>
  <c r="O2182" i="12"/>
  <c r="O2111" i="12"/>
  <c r="O2255" i="12"/>
  <c r="O2147" i="12"/>
  <c r="O1895" i="12"/>
  <c r="O2075" i="12"/>
  <c r="O2219" i="12"/>
  <c r="O2003" i="12"/>
  <c r="O1859" i="12"/>
  <c r="O1967" i="12"/>
  <c r="O1931" i="12"/>
  <c r="O1823" i="12"/>
  <c r="O2039" i="12"/>
  <c r="O2183" i="12"/>
  <c r="O2112" i="12"/>
  <c r="O2256" i="12"/>
  <c r="O2148" i="12"/>
  <c r="O1896" i="12"/>
  <c r="O2076" i="12"/>
  <c r="O2220" i="12"/>
  <c r="O2004" i="12"/>
  <c r="O1860" i="12"/>
  <c r="O1968" i="12"/>
  <c r="O1932" i="12"/>
  <c r="O1824" i="12"/>
  <c r="O2040" i="12"/>
  <c r="O2184" i="12"/>
  <c r="O2113" i="12"/>
  <c r="O2257" i="12"/>
  <c r="O2149" i="12"/>
  <c r="O1897" i="12"/>
  <c r="O2077" i="12"/>
  <c r="O2221" i="12"/>
  <c r="O2005" i="12"/>
  <c r="O1861" i="12"/>
  <c r="O1969" i="12"/>
  <c r="O1933" i="12"/>
  <c r="O1825" i="12"/>
  <c r="O2041" i="12"/>
  <c r="O2185" i="12"/>
  <c r="O2114" i="12"/>
  <c r="O2258" i="12"/>
  <c r="O2150" i="12"/>
  <c r="O1898" i="12"/>
  <c r="O2078" i="12"/>
  <c r="O2222" i="12"/>
  <c r="O2006" i="12"/>
  <c r="O1862" i="12"/>
  <c r="O1970" i="12"/>
  <c r="O1934" i="12"/>
  <c r="O1826" i="12"/>
  <c r="O2042" i="12"/>
  <c r="O2186" i="12"/>
  <c r="O2115" i="12"/>
  <c r="O2259" i="12"/>
  <c r="O2151" i="12"/>
  <c r="O1899" i="12"/>
  <c r="O2079" i="12"/>
  <c r="O2223" i="12"/>
  <c r="O2007" i="12"/>
  <c r="O1863" i="12"/>
  <c r="O1971" i="12"/>
  <c r="O1935" i="12"/>
  <c r="O1827" i="12"/>
  <c r="O2043" i="12"/>
  <c r="O2187" i="12"/>
  <c r="O2116" i="12"/>
  <c r="O2260" i="12"/>
  <c r="O2152" i="12"/>
  <c r="O1900" i="12"/>
  <c r="O2080" i="12"/>
  <c r="O2224" i="12"/>
  <c r="O2008" i="12"/>
  <c r="O1864" i="12"/>
  <c r="O1972" i="12"/>
  <c r="O1936" i="12"/>
  <c r="O1828" i="12"/>
  <c r="O2044" i="12"/>
  <c r="O2188" i="12"/>
  <c r="O2117" i="12"/>
  <c r="O2261" i="12"/>
  <c r="O2153" i="12"/>
  <c r="O1901" i="12"/>
  <c r="O2081" i="12"/>
  <c r="O2225" i="12"/>
  <c r="O2009" i="12"/>
  <c r="O1865" i="12"/>
  <c r="O1973" i="12"/>
  <c r="O1937" i="12"/>
  <c r="O1829" i="12"/>
  <c r="O2045" i="12"/>
  <c r="O2189" i="12"/>
  <c r="O2118" i="12"/>
  <c r="O2262" i="12"/>
  <c r="O2154" i="12"/>
  <c r="O1902" i="12"/>
  <c r="O2082" i="12"/>
  <c r="O2226" i="12"/>
  <c r="O2010" i="12"/>
  <c r="O1866" i="12"/>
  <c r="O1974" i="12"/>
  <c r="O1938" i="12"/>
  <c r="O1830" i="12"/>
  <c r="O2046" i="12"/>
  <c r="O2190" i="12"/>
  <c r="O2119" i="12"/>
  <c r="O2263" i="12"/>
  <c r="O2155" i="12"/>
  <c r="O1903" i="12"/>
  <c r="O2083" i="12"/>
  <c r="O2227" i="12"/>
  <c r="O2011" i="12"/>
  <c r="O1867" i="12"/>
  <c r="O1975" i="12"/>
  <c r="O1939" i="12"/>
  <c r="O1831" i="12"/>
  <c r="O2047" i="12"/>
  <c r="O2191" i="12"/>
  <c r="O2120" i="12"/>
  <c r="O2264" i="12"/>
  <c r="O2156" i="12"/>
  <c r="O1904" i="12"/>
  <c r="O2084" i="12"/>
  <c r="O2228" i="12"/>
  <c r="O2012" i="12"/>
  <c r="O1868" i="12"/>
  <c r="O1976" i="12"/>
  <c r="O1940" i="12"/>
  <c r="O1832" i="12"/>
  <c r="O2048" i="12"/>
  <c r="O2192" i="12"/>
  <c r="O2121" i="12"/>
  <c r="O2265" i="12"/>
  <c r="O2157" i="12"/>
  <c r="O1905" i="12"/>
  <c r="O2085" i="12"/>
  <c r="O2229" i="12"/>
  <c r="O2013" i="12"/>
  <c r="O1869" i="12"/>
  <c r="O1977" i="12"/>
  <c r="O1941" i="12"/>
  <c r="O1833" i="12"/>
  <c r="O2049" i="12"/>
  <c r="O2193" i="12"/>
  <c r="O2122" i="12"/>
  <c r="O2266" i="12"/>
  <c r="O2158" i="12"/>
  <c r="O1906" i="12"/>
  <c r="O2086" i="12"/>
  <c r="O2230" i="12"/>
  <c r="O2014" i="12"/>
  <c r="O1870" i="12"/>
  <c r="O1978" i="12"/>
  <c r="O1942" i="12"/>
  <c r="O1834" i="12"/>
  <c r="O2050" i="12"/>
  <c r="O2194" i="12"/>
  <c r="O2123" i="12"/>
  <c r="O2267" i="12"/>
  <c r="O2159" i="12"/>
  <c r="O1907" i="12"/>
  <c r="O2087" i="12"/>
  <c r="O2231" i="12"/>
  <c r="O2015" i="12"/>
  <c r="O1871" i="12"/>
  <c r="O1979" i="12"/>
  <c r="O1943" i="12"/>
  <c r="O1835" i="12"/>
  <c r="O2051" i="12"/>
  <c r="O2195" i="12"/>
  <c r="O2124" i="12"/>
  <c r="O2268" i="12"/>
  <c r="O2160" i="12"/>
  <c r="O1908" i="12"/>
  <c r="O2088" i="12"/>
  <c r="O2232" i="12"/>
  <c r="O2016" i="12"/>
  <c r="O1872" i="12"/>
  <c r="O1980" i="12"/>
  <c r="O1944" i="12"/>
  <c r="O1836" i="12"/>
  <c r="O2052" i="12"/>
  <c r="O2196" i="12"/>
  <c r="O2125" i="12"/>
  <c r="O2269" i="12"/>
  <c r="O2161" i="12"/>
  <c r="O1909" i="12"/>
  <c r="O2089" i="12"/>
  <c r="O2233" i="12"/>
  <c r="O2017" i="12"/>
  <c r="O1873" i="12"/>
  <c r="O1981" i="12"/>
  <c r="O1945" i="12"/>
  <c r="O1837" i="12"/>
  <c r="O2053" i="12"/>
  <c r="O2197" i="12"/>
  <c r="O2" i="12"/>
  <c r="O74" i="12"/>
  <c r="O3" i="12"/>
  <c r="O75" i="12"/>
  <c r="O4" i="12"/>
  <c r="O76" i="12"/>
  <c r="O5" i="12"/>
  <c r="O77" i="12"/>
  <c r="O6" i="12"/>
  <c r="O78" i="12"/>
  <c r="O7" i="12"/>
  <c r="O79" i="12"/>
  <c r="O8" i="12"/>
  <c r="O80" i="12"/>
  <c r="O9" i="12"/>
  <c r="O81" i="12"/>
  <c r="O10" i="12"/>
  <c r="O82" i="12"/>
  <c r="O11" i="12"/>
  <c r="O83" i="12"/>
  <c r="O12" i="12"/>
  <c r="O84" i="12"/>
  <c r="O13" i="12"/>
  <c r="O85" i="12"/>
  <c r="O14" i="12"/>
  <c r="O86" i="12"/>
  <c r="O15" i="12"/>
  <c r="O87" i="12"/>
  <c r="O16" i="12"/>
  <c r="O88" i="12"/>
  <c r="O17" i="12"/>
  <c r="O89" i="12"/>
  <c r="O18" i="12"/>
  <c r="O90" i="12"/>
  <c r="O19" i="12"/>
  <c r="O91" i="12"/>
  <c r="O20" i="12"/>
  <c r="O92" i="12"/>
  <c r="O21" i="12"/>
  <c r="O93" i="12"/>
  <c r="O22" i="12"/>
  <c r="O94" i="12"/>
  <c r="O23" i="12"/>
  <c r="O95" i="12"/>
  <c r="O24" i="12"/>
  <c r="O96" i="12"/>
  <c r="O25" i="12"/>
  <c r="O97" i="12"/>
  <c r="O26" i="12"/>
  <c r="O98" i="12"/>
  <c r="O27" i="12"/>
  <c r="O99" i="12"/>
  <c r="O28" i="12"/>
  <c r="O100" i="12"/>
  <c r="O29" i="12"/>
  <c r="O101" i="12"/>
  <c r="O30" i="12"/>
  <c r="O102" i="12"/>
  <c r="O31" i="12"/>
  <c r="O103" i="12"/>
  <c r="O32" i="12"/>
  <c r="O104" i="12"/>
  <c r="O33" i="12"/>
  <c r="O105" i="12"/>
  <c r="O34" i="12"/>
  <c r="O106" i="12"/>
  <c r="O35" i="12"/>
  <c r="O107" i="12"/>
  <c r="O36" i="12"/>
  <c r="O108" i="12"/>
  <c r="O37" i="12"/>
  <c r="O109" i="12"/>
  <c r="N1226" i="12"/>
  <c r="N1082" i="12"/>
  <c r="N1334" i="12"/>
  <c r="N1370" i="12"/>
  <c r="N830" i="12"/>
  <c r="N38" i="12"/>
  <c r="N1478" i="12"/>
  <c r="N1586" i="12"/>
  <c r="N722" i="12"/>
  <c r="N1298" i="12"/>
  <c r="N1010" i="12"/>
  <c r="N974" i="12"/>
  <c r="N1046" i="12"/>
  <c r="N1622" i="12"/>
  <c r="N938" i="12"/>
  <c r="N686" i="12"/>
  <c r="N1154" i="12"/>
  <c r="N1730" i="12"/>
  <c r="N1550" i="12"/>
  <c r="N1694" i="12"/>
  <c r="N902" i="12"/>
  <c r="N866" i="12"/>
  <c r="N1406" i="12"/>
  <c r="N1118" i="12"/>
  <c r="N650" i="12"/>
  <c r="N1442" i="12"/>
  <c r="N1262" i="12"/>
  <c r="N1514" i="12"/>
  <c r="N794" i="12"/>
  <c r="N758" i="12"/>
  <c r="N1766" i="12"/>
  <c r="I70" i="25" s="1" a="1"/>
  <c r="L70" i="25" s="1"/>
  <c r="N70" i="25" s="1"/>
  <c r="N1658" i="12"/>
  <c r="N1191" i="12"/>
  <c r="N1227" i="12"/>
  <c r="N1083" i="12"/>
  <c r="N1335" i="12"/>
  <c r="N1371" i="12"/>
  <c r="N831" i="12"/>
  <c r="N39" i="12"/>
  <c r="N1479" i="12"/>
  <c r="N1587" i="12"/>
  <c r="N723" i="12"/>
  <c r="N1299" i="12"/>
  <c r="N1011" i="12"/>
  <c r="N975" i="12"/>
  <c r="N1047" i="12"/>
  <c r="N1623" i="12"/>
  <c r="N939" i="12"/>
  <c r="N687" i="12"/>
  <c r="N1155" i="12"/>
  <c r="N1731" i="12"/>
  <c r="N1551" i="12"/>
  <c r="N1695" i="12"/>
  <c r="N903" i="12"/>
  <c r="N867" i="12"/>
  <c r="N1407" i="12"/>
  <c r="N1119" i="12"/>
  <c r="N651" i="12"/>
  <c r="N1443" i="12"/>
  <c r="N1263" i="12"/>
  <c r="N1515" i="12"/>
  <c r="N795" i="12"/>
  <c r="N759" i="12"/>
  <c r="N1767" i="12"/>
  <c r="N1659" i="12"/>
  <c r="N1192" i="12"/>
  <c r="N1228" i="12"/>
  <c r="N1084" i="12"/>
  <c r="N1336" i="12"/>
  <c r="N1372" i="12"/>
  <c r="N832" i="12"/>
  <c r="N40" i="12"/>
  <c r="N1480" i="12"/>
  <c r="N1588" i="12"/>
  <c r="N724" i="12"/>
  <c r="N1300" i="12"/>
  <c r="N1012" i="12"/>
  <c r="N976" i="12"/>
  <c r="N1048" i="12"/>
  <c r="N1624" i="12"/>
  <c r="N940" i="12"/>
  <c r="N688" i="12"/>
  <c r="N1156" i="12"/>
  <c r="N1732" i="12"/>
  <c r="N1552" i="12"/>
  <c r="N1696" i="12"/>
  <c r="N904" i="12"/>
  <c r="N868" i="12"/>
  <c r="N1408" i="12"/>
  <c r="N1120" i="12"/>
  <c r="N652" i="12"/>
  <c r="N1444" i="12"/>
  <c r="N1264" i="12"/>
  <c r="N1516" i="12"/>
  <c r="N796" i="12"/>
  <c r="N760" i="12"/>
  <c r="N1768" i="12"/>
  <c r="N1660" i="12"/>
  <c r="N1193" i="12"/>
  <c r="N1229" i="12"/>
  <c r="N1085" i="12"/>
  <c r="N1337" i="12"/>
  <c r="N1373" i="12"/>
  <c r="N833" i="12"/>
  <c r="N41" i="12"/>
  <c r="N1481" i="12"/>
  <c r="N1589" i="12"/>
  <c r="N725" i="12"/>
  <c r="N1301" i="12"/>
  <c r="N1013" i="12"/>
  <c r="N977" i="12"/>
  <c r="N1049" i="12"/>
  <c r="N1625" i="12"/>
  <c r="N941" i="12"/>
  <c r="N689" i="12"/>
  <c r="N1157" i="12"/>
  <c r="N1733" i="12"/>
  <c r="N1553" i="12"/>
  <c r="N1697" i="12"/>
  <c r="N905" i="12"/>
  <c r="N869" i="12"/>
  <c r="N1409" i="12"/>
  <c r="N1121" i="12"/>
  <c r="N653" i="12"/>
  <c r="N1445" i="12"/>
  <c r="N1265" i="12"/>
  <c r="N1517" i="12"/>
  <c r="N797" i="12"/>
  <c r="N761" i="12"/>
  <c r="N1769" i="12"/>
  <c r="N1661" i="12"/>
  <c r="N1194" i="12"/>
  <c r="N1230" i="12"/>
  <c r="N1086" i="12"/>
  <c r="N1338" i="12"/>
  <c r="N1374" i="12"/>
  <c r="N834" i="12"/>
  <c r="N42" i="12"/>
  <c r="N1482" i="12"/>
  <c r="N1590" i="12"/>
  <c r="N726" i="12"/>
  <c r="N1302" i="12"/>
  <c r="N1014" i="12"/>
  <c r="N978" i="12"/>
  <c r="N1050" i="12"/>
  <c r="N1626" i="12"/>
  <c r="N942" i="12"/>
  <c r="N690" i="12"/>
  <c r="N1158" i="12"/>
  <c r="N1734" i="12"/>
  <c r="N1554" i="12"/>
  <c r="N1698" i="12"/>
  <c r="N906" i="12"/>
  <c r="N870" i="12"/>
  <c r="N1410" i="12"/>
  <c r="N1122" i="12"/>
  <c r="N654" i="12"/>
  <c r="N1446" i="12"/>
  <c r="N1266" i="12"/>
  <c r="N1518" i="12"/>
  <c r="N798" i="12"/>
  <c r="N762" i="12"/>
  <c r="N1770" i="12"/>
  <c r="N1662" i="12"/>
  <c r="N1195" i="12"/>
  <c r="N1231" i="12"/>
  <c r="N1087" i="12"/>
  <c r="N1339" i="12"/>
  <c r="N1375" i="12"/>
  <c r="N835" i="12"/>
  <c r="N43" i="12"/>
  <c r="N1483" i="12"/>
  <c r="N1591" i="12"/>
  <c r="N727" i="12"/>
  <c r="N1303" i="12"/>
  <c r="N1015" i="12"/>
  <c r="N979" i="12"/>
  <c r="N1051" i="12"/>
  <c r="N1627" i="12"/>
  <c r="N943" i="12"/>
  <c r="N691" i="12"/>
  <c r="N1159" i="12"/>
  <c r="N1735" i="12"/>
  <c r="N1555" i="12"/>
  <c r="N1699" i="12"/>
  <c r="N907" i="12"/>
  <c r="N871" i="12"/>
  <c r="N1411" i="12"/>
  <c r="N1123" i="12"/>
  <c r="N655" i="12"/>
  <c r="N1447" i="12"/>
  <c r="N1267" i="12"/>
  <c r="N1519" i="12"/>
  <c r="N799" i="12"/>
  <c r="N763" i="12"/>
  <c r="N1771" i="12"/>
  <c r="N1663" i="12"/>
  <c r="N1196" i="12"/>
  <c r="N1232" i="12"/>
  <c r="N1088" i="12"/>
  <c r="N1340" i="12"/>
  <c r="N1376" i="12"/>
  <c r="N836" i="12"/>
  <c r="N44" i="12"/>
  <c r="N1484" i="12"/>
  <c r="N1592" i="12"/>
  <c r="N728" i="12"/>
  <c r="N1304" i="12"/>
  <c r="N1016" i="12"/>
  <c r="N980" i="12"/>
  <c r="N1052" i="12"/>
  <c r="N1628" i="12"/>
  <c r="N944" i="12"/>
  <c r="N692" i="12"/>
  <c r="N1160" i="12"/>
  <c r="N1736" i="12"/>
  <c r="N1556" i="12"/>
  <c r="N1700" i="12"/>
  <c r="N908" i="12"/>
  <c r="N872" i="12"/>
  <c r="N1412" i="12"/>
  <c r="N1124" i="12"/>
  <c r="N656" i="12"/>
  <c r="N1448" i="12"/>
  <c r="N1268" i="12"/>
  <c r="N1520" i="12"/>
  <c r="N800" i="12"/>
  <c r="N764" i="12"/>
  <c r="N1772" i="12"/>
  <c r="N1664" i="12"/>
  <c r="N1197" i="12"/>
  <c r="N1233" i="12"/>
  <c r="N1089" i="12"/>
  <c r="N1341" i="12"/>
  <c r="N1377" i="12"/>
  <c r="N837" i="12"/>
  <c r="N45" i="12"/>
  <c r="N1485" i="12"/>
  <c r="N1593" i="12"/>
  <c r="N729" i="12"/>
  <c r="N1305" i="12"/>
  <c r="N1017" i="12"/>
  <c r="N981" i="12"/>
  <c r="N1053" i="12"/>
  <c r="N1629" i="12"/>
  <c r="N945" i="12"/>
  <c r="N693" i="12"/>
  <c r="N1161" i="12"/>
  <c r="N1737" i="12"/>
  <c r="N1557" i="12"/>
  <c r="N1701" i="12"/>
  <c r="N909" i="12"/>
  <c r="N873" i="12"/>
  <c r="N1413" i="12"/>
  <c r="N1125" i="12"/>
  <c r="N657" i="12"/>
  <c r="N1449" i="12"/>
  <c r="N1269" i="12"/>
  <c r="N1521" i="12"/>
  <c r="N801" i="12"/>
  <c r="N765" i="12"/>
  <c r="N1773" i="12"/>
  <c r="N1665" i="12"/>
  <c r="N1198" i="12"/>
  <c r="N1234" i="12"/>
  <c r="N1090" i="12"/>
  <c r="N1342" i="12"/>
  <c r="N1378" i="12"/>
  <c r="N838" i="12"/>
  <c r="N46" i="12"/>
  <c r="N1486" i="12"/>
  <c r="N1594" i="12"/>
  <c r="N730" i="12"/>
  <c r="N1306" i="12"/>
  <c r="N1018" i="12"/>
  <c r="N982" i="12"/>
  <c r="N1054" i="12"/>
  <c r="N1630" i="12"/>
  <c r="N946" i="12"/>
  <c r="N694" i="12"/>
  <c r="N1162" i="12"/>
  <c r="N1738" i="12"/>
  <c r="N1558" i="12"/>
  <c r="N1702" i="12"/>
  <c r="N910" i="12"/>
  <c r="N874" i="12"/>
  <c r="N1414" i="12"/>
  <c r="N1126" i="12"/>
  <c r="N658" i="12"/>
  <c r="N1450" i="12"/>
  <c r="N1270" i="12"/>
  <c r="N1522" i="12"/>
  <c r="N802" i="12"/>
  <c r="N766" i="12"/>
  <c r="N1774" i="12"/>
  <c r="N1666" i="12"/>
  <c r="N1199" i="12"/>
  <c r="N1235" i="12"/>
  <c r="N1091" i="12"/>
  <c r="N1343" i="12"/>
  <c r="N1379" i="12"/>
  <c r="N839" i="12"/>
  <c r="N47" i="12"/>
  <c r="N1487" i="12"/>
  <c r="N1595" i="12"/>
  <c r="N731" i="12"/>
  <c r="N1307" i="12"/>
  <c r="N1019" i="12"/>
  <c r="N983" i="12"/>
  <c r="N1055" i="12"/>
  <c r="N1631" i="12"/>
  <c r="N947" i="12"/>
  <c r="N695" i="12"/>
  <c r="N1163" i="12"/>
  <c r="N1739" i="12"/>
  <c r="N1559" i="12"/>
  <c r="N1703" i="12"/>
  <c r="N911" i="12"/>
  <c r="N875" i="12"/>
  <c r="N1415" i="12"/>
  <c r="N1127" i="12"/>
  <c r="N659" i="12"/>
  <c r="N1451" i="12"/>
  <c r="N1271" i="12"/>
  <c r="N1523" i="12"/>
  <c r="N803" i="12"/>
  <c r="N767" i="12"/>
  <c r="N1775" i="12"/>
  <c r="N1667" i="12"/>
  <c r="N1200" i="12"/>
  <c r="N1236" i="12"/>
  <c r="N1092" i="12"/>
  <c r="N1344" i="12"/>
  <c r="N1380" i="12"/>
  <c r="N840" i="12"/>
  <c r="N48" i="12"/>
  <c r="N1488" i="12"/>
  <c r="N1596" i="12"/>
  <c r="N732" i="12"/>
  <c r="N1308" i="12"/>
  <c r="N1020" i="12"/>
  <c r="N984" i="12"/>
  <c r="N1056" i="12"/>
  <c r="N1632" i="12"/>
  <c r="N948" i="12"/>
  <c r="N696" i="12"/>
  <c r="N1164" i="12"/>
  <c r="N1740" i="12"/>
  <c r="N1560" i="12"/>
  <c r="N1704" i="12"/>
  <c r="N912" i="12"/>
  <c r="N876" i="12"/>
  <c r="N1416" i="12"/>
  <c r="N1128" i="12"/>
  <c r="N660" i="12"/>
  <c r="N1452" i="12"/>
  <c r="N1272" i="12"/>
  <c r="N1524" i="12"/>
  <c r="N804" i="12"/>
  <c r="N768" i="12"/>
  <c r="N1776" i="12"/>
  <c r="N1668" i="12"/>
  <c r="N1201" i="12"/>
  <c r="N1237" i="12"/>
  <c r="N1093" i="12"/>
  <c r="N1345" i="12"/>
  <c r="N1381" i="12"/>
  <c r="N841" i="12"/>
  <c r="N49" i="12"/>
  <c r="N1489" i="12"/>
  <c r="N1597" i="12"/>
  <c r="N733" i="12"/>
  <c r="N1309" i="12"/>
  <c r="N1021" i="12"/>
  <c r="N985" i="12"/>
  <c r="N1057" i="12"/>
  <c r="N1633" i="12"/>
  <c r="N949" i="12"/>
  <c r="N697" i="12"/>
  <c r="N1165" i="12"/>
  <c r="N1741" i="12"/>
  <c r="N1561" i="12"/>
  <c r="N1705" i="12"/>
  <c r="N913" i="12"/>
  <c r="N877" i="12"/>
  <c r="N1417" i="12"/>
  <c r="N1129" i="12"/>
  <c r="N661" i="12"/>
  <c r="N1453" i="12"/>
  <c r="N1273" i="12"/>
  <c r="N1525" i="12"/>
  <c r="N805" i="12"/>
  <c r="N769" i="12"/>
  <c r="N1777" i="12"/>
  <c r="N1669" i="12"/>
  <c r="N1202" i="12"/>
  <c r="N1238" i="12"/>
  <c r="N1094" i="12"/>
  <c r="N1346" i="12"/>
  <c r="N1382" i="12"/>
  <c r="N842" i="12"/>
  <c r="N50" i="12"/>
  <c r="N1490" i="12"/>
  <c r="N1598" i="12"/>
  <c r="N734" i="12"/>
  <c r="N1310" i="12"/>
  <c r="N1022" i="12"/>
  <c r="N986" i="12"/>
  <c r="N1058" i="12"/>
  <c r="N1634" i="12"/>
  <c r="N950" i="12"/>
  <c r="N698" i="12"/>
  <c r="N1166" i="12"/>
  <c r="N1742" i="12"/>
  <c r="N1562" i="12"/>
  <c r="N1706" i="12"/>
  <c r="N914" i="12"/>
  <c r="N878" i="12"/>
  <c r="N1418" i="12"/>
  <c r="N1130" i="12"/>
  <c r="N662" i="12"/>
  <c r="N1454" i="12"/>
  <c r="N1274" i="12"/>
  <c r="N1526" i="12"/>
  <c r="N806" i="12"/>
  <c r="N770" i="12"/>
  <c r="N1778" i="12"/>
  <c r="N1670" i="12"/>
  <c r="N1203" i="12"/>
  <c r="N1239" i="12"/>
  <c r="N1095" i="12"/>
  <c r="N1347" i="12"/>
  <c r="N1383" i="12"/>
  <c r="N843" i="12"/>
  <c r="N51" i="12"/>
  <c r="N1491" i="12"/>
  <c r="N1599" i="12"/>
  <c r="N735" i="12"/>
  <c r="N1311" i="12"/>
  <c r="N1023" i="12"/>
  <c r="N987" i="12"/>
  <c r="N1059" i="12"/>
  <c r="N1635" i="12"/>
  <c r="N951" i="12"/>
  <c r="N699" i="12"/>
  <c r="N1167" i="12"/>
  <c r="N1743" i="12"/>
  <c r="N1563" i="12"/>
  <c r="N1707" i="12"/>
  <c r="N915" i="12"/>
  <c r="N879" i="12"/>
  <c r="N1419" i="12"/>
  <c r="N1131" i="12"/>
  <c r="N663" i="12"/>
  <c r="N1455" i="12"/>
  <c r="N1275" i="12"/>
  <c r="N1527" i="12"/>
  <c r="N807" i="12"/>
  <c r="N771" i="12"/>
  <c r="N1779" i="12"/>
  <c r="N1671" i="12"/>
  <c r="N1204" i="12"/>
  <c r="N1240" i="12"/>
  <c r="N1096" i="12"/>
  <c r="N1348" i="12"/>
  <c r="N1384" i="12"/>
  <c r="N844" i="12"/>
  <c r="N52" i="12"/>
  <c r="N1492" i="12"/>
  <c r="N1600" i="12"/>
  <c r="N736" i="12"/>
  <c r="N1312" i="12"/>
  <c r="N1024" i="12"/>
  <c r="N988" i="12"/>
  <c r="N1060" i="12"/>
  <c r="N1636" i="12"/>
  <c r="N952" i="12"/>
  <c r="N700" i="12"/>
  <c r="N1168" i="12"/>
  <c r="N1744" i="12"/>
  <c r="N1564" i="12"/>
  <c r="N1708" i="12"/>
  <c r="N916" i="12"/>
  <c r="N880" i="12"/>
  <c r="N1420" i="12"/>
  <c r="N1132" i="12"/>
  <c r="N664" i="12"/>
  <c r="N1456" i="12"/>
  <c r="N1276" i="12"/>
  <c r="N1528" i="12"/>
  <c r="N808" i="12"/>
  <c r="N772" i="12"/>
  <c r="N1780" i="12"/>
  <c r="N1672" i="12"/>
  <c r="N1205" i="12"/>
  <c r="N1241" i="12"/>
  <c r="N1097" i="12"/>
  <c r="N1349" i="12"/>
  <c r="N1385" i="12"/>
  <c r="N845" i="12"/>
  <c r="N53" i="12"/>
  <c r="N1493" i="12"/>
  <c r="N1601" i="12"/>
  <c r="N737" i="12"/>
  <c r="N1313" i="12"/>
  <c r="N1025" i="12"/>
  <c r="N989" i="12"/>
  <c r="N1061" i="12"/>
  <c r="N1637" i="12"/>
  <c r="N953" i="12"/>
  <c r="N701" i="12"/>
  <c r="N1169" i="12"/>
  <c r="N1745" i="12"/>
  <c r="N1565" i="12"/>
  <c r="N1709" i="12"/>
  <c r="N917" i="12"/>
  <c r="N881" i="12"/>
  <c r="N1421" i="12"/>
  <c r="N1133" i="12"/>
  <c r="N665" i="12"/>
  <c r="N1457" i="12"/>
  <c r="N1277" i="12"/>
  <c r="N1529" i="12"/>
  <c r="N809" i="12"/>
  <c r="N773" i="12"/>
  <c r="N1781" i="12"/>
  <c r="N1673" i="12"/>
  <c r="N1206" i="12"/>
  <c r="N1242" i="12"/>
  <c r="N1098" i="12"/>
  <c r="N1350" i="12"/>
  <c r="N1386" i="12"/>
  <c r="N846" i="12"/>
  <c r="N54" i="12"/>
  <c r="N1494" i="12"/>
  <c r="N1602" i="12"/>
  <c r="N738" i="12"/>
  <c r="N1314" i="12"/>
  <c r="N1026" i="12"/>
  <c r="N990" i="12"/>
  <c r="N1062" i="12"/>
  <c r="N1638" i="12"/>
  <c r="N954" i="12"/>
  <c r="N702" i="12"/>
  <c r="N1170" i="12"/>
  <c r="N1746" i="12"/>
  <c r="N1566" i="12"/>
  <c r="N1710" i="12"/>
  <c r="N918" i="12"/>
  <c r="N882" i="12"/>
  <c r="N1422" i="12"/>
  <c r="N1134" i="12"/>
  <c r="N666" i="12"/>
  <c r="N1458" i="12"/>
  <c r="N1278" i="12"/>
  <c r="N1530" i="12"/>
  <c r="N810" i="12"/>
  <c r="N774" i="12"/>
  <c r="N1782" i="12"/>
  <c r="N1674" i="12"/>
  <c r="N1207" i="12"/>
  <c r="N1243" i="12"/>
  <c r="N1099" i="12"/>
  <c r="N1351" i="12"/>
  <c r="N1387" i="12"/>
  <c r="N847" i="12"/>
  <c r="N55" i="12"/>
  <c r="N1495" i="12"/>
  <c r="N1603" i="12"/>
  <c r="N739" i="12"/>
  <c r="N1315" i="12"/>
  <c r="N1027" i="12"/>
  <c r="N991" i="12"/>
  <c r="N1063" i="12"/>
  <c r="N1639" i="12"/>
  <c r="N955" i="12"/>
  <c r="N703" i="12"/>
  <c r="N1171" i="12"/>
  <c r="N1747" i="12"/>
  <c r="N1567" i="12"/>
  <c r="N1711" i="12"/>
  <c r="N919" i="12"/>
  <c r="N883" i="12"/>
  <c r="N1423" i="12"/>
  <c r="N1135" i="12"/>
  <c r="N667" i="12"/>
  <c r="N1459" i="12"/>
  <c r="N1279" i="12"/>
  <c r="N1531" i="12"/>
  <c r="N811" i="12"/>
  <c r="N775" i="12"/>
  <c r="N1783" i="12"/>
  <c r="N1675" i="12"/>
  <c r="N1208" i="12"/>
  <c r="N1244" i="12"/>
  <c r="N1100" i="12"/>
  <c r="N1352" i="12"/>
  <c r="N1388" i="12"/>
  <c r="N848" i="12"/>
  <c r="N56" i="12"/>
  <c r="N1496" i="12"/>
  <c r="N1604" i="12"/>
  <c r="N740" i="12"/>
  <c r="N1316" i="12"/>
  <c r="N1028" i="12"/>
  <c r="N992" i="12"/>
  <c r="N1064" i="12"/>
  <c r="N1640" i="12"/>
  <c r="N956" i="12"/>
  <c r="N704" i="12"/>
  <c r="N1172" i="12"/>
  <c r="N1748" i="12"/>
  <c r="N1568" i="12"/>
  <c r="N1712" i="12"/>
  <c r="N920" i="12"/>
  <c r="N884" i="12"/>
  <c r="N1424" i="12"/>
  <c r="N1136" i="12"/>
  <c r="N668" i="12"/>
  <c r="N1460" i="12"/>
  <c r="N1280" i="12"/>
  <c r="N1532" i="12"/>
  <c r="N812" i="12"/>
  <c r="N776" i="12"/>
  <c r="N1784" i="12"/>
  <c r="N1676" i="12"/>
  <c r="N1209" i="12"/>
  <c r="N1245" i="12"/>
  <c r="N1101" i="12"/>
  <c r="N1353" i="12"/>
  <c r="N1389" i="12"/>
  <c r="N849" i="12"/>
  <c r="N57" i="12"/>
  <c r="N1497" i="12"/>
  <c r="N1605" i="12"/>
  <c r="N741" i="12"/>
  <c r="N1317" i="12"/>
  <c r="N1029" i="12"/>
  <c r="N993" i="12"/>
  <c r="N1065" i="12"/>
  <c r="N1641" i="12"/>
  <c r="N957" i="12"/>
  <c r="N705" i="12"/>
  <c r="N1173" i="12"/>
  <c r="N1749" i="12"/>
  <c r="N1569" i="12"/>
  <c r="N1713" i="12"/>
  <c r="N921" i="12"/>
  <c r="N885" i="12"/>
  <c r="N1425" i="12"/>
  <c r="N1137" i="12"/>
  <c r="N669" i="12"/>
  <c r="N1461" i="12"/>
  <c r="N1281" i="12"/>
  <c r="N1533" i="12"/>
  <c r="N813" i="12"/>
  <c r="N777" i="12"/>
  <c r="N1785" i="12"/>
  <c r="N1677" i="12"/>
  <c r="N1210" i="12"/>
  <c r="N1246" i="12"/>
  <c r="N1102" i="12"/>
  <c r="N1354" i="12"/>
  <c r="N1390" i="12"/>
  <c r="N850" i="12"/>
  <c r="N58" i="12"/>
  <c r="N1498" i="12"/>
  <c r="N1606" i="12"/>
  <c r="N742" i="12"/>
  <c r="N1318" i="12"/>
  <c r="N1030" i="12"/>
  <c r="N994" i="12"/>
  <c r="N1066" i="12"/>
  <c r="N1642" i="12"/>
  <c r="N958" i="12"/>
  <c r="N706" i="12"/>
  <c r="N1174" i="12"/>
  <c r="N1750" i="12"/>
  <c r="N1570" i="12"/>
  <c r="N1714" i="12"/>
  <c r="N922" i="12"/>
  <c r="N886" i="12"/>
  <c r="N1426" i="12"/>
  <c r="N1138" i="12"/>
  <c r="N670" i="12"/>
  <c r="N1462" i="12"/>
  <c r="N1282" i="12"/>
  <c r="N1534" i="12"/>
  <c r="N814" i="12"/>
  <c r="N778" i="12"/>
  <c r="N1786" i="12"/>
  <c r="N1678" i="12"/>
  <c r="N1211" i="12"/>
  <c r="N1247" i="12"/>
  <c r="N1103" i="12"/>
  <c r="N1355" i="12"/>
  <c r="N1391" i="12"/>
  <c r="N851" i="12"/>
  <c r="N59" i="12"/>
  <c r="N1499" i="12"/>
  <c r="N1607" i="12"/>
  <c r="N743" i="12"/>
  <c r="N1319" i="12"/>
  <c r="N1031" i="12"/>
  <c r="N995" i="12"/>
  <c r="N1067" i="12"/>
  <c r="N1643" i="12"/>
  <c r="N959" i="12"/>
  <c r="N707" i="12"/>
  <c r="N1175" i="12"/>
  <c r="N1751" i="12"/>
  <c r="N1571" i="12"/>
  <c r="N1715" i="12"/>
  <c r="N923" i="12"/>
  <c r="N887" i="12"/>
  <c r="N1427" i="12"/>
  <c r="N1139" i="12"/>
  <c r="N671" i="12"/>
  <c r="N1463" i="12"/>
  <c r="N1283" i="12"/>
  <c r="N1535" i="12"/>
  <c r="N815" i="12"/>
  <c r="N779" i="12"/>
  <c r="N1787" i="12"/>
  <c r="N1679" i="12"/>
  <c r="N1212" i="12"/>
  <c r="N1248" i="12"/>
  <c r="N1104" i="12"/>
  <c r="N1356" i="12"/>
  <c r="N1392" i="12"/>
  <c r="N852" i="12"/>
  <c r="N60" i="12"/>
  <c r="N1500" i="12"/>
  <c r="N1608" i="12"/>
  <c r="N744" i="12"/>
  <c r="N1320" i="12"/>
  <c r="N1032" i="12"/>
  <c r="N996" i="12"/>
  <c r="N1068" i="12"/>
  <c r="N1644" i="12"/>
  <c r="N960" i="12"/>
  <c r="N708" i="12"/>
  <c r="N1176" i="12"/>
  <c r="N1752" i="12"/>
  <c r="N1572" i="12"/>
  <c r="N1716" i="12"/>
  <c r="N924" i="12"/>
  <c r="N888" i="12"/>
  <c r="N1428" i="12"/>
  <c r="N1140" i="12"/>
  <c r="N672" i="12"/>
  <c r="N1464" i="12"/>
  <c r="N1284" i="12"/>
  <c r="N1536" i="12"/>
  <c r="N816" i="12"/>
  <c r="N780" i="12"/>
  <c r="N1788" i="12"/>
  <c r="N1680" i="12"/>
  <c r="N1213" i="12"/>
  <c r="N1249" i="12"/>
  <c r="N1105" i="12"/>
  <c r="N1357" i="12"/>
  <c r="N1393" i="12"/>
  <c r="N853" i="12"/>
  <c r="N61" i="12"/>
  <c r="N1501" i="12"/>
  <c r="N1609" i="12"/>
  <c r="N745" i="12"/>
  <c r="N1321" i="12"/>
  <c r="N1033" i="12"/>
  <c r="N997" i="12"/>
  <c r="N1069" i="12"/>
  <c r="N1645" i="12"/>
  <c r="N961" i="12"/>
  <c r="N709" i="12"/>
  <c r="N1177" i="12"/>
  <c r="N1753" i="12"/>
  <c r="N1573" i="12"/>
  <c r="N1717" i="12"/>
  <c r="N925" i="12"/>
  <c r="N889" i="12"/>
  <c r="N1429" i="12"/>
  <c r="N1141" i="12"/>
  <c r="N673" i="12"/>
  <c r="N1465" i="12"/>
  <c r="N1285" i="12"/>
  <c r="N1537" i="12"/>
  <c r="N817" i="12"/>
  <c r="N781" i="12"/>
  <c r="N1789" i="12"/>
  <c r="N1681" i="12"/>
  <c r="N1214" i="12"/>
  <c r="N1250" i="12"/>
  <c r="N1106" i="12"/>
  <c r="N1358" i="12"/>
  <c r="N1394" i="12"/>
  <c r="N854" i="12"/>
  <c r="N62" i="12"/>
  <c r="N1502" i="12"/>
  <c r="N1610" i="12"/>
  <c r="N746" i="12"/>
  <c r="N1322" i="12"/>
  <c r="N1034" i="12"/>
  <c r="N998" i="12"/>
  <c r="N1070" i="12"/>
  <c r="N1646" i="12"/>
  <c r="N962" i="12"/>
  <c r="N710" i="12"/>
  <c r="N1178" i="12"/>
  <c r="N1754" i="12"/>
  <c r="N1574" i="12"/>
  <c r="N1718" i="12"/>
  <c r="N926" i="12"/>
  <c r="N890" i="12"/>
  <c r="N1430" i="12"/>
  <c r="N1142" i="12"/>
  <c r="N674" i="12"/>
  <c r="N1466" i="12"/>
  <c r="N1286" i="12"/>
  <c r="N1538" i="12"/>
  <c r="N818" i="12"/>
  <c r="N782" i="12"/>
  <c r="N1790" i="12"/>
  <c r="N1682" i="12"/>
  <c r="N1215" i="12"/>
  <c r="N1251" i="12"/>
  <c r="N1107" i="12"/>
  <c r="N1359" i="12"/>
  <c r="N1395" i="12"/>
  <c r="N855" i="12"/>
  <c r="N63" i="12"/>
  <c r="N1503" i="12"/>
  <c r="N1611" i="12"/>
  <c r="N747" i="12"/>
  <c r="N1323" i="12"/>
  <c r="N1035" i="12"/>
  <c r="N999" i="12"/>
  <c r="N1071" i="12"/>
  <c r="N1647" i="12"/>
  <c r="N963" i="12"/>
  <c r="N711" i="12"/>
  <c r="N1179" i="12"/>
  <c r="N1755" i="12"/>
  <c r="N1575" i="12"/>
  <c r="N1719" i="12"/>
  <c r="N927" i="12"/>
  <c r="N891" i="12"/>
  <c r="N1431" i="12"/>
  <c r="N1143" i="12"/>
  <c r="N675" i="12"/>
  <c r="N1467" i="12"/>
  <c r="N1287" i="12"/>
  <c r="N1539" i="12"/>
  <c r="N819" i="12"/>
  <c r="N783" i="12"/>
  <c r="N1791" i="12"/>
  <c r="N1683" i="12"/>
  <c r="N1216" i="12"/>
  <c r="N1252" i="12"/>
  <c r="N1108" i="12"/>
  <c r="N1360" i="12"/>
  <c r="N1396" i="12"/>
  <c r="N856" i="12"/>
  <c r="N64" i="12"/>
  <c r="N1504" i="12"/>
  <c r="N1612" i="12"/>
  <c r="N748" i="12"/>
  <c r="N1324" i="12"/>
  <c r="N1036" i="12"/>
  <c r="N1000" i="12"/>
  <c r="N1072" i="12"/>
  <c r="N1648" i="12"/>
  <c r="N964" i="12"/>
  <c r="N712" i="12"/>
  <c r="N1180" i="12"/>
  <c r="N1756" i="12"/>
  <c r="N1576" i="12"/>
  <c r="N1720" i="12"/>
  <c r="N928" i="12"/>
  <c r="N892" i="12"/>
  <c r="N1432" i="12"/>
  <c r="N1144" i="12"/>
  <c r="N676" i="12"/>
  <c r="N1468" i="12"/>
  <c r="N1288" i="12"/>
  <c r="N1540" i="12"/>
  <c r="N820" i="12"/>
  <c r="N784" i="12"/>
  <c r="N1792" i="12"/>
  <c r="N1684" i="12"/>
  <c r="N1217" i="12"/>
  <c r="N1253" i="12"/>
  <c r="N1109" i="12"/>
  <c r="N1361" i="12"/>
  <c r="N1397" i="12"/>
  <c r="N857" i="12"/>
  <c r="N65" i="12"/>
  <c r="N1505" i="12"/>
  <c r="N1613" i="12"/>
  <c r="N749" i="12"/>
  <c r="N1325" i="12"/>
  <c r="N1037" i="12"/>
  <c r="N1001" i="12"/>
  <c r="N1073" i="12"/>
  <c r="N1649" i="12"/>
  <c r="N965" i="12"/>
  <c r="N713" i="12"/>
  <c r="N1181" i="12"/>
  <c r="N1757" i="12"/>
  <c r="N1577" i="12"/>
  <c r="N1721" i="12"/>
  <c r="N929" i="12"/>
  <c r="N893" i="12"/>
  <c r="N1433" i="12"/>
  <c r="N1145" i="12"/>
  <c r="N677" i="12"/>
  <c r="N1469" i="12"/>
  <c r="N1289" i="12"/>
  <c r="N1541" i="12"/>
  <c r="N821" i="12"/>
  <c r="N785" i="12"/>
  <c r="N1793" i="12"/>
  <c r="N1685" i="12"/>
  <c r="N1218" i="12"/>
  <c r="N1254" i="12"/>
  <c r="N1110" i="12"/>
  <c r="N1362" i="12"/>
  <c r="N1398" i="12"/>
  <c r="N858" i="12"/>
  <c r="N66" i="12"/>
  <c r="N1506" i="12"/>
  <c r="N1614" i="12"/>
  <c r="N750" i="12"/>
  <c r="N1326" i="12"/>
  <c r="N1038" i="12"/>
  <c r="N1002" i="12"/>
  <c r="N1074" i="12"/>
  <c r="N1650" i="12"/>
  <c r="N966" i="12"/>
  <c r="N714" i="12"/>
  <c r="N1182" i="12"/>
  <c r="N1758" i="12"/>
  <c r="N1578" i="12"/>
  <c r="N1722" i="12"/>
  <c r="N930" i="12"/>
  <c r="N894" i="12"/>
  <c r="N1434" i="12"/>
  <c r="N1146" i="12"/>
  <c r="N678" i="12"/>
  <c r="N1470" i="12"/>
  <c r="N1290" i="12"/>
  <c r="N1542" i="12"/>
  <c r="N822" i="12"/>
  <c r="N786" i="12"/>
  <c r="N1794" i="12"/>
  <c r="N1686" i="12"/>
  <c r="N1219" i="12"/>
  <c r="N1255" i="12"/>
  <c r="N1111" i="12"/>
  <c r="N1363" i="12"/>
  <c r="N1399" i="12"/>
  <c r="N859" i="12"/>
  <c r="N67" i="12"/>
  <c r="N1507" i="12"/>
  <c r="N1615" i="12"/>
  <c r="N751" i="12"/>
  <c r="N1327" i="12"/>
  <c r="N1039" i="12"/>
  <c r="N1003" i="12"/>
  <c r="N1075" i="12"/>
  <c r="N1651" i="12"/>
  <c r="N967" i="12"/>
  <c r="N715" i="12"/>
  <c r="N1183" i="12"/>
  <c r="N1759" i="12"/>
  <c r="N1579" i="12"/>
  <c r="N1723" i="12"/>
  <c r="N931" i="12"/>
  <c r="N895" i="12"/>
  <c r="N1435" i="12"/>
  <c r="N1147" i="12"/>
  <c r="N679" i="12"/>
  <c r="N1471" i="12"/>
  <c r="N1291" i="12"/>
  <c r="N1543" i="12"/>
  <c r="N823" i="12"/>
  <c r="N787" i="12"/>
  <c r="N1795" i="12"/>
  <c r="N1687" i="12"/>
  <c r="N1220" i="12"/>
  <c r="N1256" i="12"/>
  <c r="N1112" i="12"/>
  <c r="N1364" i="12"/>
  <c r="N1400" i="12"/>
  <c r="N860" i="12"/>
  <c r="N68" i="12"/>
  <c r="N1508" i="12"/>
  <c r="N1616" i="12"/>
  <c r="N752" i="12"/>
  <c r="N1328" i="12"/>
  <c r="N1040" i="12"/>
  <c r="N1004" i="12"/>
  <c r="N1076" i="12"/>
  <c r="N1652" i="12"/>
  <c r="N968" i="12"/>
  <c r="N716" i="12"/>
  <c r="N1184" i="12"/>
  <c r="N1760" i="12"/>
  <c r="N1580" i="12"/>
  <c r="N1724" i="12"/>
  <c r="N932" i="12"/>
  <c r="N896" i="12"/>
  <c r="N1436" i="12"/>
  <c r="N1148" i="12"/>
  <c r="N680" i="12"/>
  <c r="N1472" i="12"/>
  <c r="N1292" i="12"/>
  <c r="N1544" i="12"/>
  <c r="N824" i="12"/>
  <c r="N788" i="12"/>
  <c r="N1796" i="12"/>
  <c r="N1688" i="12"/>
  <c r="N1221" i="12"/>
  <c r="N1257" i="12"/>
  <c r="N1113" i="12"/>
  <c r="N1365" i="12"/>
  <c r="N1401" i="12"/>
  <c r="N861" i="12"/>
  <c r="N69" i="12"/>
  <c r="N1509" i="12"/>
  <c r="N1617" i="12"/>
  <c r="N753" i="12"/>
  <c r="N1329" i="12"/>
  <c r="N1041" i="12"/>
  <c r="N1005" i="12"/>
  <c r="N1077" i="12"/>
  <c r="N1653" i="12"/>
  <c r="N969" i="12"/>
  <c r="N717" i="12"/>
  <c r="N1185" i="12"/>
  <c r="N1761" i="12"/>
  <c r="N1581" i="12"/>
  <c r="N1725" i="12"/>
  <c r="N933" i="12"/>
  <c r="N897" i="12"/>
  <c r="N1437" i="12"/>
  <c r="N1149" i="12"/>
  <c r="N681" i="12"/>
  <c r="N1473" i="12"/>
  <c r="N1293" i="12"/>
  <c r="N1545" i="12"/>
  <c r="N825" i="12"/>
  <c r="N789" i="12"/>
  <c r="N1797" i="12"/>
  <c r="N1689" i="12"/>
  <c r="N1222" i="12"/>
  <c r="N1258" i="12"/>
  <c r="N1114" i="12"/>
  <c r="N1366" i="12"/>
  <c r="N1402" i="12"/>
  <c r="N862" i="12"/>
  <c r="N70" i="12"/>
  <c r="N1510" i="12"/>
  <c r="N1618" i="12"/>
  <c r="N754" i="12"/>
  <c r="N1330" i="12"/>
  <c r="N1042" i="12"/>
  <c r="N1006" i="12"/>
  <c r="N1078" i="12"/>
  <c r="N1654" i="12"/>
  <c r="N970" i="12"/>
  <c r="N718" i="12"/>
  <c r="N1186" i="12"/>
  <c r="N1762" i="12"/>
  <c r="N1582" i="12"/>
  <c r="N1726" i="12"/>
  <c r="N934" i="12"/>
  <c r="N898" i="12"/>
  <c r="N1438" i="12"/>
  <c r="N1150" i="12"/>
  <c r="N682" i="12"/>
  <c r="N1474" i="12"/>
  <c r="N1294" i="12"/>
  <c r="N1546" i="12"/>
  <c r="N826" i="12"/>
  <c r="N790" i="12"/>
  <c r="N1798" i="12"/>
  <c r="N1690" i="12"/>
  <c r="N1223" i="12"/>
  <c r="N1259" i="12"/>
  <c r="N1115" i="12"/>
  <c r="N1367" i="12"/>
  <c r="N1403" i="12"/>
  <c r="N863" i="12"/>
  <c r="N71" i="12"/>
  <c r="N1511" i="12"/>
  <c r="N1619" i="12"/>
  <c r="N755" i="12"/>
  <c r="N1331" i="12"/>
  <c r="N1043" i="12"/>
  <c r="N1007" i="12"/>
  <c r="N1079" i="12"/>
  <c r="N1655" i="12"/>
  <c r="N971" i="12"/>
  <c r="N719" i="12"/>
  <c r="N1187" i="12"/>
  <c r="N1763" i="12"/>
  <c r="N1583" i="12"/>
  <c r="N1727" i="12"/>
  <c r="N935" i="12"/>
  <c r="N899" i="12"/>
  <c r="N1439" i="12"/>
  <c r="N1151" i="12"/>
  <c r="N683" i="12"/>
  <c r="N1475" i="12"/>
  <c r="N1295" i="12"/>
  <c r="N1547" i="12"/>
  <c r="N827" i="12"/>
  <c r="N791" i="12"/>
  <c r="N1799" i="12"/>
  <c r="N1691" i="12"/>
  <c r="N1224" i="12"/>
  <c r="N1260" i="12"/>
  <c r="N1116" i="12"/>
  <c r="N1368" i="12"/>
  <c r="N1404" i="12"/>
  <c r="N864" i="12"/>
  <c r="N72" i="12"/>
  <c r="N1512" i="12"/>
  <c r="N1620" i="12"/>
  <c r="N756" i="12"/>
  <c r="N1332" i="12"/>
  <c r="N1044" i="12"/>
  <c r="N1008" i="12"/>
  <c r="N1080" i="12"/>
  <c r="N1656" i="12"/>
  <c r="N972" i="12"/>
  <c r="N720" i="12"/>
  <c r="N1188" i="12"/>
  <c r="N1764" i="12"/>
  <c r="N1584" i="12"/>
  <c r="N1728" i="12"/>
  <c r="N936" i="12"/>
  <c r="N900" i="12"/>
  <c r="N1440" i="12"/>
  <c r="N1152" i="12"/>
  <c r="N684" i="12"/>
  <c r="N1476" i="12"/>
  <c r="N1296" i="12"/>
  <c r="N1548" i="12"/>
  <c r="N828" i="12"/>
  <c r="N792" i="12"/>
  <c r="N1800" i="12"/>
  <c r="N1692" i="12"/>
  <c r="N1225" i="12"/>
  <c r="N1261" i="12"/>
  <c r="N1117" i="12"/>
  <c r="N1369" i="12"/>
  <c r="N1405" i="12"/>
  <c r="N865" i="12"/>
  <c r="N73" i="12"/>
  <c r="N1513" i="12"/>
  <c r="N1621" i="12"/>
  <c r="N757" i="12"/>
  <c r="N1333" i="12"/>
  <c r="N1045" i="12"/>
  <c r="N1009" i="12"/>
  <c r="N1081" i="12"/>
  <c r="N1657" i="12"/>
  <c r="N973" i="12"/>
  <c r="N721" i="12"/>
  <c r="N1189" i="12"/>
  <c r="N1765" i="12"/>
  <c r="N1585" i="12"/>
  <c r="N1729" i="12"/>
  <c r="N937" i="12"/>
  <c r="N901" i="12"/>
  <c r="N1441" i="12"/>
  <c r="N1153" i="12"/>
  <c r="N685" i="12"/>
  <c r="N1477" i="12"/>
  <c r="N1297" i="12"/>
  <c r="N1549" i="12"/>
  <c r="N829" i="12"/>
  <c r="N793" i="12"/>
  <c r="N1801" i="12"/>
  <c r="N1693" i="12"/>
  <c r="N2810" i="12"/>
  <c r="N2738" i="12"/>
  <c r="N2558" i="12"/>
  <c r="N2414" i="12"/>
  <c r="N2702" i="12"/>
  <c r="N2846" i="12"/>
  <c r="N2918" i="12"/>
  <c r="N2486" i="12"/>
  <c r="N2666" i="12"/>
  <c r="N2306" i="12"/>
  <c r="N2450" i="12"/>
  <c r="N2342" i="12"/>
  <c r="N2630" i="12"/>
  <c r="N2774" i="12"/>
  <c r="N2594" i="12"/>
  <c r="N2882" i="12"/>
  <c r="N2522" i="12"/>
  <c r="N2378" i="12"/>
  <c r="N2270" i="12"/>
  <c r="N2811" i="12"/>
  <c r="N2739" i="12"/>
  <c r="N2559" i="12"/>
  <c r="N2415" i="12"/>
  <c r="N2703" i="12"/>
  <c r="N2847" i="12"/>
  <c r="N2919" i="12"/>
  <c r="N2487" i="12"/>
  <c r="N2667" i="12"/>
  <c r="N2307" i="12"/>
  <c r="N2451" i="12"/>
  <c r="N2343" i="12"/>
  <c r="N2631" i="12"/>
  <c r="N2775" i="12"/>
  <c r="N2595" i="12"/>
  <c r="N2883" i="12"/>
  <c r="N2523" i="12"/>
  <c r="N2379" i="12"/>
  <c r="N2271" i="12"/>
  <c r="N2812" i="12"/>
  <c r="N2740" i="12"/>
  <c r="N2560" i="12"/>
  <c r="N2416" i="12"/>
  <c r="N2704" i="12"/>
  <c r="N2848" i="12"/>
  <c r="N2920" i="12"/>
  <c r="N2488" i="12"/>
  <c r="N2668" i="12"/>
  <c r="N2308" i="12"/>
  <c r="N2452" i="12"/>
  <c r="N2344" i="12"/>
  <c r="N2632" i="12"/>
  <c r="N2776" i="12"/>
  <c r="N2596" i="12"/>
  <c r="N2884" i="12"/>
  <c r="N2524" i="12"/>
  <c r="N2380" i="12"/>
  <c r="N2272" i="12"/>
  <c r="N2813" i="12"/>
  <c r="N2741" i="12"/>
  <c r="N2561" i="12"/>
  <c r="N2417" i="12"/>
  <c r="N2705" i="12"/>
  <c r="N2849" i="12"/>
  <c r="N2921" i="12"/>
  <c r="N2489" i="12"/>
  <c r="N2669" i="12"/>
  <c r="N2309" i="12"/>
  <c r="N2453" i="12"/>
  <c r="N2345" i="12"/>
  <c r="N2633" i="12"/>
  <c r="N2777" i="12"/>
  <c r="N2597" i="12"/>
  <c r="N2885" i="12"/>
  <c r="N2525" i="12"/>
  <c r="N2381" i="12"/>
  <c r="N2273" i="12"/>
  <c r="N2814" i="12"/>
  <c r="N2742" i="12"/>
  <c r="N2562" i="12"/>
  <c r="N2418" i="12"/>
  <c r="N2706" i="12"/>
  <c r="N2850" i="12"/>
  <c r="N2922" i="12"/>
  <c r="N2490" i="12"/>
  <c r="N2670" i="12"/>
  <c r="N2310" i="12"/>
  <c r="N2454" i="12"/>
  <c r="N2346" i="12"/>
  <c r="N2634" i="12"/>
  <c r="N2778" i="12"/>
  <c r="N2598" i="12"/>
  <c r="N2886" i="12"/>
  <c r="N2526" i="12"/>
  <c r="N2382" i="12"/>
  <c r="N2274" i="12"/>
  <c r="N2815" i="12"/>
  <c r="N2743" i="12"/>
  <c r="N2563" i="12"/>
  <c r="N2419" i="12"/>
  <c r="N2707" i="12"/>
  <c r="N2851" i="12"/>
  <c r="N2923" i="12"/>
  <c r="N2491" i="12"/>
  <c r="N2671" i="12"/>
  <c r="N2311" i="12"/>
  <c r="N2455" i="12"/>
  <c r="N2347" i="12"/>
  <c r="N2635" i="12"/>
  <c r="N2779" i="12"/>
  <c r="N2599" i="12"/>
  <c r="N2887" i="12"/>
  <c r="N2527" i="12"/>
  <c r="N2383" i="12"/>
  <c r="N2275" i="12"/>
  <c r="N2816" i="12"/>
  <c r="N2744" i="12"/>
  <c r="N2564" i="12"/>
  <c r="N2420" i="12"/>
  <c r="N2708" i="12"/>
  <c r="N2852" i="12"/>
  <c r="N2924" i="12"/>
  <c r="N2492" i="12"/>
  <c r="N2672" i="12"/>
  <c r="N2312" i="12"/>
  <c r="N2456" i="12"/>
  <c r="N2348" i="12"/>
  <c r="N2636" i="12"/>
  <c r="N2780" i="12"/>
  <c r="N2600" i="12"/>
  <c r="N2888" i="12"/>
  <c r="N2528" i="12"/>
  <c r="N2384" i="12"/>
  <c r="N2276" i="12"/>
  <c r="N2817" i="12"/>
  <c r="N2745" i="12"/>
  <c r="N2565" i="12"/>
  <c r="N2421" i="12"/>
  <c r="N2709" i="12"/>
  <c r="N2853" i="12"/>
  <c r="N2925" i="12"/>
  <c r="N2493" i="12"/>
  <c r="N2673" i="12"/>
  <c r="N2313" i="12"/>
  <c r="N2457" i="12"/>
  <c r="N2349" i="12"/>
  <c r="N2637" i="12"/>
  <c r="N2781" i="12"/>
  <c r="N2601" i="12"/>
  <c r="N2889" i="12"/>
  <c r="N2529" i="12"/>
  <c r="N2385" i="12"/>
  <c r="N2277" i="12"/>
  <c r="N2818" i="12"/>
  <c r="N2746" i="12"/>
  <c r="N2566" i="12"/>
  <c r="N2422" i="12"/>
  <c r="N2710" i="12"/>
  <c r="N2854" i="12"/>
  <c r="N2926" i="12"/>
  <c r="N2494" i="12"/>
  <c r="N2674" i="12"/>
  <c r="N2314" i="12"/>
  <c r="N2458" i="12"/>
  <c r="N2350" i="12"/>
  <c r="N2638" i="12"/>
  <c r="N2782" i="12"/>
  <c r="N2602" i="12"/>
  <c r="N2890" i="12"/>
  <c r="N2530" i="12"/>
  <c r="N2386" i="12"/>
  <c r="N2278" i="12"/>
  <c r="N2819" i="12"/>
  <c r="N2747" i="12"/>
  <c r="N2567" i="12"/>
  <c r="N2423" i="12"/>
  <c r="N2711" i="12"/>
  <c r="N2855" i="12"/>
  <c r="N2927" i="12"/>
  <c r="N2495" i="12"/>
  <c r="N2675" i="12"/>
  <c r="N2315" i="12"/>
  <c r="N2459" i="12"/>
  <c r="N2351" i="12"/>
  <c r="N2639" i="12"/>
  <c r="N2783" i="12"/>
  <c r="N2603" i="12"/>
  <c r="N2891" i="12"/>
  <c r="N2531" i="12"/>
  <c r="N2387" i="12"/>
  <c r="N2279" i="12"/>
  <c r="N2820" i="12"/>
  <c r="N2748" i="12"/>
  <c r="N2568" i="12"/>
  <c r="N2424" i="12"/>
  <c r="N2712" i="12"/>
  <c r="N2856" i="12"/>
  <c r="N2928" i="12"/>
  <c r="N2496" i="12"/>
  <c r="N2676" i="12"/>
  <c r="N2316" i="12"/>
  <c r="N2460" i="12"/>
  <c r="N2352" i="12"/>
  <c r="N2640" i="12"/>
  <c r="N2784" i="12"/>
  <c r="N2604" i="12"/>
  <c r="N2892" i="12"/>
  <c r="N2532" i="12"/>
  <c r="N2388" i="12"/>
  <c r="N2280" i="12"/>
  <c r="N2821" i="12"/>
  <c r="N2749" i="12"/>
  <c r="N2569" i="12"/>
  <c r="N2425" i="12"/>
  <c r="N2713" i="12"/>
  <c r="N2857" i="12"/>
  <c r="N2929" i="12"/>
  <c r="N2497" i="12"/>
  <c r="N2677" i="12"/>
  <c r="N2317" i="12"/>
  <c r="N2461" i="12"/>
  <c r="N2353" i="12"/>
  <c r="N2641" i="12"/>
  <c r="N2785" i="12"/>
  <c r="N2605" i="12"/>
  <c r="N2893" i="12"/>
  <c r="N2533" i="12"/>
  <c r="N2389" i="12"/>
  <c r="N2281" i="12"/>
  <c r="N2822" i="12"/>
  <c r="N2750" i="12"/>
  <c r="N2570" i="12"/>
  <c r="N2426" i="12"/>
  <c r="N2714" i="12"/>
  <c r="N2858" i="12"/>
  <c r="N2930" i="12"/>
  <c r="N2498" i="12"/>
  <c r="N2678" i="12"/>
  <c r="N2318" i="12"/>
  <c r="N2462" i="12"/>
  <c r="N2354" i="12"/>
  <c r="N2642" i="12"/>
  <c r="N2786" i="12"/>
  <c r="N2606" i="12"/>
  <c r="N2894" i="12"/>
  <c r="N2534" i="12"/>
  <c r="N2390" i="12"/>
  <c r="N2282" i="12"/>
  <c r="N2823" i="12"/>
  <c r="N2751" i="12"/>
  <c r="N2571" i="12"/>
  <c r="N2427" i="12"/>
  <c r="N2715" i="12"/>
  <c r="N2859" i="12"/>
  <c r="N2931" i="12"/>
  <c r="N2499" i="12"/>
  <c r="N2679" i="12"/>
  <c r="N2319" i="12"/>
  <c r="N2463" i="12"/>
  <c r="N2355" i="12"/>
  <c r="N2643" i="12"/>
  <c r="N2787" i="12"/>
  <c r="N2607" i="12"/>
  <c r="N2895" i="12"/>
  <c r="N2535" i="12"/>
  <c r="N2391" i="12"/>
  <c r="N2283" i="12"/>
  <c r="N2824" i="12"/>
  <c r="N2752" i="12"/>
  <c r="N2572" i="12"/>
  <c r="N2428" i="12"/>
  <c r="N2716" i="12"/>
  <c r="N2860" i="12"/>
  <c r="N2932" i="12"/>
  <c r="N2500" i="12"/>
  <c r="N2680" i="12"/>
  <c r="N2320" i="12"/>
  <c r="N2464" i="12"/>
  <c r="N2356" i="12"/>
  <c r="N2644" i="12"/>
  <c r="N2788" i="12"/>
  <c r="N2608" i="12"/>
  <c r="N2896" i="12"/>
  <c r="N2536" i="12"/>
  <c r="N2392" i="12"/>
  <c r="N2284" i="12"/>
  <c r="N2825" i="12"/>
  <c r="N2753" i="12"/>
  <c r="N2573" i="12"/>
  <c r="N2429" i="12"/>
  <c r="N2717" i="12"/>
  <c r="N2861" i="12"/>
  <c r="N2933" i="12"/>
  <c r="N2501" i="12"/>
  <c r="N2681" i="12"/>
  <c r="N2321" i="12"/>
  <c r="N2465" i="12"/>
  <c r="N2357" i="12"/>
  <c r="N2645" i="12"/>
  <c r="N2789" i="12"/>
  <c r="N2609" i="12"/>
  <c r="N2897" i="12"/>
  <c r="N2537" i="12"/>
  <c r="N2393" i="12"/>
  <c r="N2285" i="12"/>
  <c r="N2826" i="12"/>
  <c r="N2754" i="12"/>
  <c r="N2574" i="12"/>
  <c r="N2430" i="12"/>
  <c r="N2718" i="12"/>
  <c r="N2862" i="12"/>
  <c r="N2934" i="12"/>
  <c r="N2502" i="12"/>
  <c r="N2682" i="12"/>
  <c r="N2322" i="12"/>
  <c r="N2466" i="12"/>
  <c r="N2358" i="12"/>
  <c r="N2646" i="12"/>
  <c r="N2790" i="12"/>
  <c r="N2610" i="12"/>
  <c r="N2898" i="12"/>
  <c r="N2538" i="12"/>
  <c r="N2394" i="12"/>
  <c r="N2286" i="12"/>
  <c r="N2827" i="12"/>
  <c r="N2755" i="12"/>
  <c r="N2575" i="12"/>
  <c r="N2431" i="12"/>
  <c r="N2719" i="12"/>
  <c r="N2863" i="12"/>
  <c r="N2935" i="12"/>
  <c r="N2503" i="12"/>
  <c r="N2683" i="12"/>
  <c r="N2323" i="12"/>
  <c r="N2467" i="12"/>
  <c r="N2359" i="12"/>
  <c r="N2647" i="12"/>
  <c r="N2791" i="12"/>
  <c r="N2611" i="12"/>
  <c r="N2899" i="12"/>
  <c r="N2539" i="12"/>
  <c r="N2395" i="12"/>
  <c r="N2287" i="12"/>
  <c r="N2828" i="12"/>
  <c r="N2756" i="12"/>
  <c r="N2576" i="12"/>
  <c r="N2432" i="12"/>
  <c r="N2720" i="12"/>
  <c r="N2864" i="12"/>
  <c r="N2936" i="12"/>
  <c r="N2504" i="12"/>
  <c r="N2684" i="12"/>
  <c r="N2324" i="12"/>
  <c r="N2468" i="12"/>
  <c r="N2360" i="12"/>
  <c r="N2648" i="12"/>
  <c r="N2792" i="12"/>
  <c r="N2612" i="12"/>
  <c r="N2900" i="12"/>
  <c r="N2540" i="12"/>
  <c r="N2396" i="12"/>
  <c r="N2288" i="12"/>
  <c r="N2829" i="12"/>
  <c r="N2757" i="12"/>
  <c r="N2577" i="12"/>
  <c r="N2433" i="12"/>
  <c r="N2721" i="12"/>
  <c r="N2865" i="12"/>
  <c r="N2937" i="12"/>
  <c r="N2505" i="12"/>
  <c r="N2685" i="12"/>
  <c r="N2325" i="12"/>
  <c r="N2469" i="12"/>
  <c r="N2361" i="12"/>
  <c r="N2649" i="12"/>
  <c r="N2793" i="12"/>
  <c r="N2613" i="12"/>
  <c r="N2901" i="12"/>
  <c r="N2541" i="12"/>
  <c r="N2397" i="12"/>
  <c r="N2289" i="12"/>
  <c r="N2830" i="12"/>
  <c r="N2758" i="12"/>
  <c r="N2578" i="12"/>
  <c r="N2434" i="12"/>
  <c r="N2722" i="12"/>
  <c r="N2866" i="12"/>
  <c r="N2938" i="12"/>
  <c r="N2506" i="12"/>
  <c r="N2686" i="12"/>
  <c r="N2326" i="12"/>
  <c r="N2470" i="12"/>
  <c r="N2362" i="12"/>
  <c r="N2650" i="12"/>
  <c r="N2794" i="12"/>
  <c r="N2614" i="12"/>
  <c r="N2902" i="12"/>
  <c r="N2542" i="12"/>
  <c r="N2398" i="12"/>
  <c r="N2290" i="12"/>
  <c r="N2831" i="12"/>
  <c r="N2759" i="12"/>
  <c r="N2579" i="12"/>
  <c r="N2435" i="12"/>
  <c r="N2723" i="12"/>
  <c r="N2867" i="12"/>
  <c r="N2939" i="12"/>
  <c r="N2507" i="12"/>
  <c r="N2687" i="12"/>
  <c r="N2327" i="12"/>
  <c r="N2471" i="12"/>
  <c r="N2363" i="12"/>
  <c r="N2651" i="12"/>
  <c r="N2795" i="12"/>
  <c r="N2615" i="12"/>
  <c r="N2903" i="12"/>
  <c r="N2543" i="12"/>
  <c r="N2399" i="12"/>
  <c r="N2291" i="12"/>
  <c r="N2832" i="12"/>
  <c r="N2760" i="12"/>
  <c r="N2580" i="12"/>
  <c r="N2436" i="12"/>
  <c r="N2724" i="12"/>
  <c r="N2868" i="12"/>
  <c r="N2940" i="12"/>
  <c r="N2508" i="12"/>
  <c r="N2688" i="12"/>
  <c r="N2328" i="12"/>
  <c r="N2472" i="12"/>
  <c r="N2364" i="12"/>
  <c r="N2652" i="12"/>
  <c r="N2796" i="12"/>
  <c r="N2616" i="12"/>
  <c r="N2904" i="12"/>
  <c r="N2544" i="12"/>
  <c r="N2400" i="12"/>
  <c r="N2292" i="12"/>
  <c r="N2833" i="12"/>
  <c r="N2761" i="12"/>
  <c r="N2581" i="12"/>
  <c r="N2437" i="12"/>
  <c r="N2725" i="12"/>
  <c r="N2869" i="12"/>
  <c r="N2941" i="12"/>
  <c r="N2509" i="12"/>
  <c r="N2689" i="12"/>
  <c r="N2329" i="12"/>
  <c r="N2473" i="12"/>
  <c r="N2365" i="12"/>
  <c r="N2653" i="12"/>
  <c r="N2797" i="12"/>
  <c r="N2617" i="12"/>
  <c r="N2905" i="12"/>
  <c r="N2545" i="12"/>
  <c r="N2401" i="12"/>
  <c r="N2293" i="12"/>
  <c r="N2834" i="12"/>
  <c r="N2762" i="12"/>
  <c r="N2582" i="12"/>
  <c r="N2438" i="12"/>
  <c r="N2726" i="12"/>
  <c r="N2870" i="12"/>
  <c r="N2942" i="12"/>
  <c r="N2510" i="12"/>
  <c r="N2690" i="12"/>
  <c r="N2330" i="12"/>
  <c r="N2474" i="12"/>
  <c r="N2366" i="12"/>
  <c r="N2654" i="12"/>
  <c r="N2798" i="12"/>
  <c r="N2618" i="12"/>
  <c r="N2906" i="12"/>
  <c r="N2546" i="12"/>
  <c r="N2402" i="12"/>
  <c r="N2294" i="12"/>
  <c r="N2835" i="12"/>
  <c r="N2763" i="12"/>
  <c r="N2583" i="12"/>
  <c r="N2439" i="12"/>
  <c r="N2727" i="12"/>
  <c r="N2871" i="12"/>
  <c r="N2943" i="12"/>
  <c r="N2511" i="12"/>
  <c r="N2691" i="12"/>
  <c r="N2331" i="12"/>
  <c r="N2475" i="12"/>
  <c r="N2367" i="12"/>
  <c r="N2655" i="12"/>
  <c r="N2799" i="12"/>
  <c r="N2619" i="12"/>
  <c r="N2907" i="12"/>
  <c r="N2547" i="12"/>
  <c r="N2403" i="12"/>
  <c r="N2295" i="12"/>
  <c r="N2836" i="12"/>
  <c r="N2764" i="12"/>
  <c r="N2584" i="12"/>
  <c r="N2440" i="12"/>
  <c r="N2728" i="12"/>
  <c r="N2872" i="12"/>
  <c r="N2944" i="12"/>
  <c r="N2512" i="12"/>
  <c r="N2692" i="12"/>
  <c r="N2332" i="12"/>
  <c r="N2476" i="12"/>
  <c r="N2368" i="12"/>
  <c r="N2656" i="12"/>
  <c r="N2800" i="12"/>
  <c r="N2620" i="12"/>
  <c r="N2908" i="12"/>
  <c r="N2548" i="12"/>
  <c r="N2404" i="12"/>
  <c r="N2296" i="12"/>
  <c r="N2837" i="12"/>
  <c r="N2765" i="12"/>
  <c r="N2585" i="12"/>
  <c r="N2441" i="12"/>
  <c r="N2729" i="12"/>
  <c r="N2873" i="12"/>
  <c r="N2945" i="12"/>
  <c r="N2513" i="12"/>
  <c r="N2693" i="12"/>
  <c r="N2333" i="12"/>
  <c r="N2477" i="12"/>
  <c r="N2369" i="12"/>
  <c r="N2657" i="12"/>
  <c r="N2801" i="12"/>
  <c r="N2621" i="12"/>
  <c r="N2909" i="12"/>
  <c r="N2549" i="12"/>
  <c r="N2405" i="12"/>
  <c r="N2297" i="12"/>
  <c r="N2838" i="12"/>
  <c r="N2766" i="12"/>
  <c r="N2586" i="12"/>
  <c r="N2442" i="12"/>
  <c r="N2730" i="12"/>
  <c r="N2874" i="12"/>
  <c r="N2946" i="12"/>
  <c r="N2514" i="12"/>
  <c r="N2694" i="12"/>
  <c r="N2334" i="12"/>
  <c r="N2478" i="12"/>
  <c r="N2370" i="12"/>
  <c r="N2658" i="12"/>
  <c r="N2802" i="12"/>
  <c r="N2622" i="12"/>
  <c r="N2910" i="12"/>
  <c r="N2550" i="12"/>
  <c r="N2406" i="12"/>
  <c r="N2298" i="12"/>
  <c r="N2839" i="12"/>
  <c r="N2767" i="12"/>
  <c r="N2587" i="12"/>
  <c r="N2443" i="12"/>
  <c r="N2731" i="12"/>
  <c r="N2875" i="12"/>
  <c r="N2947" i="12"/>
  <c r="N2515" i="12"/>
  <c r="N2695" i="12"/>
  <c r="N2335" i="12"/>
  <c r="N2479" i="12"/>
  <c r="N2371" i="12"/>
  <c r="N2659" i="12"/>
  <c r="N2803" i="12"/>
  <c r="N2623" i="12"/>
  <c r="N2911" i="12"/>
  <c r="N2551" i="12"/>
  <c r="N2407" i="12"/>
  <c r="N2299" i="12"/>
  <c r="N2840" i="12"/>
  <c r="N2768" i="12"/>
  <c r="N2588" i="12"/>
  <c r="N2444" i="12"/>
  <c r="N2732" i="12"/>
  <c r="N2876" i="12"/>
  <c r="N2948" i="12"/>
  <c r="N2516" i="12"/>
  <c r="N2696" i="12"/>
  <c r="N2336" i="12"/>
  <c r="N2480" i="12"/>
  <c r="N2372" i="12"/>
  <c r="N2660" i="12"/>
  <c r="N2804" i="12"/>
  <c r="N2624" i="12"/>
  <c r="N2912" i="12"/>
  <c r="N2552" i="12"/>
  <c r="N2408" i="12"/>
  <c r="N2300" i="12"/>
  <c r="N2841" i="12"/>
  <c r="N2769" i="12"/>
  <c r="N2589" i="12"/>
  <c r="N2445" i="12"/>
  <c r="N2733" i="12"/>
  <c r="N2877" i="12"/>
  <c r="N2949" i="12"/>
  <c r="N2517" i="12"/>
  <c r="N2697" i="12"/>
  <c r="N2337" i="12"/>
  <c r="N2481" i="12"/>
  <c r="N2373" i="12"/>
  <c r="N2661" i="12"/>
  <c r="N2805" i="12"/>
  <c r="N2625" i="12"/>
  <c r="N2913" i="12"/>
  <c r="N2553" i="12"/>
  <c r="N2409" i="12"/>
  <c r="N2301" i="12"/>
  <c r="N2842" i="12"/>
  <c r="N2770" i="12"/>
  <c r="N2590" i="12"/>
  <c r="N2446" i="12"/>
  <c r="N2734" i="12"/>
  <c r="N2878" i="12"/>
  <c r="N2950" i="12"/>
  <c r="N2518" i="12"/>
  <c r="N2698" i="12"/>
  <c r="N2338" i="12"/>
  <c r="N2482" i="12"/>
  <c r="N2374" i="12"/>
  <c r="N2662" i="12"/>
  <c r="N2806" i="12"/>
  <c r="N2626" i="12"/>
  <c r="N2914" i="12"/>
  <c r="N2554" i="12"/>
  <c r="N2410" i="12"/>
  <c r="N2302" i="12"/>
  <c r="N2843" i="12"/>
  <c r="N2771" i="12"/>
  <c r="N2591" i="12"/>
  <c r="N2447" i="12"/>
  <c r="N2735" i="12"/>
  <c r="N2879" i="12"/>
  <c r="N2951" i="12"/>
  <c r="N2519" i="12"/>
  <c r="N2699" i="12"/>
  <c r="N2339" i="12"/>
  <c r="N2483" i="12"/>
  <c r="N2375" i="12"/>
  <c r="N2663" i="12"/>
  <c r="N2807" i="12"/>
  <c r="N2627" i="12"/>
  <c r="N2915" i="12"/>
  <c r="N2555" i="12"/>
  <c r="N2411" i="12"/>
  <c r="N2303" i="12"/>
  <c r="N2844" i="12"/>
  <c r="N2772" i="12"/>
  <c r="N2592" i="12"/>
  <c r="N2448" i="12"/>
  <c r="N2736" i="12"/>
  <c r="N2880" i="12"/>
  <c r="N2952" i="12"/>
  <c r="N2520" i="12"/>
  <c r="N2700" i="12"/>
  <c r="N2340" i="12"/>
  <c r="N2484" i="12"/>
  <c r="N2376" i="12"/>
  <c r="N2664" i="12"/>
  <c r="N2808" i="12"/>
  <c r="N2628" i="12"/>
  <c r="N2916" i="12"/>
  <c r="N2556" i="12"/>
  <c r="N2412" i="12"/>
  <c r="N2304" i="12"/>
  <c r="N2845" i="12"/>
  <c r="N2773" i="12"/>
  <c r="N2593" i="12"/>
  <c r="N2449" i="12"/>
  <c r="N2737" i="12"/>
  <c r="N2881" i="12"/>
  <c r="N2953" i="12"/>
  <c r="N2521" i="12"/>
  <c r="N2701" i="12"/>
  <c r="N2341" i="12"/>
  <c r="N2485" i="12"/>
  <c r="N2377" i="12"/>
  <c r="N2665" i="12"/>
  <c r="N2809" i="12"/>
  <c r="N2629" i="12"/>
  <c r="N2917" i="12"/>
  <c r="N2557" i="12"/>
  <c r="N2413" i="12"/>
  <c r="N2305" i="12"/>
  <c r="N3098" i="12"/>
  <c r="N2954" i="12"/>
  <c r="N3206" i="12"/>
  <c r="N3458" i="12"/>
  <c r="N3566" i="12"/>
  <c r="N2990" i="12"/>
  <c r="N3530" i="12"/>
  <c r="N3134" i="12"/>
  <c r="N3350" i="12"/>
  <c r="N3026" i="12"/>
  <c r="N3062" i="12"/>
  <c r="N3278" i="12"/>
  <c r="N3314" i="12"/>
  <c r="N3494" i="12"/>
  <c r="N3170" i="12"/>
  <c r="N3422" i="12"/>
  <c r="N3242" i="12"/>
  <c r="N3386" i="12"/>
  <c r="N3099" i="12"/>
  <c r="N2955" i="12"/>
  <c r="N3207" i="12"/>
  <c r="N3459" i="12"/>
  <c r="N3567" i="12"/>
  <c r="N2991" i="12"/>
  <c r="N3531" i="12"/>
  <c r="N3135" i="12"/>
  <c r="N3351" i="12"/>
  <c r="N3027" i="12"/>
  <c r="N3063" i="12"/>
  <c r="N3279" i="12"/>
  <c r="N3315" i="12"/>
  <c r="N3495" i="12"/>
  <c r="N3171" i="12"/>
  <c r="N3423" i="12"/>
  <c r="N3243" i="12"/>
  <c r="N3387" i="12"/>
  <c r="N3100" i="12"/>
  <c r="N2956" i="12"/>
  <c r="N3208" i="12"/>
  <c r="N3460" i="12"/>
  <c r="N3568" i="12"/>
  <c r="N2992" i="12"/>
  <c r="N3532" i="12"/>
  <c r="N3136" i="12"/>
  <c r="N3352" i="12"/>
  <c r="N3028" i="12"/>
  <c r="N3064" i="12"/>
  <c r="N3280" i="12"/>
  <c r="N3316" i="12"/>
  <c r="N3496" i="12"/>
  <c r="N3172" i="12"/>
  <c r="N3424" i="12"/>
  <c r="N3244" i="12"/>
  <c r="N3388" i="12"/>
  <c r="N3101" i="12"/>
  <c r="N2957" i="12"/>
  <c r="N3209" i="12"/>
  <c r="N3461" i="12"/>
  <c r="N3569" i="12"/>
  <c r="N2993" i="12"/>
  <c r="N3533" i="12"/>
  <c r="N3137" i="12"/>
  <c r="N3353" i="12"/>
  <c r="N3029" i="12"/>
  <c r="N3065" i="12"/>
  <c r="N3281" i="12"/>
  <c r="N3317" i="12"/>
  <c r="N3497" i="12"/>
  <c r="N3173" i="12"/>
  <c r="N3425" i="12"/>
  <c r="N3245" i="12"/>
  <c r="N3389" i="12"/>
  <c r="N3102" i="12"/>
  <c r="N2958" i="12"/>
  <c r="N3210" i="12"/>
  <c r="N3462" i="12"/>
  <c r="N3570" i="12"/>
  <c r="N2994" i="12"/>
  <c r="N3534" i="12"/>
  <c r="N3138" i="12"/>
  <c r="N3354" i="12"/>
  <c r="N3030" i="12"/>
  <c r="N3066" i="12"/>
  <c r="N3282" i="12"/>
  <c r="N3318" i="12"/>
  <c r="N3498" i="12"/>
  <c r="N3174" i="12"/>
  <c r="N3426" i="12"/>
  <c r="N3246" i="12"/>
  <c r="N3390" i="12"/>
  <c r="N3103" i="12"/>
  <c r="N2959" i="12"/>
  <c r="N3211" i="12"/>
  <c r="N3463" i="12"/>
  <c r="N3571" i="12"/>
  <c r="N2995" i="12"/>
  <c r="N3535" i="12"/>
  <c r="N3139" i="12"/>
  <c r="N3355" i="12"/>
  <c r="N3031" i="12"/>
  <c r="N3067" i="12"/>
  <c r="N3283" i="12"/>
  <c r="N3319" i="12"/>
  <c r="N3499" i="12"/>
  <c r="N3175" i="12"/>
  <c r="N3427" i="12"/>
  <c r="N3247" i="12"/>
  <c r="N3391" i="12"/>
  <c r="N3104" i="12"/>
  <c r="N2960" i="12"/>
  <c r="N3212" i="12"/>
  <c r="N3464" i="12"/>
  <c r="N3572" i="12"/>
  <c r="N2996" i="12"/>
  <c r="N3536" i="12"/>
  <c r="N3140" i="12"/>
  <c r="N3356" i="12"/>
  <c r="N3032" i="12"/>
  <c r="N3068" i="12"/>
  <c r="N3284" i="12"/>
  <c r="N3320" i="12"/>
  <c r="N3500" i="12"/>
  <c r="N3176" i="12"/>
  <c r="N3428" i="12"/>
  <c r="N3248" i="12"/>
  <c r="N3392" i="12"/>
  <c r="N3105" i="12"/>
  <c r="N2961" i="12"/>
  <c r="N3213" i="12"/>
  <c r="N3465" i="12"/>
  <c r="N3573" i="12"/>
  <c r="N2997" i="12"/>
  <c r="N3537" i="12"/>
  <c r="N3141" i="12"/>
  <c r="N3357" i="12"/>
  <c r="N3033" i="12"/>
  <c r="N3069" i="12"/>
  <c r="N3285" i="12"/>
  <c r="N3321" i="12"/>
  <c r="N3501" i="12"/>
  <c r="N3177" i="12"/>
  <c r="N3429" i="12"/>
  <c r="N3249" i="12"/>
  <c r="N3393" i="12"/>
  <c r="N3106" i="12"/>
  <c r="N2962" i="12"/>
  <c r="N3214" i="12"/>
  <c r="N3466" i="12"/>
  <c r="N3574" i="12"/>
  <c r="N2998" i="12"/>
  <c r="N3538" i="12"/>
  <c r="N3142" i="12"/>
  <c r="N3358" i="12"/>
  <c r="N3034" i="12"/>
  <c r="N3070" i="12"/>
  <c r="N3286" i="12"/>
  <c r="N3322" i="12"/>
  <c r="N3502" i="12"/>
  <c r="N3178" i="12"/>
  <c r="N3430" i="12"/>
  <c r="N3250" i="12"/>
  <c r="N3394" i="12"/>
  <c r="N3107" i="12"/>
  <c r="N2963" i="12"/>
  <c r="N3215" i="12"/>
  <c r="N3467" i="12"/>
  <c r="N3575" i="12"/>
  <c r="N2999" i="12"/>
  <c r="N3539" i="12"/>
  <c r="N3143" i="12"/>
  <c r="N3359" i="12"/>
  <c r="N3035" i="12"/>
  <c r="N3071" i="12"/>
  <c r="N3287" i="12"/>
  <c r="N3323" i="12"/>
  <c r="N3503" i="12"/>
  <c r="N3179" i="12"/>
  <c r="N3431" i="12"/>
  <c r="N3251" i="12"/>
  <c r="N3395" i="12"/>
  <c r="N3108" i="12"/>
  <c r="N2964" i="12"/>
  <c r="N3216" i="12"/>
  <c r="N3468" i="12"/>
  <c r="N3576" i="12"/>
  <c r="N3000" i="12"/>
  <c r="N3540" i="12"/>
  <c r="N3144" i="12"/>
  <c r="N3360" i="12"/>
  <c r="N3036" i="12"/>
  <c r="N3072" i="12"/>
  <c r="N3288" i="12"/>
  <c r="N3324" i="12"/>
  <c r="N3504" i="12"/>
  <c r="N3180" i="12"/>
  <c r="N3432" i="12"/>
  <c r="N3252" i="12"/>
  <c r="N3396" i="12"/>
  <c r="N3109" i="12"/>
  <c r="N2965" i="12"/>
  <c r="N3217" i="12"/>
  <c r="N3469" i="12"/>
  <c r="N3577" i="12"/>
  <c r="N3001" i="12"/>
  <c r="N3541" i="12"/>
  <c r="N3145" i="12"/>
  <c r="N3361" i="12"/>
  <c r="N3037" i="12"/>
  <c r="N3073" i="12"/>
  <c r="N3289" i="12"/>
  <c r="N3325" i="12"/>
  <c r="N3505" i="12"/>
  <c r="N3181" i="12"/>
  <c r="N3433" i="12"/>
  <c r="N3253" i="12"/>
  <c r="N3397" i="12"/>
  <c r="N3110" i="12"/>
  <c r="N2966" i="12"/>
  <c r="N3218" i="12"/>
  <c r="N3470" i="12"/>
  <c r="N3578" i="12"/>
  <c r="N3002" i="12"/>
  <c r="N3542" i="12"/>
  <c r="N3146" i="12"/>
  <c r="N3362" i="12"/>
  <c r="N3038" i="12"/>
  <c r="N3074" i="12"/>
  <c r="N3290" i="12"/>
  <c r="N3326" i="12"/>
  <c r="N3506" i="12"/>
  <c r="N3182" i="12"/>
  <c r="N3434" i="12"/>
  <c r="N3254" i="12"/>
  <c r="N3398" i="12"/>
  <c r="N3111" i="12"/>
  <c r="N2967" i="12"/>
  <c r="N3219" i="12"/>
  <c r="N3471" i="12"/>
  <c r="N3579" i="12"/>
  <c r="N3003" i="12"/>
  <c r="N3543" i="12"/>
  <c r="N3147" i="12"/>
  <c r="N3363" i="12"/>
  <c r="N3039" i="12"/>
  <c r="N3075" i="12"/>
  <c r="N3291" i="12"/>
  <c r="N3327" i="12"/>
  <c r="N3507" i="12"/>
  <c r="N3183" i="12"/>
  <c r="N3435" i="12"/>
  <c r="N3255" i="12"/>
  <c r="N3399" i="12"/>
  <c r="N3112" i="12"/>
  <c r="N2968" i="12"/>
  <c r="N3220" i="12"/>
  <c r="N3472" i="12"/>
  <c r="N3580" i="12"/>
  <c r="N3004" i="12"/>
  <c r="N3544" i="12"/>
  <c r="N3148" i="12"/>
  <c r="N3364" i="12"/>
  <c r="N3040" i="12"/>
  <c r="N3076" i="12"/>
  <c r="N3292" i="12"/>
  <c r="N3328" i="12"/>
  <c r="N3508" i="12"/>
  <c r="N3184" i="12"/>
  <c r="N3436" i="12"/>
  <c r="N3256" i="12"/>
  <c r="N3400" i="12"/>
  <c r="N3113" i="12"/>
  <c r="N2969" i="12"/>
  <c r="N3221" i="12"/>
  <c r="N3473" i="12"/>
  <c r="N3581" i="12"/>
  <c r="N3005" i="12"/>
  <c r="N3545" i="12"/>
  <c r="N3149" i="12"/>
  <c r="N3365" i="12"/>
  <c r="N3041" i="12"/>
  <c r="N3077" i="12"/>
  <c r="N3293" i="12"/>
  <c r="N3329" i="12"/>
  <c r="N3509" i="12"/>
  <c r="N3185" i="12"/>
  <c r="N3437" i="12"/>
  <c r="N3257" i="12"/>
  <c r="N3401" i="12"/>
  <c r="N3114" i="12"/>
  <c r="N2970" i="12"/>
  <c r="N3222" i="12"/>
  <c r="N3474" i="12"/>
  <c r="N3582" i="12"/>
  <c r="N3006" i="12"/>
  <c r="N3546" i="12"/>
  <c r="N3150" i="12"/>
  <c r="N3366" i="12"/>
  <c r="N3042" i="12"/>
  <c r="N3078" i="12"/>
  <c r="N3294" i="12"/>
  <c r="N3330" i="12"/>
  <c r="N3510" i="12"/>
  <c r="N3186" i="12"/>
  <c r="N3438" i="12"/>
  <c r="N3258" i="12"/>
  <c r="N3402" i="12"/>
  <c r="N3115" i="12"/>
  <c r="N2971" i="12"/>
  <c r="N3223" i="12"/>
  <c r="N3475" i="12"/>
  <c r="N3583" i="12"/>
  <c r="N3007" i="12"/>
  <c r="N3547" i="12"/>
  <c r="N3151" i="12"/>
  <c r="N3367" i="12"/>
  <c r="N3043" i="12"/>
  <c r="N3079" i="12"/>
  <c r="N3295" i="12"/>
  <c r="N3331" i="12"/>
  <c r="N3511" i="12"/>
  <c r="N3187" i="12"/>
  <c r="N3439" i="12"/>
  <c r="N3259" i="12"/>
  <c r="N3403" i="12"/>
  <c r="N3116" i="12"/>
  <c r="N2972" i="12"/>
  <c r="N3224" i="12"/>
  <c r="N3476" i="12"/>
  <c r="N3584" i="12"/>
  <c r="N3008" i="12"/>
  <c r="N3548" i="12"/>
  <c r="N3152" i="12"/>
  <c r="N3368" i="12"/>
  <c r="N3044" i="12"/>
  <c r="N3080" i="12"/>
  <c r="N3296" i="12"/>
  <c r="N3332" i="12"/>
  <c r="N3512" i="12"/>
  <c r="N3188" i="12"/>
  <c r="N3440" i="12"/>
  <c r="N3260" i="12"/>
  <c r="N3404" i="12"/>
  <c r="N3117" i="12"/>
  <c r="N2973" i="12"/>
  <c r="N3225" i="12"/>
  <c r="N3477" i="12"/>
  <c r="N3585" i="12"/>
  <c r="N3009" i="12"/>
  <c r="N3549" i="12"/>
  <c r="N3153" i="12"/>
  <c r="N3369" i="12"/>
  <c r="N3045" i="12"/>
  <c r="N3081" i="12"/>
  <c r="N3297" i="12"/>
  <c r="N3333" i="12"/>
  <c r="N3513" i="12"/>
  <c r="N3189" i="12"/>
  <c r="N3441" i="12"/>
  <c r="N3261" i="12"/>
  <c r="N3405" i="12"/>
  <c r="N3118" i="12"/>
  <c r="N2974" i="12"/>
  <c r="N3226" i="12"/>
  <c r="N3478" i="12"/>
  <c r="N3586" i="12"/>
  <c r="N3010" i="12"/>
  <c r="N3550" i="12"/>
  <c r="N3154" i="12"/>
  <c r="N3370" i="12"/>
  <c r="N3046" i="12"/>
  <c r="N3082" i="12"/>
  <c r="N3298" i="12"/>
  <c r="N3334" i="12"/>
  <c r="N3514" i="12"/>
  <c r="N3190" i="12"/>
  <c r="N3442" i="12"/>
  <c r="N3262" i="12"/>
  <c r="N3406" i="12"/>
  <c r="N3119" i="12"/>
  <c r="N2975" i="12"/>
  <c r="N3227" i="12"/>
  <c r="N3479" i="12"/>
  <c r="N3587" i="12"/>
  <c r="N3011" i="12"/>
  <c r="N3551" i="12"/>
  <c r="N3155" i="12"/>
  <c r="N3371" i="12"/>
  <c r="N3047" i="12"/>
  <c r="N3083" i="12"/>
  <c r="N3299" i="12"/>
  <c r="N3335" i="12"/>
  <c r="N3515" i="12"/>
  <c r="N3191" i="12"/>
  <c r="N3443" i="12"/>
  <c r="N3263" i="12"/>
  <c r="N3407" i="12"/>
  <c r="N3120" i="12"/>
  <c r="N2976" i="12"/>
  <c r="N3228" i="12"/>
  <c r="N3480" i="12"/>
  <c r="N3588" i="12"/>
  <c r="N3012" i="12"/>
  <c r="N3552" i="12"/>
  <c r="N3156" i="12"/>
  <c r="N3372" i="12"/>
  <c r="N3048" i="12"/>
  <c r="N3084" i="12"/>
  <c r="N3300" i="12"/>
  <c r="N3336" i="12"/>
  <c r="N3516" i="12"/>
  <c r="N3192" i="12"/>
  <c r="N3444" i="12"/>
  <c r="N3264" i="12"/>
  <c r="N3408" i="12"/>
  <c r="N3121" i="12"/>
  <c r="N2977" i="12"/>
  <c r="N3229" i="12"/>
  <c r="N3481" i="12"/>
  <c r="N3589" i="12"/>
  <c r="N3013" i="12"/>
  <c r="N3553" i="12"/>
  <c r="N3157" i="12"/>
  <c r="N3373" i="12"/>
  <c r="N3049" i="12"/>
  <c r="N3085" i="12"/>
  <c r="N3301" i="12"/>
  <c r="N3337" i="12"/>
  <c r="N3517" i="12"/>
  <c r="N3193" i="12"/>
  <c r="N3445" i="12"/>
  <c r="N3265" i="12"/>
  <c r="N3409" i="12"/>
  <c r="N3122" i="12"/>
  <c r="N2978" i="12"/>
  <c r="N3230" i="12"/>
  <c r="N3482" i="12"/>
  <c r="N3590" i="12"/>
  <c r="N3014" i="12"/>
  <c r="N3554" i="12"/>
  <c r="N3158" i="12"/>
  <c r="N3374" i="12"/>
  <c r="N3050" i="12"/>
  <c r="N3086" i="12"/>
  <c r="N3302" i="12"/>
  <c r="N3338" i="12"/>
  <c r="N3518" i="12"/>
  <c r="N3194" i="12"/>
  <c r="N3446" i="12"/>
  <c r="N3266" i="12"/>
  <c r="N3410" i="12"/>
  <c r="N3123" i="12"/>
  <c r="N2979" i="12"/>
  <c r="N3231" i="12"/>
  <c r="N3483" i="12"/>
  <c r="N3591" i="12"/>
  <c r="N3015" i="12"/>
  <c r="N3555" i="12"/>
  <c r="N3159" i="12"/>
  <c r="N3375" i="12"/>
  <c r="N3051" i="12"/>
  <c r="N3087" i="12"/>
  <c r="N3303" i="12"/>
  <c r="N3339" i="12"/>
  <c r="N3519" i="12"/>
  <c r="N3195" i="12"/>
  <c r="N3447" i="12"/>
  <c r="N3267" i="12"/>
  <c r="N3411" i="12"/>
  <c r="N3124" i="12"/>
  <c r="N2980" i="12"/>
  <c r="N3232" i="12"/>
  <c r="N3484" i="12"/>
  <c r="N3592" i="12"/>
  <c r="N3016" i="12"/>
  <c r="N3556" i="12"/>
  <c r="N3160" i="12"/>
  <c r="N3376" i="12"/>
  <c r="N3052" i="12"/>
  <c r="N3088" i="12"/>
  <c r="N3304" i="12"/>
  <c r="N3340" i="12"/>
  <c r="N3520" i="12"/>
  <c r="N3196" i="12"/>
  <c r="N3448" i="12"/>
  <c r="N3268" i="12"/>
  <c r="N3412" i="12"/>
  <c r="N3125" i="12"/>
  <c r="N2981" i="12"/>
  <c r="N3233" i="12"/>
  <c r="N3485" i="12"/>
  <c r="N3593" i="12"/>
  <c r="N3017" i="12"/>
  <c r="N3557" i="12"/>
  <c r="N3161" i="12"/>
  <c r="N3377" i="12"/>
  <c r="N3053" i="12"/>
  <c r="N3089" i="12"/>
  <c r="N3305" i="12"/>
  <c r="N3341" i="12"/>
  <c r="N3521" i="12"/>
  <c r="N3197" i="12"/>
  <c r="N3449" i="12"/>
  <c r="N3269" i="12"/>
  <c r="N3413" i="12"/>
  <c r="N3126" i="12"/>
  <c r="N2982" i="12"/>
  <c r="N3234" i="12"/>
  <c r="N3486" i="12"/>
  <c r="N3594" i="12"/>
  <c r="N3018" i="12"/>
  <c r="N3558" i="12"/>
  <c r="N3162" i="12"/>
  <c r="N3378" i="12"/>
  <c r="N3054" i="12"/>
  <c r="N3090" i="12"/>
  <c r="N3306" i="12"/>
  <c r="N3342" i="12"/>
  <c r="N3522" i="12"/>
  <c r="N3198" i="12"/>
  <c r="N3450" i="12"/>
  <c r="N3270" i="12"/>
  <c r="N3414" i="12"/>
  <c r="N3127" i="12"/>
  <c r="N2983" i="12"/>
  <c r="N3235" i="12"/>
  <c r="N3487" i="12"/>
  <c r="N3595" i="12"/>
  <c r="N3019" i="12"/>
  <c r="N3559" i="12"/>
  <c r="N3163" i="12"/>
  <c r="N3379" i="12"/>
  <c r="N3055" i="12"/>
  <c r="N3091" i="12"/>
  <c r="N3307" i="12"/>
  <c r="N3343" i="12"/>
  <c r="N3523" i="12"/>
  <c r="N3199" i="12"/>
  <c r="N3451" i="12"/>
  <c r="N3271" i="12"/>
  <c r="N3415" i="12"/>
  <c r="N3128" i="12"/>
  <c r="N2984" i="12"/>
  <c r="N3236" i="12"/>
  <c r="N3488" i="12"/>
  <c r="N3596" i="12"/>
  <c r="N3020" i="12"/>
  <c r="N3560" i="12"/>
  <c r="N3164" i="12"/>
  <c r="N3380" i="12"/>
  <c r="N3056" i="12"/>
  <c r="N3092" i="12"/>
  <c r="N3308" i="12"/>
  <c r="N3344" i="12"/>
  <c r="N3524" i="12"/>
  <c r="N3200" i="12"/>
  <c r="N3452" i="12"/>
  <c r="N3272" i="12"/>
  <c r="N3416" i="12"/>
  <c r="N3129" i="12"/>
  <c r="N2985" i="12"/>
  <c r="N3237" i="12"/>
  <c r="N3489" i="12"/>
  <c r="N3597" i="12"/>
  <c r="N3021" i="12"/>
  <c r="N3561" i="12"/>
  <c r="N3165" i="12"/>
  <c r="N3381" i="12"/>
  <c r="N3057" i="12"/>
  <c r="N3093" i="12"/>
  <c r="N3309" i="12"/>
  <c r="N3345" i="12"/>
  <c r="N3525" i="12"/>
  <c r="N3201" i="12"/>
  <c r="N3453" i="12"/>
  <c r="N3273" i="12"/>
  <c r="N3417" i="12"/>
  <c r="N3130" i="12"/>
  <c r="N2986" i="12"/>
  <c r="N3238" i="12"/>
  <c r="N3490" i="12"/>
  <c r="N3598" i="12"/>
  <c r="N3022" i="12"/>
  <c r="N3562" i="12"/>
  <c r="N3166" i="12"/>
  <c r="N3382" i="12"/>
  <c r="N3058" i="12"/>
  <c r="N3094" i="12"/>
  <c r="N3310" i="12"/>
  <c r="N3346" i="12"/>
  <c r="N3526" i="12"/>
  <c r="N3202" i="12"/>
  <c r="N3454" i="12"/>
  <c r="N3274" i="12"/>
  <c r="N3418" i="12"/>
  <c r="N3131" i="12"/>
  <c r="N2987" i="12"/>
  <c r="N3239" i="12"/>
  <c r="N3491" i="12"/>
  <c r="N3599" i="12"/>
  <c r="N3023" i="12"/>
  <c r="N3563" i="12"/>
  <c r="N3167" i="12"/>
  <c r="N3383" i="12"/>
  <c r="N3059" i="12"/>
  <c r="N3095" i="12"/>
  <c r="N3311" i="12"/>
  <c r="N3347" i="12"/>
  <c r="N3527" i="12"/>
  <c r="N3203" i="12"/>
  <c r="N3455" i="12"/>
  <c r="N3275" i="12"/>
  <c r="N3419" i="12"/>
  <c r="N3132" i="12"/>
  <c r="N2988" i="12"/>
  <c r="N3240" i="12"/>
  <c r="N3492" i="12"/>
  <c r="N3600" i="12"/>
  <c r="N3024" i="12"/>
  <c r="N3564" i="12"/>
  <c r="N3168" i="12"/>
  <c r="N3384" i="12"/>
  <c r="N3060" i="12"/>
  <c r="N3096" i="12"/>
  <c r="N3312" i="12"/>
  <c r="N3348" i="12"/>
  <c r="N3528" i="12"/>
  <c r="N3204" i="12"/>
  <c r="N3456" i="12"/>
  <c r="N3276" i="12"/>
  <c r="N3420" i="12"/>
  <c r="N3133" i="12"/>
  <c r="N2989" i="12"/>
  <c r="N3241" i="12"/>
  <c r="N3493" i="12"/>
  <c r="N3601" i="12"/>
  <c r="N3025" i="12"/>
  <c r="N3565" i="12"/>
  <c r="N3169" i="12"/>
  <c r="N3385" i="12"/>
  <c r="N3061" i="12"/>
  <c r="N3097" i="12"/>
  <c r="N3313" i="12"/>
  <c r="N3349" i="12"/>
  <c r="N3529" i="12"/>
  <c r="N3205" i="12"/>
  <c r="N3457" i="12"/>
  <c r="N3277" i="12"/>
  <c r="N3421" i="12"/>
  <c r="N362" i="12"/>
  <c r="N110" i="12"/>
  <c r="N254" i="12"/>
  <c r="N470" i="12"/>
  <c r="N182" i="12"/>
  <c r="N434" i="12"/>
  <c r="N146" i="12"/>
  <c r="N614" i="12"/>
  <c r="N506" i="12"/>
  <c r="N290" i="12"/>
  <c r="N398" i="12"/>
  <c r="N326" i="12"/>
  <c r="N218" i="12"/>
  <c r="N363" i="12"/>
  <c r="N111" i="12"/>
  <c r="N255" i="12"/>
  <c r="N471" i="12"/>
  <c r="N183" i="12"/>
  <c r="N435" i="12"/>
  <c r="N147" i="12"/>
  <c r="N615" i="12"/>
  <c r="N507" i="12"/>
  <c r="N291" i="12"/>
  <c r="N399" i="12"/>
  <c r="N327" i="12"/>
  <c r="N219" i="12"/>
  <c r="N364" i="12"/>
  <c r="N112" i="12"/>
  <c r="N256" i="12"/>
  <c r="N472" i="12"/>
  <c r="N184" i="12"/>
  <c r="N436" i="12"/>
  <c r="N148" i="12"/>
  <c r="N616" i="12"/>
  <c r="N508" i="12"/>
  <c r="N292" i="12"/>
  <c r="N400" i="12"/>
  <c r="N328" i="12"/>
  <c r="N220" i="12"/>
  <c r="N365" i="12"/>
  <c r="N113" i="12"/>
  <c r="N257" i="12"/>
  <c r="N473" i="12"/>
  <c r="N185" i="12"/>
  <c r="N437" i="12"/>
  <c r="N149" i="12"/>
  <c r="N617" i="12"/>
  <c r="N509" i="12"/>
  <c r="N293" i="12"/>
  <c r="N401" i="12"/>
  <c r="N329" i="12"/>
  <c r="N221" i="12"/>
  <c r="N366" i="12"/>
  <c r="N114" i="12"/>
  <c r="N258" i="12"/>
  <c r="N474" i="12"/>
  <c r="N186" i="12"/>
  <c r="N438" i="12"/>
  <c r="N150" i="12"/>
  <c r="N618" i="12"/>
  <c r="N510" i="12"/>
  <c r="N294" i="12"/>
  <c r="N402" i="12"/>
  <c r="N330" i="12"/>
  <c r="N222" i="12"/>
  <c r="N367" i="12"/>
  <c r="N115" i="12"/>
  <c r="N259" i="12"/>
  <c r="N475" i="12"/>
  <c r="N187" i="12"/>
  <c r="N439" i="12"/>
  <c r="N151" i="12"/>
  <c r="N619" i="12"/>
  <c r="N511" i="12"/>
  <c r="N295" i="12"/>
  <c r="N403" i="12"/>
  <c r="N331" i="12"/>
  <c r="N223" i="12"/>
  <c r="N368" i="12"/>
  <c r="N116" i="12"/>
  <c r="N260" i="12"/>
  <c r="N476" i="12"/>
  <c r="N188" i="12"/>
  <c r="N440" i="12"/>
  <c r="N152" i="12"/>
  <c r="N620" i="12"/>
  <c r="N512" i="12"/>
  <c r="N296" i="12"/>
  <c r="N404" i="12"/>
  <c r="N332" i="12"/>
  <c r="N224" i="12"/>
  <c r="N369" i="12"/>
  <c r="N117" i="12"/>
  <c r="N261" i="12"/>
  <c r="N477" i="12"/>
  <c r="N189" i="12"/>
  <c r="N441" i="12"/>
  <c r="N153" i="12"/>
  <c r="N621" i="12"/>
  <c r="N513" i="12"/>
  <c r="N297" i="12"/>
  <c r="N405" i="12"/>
  <c r="N333" i="12"/>
  <c r="N225" i="12"/>
  <c r="N370" i="12"/>
  <c r="N118" i="12"/>
  <c r="N262" i="12"/>
  <c r="N478" i="12"/>
  <c r="N190" i="12"/>
  <c r="N442" i="12"/>
  <c r="N154" i="12"/>
  <c r="N622" i="12"/>
  <c r="N514" i="12"/>
  <c r="N298" i="12"/>
  <c r="N406" i="12"/>
  <c r="N334" i="12"/>
  <c r="N226" i="12"/>
  <c r="N371" i="12"/>
  <c r="N119" i="12"/>
  <c r="N263" i="12"/>
  <c r="N479" i="12"/>
  <c r="N191" i="12"/>
  <c r="N443" i="12"/>
  <c r="N155" i="12"/>
  <c r="N623" i="12"/>
  <c r="N515" i="12"/>
  <c r="N299" i="12"/>
  <c r="N407" i="12"/>
  <c r="N335" i="12"/>
  <c r="N227" i="12"/>
  <c r="N372" i="12"/>
  <c r="N120" i="12"/>
  <c r="N264" i="12"/>
  <c r="N480" i="12"/>
  <c r="N192" i="12"/>
  <c r="N444" i="12"/>
  <c r="N156" i="12"/>
  <c r="N624" i="12"/>
  <c r="N516" i="12"/>
  <c r="N300" i="12"/>
  <c r="N408" i="12"/>
  <c r="N336" i="12"/>
  <c r="N228" i="12"/>
  <c r="N373" i="12"/>
  <c r="N121" i="12"/>
  <c r="N265" i="12"/>
  <c r="N481" i="12"/>
  <c r="N193" i="12"/>
  <c r="N445" i="12"/>
  <c r="N157" i="12"/>
  <c r="N625" i="12"/>
  <c r="N517" i="12"/>
  <c r="N301" i="12"/>
  <c r="N409" i="12"/>
  <c r="N337" i="12"/>
  <c r="N229" i="12"/>
  <c r="N374" i="12"/>
  <c r="N122" i="12"/>
  <c r="N266" i="12"/>
  <c r="N482" i="12"/>
  <c r="N194" i="12"/>
  <c r="N446" i="12"/>
  <c r="N158" i="12"/>
  <c r="N626" i="12"/>
  <c r="N518" i="12"/>
  <c r="N302" i="12"/>
  <c r="N410" i="12"/>
  <c r="N338" i="12"/>
  <c r="N230" i="12"/>
  <c r="N375" i="12"/>
  <c r="N123" i="12"/>
  <c r="N267" i="12"/>
  <c r="N483" i="12"/>
  <c r="N195" i="12"/>
  <c r="N447" i="12"/>
  <c r="N159" i="12"/>
  <c r="N627" i="12"/>
  <c r="N519" i="12"/>
  <c r="N303" i="12"/>
  <c r="N411" i="12"/>
  <c r="N339" i="12"/>
  <c r="N231" i="12"/>
  <c r="N376" i="12"/>
  <c r="N124" i="12"/>
  <c r="N268" i="12"/>
  <c r="N484" i="12"/>
  <c r="N196" i="12"/>
  <c r="N448" i="12"/>
  <c r="N160" i="12"/>
  <c r="N628" i="12"/>
  <c r="N520" i="12"/>
  <c r="N304" i="12"/>
  <c r="N412" i="12"/>
  <c r="N340" i="12"/>
  <c r="N232" i="12"/>
  <c r="N377" i="12"/>
  <c r="N125" i="12"/>
  <c r="N269" i="12"/>
  <c r="N485" i="12"/>
  <c r="N197" i="12"/>
  <c r="N449" i="12"/>
  <c r="N161" i="12"/>
  <c r="N629" i="12"/>
  <c r="N521" i="12"/>
  <c r="N305" i="12"/>
  <c r="N413" i="12"/>
  <c r="N341" i="12"/>
  <c r="N233" i="12"/>
  <c r="N378" i="12"/>
  <c r="N126" i="12"/>
  <c r="N270" i="12"/>
  <c r="N486" i="12"/>
  <c r="N198" i="12"/>
  <c r="N450" i="12"/>
  <c r="N162" i="12"/>
  <c r="N630" i="12"/>
  <c r="N522" i="12"/>
  <c r="N306" i="12"/>
  <c r="N414" i="12"/>
  <c r="N342" i="12"/>
  <c r="N234" i="12"/>
  <c r="N379" i="12"/>
  <c r="N127" i="12"/>
  <c r="N271" i="12"/>
  <c r="N487" i="12"/>
  <c r="N199" i="12"/>
  <c r="N451" i="12"/>
  <c r="N163" i="12"/>
  <c r="N631" i="12"/>
  <c r="N523" i="12"/>
  <c r="N307" i="12"/>
  <c r="N415" i="12"/>
  <c r="N343" i="12"/>
  <c r="N235" i="12"/>
  <c r="N380" i="12"/>
  <c r="N128" i="12"/>
  <c r="N272" i="12"/>
  <c r="N488" i="12"/>
  <c r="N200" i="12"/>
  <c r="N452" i="12"/>
  <c r="N164" i="12"/>
  <c r="N632" i="12"/>
  <c r="N524" i="12"/>
  <c r="N308" i="12"/>
  <c r="N416" i="12"/>
  <c r="N344" i="12"/>
  <c r="N236" i="12"/>
  <c r="N381" i="12"/>
  <c r="N129" i="12"/>
  <c r="N273" i="12"/>
  <c r="N489" i="12"/>
  <c r="N201" i="12"/>
  <c r="N453" i="12"/>
  <c r="N165" i="12"/>
  <c r="N633" i="12"/>
  <c r="N525" i="12"/>
  <c r="N309" i="12"/>
  <c r="N417" i="12"/>
  <c r="N345" i="12"/>
  <c r="N237" i="12"/>
  <c r="N382" i="12"/>
  <c r="N130" i="12"/>
  <c r="N274" i="12"/>
  <c r="N490" i="12"/>
  <c r="N202" i="12"/>
  <c r="N454" i="12"/>
  <c r="N166" i="12"/>
  <c r="N634" i="12"/>
  <c r="N526" i="12"/>
  <c r="N310" i="12"/>
  <c r="N418" i="12"/>
  <c r="N346" i="12"/>
  <c r="N238" i="12"/>
  <c r="N383" i="12"/>
  <c r="N131" i="12"/>
  <c r="N275" i="12"/>
  <c r="N491" i="12"/>
  <c r="N203" i="12"/>
  <c r="N455" i="12"/>
  <c r="N167" i="12"/>
  <c r="N635" i="12"/>
  <c r="N527" i="12"/>
  <c r="N311" i="12"/>
  <c r="N419" i="12"/>
  <c r="N347" i="12"/>
  <c r="N239" i="12"/>
  <c r="N384" i="12"/>
  <c r="N132" i="12"/>
  <c r="N276" i="12"/>
  <c r="N492" i="12"/>
  <c r="N204" i="12"/>
  <c r="N456" i="12"/>
  <c r="N168" i="12"/>
  <c r="N636" i="12"/>
  <c r="N528" i="12"/>
  <c r="N312" i="12"/>
  <c r="N420" i="12"/>
  <c r="N348" i="12"/>
  <c r="N240" i="12"/>
  <c r="N385" i="12"/>
  <c r="N133" i="12"/>
  <c r="N277" i="12"/>
  <c r="N493" i="12"/>
  <c r="N205" i="12"/>
  <c r="N457" i="12"/>
  <c r="N169" i="12"/>
  <c r="N637" i="12"/>
  <c r="N529" i="12"/>
  <c r="N313" i="12"/>
  <c r="N421" i="12"/>
  <c r="N349" i="12"/>
  <c r="N241" i="12"/>
  <c r="N386" i="12"/>
  <c r="N134" i="12"/>
  <c r="N278" i="12"/>
  <c r="N494" i="12"/>
  <c r="N206" i="12"/>
  <c r="N458" i="12"/>
  <c r="N170" i="12"/>
  <c r="N638" i="12"/>
  <c r="N530" i="12"/>
  <c r="N314" i="12"/>
  <c r="N422" i="12"/>
  <c r="N350" i="12"/>
  <c r="N242" i="12"/>
  <c r="N387" i="12"/>
  <c r="N135" i="12"/>
  <c r="N279" i="12"/>
  <c r="N495" i="12"/>
  <c r="N207" i="12"/>
  <c r="N459" i="12"/>
  <c r="N171" i="12"/>
  <c r="N639" i="12"/>
  <c r="N531" i="12"/>
  <c r="N315" i="12"/>
  <c r="N423" i="12"/>
  <c r="N351" i="12"/>
  <c r="N243" i="12"/>
  <c r="N388" i="12"/>
  <c r="N136" i="12"/>
  <c r="N280" i="12"/>
  <c r="N496" i="12"/>
  <c r="N208" i="12"/>
  <c r="N460" i="12"/>
  <c r="N172" i="12"/>
  <c r="N640" i="12"/>
  <c r="N532" i="12"/>
  <c r="N316" i="12"/>
  <c r="N424" i="12"/>
  <c r="N352" i="12"/>
  <c r="N244" i="12"/>
  <c r="N389" i="12"/>
  <c r="N137" i="12"/>
  <c r="N281" i="12"/>
  <c r="N497" i="12"/>
  <c r="N209" i="12"/>
  <c r="N461" i="12"/>
  <c r="N173" i="12"/>
  <c r="N641" i="12"/>
  <c r="N533" i="12"/>
  <c r="N317" i="12"/>
  <c r="N425" i="12"/>
  <c r="N353" i="12"/>
  <c r="N245" i="12"/>
  <c r="N390" i="12"/>
  <c r="N138" i="12"/>
  <c r="N282" i="12"/>
  <c r="N498" i="12"/>
  <c r="N210" i="12"/>
  <c r="N462" i="12"/>
  <c r="N174" i="12"/>
  <c r="N642" i="12"/>
  <c r="N534" i="12"/>
  <c r="N318" i="12"/>
  <c r="N426" i="12"/>
  <c r="N354" i="12"/>
  <c r="N246" i="12"/>
  <c r="N391" i="12"/>
  <c r="N139" i="12"/>
  <c r="N283" i="12"/>
  <c r="N499" i="12"/>
  <c r="N211" i="12"/>
  <c r="N463" i="12"/>
  <c r="N175" i="12"/>
  <c r="N643" i="12"/>
  <c r="N535" i="12"/>
  <c r="N319" i="12"/>
  <c r="N427" i="12"/>
  <c r="N355" i="12"/>
  <c r="N247" i="12"/>
  <c r="N392" i="12"/>
  <c r="N140" i="12"/>
  <c r="N284" i="12"/>
  <c r="N500" i="12"/>
  <c r="N212" i="12"/>
  <c r="N464" i="12"/>
  <c r="N176" i="12"/>
  <c r="N644" i="12"/>
  <c r="N536" i="12"/>
  <c r="N320" i="12"/>
  <c r="N428" i="12"/>
  <c r="N356" i="12"/>
  <c r="N248" i="12"/>
  <c r="N393" i="12"/>
  <c r="N141" i="12"/>
  <c r="N285" i="12"/>
  <c r="N501" i="12"/>
  <c r="N213" i="12"/>
  <c r="N465" i="12"/>
  <c r="N177" i="12"/>
  <c r="N645" i="12"/>
  <c r="N537" i="12"/>
  <c r="N321" i="12"/>
  <c r="N429" i="12"/>
  <c r="N357" i="12"/>
  <c r="N249" i="12"/>
  <c r="N394" i="12"/>
  <c r="N142" i="12"/>
  <c r="N286" i="12"/>
  <c r="N502" i="12"/>
  <c r="N214" i="12"/>
  <c r="N466" i="12"/>
  <c r="N178" i="12"/>
  <c r="N646" i="12"/>
  <c r="N538" i="12"/>
  <c r="N322" i="12"/>
  <c r="N430" i="12"/>
  <c r="N358" i="12"/>
  <c r="N250" i="12"/>
  <c r="N395" i="12"/>
  <c r="N143" i="12"/>
  <c r="N287" i="12"/>
  <c r="N503" i="12"/>
  <c r="N215" i="12"/>
  <c r="N467" i="12"/>
  <c r="N179" i="12"/>
  <c r="N647" i="12"/>
  <c r="N539" i="12"/>
  <c r="N323" i="12"/>
  <c r="N431" i="12"/>
  <c r="N359" i="12"/>
  <c r="N251" i="12"/>
  <c r="N396" i="12"/>
  <c r="N144" i="12"/>
  <c r="N288" i="12"/>
  <c r="N504" i="12"/>
  <c r="N216" i="12"/>
  <c r="N468" i="12"/>
  <c r="N180" i="12"/>
  <c r="N648" i="12"/>
  <c r="N540" i="12"/>
  <c r="N324" i="12"/>
  <c r="N432" i="12"/>
  <c r="N360" i="12"/>
  <c r="N252" i="12"/>
  <c r="N397" i="12"/>
  <c r="N145" i="12"/>
  <c r="N289" i="12"/>
  <c r="N505" i="12"/>
  <c r="N217" i="12"/>
  <c r="N469" i="12"/>
  <c r="N181" i="12"/>
  <c r="N649" i="12"/>
  <c r="N541" i="12"/>
  <c r="N325" i="12"/>
  <c r="N433" i="12"/>
  <c r="N361" i="12"/>
  <c r="N253" i="12"/>
  <c r="N542" i="12"/>
  <c r="N543" i="12"/>
  <c r="N544" i="12"/>
  <c r="N545" i="12"/>
  <c r="N546" i="12"/>
  <c r="N547" i="12"/>
  <c r="N548" i="12"/>
  <c r="N549" i="12"/>
  <c r="N550" i="12"/>
  <c r="N551" i="12"/>
  <c r="N552" i="12"/>
  <c r="N553" i="12"/>
  <c r="N554" i="12"/>
  <c r="N555" i="12"/>
  <c r="N556" i="12"/>
  <c r="N557" i="12"/>
  <c r="N558" i="12"/>
  <c r="N559" i="12"/>
  <c r="N560" i="12"/>
  <c r="N561" i="12"/>
  <c r="N562" i="12"/>
  <c r="N563" i="12"/>
  <c r="N564" i="12"/>
  <c r="N565" i="12"/>
  <c r="N566" i="12"/>
  <c r="N567" i="12"/>
  <c r="N568" i="12"/>
  <c r="N569" i="12"/>
  <c r="N570" i="12"/>
  <c r="N571" i="12"/>
  <c r="N572" i="12"/>
  <c r="N573" i="12"/>
  <c r="N574" i="12"/>
  <c r="N575" i="12"/>
  <c r="N576" i="12"/>
  <c r="N577" i="12"/>
  <c r="N578" i="12"/>
  <c r="N579" i="12"/>
  <c r="N580" i="12"/>
  <c r="N581" i="12"/>
  <c r="N582" i="12"/>
  <c r="N583" i="12"/>
  <c r="N584" i="12"/>
  <c r="N585" i="12"/>
  <c r="N586" i="12"/>
  <c r="N587" i="12"/>
  <c r="N588" i="12"/>
  <c r="N589" i="12"/>
  <c r="N590" i="12"/>
  <c r="N591" i="12"/>
  <c r="N592" i="12"/>
  <c r="N593" i="12"/>
  <c r="N594" i="12"/>
  <c r="N595" i="12"/>
  <c r="N596" i="12"/>
  <c r="N597" i="12"/>
  <c r="N598" i="12"/>
  <c r="N599" i="12"/>
  <c r="N600" i="12"/>
  <c r="N601" i="12"/>
  <c r="N602" i="12"/>
  <c r="N603" i="12"/>
  <c r="N604" i="12"/>
  <c r="N605" i="12"/>
  <c r="N606" i="12"/>
  <c r="N607" i="12"/>
  <c r="N608" i="12"/>
  <c r="N609" i="12"/>
  <c r="N610" i="12"/>
  <c r="N611" i="12"/>
  <c r="N612" i="12"/>
  <c r="N613" i="12"/>
  <c r="N2090" i="12"/>
  <c r="N2234" i="12"/>
  <c r="N2126" i="12"/>
  <c r="N1874" i="12"/>
  <c r="N2054" i="12"/>
  <c r="N2198" i="12"/>
  <c r="N1982" i="12"/>
  <c r="N1838" i="12"/>
  <c r="N1946" i="12"/>
  <c r="N1910" i="12"/>
  <c r="N1802" i="12"/>
  <c r="N2018" i="12"/>
  <c r="N2162" i="12"/>
  <c r="N2091" i="12"/>
  <c r="N2235" i="12"/>
  <c r="N2127" i="12"/>
  <c r="N1875" i="12"/>
  <c r="N2055" i="12"/>
  <c r="N2199" i="12"/>
  <c r="N1983" i="12"/>
  <c r="N1839" i="12"/>
  <c r="N1947" i="12"/>
  <c r="N1911" i="12"/>
  <c r="N1803" i="12"/>
  <c r="N2019" i="12"/>
  <c r="N2163" i="12"/>
  <c r="N2092" i="12"/>
  <c r="N2236" i="12"/>
  <c r="N2128" i="12"/>
  <c r="N1876" i="12"/>
  <c r="N2056" i="12"/>
  <c r="N2200" i="12"/>
  <c r="N1984" i="12"/>
  <c r="N1840" i="12"/>
  <c r="N1948" i="12"/>
  <c r="N1912" i="12"/>
  <c r="N1804" i="12"/>
  <c r="N2020" i="12"/>
  <c r="N2164" i="12"/>
  <c r="N2093" i="12"/>
  <c r="N2237" i="12"/>
  <c r="N2129" i="12"/>
  <c r="N1877" i="12"/>
  <c r="N2057" i="12"/>
  <c r="N2201" i="12"/>
  <c r="N1985" i="12"/>
  <c r="N1841" i="12"/>
  <c r="N1949" i="12"/>
  <c r="N1913" i="12"/>
  <c r="N1805" i="12"/>
  <c r="N2021" i="12"/>
  <c r="N2165" i="12"/>
  <c r="N2094" i="12"/>
  <c r="N2238" i="12"/>
  <c r="N2130" i="12"/>
  <c r="N1878" i="12"/>
  <c r="N2058" i="12"/>
  <c r="N2202" i="12"/>
  <c r="N1986" i="12"/>
  <c r="N1842" i="12"/>
  <c r="N1950" i="12"/>
  <c r="N1914" i="12"/>
  <c r="N1806" i="12"/>
  <c r="N2022" i="12"/>
  <c r="N2166" i="12"/>
  <c r="N2095" i="12"/>
  <c r="N2239" i="12"/>
  <c r="N2131" i="12"/>
  <c r="N1879" i="12"/>
  <c r="N2059" i="12"/>
  <c r="N2203" i="12"/>
  <c r="N1987" i="12"/>
  <c r="N1843" i="12"/>
  <c r="N1951" i="12"/>
  <c r="N1915" i="12"/>
  <c r="N1807" i="12"/>
  <c r="N2023" i="12"/>
  <c r="N2167" i="12"/>
  <c r="N2096" i="12"/>
  <c r="N2240" i="12"/>
  <c r="N2132" i="12"/>
  <c r="N1880" i="12"/>
  <c r="N2060" i="12"/>
  <c r="N2204" i="12"/>
  <c r="N1988" i="12"/>
  <c r="N1844" i="12"/>
  <c r="N1952" i="12"/>
  <c r="N1916" i="12"/>
  <c r="N1808" i="12"/>
  <c r="N2024" i="12"/>
  <c r="N2168" i="12"/>
  <c r="N2097" i="12"/>
  <c r="N2241" i="12"/>
  <c r="N2133" i="12"/>
  <c r="N1881" i="12"/>
  <c r="N2061" i="12"/>
  <c r="N2205" i="12"/>
  <c r="N1989" i="12"/>
  <c r="N1845" i="12"/>
  <c r="N1953" i="12"/>
  <c r="N1917" i="12"/>
  <c r="N1809" i="12"/>
  <c r="N2025" i="12"/>
  <c r="N2169" i="12"/>
  <c r="N2098" i="12"/>
  <c r="N2242" i="12"/>
  <c r="N2134" i="12"/>
  <c r="N1882" i="12"/>
  <c r="N2062" i="12"/>
  <c r="N2206" i="12"/>
  <c r="N1990" i="12"/>
  <c r="N1846" i="12"/>
  <c r="N1954" i="12"/>
  <c r="N1918" i="12"/>
  <c r="N1810" i="12"/>
  <c r="N2026" i="12"/>
  <c r="N2170" i="12"/>
  <c r="N2099" i="12"/>
  <c r="N2243" i="12"/>
  <c r="N2135" i="12"/>
  <c r="N1883" i="12"/>
  <c r="N2063" i="12"/>
  <c r="N2207" i="12"/>
  <c r="N1991" i="12"/>
  <c r="N1847" i="12"/>
  <c r="N1955" i="12"/>
  <c r="N1919" i="12"/>
  <c r="N1811" i="12"/>
  <c r="N2027" i="12"/>
  <c r="N2171" i="12"/>
  <c r="N2100" i="12"/>
  <c r="N2244" i="12"/>
  <c r="N2136" i="12"/>
  <c r="N1884" i="12"/>
  <c r="N2064" i="12"/>
  <c r="N2208" i="12"/>
  <c r="N1992" i="12"/>
  <c r="N1848" i="12"/>
  <c r="N1956" i="12"/>
  <c r="N1920" i="12"/>
  <c r="N1812" i="12"/>
  <c r="N2028" i="12"/>
  <c r="N2172" i="12"/>
  <c r="N2101" i="12"/>
  <c r="N2245" i="12"/>
  <c r="N2137" i="12"/>
  <c r="N1885" i="12"/>
  <c r="N2065" i="12"/>
  <c r="N2209" i="12"/>
  <c r="N1993" i="12"/>
  <c r="N1849" i="12"/>
  <c r="N1957" i="12"/>
  <c r="N1921" i="12"/>
  <c r="N1813" i="12"/>
  <c r="N2029" i="12"/>
  <c r="N2173" i="12"/>
  <c r="N2102" i="12"/>
  <c r="N2246" i="12"/>
  <c r="N2138" i="12"/>
  <c r="N1886" i="12"/>
  <c r="N2066" i="12"/>
  <c r="N2210" i="12"/>
  <c r="N1994" i="12"/>
  <c r="N1850" i="12"/>
  <c r="N1958" i="12"/>
  <c r="N1922" i="12"/>
  <c r="N1814" i="12"/>
  <c r="N2030" i="12"/>
  <c r="N2174" i="12"/>
  <c r="N2103" i="12"/>
  <c r="N2247" i="12"/>
  <c r="N2139" i="12"/>
  <c r="N1887" i="12"/>
  <c r="N2067" i="12"/>
  <c r="N2211" i="12"/>
  <c r="N1995" i="12"/>
  <c r="N1851" i="12"/>
  <c r="N1959" i="12"/>
  <c r="N1923" i="12"/>
  <c r="N1815" i="12"/>
  <c r="N2031" i="12"/>
  <c r="N2175" i="12"/>
  <c r="N2104" i="12"/>
  <c r="N2248" i="12"/>
  <c r="N2140" i="12"/>
  <c r="N1888" i="12"/>
  <c r="N2068" i="12"/>
  <c r="N2212" i="12"/>
  <c r="N1996" i="12"/>
  <c r="N1852" i="12"/>
  <c r="N1960" i="12"/>
  <c r="N1924" i="12"/>
  <c r="N1816" i="12"/>
  <c r="N2032" i="12"/>
  <c r="N2176" i="12"/>
  <c r="N2105" i="12"/>
  <c r="N2249" i="12"/>
  <c r="N2141" i="12"/>
  <c r="N1889" i="12"/>
  <c r="N2069" i="12"/>
  <c r="N2213" i="12"/>
  <c r="N1997" i="12"/>
  <c r="N1853" i="12"/>
  <c r="N1961" i="12"/>
  <c r="N1925" i="12"/>
  <c r="N1817" i="12"/>
  <c r="N2033" i="12"/>
  <c r="N2177" i="12"/>
  <c r="N2106" i="12"/>
  <c r="N2250" i="12"/>
  <c r="N2142" i="12"/>
  <c r="N1890" i="12"/>
  <c r="N2070" i="12"/>
  <c r="N2214" i="12"/>
  <c r="N1998" i="12"/>
  <c r="N1854" i="12"/>
  <c r="N1962" i="12"/>
  <c r="N1926" i="12"/>
  <c r="N1818" i="12"/>
  <c r="N2034" i="12"/>
  <c r="N2178" i="12"/>
  <c r="N2107" i="12"/>
  <c r="N2251" i="12"/>
  <c r="N2143" i="12"/>
  <c r="N1891" i="12"/>
  <c r="N2071" i="12"/>
  <c r="N2215" i="12"/>
  <c r="N1999" i="12"/>
  <c r="N1855" i="12"/>
  <c r="N1963" i="12"/>
  <c r="N1927" i="12"/>
  <c r="N1819" i="12"/>
  <c r="N2035" i="12"/>
  <c r="N2179" i="12"/>
  <c r="N2108" i="12"/>
  <c r="N2252" i="12"/>
  <c r="N2144" i="12"/>
  <c r="N1892" i="12"/>
  <c r="N2072" i="12"/>
  <c r="N2216" i="12"/>
  <c r="N2000" i="12"/>
  <c r="N1856" i="12"/>
  <c r="N1964" i="12"/>
  <c r="N1928" i="12"/>
  <c r="N1820" i="12"/>
  <c r="N2036" i="12"/>
  <c r="N2180" i="12"/>
  <c r="N2109" i="12"/>
  <c r="N2253" i="12"/>
  <c r="N2145" i="12"/>
  <c r="N1893" i="12"/>
  <c r="N2073" i="12"/>
  <c r="N2217" i="12"/>
  <c r="N2001" i="12"/>
  <c r="N1857" i="12"/>
  <c r="N1965" i="12"/>
  <c r="N1929" i="12"/>
  <c r="N1821" i="12"/>
  <c r="N2037" i="12"/>
  <c r="N2181" i="12"/>
  <c r="N2110" i="12"/>
  <c r="N2254" i="12"/>
  <c r="N2146" i="12"/>
  <c r="N1894" i="12"/>
  <c r="N2074" i="12"/>
  <c r="N2218" i="12"/>
  <c r="N2002" i="12"/>
  <c r="N1858" i="12"/>
  <c r="N1966" i="12"/>
  <c r="N1930" i="12"/>
  <c r="N1822" i="12"/>
  <c r="N2038" i="12"/>
  <c r="N2182" i="12"/>
  <c r="N2111" i="12"/>
  <c r="N2255" i="12"/>
  <c r="N2147" i="12"/>
  <c r="N1895" i="12"/>
  <c r="N2075" i="12"/>
  <c r="N2219" i="12"/>
  <c r="N2003" i="12"/>
  <c r="N1859" i="12"/>
  <c r="N1967" i="12"/>
  <c r="N1931" i="12"/>
  <c r="N1823" i="12"/>
  <c r="N2039" i="12"/>
  <c r="N2183" i="12"/>
  <c r="N2112" i="12"/>
  <c r="N2256" i="12"/>
  <c r="N2148" i="12"/>
  <c r="N1896" i="12"/>
  <c r="N2076" i="12"/>
  <c r="N2220" i="12"/>
  <c r="N2004" i="12"/>
  <c r="N1860" i="12"/>
  <c r="N1968" i="12"/>
  <c r="N1932" i="12"/>
  <c r="N1824" i="12"/>
  <c r="N2040" i="12"/>
  <c r="N2184" i="12"/>
  <c r="N2113" i="12"/>
  <c r="N2257" i="12"/>
  <c r="N2149" i="12"/>
  <c r="N1897" i="12"/>
  <c r="N2077" i="12"/>
  <c r="N2221" i="12"/>
  <c r="N2005" i="12"/>
  <c r="N1861" i="12"/>
  <c r="N1969" i="12"/>
  <c r="N1933" i="12"/>
  <c r="N1825" i="12"/>
  <c r="N2041" i="12"/>
  <c r="N2185" i="12"/>
  <c r="N2114" i="12"/>
  <c r="N2258" i="12"/>
  <c r="N2150" i="12"/>
  <c r="N1898" i="12"/>
  <c r="N2078" i="12"/>
  <c r="N2222" i="12"/>
  <c r="N2006" i="12"/>
  <c r="N1862" i="12"/>
  <c r="N1970" i="12"/>
  <c r="N1934" i="12"/>
  <c r="N1826" i="12"/>
  <c r="N2042" i="12"/>
  <c r="N2186" i="12"/>
  <c r="N2115" i="12"/>
  <c r="N2259" i="12"/>
  <c r="N2151" i="12"/>
  <c r="N1899" i="12"/>
  <c r="N2079" i="12"/>
  <c r="N2223" i="12"/>
  <c r="N2007" i="12"/>
  <c r="N1863" i="12"/>
  <c r="N1971" i="12"/>
  <c r="N1935" i="12"/>
  <c r="N1827" i="12"/>
  <c r="N2043" i="12"/>
  <c r="N2187" i="12"/>
  <c r="N2116" i="12"/>
  <c r="N2260" i="12"/>
  <c r="N2152" i="12"/>
  <c r="N1900" i="12"/>
  <c r="N2080" i="12"/>
  <c r="N2224" i="12"/>
  <c r="N2008" i="12"/>
  <c r="N1864" i="12"/>
  <c r="N1972" i="12"/>
  <c r="N1936" i="12"/>
  <c r="N1828" i="12"/>
  <c r="N2044" i="12"/>
  <c r="N2188" i="12"/>
  <c r="N2117" i="12"/>
  <c r="N2261" i="12"/>
  <c r="N2153" i="12"/>
  <c r="N1901" i="12"/>
  <c r="N2081" i="12"/>
  <c r="N2225" i="12"/>
  <c r="N2009" i="12"/>
  <c r="N1865" i="12"/>
  <c r="N1973" i="12"/>
  <c r="N1937" i="12"/>
  <c r="N1829" i="12"/>
  <c r="N2045" i="12"/>
  <c r="N2189" i="12"/>
  <c r="N2118" i="12"/>
  <c r="N2262" i="12"/>
  <c r="N2154" i="12"/>
  <c r="N1902" i="12"/>
  <c r="N2082" i="12"/>
  <c r="N2226" i="12"/>
  <c r="N2010" i="12"/>
  <c r="N1866" i="12"/>
  <c r="N1974" i="12"/>
  <c r="N1938" i="12"/>
  <c r="N1830" i="12"/>
  <c r="N2046" i="12"/>
  <c r="N2190" i="12"/>
  <c r="N2119" i="12"/>
  <c r="N2263" i="12"/>
  <c r="N2155" i="12"/>
  <c r="N1903" i="12"/>
  <c r="N2083" i="12"/>
  <c r="N2227" i="12"/>
  <c r="N2011" i="12"/>
  <c r="N1867" i="12"/>
  <c r="N1975" i="12"/>
  <c r="N1939" i="12"/>
  <c r="N1831" i="12"/>
  <c r="N2047" i="12"/>
  <c r="N2191" i="12"/>
  <c r="N2120" i="12"/>
  <c r="N2264" i="12"/>
  <c r="N2156" i="12"/>
  <c r="N1904" i="12"/>
  <c r="N2084" i="12"/>
  <c r="N2228" i="12"/>
  <c r="N2012" i="12"/>
  <c r="N1868" i="12"/>
  <c r="N1976" i="12"/>
  <c r="N1940" i="12"/>
  <c r="N1832" i="12"/>
  <c r="N2048" i="12"/>
  <c r="N2192" i="12"/>
  <c r="N2121" i="12"/>
  <c r="N2265" i="12"/>
  <c r="N2157" i="12"/>
  <c r="N1905" i="12"/>
  <c r="N2085" i="12"/>
  <c r="N2229" i="12"/>
  <c r="N2013" i="12"/>
  <c r="N1869" i="12"/>
  <c r="N1977" i="12"/>
  <c r="N1941" i="12"/>
  <c r="N1833" i="12"/>
  <c r="N2049" i="12"/>
  <c r="N2193" i="12"/>
  <c r="N2122" i="12"/>
  <c r="N2266" i="12"/>
  <c r="N2158" i="12"/>
  <c r="N1906" i="12"/>
  <c r="N2086" i="12"/>
  <c r="N2230" i="12"/>
  <c r="N2014" i="12"/>
  <c r="N1870" i="12"/>
  <c r="N1978" i="12"/>
  <c r="N1942" i="12"/>
  <c r="N1834" i="12"/>
  <c r="N2050" i="12"/>
  <c r="N2194" i="12"/>
  <c r="N2123" i="12"/>
  <c r="N2267" i="12"/>
  <c r="N2159" i="12"/>
  <c r="N1907" i="12"/>
  <c r="N2087" i="12"/>
  <c r="N2231" i="12"/>
  <c r="N2015" i="12"/>
  <c r="N1871" i="12"/>
  <c r="N1979" i="12"/>
  <c r="N1943" i="12"/>
  <c r="N1835" i="12"/>
  <c r="N2051" i="12"/>
  <c r="N2195" i="12"/>
  <c r="N2124" i="12"/>
  <c r="N2268" i="12"/>
  <c r="N2160" i="12"/>
  <c r="N1908" i="12"/>
  <c r="N2088" i="12"/>
  <c r="N2232" i="12"/>
  <c r="N2016" i="12"/>
  <c r="N1872" i="12"/>
  <c r="N1980" i="12"/>
  <c r="N1944" i="12"/>
  <c r="N1836" i="12"/>
  <c r="N2052" i="12"/>
  <c r="N2196" i="12"/>
  <c r="N2125" i="12"/>
  <c r="N2269" i="12"/>
  <c r="N2161" i="12"/>
  <c r="N1909" i="12"/>
  <c r="N2089" i="12"/>
  <c r="N2233" i="12"/>
  <c r="N2017" i="12"/>
  <c r="N1873" i="12"/>
  <c r="N1981" i="12"/>
  <c r="N1945" i="12"/>
  <c r="N1837" i="12"/>
  <c r="N2053" i="12"/>
  <c r="N2197" i="12"/>
  <c r="N2" i="12"/>
  <c r="N74" i="12"/>
  <c r="N3" i="12"/>
  <c r="N75" i="12"/>
  <c r="N4" i="12"/>
  <c r="N76" i="12"/>
  <c r="N5" i="12"/>
  <c r="N77" i="12"/>
  <c r="N6" i="12"/>
  <c r="N78" i="12"/>
  <c r="N7" i="12"/>
  <c r="N79" i="12"/>
  <c r="N8" i="12"/>
  <c r="N80" i="12"/>
  <c r="N9" i="12"/>
  <c r="N81" i="12"/>
  <c r="N10" i="12"/>
  <c r="N82" i="12"/>
  <c r="N11" i="12"/>
  <c r="N83" i="12"/>
  <c r="N12" i="12"/>
  <c r="N84" i="12"/>
  <c r="N13" i="12"/>
  <c r="N85" i="12"/>
  <c r="N14" i="12"/>
  <c r="N86" i="12"/>
  <c r="N15" i="12"/>
  <c r="N87" i="12"/>
  <c r="N16" i="12"/>
  <c r="N88" i="12"/>
  <c r="N17" i="12"/>
  <c r="N89" i="12"/>
  <c r="N18" i="12"/>
  <c r="N90" i="12"/>
  <c r="N19" i="12"/>
  <c r="N91" i="12"/>
  <c r="N20" i="12"/>
  <c r="N92" i="12"/>
  <c r="N21" i="12"/>
  <c r="N93" i="12"/>
  <c r="N22" i="12"/>
  <c r="N94" i="12"/>
  <c r="N23" i="12"/>
  <c r="N95" i="12"/>
  <c r="N24" i="12"/>
  <c r="N96" i="12"/>
  <c r="N25" i="12"/>
  <c r="N97" i="12"/>
  <c r="N26" i="12"/>
  <c r="N98" i="12"/>
  <c r="N27" i="12"/>
  <c r="N99" i="12"/>
  <c r="N28" i="12"/>
  <c r="N100" i="12"/>
  <c r="N29" i="12"/>
  <c r="N101" i="12"/>
  <c r="N30" i="12"/>
  <c r="N102" i="12"/>
  <c r="N31" i="12"/>
  <c r="N103" i="12"/>
  <c r="N32" i="12"/>
  <c r="N104" i="12"/>
  <c r="N33" i="12"/>
  <c r="N105" i="12"/>
  <c r="N34" i="12"/>
  <c r="N106" i="12"/>
  <c r="N35" i="12"/>
  <c r="N107" i="12"/>
  <c r="N36" i="12"/>
  <c r="N108" i="12"/>
  <c r="N37" i="12"/>
  <c r="N109" i="12"/>
  <c r="N1190" i="12"/>
  <c r="O1190" i="12"/>
  <c r="M1190" i="12"/>
  <c r="M1226" i="12"/>
  <c r="M1082" i="12"/>
  <c r="M1334" i="12"/>
  <c r="M1370" i="12"/>
  <c r="M830" i="12"/>
  <c r="M38" i="12"/>
  <c r="M1478" i="12"/>
  <c r="M1586" i="12"/>
  <c r="M722" i="12"/>
  <c r="M1298" i="12"/>
  <c r="M1010" i="12"/>
  <c r="M974" i="12"/>
  <c r="M1046" i="12"/>
  <c r="M1622" i="12"/>
  <c r="M938" i="12"/>
  <c r="M686" i="12"/>
  <c r="M1154" i="12"/>
  <c r="M1730" i="12"/>
  <c r="M1550" i="12"/>
  <c r="M1694" i="12"/>
  <c r="M902" i="12"/>
  <c r="M866" i="12"/>
  <c r="M1406" i="12"/>
  <c r="M1118" i="12"/>
  <c r="M650" i="12"/>
  <c r="M1442" i="12"/>
  <c r="M1262" i="12"/>
  <c r="M1514" i="12"/>
  <c r="M794" i="12"/>
  <c r="M758" i="12"/>
  <c r="M1766" i="12"/>
  <c r="M1658" i="12"/>
  <c r="M1191" i="12"/>
  <c r="M1227" i="12"/>
  <c r="M1083" i="12"/>
  <c r="M1335" i="12"/>
  <c r="M1371" i="12"/>
  <c r="M831" i="12"/>
  <c r="M39" i="12"/>
  <c r="M1479" i="12"/>
  <c r="M1587" i="12"/>
  <c r="M723" i="12"/>
  <c r="M1299" i="12"/>
  <c r="M1011" i="12"/>
  <c r="M975" i="12"/>
  <c r="M1047" i="12"/>
  <c r="M1623" i="12"/>
  <c r="M939" i="12"/>
  <c r="M687" i="12"/>
  <c r="M1155" i="12"/>
  <c r="M1731" i="12"/>
  <c r="M1551" i="12"/>
  <c r="M1695" i="12"/>
  <c r="M903" i="12"/>
  <c r="M867" i="12"/>
  <c r="M1407" i="12"/>
  <c r="M1119" i="12"/>
  <c r="M651" i="12"/>
  <c r="M1443" i="12"/>
  <c r="M1263" i="12"/>
  <c r="M1515" i="12"/>
  <c r="M795" i="12"/>
  <c r="M759" i="12"/>
  <c r="M1767" i="12"/>
  <c r="M1659" i="12"/>
  <c r="M1192" i="12"/>
  <c r="M1228" i="12"/>
  <c r="M1084" i="12"/>
  <c r="M1336" i="12"/>
  <c r="M1372" i="12"/>
  <c r="M832" i="12"/>
  <c r="M40" i="12"/>
  <c r="M1480" i="12"/>
  <c r="M1588" i="12"/>
  <c r="M724" i="12"/>
  <c r="M1300" i="12"/>
  <c r="M1012" i="12"/>
  <c r="M976" i="12"/>
  <c r="M1048" i="12"/>
  <c r="M1624" i="12"/>
  <c r="M940" i="12"/>
  <c r="M688" i="12"/>
  <c r="M1156" i="12"/>
  <c r="M1732" i="12"/>
  <c r="M1552" i="12"/>
  <c r="M1696" i="12"/>
  <c r="M904" i="12"/>
  <c r="M868" i="12"/>
  <c r="M1408" i="12"/>
  <c r="M1120" i="12"/>
  <c r="M652" i="12"/>
  <c r="M1444" i="12"/>
  <c r="M1264" i="12"/>
  <c r="M1516" i="12"/>
  <c r="M796" i="12"/>
  <c r="M760" i="12"/>
  <c r="M1768" i="12"/>
  <c r="M1660" i="12"/>
  <c r="M1193" i="12"/>
  <c r="M1229" i="12"/>
  <c r="M1085" i="12"/>
  <c r="M1337" i="12"/>
  <c r="M1373" i="12"/>
  <c r="M833" i="12"/>
  <c r="M41" i="12"/>
  <c r="M1481" i="12"/>
  <c r="M1589" i="12"/>
  <c r="M725" i="12"/>
  <c r="M1301" i="12"/>
  <c r="M1013" i="12"/>
  <c r="M977" i="12"/>
  <c r="M1049" i="12"/>
  <c r="M1625" i="12"/>
  <c r="M941" i="12"/>
  <c r="M689" i="12"/>
  <c r="M1157" i="12"/>
  <c r="M1733" i="12"/>
  <c r="M1553" i="12"/>
  <c r="M1697" i="12"/>
  <c r="M905" i="12"/>
  <c r="M869" i="12"/>
  <c r="M1409" i="12"/>
  <c r="M1121" i="12"/>
  <c r="M653" i="12"/>
  <c r="M1445" i="12"/>
  <c r="M1265" i="12"/>
  <c r="M1517" i="12"/>
  <c r="M797" i="12"/>
  <c r="M761" i="12"/>
  <c r="M1769" i="12"/>
  <c r="M1661" i="12"/>
  <c r="M1194" i="12"/>
  <c r="M1230" i="12"/>
  <c r="M1086" i="12"/>
  <c r="M1338" i="12"/>
  <c r="M1374" i="12"/>
  <c r="M834" i="12"/>
  <c r="M42" i="12"/>
  <c r="M1482" i="12"/>
  <c r="M1590" i="12"/>
  <c r="M726" i="12"/>
  <c r="M1302" i="12"/>
  <c r="M1014" i="12"/>
  <c r="M978" i="12"/>
  <c r="M1050" i="12"/>
  <c r="M1626" i="12"/>
  <c r="M942" i="12"/>
  <c r="M690" i="12"/>
  <c r="M1158" i="12"/>
  <c r="M1734" i="12"/>
  <c r="M1554" i="12"/>
  <c r="M1698" i="12"/>
  <c r="M906" i="12"/>
  <c r="M870" i="12"/>
  <c r="M1410" i="12"/>
  <c r="M1122" i="12"/>
  <c r="M654" i="12"/>
  <c r="M1446" i="12"/>
  <c r="M1266" i="12"/>
  <c r="M1518" i="12"/>
  <c r="M798" i="12"/>
  <c r="M762" i="12"/>
  <c r="M1770" i="12"/>
  <c r="M1662" i="12"/>
  <c r="M1195" i="12"/>
  <c r="M1231" i="12"/>
  <c r="M1087" i="12"/>
  <c r="M1339" i="12"/>
  <c r="M1375" i="12"/>
  <c r="M835" i="12"/>
  <c r="M43" i="12"/>
  <c r="M1483" i="12"/>
  <c r="M1591" i="12"/>
  <c r="M727" i="12"/>
  <c r="M1303" i="12"/>
  <c r="M1015" i="12"/>
  <c r="M979" i="12"/>
  <c r="M1051" i="12"/>
  <c r="M1627" i="12"/>
  <c r="M943" i="12"/>
  <c r="M691" i="12"/>
  <c r="M1159" i="12"/>
  <c r="M1735" i="12"/>
  <c r="M1555" i="12"/>
  <c r="M1699" i="12"/>
  <c r="M907" i="12"/>
  <c r="M871" i="12"/>
  <c r="M1411" i="12"/>
  <c r="M1123" i="12"/>
  <c r="M655" i="12"/>
  <c r="M1447" i="12"/>
  <c r="M1267" i="12"/>
  <c r="M1519" i="12"/>
  <c r="M799" i="12"/>
  <c r="M763" i="12"/>
  <c r="M1771" i="12"/>
  <c r="M1663" i="12"/>
  <c r="M1196" i="12"/>
  <c r="M1232" i="12"/>
  <c r="M1088" i="12"/>
  <c r="M1340" i="12"/>
  <c r="M1376" i="12"/>
  <c r="M836" i="12"/>
  <c r="M44" i="12"/>
  <c r="M1484" i="12"/>
  <c r="M1592" i="12"/>
  <c r="M728" i="12"/>
  <c r="M1304" i="12"/>
  <c r="M1016" i="12"/>
  <c r="M980" i="12"/>
  <c r="M1052" i="12"/>
  <c r="M1628" i="12"/>
  <c r="M944" i="12"/>
  <c r="M692" i="12"/>
  <c r="M1160" i="12"/>
  <c r="M1736" i="12"/>
  <c r="M1556" i="12"/>
  <c r="M1700" i="12"/>
  <c r="M908" i="12"/>
  <c r="M872" i="12"/>
  <c r="M1412" i="12"/>
  <c r="M1124" i="12"/>
  <c r="M656" i="12"/>
  <c r="M1448" i="12"/>
  <c r="M1268" i="12"/>
  <c r="M1520" i="12"/>
  <c r="M800" i="12"/>
  <c r="M764" i="12"/>
  <c r="M1772" i="12"/>
  <c r="M1664" i="12"/>
  <c r="M1197" i="12"/>
  <c r="M1233" i="12"/>
  <c r="M1089" i="12"/>
  <c r="M1341" i="12"/>
  <c r="M1377" i="12"/>
  <c r="M837" i="12"/>
  <c r="M45" i="12"/>
  <c r="M1485" i="12"/>
  <c r="M1593" i="12"/>
  <c r="M729" i="12"/>
  <c r="M1305" i="12"/>
  <c r="M1017" i="12"/>
  <c r="M981" i="12"/>
  <c r="M1053" i="12"/>
  <c r="M1629" i="12"/>
  <c r="M945" i="12"/>
  <c r="M693" i="12"/>
  <c r="M1161" i="12"/>
  <c r="M1737" i="12"/>
  <c r="M1557" i="12"/>
  <c r="M1701" i="12"/>
  <c r="M909" i="12"/>
  <c r="M873" i="12"/>
  <c r="M1413" i="12"/>
  <c r="M1125" i="12"/>
  <c r="M657" i="12"/>
  <c r="M1449" i="12"/>
  <c r="M1269" i="12"/>
  <c r="M1521" i="12"/>
  <c r="M801" i="12"/>
  <c r="M765" i="12"/>
  <c r="M1773" i="12"/>
  <c r="M1665" i="12"/>
  <c r="M1198" i="12"/>
  <c r="M1234" i="12"/>
  <c r="M1090" i="12"/>
  <c r="M1342" i="12"/>
  <c r="M1378" i="12"/>
  <c r="M838" i="12"/>
  <c r="M46" i="12"/>
  <c r="M1486" i="12"/>
  <c r="M1594" i="12"/>
  <c r="M730" i="12"/>
  <c r="M1306" i="12"/>
  <c r="M1018" i="12"/>
  <c r="M982" i="12"/>
  <c r="M1054" i="12"/>
  <c r="M1630" i="12"/>
  <c r="M946" i="12"/>
  <c r="M694" i="12"/>
  <c r="M1162" i="12"/>
  <c r="M1738" i="12"/>
  <c r="M1558" i="12"/>
  <c r="M1702" i="12"/>
  <c r="M910" i="12"/>
  <c r="M874" i="12"/>
  <c r="M1414" i="12"/>
  <c r="M1126" i="12"/>
  <c r="M658" i="12"/>
  <c r="M1450" i="12"/>
  <c r="M1270" i="12"/>
  <c r="M1522" i="12"/>
  <c r="M802" i="12"/>
  <c r="M766" i="12"/>
  <c r="M1774" i="12"/>
  <c r="M1666" i="12"/>
  <c r="M1199" i="12"/>
  <c r="M1235" i="12"/>
  <c r="M1091" i="12"/>
  <c r="M1343" i="12"/>
  <c r="M1379" i="12"/>
  <c r="M839" i="12"/>
  <c r="M47" i="12"/>
  <c r="M1487" i="12"/>
  <c r="M1595" i="12"/>
  <c r="M731" i="12"/>
  <c r="M1307" i="12"/>
  <c r="M1019" i="12"/>
  <c r="M983" i="12"/>
  <c r="M1055" i="12"/>
  <c r="M1631" i="12"/>
  <c r="M947" i="12"/>
  <c r="M695" i="12"/>
  <c r="M1163" i="12"/>
  <c r="M1739" i="12"/>
  <c r="M1559" i="12"/>
  <c r="M1703" i="12"/>
  <c r="M911" i="12"/>
  <c r="M875" i="12"/>
  <c r="M1415" i="12"/>
  <c r="M1127" i="12"/>
  <c r="M659" i="12"/>
  <c r="M1451" i="12"/>
  <c r="M1271" i="12"/>
  <c r="M1523" i="12"/>
  <c r="M803" i="12"/>
  <c r="M767" i="12"/>
  <c r="M1775" i="12"/>
  <c r="M1667" i="12"/>
  <c r="M1200" i="12"/>
  <c r="M1236" i="12"/>
  <c r="M1092" i="12"/>
  <c r="M1344" i="12"/>
  <c r="M1380" i="12"/>
  <c r="M840" i="12"/>
  <c r="M48" i="12"/>
  <c r="M1488" i="12"/>
  <c r="M1596" i="12"/>
  <c r="M732" i="12"/>
  <c r="M1308" i="12"/>
  <c r="M1020" i="12"/>
  <c r="M984" i="12"/>
  <c r="M1056" i="12"/>
  <c r="M1632" i="12"/>
  <c r="M948" i="12"/>
  <c r="M696" i="12"/>
  <c r="M1164" i="12"/>
  <c r="M1740" i="12"/>
  <c r="M1560" i="12"/>
  <c r="M1704" i="12"/>
  <c r="M912" i="12"/>
  <c r="M876" i="12"/>
  <c r="M1416" i="12"/>
  <c r="M1128" i="12"/>
  <c r="M660" i="12"/>
  <c r="M1452" i="12"/>
  <c r="M1272" i="12"/>
  <c r="M1524" i="12"/>
  <c r="M804" i="12"/>
  <c r="M768" i="12"/>
  <c r="M1776" i="12"/>
  <c r="M1668" i="12"/>
  <c r="M1201" i="12"/>
  <c r="M1237" i="12"/>
  <c r="M1093" i="12"/>
  <c r="M1345" i="12"/>
  <c r="M1381" i="12"/>
  <c r="M841" i="12"/>
  <c r="M49" i="12"/>
  <c r="M1489" i="12"/>
  <c r="M1597" i="12"/>
  <c r="M733" i="12"/>
  <c r="M1309" i="12"/>
  <c r="M1021" i="12"/>
  <c r="M985" i="12"/>
  <c r="M1057" i="12"/>
  <c r="M1633" i="12"/>
  <c r="M949" i="12"/>
  <c r="M697" i="12"/>
  <c r="M1165" i="12"/>
  <c r="M1741" i="12"/>
  <c r="M1561" i="12"/>
  <c r="M1705" i="12"/>
  <c r="M913" i="12"/>
  <c r="M877" i="12"/>
  <c r="M1417" i="12"/>
  <c r="M1129" i="12"/>
  <c r="M661" i="12"/>
  <c r="M1453" i="12"/>
  <c r="M1273" i="12"/>
  <c r="M1525" i="12"/>
  <c r="M805" i="12"/>
  <c r="M769" i="12"/>
  <c r="M1777" i="12"/>
  <c r="M1669" i="12"/>
  <c r="M1202" i="12"/>
  <c r="M1238" i="12"/>
  <c r="M1094" i="12"/>
  <c r="M1346" i="12"/>
  <c r="M1382" i="12"/>
  <c r="M842" i="12"/>
  <c r="M50" i="12"/>
  <c r="M1490" i="12"/>
  <c r="M1598" i="12"/>
  <c r="M734" i="12"/>
  <c r="M1310" i="12"/>
  <c r="M1022" i="12"/>
  <c r="M986" i="12"/>
  <c r="M1058" i="12"/>
  <c r="M1634" i="12"/>
  <c r="M950" i="12"/>
  <c r="M698" i="12"/>
  <c r="M1166" i="12"/>
  <c r="M1742" i="12"/>
  <c r="M1562" i="12"/>
  <c r="M1706" i="12"/>
  <c r="M914" i="12"/>
  <c r="M878" i="12"/>
  <c r="M1418" i="12"/>
  <c r="M1130" i="12"/>
  <c r="M662" i="12"/>
  <c r="M1454" i="12"/>
  <c r="M1274" i="12"/>
  <c r="M1526" i="12"/>
  <c r="M806" i="12"/>
  <c r="M770" i="12"/>
  <c r="M1778" i="12"/>
  <c r="M1670" i="12"/>
  <c r="M1203" i="12"/>
  <c r="M1239" i="12"/>
  <c r="M1095" i="12"/>
  <c r="M1347" i="12"/>
  <c r="M1383" i="12"/>
  <c r="M843" i="12"/>
  <c r="M51" i="12"/>
  <c r="M1491" i="12"/>
  <c r="M1599" i="12"/>
  <c r="M735" i="12"/>
  <c r="M1311" i="12"/>
  <c r="M1023" i="12"/>
  <c r="M987" i="12"/>
  <c r="M1059" i="12"/>
  <c r="M1635" i="12"/>
  <c r="M951" i="12"/>
  <c r="M699" i="12"/>
  <c r="M1167" i="12"/>
  <c r="M1743" i="12"/>
  <c r="M1563" i="12"/>
  <c r="M1707" i="12"/>
  <c r="M915" i="12"/>
  <c r="M879" i="12"/>
  <c r="M1419" i="12"/>
  <c r="M1131" i="12"/>
  <c r="M663" i="12"/>
  <c r="M1455" i="12"/>
  <c r="M1275" i="12"/>
  <c r="M1527" i="12"/>
  <c r="M807" i="12"/>
  <c r="M771" i="12"/>
  <c r="M1779" i="12"/>
  <c r="M1671" i="12"/>
  <c r="M1204" i="12"/>
  <c r="M1240" i="12"/>
  <c r="M1096" i="12"/>
  <c r="M1348" i="12"/>
  <c r="M1384" i="12"/>
  <c r="M844" i="12"/>
  <c r="M52" i="12"/>
  <c r="M1492" i="12"/>
  <c r="M1600" i="12"/>
  <c r="M736" i="12"/>
  <c r="M1312" i="12"/>
  <c r="M1024" i="12"/>
  <c r="M988" i="12"/>
  <c r="M1060" i="12"/>
  <c r="M1636" i="12"/>
  <c r="M952" i="12"/>
  <c r="M700" i="12"/>
  <c r="M1168" i="12"/>
  <c r="M1744" i="12"/>
  <c r="M1564" i="12"/>
  <c r="M1708" i="12"/>
  <c r="M916" i="12"/>
  <c r="M880" i="12"/>
  <c r="M1420" i="12"/>
  <c r="M1132" i="12"/>
  <c r="M664" i="12"/>
  <c r="M1456" i="12"/>
  <c r="M1276" i="12"/>
  <c r="M1528" i="12"/>
  <c r="M808" i="12"/>
  <c r="M772" i="12"/>
  <c r="M1780" i="12"/>
  <c r="M1672" i="12"/>
  <c r="M1205" i="12"/>
  <c r="M1241" i="12"/>
  <c r="M1097" i="12"/>
  <c r="M1349" i="12"/>
  <c r="M1385" i="12"/>
  <c r="M845" i="12"/>
  <c r="M53" i="12"/>
  <c r="M1493" i="12"/>
  <c r="M1601" i="12"/>
  <c r="M737" i="12"/>
  <c r="M1313" i="12"/>
  <c r="M1025" i="12"/>
  <c r="M989" i="12"/>
  <c r="M1061" i="12"/>
  <c r="M1637" i="12"/>
  <c r="M953" i="12"/>
  <c r="M701" i="12"/>
  <c r="M1169" i="12"/>
  <c r="M1745" i="12"/>
  <c r="M1565" i="12"/>
  <c r="M1709" i="12"/>
  <c r="M917" i="12"/>
  <c r="M881" i="12"/>
  <c r="M1421" i="12"/>
  <c r="M1133" i="12"/>
  <c r="M665" i="12"/>
  <c r="M1457" i="12"/>
  <c r="M1277" i="12"/>
  <c r="M1529" i="12"/>
  <c r="M809" i="12"/>
  <c r="M773" i="12"/>
  <c r="M1781" i="12"/>
  <c r="M1673" i="12"/>
  <c r="M1206" i="12"/>
  <c r="M1242" i="12"/>
  <c r="M1098" i="12"/>
  <c r="M1350" i="12"/>
  <c r="M1386" i="12"/>
  <c r="M846" i="12"/>
  <c r="M54" i="12"/>
  <c r="M1494" i="12"/>
  <c r="M1602" i="12"/>
  <c r="M738" i="12"/>
  <c r="M1314" i="12"/>
  <c r="M1026" i="12"/>
  <c r="M990" i="12"/>
  <c r="M1062" i="12"/>
  <c r="M1638" i="12"/>
  <c r="M954" i="12"/>
  <c r="M702" i="12"/>
  <c r="M1170" i="12"/>
  <c r="M1746" i="12"/>
  <c r="M1566" i="12"/>
  <c r="M1710" i="12"/>
  <c r="M918" i="12"/>
  <c r="M882" i="12"/>
  <c r="M1422" i="12"/>
  <c r="M1134" i="12"/>
  <c r="M666" i="12"/>
  <c r="M1458" i="12"/>
  <c r="M1278" i="12"/>
  <c r="M1530" i="12"/>
  <c r="M810" i="12"/>
  <c r="M774" i="12"/>
  <c r="M1782" i="12"/>
  <c r="M1674" i="12"/>
  <c r="M1207" i="12"/>
  <c r="M1243" i="12"/>
  <c r="M1099" i="12"/>
  <c r="M1351" i="12"/>
  <c r="M1387" i="12"/>
  <c r="M847" i="12"/>
  <c r="M55" i="12"/>
  <c r="M1495" i="12"/>
  <c r="M1603" i="12"/>
  <c r="M739" i="12"/>
  <c r="M1315" i="12"/>
  <c r="M1027" i="12"/>
  <c r="M991" i="12"/>
  <c r="M1063" i="12"/>
  <c r="M1639" i="12"/>
  <c r="M955" i="12"/>
  <c r="M703" i="12"/>
  <c r="M1171" i="12"/>
  <c r="M1747" i="12"/>
  <c r="M1567" i="12"/>
  <c r="M1711" i="12"/>
  <c r="M919" i="12"/>
  <c r="M883" i="12"/>
  <c r="M1423" i="12"/>
  <c r="M1135" i="12"/>
  <c r="M667" i="12"/>
  <c r="M1459" i="12"/>
  <c r="M1279" i="12"/>
  <c r="M1531" i="12"/>
  <c r="M811" i="12"/>
  <c r="M775" i="12"/>
  <c r="M1783" i="12"/>
  <c r="M1675" i="12"/>
  <c r="M1208" i="12"/>
  <c r="M1244" i="12"/>
  <c r="M1100" i="12"/>
  <c r="M1352" i="12"/>
  <c r="M1388" i="12"/>
  <c r="M848" i="12"/>
  <c r="M56" i="12"/>
  <c r="M1496" i="12"/>
  <c r="M1604" i="12"/>
  <c r="M740" i="12"/>
  <c r="M1316" i="12"/>
  <c r="M1028" i="12"/>
  <c r="M992" i="12"/>
  <c r="M1064" i="12"/>
  <c r="M1640" i="12"/>
  <c r="M956" i="12"/>
  <c r="M704" i="12"/>
  <c r="M1172" i="12"/>
  <c r="M1748" i="12"/>
  <c r="M1568" i="12"/>
  <c r="M1712" i="12"/>
  <c r="M920" i="12"/>
  <c r="M884" i="12"/>
  <c r="M1424" i="12"/>
  <c r="M1136" i="12"/>
  <c r="M668" i="12"/>
  <c r="M1460" i="12"/>
  <c r="M1280" i="12"/>
  <c r="M1532" i="12"/>
  <c r="M812" i="12"/>
  <c r="M776" i="12"/>
  <c r="M1784" i="12"/>
  <c r="M1676" i="12"/>
  <c r="M1209" i="12"/>
  <c r="M1245" i="12"/>
  <c r="M1101" i="12"/>
  <c r="M1353" i="12"/>
  <c r="M1389" i="12"/>
  <c r="M849" i="12"/>
  <c r="M57" i="12"/>
  <c r="M1497" i="12"/>
  <c r="M1605" i="12"/>
  <c r="M741" i="12"/>
  <c r="M1317" i="12"/>
  <c r="M1029" i="12"/>
  <c r="M993" i="12"/>
  <c r="M1065" i="12"/>
  <c r="M1641" i="12"/>
  <c r="M957" i="12"/>
  <c r="M705" i="12"/>
  <c r="M1173" i="12"/>
  <c r="M1749" i="12"/>
  <c r="M1569" i="12"/>
  <c r="M1713" i="12"/>
  <c r="M921" i="12"/>
  <c r="M885" i="12"/>
  <c r="M1425" i="12"/>
  <c r="M1137" i="12"/>
  <c r="M669" i="12"/>
  <c r="M1461" i="12"/>
  <c r="M1281" i="12"/>
  <c r="M1533" i="12"/>
  <c r="M813" i="12"/>
  <c r="M777" i="12"/>
  <c r="M1785" i="12"/>
  <c r="M1677" i="12"/>
  <c r="M1210" i="12"/>
  <c r="M1246" i="12"/>
  <c r="M1102" i="12"/>
  <c r="M1354" i="12"/>
  <c r="M1390" i="12"/>
  <c r="M850" i="12"/>
  <c r="M58" i="12"/>
  <c r="M1498" i="12"/>
  <c r="M1606" i="12"/>
  <c r="M742" i="12"/>
  <c r="M1318" i="12"/>
  <c r="M1030" i="12"/>
  <c r="M994" i="12"/>
  <c r="M1066" i="12"/>
  <c r="M1642" i="12"/>
  <c r="M958" i="12"/>
  <c r="M706" i="12"/>
  <c r="M1174" i="12"/>
  <c r="M1750" i="12"/>
  <c r="M1570" i="12"/>
  <c r="M1714" i="12"/>
  <c r="M922" i="12"/>
  <c r="M886" i="12"/>
  <c r="M1426" i="12"/>
  <c r="M1138" i="12"/>
  <c r="M670" i="12"/>
  <c r="M1462" i="12"/>
  <c r="M1282" i="12"/>
  <c r="M1534" i="12"/>
  <c r="M814" i="12"/>
  <c r="M778" i="12"/>
  <c r="M1786" i="12"/>
  <c r="M1678" i="12"/>
  <c r="M1211" i="12"/>
  <c r="M1247" i="12"/>
  <c r="M1103" i="12"/>
  <c r="M1355" i="12"/>
  <c r="M1391" i="12"/>
  <c r="M851" i="12"/>
  <c r="M59" i="12"/>
  <c r="M1499" i="12"/>
  <c r="M1607" i="12"/>
  <c r="M743" i="12"/>
  <c r="M1319" i="12"/>
  <c r="M1031" i="12"/>
  <c r="M995" i="12"/>
  <c r="M1067" i="12"/>
  <c r="M1643" i="12"/>
  <c r="M959" i="12"/>
  <c r="M707" i="12"/>
  <c r="M1175" i="12"/>
  <c r="M1751" i="12"/>
  <c r="M1571" i="12"/>
  <c r="M1715" i="12"/>
  <c r="M923" i="12"/>
  <c r="M887" i="12"/>
  <c r="M1427" i="12"/>
  <c r="M1139" i="12"/>
  <c r="M671" i="12"/>
  <c r="M1463" i="12"/>
  <c r="M1283" i="12"/>
  <c r="M1535" i="12"/>
  <c r="M815" i="12"/>
  <c r="M779" i="12"/>
  <c r="M1787" i="12"/>
  <c r="M1679" i="12"/>
  <c r="M1212" i="12"/>
  <c r="M1248" i="12"/>
  <c r="M1104" i="12"/>
  <c r="M1356" i="12"/>
  <c r="M1392" i="12"/>
  <c r="M852" i="12"/>
  <c r="M60" i="12"/>
  <c r="M1500" i="12"/>
  <c r="M1608" i="12"/>
  <c r="M744" i="12"/>
  <c r="M1320" i="12"/>
  <c r="M1032" i="12"/>
  <c r="M996" i="12"/>
  <c r="M1068" i="12"/>
  <c r="M1644" i="12"/>
  <c r="M960" i="12"/>
  <c r="M708" i="12"/>
  <c r="M1176" i="12"/>
  <c r="M1752" i="12"/>
  <c r="M1572" i="12"/>
  <c r="M1716" i="12"/>
  <c r="M924" i="12"/>
  <c r="M888" i="12"/>
  <c r="M1428" i="12"/>
  <c r="M1140" i="12"/>
  <c r="M672" i="12"/>
  <c r="M1464" i="12"/>
  <c r="M1284" i="12"/>
  <c r="M1536" i="12"/>
  <c r="M816" i="12"/>
  <c r="M780" i="12"/>
  <c r="M1788" i="12"/>
  <c r="M1680" i="12"/>
  <c r="M1213" i="12"/>
  <c r="M1249" i="12"/>
  <c r="M1105" i="12"/>
  <c r="M1357" i="12"/>
  <c r="M1393" i="12"/>
  <c r="M853" i="12"/>
  <c r="M61" i="12"/>
  <c r="M1501" i="12"/>
  <c r="M1609" i="12"/>
  <c r="M745" i="12"/>
  <c r="M1321" i="12"/>
  <c r="M1033" i="12"/>
  <c r="M997" i="12"/>
  <c r="M1069" i="12"/>
  <c r="M1645" i="12"/>
  <c r="M961" i="12"/>
  <c r="M709" i="12"/>
  <c r="M1177" i="12"/>
  <c r="M1753" i="12"/>
  <c r="M1573" i="12"/>
  <c r="M1717" i="12"/>
  <c r="M925" i="12"/>
  <c r="M889" i="12"/>
  <c r="M1429" i="12"/>
  <c r="M1141" i="12"/>
  <c r="M673" i="12"/>
  <c r="M1465" i="12"/>
  <c r="M1285" i="12"/>
  <c r="M1537" i="12"/>
  <c r="M817" i="12"/>
  <c r="M781" i="12"/>
  <c r="M1789" i="12"/>
  <c r="M1681" i="12"/>
  <c r="M1214" i="12"/>
  <c r="M1250" i="12"/>
  <c r="M1106" i="12"/>
  <c r="M1358" i="12"/>
  <c r="M1394" i="12"/>
  <c r="M854" i="12"/>
  <c r="M62" i="12"/>
  <c r="M1502" i="12"/>
  <c r="M1610" i="12"/>
  <c r="M746" i="12"/>
  <c r="M1322" i="12"/>
  <c r="M1034" i="12"/>
  <c r="M998" i="12"/>
  <c r="M1070" i="12"/>
  <c r="M1646" i="12"/>
  <c r="M962" i="12"/>
  <c r="M710" i="12"/>
  <c r="M1178" i="12"/>
  <c r="M1754" i="12"/>
  <c r="M1574" i="12"/>
  <c r="M1718" i="12"/>
  <c r="M926" i="12"/>
  <c r="M890" i="12"/>
  <c r="M1430" i="12"/>
  <c r="M1142" i="12"/>
  <c r="M674" i="12"/>
  <c r="M1466" i="12"/>
  <c r="M1286" i="12"/>
  <c r="M1538" i="12"/>
  <c r="M818" i="12"/>
  <c r="M782" i="12"/>
  <c r="M1790" i="12"/>
  <c r="M1682" i="12"/>
  <c r="M1215" i="12"/>
  <c r="M1251" i="12"/>
  <c r="M1107" i="12"/>
  <c r="M1359" i="12"/>
  <c r="M1395" i="12"/>
  <c r="M855" i="12"/>
  <c r="M63" i="12"/>
  <c r="M1503" i="12"/>
  <c r="M1611" i="12"/>
  <c r="M747" i="12"/>
  <c r="M1323" i="12"/>
  <c r="M1035" i="12"/>
  <c r="M999" i="12"/>
  <c r="M1071" i="12"/>
  <c r="M1647" i="12"/>
  <c r="M963" i="12"/>
  <c r="M711" i="12"/>
  <c r="M1179" i="12"/>
  <c r="M1755" i="12"/>
  <c r="M1575" i="12"/>
  <c r="M1719" i="12"/>
  <c r="M927" i="12"/>
  <c r="M891" i="12"/>
  <c r="M1431" i="12"/>
  <c r="M1143" i="12"/>
  <c r="M675" i="12"/>
  <c r="M1467" i="12"/>
  <c r="M1287" i="12"/>
  <c r="M1539" i="12"/>
  <c r="M819" i="12"/>
  <c r="M783" i="12"/>
  <c r="M1791" i="12"/>
  <c r="M1683" i="12"/>
  <c r="M1216" i="12"/>
  <c r="M1252" i="12"/>
  <c r="M1108" i="12"/>
  <c r="M1360" i="12"/>
  <c r="M1396" i="12"/>
  <c r="M856" i="12"/>
  <c r="M64" i="12"/>
  <c r="M1504" i="12"/>
  <c r="M1612" i="12"/>
  <c r="M748" i="12"/>
  <c r="M1324" i="12"/>
  <c r="M1036" i="12"/>
  <c r="M1000" i="12"/>
  <c r="M1072" i="12"/>
  <c r="M1648" i="12"/>
  <c r="M964" i="12"/>
  <c r="M712" i="12"/>
  <c r="M1180" i="12"/>
  <c r="M1756" i="12"/>
  <c r="M1576" i="12"/>
  <c r="M1720" i="12"/>
  <c r="M928" i="12"/>
  <c r="M892" i="12"/>
  <c r="M1432" i="12"/>
  <c r="M1144" i="12"/>
  <c r="M676" i="12"/>
  <c r="M1468" i="12"/>
  <c r="M1288" i="12"/>
  <c r="M1540" i="12"/>
  <c r="M820" i="12"/>
  <c r="M784" i="12"/>
  <c r="M1792" i="12"/>
  <c r="M1684" i="12"/>
  <c r="M1217" i="12"/>
  <c r="M1253" i="12"/>
  <c r="M1109" i="12"/>
  <c r="M1361" i="12"/>
  <c r="M1397" i="12"/>
  <c r="M857" i="12"/>
  <c r="M65" i="12"/>
  <c r="M1505" i="12"/>
  <c r="M1613" i="12"/>
  <c r="M749" i="12"/>
  <c r="M1325" i="12"/>
  <c r="M1037" i="12"/>
  <c r="M1001" i="12"/>
  <c r="M1073" i="12"/>
  <c r="M1649" i="12"/>
  <c r="M965" i="12"/>
  <c r="M713" i="12"/>
  <c r="M1181" i="12"/>
  <c r="M1757" i="12"/>
  <c r="M1577" i="12"/>
  <c r="M1721" i="12"/>
  <c r="M929" i="12"/>
  <c r="M893" i="12"/>
  <c r="M1433" i="12"/>
  <c r="M1145" i="12"/>
  <c r="M677" i="12"/>
  <c r="M1469" i="12"/>
  <c r="M1289" i="12"/>
  <c r="M1541" i="12"/>
  <c r="M821" i="12"/>
  <c r="M785" i="12"/>
  <c r="M1793" i="12"/>
  <c r="M1685" i="12"/>
  <c r="M1218" i="12"/>
  <c r="M1254" i="12"/>
  <c r="M1110" i="12"/>
  <c r="M1362" i="12"/>
  <c r="M1398" i="12"/>
  <c r="M858" i="12"/>
  <c r="M66" i="12"/>
  <c r="M1506" i="12"/>
  <c r="M1614" i="12"/>
  <c r="M750" i="12"/>
  <c r="M1326" i="12"/>
  <c r="M1038" i="12"/>
  <c r="M1002" i="12"/>
  <c r="M1074" i="12"/>
  <c r="M1650" i="12"/>
  <c r="M966" i="12"/>
  <c r="M714" i="12"/>
  <c r="M1182" i="12"/>
  <c r="M1758" i="12"/>
  <c r="M1578" i="12"/>
  <c r="M1722" i="12"/>
  <c r="M930" i="12"/>
  <c r="M894" i="12"/>
  <c r="M1434" i="12"/>
  <c r="M1146" i="12"/>
  <c r="M678" i="12"/>
  <c r="M1470" i="12"/>
  <c r="M1290" i="12"/>
  <c r="M1542" i="12"/>
  <c r="M822" i="12"/>
  <c r="M786" i="12"/>
  <c r="M1794" i="12"/>
  <c r="M1686" i="12"/>
  <c r="M1219" i="12"/>
  <c r="M1255" i="12"/>
  <c r="M1111" i="12"/>
  <c r="M1363" i="12"/>
  <c r="M1399" i="12"/>
  <c r="M859" i="12"/>
  <c r="M67" i="12"/>
  <c r="M1507" i="12"/>
  <c r="M1615" i="12"/>
  <c r="M751" i="12"/>
  <c r="M1327" i="12"/>
  <c r="M1039" i="12"/>
  <c r="M1003" i="12"/>
  <c r="M1075" i="12"/>
  <c r="M1651" i="12"/>
  <c r="M967" i="12"/>
  <c r="M715" i="12"/>
  <c r="M1183" i="12"/>
  <c r="M1759" i="12"/>
  <c r="M1579" i="12"/>
  <c r="M1723" i="12"/>
  <c r="M931" i="12"/>
  <c r="M895" i="12"/>
  <c r="M1435" i="12"/>
  <c r="M1147" i="12"/>
  <c r="M679" i="12"/>
  <c r="M1471" i="12"/>
  <c r="M1291" i="12"/>
  <c r="M1543" i="12"/>
  <c r="M823" i="12"/>
  <c r="M787" i="12"/>
  <c r="M1795" i="12"/>
  <c r="M1687" i="12"/>
  <c r="M1220" i="12"/>
  <c r="M1256" i="12"/>
  <c r="M1112" i="12"/>
  <c r="M1364" i="12"/>
  <c r="M1400" i="12"/>
  <c r="M860" i="12"/>
  <c r="M68" i="12"/>
  <c r="M1508" i="12"/>
  <c r="M1616" i="12"/>
  <c r="M752" i="12"/>
  <c r="M1328" i="12"/>
  <c r="M1040" i="12"/>
  <c r="M1004" i="12"/>
  <c r="M1076" i="12"/>
  <c r="M1652" i="12"/>
  <c r="M968" i="12"/>
  <c r="M716" i="12"/>
  <c r="M1184" i="12"/>
  <c r="M1760" i="12"/>
  <c r="M1580" i="12"/>
  <c r="M1724" i="12"/>
  <c r="M932" i="12"/>
  <c r="M896" i="12"/>
  <c r="M1436" i="12"/>
  <c r="M1148" i="12"/>
  <c r="M680" i="12"/>
  <c r="M1472" i="12"/>
  <c r="M1292" i="12"/>
  <c r="M1544" i="12"/>
  <c r="M824" i="12"/>
  <c r="M788" i="12"/>
  <c r="M1796" i="12"/>
  <c r="M1688" i="12"/>
  <c r="M1221" i="12"/>
  <c r="M1257" i="12"/>
  <c r="M1113" i="12"/>
  <c r="M1365" i="12"/>
  <c r="M1401" i="12"/>
  <c r="M861" i="12"/>
  <c r="M69" i="12"/>
  <c r="M1509" i="12"/>
  <c r="M1617" i="12"/>
  <c r="M753" i="12"/>
  <c r="M1329" i="12"/>
  <c r="M1041" i="12"/>
  <c r="M1005" i="12"/>
  <c r="M1077" i="12"/>
  <c r="M1653" i="12"/>
  <c r="M969" i="12"/>
  <c r="M717" i="12"/>
  <c r="M1185" i="12"/>
  <c r="M1761" i="12"/>
  <c r="M1581" i="12"/>
  <c r="M1725" i="12"/>
  <c r="M933" i="12"/>
  <c r="M897" i="12"/>
  <c r="M1437" i="12"/>
  <c r="M1149" i="12"/>
  <c r="M681" i="12"/>
  <c r="M1473" i="12"/>
  <c r="M1293" i="12"/>
  <c r="M1545" i="12"/>
  <c r="M825" i="12"/>
  <c r="M789" i="12"/>
  <c r="M1797" i="12"/>
  <c r="M1689" i="12"/>
  <c r="M1222" i="12"/>
  <c r="M1258" i="12"/>
  <c r="M1114" i="12"/>
  <c r="M1366" i="12"/>
  <c r="M1402" i="12"/>
  <c r="M862" i="12"/>
  <c r="M70" i="12"/>
  <c r="M1510" i="12"/>
  <c r="M1618" i="12"/>
  <c r="M754" i="12"/>
  <c r="M1330" i="12"/>
  <c r="M1042" i="12"/>
  <c r="M1006" i="12"/>
  <c r="M1078" i="12"/>
  <c r="M1654" i="12"/>
  <c r="M970" i="12"/>
  <c r="M718" i="12"/>
  <c r="M1186" i="12"/>
  <c r="M1762" i="12"/>
  <c r="M1582" i="12"/>
  <c r="M1726" i="12"/>
  <c r="M934" i="12"/>
  <c r="M898" i="12"/>
  <c r="M1438" i="12"/>
  <c r="M1150" i="12"/>
  <c r="M682" i="12"/>
  <c r="M1474" i="12"/>
  <c r="M1294" i="12"/>
  <c r="M1546" i="12"/>
  <c r="M826" i="12"/>
  <c r="M790" i="12"/>
  <c r="M1798" i="12"/>
  <c r="M1690" i="12"/>
  <c r="M1223" i="12"/>
  <c r="M1259" i="12"/>
  <c r="M1115" i="12"/>
  <c r="M1367" i="12"/>
  <c r="M1403" i="12"/>
  <c r="M863" i="12"/>
  <c r="M71" i="12"/>
  <c r="M1511" i="12"/>
  <c r="M1619" i="12"/>
  <c r="M755" i="12"/>
  <c r="M1331" i="12"/>
  <c r="M1043" i="12"/>
  <c r="M1007" i="12"/>
  <c r="M1079" i="12"/>
  <c r="M1655" i="12"/>
  <c r="M971" i="12"/>
  <c r="M719" i="12"/>
  <c r="M1187" i="12"/>
  <c r="M1763" i="12"/>
  <c r="M1583" i="12"/>
  <c r="M1727" i="12"/>
  <c r="M935" i="12"/>
  <c r="M899" i="12"/>
  <c r="M1439" i="12"/>
  <c r="M1151" i="12"/>
  <c r="M683" i="12"/>
  <c r="M1475" i="12"/>
  <c r="M1295" i="12"/>
  <c r="M1547" i="12"/>
  <c r="M827" i="12"/>
  <c r="M791" i="12"/>
  <c r="M1799" i="12"/>
  <c r="M1691" i="12"/>
  <c r="M1224" i="12"/>
  <c r="M1260" i="12"/>
  <c r="M1116" i="12"/>
  <c r="M1368" i="12"/>
  <c r="M1404" i="12"/>
  <c r="M864" i="12"/>
  <c r="M72" i="12"/>
  <c r="M1512" i="12"/>
  <c r="M1620" i="12"/>
  <c r="M756" i="12"/>
  <c r="M1332" i="12"/>
  <c r="M1044" i="12"/>
  <c r="M1008" i="12"/>
  <c r="M1080" i="12"/>
  <c r="M1656" i="12"/>
  <c r="M972" i="12"/>
  <c r="M720" i="12"/>
  <c r="M1188" i="12"/>
  <c r="M1764" i="12"/>
  <c r="M1584" i="12"/>
  <c r="M1728" i="12"/>
  <c r="M936" i="12"/>
  <c r="M900" i="12"/>
  <c r="M1440" i="12"/>
  <c r="M1152" i="12"/>
  <c r="M684" i="12"/>
  <c r="M1476" i="12"/>
  <c r="M1296" i="12"/>
  <c r="M1548" i="12"/>
  <c r="M828" i="12"/>
  <c r="M792" i="12"/>
  <c r="M1800" i="12"/>
  <c r="M1692" i="12"/>
  <c r="M1225" i="12"/>
  <c r="M1261" i="12"/>
  <c r="M1117" i="12"/>
  <c r="M1369" i="12"/>
  <c r="M1405" i="12"/>
  <c r="M865" i="12"/>
  <c r="M73" i="12"/>
  <c r="M1513" i="12"/>
  <c r="M1621" i="12"/>
  <c r="M757" i="12"/>
  <c r="M1333" i="12"/>
  <c r="M1045" i="12"/>
  <c r="M1009" i="12"/>
  <c r="M1081" i="12"/>
  <c r="M1657" i="12"/>
  <c r="M973" i="12"/>
  <c r="M721" i="12"/>
  <c r="M1189" i="12"/>
  <c r="M1765" i="12"/>
  <c r="M1585" i="12"/>
  <c r="M1729" i="12"/>
  <c r="M937" i="12"/>
  <c r="M901" i="12"/>
  <c r="M1441" i="12"/>
  <c r="M1153" i="12"/>
  <c r="M685" i="12"/>
  <c r="M1477" i="12"/>
  <c r="M1297" i="12"/>
  <c r="M1549" i="12"/>
  <c r="M829" i="12"/>
  <c r="M793" i="12"/>
  <c r="M1801" i="12"/>
  <c r="M1693" i="12"/>
  <c r="M2810" i="12"/>
  <c r="M2738" i="12"/>
  <c r="M2558" i="12"/>
  <c r="M2414" i="12"/>
  <c r="M2702" i="12"/>
  <c r="M2846" i="12"/>
  <c r="M2918" i="12"/>
  <c r="M2486" i="12"/>
  <c r="M2666" i="12"/>
  <c r="M2306" i="12"/>
  <c r="M2450" i="12"/>
  <c r="M2342" i="12"/>
  <c r="M2630" i="12"/>
  <c r="M2774" i="12"/>
  <c r="M2594" i="12"/>
  <c r="M2882" i="12"/>
  <c r="M2522" i="12"/>
  <c r="M2378" i="12"/>
  <c r="M2270" i="12"/>
  <c r="M2811" i="12"/>
  <c r="M2739" i="12"/>
  <c r="M2559" i="12"/>
  <c r="M2415" i="12"/>
  <c r="M2703" i="12"/>
  <c r="M2847" i="12"/>
  <c r="M2919" i="12"/>
  <c r="M2487" i="12"/>
  <c r="M2667" i="12"/>
  <c r="M2307" i="12"/>
  <c r="M2451" i="12"/>
  <c r="M2343" i="12"/>
  <c r="M2631" i="12"/>
  <c r="M2775" i="12"/>
  <c r="M2595" i="12"/>
  <c r="M2883" i="12"/>
  <c r="M2523" i="12"/>
  <c r="M2379" i="12"/>
  <c r="M2271" i="12"/>
  <c r="M2812" i="12"/>
  <c r="M2740" i="12"/>
  <c r="M2560" i="12"/>
  <c r="M2416" i="12"/>
  <c r="M2704" i="12"/>
  <c r="M2848" i="12"/>
  <c r="M2920" i="12"/>
  <c r="M2488" i="12"/>
  <c r="M2668" i="12"/>
  <c r="M2308" i="12"/>
  <c r="M2452" i="12"/>
  <c r="M2344" i="12"/>
  <c r="M2632" i="12"/>
  <c r="M2776" i="12"/>
  <c r="M2596" i="12"/>
  <c r="M2884" i="12"/>
  <c r="M2524" i="12"/>
  <c r="M2380" i="12"/>
  <c r="M2272" i="12"/>
  <c r="M2813" i="12"/>
  <c r="M2741" i="12"/>
  <c r="M2561" i="12"/>
  <c r="M2417" i="12"/>
  <c r="M2705" i="12"/>
  <c r="M2849" i="12"/>
  <c r="M2921" i="12"/>
  <c r="M2489" i="12"/>
  <c r="M2669" i="12"/>
  <c r="M2309" i="12"/>
  <c r="M2453" i="12"/>
  <c r="M2345" i="12"/>
  <c r="M2633" i="12"/>
  <c r="M2777" i="12"/>
  <c r="M2597" i="12"/>
  <c r="M2885" i="12"/>
  <c r="M2525" i="12"/>
  <c r="M2381" i="12"/>
  <c r="M2273" i="12"/>
  <c r="M2814" i="12"/>
  <c r="M2742" i="12"/>
  <c r="M2562" i="12"/>
  <c r="M2418" i="12"/>
  <c r="M2706" i="12"/>
  <c r="M2850" i="12"/>
  <c r="M2922" i="12"/>
  <c r="M2490" i="12"/>
  <c r="M2670" i="12"/>
  <c r="M2310" i="12"/>
  <c r="M2454" i="12"/>
  <c r="M2346" i="12"/>
  <c r="M2634" i="12"/>
  <c r="M2778" i="12"/>
  <c r="M2598" i="12"/>
  <c r="M2886" i="12"/>
  <c r="M2526" i="12"/>
  <c r="M2382" i="12"/>
  <c r="M2274" i="12"/>
  <c r="M2815" i="12"/>
  <c r="M2743" i="12"/>
  <c r="M2563" i="12"/>
  <c r="M2419" i="12"/>
  <c r="M2707" i="12"/>
  <c r="M2851" i="12"/>
  <c r="M2923" i="12"/>
  <c r="M2491" i="12"/>
  <c r="M2671" i="12"/>
  <c r="M2311" i="12"/>
  <c r="M2455" i="12"/>
  <c r="M2347" i="12"/>
  <c r="M2635" i="12"/>
  <c r="M2779" i="12"/>
  <c r="M2599" i="12"/>
  <c r="M2887" i="12"/>
  <c r="M2527" i="12"/>
  <c r="M2383" i="12"/>
  <c r="M2275" i="12"/>
  <c r="M2816" i="12"/>
  <c r="M2744" i="12"/>
  <c r="M2564" i="12"/>
  <c r="M2420" i="12"/>
  <c r="M2708" i="12"/>
  <c r="M2852" i="12"/>
  <c r="M2924" i="12"/>
  <c r="M2492" i="12"/>
  <c r="M2672" i="12"/>
  <c r="M2312" i="12"/>
  <c r="M2456" i="12"/>
  <c r="M2348" i="12"/>
  <c r="M2636" i="12"/>
  <c r="M2780" i="12"/>
  <c r="M2600" i="12"/>
  <c r="M2888" i="12"/>
  <c r="M2528" i="12"/>
  <c r="M2384" i="12"/>
  <c r="M2276" i="12"/>
  <c r="M2817" i="12"/>
  <c r="M2745" i="12"/>
  <c r="M2565" i="12"/>
  <c r="M2421" i="12"/>
  <c r="M2709" i="12"/>
  <c r="M2853" i="12"/>
  <c r="M2925" i="12"/>
  <c r="M2493" i="12"/>
  <c r="M2673" i="12"/>
  <c r="M2313" i="12"/>
  <c r="M2457" i="12"/>
  <c r="M2349" i="12"/>
  <c r="M2637" i="12"/>
  <c r="M2781" i="12"/>
  <c r="M2601" i="12"/>
  <c r="M2889" i="12"/>
  <c r="M2529" i="12"/>
  <c r="M2385" i="12"/>
  <c r="M2277" i="12"/>
  <c r="M2818" i="12"/>
  <c r="M2746" i="12"/>
  <c r="M2566" i="12"/>
  <c r="M2422" i="12"/>
  <c r="M2710" i="12"/>
  <c r="M2854" i="12"/>
  <c r="M2926" i="12"/>
  <c r="M2494" i="12"/>
  <c r="M2674" i="12"/>
  <c r="M2314" i="12"/>
  <c r="M2458" i="12"/>
  <c r="M2350" i="12"/>
  <c r="M2638" i="12"/>
  <c r="M2782" i="12"/>
  <c r="M2602" i="12"/>
  <c r="M2890" i="12"/>
  <c r="M2530" i="12"/>
  <c r="M2386" i="12"/>
  <c r="M2278" i="12"/>
  <c r="M2819" i="12"/>
  <c r="M2747" i="12"/>
  <c r="M2567" i="12"/>
  <c r="M2423" i="12"/>
  <c r="M2711" i="12"/>
  <c r="M2855" i="12"/>
  <c r="M2927" i="12"/>
  <c r="M2495" i="12"/>
  <c r="M2675" i="12"/>
  <c r="M2315" i="12"/>
  <c r="M2459" i="12"/>
  <c r="M2351" i="12"/>
  <c r="M2639" i="12"/>
  <c r="M2783" i="12"/>
  <c r="M2603" i="12"/>
  <c r="M2891" i="12"/>
  <c r="M2531" i="12"/>
  <c r="M2387" i="12"/>
  <c r="M2279" i="12"/>
  <c r="M2820" i="12"/>
  <c r="M2748" i="12"/>
  <c r="M2568" i="12"/>
  <c r="M2424" i="12"/>
  <c r="M2712" i="12"/>
  <c r="M2856" i="12"/>
  <c r="M2928" i="12"/>
  <c r="M2496" i="12"/>
  <c r="M2676" i="12"/>
  <c r="M2316" i="12"/>
  <c r="M2460" i="12"/>
  <c r="M2352" i="12"/>
  <c r="M2640" i="12"/>
  <c r="M2784" i="12"/>
  <c r="M2604" i="12"/>
  <c r="M2892" i="12"/>
  <c r="M2532" i="12"/>
  <c r="M2388" i="12"/>
  <c r="M2280" i="12"/>
  <c r="M2821" i="12"/>
  <c r="M2749" i="12"/>
  <c r="M2569" i="12"/>
  <c r="M2425" i="12"/>
  <c r="M2713" i="12"/>
  <c r="M2857" i="12"/>
  <c r="M2929" i="12"/>
  <c r="M2497" i="12"/>
  <c r="M2677" i="12"/>
  <c r="M2317" i="12"/>
  <c r="M2461" i="12"/>
  <c r="M2353" i="12"/>
  <c r="M2641" i="12"/>
  <c r="M2785" i="12"/>
  <c r="M2605" i="12"/>
  <c r="M2893" i="12"/>
  <c r="M2533" i="12"/>
  <c r="M2389" i="12"/>
  <c r="M2281" i="12"/>
  <c r="M2822" i="12"/>
  <c r="M2750" i="12"/>
  <c r="M2570" i="12"/>
  <c r="M2426" i="12"/>
  <c r="M2714" i="12"/>
  <c r="M2858" i="12"/>
  <c r="M2930" i="12"/>
  <c r="M2498" i="12"/>
  <c r="M2678" i="12"/>
  <c r="M2318" i="12"/>
  <c r="M2462" i="12"/>
  <c r="M2354" i="12"/>
  <c r="M2642" i="12"/>
  <c r="M2786" i="12"/>
  <c r="M2606" i="12"/>
  <c r="M2894" i="12"/>
  <c r="M2534" i="12"/>
  <c r="M2390" i="12"/>
  <c r="M2282" i="12"/>
  <c r="M2823" i="12"/>
  <c r="M2751" i="12"/>
  <c r="M2571" i="12"/>
  <c r="M2427" i="12"/>
  <c r="M2715" i="12"/>
  <c r="M2859" i="12"/>
  <c r="M2931" i="12"/>
  <c r="M2499" i="12"/>
  <c r="M2679" i="12"/>
  <c r="M2319" i="12"/>
  <c r="M2463" i="12"/>
  <c r="M2355" i="12"/>
  <c r="M2643" i="12"/>
  <c r="M2787" i="12"/>
  <c r="M2607" i="12"/>
  <c r="M2895" i="12"/>
  <c r="M2535" i="12"/>
  <c r="M2391" i="12"/>
  <c r="M2283" i="12"/>
  <c r="M2824" i="12"/>
  <c r="M2752" i="12"/>
  <c r="M2572" i="12"/>
  <c r="M2428" i="12"/>
  <c r="M2716" i="12"/>
  <c r="M2860" i="12"/>
  <c r="M2932" i="12"/>
  <c r="M2500" i="12"/>
  <c r="M2680" i="12"/>
  <c r="M2320" i="12"/>
  <c r="M2464" i="12"/>
  <c r="M2356" i="12"/>
  <c r="M2644" i="12"/>
  <c r="M2788" i="12"/>
  <c r="M2608" i="12"/>
  <c r="M2896" i="12"/>
  <c r="M2536" i="12"/>
  <c r="M2392" i="12"/>
  <c r="M2284" i="12"/>
  <c r="M2825" i="12"/>
  <c r="M2753" i="12"/>
  <c r="M2573" i="12"/>
  <c r="M2429" i="12"/>
  <c r="M2717" i="12"/>
  <c r="M2861" i="12"/>
  <c r="M2933" i="12"/>
  <c r="M2501" i="12"/>
  <c r="M2681" i="12"/>
  <c r="M2321" i="12"/>
  <c r="M2465" i="12"/>
  <c r="M2357" i="12"/>
  <c r="M2645" i="12"/>
  <c r="M2789" i="12"/>
  <c r="M2609" i="12"/>
  <c r="M2897" i="12"/>
  <c r="M2537" i="12"/>
  <c r="M2393" i="12"/>
  <c r="M2285" i="12"/>
  <c r="M2826" i="12"/>
  <c r="M2754" i="12"/>
  <c r="M2574" i="12"/>
  <c r="M2430" i="12"/>
  <c r="M2718" i="12"/>
  <c r="M2862" i="12"/>
  <c r="M2934" i="12"/>
  <c r="M2502" i="12"/>
  <c r="M2682" i="12"/>
  <c r="M2322" i="12"/>
  <c r="M2466" i="12"/>
  <c r="M2358" i="12"/>
  <c r="M2646" i="12"/>
  <c r="M2790" i="12"/>
  <c r="M2610" i="12"/>
  <c r="M2898" i="12"/>
  <c r="M2538" i="12"/>
  <c r="M2394" i="12"/>
  <c r="M2286" i="12"/>
  <c r="M2827" i="12"/>
  <c r="M2755" i="12"/>
  <c r="M2575" i="12"/>
  <c r="M2431" i="12"/>
  <c r="M2719" i="12"/>
  <c r="M2863" i="12"/>
  <c r="M2935" i="12"/>
  <c r="M2503" i="12"/>
  <c r="M2683" i="12"/>
  <c r="M2323" i="12"/>
  <c r="M2467" i="12"/>
  <c r="M2359" i="12"/>
  <c r="M2647" i="12"/>
  <c r="M2791" i="12"/>
  <c r="M2611" i="12"/>
  <c r="M2899" i="12"/>
  <c r="M2539" i="12"/>
  <c r="M2395" i="12"/>
  <c r="M2287" i="12"/>
  <c r="M2828" i="12"/>
  <c r="M2756" i="12"/>
  <c r="M2576" i="12"/>
  <c r="M2432" i="12"/>
  <c r="M2720" i="12"/>
  <c r="M2864" i="12"/>
  <c r="M2936" i="12"/>
  <c r="M2504" i="12"/>
  <c r="M2684" i="12"/>
  <c r="M2324" i="12"/>
  <c r="M2468" i="12"/>
  <c r="M2360" i="12"/>
  <c r="M2648" i="12"/>
  <c r="M2792" i="12"/>
  <c r="M2612" i="12"/>
  <c r="M2900" i="12"/>
  <c r="M2540" i="12"/>
  <c r="M2396" i="12"/>
  <c r="M2288" i="12"/>
  <c r="M2829" i="12"/>
  <c r="M2757" i="12"/>
  <c r="M2577" i="12"/>
  <c r="M2433" i="12"/>
  <c r="M2721" i="12"/>
  <c r="M2865" i="12"/>
  <c r="M2937" i="12"/>
  <c r="M2505" i="12"/>
  <c r="M2685" i="12"/>
  <c r="M2325" i="12"/>
  <c r="M2469" i="12"/>
  <c r="M2361" i="12"/>
  <c r="M2649" i="12"/>
  <c r="M2793" i="12"/>
  <c r="M2613" i="12"/>
  <c r="M2901" i="12"/>
  <c r="M2541" i="12"/>
  <c r="M2397" i="12"/>
  <c r="M2289" i="12"/>
  <c r="M2830" i="12"/>
  <c r="M2758" i="12"/>
  <c r="M2578" i="12"/>
  <c r="M2434" i="12"/>
  <c r="M2722" i="12"/>
  <c r="M2866" i="12"/>
  <c r="M2938" i="12"/>
  <c r="M2506" i="12"/>
  <c r="M2686" i="12"/>
  <c r="M2326" i="12"/>
  <c r="M2470" i="12"/>
  <c r="M2362" i="12"/>
  <c r="M2650" i="12"/>
  <c r="M2794" i="12"/>
  <c r="M2614" i="12"/>
  <c r="M2902" i="12"/>
  <c r="M2542" i="12"/>
  <c r="M2398" i="12"/>
  <c r="M2290" i="12"/>
  <c r="M2831" i="12"/>
  <c r="M2759" i="12"/>
  <c r="M2579" i="12"/>
  <c r="M2435" i="12"/>
  <c r="M2723" i="12"/>
  <c r="M2867" i="12"/>
  <c r="M2939" i="12"/>
  <c r="M2507" i="12"/>
  <c r="M2687" i="12"/>
  <c r="M2327" i="12"/>
  <c r="M2471" i="12"/>
  <c r="M2363" i="12"/>
  <c r="M2651" i="12"/>
  <c r="M2795" i="12"/>
  <c r="M2615" i="12"/>
  <c r="M2903" i="12"/>
  <c r="M2543" i="12"/>
  <c r="M2399" i="12"/>
  <c r="M2291" i="12"/>
  <c r="M2832" i="12"/>
  <c r="M2760" i="12"/>
  <c r="M2580" i="12"/>
  <c r="M2436" i="12"/>
  <c r="M2724" i="12"/>
  <c r="M2868" i="12"/>
  <c r="M2940" i="12"/>
  <c r="M2508" i="12"/>
  <c r="M2688" i="12"/>
  <c r="M2328" i="12"/>
  <c r="M2472" i="12"/>
  <c r="M2364" i="12"/>
  <c r="M2652" i="12"/>
  <c r="M2796" i="12"/>
  <c r="M2616" i="12"/>
  <c r="M2904" i="12"/>
  <c r="M2544" i="12"/>
  <c r="M2400" i="12"/>
  <c r="M2292" i="12"/>
  <c r="M2833" i="12"/>
  <c r="M2761" i="12"/>
  <c r="M2581" i="12"/>
  <c r="M2437" i="12"/>
  <c r="M2725" i="12"/>
  <c r="M2869" i="12"/>
  <c r="M2941" i="12"/>
  <c r="M2509" i="12"/>
  <c r="M2689" i="12"/>
  <c r="M2329" i="12"/>
  <c r="M2473" i="12"/>
  <c r="M2365" i="12"/>
  <c r="M2653" i="12"/>
  <c r="M2797" i="12"/>
  <c r="M2617" i="12"/>
  <c r="M2905" i="12"/>
  <c r="M2545" i="12"/>
  <c r="M2401" i="12"/>
  <c r="M2293" i="12"/>
  <c r="M2834" i="12"/>
  <c r="M2762" i="12"/>
  <c r="M2582" i="12"/>
  <c r="M2438" i="12"/>
  <c r="M2726" i="12"/>
  <c r="M2870" i="12"/>
  <c r="M2942" i="12"/>
  <c r="M2510" i="12"/>
  <c r="M2690" i="12"/>
  <c r="M2330" i="12"/>
  <c r="M2474" i="12"/>
  <c r="M2366" i="12"/>
  <c r="M2654" i="12"/>
  <c r="M2798" i="12"/>
  <c r="M2618" i="12"/>
  <c r="M2906" i="12"/>
  <c r="M2546" i="12"/>
  <c r="M2402" i="12"/>
  <c r="M2294" i="12"/>
  <c r="M2835" i="12"/>
  <c r="M2763" i="12"/>
  <c r="M2583" i="12"/>
  <c r="M2439" i="12"/>
  <c r="M2727" i="12"/>
  <c r="M2871" i="12"/>
  <c r="M2943" i="12"/>
  <c r="M2511" i="12"/>
  <c r="M2691" i="12"/>
  <c r="M2331" i="12"/>
  <c r="M2475" i="12"/>
  <c r="M2367" i="12"/>
  <c r="M2655" i="12"/>
  <c r="M2799" i="12"/>
  <c r="M2619" i="12"/>
  <c r="M2907" i="12"/>
  <c r="M2547" i="12"/>
  <c r="M2403" i="12"/>
  <c r="M2295" i="12"/>
  <c r="M2836" i="12"/>
  <c r="M2764" i="12"/>
  <c r="M2584" i="12"/>
  <c r="M2440" i="12"/>
  <c r="M2728" i="12"/>
  <c r="M2872" i="12"/>
  <c r="M2944" i="12"/>
  <c r="M2512" i="12"/>
  <c r="M2692" i="12"/>
  <c r="M2332" i="12"/>
  <c r="M2476" i="12"/>
  <c r="M2368" i="12"/>
  <c r="M2656" i="12"/>
  <c r="M2800" i="12"/>
  <c r="M2620" i="12"/>
  <c r="M2908" i="12"/>
  <c r="M2548" i="12"/>
  <c r="M2404" i="12"/>
  <c r="M2296" i="12"/>
  <c r="M2837" i="12"/>
  <c r="M2765" i="12"/>
  <c r="M2585" i="12"/>
  <c r="M2441" i="12"/>
  <c r="M2729" i="12"/>
  <c r="M2873" i="12"/>
  <c r="M2945" i="12"/>
  <c r="M2513" i="12"/>
  <c r="M2693" i="12"/>
  <c r="M2333" i="12"/>
  <c r="M2477" i="12"/>
  <c r="M2369" i="12"/>
  <c r="M2657" i="12"/>
  <c r="M2801" i="12"/>
  <c r="M2621" i="12"/>
  <c r="M2909" i="12"/>
  <c r="M2549" i="12"/>
  <c r="M2405" i="12"/>
  <c r="M2297" i="12"/>
  <c r="M2838" i="12"/>
  <c r="M2766" i="12"/>
  <c r="M2586" i="12"/>
  <c r="M2442" i="12"/>
  <c r="M2730" i="12"/>
  <c r="M2874" i="12"/>
  <c r="M2946" i="12"/>
  <c r="M2514" i="12"/>
  <c r="M2694" i="12"/>
  <c r="M2334" i="12"/>
  <c r="M2478" i="12"/>
  <c r="M2370" i="12"/>
  <c r="M2658" i="12"/>
  <c r="M2802" i="12"/>
  <c r="M2622" i="12"/>
  <c r="M2910" i="12"/>
  <c r="M2550" i="12"/>
  <c r="M2406" i="12"/>
  <c r="M2298" i="12"/>
  <c r="M2839" i="12"/>
  <c r="M2767" i="12"/>
  <c r="M2587" i="12"/>
  <c r="M2443" i="12"/>
  <c r="M2731" i="12"/>
  <c r="M2875" i="12"/>
  <c r="M2947" i="12"/>
  <c r="M2515" i="12"/>
  <c r="M2695" i="12"/>
  <c r="M2335" i="12"/>
  <c r="M2479" i="12"/>
  <c r="M2371" i="12"/>
  <c r="M2659" i="12"/>
  <c r="M2803" i="12"/>
  <c r="M2623" i="12"/>
  <c r="M2911" i="12"/>
  <c r="M2551" i="12"/>
  <c r="M2407" i="12"/>
  <c r="M2299" i="12"/>
  <c r="M2840" i="12"/>
  <c r="M2768" i="12"/>
  <c r="M2588" i="12"/>
  <c r="M2444" i="12"/>
  <c r="M2732" i="12"/>
  <c r="M2876" i="12"/>
  <c r="M2948" i="12"/>
  <c r="M2516" i="12"/>
  <c r="M2696" i="12"/>
  <c r="M2336" i="12"/>
  <c r="M2480" i="12"/>
  <c r="M2372" i="12"/>
  <c r="M2660" i="12"/>
  <c r="M2804" i="12"/>
  <c r="M2624" i="12"/>
  <c r="M2912" i="12"/>
  <c r="M2552" i="12"/>
  <c r="M2408" i="12"/>
  <c r="M2300" i="12"/>
  <c r="M2841" i="12"/>
  <c r="M2769" i="12"/>
  <c r="M2589" i="12"/>
  <c r="M2445" i="12"/>
  <c r="M2733" i="12"/>
  <c r="M2877" i="12"/>
  <c r="M2949" i="12"/>
  <c r="M2517" i="12"/>
  <c r="M2697" i="12"/>
  <c r="M2337" i="12"/>
  <c r="M2481" i="12"/>
  <c r="M2373" i="12"/>
  <c r="M2661" i="12"/>
  <c r="M2805" i="12"/>
  <c r="M2625" i="12"/>
  <c r="M2913" i="12"/>
  <c r="M2553" i="12"/>
  <c r="M2409" i="12"/>
  <c r="M2301" i="12"/>
  <c r="M2842" i="12"/>
  <c r="M2770" i="12"/>
  <c r="M2590" i="12"/>
  <c r="M2446" i="12"/>
  <c r="M2734" i="12"/>
  <c r="M2878" i="12"/>
  <c r="M2950" i="12"/>
  <c r="M2518" i="12"/>
  <c r="M2698" i="12"/>
  <c r="M2338" i="12"/>
  <c r="M2482" i="12"/>
  <c r="M2374" i="12"/>
  <c r="M2662" i="12"/>
  <c r="M2806" i="12"/>
  <c r="M2626" i="12"/>
  <c r="M2914" i="12"/>
  <c r="M2554" i="12"/>
  <c r="M2410" i="12"/>
  <c r="M2302" i="12"/>
  <c r="M2843" i="12"/>
  <c r="M2771" i="12"/>
  <c r="M2591" i="12"/>
  <c r="M2447" i="12"/>
  <c r="M2735" i="12"/>
  <c r="M2879" i="12"/>
  <c r="M2951" i="12"/>
  <c r="M2519" i="12"/>
  <c r="M2699" i="12"/>
  <c r="M2339" i="12"/>
  <c r="M2483" i="12"/>
  <c r="M2375" i="12"/>
  <c r="M2663" i="12"/>
  <c r="M2807" i="12"/>
  <c r="M2627" i="12"/>
  <c r="M2915" i="12"/>
  <c r="M2555" i="12"/>
  <c r="M2411" i="12"/>
  <c r="M2303" i="12"/>
  <c r="M2844" i="12"/>
  <c r="M2772" i="12"/>
  <c r="M2592" i="12"/>
  <c r="M2448" i="12"/>
  <c r="M2736" i="12"/>
  <c r="M2880" i="12"/>
  <c r="M2952" i="12"/>
  <c r="M2520" i="12"/>
  <c r="M2700" i="12"/>
  <c r="M2340" i="12"/>
  <c r="M2484" i="12"/>
  <c r="M2376" i="12"/>
  <c r="M2664" i="12"/>
  <c r="M2808" i="12"/>
  <c r="M2628" i="12"/>
  <c r="M2916" i="12"/>
  <c r="M2556" i="12"/>
  <c r="M2412" i="12"/>
  <c r="M2304" i="12"/>
  <c r="M2845" i="12"/>
  <c r="M2773" i="12"/>
  <c r="M2593" i="12"/>
  <c r="M2449" i="12"/>
  <c r="M2737" i="12"/>
  <c r="M2881" i="12"/>
  <c r="M2953" i="12"/>
  <c r="M2521" i="12"/>
  <c r="M2701" i="12"/>
  <c r="M2341" i="12"/>
  <c r="M2485" i="12"/>
  <c r="M2377" i="12"/>
  <c r="M2665" i="12"/>
  <c r="M2809" i="12"/>
  <c r="M2629" i="12"/>
  <c r="M2917" i="12"/>
  <c r="M2557" i="12"/>
  <c r="M2413" i="12"/>
  <c r="M2305" i="12"/>
  <c r="M3098" i="12"/>
  <c r="M2954" i="12"/>
  <c r="M3206" i="12"/>
  <c r="M3458" i="12"/>
  <c r="M3566" i="12"/>
  <c r="M2990" i="12"/>
  <c r="M3530" i="12"/>
  <c r="M3134" i="12"/>
  <c r="M3350" i="12"/>
  <c r="M3026" i="12"/>
  <c r="M3062" i="12"/>
  <c r="M3278" i="12"/>
  <c r="M3314" i="12"/>
  <c r="M3494" i="12"/>
  <c r="M3170" i="12"/>
  <c r="M3422" i="12"/>
  <c r="M3242" i="12"/>
  <c r="M3386" i="12"/>
  <c r="M3099" i="12"/>
  <c r="M2955" i="12"/>
  <c r="M3207" i="12"/>
  <c r="M3459" i="12"/>
  <c r="M3567" i="12"/>
  <c r="M2991" i="12"/>
  <c r="M3531" i="12"/>
  <c r="M3135" i="12"/>
  <c r="M3351" i="12"/>
  <c r="M3027" i="12"/>
  <c r="M3063" i="12"/>
  <c r="M3279" i="12"/>
  <c r="M3315" i="12"/>
  <c r="M3495" i="12"/>
  <c r="M3171" i="12"/>
  <c r="M3423" i="12"/>
  <c r="M3243" i="12"/>
  <c r="M3387" i="12"/>
  <c r="M3100" i="12"/>
  <c r="M2956" i="12"/>
  <c r="M3208" i="12"/>
  <c r="M3460" i="12"/>
  <c r="M3568" i="12"/>
  <c r="M2992" i="12"/>
  <c r="M3532" i="12"/>
  <c r="M3136" i="12"/>
  <c r="M3352" i="12"/>
  <c r="M3028" i="12"/>
  <c r="M3064" i="12"/>
  <c r="M3280" i="12"/>
  <c r="M3316" i="12"/>
  <c r="M3496" i="12"/>
  <c r="M3172" i="12"/>
  <c r="M3424" i="12"/>
  <c r="M3244" i="12"/>
  <c r="M3388" i="12"/>
  <c r="M3101" i="12"/>
  <c r="M2957" i="12"/>
  <c r="M3209" i="12"/>
  <c r="M3461" i="12"/>
  <c r="M3569" i="12"/>
  <c r="M2993" i="12"/>
  <c r="M3533" i="12"/>
  <c r="M3137" i="12"/>
  <c r="M3353" i="12"/>
  <c r="M3029" i="12"/>
  <c r="M3065" i="12"/>
  <c r="M3281" i="12"/>
  <c r="M3317" i="12"/>
  <c r="M3497" i="12"/>
  <c r="M3173" i="12"/>
  <c r="M3425" i="12"/>
  <c r="M3245" i="12"/>
  <c r="M3389" i="12"/>
  <c r="M3102" i="12"/>
  <c r="M2958" i="12"/>
  <c r="M3210" i="12"/>
  <c r="M3462" i="12"/>
  <c r="M3570" i="12"/>
  <c r="M2994" i="12"/>
  <c r="M3534" i="12"/>
  <c r="M3138" i="12"/>
  <c r="M3354" i="12"/>
  <c r="M3030" i="12"/>
  <c r="M3066" i="12"/>
  <c r="M3282" i="12"/>
  <c r="M3318" i="12"/>
  <c r="M3498" i="12"/>
  <c r="M3174" i="12"/>
  <c r="M3426" i="12"/>
  <c r="M3246" i="12"/>
  <c r="M3390" i="12"/>
  <c r="M3103" i="12"/>
  <c r="M2959" i="12"/>
  <c r="M3211" i="12"/>
  <c r="M3463" i="12"/>
  <c r="M3571" i="12"/>
  <c r="M2995" i="12"/>
  <c r="M3535" i="12"/>
  <c r="M3139" i="12"/>
  <c r="M3355" i="12"/>
  <c r="M3031" i="12"/>
  <c r="M3067" i="12"/>
  <c r="M3283" i="12"/>
  <c r="M3319" i="12"/>
  <c r="M3499" i="12"/>
  <c r="M3175" i="12"/>
  <c r="M3427" i="12"/>
  <c r="M3247" i="12"/>
  <c r="M3391" i="12"/>
  <c r="M3104" i="12"/>
  <c r="M2960" i="12"/>
  <c r="M3212" i="12"/>
  <c r="M3464" i="12"/>
  <c r="M3572" i="12"/>
  <c r="M2996" i="12"/>
  <c r="M3536" i="12"/>
  <c r="M3140" i="12"/>
  <c r="M3356" i="12"/>
  <c r="M3032" i="12"/>
  <c r="M3068" i="12"/>
  <c r="M3284" i="12"/>
  <c r="M3320" i="12"/>
  <c r="M3500" i="12"/>
  <c r="M3176" i="12"/>
  <c r="M3428" i="12"/>
  <c r="M3248" i="12"/>
  <c r="M3392" i="12"/>
  <c r="M3105" i="12"/>
  <c r="M2961" i="12"/>
  <c r="M3213" i="12"/>
  <c r="M3465" i="12"/>
  <c r="M3573" i="12"/>
  <c r="M2997" i="12"/>
  <c r="M3537" i="12"/>
  <c r="M3141" i="12"/>
  <c r="M3357" i="12"/>
  <c r="M3033" i="12"/>
  <c r="M3069" i="12"/>
  <c r="M3285" i="12"/>
  <c r="M3321" i="12"/>
  <c r="M3501" i="12"/>
  <c r="M3177" i="12"/>
  <c r="M3429" i="12"/>
  <c r="M3249" i="12"/>
  <c r="M3393" i="12"/>
  <c r="M3106" i="12"/>
  <c r="M2962" i="12"/>
  <c r="M3214" i="12"/>
  <c r="M3466" i="12"/>
  <c r="M3574" i="12"/>
  <c r="M2998" i="12"/>
  <c r="M3538" i="12"/>
  <c r="M3142" i="12"/>
  <c r="M3358" i="12"/>
  <c r="M3034" i="12"/>
  <c r="M3070" i="12"/>
  <c r="M3286" i="12"/>
  <c r="M3322" i="12"/>
  <c r="M3502" i="12"/>
  <c r="M3178" i="12"/>
  <c r="M3430" i="12"/>
  <c r="M3250" i="12"/>
  <c r="M3394" i="12"/>
  <c r="M3107" i="12"/>
  <c r="M2963" i="12"/>
  <c r="M3215" i="12"/>
  <c r="M3467" i="12"/>
  <c r="M3575" i="12"/>
  <c r="M2999" i="12"/>
  <c r="M3539" i="12"/>
  <c r="M3143" i="12"/>
  <c r="M3359" i="12"/>
  <c r="M3035" i="12"/>
  <c r="M3071" i="12"/>
  <c r="M3287" i="12"/>
  <c r="M3323" i="12"/>
  <c r="M3503" i="12"/>
  <c r="M3179" i="12"/>
  <c r="M3431" i="12"/>
  <c r="M3251" i="12"/>
  <c r="M3395" i="12"/>
  <c r="M3108" i="12"/>
  <c r="M2964" i="12"/>
  <c r="M3216" i="12"/>
  <c r="M3468" i="12"/>
  <c r="M3576" i="12"/>
  <c r="M3000" i="12"/>
  <c r="M3540" i="12"/>
  <c r="M3144" i="12"/>
  <c r="M3360" i="12"/>
  <c r="M3036" i="12"/>
  <c r="M3072" i="12"/>
  <c r="M3288" i="12"/>
  <c r="M3324" i="12"/>
  <c r="M3504" i="12"/>
  <c r="M3180" i="12"/>
  <c r="M3432" i="12"/>
  <c r="M3252" i="12"/>
  <c r="M3396" i="12"/>
  <c r="M3109" i="12"/>
  <c r="M2965" i="12"/>
  <c r="M3217" i="12"/>
  <c r="M3469" i="12"/>
  <c r="M3577" i="12"/>
  <c r="M3001" i="12"/>
  <c r="M3541" i="12"/>
  <c r="M3145" i="12"/>
  <c r="M3361" i="12"/>
  <c r="M3037" i="12"/>
  <c r="M3073" i="12"/>
  <c r="M3289" i="12"/>
  <c r="M3325" i="12"/>
  <c r="M3505" i="12"/>
  <c r="M3181" i="12"/>
  <c r="M3433" i="12"/>
  <c r="M3253" i="12"/>
  <c r="M3397" i="12"/>
  <c r="M3110" i="12"/>
  <c r="M2966" i="12"/>
  <c r="M3218" i="12"/>
  <c r="M3470" i="12"/>
  <c r="M3578" i="12"/>
  <c r="M3002" i="12"/>
  <c r="M3542" i="12"/>
  <c r="M3146" i="12"/>
  <c r="M3362" i="12"/>
  <c r="M3038" i="12"/>
  <c r="M3074" i="12"/>
  <c r="M3290" i="12"/>
  <c r="M3326" i="12"/>
  <c r="M3506" i="12"/>
  <c r="M3182" i="12"/>
  <c r="M3434" i="12"/>
  <c r="M3254" i="12"/>
  <c r="M3398" i="12"/>
  <c r="M3111" i="12"/>
  <c r="M2967" i="12"/>
  <c r="M3219" i="12"/>
  <c r="M3471" i="12"/>
  <c r="M3579" i="12"/>
  <c r="M3003" i="12"/>
  <c r="M3543" i="12"/>
  <c r="M3147" i="12"/>
  <c r="M3363" i="12"/>
  <c r="M3039" i="12"/>
  <c r="M3075" i="12"/>
  <c r="M3291" i="12"/>
  <c r="M3327" i="12"/>
  <c r="M3507" i="12"/>
  <c r="M3183" i="12"/>
  <c r="M3435" i="12"/>
  <c r="M3255" i="12"/>
  <c r="M3399" i="12"/>
  <c r="M3112" i="12"/>
  <c r="M2968" i="12"/>
  <c r="M3220" i="12"/>
  <c r="M3472" i="12"/>
  <c r="M3580" i="12"/>
  <c r="M3004" i="12"/>
  <c r="M3544" i="12"/>
  <c r="M3148" i="12"/>
  <c r="M3364" i="12"/>
  <c r="M3040" i="12"/>
  <c r="M3076" i="12"/>
  <c r="M3292" i="12"/>
  <c r="M3328" i="12"/>
  <c r="M3508" i="12"/>
  <c r="M3184" i="12"/>
  <c r="M3436" i="12"/>
  <c r="M3256" i="12"/>
  <c r="M3400" i="12"/>
  <c r="M3113" i="12"/>
  <c r="M2969" i="12"/>
  <c r="M3221" i="12"/>
  <c r="M3473" i="12"/>
  <c r="M3581" i="12"/>
  <c r="M3005" i="12"/>
  <c r="M3545" i="12"/>
  <c r="M3149" i="12"/>
  <c r="M3365" i="12"/>
  <c r="M3041" i="12"/>
  <c r="M3077" i="12"/>
  <c r="M3293" i="12"/>
  <c r="M3329" i="12"/>
  <c r="M3509" i="12"/>
  <c r="M3185" i="12"/>
  <c r="M3437" i="12"/>
  <c r="M3257" i="12"/>
  <c r="M3401" i="12"/>
  <c r="M3114" i="12"/>
  <c r="M2970" i="12"/>
  <c r="M3222" i="12"/>
  <c r="M3474" i="12"/>
  <c r="M3582" i="12"/>
  <c r="M3006" i="12"/>
  <c r="M3546" i="12"/>
  <c r="M3150" i="12"/>
  <c r="M3366" i="12"/>
  <c r="M3042" i="12"/>
  <c r="M3078" i="12"/>
  <c r="M3294" i="12"/>
  <c r="M3330" i="12"/>
  <c r="M3510" i="12"/>
  <c r="M3186" i="12"/>
  <c r="M3438" i="12"/>
  <c r="M3258" i="12"/>
  <c r="M3402" i="12"/>
  <c r="M3115" i="12"/>
  <c r="M2971" i="12"/>
  <c r="M3223" i="12"/>
  <c r="M3475" i="12"/>
  <c r="M3583" i="12"/>
  <c r="M3007" i="12"/>
  <c r="M3547" i="12"/>
  <c r="M3151" i="12"/>
  <c r="M3367" i="12"/>
  <c r="M3043" i="12"/>
  <c r="M3079" i="12"/>
  <c r="M3295" i="12"/>
  <c r="M3331" i="12"/>
  <c r="M3511" i="12"/>
  <c r="M3187" i="12"/>
  <c r="M3439" i="12"/>
  <c r="M3259" i="12"/>
  <c r="M3403" i="12"/>
  <c r="M3116" i="12"/>
  <c r="M2972" i="12"/>
  <c r="M3224" i="12"/>
  <c r="M3476" i="12"/>
  <c r="M3584" i="12"/>
  <c r="M3008" i="12"/>
  <c r="M3548" i="12"/>
  <c r="M3152" i="12"/>
  <c r="M3368" i="12"/>
  <c r="M3044" i="12"/>
  <c r="M3080" i="12"/>
  <c r="M3296" i="12"/>
  <c r="M3332" i="12"/>
  <c r="M3512" i="12"/>
  <c r="M3188" i="12"/>
  <c r="M3440" i="12"/>
  <c r="M3260" i="12"/>
  <c r="M3404" i="12"/>
  <c r="M3117" i="12"/>
  <c r="M2973" i="12"/>
  <c r="M3225" i="12"/>
  <c r="M3477" i="12"/>
  <c r="M3585" i="12"/>
  <c r="M3009" i="12"/>
  <c r="M3549" i="12"/>
  <c r="M3153" i="12"/>
  <c r="M3369" i="12"/>
  <c r="M3045" i="12"/>
  <c r="M3081" i="12"/>
  <c r="M3297" i="12"/>
  <c r="M3333" i="12"/>
  <c r="M3513" i="12"/>
  <c r="M3189" i="12"/>
  <c r="M3441" i="12"/>
  <c r="M3261" i="12"/>
  <c r="M3405" i="12"/>
  <c r="M3118" i="12"/>
  <c r="M2974" i="12"/>
  <c r="M3226" i="12"/>
  <c r="M3478" i="12"/>
  <c r="M3586" i="12"/>
  <c r="M3010" i="12"/>
  <c r="M3550" i="12"/>
  <c r="M3154" i="12"/>
  <c r="M3370" i="12"/>
  <c r="M3046" i="12"/>
  <c r="M3082" i="12"/>
  <c r="M3298" i="12"/>
  <c r="M3334" i="12"/>
  <c r="M3514" i="12"/>
  <c r="M3190" i="12"/>
  <c r="M3442" i="12"/>
  <c r="M3262" i="12"/>
  <c r="M3406" i="12"/>
  <c r="M3119" i="12"/>
  <c r="M2975" i="12"/>
  <c r="M3227" i="12"/>
  <c r="M3479" i="12"/>
  <c r="M3587" i="12"/>
  <c r="M3011" i="12"/>
  <c r="M3551" i="12"/>
  <c r="M3155" i="12"/>
  <c r="M3371" i="12"/>
  <c r="M3047" i="12"/>
  <c r="M3083" i="12"/>
  <c r="M3299" i="12"/>
  <c r="M3335" i="12"/>
  <c r="M3515" i="12"/>
  <c r="M3191" i="12"/>
  <c r="M3443" i="12"/>
  <c r="M3263" i="12"/>
  <c r="M3407" i="12"/>
  <c r="M3120" i="12"/>
  <c r="M2976" i="12"/>
  <c r="M3228" i="12"/>
  <c r="M3480" i="12"/>
  <c r="M3588" i="12"/>
  <c r="M3012" i="12"/>
  <c r="M3552" i="12"/>
  <c r="M3156" i="12"/>
  <c r="M3372" i="12"/>
  <c r="M3048" i="12"/>
  <c r="M3084" i="12"/>
  <c r="M3300" i="12"/>
  <c r="M3336" i="12"/>
  <c r="M3516" i="12"/>
  <c r="M3192" i="12"/>
  <c r="M3444" i="12"/>
  <c r="M3264" i="12"/>
  <c r="M3408" i="12"/>
  <c r="M3121" i="12"/>
  <c r="M2977" i="12"/>
  <c r="M3229" i="12"/>
  <c r="M3481" i="12"/>
  <c r="M3589" i="12"/>
  <c r="M3013" i="12"/>
  <c r="M3553" i="12"/>
  <c r="M3157" i="12"/>
  <c r="M3373" i="12"/>
  <c r="M3049" i="12"/>
  <c r="M3085" i="12"/>
  <c r="M3301" i="12"/>
  <c r="M3337" i="12"/>
  <c r="M3517" i="12"/>
  <c r="M3193" i="12"/>
  <c r="M3445" i="12"/>
  <c r="M3265" i="12"/>
  <c r="M3409" i="12"/>
  <c r="M3122" i="12"/>
  <c r="M2978" i="12"/>
  <c r="M3230" i="12"/>
  <c r="M3482" i="12"/>
  <c r="M3590" i="12"/>
  <c r="M3014" i="12"/>
  <c r="M3554" i="12"/>
  <c r="M3158" i="12"/>
  <c r="M3374" i="12"/>
  <c r="M3050" i="12"/>
  <c r="M3086" i="12"/>
  <c r="M3302" i="12"/>
  <c r="M3338" i="12"/>
  <c r="M3518" i="12"/>
  <c r="M3194" i="12"/>
  <c r="M3446" i="12"/>
  <c r="M3266" i="12"/>
  <c r="M3410" i="12"/>
  <c r="M3123" i="12"/>
  <c r="M2979" i="12"/>
  <c r="M3231" i="12"/>
  <c r="M3483" i="12"/>
  <c r="M3591" i="12"/>
  <c r="M3015" i="12"/>
  <c r="M3555" i="12"/>
  <c r="M3159" i="12"/>
  <c r="M3375" i="12"/>
  <c r="M3051" i="12"/>
  <c r="M3087" i="12"/>
  <c r="M3303" i="12"/>
  <c r="M3339" i="12"/>
  <c r="M3519" i="12"/>
  <c r="M3195" i="12"/>
  <c r="M3447" i="12"/>
  <c r="M3267" i="12"/>
  <c r="M3411" i="12"/>
  <c r="M3124" i="12"/>
  <c r="M2980" i="12"/>
  <c r="M3232" i="12"/>
  <c r="M3484" i="12"/>
  <c r="M3592" i="12"/>
  <c r="M3016" i="12"/>
  <c r="M3556" i="12"/>
  <c r="M3160" i="12"/>
  <c r="M3376" i="12"/>
  <c r="M3052" i="12"/>
  <c r="M3088" i="12"/>
  <c r="M3304" i="12"/>
  <c r="M3340" i="12"/>
  <c r="M3520" i="12"/>
  <c r="M3196" i="12"/>
  <c r="M3448" i="12"/>
  <c r="M3268" i="12"/>
  <c r="M3412" i="12"/>
  <c r="M3125" i="12"/>
  <c r="M2981" i="12"/>
  <c r="M3233" i="12"/>
  <c r="M3485" i="12"/>
  <c r="M3593" i="12"/>
  <c r="M3017" i="12"/>
  <c r="M3557" i="12"/>
  <c r="M3161" i="12"/>
  <c r="M3377" i="12"/>
  <c r="M3053" i="12"/>
  <c r="M3089" i="12"/>
  <c r="M3305" i="12"/>
  <c r="M3341" i="12"/>
  <c r="M3521" i="12"/>
  <c r="M3197" i="12"/>
  <c r="M3449" i="12"/>
  <c r="M3269" i="12"/>
  <c r="M3413" i="12"/>
  <c r="M3126" i="12"/>
  <c r="M2982" i="12"/>
  <c r="M3234" i="12"/>
  <c r="M3486" i="12"/>
  <c r="M3594" i="12"/>
  <c r="M3018" i="12"/>
  <c r="M3558" i="12"/>
  <c r="M3162" i="12"/>
  <c r="M3378" i="12"/>
  <c r="M3054" i="12"/>
  <c r="M3090" i="12"/>
  <c r="M3306" i="12"/>
  <c r="M3342" i="12"/>
  <c r="M3522" i="12"/>
  <c r="M3198" i="12"/>
  <c r="M3450" i="12"/>
  <c r="M3270" i="12"/>
  <c r="M3414" i="12"/>
  <c r="M3127" i="12"/>
  <c r="M2983" i="12"/>
  <c r="M3235" i="12"/>
  <c r="M3487" i="12"/>
  <c r="M3595" i="12"/>
  <c r="M3019" i="12"/>
  <c r="M3559" i="12"/>
  <c r="M3163" i="12"/>
  <c r="M3379" i="12"/>
  <c r="M3055" i="12"/>
  <c r="M3091" i="12"/>
  <c r="M3307" i="12"/>
  <c r="M3343" i="12"/>
  <c r="M3523" i="12"/>
  <c r="M3199" i="12"/>
  <c r="M3451" i="12"/>
  <c r="M3271" i="12"/>
  <c r="M3415" i="12"/>
  <c r="M3128" i="12"/>
  <c r="M2984" i="12"/>
  <c r="M3236" i="12"/>
  <c r="M3488" i="12"/>
  <c r="M3596" i="12"/>
  <c r="M3020" i="12"/>
  <c r="M3560" i="12"/>
  <c r="M3164" i="12"/>
  <c r="M3380" i="12"/>
  <c r="M3056" i="12"/>
  <c r="M3092" i="12"/>
  <c r="M3308" i="12"/>
  <c r="M3344" i="12"/>
  <c r="M3524" i="12"/>
  <c r="M3200" i="12"/>
  <c r="M3452" i="12"/>
  <c r="M3272" i="12"/>
  <c r="M3416" i="12"/>
  <c r="M3129" i="12"/>
  <c r="M2985" i="12"/>
  <c r="M3237" i="12"/>
  <c r="M3489" i="12"/>
  <c r="M3597" i="12"/>
  <c r="M3021" i="12"/>
  <c r="M3561" i="12"/>
  <c r="M3165" i="12"/>
  <c r="M3381" i="12"/>
  <c r="M3057" i="12"/>
  <c r="M3093" i="12"/>
  <c r="M3309" i="12"/>
  <c r="M3345" i="12"/>
  <c r="M3525" i="12"/>
  <c r="M3201" i="12"/>
  <c r="M3453" i="12"/>
  <c r="M3273" i="12"/>
  <c r="M3417" i="12"/>
  <c r="M3130" i="12"/>
  <c r="M2986" i="12"/>
  <c r="M3238" i="12"/>
  <c r="M3490" i="12"/>
  <c r="M3598" i="12"/>
  <c r="M3022" i="12"/>
  <c r="M3562" i="12"/>
  <c r="M3166" i="12"/>
  <c r="M3382" i="12"/>
  <c r="M3058" i="12"/>
  <c r="M3094" i="12"/>
  <c r="M3310" i="12"/>
  <c r="M3346" i="12"/>
  <c r="M3526" i="12"/>
  <c r="M3202" i="12"/>
  <c r="M3454" i="12"/>
  <c r="M3274" i="12"/>
  <c r="M3418" i="12"/>
  <c r="M3131" i="12"/>
  <c r="M2987" i="12"/>
  <c r="M3239" i="12"/>
  <c r="M3491" i="12"/>
  <c r="M3599" i="12"/>
  <c r="M3023" i="12"/>
  <c r="M3563" i="12"/>
  <c r="M3167" i="12"/>
  <c r="M3383" i="12"/>
  <c r="M3059" i="12"/>
  <c r="M3095" i="12"/>
  <c r="M3311" i="12"/>
  <c r="M3347" i="12"/>
  <c r="M3527" i="12"/>
  <c r="M3203" i="12"/>
  <c r="M3455" i="12"/>
  <c r="M3275" i="12"/>
  <c r="M3419" i="12"/>
  <c r="M3132" i="12"/>
  <c r="M2988" i="12"/>
  <c r="M3240" i="12"/>
  <c r="M3492" i="12"/>
  <c r="M3600" i="12"/>
  <c r="M3024" i="12"/>
  <c r="M3564" i="12"/>
  <c r="M3168" i="12"/>
  <c r="M3384" i="12"/>
  <c r="M3060" i="12"/>
  <c r="M3096" i="12"/>
  <c r="M3312" i="12"/>
  <c r="M3348" i="12"/>
  <c r="M3528" i="12"/>
  <c r="M3204" i="12"/>
  <c r="M3456" i="12"/>
  <c r="M3276" i="12"/>
  <c r="M3420" i="12"/>
  <c r="M3133" i="12"/>
  <c r="M2989" i="12"/>
  <c r="M3241" i="12"/>
  <c r="M3493" i="12"/>
  <c r="M3601" i="12"/>
  <c r="M3025" i="12"/>
  <c r="M3565" i="12"/>
  <c r="M3169" i="12"/>
  <c r="M3385" i="12"/>
  <c r="M3061" i="12"/>
  <c r="M3097" i="12"/>
  <c r="M3313" i="12"/>
  <c r="M3349" i="12"/>
  <c r="M3529" i="12"/>
  <c r="M3205" i="12"/>
  <c r="M3457" i="12"/>
  <c r="M3277" i="12"/>
  <c r="M3421" i="12"/>
  <c r="M362" i="12"/>
  <c r="M110" i="12"/>
  <c r="M254" i="12"/>
  <c r="M470" i="12"/>
  <c r="M182" i="12"/>
  <c r="M434" i="12"/>
  <c r="M146" i="12"/>
  <c r="M614" i="12"/>
  <c r="M506" i="12"/>
  <c r="M290" i="12"/>
  <c r="M398" i="12"/>
  <c r="M326" i="12"/>
  <c r="M218" i="12"/>
  <c r="M363" i="12"/>
  <c r="M111" i="12"/>
  <c r="M255" i="12"/>
  <c r="M471" i="12"/>
  <c r="M183" i="12"/>
  <c r="M435" i="12"/>
  <c r="M147" i="12"/>
  <c r="M615" i="12"/>
  <c r="M507" i="12"/>
  <c r="M291" i="12"/>
  <c r="M399" i="12"/>
  <c r="M327" i="12"/>
  <c r="M219" i="12"/>
  <c r="M364" i="12"/>
  <c r="M112" i="12"/>
  <c r="M256" i="12"/>
  <c r="M472" i="12"/>
  <c r="M184" i="12"/>
  <c r="M436" i="12"/>
  <c r="M148" i="12"/>
  <c r="M616" i="12"/>
  <c r="M508" i="12"/>
  <c r="M292" i="12"/>
  <c r="M400" i="12"/>
  <c r="M328" i="12"/>
  <c r="M220" i="12"/>
  <c r="M365" i="12"/>
  <c r="M113" i="12"/>
  <c r="M257" i="12"/>
  <c r="M473" i="12"/>
  <c r="M185" i="12"/>
  <c r="M437" i="12"/>
  <c r="M149" i="12"/>
  <c r="M617" i="12"/>
  <c r="M509" i="12"/>
  <c r="M293" i="12"/>
  <c r="M401" i="12"/>
  <c r="M329" i="12"/>
  <c r="M221" i="12"/>
  <c r="M366" i="12"/>
  <c r="M114" i="12"/>
  <c r="M258" i="12"/>
  <c r="M474" i="12"/>
  <c r="M186" i="12"/>
  <c r="M438" i="12"/>
  <c r="M150" i="12"/>
  <c r="M618" i="12"/>
  <c r="M510" i="12"/>
  <c r="M294" i="12"/>
  <c r="M402" i="12"/>
  <c r="M330" i="12"/>
  <c r="M222" i="12"/>
  <c r="M367" i="12"/>
  <c r="M115" i="12"/>
  <c r="M259" i="12"/>
  <c r="M475" i="12"/>
  <c r="M187" i="12"/>
  <c r="M439" i="12"/>
  <c r="M151" i="12"/>
  <c r="M619" i="12"/>
  <c r="M511" i="12"/>
  <c r="M295" i="12"/>
  <c r="M403" i="12"/>
  <c r="M331" i="12"/>
  <c r="M223" i="12"/>
  <c r="M368" i="12"/>
  <c r="M116" i="12"/>
  <c r="M260" i="12"/>
  <c r="M476" i="12"/>
  <c r="M188" i="12"/>
  <c r="M440" i="12"/>
  <c r="M152" i="12"/>
  <c r="M620" i="12"/>
  <c r="M512" i="12"/>
  <c r="M296" i="12"/>
  <c r="M404" i="12"/>
  <c r="M332" i="12"/>
  <c r="M224" i="12"/>
  <c r="M369" i="12"/>
  <c r="M117" i="12"/>
  <c r="M261" i="12"/>
  <c r="M477" i="12"/>
  <c r="M189" i="12"/>
  <c r="M441" i="12"/>
  <c r="M153" i="12"/>
  <c r="M621" i="12"/>
  <c r="M513" i="12"/>
  <c r="M297" i="12"/>
  <c r="M405" i="12"/>
  <c r="M333" i="12"/>
  <c r="M225" i="12"/>
  <c r="M370" i="12"/>
  <c r="M118" i="12"/>
  <c r="M262" i="12"/>
  <c r="M478" i="12"/>
  <c r="M190" i="12"/>
  <c r="M442" i="12"/>
  <c r="M154" i="12"/>
  <c r="M622" i="12"/>
  <c r="M514" i="12"/>
  <c r="M298" i="12"/>
  <c r="M406" i="12"/>
  <c r="M334" i="12"/>
  <c r="M226" i="12"/>
  <c r="M371" i="12"/>
  <c r="M119" i="12"/>
  <c r="M263" i="12"/>
  <c r="M479" i="12"/>
  <c r="M191" i="12"/>
  <c r="M443" i="12"/>
  <c r="M155" i="12"/>
  <c r="M623" i="12"/>
  <c r="M515" i="12"/>
  <c r="M299" i="12"/>
  <c r="M407" i="12"/>
  <c r="M335" i="12"/>
  <c r="M227" i="12"/>
  <c r="M372" i="12"/>
  <c r="M120" i="12"/>
  <c r="M264" i="12"/>
  <c r="M480" i="12"/>
  <c r="M192" i="12"/>
  <c r="M444" i="12"/>
  <c r="M156" i="12"/>
  <c r="M624" i="12"/>
  <c r="M516" i="12"/>
  <c r="M300" i="12"/>
  <c r="M408" i="12"/>
  <c r="M336" i="12"/>
  <c r="M228" i="12"/>
  <c r="M373" i="12"/>
  <c r="M121" i="12"/>
  <c r="M265" i="12"/>
  <c r="M481" i="12"/>
  <c r="M193" i="12"/>
  <c r="M445" i="12"/>
  <c r="M157" i="12"/>
  <c r="M625" i="12"/>
  <c r="M517" i="12"/>
  <c r="M301" i="12"/>
  <c r="M409" i="12"/>
  <c r="M337" i="12"/>
  <c r="M229" i="12"/>
  <c r="M374" i="12"/>
  <c r="M122" i="12"/>
  <c r="M266" i="12"/>
  <c r="M482" i="12"/>
  <c r="M194" i="12"/>
  <c r="M446" i="12"/>
  <c r="M158" i="12"/>
  <c r="M626" i="12"/>
  <c r="M518" i="12"/>
  <c r="M302" i="12"/>
  <c r="M410" i="12"/>
  <c r="M338" i="12"/>
  <c r="M230" i="12"/>
  <c r="M375" i="12"/>
  <c r="M123" i="12"/>
  <c r="M267" i="12"/>
  <c r="M483" i="12"/>
  <c r="M195" i="12"/>
  <c r="M447" i="12"/>
  <c r="M159" i="12"/>
  <c r="M627" i="12"/>
  <c r="M519" i="12"/>
  <c r="M303" i="12"/>
  <c r="M411" i="12"/>
  <c r="M339" i="12"/>
  <c r="M231" i="12"/>
  <c r="M376" i="12"/>
  <c r="M124" i="12"/>
  <c r="M268" i="12"/>
  <c r="M484" i="12"/>
  <c r="M196" i="12"/>
  <c r="M448" i="12"/>
  <c r="M160" i="12"/>
  <c r="M628" i="12"/>
  <c r="M520" i="12"/>
  <c r="M304" i="12"/>
  <c r="M412" i="12"/>
  <c r="M340" i="12"/>
  <c r="M232" i="12"/>
  <c r="M377" i="12"/>
  <c r="M125" i="12"/>
  <c r="M269" i="12"/>
  <c r="M485" i="12"/>
  <c r="M197" i="12"/>
  <c r="M449" i="12"/>
  <c r="M161" i="12"/>
  <c r="M629" i="12"/>
  <c r="M521" i="12"/>
  <c r="M305" i="12"/>
  <c r="M413" i="12"/>
  <c r="M341" i="12"/>
  <c r="M233" i="12"/>
  <c r="M378" i="12"/>
  <c r="M126" i="12"/>
  <c r="M270" i="12"/>
  <c r="M486" i="12"/>
  <c r="M198" i="12"/>
  <c r="M450" i="12"/>
  <c r="M162" i="12"/>
  <c r="M630" i="12"/>
  <c r="M522" i="12"/>
  <c r="M306" i="12"/>
  <c r="M414" i="12"/>
  <c r="M342" i="12"/>
  <c r="M234" i="12"/>
  <c r="M379" i="12"/>
  <c r="M127" i="12"/>
  <c r="M271" i="12"/>
  <c r="M487" i="12"/>
  <c r="M199" i="12"/>
  <c r="M451" i="12"/>
  <c r="M163" i="12"/>
  <c r="M631" i="12"/>
  <c r="M523" i="12"/>
  <c r="M307" i="12"/>
  <c r="M415" i="12"/>
  <c r="M343" i="12"/>
  <c r="M235" i="12"/>
  <c r="M380" i="12"/>
  <c r="M128" i="12"/>
  <c r="M272" i="12"/>
  <c r="M488" i="12"/>
  <c r="M200" i="12"/>
  <c r="M452" i="12"/>
  <c r="M164" i="12"/>
  <c r="M632" i="12"/>
  <c r="M524" i="12"/>
  <c r="M308" i="12"/>
  <c r="M416" i="12"/>
  <c r="M344" i="12"/>
  <c r="M236" i="12"/>
  <c r="M381" i="12"/>
  <c r="M129" i="12"/>
  <c r="M273" i="12"/>
  <c r="M489" i="12"/>
  <c r="M201" i="12"/>
  <c r="M453" i="12"/>
  <c r="M165" i="12"/>
  <c r="M633" i="12"/>
  <c r="M525" i="12"/>
  <c r="M309" i="12"/>
  <c r="M417" i="12"/>
  <c r="M345" i="12"/>
  <c r="M237" i="12"/>
  <c r="M382" i="12"/>
  <c r="M130" i="12"/>
  <c r="M274" i="12"/>
  <c r="M490" i="12"/>
  <c r="M202" i="12"/>
  <c r="M454" i="12"/>
  <c r="M166" i="12"/>
  <c r="M634" i="12"/>
  <c r="M526" i="12"/>
  <c r="M310" i="12"/>
  <c r="M418" i="12"/>
  <c r="M346" i="12"/>
  <c r="M238" i="12"/>
  <c r="M383" i="12"/>
  <c r="M131" i="12"/>
  <c r="M275" i="12"/>
  <c r="M491" i="12"/>
  <c r="M203" i="12"/>
  <c r="M455" i="12"/>
  <c r="M167" i="12"/>
  <c r="M635" i="12"/>
  <c r="M527" i="12"/>
  <c r="M311" i="12"/>
  <c r="M419" i="12"/>
  <c r="M347" i="12"/>
  <c r="M239" i="12"/>
  <c r="M384" i="12"/>
  <c r="M132" i="12"/>
  <c r="M276" i="12"/>
  <c r="M492" i="12"/>
  <c r="M204" i="12"/>
  <c r="M456" i="12"/>
  <c r="M168" i="12"/>
  <c r="M636" i="12"/>
  <c r="M528" i="12"/>
  <c r="M312" i="12"/>
  <c r="M420" i="12"/>
  <c r="M348" i="12"/>
  <c r="M240" i="12"/>
  <c r="M385" i="12"/>
  <c r="M133" i="12"/>
  <c r="M277" i="12"/>
  <c r="M493" i="12"/>
  <c r="M205" i="12"/>
  <c r="M457" i="12"/>
  <c r="M169" i="12"/>
  <c r="M637" i="12"/>
  <c r="M529" i="12"/>
  <c r="M313" i="12"/>
  <c r="M421" i="12"/>
  <c r="M349" i="12"/>
  <c r="M241" i="12"/>
  <c r="M386" i="12"/>
  <c r="M134" i="12"/>
  <c r="M278" i="12"/>
  <c r="M494" i="12"/>
  <c r="M206" i="12"/>
  <c r="M458" i="12"/>
  <c r="M170" i="12"/>
  <c r="M638" i="12"/>
  <c r="M530" i="12"/>
  <c r="M314" i="12"/>
  <c r="M422" i="12"/>
  <c r="M350" i="12"/>
  <c r="M242" i="12"/>
  <c r="M387" i="12"/>
  <c r="M135" i="12"/>
  <c r="M279" i="12"/>
  <c r="M495" i="12"/>
  <c r="M207" i="12"/>
  <c r="M459" i="12"/>
  <c r="M171" i="12"/>
  <c r="M639" i="12"/>
  <c r="M531" i="12"/>
  <c r="M315" i="12"/>
  <c r="M423" i="12"/>
  <c r="M351" i="12"/>
  <c r="M243" i="12"/>
  <c r="M388" i="12"/>
  <c r="M136" i="12"/>
  <c r="M280" i="12"/>
  <c r="M496" i="12"/>
  <c r="M208" i="12"/>
  <c r="M460" i="12"/>
  <c r="M172" i="12"/>
  <c r="M640" i="12"/>
  <c r="M532" i="12"/>
  <c r="M316" i="12"/>
  <c r="M424" i="12"/>
  <c r="M352" i="12"/>
  <c r="M244" i="12"/>
  <c r="M389" i="12"/>
  <c r="M137" i="12"/>
  <c r="M281" i="12"/>
  <c r="M497" i="12"/>
  <c r="M209" i="12"/>
  <c r="M461" i="12"/>
  <c r="M173" i="12"/>
  <c r="M641" i="12"/>
  <c r="M533" i="12"/>
  <c r="M317" i="12"/>
  <c r="M425" i="12"/>
  <c r="M353" i="12"/>
  <c r="M245" i="12"/>
  <c r="M390" i="12"/>
  <c r="M138" i="12"/>
  <c r="M282" i="12"/>
  <c r="M498" i="12"/>
  <c r="M210" i="12"/>
  <c r="M462" i="12"/>
  <c r="M174" i="12"/>
  <c r="M642" i="12"/>
  <c r="M534" i="12"/>
  <c r="M318" i="12"/>
  <c r="M426" i="12"/>
  <c r="M354" i="12"/>
  <c r="M246" i="12"/>
  <c r="M391" i="12"/>
  <c r="M139" i="12"/>
  <c r="M283" i="12"/>
  <c r="M499" i="12"/>
  <c r="M211" i="12"/>
  <c r="M463" i="12"/>
  <c r="M175" i="12"/>
  <c r="M643" i="12"/>
  <c r="M535" i="12"/>
  <c r="M319" i="12"/>
  <c r="M427" i="12"/>
  <c r="M355" i="12"/>
  <c r="M247" i="12"/>
  <c r="M392" i="12"/>
  <c r="M140" i="12"/>
  <c r="M284" i="12"/>
  <c r="M500" i="12"/>
  <c r="M212" i="12"/>
  <c r="M464" i="12"/>
  <c r="M176" i="12"/>
  <c r="M644" i="12"/>
  <c r="M536" i="12"/>
  <c r="M320" i="12"/>
  <c r="M428" i="12"/>
  <c r="M356" i="12"/>
  <c r="M248" i="12"/>
  <c r="M393" i="12"/>
  <c r="M141" i="12"/>
  <c r="M285" i="12"/>
  <c r="M501" i="12"/>
  <c r="M213" i="12"/>
  <c r="M465" i="12"/>
  <c r="M177" i="12"/>
  <c r="M645" i="12"/>
  <c r="M537" i="12"/>
  <c r="M321" i="12"/>
  <c r="M429" i="12"/>
  <c r="M357" i="12"/>
  <c r="M249" i="12"/>
  <c r="M394" i="12"/>
  <c r="M142" i="12"/>
  <c r="M286" i="12"/>
  <c r="M502" i="12"/>
  <c r="M214" i="12"/>
  <c r="M466" i="12"/>
  <c r="M178" i="12"/>
  <c r="M646" i="12"/>
  <c r="M538" i="12"/>
  <c r="M322" i="12"/>
  <c r="M430" i="12"/>
  <c r="M358" i="12"/>
  <c r="M250" i="12"/>
  <c r="M395" i="12"/>
  <c r="M143" i="12"/>
  <c r="M287" i="12"/>
  <c r="M503" i="12"/>
  <c r="M215" i="12"/>
  <c r="M467" i="12"/>
  <c r="M179" i="12"/>
  <c r="M647" i="12"/>
  <c r="M539" i="12"/>
  <c r="M323" i="12"/>
  <c r="M431" i="12"/>
  <c r="M359" i="12"/>
  <c r="M251" i="12"/>
  <c r="M396" i="12"/>
  <c r="M144" i="12"/>
  <c r="M288" i="12"/>
  <c r="M504" i="12"/>
  <c r="M216" i="12"/>
  <c r="M468" i="12"/>
  <c r="M180" i="12"/>
  <c r="M648" i="12"/>
  <c r="M540" i="12"/>
  <c r="M324" i="12"/>
  <c r="M432" i="12"/>
  <c r="M360" i="12"/>
  <c r="M252" i="12"/>
  <c r="M397" i="12"/>
  <c r="M145" i="12"/>
  <c r="M289" i="12"/>
  <c r="M505" i="12"/>
  <c r="M217" i="12"/>
  <c r="M469" i="12"/>
  <c r="M181" i="12"/>
  <c r="M649" i="12"/>
  <c r="M541" i="12"/>
  <c r="M325" i="12"/>
  <c r="M433" i="12"/>
  <c r="M361" i="12"/>
  <c r="M253" i="12"/>
  <c r="M542" i="12"/>
  <c r="M543" i="12"/>
  <c r="M544" i="12"/>
  <c r="M545" i="12"/>
  <c r="M546" i="12"/>
  <c r="M547" i="12"/>
  <c r="M548" i="12"/>
  <c r="M549" i="12"/>
  <c r="M550" i="12"/>
  <c r="M551" i="12"/>
  <c r="M552" i="12"/>
  <c r="M553" i="12"/>
  <c r="M554" i="12"/>
  <c r="M555" i="12"/>
  <c r="M556" i="12"/>
  <c r="M557" i="12"/>
  <c r="M558" i="12"/>
  <c r="M559" i="12"/>
  <c r="M560" i="12"/>
  <c r="M561" i="12"/>
  <c r="M562" i="12"/>
  <c r="M563" i="12"/>
  <c r="M564" i="12"/>
  <c r="M565" i="12"/>
  <c r="M566" i="12"/>
  <c r="M567" i="12"/>
  <c r="M568" i="12"/>
  <c r="M569" i="12"/>
  <c r="M570" i="12"/>
  <c r="M571" i="12"/>
  <c r="M572" i="12"/>
  <c r="M573" i="12"/>
  <c r="M574" i="12"/>
  <c r="M575" i="12"/>
  <c r="M576" i="12"/>
  <c r="M577" i="12"/>
  <c r="M578" i="12"/>
  <c r="M579" i="12"/>
  <c r="M580" i="12"/>
  <c r="M581" i="12"/>
  <c r="M582" i="12"/>
  <c r="M583" i="12"/>
  <c r="M584" i="12"/>
  <c r="M585" i="12"/>
  <c r="M586" i="12"/>
  <c r="M587" i="12"/>
  <c r="M588" i="12"/>
  <c r="M589" i="12"/>
  <c r="M590" i="12"/>
  <c r="M591" i="12"/>
  <c r="M592" i="12"/>
  <c r="M593" i="12"/>
  <c r="M594" i="12"/>
  <c r="M595" i="12"/>
  <c r="M596" i="12"/>
  <c r="M597" i="12"/>
  <c r="M598" i="12"/>
  <c r="M599" i="12"/>
  <c r="M600" i="12"/>
  <c r="M601" i="12"/>
  <c r="M602" i="12"/>
  <c r="M603" i="12"/>
  <c r="M604" i="12"/>
  <c r="M605" i="12"/>
  <c r="M606" i="12"/>
  <c r="M607" i="12"/>
  <c r="M608" i="12"/>
  <c r="M609" i="12"/>
  <c r="M610" i="12"/>
  <c r="M611" i="12"/>
  <c r="M612" i="12"/>
  <c r="M613" i="12"/>
  <c r="M2090" i="12"/>
  <c r="M2234" i="12"/>
  <c r="M2126" i="12"/>
  <c r="M1874" i="12"/>
  <c r="M2054" i="12"/>
  <c r="M2198" i="12"/>
  <c r="M1982" i="12"/>
  <c r="M1838" i="12"/>
  <c r="M1946" i="12"/>
  <c r="M1910" i="12"/>
  <c r="M1802" i="12"/>
  <c r="M2018" i="12"/>
  <c r="M2162" i="12"/>
  <c r="M2091" i="12"/>
  <c r="M2235" i="12"/>
  <c r="M2127" i="12"/>
  <c r="M1875" i="12"/>
  <c r="M2055" i="12"/>
  <c r="M2199" i="12"/>
  <c r="M1983" i="12"/>
  <c r="M1839" i="12"/>
  <c r="M1947" i="12"/>
  <c r="M1911" i="12"/>
  <c r="M1803" i="12"/>
  <c r="M2019" i="12"/>
  <c r="M2163" i="12"/>
  <c r="M2092" i="12"/>
  <c r="M2236" i="12"/>
  <c r="M2128" i="12"/>
  <c r="M1876" i="12"/>
  <c r="M2056" i="12"/>
  <c r="M2200" i="12"/>
  <c r="M1984" i="12"/>
  <c r="M1840" i="12"/>
  <c r="M1948" i="12"/>
  <c r="M1912" i="12"/>
  <c r="M1804" i="12"/>
  <c r="M2020" i="12"/>
  <c r="M2164" i="12"/>
  <c r="M2093" i="12"/>
  <c r="M2237" i="12"/>
  <c r="M2129" i="12"/>
  <c r="M1877" i="12"/>
  <c r="M2057" i="12"/>
  <c r="M2201" i="12"/>
  <c r="M1985" i="12"/>
  <c r="M1841" i="12"/>
  <c r="M1949" i="12"/>
  <c r="M1913" i="12"/>
  <c r="M1805" i="12"/>
  <c r="M2021" i="12"/>
  <c r="M2165" i="12"/>
  <c r="M2094" i="12"/>
  <c r="M2238" i="12"/>
  <c r="M2130" i="12"/>
  <c r="M1878" i="12"/>
  <c r="M2058" i="12"/>
  <c r="M2202" i="12"/>
  <c r="M1986" i="12"/>
  <c r="M1842" i="12"/>
  <c r="M1950" i="12"/>
  <c r="M1914" i="12"/>
  <c r="M1806" i="12"/>
  <c r="M2022" i="12"/>
  <c r="M2166" i="12"/>
  <c r="M2095" i="12"/>
  <c r="M2239" i="12"/>
  <c r="M2131" i="12"/>
  <c r="M1879" i="12"/>
  <c r="M2059" i="12"/>
  <c r="M2203" i="12"/>
  <c r="M1987" i="12"/>
  <c r="M1843" i="12"/>
  <c r="M1951" i="12"/>
  <c r="M1915" i="12"/>
  <c r="M1807" i="12"/>
  <c r="M2023" i="12"/>
  <c r="M2167" i="12"/>
  <c r="M2096" i="12"/>
  <c r="M2240" i="12"/>
  <c r="M2132" i="12"/>
  <c r="M1880" i="12"/>
  <c r="M2060" i="12"/>
  <c r="M2204" i="12"/>
  <c r="M1988" i="12"/>
  <c r="M1844" i="12"/>
  <c r="M1952" i="12"/>
  <c r="M1916" i="12"/>
  <c r="M1808" i="12"/>
  <c r="M2024" i="12"/>
  <c r="M2168" i="12"/>
  <c r="M2097" i="12"/>
  <c r="M2241" i="12"/>
  <c r="M2133" i="12"/>
  <c r="M1881" i="12"/>
  <c r="M2061" i="12"/>
  <c r="M2205" i="12"/>
  <c r="M1989" i="12"/>
  <c r="M1845" i="12"/>
  <c r="M1953" i="12"/>
  <c r="M1917" i="12"/>
  <c r="M1809" i="12"/>
  <c r="M2025" i="12"/>
  <c r="M2169" i="12"/>
  <c r="M2098" i="12"/>
  <c r="M2242" i="12"/>
  <c r="M2134" i="12"/>
  <c r="M1882" i="12"/>
  <c r="M2062" i="12"/>
  <c r="M2206" i="12"/>
  <c r="M1990" i="12"/>
  <c r="M1846" i="12"/>
  <c r="M1954" i="12"/>
  <c r="M1918" i="12"/>
  <c r="M1810" i="12"/>
  <c r="M2026" i="12"/>
  <c r="M2170" i="12"/>
  <c r="M2099" i="12"/>
  <c r="M2243" i="12"/>
  <c r="M2135" i="12"/>
  <c r="M1883" i="12"/>
  <c r="M2063" i="12"/>
  <c r="M2207" i="12"/>
  <c r="M1991" i="12"/>
  <c r="M1847" i="12"/>
  <c r="M1955" i="12"/>
  <c r="M1919" i="12"/>
  <c r="M1811" i="12"/>
  <c r="M2027" i="12"/>
  <c r="M2171" i="12"/>
  <c r="M2100" i="12"/>
  <c r="M2244" i="12"/>
  <c r="M2136" i="12"/>
  <c r="M1884" i="12"/>
  <c r="M2064" i="12"/>
  <c r="M2208" i="12"/>
  <c r="M1992" i="12"/>
  <c r="M1848" i="12"/>
  <c r="M1956" i="12"/>
  <c r="M1920" i="12"/>
  <c r="M1812" i="12"/>
  <c r="M2028" i="12"/>
  <c r="M2172" i="12"/>
  <c r="M2101" i="12"/>
  <c r="M2245" i="12"/>
  <c r="M2137" i="12"/>
  <c r="M1885" i="12"/>
  <c r="M2065" i="12"/>
  <c r="M2209" i="12"/>
  <c r="M1993" i="12"/>
  <c r="M1849" i="12"/>
  <c r="M1957" i="12"/>
  <c r="M1921" i="12"/>
  <c r="M1813" i="12"/>
  <c r="M2029" i="12"/>
  <c r="M2173" i="12"/>
  <c r="M2102" i="12"/>
  <c r="M2246" i="12"/>
  <c r="M2138" i="12"/>
  <c r="M1886" i="12"/>
  <c r="M2066" i="12"/>
  <c r="M2210" i="12"/>
  <c r="M1994" i="12"/>
  <c r="M1850" i="12"/>
  <c r="M1958" i="12"/>
  <c r="M1922" i="12"/>
  <c r="M1814" i="12"/>
  <c r="M2030" i="12"/>
  <c r="M2174" i="12"/>
  <c r="M2103" i="12"/>
  <c r="M2247" i="12"/>
  <c r="M2139" i="12"/>
  <c r="M1887" i="12"/>
  <c r="M2067" i="12"/>
  <c r="M2211" i="12"/>
  <c r="M1995" i="12"/>
  <c r="M1851" i="12"/>
  <c r="M1959" i="12"/>
  <c r="M1923" i="12"/>
  <c r="M1815" i="12"/>
  <c r="M2031" i="12"/>
  <c r="M2175" i="12"/>
  <c r="M2104" i="12"/>
  <c r="M2248" i="12"/>
  <c r="M2140" i="12"/>
  <c r="M1888" i="12"/>
  <c r="M2068" i="12"/>
  <c r="M2212" i="12"/>
  <c r="M1996" i="12"/>
  <c r="M1852" i="12"/>
  <c r="M1960" i="12"/>
  <c r="M1924" i="12"/>
  <c r="M1816" i="12"/>
  <c r="M2032" i="12"/>
  <c r="M2176" i="12"/>
  <c r="M2105" i="12"/>
  <c r="M2249" i="12"/>
  <c r="M2141" i="12"/>
  <c r="M1889" i="12"/>
  <c r="M2069" i="12"/>
  <c r="M2213" i="12"/>
  <c r="M1997" i="12"/>
  <c r="M1853" i="12"/>
  <c r="M1961" i="12"/>
  <c r="M1925" i="12"/>
  <c r="M1817" i="12"/>
  <c r="M2033" i="12"/>
  <c r="M2177" i="12"/>
  <c r="M2106" i="12"/>
  <c r="M2250" i="12"/>
  <c r="M2142" i="12"/>
  <c r="M1890" i="12"/>
  <c r="M2070" i="12"/>
  <c r="M2214" i="12"/>
  <c r="M1998" i="12"/>
  <c r="M1854" i="12"/>
  <c r="M1962" i="12"/>
  <c r="M1926" i="12"/>
  <c r="M1818" i="12"/>
  <c r="M2034" i="12"/>
  <c r="M2178" i="12"/>
  <c r="M2107" i="12"/>
  <c r="M2251" i="12"/>
  <c r="M2143" i="12"/>
  <c r="M1891" i="12"/>
  <c r="M2071" i="12"/>
  <c r="M2215" i="12"/>
  <c r="M1999" i="12"/>
  <c r="M1855" i="12"/>
  <c r="M1963" i="12"/>
  <c r="M1927" i="12"/>
  <c r="M1819" i="12"/>
  <c r="M2035" i="12"/>
  <c r="M2179" i="12"/>
  <c r="M2108" i="12"/>
  <c r="M2252" i="12"/>
  <c r="M2144" i="12"/>
  <c r="M1892" i="12"/>
  <c r="M2072" i="12"/>
  <c r="M2216" i="12"/>
  <c r="M2000" i="12"/>
  <c r="M1856" i="12"/>
  <c r="M1964" i="12"/>
  <c r="M1928" i="12"/>
  <c r="M1820" i="12"/>
  <c r="M2036" i="12"/>
  <c r="M2180" i="12"/>
  <c r="M2109" i="12"/>
  <c r="M2253" i="12"/>
  <c r="M2145" i="12"/>
  <c r="M1893" i="12"/>
  <c r="M2073" i="12"/>
  <c r="M2217" i="12"/>
  <c r="M2001" i="12"/>
  <c r="M1857" i="12"/>
  <c r="M1965" i="12"/>
  <c r="M1929" i="12"/>
  <c r="M1821" i="12"/>
  <c r="M2037" i="12"/>
  <c r="M2181" i="12"/>
  <c r="M2110" i="12"/>
  <c r="M2254" i="12"/>
  <c r="M2146" i="12"/>
  <c r="M1894" i="12"/>
  <c r="M2074" i="12"/>
  <c r="M2218" i="12"/>
  <c r="M2002" i="12"/>
  <c r="M1858" i="12"/>
  <c r="M1966" i="12"/>
  <c r="M1930" i="12"/>
  <c r="M1822" i="12"/>
  <c r="M2038" i="12"/>
  <c r="M2182" i="12"/>
  <c r="M2111" i="12"/>
  <c r="M2255" i="12"/>
  <c r="M2147" i="12"/>
  <c r="M1895" i="12"/>
  <c r="M2075" i="12"/>
  <c r="M2219" i="12"/>
  <c r="M2003" i="12"/>
  <c r="M1859" i="12"/>
  <c r="M1967" i="12"/>
  <c r="M1931" i="12"/>
  <c r="M1823" i="12"/>
  <c r="M2039" i="12"/>
  <c r="M2183" i="12"/>
  <c r="M2112" i="12"/>
  <c r="M2256" i="12"/>
  <c r="M2148" i="12"/>
  <c r="M1896" i="12"/>
  <c r="M2076" i="12"/>
  <c r="M2220" i="12"/>
  <c r="M2004" i="12"/>
  <c r="M1860" i="12"/>
  <c r="M1968" i="12"/>
  <c r="M1932" i="12"/>
  <c r="M1824" i="12"/>
  <c r="M2040" i="12"/>
  <c r="M2184" i="12"/>
  <c r="M2113" i="12"/>
  <c r="M2257" i="12"/>
  <c r="M2149" i="12"/>
  <c r="M1897" i="12"/>
  <c r="M2077" i="12"/>
  <c r="M2221" i="12"/>
  <c r="M2005" i="12"/>
  <c r="M1861" i="12"/>
  <c r="M1969" i="12"/>
  <c r="M1933" i="12"/>
  <c r="M1825" i="12"/>
  <c r="M2041" i="12"/>
  <c r="M2185" i="12"/>
  <c r="M2114" i="12"/>
  <c r="M2258" i="12"/>
  <c r="M2150" i="12"/>
  <c r="M1898" i="12"/>
  <c r="M2078" i="12"/>
  <c r="M2222" i="12"/>
  <c r="M2006" i="12"/>
  <c r="M1862" i="12"/>
  <c r="M1970" i="12"/>
  <c r="M1934" i="12"/>
  <c r="M1826" i="12"/>
  <c r="M2042" i="12"/>
  <c r="M2186" i="12"/>
  <c r="M2115" i="12"/>
  <c r="M2259" i="12"/>
  <c r="M2151" i="12"/>
  <c r="M1899" i="12"/>
  <c r="M2079" i="12"/>
  <c r="M2223" i="12"/>
  <c r="M2007" i="12"/>
  <c r="M1863" i="12"/>
  <c r="M1971" i="12"/>
  <c r="M1935" i="12"/>
  <c r="M1827" i="12"/>
  <c r="M2043" i="12"/>
  <c r="M2187" i="12"/>
  <c r="M2116" i="12"/>
  <c r="M2260" i="12"/>
  <c r="M2152" i="12"/>
  <c r="M1900" i="12"/>
  <c r="M2080" i="12"/>
  <c r="M2224" i="12"/>
  <c r="M2008" i="12"/>
  <c r="M1864" i="12"/>
  <c r="M1972" i="12"/>
  <c r="M1936" i="12"/>
  <c r="M1828" i="12"/>
  <c r="M2044" i="12"/>
  <c r="M2188" i="12"/>
  <c r="M2117" i="12"/>
  <c r="M2261" i="12"/>
  <c r="M2153" i="12"/>
  <c r="M1901" i="12"/>
  <c r="M2081" i="12"/>
  <c r="M2225" i="12"/>
  <c r="M2009" i="12"/>
  <c r="M1865" i="12"/>
  <c r="M1973" i="12"/>
  <c r="M1937" i="12"/>
  <c r="M1829" i="12"/>
  <c r="M2045" i="12"/>
  <c r="M2189" i="12"/>
  <c r="M2118" i="12"/>
  <c r="M2262" i="12"/>
  <c r="M2154" i="12"/>
  <c r="M1902" i="12"/>
  <c r="M2082" i="12"/>
  <c r="M2226" i="12"/>
  <c r="M2010" i="12"/>
  <c r="M1866" i="12"/>
  <c r="M1974" i="12"/>
  <c r="M1938" i="12"/>
  <c r="M1830" i="12"/>
  <c r="M2046" i="12"/>
  <c r="M2190" i="12"/>
  <c r="M2119" i="12"/>
  <c r="M2263" i="12"/>
  <c r="M2155" i="12"/>
  <c r="M1903" i="12"/>
  <c r="M2083" i="12"/>
  <c r="M2227" i="12"/>
  <c r="M2011" i="12"/>
  <c r="M1867" i="12"/>
  <c r="M1975" i="12"/>
  <c r="M1939" i="12"/>
  <c r="M1831" i="12"/>
  <c r="M2047" i="12"/>
  <c r="M2191" i="12"/>
  <c r="M2120" i="12"/>
  <c r="M2264" i="12"/>
  <c r="M2156" i="12"/>
  <c r="M1904" i="12"/>
  <c r="M2084" i="12"/>
  <c r="M2228" i="12"/>
  <c r="M2012" i="12"/>
  <c r="M1868" i="12"/>
  <c r="M1976" i="12"/>
  <c r="M1940" i="12"/>
  <c r="M1832" i="12"/>
  <c r="M2048" i="12"/>
  <c r="M2192" i="12"/>
  <c r="M2121" i="12"/>
  <c r="M2265" i="12"/>
  <c r="M2157" i="12"/>
  <c r="M1905" i="12"/>
  <c r="M2085" i="12"/>
  <c r="M2229" i="12"/>
  <c r="M2013" i="12"/>
  <c r="M1869" i="12"/>
  <c r="M1977" i="12"/>
  <c r="M1941" i="12"/>
  <c r="M1833" i="12"/>
  <c r="M2049" i="12"/>
  <c r="M2193" i="12"/>
  <c r="M2122" i="12"/>
  <c r="M2266" i="12"/>
  <c r="M2158" i="12"/>
  <c r="M1906" i="12"/>
  <c r="M2086" i="12"/>
  <c r="M2230" i="12"/>
  <c r="M2014" i="12"/>
  <c r="M1870" i="12"/>
  <c r="M1978" i="12"/>
  <c r="M1942" i="12"/>
  <c r="M1834" i="12"/>
  <c r="M2050" i="12"/>
  <c r="M2194" i="12"/>
  <c r="M2123" i="12"/>
  <c r="M2267" i="12"/>
  <c r="M2159" i="12"/>
  <c r="M1907" i="12"/>
  <c r="M2087" i="12"/>
  <c r="M2231" i="12"/>
  <c r="M2015" i="12"/>
  <c r="M1871" i="12"/>
  <c r="M1979" i="12"/>
  <c r="M1943" i="12"/>
  <c r="M1835" i="12"/>
  <c r="M2051" i="12"/>
  <c r="M2195" i="12"/>
  <c r="M2124" i="12"/>
  <c r="M2268" i="12"/>
  <c r="M2160" i="12"/>
  <c r="M1908" i="12"/>
  <c r="M2088" i="12"/>
  <c r="M2232" i="12"/>
  <c r="M2016" i="12"/>
  <c r="M1872" i="12"/>
  <c r="M1980" i="12"/>
  <c r="M1944" i="12"/>
  <c r="M1836" i="12"/>
  <c r="M2052" i="12"/>
  <c r="M2196" i="12"/>
  <c r="M2125" i="12"/>
  <c r="M2269" i="12"/>
  <c r="M2161" i="12"/>
  <c r="M1909" i="12"/>
  <c r="M2089" i="12"/>
  <c r="M2233" i="12"/>
  <c r="M2017" i="12"/>
  <c r="M1873" i="12"/>
  <c r="M1981" i="12"/>
  <c r="M1945" i="12"/>
  <c r="M1837" i="12"/>
  <c r="M2053" i="12"/>
  <c r="M2197" i="12"/>
  <c r="M2" i="12"/>
  <c r="M74" i="12"/>
  <c r="M3" i="12"/>
  <c r="M75" i="12"/>
  <c r="M4" i="12"/>
  <c r="M76" i="12"/>
  <c r="M5" i="12"/>
  <c r="M77" i="12"/>
  <c r="M6" i="12"/>
  <c r="M78" i="12"/>
  <c r="M7" i="12"/>
  <c r="M79" i="12"/>
  <c r="M8" i="12"/>
  <c r="M80" i="12"/>
  <c r="M9" i="12"/>
  <c r="M81" i="12"/>
  <c r="M10" i="12"/>
  <c r="M82" i="12"/>
  <c r="M11" i="12"/>
  <c r="M83" i="12"/>
  <c r="M12" i="12"/>
  <c r="M84" i="12"/>
  <c r="M13" i="12"/>
  <c r="M85" i="12"/>
  <c r="M14" i="12"/>
  <c r="M86" i="12"/>
  <c r="M15" i="12"/>
  <c r="M87" i="12"/>
  <c r="M16" i="12"/>
  <c r="M88" i="12"/>
  <c r="M17" i="12"/>
  <c r="M89" i="12"/>
  <c r="M18" i="12"/>
  <c r="M90" i="12"/>
  <c r="M19" i="12"/>
  <c r="M91" i="12"/>
  <c r="M20" i="12"/>
  <c r="M92" i="12"/>
  <c r="M21" i="12"/>
  <c r="M93" i="12"/>
  <c r="M22" i="12"/>
  <c r="M94" i="12"/>
  <c r="M23" i="12"/>
  <c r="M95" i="12"/>
  <c r="M24" i="12"/>
  <c r="M96" i="12"/>
  <c r="M25" i="12"/>
  <c r="M97" i="12"/>
  <c r="M26" i="12"/>
  <c r="M98" i="12"/>
  <c r="M27" i="12"/>
  <c r="M99" i="12"/>
  <c r="M28" i="12"/>
  <c r="M100" i="12"/>
  <c r="M29" i="12"/>
  <c r="M101" i="12"/>
  <c r="M30" i="12"/>
  <c r="M102" i="12"/>
  <c r="M31" i="12"/>
  <c r="M103" i="12"/>
  <c r="M32" i="12"/>
  <c r="M104" i="12"/>
  <c r="M33" i="12"/>
  <c r="M105" i="12"/>
  <c r="M34" i="12"/>
  <c r="M106" i="12"/>
  <c r="M35" i="12"/>
  <c r="M107" i="12"/>
  <c r="M36" i="12"/>
  <c r="M108" i="12"/>
  <c r="M37" i="12"/>
  <c r="M109" i="12"/>
  <c r="K1190" i="12"/>
  <c r="L1190" i="12" s="1"/>
  <c r="K1226" i="12"/>
  <c r="L1226" i="12" s="1"/>
  <c r="K1082" i="12"/>
  <c r="L1082" i="12" s="1"/>
  <c r="K1334" i="12"/>
  <c r="L1334" i="12" s="1"/>
  <c r="K1370" i="12"/>
  <c r="L1370" i="12" s="1"/>
  <c r="K830" i="12"/>
  <c r="L830" i="12" s="1"/>
  <c r="K38" i="12"/>
  <c r="L38" i="12" s="1"/>
  <c r="K1478" i="12"/>
  <c r="L1478" i="12" s="1"/>
  <c r="K1586" i="12"/>
  <c r="L1586" i="12" s="1"/>
  <c r="K722" i="12"/>
  <c r="L722" i="12" s="1"/>
  <c r="K1298" i="12"/>
  <c r="L1298" i="12" s="1"/>
  <c r="K1010" i="12"/>
  <c r="L1010" i="12" s="1"/>
  <c r="K974" i="12"/>
  <c r="L974" i="12" s="1"/>
  <c r="K1046" i="12"/>
  <c r="L1046" i="12" s="1"/>
  <c r="K1622" i="12"/>
  <c r="L1622" i="12" s="1"/>
  <c r="K938" i="12"/>
  <c r="L938" i="12" s="1"/>
  <c r="K686" i="12"/>
  <c r="L686" i="12" s="1"/>
  <c r="K1154" i="12"/>
  <c r="L1154" i="12" s="1"/>
  <c r="K1730" i="12"/>
  <c r="L1730" i="12" s="1"/>
  <c r="K1550" i="12"/>
  <c r="L1550" i="12" s="1"/>
  <c r="K1694" i="12"/>
  <c r="L1694" i="12" s="1"/>
  <c r="K902" i="12"/>
  <c r="L902" i="12" s="1"/>
  <c r="K866" i="12"/>
  <c r="L866" i="12" s="1"/>
  <c r="K1406" i="12"/>
  <c r="L1406" i="12" s="1"/>
  <c r="K1118" i="12"/>
  <c r="L1118" i="12" s="1"/>
  <c r="K650" i="12"/>
  <c r="L650" i="12" s="1"/>
  <c r="K1442" i="12"/>
  <c r="L1442" i="12" s="1"/>
  <c r="K1262" i="12"/>
  <c r="L1262" i="12" s="1"/>
  <c r="K1514" i="12"/>
  <c r="L1514" i="12" s="1"/>
  <c r="K794" i="12"/>
  <c r="L794" i="12" s="1"/>
  <c r="K758" i="12"/>
  <c r="L758" i="12" s="1"/>
  <c r="K1766" i="12"/>
  <c r="L1766" i="12" s="1"/>
  <c r="K1658" i="12"/>
  <c r="L1658" i="12" s="1"/>
  <c r="K1191" i="12"/>
  <c r="L1191" i="12" s="1"/>
  <c r="K1227" i="12"/>
  <c r="L1227" i="12" s="1"/>
  <c r="K1083" i="12"/>
  <c r="L1083" i="12" s="1"/>
  <c r="K1335" i="12"/>
  <c r="L1335" i="12" s="1"/>
  <c r="K1371" i="12"/>
  <c r="L1371" i="12" s="1"/>
  <c r="K831" i="12"/>
  <c r="L831" i="12" s="1"/>
  <c r="K39" i="12"/>
  <c r="L39" i="12" s="1"/>
  <c r="K1479" i="12"/>
  <c r="L1479" i="12" s="1"/>
  <c r="K1587" i="12"/>
  <c r="L1587" i="12" s="1"/>
  <c r="K723" i="12"/>
  <c r="L723" i="12" s="1"/>
  <c r="K1299" i="12"/>
  <c r="L1299" i="12" s="1"/>
  <c r="K1011" i="12"/>
  <c r="L1011" i="12" s="1"/>
  <c r="K975" i="12"/>
  <c r="L975" i="12" s="1"/>
  <c r="K1047" i="12"/>
  <c r="L1047" i="12" s="1"/>
  <c r="K1623" i="12"/>
  <c r="L1623" i="12" s="1"/>
  <c r="K939" i="12"/>
  <c r="L939" i="12" s="1"/>
  <c r="K687" i="12"/>
  <c r="L687" i="12" s="1"/>
  <c r="K1155" i="12"/>
  <c r="L1155" i="12" s="1"/>
  <c r="K1731" i="12"/>
  <c r="L1731" i="12" s="1"/>
  <c r="K1551" i="12"/>
  <c r="L1551" i="12" s="1"/>
  <c r="K1695" i="12"/>
  <c r="L1695" i="12" s="1"/>
  <c r="K903" i="12"/>
  <c r="L903" i="12" s="1"/>
  <c r="K867" i="12"/>
  <c r="L867" i="12" s="1"/>
  <c r="K1407" i="12"/>
  <c r="L1407" i="12" s="1"/>
  <c r="K1119" i="12"/>
  <c r="L1119" i="12" s="1"/>
  <c r="K651" i="12"/>
  <c r="L651" i="12" s="1"/>
  <c r="K1443" i="12"/>
  <c r="L1443" i="12" s="1"/>
  <c r="K1263" i="12"/>
  <c r="L1263" i="12" s="1"/>
  <c r="K1515" i="12"/>
  <c r="L1515" i="12" s="1"/>
  <c r="K795" i="12"/>
  <c r="L795" i="12" s="1"/>
  <c r="K759" i="12"/>
  <c r="L759" i="12" s="1"/>
  <c r="K1767" i="12"/>
  <c r="L1767" i="12" s="1"/>
  <c r="K1659" i="12"/>
  <c r="L1659" i="12" s="1"/>
  <c r="K1192" i="12"/>
  <c r="L1192" i="12" s="1"/>
  <c r="K1228" i="12"/>
  <c r="L1228" i="12" s="1"/>
  <c r="K1084" i="12"/>
  <c r="L1084" i="12" s="1"/>
  <c r="K1336" i="12"/>
  <c r="L1336" i="12" s="1"/>
  <c r="K1372" i="12"/>
  <c r="L1372" i="12" s="1"/>
  <c r="K832" i="12"/>
  <c r="L832" i="12" s="1"/>
  <c r="K40" i="12"/>
  <c r="L40" i="12" s="1"/>
  <c r="K1480" i="12"/>
  <c r="L1480" i="12" s="1"/>
  <c r="K1588" i="12"/>
  <c r="L1588" i="12" s="1"/>
  <c r="K724" i="12"/>
  <c r="L724" i="12" s="1"/>
  <c r="K1300" i="12"/>
  <c r="L1300" i="12" s="1"/>
  <c r="K1012" i="12"/>
  <c r="L1012" i="12" s="1"/>
  <c r="K976" i="12"/>
  <c r="L976" i="12" s="1"/>
  <c r="K1048" i="12"/>
  <c r="L1048" i="12" s="1"/>
  <c r="K1624" i="12"/>
  <c r="L1624" i="12" s="1"/>
  <c r="K940" i="12"/>
  <c r="L940" i="12" s="1"/>
  <c r="K688" i="12"/>
  <c r="L688" i="12" s="1"/>
  <c r="K1156" i="12"/>
  <c r="L1156" i="12" s="1"/>
  <c r="K1732" i="12"/>
  <c r="L1732" i="12" s="1"/>
  <c r="K1552" i="12"/>
  <c r="L1552" i="12" s="1"/>
  <c r="K1696" i="12"/>
  <c r="L1696" i="12" s="1"/>
  <c r="K904" i="12"/>
  <c r="L904" i="12" s="1"/>
  <c r="K868" i="12"/>
  <c r="L868" i="12" s="1"/>
  <c r="K1408" i="12"/>
  <c r="L1408" i="12" s="1"/>
  <c r="K1120" i="12"/>
  <c r="L1120" i="12" s="1"/>
  <c r="K652" i="12"/>
  <c r="L652" i="12" s="1"/>
  <c r="K1444" i="12"/>
  <c r="L1444" i="12" s="1"/>
  <c r="K1264" i="12"/>
  <c r="L1264" i="12" s="1"/>
  <c r="K1516" i="12"/>
  <c r="L1516" i="12" s="1"/>
  <c r="K796" i="12"/>
  <c r="L796" i="12" s="1"/>
  <c r="K760" i="12"/>
  <c r="L760" i="12" s="1"/>
  <c r="K1768" i="12"/>
  <c r="L1768" i="12" s="1"/>
  <c r="K1660" i="12"/>
  <c r="L1660" i="12" s="1"/>
  <c r="K1193" i="12"/>
  <c r="L1193" i="12" s="1"/>
  <c r="K1229" i="12"/>
  <c r="L1229" i="12" s="1"/>
  <c r="K1085" i="12"/>
  <c r="L1085" i="12" s="1"/>
  <c r="K1337" i="12"/>
  <c r="L1337" i="12" s="1"/>
  <c r="K1373" i="12"/>
  <c r="L1373" i="12" s="1"/>
  <c r="K833" i="12"/>
  <c r="L833" i="12" s="1"/>
  <c r="K41" i="12"/>
  <c r="L41" i="12" s="1"/>
  <c r="K1481" i="12"/>
  <c r="L1481" i="12" s="1"/>
  <c r="K1589" i="12"/>
  <c r="L1589" i="12" s="1"/>
  <c r="K725" i="12"/>
  <c r="L725" i="12" s="1"/>
  <c r="K1301" i="12"/>
  <c r="L1301" i="12" s="1"/>
  <c r="K1013" i="12"/>
  <c r="L1013" i="12" s="1"/>
  <c r="K977" i="12"/>
  <c r="L977" i="12" s="1"/>
  <c r="K1049" i="12"/>
  <c r="L1049" i="12" s="1"/>
  <c r="K1625" i="12"/>
  <c r="L1625" i="12" s="1"/>
  <c r="K941" i="12"/>
  <c r="L941" i="12" s="1"/>
  <c r="K689" i="12"/>
  <c r="L689" i="12" s="1"/>
  <c r="K1157" i="12"/>
  <c r="L1157" i="12" s="1"/>
  <c r="K1733" i="12"/>
  <c r="L1733" i="12" s="1"/>
  <c r="K1553" i="12"/>
  <c r="L1553" i="12" s="1"/>
  <c r="K1697" i="12"/>
  <c r="L1697" i="12" s="1"/>
  <c r="K905" i="12"/>
  <c r="L905" i="12" s="1"/>
  <c r="K869" i="12"/>
  <c r="L869" i="12" s="1"/>
  <c r="K1409" i="12"/>
  <c r="L1409" i="12" s="1"/>
  <c r="K1121" i="12"/>
  <c r="L1121" i="12" s="1"/>
  <c r="K653" i="12"/>
  <c r="L653" i="12" s="1"/>
  <c r="K1445" i="12"/>
  <c r="L1445" i="12" s="1"/>
  <c r="K1265" i="12"/>
  <c r="L1265" i="12" s="1"/>
  <c r="K1517" i="12"/>
  <c r="L1517" i="12" s="1"/>
  <c r="K797" i="12"/>
  <c r="L797" i="12" s="1"/>
  <c r="K761" i="12"/>
  <c r="L761" i="12" s="1"/>
  <c r="K1769" i="12"/>
  <c r="L1769" i="12" s="1"/>
  <c r="K1661" i="12"/>
  <c r="L1661" i="12" s="1"/>
  <c r="K1194" i="12"/>
  <c r="L1194" i="12" s="1"/>
  <c r="K1230" i="12"/>
  <c r="L1230" i="12" s="1"/>
  <c r="K1086" i="12"/>
  <c r="L1086" i="12" s="1"/>
  <c r="K1338" i="12"/>
  <c r="L1338" i="12" s="1"/>
  <c r="K1374" i="12"/>
  <c r="L1374" i="12" s="1"/>
  <c r="K834" i="12"/>
  <c r="L834" i="12" s="1"/>
  <c r="K42" i="12"/>
  <c r="L42" i="12" s="1"/>
  <c r="K1482" i="12"/>
  <c r="L1482" i="12" s="1"/>
  <c r="K1590" i="12"/>
  <c r="L1590" i="12" s="1"/>
  <c r="K726" i="12"/>
  <c r="L726" i="12" s="1"/>
  <c r="K1302" i="12"/>
  <c r="L1302" i="12" s="1"/>
  <c r="K1014" i="12"/>
  <c r="L1014" i="12" s="1"/>
  <c r="K978" i="12"/>
  <c r="L978" i="12" s="1"/>
  <c r="K1050" i="12"/>
  <c r="L1050" i="12" s="1"/>
  <c r="K1626" i="12"/>
  <c r="L1626" i="12" s="1"/>
  <c r="K942" i="12"/>
  <c r="L942" i="12" s="1"/>
  <c r="K690" i="12"/>
  <c r="L690" i="12" s="1"/>
  <c r="K1158" i="12"/>
  <c r="L1158" i="12" s="1"/>
  <c r="K1734" i="12"/>
  <c r="L1734" i="12" s="1"/>
  <c r="K1554" i="12"/>
  <c r="L1554" i="12" s="1"/>
  <c r="K1698" i="12"/>
  <c r="L1698" i="12" s="1"/>
  <c r="K906" i="12"/>
  <c r="L906" i="12" s="1"/>
  <c r="K870" i="12"/>
  <c r="L870" i="12" s="1"/>
  <c r="K1410" i="12"/>
  <c r="L1410" i="12" s="1"/>
  <c r="K1122" i="12"/>
  <c r="L1122" i="12" s="1"/>
  <c r="K654" i="12"/>
  <c r="L654" i="12" s="1"/>
  <c r="K1446" i="12"/>
  <c r="L1446" i="12" s="1"/>
  <c r="K1266" i="12"/>
  <c r="L1266" i="12" s="1"/>
  <c r="K1518" i="12"/>
  <c r="L1518" i="12" s="1"/>
  <c r="K798" i="12"/>
  <c r="L798" i="12" s="1"/>
  <c r="K762" i="12"/>
  <c r="L762" i="12" s="1"/>
  <c r="K1770" i="12"/>
  <c r="L1770" i="12" s="1"/>
  <c r="K1662" i="12"/>
  <c r="L1662" i="12" s="1"/>
  <c r="K1195" i="12"/>
  <c r="L1195" i="12" s="1"/>
  <c r="K1231" i="12"/>
  <c r="L1231" i="12" s="1"/>
  <c r="K1087" i="12"/>
  <c r="L1087" i="12" s="1"/>
  <c r="K1339" i="12"/>
  <c r="L1339" i="12" s="1"/>
  <c r="K1375" i="12"/>
  <c r="L1375" i="12" s="1"/>
  <c r="K835" i="12"/>
  <c r="L835" i="12" s="1"/>
  <c r="K43" i="12"/>
  <c r="L43" i="12" s="1"/>
  <c r="K1483" i="12"/>
  <c r="L1483" i="12" s="1"/>
  <c r="K1591" i="12"/>
  <c r="L1591" i="12" s="1"/>
  <c r="K727" i="12"/>
  <c r="L727" i="12" s="1"/>
  <c r="K1303" i="12"/>
  <c r="L1303" i="12" s="1"/>
  <c r="K1015" i="12"/>
  <c r="L1015" i="12" s="1"/>
  <c r="K979" i="12"/>
  <c r="L979" i="12" s="1"/>
  <c r="K1051" i="12"/>
  <c r="L1051" i="12" s="1"/>
  <c r="K1627" i="12"/>
  <c r="L1627" i="12" s="1"/>
  <c r="K943" i="12"/>
  <c r="L943" i="12" s="1"/>
  <c r="K691" i="12"/>
  <c r="L691" i="12" s="1"/>
  <c r="K1159" i="12"/>
  <c r="L1159" i="12" s="1"/>
  <c r="K1735" i="12"/>
  <c r="L1735" i="12" s="1"/>
  <c r="K1555" i="12"/>
  <c r="L1555" i="12" s="1"/>
  <c r="K1699" i="12"/>
  <c r="L1699" i="12" s="1"/>
  <c r="K907" i="12"/>
  <c r="L907" i="12" s="1"/>
  <c r="K871" i="12"/>
  <c r="L871" i="12" s="1"/>
  <c r="K1411" i="12"/>
  <c r="L1411" i="12" s="1"/>
  <c r="K1123" i="12"/>
  <c r="L1123" i="12" s="1"/>
  <c r="K655" i="12"/>
  <c r="L655" i="12" s="1"/>
  <c r="K1447" i="12"/>
  <c r="L1447" i="12" s="1"/>
  <c r="K1267" i="12"/>
  <c r="L1267" i="12" s="1"/>
  <c r="K1519" i="12"/>
  <c r="L1519" i="12" s="1"/>
  <c r="K799" i="12"/>
  <c r="L799" i="12" s="1"/>
  <c r="K763" i="12"/>
  <c r="L763" i="12" s="1"/>
  <c r="K1771" i="12"/>
  <c r="L1771" i="12" s="1"/>
  <c r="K1663" i="12"/>
  <c r="L1663" i="12" s="1"/>
  <c r="K1196" i="12"/>
  <c r="L1196" i="12" s="1"/>
  <c r="K1232" i="12"/>
  <c r="L1232" i="12" s="1"/>
  <c r="K1088" i="12"/>
  <c r="L1088" i="12" s="1"/>
  <c r="K1340" i="12"/>
  <c r="L1340" i="12" s="1"/>
  <c r="K1376" i="12"/>
  <c r="L1376" i="12" s="1"/>
  <c r="K836" i="12"/>
  <c r="L836" i="12" s="1"/>
  <c r="K44" i="12"/>
  <c r="L44" i="12" s="1"/>
  <c r="K1484" i="12"/>
  <c r="L1484" i="12" s="1"/>
  <c r="K1592" i="12"/>
  <c r="L1592" i="12" s="1"/>
  <c r="K728" i="12"/>
  <c r="L728" i="12" s="1"/>
  <c r="K1304" i="12"/>
  <c r="L1304" i="12" s="1"/>
  <c r="K1016" i="12"/>
  <c r="L1016" i="12" s="1"/>
  <c r="K980" i="12"/>
  <c r="L980" i="12" s="1"/>
  <c r="K1052" i="12"/>
  <c r="L1052" i="12" s="1"/>
  <c r="K1628" i="12"/>
  <c r="L1628" i="12" s="1"/>
  <c r="K944" i="12"/>
  <c r="L944" i="12" s="1"/>
  <c r="K692" i="12"/>
  <c r="L692" i="12" s="1"/>
  <c r="K1160" i="12"/>
  <c r="L1160" i="12" s="1"/>
  <c r="K1736" i="12"/>
  <c r="L1736" i="12" s="1"/>
  <c r="K1556" i="12"/>
  <c r="L1556" i="12" s="1"/>
  <c r="K1700" i="12"/>
  <c r="L1700" i="12" s="1"/>
  <c r="K908" i="12"/>
  <c r="L908" i="12" s="1"/>
  <c r="K872" i="12"/>
  <c r="L872" i="12" s="1"/>
  <c r="K1412" i="12"/>
  <c r="L1412" i="12" s="1"/>
  <c r="K1124" i="12"/>
  <c r="L1124" i="12" s="1"/>
  <c r="K656" i="12"/>
  <c r="L656" i="12" s="1"/>
  <c r="K1448" i="12"/>
  <c r="L1448" i="12" s="1"/>
  <c r="K1268" i="12"/>
  <c r="L1268" i="12" s="1"/>
  <c r="K1520" i="12"/>
  <c r="L1520" i="12" s="1"/>
  <c r="K800" i="12"/>
  <c r="L800" i="12" s="1"/>
  <c r="K764" i="12"/>
  <c r="L764" i="12" s="1"/>
  <c r="K1772" i="12"/>
  <c r="L1772" i="12" s="1"/>
  <c r="K1664" i="12"/>
  <c r="L1664" i="12" s="1"/>
  <c r="K1197" i="12"/>
  <c r="L1197" i="12" s="1"/>
  <c r="K1233" i="12"/>
  <c r="L1233" i="12" s="1"/>
  <c r="K1089" i="12"/>
  <c r="L1089" i="12" s="1"/>
  <c r="K1341" i="12"/>
  <c r="L1341" i="12" s="1"/>
  <c r="K1377" i="12"/>
  <c r="L1377" i="12" s="1"/>
  <c r="K837" i="12"/>
  <c r="L837" i="12" s="1"/>
  <c r="K45" i="12"/>
  <c r="L45" i="12" s="1"/>
  <c r="K1485" i="12"/>
  <c r="L1485" i="12" s="1"/>
  <c r="K1593" i="12"/>
  <c r="L1593" i="12" s="1"/>
  <c r="K729" i="12"/>
  <c r="L729" i="12" s="1"/>
  <c r="K1305" i="12"/>
  <c r="L1305" i="12" s="1"/>
  <c r="K1017" i="12"/>
  <c r="L1017" i="12" s="1"/>
  <c r="K981" i="12"/>
  <c r="L981" i="12" s="1"/>
  <c r="K1053" i="12"/>
  <c r="L1053" i="12" s="1"/>
  <c r="K1629" i="12"/>
  <c r="L1629" i="12" s="1"/>
  <c r="K945" i="12"/>
  <c r="L945" i="12" s="1"/>
  <c r="K693" i="12"/>
  <c r="L693" i="12" s="1"/>
  <c r="K1161" i="12"/>
  <c r="L1161" i="12" s="1"/>
  <c r="K1737" i="12"/>
  <c r="L1737" i="12" s="1"/>
  <c r="K1557" i="12"/>
  <c r="L1557" i="12" s="1"/>
  <c r="K1701" i="12"/>
  <c r="L1701" i="12" s="1"/>
  <c r="K909" i="12"/>
  <c r="L909" i="12" s="1"/>
  <c r="K873" i="12"/>
  <c r="L873" i="12" s="1"/>
  <c r="K1413" i="12"/>
  <c r="L1413" i="12" s="1"/>
  <c r="K1125" i="12"/>
  <c r="L1125" i="12" s="1"/>
  <c r="K657" i="12"/>
  <c r="L657" i="12" s="1"/>
  <c r="K1449" i="12"/>
  <c r="L1449" i="12" s="1"/>
  <c r="K1269" i="12"/>
  <c r="L1269" i="12" s="1"/>
  <c r="K1521" i="12"/>
  <c r="L1521" i="12" s="1"/>
  <c r="K801" i="12"/>
  <c r="L801" i="12" s="1"/>
  <c r="K765" i="12"/>
  <c r="L765" i="12" s="1"/>
  <c r="K1773" i="12"/>
  <c r="L1773" i="12" s="1"/>
  <c r="K1665" i="12"/>
  <c r="L1665" i="12" s="1"/>
  <c r="K1198" i="12"/>
  <c r="L1198" i="12" s="1"/>
  <c r="K1234" i="12"/>
  <c r="L1234" i="12" s="1"/>
  <c r="K1090" i="12"/>
  <c r="L1090" i="12" s="1"/>
  <c r="K1342" i="12"/>
  <c r="L1342" i="12" s="1"/>
  <c r="K1378" i="12"/>
  <c r="L1378" i="12" s="1"/>
  <c r="K838" i="12"/>
  <c r="L838" i="12" s="1"/>
  <c r="K46" i="12"/>
  <c r="L46" i="12" s="1"/>
  <c r="K1486" i="12"/>
  <c r="L1486" i="12" s="1"/>
  <c r="K1594" i="12"/>
  <c r="L1594" i="12" s="1"/>
  <c r="K730" i="12"/>
  <c r="L730" i="12" s="1"/>
  <c r="K1306" i="12"/>
  <c r="L1306" i="12" s="1"/>
  <c r="K1018" i="12"/>
  <c r="L1018" i="12" s="1"/>
  <c r="K982" i="12"/>
  <c r="L982" i="12" s="1"/>
  <c r="K1054" i="12"/>
  <c r="L1054" i="12" s="1"/>
  <c r="K1630" i="12"/>
  <c r="L1630" i="12" s="1"/>
  <c r="K946" i="12"/>
  <c r="L946" i="12" s="1"/>
  <c r="K694" i="12"/>
  <c r="L694" i="12" s="1"/>
  <c r="K1162" i="12"/>
  <c r="L1162" i="12" s="1"/>
  <c r="K1738" i="12"/>
  <c r="L1738" i="12" s="1"/>
  <c r="K1558" i="12"/>
  <c r="L1558" i="12" s="1"/>
  <c r="K1702" i="12"/>
  <c r="L1702" i="12" s="1"/>
  <c r="K910" i="12"/>
  <c r="L910" i="12" s="1"/>
  <c r="K874" i="12"/>
  <c r="L874" i="12" s="1"/>
  <c r="K1414" i="12"/>
  <c r="L1414" i="12" s="1"/>
  <c r="K1126" i="12"/>
  <c r="L1126" i="12" s="1"/>
  <c r="K658" i="12"/>
  <c r="L658" i="12" s="1"/>
  <c r="K1450" i="12"/>
  <c r="L1450" i="12" s="1"/>
  <c r="K1270" i="12"/>
  <c r="L1270" i="12" s="1"/>
  <c r="K1522" i="12"/>
  <c r="L1522" i="12" s="1"/>
  <c r="K802" i="12"/>
  <c r="L802" i="12" s="1"/>
  <c r="K766" i="12"/>
  <c r="L766" i="12" s="1"/>
  <c r="K1774" i="12"/>
  <c r="L1774" i="12" s="1"/>
  <c r="K1666" i="12"/>
  <c r="L1666" i="12" s="1"/>
  <c r="K1199" i="12"/>
  <c r="L1199" i="12" s="1"/>
  <c r="K1235" i="12"/>
  <c r="L1235" i="12" s="1"/>
  <c r="K1091" i="12"/>
  <c r="L1091" i="12" s="1"/>
  <c r="K1343" i="12"/>
  <c r="L1343" i="12" s="1"/>
  <c r="K1379" i="12"/>
  <c r="L1379" i="12" s="1"/>
  <c r="K839" i="12"/>
  <c r="L839" i="12" s="1"/>
  <c r="K47" i="12"/>
  <c r="L47" i="12" s="1"/>
  <c r="K1487" i="12"/>
  <c r="L1487" i="12" s="1"/>
  <c r="K1595" i="12"/>
  <c r="L1595" i="12" s="1"/>
  <c r="K731" i="12"/>
  <c r="L731" i="12" s="1"/>
  <c r="K1307" i="12"/>
  <c r="L1307" i="12" s="1"/>
  <c r="K1019" i="12"/>
  <c r="L1019" i="12" s="1"/>
  <c r="K983" i="12"/>
  <c r="L983" i="12" s="1"/>
  <c r="K1055" i="12"/>
  <c r="L1055" i="12" s="1"/>
  <c r="K1631" i="12"/>
  <c r="L1631" i="12" s="1"/>
  <c r="K947" i="12"/>
  <c r="L947" i="12" s="1"/>
  <c r="K695" i="12"/>
  <c r="L695" i="12" s="1"/>
  <c r="K1163" i="12"/>
  <c r="L1163" i="12" s="1"/>
  <c r="K1739" i="12"/>
  <c r="L1739" i="12" s="1"/>
  <c r="K1559" i="12"/>
  <c r="L1559" i="12" s="1"/>
  <c r="K1703" i="12"/>
  <c r="L1703" i="12" s="1"/>
  <c r="K911" i="12"/>
  <c r="L911" i="12" s="1"/>
  <c r="K875" i="12"/>
  <c r="L875" i="12" s="1"/>
  <c r="K1415" i="12"/>
  <c r="L1415" i="12" s="1"/>
  <c r="K1127" i="12"/>
  <c r="L1127" i="12" s="1"/>
  <c r="K659" i="12"/>
  <c r="L659" i="12" s="1"/>
  <c r="K1451" i="12"/>
  <c r="L1451" i="12" s="1"/>
  <c r="K1271" i="12"/>
  <c r="L1271" i="12" s="1"/>
  <c r="K1523" i="12"/>
  <c r="L1523" i="12" s="1"/>
  <c r="K803" i="12"/>
  <c r="L803" i="12" s="1"/>
  <c r="K767" i="12"/>
  <c r="L767" i="12" s="1"/>
  <c r="K1775" i="12"/>
  <c r="L1775" i="12" s="1"/>
  <c r="K1667" i="12"/>
  <c r="L1667" i="12" s="1"/>
  <c r="K1200" i="12"/>
  <c r="L1200" i="12" s="1"/>
  <c r="K1236" i="12"/>
  <c r="L1236" i="12" s="1"/>
  <c r="K1092" i="12"/>
  <c r="L1092" i="12" s="1"/>
  <c r="K1344" i="12"/>
  <c r="L1344" i="12" s="1"/>
  <c r="K1380" i="12"/>
  <c r="L1380" i="12" s="1"/>
  <c r="K840" i="12"/>
  <c r="L840" i="12" s="1"/>
  <c r="K48" i="12"/>
  <c r="L48" i="12" s="1"/>
  <c r="K1488" i="12"/>
  <c r="L1488" i="12" s="1"/>
  <c r="K1596" i="12"/>
  <c r="L1596" i="12" s="1"/>
  <c r="K732" i="12"/>
  <c r="L732" i="12" s="1"/>
  <c r="K1308" i="12"/>
  <c r="L1308" i="12" s="1"/>
  <c r="K1020" i="12"/>
  <c r="L1020" i="12" s="1"/>
  <c r="K984" i="12"/>
  <c r="L984" i="12" s="1"/>
  <c r="K1056" i="12"/>
  <c r="L1056" i="12" s="1"/>
  <c r="K1632" i="12"/>
  <c r="L1632" i="12" s="1"/>
  <c r="K948" i="12"/>
  <c r="L948" i="12" s="1"/>
  <c r="K696" i="12"/>
  <c r="L696" i="12" s="1"/>
  <c r="K1164" i="12"/>
  <c r="L1164" i="12" s="1"/>
  <c r="K1740" i="12"/>
  <c r="L1740" i="12" s="1"/>
  <c r="K1560" i="12"/>
  <c r="L1560" i="12" s="1"/>
  <c r="K1704" i="12"/>
  <c r="L1704" i="12" s="1"/>
  <c r="K912" i="12"/>
  <c r="L912" i="12" s="1"/>
  <c r="K876" i="12"/>
  <c r="L876" i="12" s="1"/>
  <c r="K1416" i="12"/>
  <c r="L1416" i="12" s="1"/>
  <c r="K1128" i="12"/>
  <c r="L1128" i="12" s="1"/>
  <c r="K660" i="12"/>
  <c r="L660" i="12" s="1"/>
  <c r="K1452" i="12"/>
  <c r="L1452" i="12" s="1"/>
  <c r="K1272" i="12"/>
  <c r="L1272" i="12" s="1"/>
  <c r="K1524" i="12"/>
  <c r="L1524" i="12" s="1"/>
  <c r="K804" i="12"/>
  <c r="L804" i="12" s="1"/>
  <c r="K768" i="12"/>
  <c r="L768" i="12" s="1"/>
  <c r="K1776" i="12"/>
  <c r="L1776" i="12" s="1"/>
  <c r="K1668" i="12"/>
  <c r="L1668" i="12" s="1"/>
  <c r="K1201" i="12"/>
  <c r="L1201" i="12" s="1"/>
  <c r="K1237" i="12"/>
  <c r="L1237" i="12" s="1"/>
  <c r="K1093" i="12"/>
  <c r="L1093" i="12" s="1"/>
  <c r="K1345" i="12"/>
  <c r="L1345" i="12" s="1"/>
  <c r="K1381" i="12"/>
  <c r="L1381" i="12" s="1"/>
  <c r="K841" i="12"/>
  <c r="L841" i="12" s="1"/>
  <c r="K49" i="12"/>
  <c r="L49" i="12" s="1"/>
  <c r="K1489" i="12"/>
  <c r="L1489" i="12" s="1"/>
  <c r="K1597" i="12"/>
  <c r="L1597" i="12" s="1"/>
  <c r="K733" i="12"/>
  <c r="L733" i="12" s="1"/>
  <c r="K1309" i="12"/>
  <c r="L1309" i="12" s="1"/>
  <c r="K1021" i="12"/>
  <c r="L1021" i="12" s="1"/>
  <c r="K985" i="12"/>
  <c r="L985" i="12" s="1"/>
  <c r="K1057" i="12"/>
  <c r="L1057" i="12" s="1"/>
  <c r="K1633" i="12"/>
  <c r="L1633" i="12" s="1"/>
  <c r="K949" i="12"/>
  <c r="L949" i="12" s="1"/>
  <c r="K697" i="12"/>
  <c r="L697" i="12" s="1"/>
  <c r="K1165" i="12"/>
  <c r="L1165" i="12" s="1"/>
  <c r="K1741" i="12"/>
  <c r="L1741" i="12" s="1"/>
  <c r="K1561" i="12"/>
  <c r="L1561" i="12" s="1"/>
  <c r="K1705" i="12"/>
  <c r="L1705" i="12" s="1"/>
  <c r="K913" i="12"/>
  <c r="L913" i="12" s="1"/>
  <c r="K877" i="12"/>
  <c r="L877" i="12" s="1"/>
  <c r="K1417" i="12"/>
  <c r="L1417" i="12" s="1"/>
  <c r="K1129" i="12"/>
  <c r="L1129" i="12" s="1"/>
  <c r="K661" i="12"/>
  <c r="L661" i="12" s="1"/>
  <c r="K1453" i="12"/>
  <c r="L1453" i="12" s="1"/>
  <c r="K1273" i="12"/>
  <c r="L1273" i="12" s="1"/>
  <c r="K1525" i="12"/>
  <c r="L1525" i="12" s="1"/>
  <c r="K805" i="12"/>
  <c r="L805" i="12" s="1"/>
  <c r="K769" i="12"/>
  <c r="L769" i="12" s="1"/>
  <c r="K1777" i="12"/>
  <c r="L1777" i="12" s="1"/>
  <c r="K1669" i="12"/>
  <c r="L1669" i="12" s="1"/>
  <c r="K1202" i="12"/>
  <c r="L1202" i="12" s="1"/>
  <c r="K1238" i="12"/>
  <c r="L1238" i="12" s="1"/>
  <c r="K1094" i="12"/>
  <c r="L1094" i="12" s="1"/>
  <c r="K1346" i="12"/>
  <c r="L1346" i="12" s="1"/>
  <c r="K1382" i="12"/>
  <c r="L1382" i="12" s="1"/>
  <c r="K842" i="12"/>
  <c r="L842" i="12" s="1"/>
  <c r="K50" i="12"/>
  <c r="L50" i="12" s="1"/>
  <c r="K1490" i="12"/>
  <c r="L1490" i="12" s="1"/>
  <c r="K1598" i="12"/>
  <c r="L1598" i="12" s="1"/>
  <c r="K734" i="12"/>
  <c r="L734" i="12" s="1"/>
  <c r="K1310" i="12"/>
  <c r="L1310" i="12" s="1"/>
  <c r="K1022" i="12"/>
  <c r="L1022" i="12" s="1"/>
  <c r="K986" i="12"/>
  <c r="L986" i="12" s="1"/>
  <c r="K1058" i="12"/>
  <c r="L1058" i="12" s="1"/>
  <c r="K1634" i="12"/>
  <c r="L1634" i="12" s="1"/>
  <c r="K950" i="12"/>
  <c r="L950" i="12" s="1"/>
  <c r="K698" i="12"/>
  <c r="L698" i="12" s="1"/>
  <c r="K1166" i="12"/>
  <c r="L1166" i="12" s="1"/>
  <c r="K1742" i="12"/>
  <c r="L1742" i="12" s="1"/>
  <c r="K1562" i="12"/>
  <c r="L1562" i="12" s="1"/>
  <c r="K1706" i="12"/>
  <c r="L1706" i="12" s="1"/>
  <c r="K914" i="12"/>
  <c r="L914" i="12" s="1"/>
  <c r="K878" i="12"/>
  <c r="L878" i="12" s="1"/>
  <c r="K1418" i="12"/>
  <c r="L1418" i="12" s="1"/>
  <c r="K1130" i="12"/>
  <c r="L1130" i="12" s="1"/>
  <c r="K662" i="12"/>
  <c r="L662" i="12" s="1"/>
  <c r="K1454" i="12"/>
  <c r="L1454" i="12" s="1"/>
  <c r="K1274" i="12"/>
  <c r="L1274" i="12" s="1"/>
  <c r="K1526" i="12"/>
  <c r="L1526" i="12" s="1"/>
  <c r="K806" i="12"/>
  <c r="L806" i="12" s="1"/>
  <c r="K770" i="12"/>
  <c r="L770" i="12" s="1"/>
  <c r="K1778" i="12"/>
  <c r="L1778" i="12" s="1"/>
  <c r="K1670" i="12"/>
  <c r="L1670" i="12" s="1"/>
  <c r="K1203" i="12"/>
  <c r="L1203" i="12" s="1"/>
  <c r="K1239" i="12"/>
  <c r="L1239" i="12" s="1"/>
  <c r="K1095" i="12"/>
  <c r="L1095" i="12" s="1"/>
  <c r="K1347" i="12"/>
  <c r="L1347" i="12" s="1"/>
  <c r="K1383" i="12"/>
  <c r="L1383" i="12" s="1"/>
  <c r="K843" i="12"/>
  <c r="L843" i="12" s="1"/>
  <c r="K51" i="12"/>
  <c r="L51" i="12" s="1"/>
  <c r="K1491" i="12"/>
  <c r="L1491" i="12" s="1"/>
  <c r="K1599" i="12"/>
  <c r="L1599" i="12" s="1"/>
  <c r="K735" i="12"/>
  <c r="L735" i="12" s="1"/>
  <c r="K1311" i="12"/>
  <c r="L1311" i="12" s="1"/>
  <c r="K1023" i="12"/>
  <c r="L1023" i="12" s="1"/>
  <c r="K987" i="12"/>
  <c r="L987" i="12" s="1"/>
  <c r="K1059" i="12"/>
  <c r="L1059" i="12" s="1"/>
  <c r="K1635" i="12"/>
  <c r="L1635" i="12" s="1"/>
  <c r="K951" i="12"/>
  <c r="L951" i="12" s="1"/>
  <c r="K699" i="12"/>
  <c r="L699" i="12" s="1"/>
  <c r="K1167" i="12"/>
  <c r="L1167" i="12" s="1"/>
  <c r="K1743" i="12"/>
  <c r="L1743" i="12" s="1"/>
  <c r="K1563" i="12"/>
  <c r="L1563" i="12" s="1"/>
  <c r="K1707" i="12"/>
  <c r="L1707" i="12" s="1"/>
  <c r="K915" i="12"/>
  <c r="L915" i="12" s="1"/>
  <c r="K879" i="12"/>
  <c r="L879" i="12" s="1"/>
  <c r="K1419" i="12"/>
  <c r="L1419" i="12" s="1"/>
  <c r="K1131" i="12"/>
  <c r="L1131" i="12" s="1"/>
  <c r="K663" i="12"/>
  <c r="L663" i="12" s="1"/>
  <c r="K1455" i="12"/>
  <c r="L1455" i="12" s="1"/>
  <c r="K1275" i="12"/>
  <c r="L1275" i="12" s="1"/>
  <c r="K1527" i="12"/>
  <c r="L1527" i="12" s="1"/>
  <c r="K807" i="12"/>
  <c r="L807" i="12" s="1"/>
  <c r="K771" i="12"/>
  <c r="L771" i="12" s="1"/>
  <c r="K1779" i="12"/>
  <c r="L1779" i="12" s="1"/>
  <c r="K1671" i="12"/>
  <c r="L1671" i="12" s="1"/>
  <c r="K1204" i="12"/>
  <c r="L1204" i="12" s="1"/>
  <c r="K1240" i="12"/>
  <c r="L1240" i="12" s="1"/>
  <c r="K1096" i="12"/>
  <c r="L1096" i="12" s="1"/>
  <c r="K1348" i="12"/>
  <c r="L1348" i="12" s="1"/>
  <c r="K1384" i="12"/>
  <c r="L1384" i="12" s="1"/>
  <c r="K844" i="12"/>
  <c r="L844" i="12" s="1"/>
  <c r="K52" i="12"/>
  <c r="L52" i="12" s="1"/>
  <c r="K1492" i="12"/>
  <c r="L1492" i="12" s="1"/>
  <c r="K1600" i="12"/>
  <c r="L1600" i="12" s="1"/>
  <c r="K736" i="12"/>
  <c r="L736" i="12" s="1"/>
  <c r="K1312" i="12"/>
  <c r="L1312" i="12" s="1"/>
  <c r="K1024" i="12"/>
  <c r="L1024" i="12" s="1"/>
  <c r="K988" i="12"/>
  <c r="L988" i="12" s="1"/>
  <c r="K1060" i="12"/>
  <c r="L1060" i="12" s="1"/>
  <c r="K1636" i="12"/>
  <c r="L1636" i="12" s="1"/>
  <c r="K952" i="12"/>
  <c r="L952" i="12" s="1"/>
  <c r="K700" i="12"/>
  <c r="L700" i="12" s="1"/>
  <c r="K1168" i="12"/>
  <c r="L1168" i="12" s="1"/>
  <c r="K1744" i="12"/>
  <c r="L1744" i="12" s="1"/>
  <c r="K1564" i="12"/>
  <c r="L1564" i="12" s="1"/>
  <c r="K1708" i="12"/>
  <c r="L1708" i="12" s="1"/>
  <c r="K916" i="12"/>
  <c r="L916" i="12" s="1"/>
  <c r="K880" i="12"/>
  <c r="L880" i="12" s="1"/>
  <c r="K1420" i="12"/>
  <c r="L1420" i="12" s="1"/>
  <c r="K1132" i="12"/>
  <c r="L1132" i="12" s="1"/>
  <c r="K664" i="12"/>
  <c r="L664" i="12" s="1"/>
  <c r="K1456" i="12"/>
  <c r="L1456" i="12" s="1"/>
  <c r="K1276" i="12"/>
  <c r="L1276" i="12" s="1"/>
  <c r="K1528" i="12"/>
  <c r="L1528" i="12" s="1"/>
  <c r="K808" i="12"/>
  <c r="L808" i="12" s="1"/>
  <c r="K772" i="12"/>
  <c r="L772" i="12" s="1"/>
  <c r="K1780" i="12"/>
  <c r="L1780" i="12" s="1"/>
  <c r="K1672" i="12"/>
  <c r="L1672" i="12" s="1"/>
  <c r="K1205" i="12"/>
  <c r="L1205" i="12" s="1"/>
  <c r="K1241" i="12"/>
  <c r="L1241" i="12" s="1"/>
  <c r="K1097" i="12"/>
  <c r="L1097" i="12" s="1"/>
  <c r="K1349" i="12"/>
  <c r="L1349" i="12" s="1"/>
  <c r="K1385" i="12"/>
  <c r="L1385" i="12" s="1"/>
  <c r="K845" i="12"/>
  <c r="L845" i="12" s="1"/>
  <c r="K53" i="12"/>
  <c r="L53" i="12" s="1"/>
  <c r="K1493" i="12"/>
  <c r="L1493" i="12" s="1"/>
  <c r="K1601" i="12"/>
  <c r="L1601" i="12" s="1"/>
  <c r="K737" i="12"/>
  <c r="L737" i="12" s="1"/>
  <c r="K1313" i="12"/>
  <c r="L1313" i="12" s="1"/>
  <c r="K1025" i="12"/>
  <c r="L1025" i="12" s="1"/>
  <c r="K989" i="12"/>
  <c r="L989" i="12" s="1"/>
  <c r="K1061" i="12"/>
  <c r="L1061" i="12" s="1"/>
  <c r="K1637" i="12"/>
  <c r="L1637" i="12" s="1"/>
  <c r="K953" i="12"/>
  <c r="L953" i="12" s="1"/>
  <c r="K701" i="12"/>
  <c r="L701" i="12" s="1"/>
  <c r="K1169" i="12"/>
  <c r="L1169" i="12" s="1"/>
  <c r="K1745" i="12"/>
  <c r="L1745" i="12" s="1"/>
  <c r="K1565" i="12"/>
  <c r="L1565" i="12" s="1"/>
  <c r="K1709" i="12"/>
  <c r="L1709" i="12" s="1"/>
  <c r="K917" i="12"/>
  <c r="L917" i="12" s="1"/>
  <c r="K881" i="12"/>
  <c r="L881" i="12" s="1"/>
  <c r="K1421" i="12"/>
  <c r="L1421" i="12" s="1"/>
  <c r="K1133" i="12"/>
  <c r="L1133" i="12" s="1"/>
  <c r="K665" i="12"/>
  <c r="L665" i="12" s="1"/>
  <c r="K1457" i="12"/>
  <c r="L1457" i="12" s="1"/>
  <c r="K1277" i="12"/>
  <c r="L1277" i="12" s="1"/>
  <c r="K1529" i="12"/>
  <c r="L1529" i="12" s="1"/>
  <c r="K809" i="12"/>
  <c r="L809" i="12" s="1"/>
  <c r="K773" i="12"/>
  <c r="L773" i="12" s="1"/>
  <c r="K1781" i="12"/>
  <c r="L1781" i="12" s="1"/>
  <c r="K1673" i="12"/>
  <c r="L1673" i="12" s="1"/>
  <c r="K1206" i="12"/>
  <c r="L1206" i="12" s="1"/>
  <c r="K1242" i="12"/>
  <c r="L1242" i="12" s="1"/>
  <c r="K1098" i="12"/>
  <c r="L1098" i="12" s="1"/>
  <c r="K1350" i="12"/>
  <c r="L1350" i="12" s="1"/>
  <c r="K1386" i="12"/>
  <c r="L1386" i="12" s="1"/>
  <c r="K846" i="12"/>
  <c r="L846" i="12" s="1"/>
  <c r="K54" i="12"/>
  <c r="L54" i="12" s="1"/>
  <c r="K1494" i="12"/>
  <c r="L1494" i="12" s="1"/>
  <c r="K1602" i="12"/>
  <c r="L1602" i="12" s="1"/>
  <c r="K738" i="12"/>
  <c r="L738" i="12" s="1"/>
  <c r="K1314" i="12"/>
  <c r="L1314" i="12" s="1"/>
  <c r="K1026" i="12"/>
  <c r="L1026" i="12" s="1"/>
  <c r="K990" i="12"/>
  <c r="L990" i="12" s="1"/>
  <c r="K1062" i="12"/>
  <c r="L1062" i="12" s="1"/>
  <c r="K1638" i="12"/>
  <c r="L1638" i="12" s="1"/>
  <c r="K954" i="12"/>
  <c r="L954" i="12" s="1"/>
  <c r="K702" i="12"/>
  <c r="L702" i="12" s="1"/>
  <c r="K1170" i="12"/>
  <c r="L1170" i="12" s="1"/>
  <c r="K1746" i="12"/>
  <c r="L1746" i="12" s="1"/>
  <c r="K1566" i="12"/>
  <c r="L1566" i="12" s="1"/>
  <c r="K1710" i="12"/>
  <c r="L1710" i="12" s="1"/>
  <c r="K918" i="12"/>
  <c r="L918" i="12" s="1"/>
  <c r="K882" i="12"/>
  <c r="L882" i="12" s="1"/>
  <c r="K1422" i="12"/>
  <c r="L1422" i="12" s="1"/>
  <c r="K1134" i="12"/>
  <c r="L1134" i="12" s="1"/>
  <c r="K666" i="12"/>
  <c r="L666" i="12" s="1"/>
  <c r="K1458" i="12"/>
  <c r="L1458" i="12" s="1"/>
  <c r="K1278" i="12"/>
  <c r="L1278" i="12" s="1"/>
  <c r="K1530" i="12"/>
  <c r="L1530" i="12" s="1"/>
  <c r="K810" i="12"/>
  <c r="L810" i="12" s="1"/>
  <c r="K774" i="12"/>
  <c r="L774" i="12" s="1"/>
  <c r="K1782" i="12"/>
  <c r="L1782" i="12" s="1"/>
  <c r="K1674" i="12"/>
  <c r="L1674" i="12" s="1"/>
  <c r="K1207" i="12"/>
  <c r="L1207" i="12" s="1"/>
  <c r="K1243" i="12"/>
  <c r="L1243" i="12" s="1"/>
  <c r="K1099" i="12"/>
  <c r="L1099" i="12" s="1"/>
  <c r="K1351" i="12"/>
  <c r="L1351" i="12" s="1"/>
  <c r="K1387" i="12"/>
  <c r="L1387" i="12" s="1"/>
  <c r="K847" i="12"/>
  <c r="L847" i="12" s="1"/>
  <c r="K55" i="12"/>
  <c r="L55" i="12" s="1"/>
  <c r="K1495" i="12"/>
  <c r="L1495" i="12" s="1"/>
  <c r="K1603" i="12"/>
  <c r="L1603" i="12" s="1"/>
  <c r="K739" i="12"/>
  <c r="L739" i="12" s="1"/>
  <c r="K1315" i="12"/>
  <c r="L1315" i="12" s="1"/>
  <c r="K1027" i="12"/>
  <c r="L1027" i="12" s="1"/>
  <c r="K991" i="12"/>
  <c r="L991" i="12" s="1"/>
  <c r="K1063" i="12"/>
  <c r="L1063" i="12" s="1"/>
  <c r="K1639" i="12"/>
  <c r="L1639" i="12" s="1"/>
  <c r="K955" i="12"/>
  <c r="L955" i="12" s="1"/>
  <c r="K703" i="12"/>
  <c r="L703" i="12" s="1"/>
  <c r="K1171" i="12"/>
  <c r="L1171" i="12" s="1"/>
  <c r="K1747" i="12"/>
  <c r="L1747" i="12" s="1"/>
  <c r="K1567" i="12"/>
  <c r="L1567" i="12" s="1"/>
  <c r="K1711" i="12"/>
  <c r="L1711" i="12" s="1"/>
  <c r="K919" i="12"/>
  <c r="L919" i="12" s="1"/>
  <c r="K883" i="12"/>
  <c r="L883" i="12" s="1"/>
  <c r="K1423" i="12"/>
  <c r="L1423" i="12" s="1"/>
  <c r="K1135" i="12"/>
  <c r="L1135" i="12" s="1"/>
  <c r="K667" i="12"/>
  <c r="L667" i="12" s="1"/>
  <c r="K1459" i="12"/>
  <c r="L1459" i="12" s="1"/>
  <c r="K1279" i="12"/>
  <c r="L1279" i="12" s="1"/>
  <c r="K1531" i="12"/>
  <c r="L1531" i="12" s="1"/>
  <c r="K811" i="12"/>
  <c r="L811" i="12" s="1"/>
  <c r="K775" i="12"/>
  <c r="L775" i="12" s="1"/>
  <c r="K1783" i="12"/>
  <c r="L1783" i="12" s="1"/>
  <c r="K1675" i="12"/>
  <c r="L1675" i="12" s="1"/>
  <c r="K1208" i="12"/>
  <c r="L1208" i="12" s="1"/>
  <c r="K1244" i="12"/>
  <c r="L1244" i="12" s="1"/>
  <c r="K1100" i="12"/>
  <c r="L1100" i="12" s="1"/>
  <c r="K1352" i="12"/>
  <c r="L1352" i="12" s="1"/>
  <c r="K1388" i="12"/>
  <c r="L1388" i="12" s="1"/>
  <c r="K848" i="12"/>
  <c r="L848" i="12" s="1"/>
  <c r="K56" i="12"/>
  <c r="L56" i="12" s="1"/>
  <c r="K1496" i="12"/>
  <c r="L1496" i="12" s="1"/>
  <c r="K1604" i="12"/>
  <c r="L1604" i="12" s="1"/>
  <c r="K740" i="12"/>
  <c r="L740" i="12" s="1"/>
  <c r="K1316" i="12"/>
  <c r="L1316" i="12" s="1"/>
  <c r="K1028" i="12"/>
  <c r="L1028" i="12" s="1"/>
  <c r="K992" i="12"/>
  <c r="L992" i="12" s="1"/>
  <c r="K1064" i="12"/>
  <c r="L1064" i="12" s="1"/>
  <c r="K1640" i="12"/>
  <c r="L1640" i="12" s="1"/>
  <c r="K956" i="12"/>
  <c r="L956" i="12" s="1"/>
  <c r="K704" i="12"/>
  <c r="L704" i="12" s="1"/>
  <c r="K1172" i="12"/>
  <c r="L1172" i="12" s="1"/>
  <c r="K1748" i="12"/>
  <c r="L1748" i="12" s="1"/>
  <c r="K1568" i="12"/>
  <c r="L1568" i="12" s="1"/>
  <c r="K1712" i="12"/>
  <c r="L1712" i="12" s="1"/>
  <c r="K920" i="12"/>
  <c r="L920" i="12" s="1"/>
  <c r="K884" i="12"/>
  <c r="L884" i="12" s="1"/>
  <c r="K1424" i="12"/>
  <c r="L1424" i="12" s="1"/>
  <c r="K1136" i="12"/>
  <c r="L1136" i="12" s="1"/>
  <c r="K668" i="12"/>
  <c r="L668" i="12" s="1"/>
  <c r="K1460" i="12"/>
  <c r="L1460" i="12" s="1"/>
  <c r="K1280" i="12"/>
  <c r="L1280" i="12" s="1"/>
  <c r="K1532" i="12"/>
  <c r="L1532" i="12" s="1"/>
  <c r="K812" i="12"/>
  <c r="L812" i="12" s="1"/>
  <c r="K776" i="12"/>
  <c r="L776" i="12" s="1"/>
  <c r="K1784" i="12"/>
  <c r="L1784" i="12" s="1"/>
  <c r="K1676" i="12"/>
  <c r="L1676" i="12" s="1"/>
  <c r="K1209" i="12"/>
  <c r="L1209" i="12" s="1"/>
  <c r="K1245" i="12"/>
  <c r="L1245" i="12" s="1"/>
  <c r="K1101" i="12"/>
  <c r="L1101" i="12" s="1"/>
  <c r="K1353" i="12"/>
  <c r="L1353" i="12" s="1"/>
  <c r="K1389" i="12"/>
  <c r="L1389" i="12" s="1"/>
  <c r="K849" i="12"/>
  <c r="L849" i="12" s="1"/>
  <c r="K57" i="12"/>
  <c r="L57" i="12" s="1"/>
  <c r="K1497" i="12"/>
  <c r="L1497" i="12" s="1"/>
  <c r="K1605" i="12"/>
  <c r="L1605" i="12" s="1"/>
  <c r="K741" i="12"/>
  <c r="L741" i="12" s="1"/>
  <c r="K1317" i="12"/>
  <c r="L1317" i="12" s="1"/>
  <c r="K1029" i="12"/>
  <c r="L1029" i="12" s="1"/>
  <c r="K993" i="12"/>
  <c r="L993" i="12" s="1"/>
  <c r="K1065" i="12"/>
  <c r="L1065" i="12" s="1"/>
  <c r="K1641" i="12"/>
  <c r="L1641" i="12" s="1"/>
  <c r="K957" i="12"/>
  <c r="L957" i="12" s="1"/>
  <c r="K705" i="12"/>
  <c r="L705" i="12" s="1"/>
  <c r="K1173" i="12"/>
  <c r="L1173" i="12" s="1"/>
  <c r="K1749" i="12"/>
  <c r="L1749" i="12" s="1"/>
  <c r="K1569" i="12"/>
  <c r="L1569" i="12" s="1"/>
  <c r="K1713" i="12"/>
  <c r="L1713" i="12" s="1"/>
  <c r="K921" i="12"/>
  <c r="L921" i="12" s="1"/>
  <c r="K885" i="12"/>
  <c r="L885" i="12" s="1"/>
  <c r="K1425" i="12"/>
  <c r="L1425" i="12" s="1"/>
  <c r="K1137" i="12"/>
  <c r="L1137" i="12" s="1"/>
  <c r="K669" i="12"/>
  <c r="L669" i="12" s="1"/>
  <c r="K1461" i="12"/>
  <c r="L1461" i="12" s="1"/>
  <c r="K1281" i="12"/>
  <c r="L1281" i="12" s="1"/>
  <c r="K1533" i="12"/>
  <c r="L1533" i="12" s="1"/>
  <c r="K813" i="12"/>
  <c r="L813" i="12" s="1"/>
  <c r="K777" i="12"/>
  <c r="L777" i="12" s="1"/>
  <c r="K1785" i="12"/>
  <c r="L1785" i="12" s="1"/>
  <c r="K1677" i="12"/>
  <c r="L1677" i="12" s="1"/>
  <c r="K1210" i="12"/>
  <c r="L1210" i="12" s="1"/>
  <c r="K1246" i="12"/>
  <c r="L1246" i="12" s="1"/>
  <c r="K1102" i="12"/>
  <c r="L1102" i="12" s="1"/>
  <c r="K1354" i="12"/>
  <c r="L1354" i="12" s="1"/>
  <c r="K1390" i="12"/>
  <c r="L1390" i="12" s="1"/>
  <c r="K850" i="12"/>
  <c r="L850" i="12" s="1"/>
  <c r="K58" i="12"/>
  <c r="L58" i="12" s="1"/>
  <c r="K1498" i="12"/>
  <c r="L1498" i="12" s="1"/>
  <c r="K1606" i="12"/>
  <c r="L1606" i="12" s="1"/>
  <c r="K742" i="12"/>
  <c r="L742" i="12" s="1"/>
  <c r="K1318" i="12"/>
  <c r="L1318" i="12" s="1"/>
  <c r="K1030" i="12"/>
  <c r="L1030" i="12" s="1"/>
  <c r="K994" i="12"/>
  <c r="L994" i="12" s="1"/>
  <c r="K1066" i="12"/>
  <c r="L1066" i="12" s="1"/>
  <c r="K1642" i="12"/>
  <c r="L1642" i="12" s="1"/>
  <c r="K958" i="12"/>
  <c r="L958" i="12" s="1"/>
  <c r="K706" i="12"/>
  <c r="L706" i="12" s="1"/>
  <c r="K1174" i="12"/>
  <c r="L1174" i="12" s="1"/>
  <c r="K1750" i="12"/>
  <c r="L1750" i="12" s="1"/>
  <c r="K1570" i="12"/>
  <c r="L1570" i="12" s="1"/>
  <c r="K1714" i="12"/>
  <c r="L1714" i="12" s="1"/>
  <c r="K922" i="12"/>
  <c r="L922" i="12" s="1"/>
  <c r="K886" i="12"/>
  <c r="L886" i="12" s="1"/>
  <c r="K1426" i="12"/>
  <c r="L1426" i="12" s="1"/>
  <c r="K1138" i="12"/>
  <c r="L1138" i="12" s="1"/>
  <c r="K670" i="12"/>
  <c r="L670" i="12" s="1"/>
  <c r="K1462" i="12"/>
  <c r="L1462" i="12" s="1"/>
  <c r="K1282" i="12"/>
  <c r="L1282" i="12" s="1"/>
  <c r="K1534" i="12"/>
  <c r="L1534" i="12" s="1"/>
  <c r="K814" i="12"/>
  <c r="L814" i="12" s="1"/>
  <c r="K778" i="12"/>
  <c r="L778" i="12" s="1"/>
  <c r="K1786" i="12"/>
  <c r="L1786" i="12" s="1"/>
  <c r="K1678" i="12"/>
  <c r="L1678" i="12" s="1"/>
  <c r="K1211" i="12"/>
  <c r="L1211" i="12" s="1"/>
  <c r="K1247" i="12"/>
  <c r="L1247" i="12" s="1"/>
  <c r="K1103" i="12"/>
  <c r="L1103" i="12" s="1"/>
  <c r="K1355" i="12"/>
  <c r="L1355" i="12" s="1"/>
  <c r="K1391" i="12"/>
  <c r="L1391" i="12" s="1"/>
  <c r="K851" i="12"/>
  <c r="L851" i="12" s="1"/>
  <c r="K59" i="12"/>
  <c r="L59" i="12" s="1"/>
  <c r="K1499" i="12"/>
  <c r="L1499" i="12" s="1"/>
  <c r="K1607" i="12"/>
  <c r="L1607" i="12" s="1"/>
  <c r="K743" i="12"/>
  <c r="L743" i="12" s="1"/>
  <c r="K1319" i="12"/>
  <c r="L1319" i="12" s="1"/>
  <c r="K1031" i="12"/>
  <c r="L1031" i="12" s="1"/>
  <c r="K995" i="12"/>
  <c r="L995" i="12" s="1"/>
  <c r="K1067" i="12"/>
  <c r="L1067" i="12" s="1"/>
  <c r="K1643" i="12"/>
  <c r="L1643" i="12" s="1"/>
  <c r="K959" i="12"/>
  <c r="L959" i="12" s="1"/>
  <c r="K707" i="12"/>
  <c r="L707" i="12" s="1"/>
  <c r="K1175" i="12"/>
  <c r="L1175" i="12" s="1"/>
  <c r="K1751" i="12"/>
  <c r="L1751" i="12" s="1"/>
  <c r="K1571" i="12"/>
  <c r="L1571" i="12" s="1"/>
  <c r="K1715" i="12"/>
  <c r="L1715" i="12" s="1"/>
  <c r="K923" i="12"/>
  <c r="L923" i="12" s="1"/>
  <c r="K887" i="12"/>
  <c r="L887" i="12" s="1"/>
  <c r="K1427" i="12"/>
  <c r="L1427" i="12" s="1"/>
  <c r="K1139" i="12"/>
  <c r="L1139" i="12" s="1"/>
  <c r="K671" i="12"/>
  <c r="L671" i="12" s="1"/>
  <c r="K1463" i="12"/>
  <c r="L1463" i="12" s="1"/>
  <c r="K1283" i="12"/>
  <c r="L1283" i="12" s="1"/>
  <c r="K1535" i="12"/>
  <c r="L1535" i="12" s="1"/>
  <c r="K815" i="12"/>
  <c r="L815" i="12" s="1"/>
  <c r="K779" i="12"/>
  <c r="L779" i="12" s="1"/>
  <c r="K1787" i="12"/>
  <c r="L1787" i="12" s="1"/>
  <c r="K1679" i="12"/>
  <c r="L1679" i="12" s="1"/>
  <c r="K1212" i="12"/>
  <c r="L1212" i="12" s="1"/>
  <c r="K1248" i="12"/>
  <c r="L1248" i="12" s="1"/>
  <c r="K1104" i="12"/>
  <c r="L1104" i="12" s="1"/>
  <c r="K1356" i="12"/>
  <c r="L1356" i="12" s="1"/>
  <c r="K1392" i="12"/>
  <c r="L1392" i="12" s="1"/>
  <c r="K852" i="12"/>
  <c r="L852" i="12" s="1"/>
  <c r="K60" i="12"/>
  <c r="L60" i="12" s="1"/>
  <c r="K1500" i="12"/>
  <c r="L1500" i="12" s="1"/>
  <c r="K1608" i="12"/>
  <c r="L1608" i="12" s="1"/>
  <c r="K744" i="12"/>
  <c r="L744" i="12" s="1"/>
  <c r="K1320" i="12"/>
  <c r="L1320" i="12" s="1"/>
  <c r="K1032" i="12"/>
  <c r="L1032" i="12" s="1"/>
  <c r="K996" i="12"/>
  <c r="L996" i="12" s="1"/>
  <c r="K1068" i="12"/>
  <c r="L1068" i="12" s="1"/>
  <c r="K1644" i="12"/>
  <c r="L1644" i="12" s="1"/>
  <c r="K960" i="12"/>
  <c r="L960" i="12" s="1"/>
  <c r="K708" i="12"/>
  <c r="L708" i="12" s="1"/>
  <c r="K1176" i="12"/>
  <c r="L1176" i="12" s="1"/>
  <c r="K1752" i="12"/>
  <c r="L1752" i="12" s="1"/>
  <c r="K1572" i="12"/>
  <c r="L1572" i="12" s="1"/>
  <c r="K1716" i="12"/>
  <c r="L1716" i="12" s="1"/>
  <c r="K924" i="12"/>
  <c r="L924" i="12" s="1"/>
  <c r="K888" i="12"/>
  <c r="L888" i="12" s="1"/>
  <c r="K1428" i="12"/>
  <c r="L1428" i="12" s="1"/>
  <c r="K1140" i="12"/>
  <c r="L1140" i="12" s="1"/>
  <c r="K672" i="12"/>
  <c r="L672" i="12" s="1"/>
  <c r="K1464" i="12"/>
  <c r="L1464" i="12" s="1"/>
  <c r="K1284" i="12"/>
  <c r="L1284" i="12" s="1"/>
  <c r="K1536" i="12"/>
  <c r="L1536" i="12" s="1"/>
  <c r="K816" i="12"/>
  <c r="L816" i="12" s="1"/>
  <c r="K780" i="12"/>
  <c r="L780" i="12" s="1"/>
  <c r="K1788" i="12"/>
  <c r="L1788" i="12" s="1"/>
  <c r="K1680" i="12"/>
  <c r="L1680" i="12" s="1"/>
  <c r="K1213" i="12"/>
  <c r="L1213" i="12" s="1"/>
  <c r="K1249" i="12"/>
  <c r="L1249" i="12" s="1"/>
  <c r="K1105" i="12"/>
  <c r="L1105" i="12" s="1"/>
  <c r="K1357" i="12"/>
  <c r="L1357" i="12" s="1"/>
  <c r="K1393" i="12"/>
  <c r="L1393" i="12" s="1"/>
  <c r="K853" i="12"/>
  <c r="L853" i="12" s="1"/>
  <c r="K61" i="12"/>
  <c r="L61" i="12" s="1"/>
  <c r="K1501" i="12"/>
  <c r="L1501" i="12" s="1"/>
  <c r="K1609" i="12"/>
  <c r="L1609" i="12" s="1"/>
  <c r="K745" i="12"/>
  <c r="L745" i="12" s="1"/>
  <c r="K1321" i="12"/>
  <c r="L1321" i="12" s="1"/>
  <c r="K1033" i="12"/>
  <c r="L1033" i="12" s="1"/>
  <c r="K997" i="12"/>
  <c r="L997" i="12" s="1"/>
  <c r="K1069" i="12"/>
  <c r="L1069" i="12" s="1"/>
  <c r="K1645" i="12"/>
  <c r="L1645" i="12" s="1"/>
  <c r="K961" i="12"/>
  <c r="L961" i="12" s="1"/>
  <c r="K709" i="12"/>
  <c r="L709" i="12" s="1"/>
  <c r="K1177" i="12"/>
  <c r="L1177" i="12" s="1"/>
  <c r="K1753" i="12"/>
  <c r="L1753" i="12" s="1"/>
  <c r="K1573" i="12"/>
  <c r="L1573" i="12" s="1"/>
  <c r="K1717" i="12"/>
  <c r="L1717" i="12" s="1"/>
  <c r="K925" i="12"/>
  <c r="L925" i="12" s="1"/>
  <c r="K889" i="12"/>
  <c r="L889" i="12" s="1"/>
  <c r="K1429" i="12"/>
  <c r="L1429" i="12" s="1"/>
  <c r="K1141" i="12"/>
  <c r="L1141" i="12" s="1"/>
  <c r="K673" i="12"/>
  <c r="L673" i="12" s="1"/>
  <c r="K1465" i="12"/>
  <c r="L1465" i="12" s="1"/>
  <c r="K1285" i="12"/>
  <c r="L1285" i="12" s="1"/>
  <c r="K1537" i="12"/>
  <c r="L1537" i="12" s="1"/>
  <c r="K817" i="12"/>
  <c r="L817" i="12" s="1"/>
  <c r="K781" i="12"/>
  <c r="L781" i="12" s="1"/>
  <c r="K1789" i="12"/>
  <c r="L1789" i="12" s="1"/>
  <c r="K1681" i="12"/>
  <c r="L1681" i="12" s="1"/>
  <c r="K1214" i="12"/>
  <c r="L1214" i="12" s="1"/>
  <c r="K1250" i="12"/>
  <c r="L1250" i="12" s="1"/>
  <c r="K1106" i="12"/>
  <c r="L1106" i="12" s="1"/>
  <c r="K1358" i="12"/>
  <c r="L1358" i="12" s="1"/>
  <c r="K1394" i="12"/>
  <c r="L1394" i="12" s="1"/>
  <c r="K854" i="12"/>
  <c r="L854" i="12" s="1"/>
  <c r="K62" i="12"/>
  <c r="L62" i="12" s="1"/>
  <c r="K1502" i="12"/>
  <c r="L1502" i="12" s="1"/>
  <c r="K1610" i="12"/>
  <c r="L1610" i="12" s="1"/>
  <c r="K746" i="12"/>
  <c r="L746" i="12" s="1"/>
  <c r="K1322" i="12"/>
  <c r="L1322" i="12" s="1"/>
  <c r="K1034" i="12"/>
  <c r="L1034" i="12" s="1"/>
  <c r="K998" i="12"/>
  <c r="L998" i="12" s="1"/>
  <c r="K1070" i="12"/>
  <c r="L1070" i="12" s="1"/>
  <c r="K1646" i="12"/>
  <c r="L1646" i="12" s="1"/>
  <c r="K962" i="12"/>
  <c r="L962" i="12" s="1"/>
  <c r="K710" i="12"/>
  <c r="L710" i="12" s="1"/>
  <c r="K1178" i="12"/>
  <c r="L1178" i="12" s="1"/>
  <c r="K1754" i="12"/>
  <c r="L1754" i="12" s="1"/>
  <c r="K1574" i="12"/>
  <c r="L1574" i="12" s="1"/>
  <c r="K1718" i="12"/>
  <c r="L1718" i="12" s="1"/>
  <c r="K926" i="12"/>
  <c r="L926" i="12" s="1"/>
  <c r="K890" i="12"/>
  <c r="L890" i="12" s="1"/>
  <c r="K1430" i="12"/>
  <c r="L1430" i="12" s="1"/>
  <c r="K1142" i="12"/>
  <c r="L1142" i="12" s="1"/>
  <c r="K674" i="12"/>
  <c r="L674" i="12" s="1"/>
  <c r="K1466" i="12"/>
  <c r="L1466" i="12" s="1"/>
  <c r="K1286" i="12"/>
  <c r="L1286" i="12" s="1"/>
  <c r="K1538" i="12"/>
  <c r="L1538" i="12" s="1"/>
  <c r="K818" i="12"/>
  <c r="L818" i="12" s="1"/>
  <c r="K782" i="12"/>
  <c r="L782" i="12" s="1"/>
  <c r="K1790" i="12"/>
  <c r="L1790" i="12" s="1"/>
  <c r="K1682" i="12"/>
  <c r="L1682" i="12" s="1"/>
  <c r="K1215" i="12"/>
  <c r="L1215" i="12" s="1"/>
  <c r="K1251" i="12"/>
  <c r="L1251" i="12" s="1"/>
  <c r="K1107" i="12"/>
  <c r="L1107" i="12" s="1"/>
  <c r="K1359" i="12"/>
  <c r="L1359" i="12" s="1"/>
  <c r="K1395" i="12"/>
  <c r="L1395" i="12" s="1"/>
  <c r="K855" i="12"/>
  <c r="L855" i="12" s="1"/>
  <c r="K63" i="12"/>
  <c r="L63" i="12" s="1"/>
  <c r="K1503" i="12"/>
  <c r="L1503" i="12" s="1"/>
  <c r="K1611" i="12"/>
  <c r="L1611" i="12" s="1"/>
  <c r="K747" i="12"/>
  <c r="L747" i="12" s="1"/>
  <c r="K1323" i="12"/>
  <c r="L1323" i="12" s="1"/>
  <c r="K1035" i="12"/>
  <c r="L1035" i="12" s="1"/>
  <c r="K999" i="12"/>
  <c r="L999" i="12" s="1"/>
  <c r="K1071" i="12"/>
  <c r="L1071" i="12" s="1"/>
  <c r="K1647" i="12"/>
  <c r="L1647" i="12" s="1"/>
  <c r="K963" i="12"/>
  <c r="L963" i="12" s="1"/>
  <c r="K711" i="12"/>
  <c r="L711" i="12" s="1"/>
  <c r="K1179" i="12"/>
  <c r="L1179" i="12" s="1"/>
  <c r="K1755" i="12"/>
  <c r="L1755" i="12" s="1"/>
  <c r="K1575" i="12"/>
  <c r="L1575" i="12" s="1"/>
  <c r="K1719" i="12"/>
  <c r="L1719" i="12" s="1"/>
  <c r="K927" i="12"/>
  <c r="L927" i="12" s="1"/>
  <c r="K891" i="12"/>
  <c r="L891" i="12" s="1"/>
  <c r="K1431" i="12"/>
  <c r="L1431" i="12" s="1"/>
  <c r="K1143" i="12"/>
  <c r="L1143" i="12" s="1"/>
  <c r="K675" i="12"/>
  <c r="L675" i="12" s="1"/>
  <c r="K1467" i="12"/>
  <c r="L1467" i="12" s="1"/>
  <c r="K1287" i="12"/>
  <c r="L1287" i="12" s="1"/>
  <c r="K1539" i="12"/>
  <c r="L1539" i="12" s="1"/>
  <c r="K819" i="12"/>
  <c r="L819" i="12" s="1"/>
  <c r="K783" i="12"/>
  <c r="L783" i="12" s="1"/>
  <c r="K1791" i="12"/>
  <c r="L1791" i="12" s="1"/>
  <c r="K1683" i="12"/>
  <c r="L1683" i="12" s="1"/>
  <c r="K1216" i="12"/>
  <c r="L1216" i="12" s="1"/>
  <c r="K1252" i="12"/>
  <c r="L1252" i="12" s="1"/>
  <c r="K1108" i="12"/>
  <c r="L1108" i="12" s="1"/>
  <c r="K1360" i="12"/>
  <c r="L1360" i="12" s="1"/>
  <c r="K1396" i="12"/>
  <c r="L1396" i="12" s="1"/>
  <c r="K856" i="12"/>
  <c r="L856" i="12" s="1"/>
  <c r="K64" i="12"/>
  <c r="L64" i="12" s="1"/>
  <c r="K1504" i="12"/>
  <c r="L1504" i="12" s="1"/>
  <c r="K1612" i="12"/>
  <c r="L1612" i="12" s="1"/>
  <c r="K748" i="12"/>
  <c r="L748" i="12" s="1"/>
  <c r="K1324" i="12"/>
  <c r="L1324" i="12" s="1"/>
  <c r="K1036" i="12"/>
  <c r="L1036" i="12" s="1"/>
  <c r="K1000" i="12"/>
  <c r="L1000" i="12" s="1"/>
  <c r="K1072" i="12"/>
  <c r="L1072" i="12" s="1"/>
  <c r="K1648" i="12"/>
  <c r="L1648" i="12" s="1"/>
  <c r="K964" i="12"/>
  <c r="L964" i="12" s="1"/>
  <c r="K712" i="12"/>
  <c r="L712" i="12" s="1"/>
  <c r="K1180" i="12"/>
  <c r="L1180" i="12" s="1"/>
  <c r="K1756" i="12"/>
  <c r="L1756" i="12" s="1"/>
  <c r="K1576" i="12"/>
  <c r="L1576" i="12" s="1"/>
  <c r="K1720" i="12"/>
  <c r="L1720" i="12" s="1"/>
  <c r="K928" i="12"/>
  <c r="L928" i="12" s="1"/>
  <c r="K892" i="12"/>
  <c r="L892" i="12" s="1"/>
  <c r="K1432" i="12"/>
  <c r="L1432" i="12" s="1"/>
  <c r="K1144" i="12"/>
  <c r="L1144" i="12" s="1"/>
  <c r="K676" i="12"/>
  <c r="L676" i="12" s="1"/>
  <c r="K1468" i="12"/>
  <c r="L1468" i="12" s="1"/>
  <c r="K1288" i="12"/>
  <c r="L1288" i="12" s="1"/>
  <c r="K1540" i="12"/>
  <c r="L1540" i="12" s="1"/>
  <c r="K820" i="12"/>
  <c r="L820" i="12" s="1"/>
  <c r="K784" i="12"/>
  <c r="L784" i="12" s="1"/>
  <c r="K1792" i="12"/>
  <c r="L1792" i="12" s="1"/>
  <c r="K1684" i="12"/>
  <c r="L1684" i="12" s="1"/>
  <c r="K1217" i="12"/>
  <c r="L1217" i="12" s="1"/>
  <c r="K1253" i="12"/>
  <c r="L1253" i="12" s="1"/>
  <c r="K1109" i="12"/>
  <c r="L1109" i="12" s="1"/>
  <c r="K1361" i="12"/>
  <c r="L1361" i="12" s="1"/>
  <c r="K1397" i="12"/>
  <c r="L1397" i="12" s="1"/>
  <c r="K857" i="12"/>
  <c r="L857" i="12" s="1"/>
  <c r="K65" i="12"/>
  <c r="L65" i="12" s="1"/>
  <c r="K1505" i="12"/>
  <c r="L1505" i="12" s="1"/>
  <c r="K1613" i="12"/>
  <c r="L1613" i="12" s="1"/>
  <c r="K749" i="12"/>
  <c r="L749" i="12" s="1"/>
  <c r="K1325" i="12"/>
  <c r="L1325" i="12" s="1"/>
  <c r="K1037" i="12"/>
  <c r="L1037" i="12" s="1"/>
  <c r="K1001" i="12"/>
  <c r="L1001" i="12" s="1"/>
  <c r="K1073" i="12"/>
  <c r="L1073" i="12" s="1"/>
  <c r="K1649" i="12"/>
  <c r="L1649" i="12" s="1"/>
  <c r="K965" i="12"/>
  <c r="L965" i="12" s="1"/>
  <c r="K713" i="12"/>
  <c r="L713" i="12" s="1"/>
  <c r="K1181" i="12"/>
  <c r="L1181" i="12" s="1"/>
  <c r="K1757" i="12"/>
  <c r="L1757" i="12" s="1"/>
  <c r="K1577" i="12"/>
  <c r="L1577" i="12" s="1"/>
  <c r="K1721" i="12"/>
  <c r="L1721" i="12" s="1"/>
  <c r="K929" i="12"/>
  <c r="L929" i="12" s="1"/>
  <c r="K893" i="12"/>
  <c r="L893" i="12" s="1"/>
  <c r="K1433" i="12"/>
  <c r="L1433" i="12" s="1"/>
  <c r="K1145" i="12"/>
  <c r="L1145" i="12" s="1"/>
  <c r="K677" i="12"/>
  <c r="L677" i="12" s="1"/>
  <c r="K1469" i="12"/>
  <c r="L1469" i="12" s="1"/>
  <c r="K1289" i="12"/>
  <c r="L1289" i="12" s="1"/>
  <c r="K1541" i="12"/>
  <c r="L1541" i="12" s="1"/>
  <c r="K821" i="12"/>
  <c r="L821" i="12" s="1"/>
  <c r="K785" i="12"/>
  <c r="L785" i="12" s="1"/>
  <c r="K1793" i="12"/>
  <c r="L1793" i="12" s="1"/>
  <c r="K1685" i="12"/>
  <c r="L1685" i="12" s="1"/>
  <c r="K1218" i="12"/>
  <c r="L1218" i="12" s="1"/>
  <c r="K1254" i="12"/>
  <c r="L1254" i="12" s="1"/>
  <c r="K1110" i="12"/>
  <c r="L1110" i="12" s="1"/>
  <c r="K1362" i="12"/>
  <c r="L1362" i="12" s="1"/>
  <c r="K1398" i="12"/>
  <c r="L1398" i="12" s="1"/>
  <c r="K858" i="12"/>
  <c r="L858" i="12" s="1"/>
  <c r="K66" i="12"/>
  <c r="L66" i="12" s="1"/>
  <c r="K1506" i="12"/>
  <c r="L1506" i="12" s="1"/>
  <c r="K1614" i="12"/>
  <c r="L1614" i="12" s="1"/>
  <c r="K750" i="12"/>
  <c r="L750" i="12" s="1"/>
  <c r="K1326" i="12"/>
  <c r="L1326" i="12" s="1"/>
  <c r="K1038" i="12"/>
  <c r="L1038" i="12" s="1"/>
  <c r="K1002" i="12"/>
  <c r="L1002" i="12" s="1"/>
  <c r="K1074" i="12"/>
  <c r="L1074" i="12" s="1"/>
  <c r="K1650" i="12"/>
  <c r="L1650" i="12" s="1"/>
  <c r="K966" i="12"/>
  <c r="L966" i="12" s="1"/>
  <c r="K714" i="12"/>
  <c r="L714" i="12" s="1"/>
  <c r="K1182" i="12"/>
  <c r="L1182" i="12" s="1"/>
  <c r="K1758" i="12"/>
  <c r="L1758" i="12" s="1"/>
  <c r="K1578" i="12"/>
  <c r="L1578" i="12" s="1"/>
  <c r="K1722" i="12"/>
  <c r="L1722" i="12" s="1"/>
  <c r="K930" i="12"/>
  <c r="L930" i="12" s="1"/>
  <c r="K894" i="12"/>
  <c r="L894" i="12" s="1"/>
  <c r="K1434" i="12"/>
  <c r="L1434" i="12" s="1"/>
  <c r="K1146" i="12"/>
  <c r="L1146" i="12" s="1"/>
  <c r="K678" i="12"/>
  <c r="L678" i="12" s="1"/>
  <c r="K1470" i="12"/>
  <c r="L1470" i="12" s="1"/>
  <c r="K1290" i="12"/>
  <c r="L1290" i="12" s="1"/>
  <c r="K1542" i="12"/>
  <c r="L1542" i="12" s="1"/>
  <c r="K822" i="12"/>
  <c r="L822" i="12" s="1"/>
  <c r="K786" i="12"/>
  <c r="L786" i="12" s="1"/>
  <c r="K1794" i="12"/>
  <c r="L1794" i="12" s="1"/>
  <c r="K1686" i="12"/>
  <c r="L1686" i="12" s="1"/>
  <c r="K1219" i="12"/>
  <c r="L1219" i="12" s="1"/>
  <c r="K1255" i="12"/>
  <c r="L1255" i="12" s="1"/>
  <c r="K1111" i="12"/>
  <c r="L1111" i="12" s="1"/>
  <c r="K1363" i="12"/>
  <c r="L1363" i="12" s="1"/>
  <c r="K1399" i="12"/>
  <c r="L1399" i="12" s="1"/>
  <c r="K859" i="12"/>
  <c r="L859" i="12" s="1"/>
  <c r="K67" i="12"/>
  <c r="L67" i="12" s="1"/>
  <c r="K1507" i="12"/>
  <c r="L1507" i="12" s="1"/>
  <c r="K1615" i="12"/>
  <c r="L1615" i="12" s="1"/>
  <c r="K751" i="12"/>
  <c r="L751" i="12" s="1"/>
  <c r="K1327" i="12"/>
  <c r="L1327" i="12" s="1"/>
  <c r="K1039" i="12"/>
  <c r="L1039" i="12" s="1"/>
  <c r="K1003" i="12"/>
  <c r="L1003" i="12" s="1"/>
  <c r="K1075" i="12"/>
  <c r="L1075" i="12" s="1"/>
  <c r="K1651" i="12"/>
  <c r="L1651" i="12" s="1"/>
  <c r="K967" i="12"/>
  <c r="L967" i="12" s="1"/>
  <c r="K715" i="12"/>
  <c r="L715" i="12" s="1"/>
  <c r="K1183" i="12"/>
  <c r="L1183" i="12" s="1"/>
  <c r="K1759" i="12"/>
  <c r="L1759" i="12" s="1"/>
  <c r="K1579" i="12"/>
  <c r="L1579" i="12" s="1"/>
  <c r="K1723" i="12"/>
  <c r="L1723" i="12" s="1"/>
  <c r="K931" i="12"/>
  <c r="L931" i="12" s="1"/>
  <c r="K895" i="12"/>
  <c r="L895" i="12" s="1"/>
  <c r="K1435" i="12"/>
  <c r="L1435" i="12" s="1"/>
  <c r="K1147" i="12"/>
  <c r="L1147" i="12" s="1"/>
  <c r="K679" i="12"/>
  <c r="L679" i="12" s="1"/>
  <c r="K1471" i="12"/>
  <c r="L1471" i="12" s="1"/>
  <c r="K1291" i="12"/>
  <c r="L1291" i="12" s="1"/>
  <c r="K1543" i="12"/>
  <c r="L1543" i="12" s="1"/>
  <c r="K823" i="12"/>
  <c r="L823" i="12" s="1"/>
  <c r="K787" i="12"/>
  <c r="L787" i="12" s="1"/>
  <c r="K1795" i="12"/>
  <c r="L1795" i="12" s="1"/>
  <c r="K1687" i="12"/>
  <c r="L1687" i="12" s="1"/>
  <c r="K1220" i="12"/>
  <c r="L1220" i="12" s="1"/>
  <c r="K1256" i="12"/>
  <c r="L1256" i="12" s="1"/>
  <c r="K1112" i="12"/>
  <c r="L1112" i="12" s="1"/>
  <c r="K1364" i="12"/>
  <c r="L1364" i="12" s="1"/>
  <c r="K1400" i="12"/>
  <c r="L1400" i="12" s="1"/>
  <c r="K860" i="12"/>
  <c r="L860" i="12" s="1"/>
  <c r="K68" i="12"/>
  <c r="L68" i="12" s="1"/>
  <c r="K1508" i="12"/>
  <c r="L1508" i="12" s="1"/>
  <c r="K1616" i="12"/>
  <c r="L1616" i="12" s="1"/>
  <c r="K752" i="12"/>
  <c r="L752" i="12" s="1"/>
  <c r="K1328" i="12"/>
  <c r="L1328" i="12" s="1"/>
  <c r="K1040" i="12"/>
  <c r="L1040" i="12" s="1"/>
  <c r="K1004" i="12"/>
  <c r="L1004" i="12" s="1"/>
  <c r="K1076" i="12"/>
  <c r="L1076" i="12" s="1"/>
  <c r="K1652" i="12"/>
  <c r="L1652" i="12" s="1"/>
  <c r="K968" i="12"/>
  <c r="L968" i="12" s="1"/>
  <c r="K716" i="12"/>
  <c r="L716" i="12" s="1"/>
  <c r="K1184" i="12"/>
  <c r="L1184" i="12" s="1"/>
  <c r="K1760" i="12"/>
  <c r="L1760" i="12" s="1"/>
  <c r="K1580" i="12"/>
  <c r="L1580" i="12" s="1"/>
  <c r="K1724" i="12"/>
  <c r="L1724" i="12" s="1"/>
  <c r="K932" i="12"/>
  <c r="L932" i="12" s="1"/>
  <c r="K896" i="12"/>
  <c r="L896" i="12" s="1"/>
  <c r="K1436" i="12"/>
  <c r="L1436" i="12" s="1"/>
  <c r="K1148" i="12"/>
  <c r="L1148" i="12" s="1"/>
  <c r="K680" i="12"/>
  <c r="L680" i="12" s="1"/>
  <c r="K1472" i="12"/>
  <c r="L1472" i="12" s="1"/>
  <c r="K1292" i="12"/>
  <c r="L1292" i="12" s="1"/>
  <c r="K1544" i="12"/>
  <c r="L1544" i="12" s="1"/>
  <c r="K824" i="12"/>
  <c r="L824" i="12" s="1"/>
  <c r="K788" i="12"/>
  <c r="L788" i="12" s="1"/>
  <c r="K1796" i="12"/>
  <c r="L1796" i="12" s="1"/>
  <c r="K1688" i="12"/>
  <c r="L1688" i="12" s="1"/>
  <c r="K1221" i="12"/>
  <c r="L1221" i="12" s="1"/>
  <c r="K1257" i="12"/>
  <c r="L1257" i="12" s="1"/>
  <c r="K1113" i="12"/>
  <c r="L1113" i="12" s="1"/>
  <c r="K1365" i="12"/>
  <c r="L1365" i="12" s="1"/>
  <c r="K1401" i="12"/>
  <c r="L1401" i="12" s="1"/>
  <c r="K861" i="12"/>
  <c r="L861" i="12" s="1"/>
  <c r="K69" i="12"/>
  <c r="L69" i="12" s="1"/>
  <c r="K1509" i="12"/>
  <c r="L1509" i="12" s="1"/>
  <c r="K1617" i="12"/>
  <c r="L1617" i="12" s="1"/>
  <c r="K753" i="12"/>
  <c r="L753" i="12" s="1"/>
  <c r="K1329" i="12"/>
  <c r="L1329" i="12" s="1"/>
  <c r="K1041" i="12"/>
  <c r="L1041" i="12" s="1"/>
  <c r="K1005" i="12"/>
  <c r="L1005" i="12" s="1"/>
  <c r="K1077" i="12"/>
  <c r="L1077" i="12" s="1"/>
  <c r="K1653" i="12"/>
  <c r="L1653" i="12" s="1"/>
  <c r="K969" i="12"/>
  <c r="L969" i="12" s="1"/>
  <c r="K717" i="12"/>
  <c r="L717" i="12" s="1"/>
  <c r="K1185" i="12"/>
  <c r="L1185" i="12" s="1"/>
  <c r="K1761" i="12"/>
  <c r="L1761" i="12" s="1"/>
  <c r="K1581" i="12"/>
  <c r="L1581" i="12" s="1"/>
  <c r="K1725" i="12"/>
  <c r="L1725" i="12" s="1"/>
  <c r="K933" i="12"/>
  <c r="L933" i="12" s="1"/>
  <c r="K897" i="12"/>
  <c r="L897" i="12" s="1"/>
  <c r="K1437" i="12"/>
  <c r="L1437" i="12" s="1"/>
  <c r="K1149" i="12"/>
  <c r="L1149" i="12" s="1"/>
  <c r="K681" i="12"/>
  <c r="L681" i="12" s="1"/>
  <c r="K1473" i="12"/>
  <c r="L1473" i="12" s="1"/>
  <c r="K1293" i="12"/>
  <c r="L1293" i="12" s="1"/>
  <c r="K1545" i="12"/>
  <c r="L1545" i="12" s="1"/>
  <c r="K825" i="12"/>
  <c r="L825" i="12" s="1"/>
  <c r="K789" i="12"/>
  <c r="L789" i="12" s="1"/>
  <c r="K1797" i="12"/>
  <c r="L1797" i="12" s="1"/>
  <c r="K1689" i="12"/>
  <c r="L1689" i="12" s="1"/>
  <c r="K1222" i="12"/>
  <c r="L1222" i="12" s="1"/>
  <c r="K1258" i="12"/>
  <c r="L1258" i="12" s="1"/>
  <c r="K1114" i="12"/>
  <c r="L1114" i="12" s="1"/>
  <c r="K1366" i="12"/>
  <c r="L1366" i="12" s="1"/>
  <c r="K1402" i="12"/>
  <c r="L1402" i="12" s="1"/>
  <c r="K862" i="12"/>
  <c r="L862" i="12" s="1"/>
  <c r="K70" i="12"/>
  <c r="L70" i="12" s="1"/>
  <c r="K1510" i="12"/>
  <c r="L1510" i="12" s="1"/>
  <c r="K1618" i="12"/>
  <c r="L1618" i="12" s="1"/>
  <c r="K754" i="12"/>
  <c r="L754" i="12" s="1"/>
  <c r="K1330" i="12"/>
  <c r="L1330" i="12" s="1"/>
  <c r="K1042" i="12"/>
  <c r="L1042" i="12" s="1"/>
  <c r="K1006" i="12"/>
  <c r="L1006" i="12" s="1"/>
  <c r="K1078" i="12"/>
  <c r="L1078" i="12" s="1"/>
  <c r="K1654" i="12"/>
  <c r="L1654" i="12" s="1"/>
  <c r="K970" i="12"/>
  <c r="L970" i="12" s="1"/>
  <c r="K718" i="12"/>
  <c r="L718" i="12" s="1"/>
  <c r="K1186" i="12"/>
  <c r="L1186" i="12" s="1"/>
  <c r="K1762" i="12"/>
  <c r="L1762" i="12" s="1"/>
  <c r="K1582" i="12"/>
  <c r="L1582" i="12" s="1"/>
  <c r="K1726" i="12"/>
  <c r="L1726" i="12" s="1"/>
  <c r="K934" i="12"/>
  <c r="L934" i="12" s="1"/>
  <c r="K898" i="12"/>
  <c r="L898" i="12" s="1"/>
  <c r="K1438" i="12"/>
  <c r="L1438" i="12" s="1"/>
  <c r="K1150" i="12"/>
  <c r="L1150" i="12" s="1"/>
  <c r="K682" i="12"/>
  <c r="L682" i="12" s="1"/>
  <c r="K1474" i="12"/>
  <c r="L1474" i="12" s="1"/>
  <c r="K1294" i="12"/>
  <c r="L1294" i="12" s="1"/>
  <c r="K1546" i="12"/>
  <c r="L1546" i="12" s="1"/>
  <c r="K826" i="12"/>
  <c r="L826" i="12" s="1"/>
  <c r="K790" i="12"/>
  <c r="L790" i="12" s="1"/>
  <c r="K1798" i="12"/>
  <c r="L1798" i="12" s="1"/>
  <c r="K1690" i="12"/>
  <c r="L1690" i="12" s="1"/>
  <c r="K1223" i="12"/>
  <c r="L1223" i="12" s="1"/>
  <c r="K1259" i="12"/>
  <c r="L1259" i="12" s="1"/>
  <c r="K1115" i="12"/>
  <c r="L1115" i="12" s="1"/>
  <c r="K1367" i="12"/>
  <c r="L1367" i="12" s="1"/>
  <c r="K1403" i="12"/>
  <c r="L1403" i="12" s="1"/>
  <c r="K863" i="12"/>
  <c r="L863" i="12" s="1"/>
  <c r="K71" i="12"/>
  <c r="L71" i="12" s="1"/>
  <c r="K1511" i="12"/>
  <c r="L1511" i="12" s="1"/>
  <c r="K1619" i="12"/>
  <c r="L1619" i="12" s="1"/>
  <c r="K755" i="12"/>
  <c r="L755" i="12" s="1"/>
  <c r="K1331" i="12"/>
  <c r="L1331" i="12" s="1"/>
  <c r="K1043" i="12"/>
  <c r="L1043" i="12" s="1"/>
  <c r="K1007" i="12"/>
  <c r="L1007" i="12" s="1"/>
  <c r="K1079" i="12"/>
  <c r="L1079" i="12" s="1"/>
  <c r="K1655" i="12"/>
  <c r="L1655" i="12" s="1"/>
  <c r="K971" i="12"/>
  <c r="L971" i="12" s="1"/>
  <c r="K719" i="12"/>
  <c r="L719" i="12" s="1"/>
  <c r="K1187" i="12"/>
  <c r="L1187" i="12" s="1"/>
  <c r="K1763" i="12"/>
  <c r="L1763" i="12" s="1"/>
  <c r="K1583" i="12"/>
  <c r="L1583" i="12" s="1"/>
  <c r="K1727" i="12"/>
  <c r="L1727" i="12" s="1"/>
  <c r="K935" i="12"/>
  <c r="L935" i="12" s="1"/>
  <c r="K899" i="12"/>
  <c r="L899" i="12" s="1"/>
  <c r="K1439" i="12"/>
  <c r="L1439" i="12" s="1"/>
  <c r="K1151" i="12"/>
  <c r="L1151" i="12" s="1"/>
  <c r="K683" i="12"/>
  <c r="L683" i="12" s="1"/>
  <c r="K1475" i="12"/>
  <c r="L1475" i="12" s="1"/>
  <c r="K1295" i="12"/>
  <c r="L1295" i="12" s="1"/>
  <c r="K1547" i="12"/>
  <c r="L1547" i="12" s="1"/>
  <c r="K827" i="12"/>
  <c r="L827" i="12" s="1"/>
  <c r="K791" i="12"/>
  <c r="L791" i="12" s="1"/>
  <c r="K1799" i="12"/>
  <c r="L1799" i="12" s="1"/>
  <c r="K1691" i="12"/>
  <c r="L1691" i="12" s="1"/>
  <c r="K1224" i="12"/>
  <c r="L1224" i="12" s="1"/>
  <c r="K1260" i="12"/>
  <c r="L1260" i="12" s="1"/>
  <c r="K1116" i="12"/>
  <c r="L1116" i="12" s="1"/>
  <c r="K1368" i="12"/>
  <c r="L1368" i="12" s="1"/>
  <c r="K1404" i="12"/>
  <c r="L1404" i="12" s="1"/>
  <c r="K864" i="12"/>
  <c r="L864" i="12" s="1"/>
  <c r="K72" i="12"/>
  <c r="L72" i="12" s="1"/>
  <c r="K1512" i="12"/>
  <c r="L1512" i="12" s="1"/>
  <c r="K1620" i="12"/>
  <c r="L1620" i="12" s="1"/>
  <c r="K756" i="12"/>
  <c r="L756" i="12" s="1"/>
  <c r="K1332" i="12"/>
  <c r="L1332" i="12" s="1"/>
  <c r="K1044" i="12"/>
  <c r="L1044" i="12" s="1"/>
  <c r="K1008" i="12"/>
  <c r="L1008" i="12" s="1"/>
  <c r="K1080" i="12"/>
  <c r="L1080" i="12" s="1"/>
  <c r="K1656" i="12"/>
  <c r="L1656" i="12" s="1"/>
  <c r="K972" i="12"/>
  <c r="L972" i="12" s="1"/>
  <c r="K720" i="12"/>
  <c r="L720" i="12" s="1"/>
  <c r="K1188" i="12"/>
  <c r="L1188" i="12" s="1"/>
  <c r="K1764" i="12"/>
  <c r="L1764" i="12" s="1"/>
  <c r="K1584" i="12"/>
  <c r="L1584" i="12" s="1"/>
  <c r="K1728" i="12"/>
  <c r="L1728" i="12" s="1"/>
  <c r="K936" i="12"/>
  <c r="L936" i="12" s="1"/>
  <c r="K900" i="12"/>
  <c r="L900" i="12" s="1"/>
  <c r="K1440" i="12"/>
  <c r="L1440" i="12" s="1"/>
  <c r="K1152" i="12"/>
  <c r="L1152" i="12" s="1"/>
  <c r="K684" i="12"/>
  <c r="L684" i="12" s="1"/>
  <c r="K1476" i="12"/>
  <c r="L1476" i="12" s="1"/>
  <c r="K1296" i="12"/>
  <c r="L1296" i="12" s="1"/>
  <c r="K1548" i="12"/>
  <c r="L1548" i="12" s="1"/>
  <c r="K828" i="12"/>
  <c r="L828" i="12" s="1"/>
  <c r="K792" i="12"/>
  <c r="L792" i="12" s="1"/>
  <c r="K1800" i="12"/>
  <c r="L1800" i="12" s="1"/>
  <c r="K1692" i="12"/>
  <c r="L1692" i="12" s="1"/>
  <c r="K1225" i="12"/>
  <c r="L1225" i="12" s="1"/>
  <c r="K1261" i="12"/>
  <c r="L1261" i="12" s="1"/>
  <c r="K1117" i="12"/>
  <c r="L1117" i="12" s="1"/>
  <c r="K1369" i="12"/>
  <c r="L1369" i="12" s="1"/>
  <c r="K1405" i="12"/>
  <c r="L1405" i="12" s="1"/>
  <c r="K865" i="12"/>
  <c r="L865" i="12" s="1"/>
  <c r="K73" i="12"/>
  <c r="L73" i="12" s="1"/>
  <c r="K1513" i="12"/>
  <c r="L1513" i="12" s="1"/>
  <c r="K1621" i="12"/>
  <c r="L1621" i="12" s="1"/>
  <c r="K757" i="12"/>
  <c r="L757" i="12" s="1"/>
  <c r="K1333" i="12"/>
  <c r="L1333" i="12" s="1"/>
  <c r="K1045" i="12"/>
  <c r="L1045" i="12" s="1"/>
  <c r="K1009" i="12"/>
  <c r="L1009" i="12" s="1"/>
  <c r="K1081" i="12"/>
  <c r="L1081" i="12" s="1"/>
  <c r="K1657" i="12"/>
  <c r="L1657" i="12" s="1"/>
  <c r="K973" i="12"/>
  <c r="L973" i="12" s="1"/>
  <c r="K721" i="12"/>
  <c r="L721" i="12" s="1"/>
  <c r="K1189" i="12"/>
  <c r="L1189" i="12" s="1"/>
  <c r="K1765" i="12"/>
  <c r="L1765" i="12" s="1"/>
  <c r="K1585" i="12"/>
  <c r="L1585" i="12" s="1"/>
  <c r="K1729" i="12"/>
  <c r="L1729" i="12" s="1"/>
  <c r="K937" i="12"/>
  <c r="L937" i="12" s="1"/>
  <c r="K901" i="12"/>
  <c r="L901" i="12" s="1"/>
  <c r="K1441" i="12"/>
  <c r="L1441" i="12" s="1"/>
  <c r="K1153" i="12"/>
  <c r="L1153" i="12" s="1"/>
  <c r="K685" i="12"/>
  <c r="L685" i="12" s="1"/>
  <c r="K1477" i="12"/>
  <c r="L1477" i="12" s="1"/>
  <c r="K1297" i="12"/>
  <c r="L1297" i="12" s="1"/>
  <c r="K1549" i="12"/>
  <c r="L1549" i="12" s="1"/>
  <c r="K829" i="12"/>
  <c r="L829" i="12" s="1"/>
  <c r="K793" i="12"/>
  <c r="L793" i="12" s="1"/>
  <c r="K1801" i="12"/>
  <c r="L1801" i="12" s="1"/>
  <c r="K1693" i="12"/>
  <c r="L1693" i="12" s="1"/>
  <c r="K2810" i="12"/>
  <c r="L2810" i="12" s="1"/>
  <c r="K2738" i="12"/>
  <c r="L2738" i="12" s="1"/>
  <c r="K2558" i="12"/>
  <c r="L2558" i="12" s="1"/>
  <c r="K2414" i="12"/>
  <c r="L2414" i="12" s="1"/>
  <c r="K2702" i="12"/>
  <c r="L2702" i="12" s="1"/>
  <c r="K2846" i="12"/>
  <c r="L2846" i="12" s="1"/>
  <c r="K2918" i="12"/>
  <c r="L2918" i="12" s="1"/>
  <c r="K2486" i="12"/>
  <c r="L2486" i="12" s="1"/>
  <c r="K2666" i="12"/>
  <c r="L2666" i="12" s="1"/>
  <c r="K2306" i="12"/>
  <c r="L2306" i="12" s="1"/>
  <c r="K2450" i="12"/>
  <c r="L2450" i="12" s="1"/>
  <c r="K2342" i="12"/>
  <c r="L2342" i="12" s="1"/>
  <c r="K2630" i="12"/>
  <c r="L2630" i="12" s="1"/>
  <c r="K2774" i="12"/>
  <c r="L2774" i="12" s="1"/>
  <c r="K2594" i="12"/>
  <c r="L2594" i="12" s="1"/>
  <c r="K2882" i="12"/>
  <c r="L2882" i="12" s="1"/>
  <c r="K2522" i="12"/>
  <c r="L2522" i="12" s="1"/>
  <c r="K2378" i="12"/>
  <c r="L2378" i="12" s="1"/>
  <c r="K2270" i="12"/>
  <c r="L2270" i="12" s="1"/>
  <c r="K2811" i="12"/>
  <c r="L2811" i="12" s="1"/>
  <c r="K2739" i="12"/>
  <c r="L2739" i="12" s="1"/>
  <c r="K2559" i="12"/>
  <c r="L2559" i="12" s="1"/>
  <c r="K2415" i="12"/>
  <c r="L2415" i="12" s="1"/>
  <c r="K2703" i="12"/>
  <c r="L2703" i="12" s="1"/>
  <c r="K2847" i="12"/>
  <c r="L2847" i="12" s="1"/>
  <c r="K2919" i="12"/>
  <c r="L2919" i="12" s="1"/>
  <c r="K2487" i="12"/>
  <c r="L2487" i="12" s="1"/>
  <c r="K2667" i="12"/>
  <c r="L2667" i="12" s="1"/>
  <c r="K2307" i="12"/>
  <c r="L2307" i="12" s="1"/>
  <c r="K2451" i="12"/>
  <c r="L2451" i="12" s="1"/>
  <c r="K2343" i="12"/>
  <c r="L2343" i="12" s="1"/>
  <c r="K2631" i="12"/>
  <c r="L2631" i="12" s="1"/>
  <c r="K2775" i="12"/>
  <c r="L2775" i="12" s="1"/>
  <c r="K2595" i="12"/>
  <c r="L2595" i="12" s="1"/>
  <c r="K2883" i="12"/>
  <c r="L2883" i="12" s="1"/>
  <c r="K2523" i="12"/>
  <c r="L2523" i="12" s="1"/>
  <c r="K2379" i="12"/>
  <c r="L2379" i="12" s="1"/>
  <c r="K2271" i="12"/>
  <c r="L2271" i="12" s="1"/>
  <c r="K2812" i="12"/>
  <c r="L2812" i="12" s="1"/>
  <c r="K2740" i="12"/>
  <c r="L2740" i="12" s="1"/>
  <c r="K2560" i="12"/>
  <c r="L2560" i="12" s="1"/>
  <c r="K2416" i="12"/>
  <c r="L2416" i="12" s="1"/>
  <c r="K2704" i="12"/>
  <c r="L2704" i="12" s="1"/>
  <c r="K2848" i="12"/>
  <c r="L2848" i="12" s="1"/>
  <c r="K2920" i="12"/>
  <c r="L2920" i="12" s="1"/>
  <c r="K2488" i="12"/>
  <c r="L2488" i="12" s="1"/>
  <c r="K2668" i="12"/>
  <c r="L2668" i="12" s="1"/>
  <c r="K2308" i="12"/>
  <c r="L2308" i="12" s="1"/>
  <c r="K2452" i="12"/>
  <c r="L2452" i="12" s="1"/>
  <c r="K2344" i="12"/>
  <c r="L2344" i="12" s="1"/>
  <c r="K2632" i="12"/>
  <c r="L2632" i="12" s="1"/>
  <c r="K2776" i="12"/>
  <c r="L2776" i="12" s="1"/>
  <c r="K2596" i="12"/>
  <c r="L2596" i="12" s="1"/>
  <c r="K2884" i="12"/>
  <c r="L2884" i="12" s="1"/>
  <c r="K2524" i="12"/>
  <c r="L2524" i="12" s="1"/>
  <c r="K2380" i="12"/>
  <c r="L2380" i="12" s="1"/>
  <c r="K2272" i="12"/>
  <c r="L2272" i="12" s="1"/>
  <c r="K2813" i="12"/>
  <c r="L2813" i="12" s="1"/>
  <c r="K2741" i="12"/>
  <c r="L2741" i="12" s="1"/>
  <c r="K2561" i="12"/>
  <c r="L2561" i="12" s="1"/>
  <c r="K2417" i="12"/>
  <c r="L2417" i="12" s="1"/>
  <c r="K2705" i="12"/>
  <c r="L2705" i="12" s="1"/>
  <c r="K2849" i="12"/>
  <c r="L2849" i="12" s="1"/>
  <c r="K2921" i="12"/>
  <c r="L2921" i="12" s="1"/>
  <c r="K2489" i="12"/>
  <c r="L2489" i="12" s="1"/>
  <c r="K2669" i="12"/>
  <c r="L2669" i="12" s="1"/>
  <c r="K2309" i="12"/>
  <c r="L2309" i="12" s="1"/>
  <c r="K2453" i="12"/>
  <c r="L2453" i="12" s="1"/>
  <c r="K2345" i="12"/>
  <c r="L2345" i="12" s="1"/>
  <c r="K2633" i="12"/>
  <c r="L2633" i="12" s="1"/>
  <c r="K2777" i="12"/>
  <c r="L2777" i="12" s="1"/>
  <c r="K2597" i="12"/>
  <c r="L2597" i="12" s="1"/>
  <c r="K2885" i="12"/>
  <c r="L2885" i="12" s="1"/>
  <c r="K2525" i="12"/>
  <c r="L2525" i="12" s="1"/>
  <c r="K2381" i="12"/>
  <c r="L2381" i="12" s="1"/>
  <c r="K2273" i="12"/>
  <c r="L2273" i="12" s="1"/>
  <c r="K2814" i="12"/>
  <c r="L2814" i="12" s="1"/>
  <c r="K2742" i="12"/>
  <c r="L2742" i="12" s="1"/>
  <c r="K2562" i="12"/>
  <c r="L2562" i="12" s="1"/>
  <c r="K2418" i="12"/>
  <c r="L2418" i="12" s="1"/>
  <c r="K2706" i="12"/>
  <c r="L2706" i="12" s="1"/>
  <c r="K2850" i="12"/>
  <c r="L2850" i="12" s="1"/>
  <c r="K2922" i="12"/>
  <c r="L2922" i="12" s="1"/>
  <c r="K2490" i="12"/>
  <c r="L2490" i="12" s="1"/>
  <c r="K2670" i="12"/>
  <c r="L2670" i="12" s="1"/>
  <c r="K2310" i="12"/>
  <c r="L2310" i="12" s="1"/>
  <c r="K2454" i="12"/>
  <c r="L2454" i="12" s="1"/>
  <c r="K2346" i="12"/>
  <c r="L2346" i="12" s="1"/>
  <c r="K2634" i="12"/>
  <c r="L2634" i="12" s="1"/>
  <c r="K2778" i="12"/>
  <c r="L2778" i="12" s="1"/>
  <c r="K2598" i="12"/>
  <c r="L2598" i="12" s="1"/>
  <c r="K2886" i="12"/>
  <c r="L2886" i="12" s="1"/>
  <c r="K2526" i="12"/>
  <c r="L2526" i="12" s="1"/>
  <c r="K2382" i="12"/>
  <c r="L2382" i="12" s="1"/>
  <c r="K2274" i="12"/>
  <c r="L2274" i="12" s="1"/>
  <c r="K2815" i="12"/>
  <c r="L2815" i="12" s="1"/>
  <c r="K2743" i="12"/>
  <c r="L2743" i="12" s="1"/>
  <c r="K2563" i="12"/>
  <c r="L2563" i="12" s="1"/>
  <c r="K2419" i="12"/>
  <c r="L2419" i="12" s="1"/>
  <c r="K2707" i="12"/>
  <c r="L2707" i="12" s="1"/>
  <c r="K2851" i="12"/>
  <c r="L2851" i="12" s="1"/>
  <c r="K2923" i="12"/>
  <c r="L2923" i="12" s="1"/>
  <c r="K2491" i="12"/>
  <c r="L2491" i="12" s="1"/>
  <c r="K2671" i="12"/>
  <c r="L2671" i="12" s="1"/>
  <c r="K2311" i="12"/>
  <c r="L2311" i="12" s="1"/>
  <c r="K2455" i="12"/>
  <c r="L2455" i="12" s="1"/>
  <c r="K2347" i="12"/>
  <c r="L2347" i="12" s="1"/>
  <c r="K2635" i="12"/>
  <c r="L2635" i="12" s="1"/>
  <c r="K2779" i="12"/>
  <c r="L2779" i="12" s="1"/>
  <c r="K2599" i="12"/>
  <c r="L2599" i="12" s="1"/>
  <c r="K2887" i="12"/>
  <c r="L2887" i="12" s="1"/>
  <c r="K2527" i="12"/>
  <c r="L2527" i="12" s="1"/>
  <c r="K2383" i="12"/>
  <c r="L2383" i="12" s="1"/>
  <c r="K2275" i="12"/>
  <c r="L2275" i="12" s="1"/>
  <c r="K2816" i="12"/>
  <c r="L2816" i="12" s="1"/>
  <c r="K2744" i="12"/>
  <c r="L2744" i="12" s="1"/>
  <c r="K2564" i="12"/>
  <c r="L2564" i="12" s="1"/>
  <c r="K2420" i="12"/>
  <c r="L2420" i="12" s="1"/>
  <c r="K2708" i="12"/>
  <c r="L2708" i="12" s="1"/>
  <c r="K2852" i="12"/>
  <c r="L2852" i="12" s="1"/>
  <c r="K2924" i="12"/>
  <c r="L2924" i="12" s="1"/>
  <c r="K2492" i="12"/>
  <c r="L2492" i="12" s="1"/>
  <c r="K2672" i="12"/>
  <c r="L2672" i="12" s="1"/>
  <c r="K2312" i="12"/>
  <c r="L2312" i="12" s="1"/>
  <c r="K2456" i="12"/>
  <c r="L2456" i="12" s="1"/>
  <c r="K2348" i="12"/>
  <c r="L2348" i="12" s="1"/>
  <c r="K2636" i="12"/>
  <c r="L2636" i="12" s="1"/>
  <c r="K2780" i="12"/>
  <c r="L2780" i="12" s="1"/>
  <c r="K2600" i="12"/>
  <c r="L2600" i="12" s="1"/>
  <c r="K2888" i="12"/>
  <c r="L2888" i="12" s="1"/>
  <c r="K2528" i="12"/>
  <c r="L2528" i="12" s="1"/>
  <c r="K2384" i="12"/>
  <c r="L2384" i="12" s="1"/>
  <c r="K2276" i="12"/>
  <c r="L2276" i="12" s="1"/>
  <c r="K2817" i="12"/>
  <c r="L2817" i="12" s="1"/>
  <c r="K2745" i="12"/>
  <c r="L2745" i="12" s="1"/>
  <c r="K2565" i="12"/>
  <c r="L2565" i="12" s="1"/>
  <c r="K2421" i="12"/>
  <c r="L2421" i="12" s="1"/>
  <c r="K2709" i="12"/>
  <c r="L2709" i="12" s="1"/>
  <c r="K2853" i="12"/>
  <c r="L2853" i="12" s="1"/>
  <c r="K2925" i="12"/>
  <c r="L2925" i="12" s="1"/>
  <c r="K2493" i="12"/>
  <c r="L2493" i="12" s="1"/>
  <c r="K2673" i="12"/>
  <c r="L2673" i="12" s="1"/>
  <c r="K2313" i="12"/>
  <c r="L2313" i="12" s="1"/>
  <c r="K2457" i="12"/>
  <c r="L2457" i="12" s="1"/>
  <c r="K2349" i="12"/>
  <c r="L2349" i="12" s="1"/>
  <c r="K2637" i="12"/>
  <c r="L2637" i="12" s="1"/>
  <c r="K2781" i="12"/>
  <c r="L2781" i="12" s="1"/>
  <c r="K2601" i="12"/>
  <c r="L2601" i="12" s="1"/>
  <c r="K2889" i="12"/>
  <c r="L2889" i="12" s="1"/>
  <c r="K2529" i="12"/>
  <c r="L2529" i="12" s="1"/>
  <c r="K2385" i="12"/>
  <c r="L2385" i="12" s="1"/>
  <c r="K2277" i="12"/>
  <c r="L2277" i="12" s="1"/>
  <c r="K2818" i="12"/>
  <c r="L2818" i="12" s="1"/>
  <c r="K2746" i="12"/>
  <c r="L2746" i="12" s="1"/>
  <c r="K2566" i="12"/>
  <c r="L2566" i="12" s="1"/>
  <c r="K2422" i="12"/>
  <c r="L2422" i="12" s="1"/>
  <c r="K2710" i="12"/>
  <c r="L2710" i="12" s="1"/>
  <c r="K2854" i="12"/>
  <c r="L2854" i="12" s="1"/>
  <c r="K2926" i="12"/>
  <c r="L2926" i="12" s="1"/>
  <c r="K2494" i="12"/>
  <c r="L2494" i="12" s="1"/>
  <c r="K2674" i="12"/>
  <c r="L2674" i="12" s="1"/>
  <c r="K2314" i="12"/>
  <c r="L2314" i="12" s="1"/>
  <c r="K2458" i="12"/>
  <c r="L2458" i="12" s="1"/>
  <c r="K2350" i="12"/>
  <c r="L2350" i="12" s="1"/>
  <c r="K2638" i="12"/>
  <c r="L2638" i="12" s="1"/>
  <c r="K2782" i="12"/>
  <c r="L2782" i="12" s="1"/>
  <c r="K2602" i="12"/>
  <c r="L2602" i="12" s="1"/>
  <c r="K2890" i="12"/>
  <c r="L2890" i="12" s="1"/>
  <c r="K2530" i="12"/>
  <c r="L2530" i="12" s="1"/>
  <c r="K2386" i="12"/>
  <c r="L2386" i="12" s="1"/>
  <c r="K2278" i="12"/>
  <c r="L2278" i="12" s="1"/>
  <c r="K2819" i="12"/>
  <c r="L2819" i="12" s="1"/>
  <c r="K2747" i="12"/>
  <c r="L2747" i="12" s="1"/>
  <c r="K2567" i="12"/>
  <c r="L2567" i="12" s="1"/>
  <c r="K2423" i="12"/>
  <c r="L2423" i="12" s="1"/>
  <c r="K2711" i="12"/>
  <c r="L2711" i="12" s="1"/>
  <c r="K2855" i="12"/>
  <c r="L2855" i="12" s="1"/>
  <c r="K2927" i="12"/>
  <c r="L2927" i="12" s="1"/>
  <c r="K2495" i="12"/>
  <c r="L2495" i="12" s="1"/>
  <c r="K2675" i="12"/>
  <c r="L2675" i="12" s="1"/>
  <c r="K2315" i="12"/>
  <c r="L2315" i="12" s="1"/>
  <c r="K2459" i="12"/>
  <c r="L2459" i="12" s="1"/>
  <c r="K2351" i="12"/>
  <c r="L2351" i="12" s="1"/>
  <c r="K2639" i="12"/>
  <c r="L2639" i="12" s="1"/>
  <c r="K2783" i="12"/>
  <c r="L2783" i="12" s="1"/>
  <c r="K2603" i="12"/>
  <c r="L2603" i="12" s="1"/>
  <c r="K2891" i="12"/>
  <c r="L2891" i="12" s="1"/>
  <c r="K2531" i="12"/>
  <c r="L2531" i="12" s="1"/>
  <c r="K2387" i="12"/>
  <c r="L2387" i="12" s="1"/>
  <c r="K2279" i="12"/>
  <c r="L2279" i="12" s="1"/>
  <c r="K2820" i="12"/>
  <c r="L2820" i="12" s="1"/>
  <c r="K2748" i="12"/>
  <c r="L2748" i="12" s="1"/>
  <c r="K2568" i="12"/>
  <c r="L2568" i="12" s="1"/>
  <c r="K2424" i="12"/>
  <c r="L2424" i="12" s="1"/>
  <c r="K2712" i="12"/>
  <c r="L2712" i="12" s="1"/>
  <c r="K2856" i="12"/>
  <c r="L2856" i="12" s="1"/>
  <c r="K2928" i="12"/>
  <c r="L2928" i="12" s="1"/>
  <c r="K2496" i="12"/>
  <c r="L2496" i="12" s="1"/>
  <c r="K2676" i="12"/>
  <c r="L2676" i="12" s="1"/>
  <c r="K2316" i="12"/>
  <c r="L2316" i="12" s="1"/>
  <c r="K2460" i="12"/>
  <c r="L2460" i="12" s="1"/>
  <c r="K2352" i="12"/>
  <c r="L2352" i="12" s="1"/>
  <c r="K2640" i="12"/>
  <c r="L2640" i="12" s="1"/>
  <c r="K2784" i="12"/>
  <c r="L2784" i="12" s="1"/>
  <c r="K2604" i="12"/>
  <c r="L2604" i="12" s="1"/>
  <c r="K2892" i="12"/>
  <c r="L2892" i="12" s="1"/>
  <c r="K2532" i="12"/>
  <c r="L2532" i="12" s="1"/>
  <c r="K2388" i="12"/>
  <c r="L2388" i="12" s="1"/>
  <c r="K2280" i="12"/>
  <c r="L2280" i="12" s="1"/>
  <c r="K2821" i="12"/>
  <c r="L2821" i="12" s="1"/>
  <c r="K2749" i="12"/>
  <c r="L2749" i="12" s="1"/>
  <c r="K2569" i="12"/>
  <c r="L2569" i="12" s="1"/>
  <c r="K2425" i="12"/>
  <c r="L2425" i="12" s="1"/>
  <c r="K2713" i="12"/>
  <c r="L2713" i="12" s="1"/>
  <c r="K2857" i="12"/>
  <c r="L2857" i="12" s="1"/>
  <c r="K2929" i="12"/>
  <c r="L2929" i="12" s="1"/>
  <c r="K2497" i="12"/>
  <c r="L2497" i="12" s="1"/>
  <c r="K2677" i="12"/>
  <c r="L2677" i="12" s="1"/>
  <c r="K2317" i="12"/>
  <c r="L2317" i="12" s="1"/>
  <c r="K2461" i="12"/>
  <c r="L2461" i="12" s="1"/>
  <c r="K2353" i="12"/>
  <c r="L2353" i="12" s="1"/>
  <c r="K2641" i="12"/>
  <c r="L2641" i="12" s="1"/>
  <c r="K2785" i="12"/>
  <c r="L2785" i="12" s="1"/>
  <c r="K2605" i="12"/>
  <c r="L2605" i="12" s="1"/>
  <c r="K2893" i="12"/>
  <c r="L2893" i="12" s="1"/>
  <c r="K2533" i="12"/>
  <c r="L2533" i="12" s="1"/>
  <c r="K2389" i="12"/>
  <c r="L2389" i="12" s="1"/>
  <c r="K2281" i="12"/>
  <c r="L2281" i="12" s="1"/>
  <c r="K2822" i="12"/>
  <c r="L2822" i="12" s="1"/>
  <c r="K2750" i="12"/>
  <c r="L2750" i="12" s="1"/>
  <c r="K2570" i="12"/>
  <c r="L2570" i="12" s="1"/>
  <c r="K2426" i="12"/>
  <c r="L2426" i="12" s="1"/>
  <c r="K2714" i="12"/>
  <c r="L2714" i="12" s="1"/>
  <c r="K2858" i="12"/>
  <c r="L2858" i="12" s="1"/>
  <c r="K2930" i="12"/>
  <c r="L2930" i="12" s="1"/>
  <c r="K2498" i="12"/>
  <c r="L2498" i="12" s="1"/>
  <c r="K2678" i="12"/>
  <c r="L2678" i="12" s="1"/>
  <c r="K2318" i="12"/>
  <c r="L2318" i="12" s="1"/>
  <c r="K2462" i="12"/>
  <c r="L2462" i="12" s="1"/>
  <c r="K2354" i="12"/>
  <c r="L2354" i="12" s="1"/>
  <c r="K2642" i="12"/>
  <c r="L2642" i="12" s="1"/>
  <c r="K2786" i="12"/>
  <c r="L2786" i="12" s="1"/>
  <c r="K2606" i="12"/>
  <c r="L2606" i="12" s="1"/>
  <c r="K2894" i="12"/>
  <c r="L2894" i="12" s="1"/>
  <c r="K2534" i="12"/>
  <c r="L2534" i="12" s="1"/>
  <c r="K2390" i="12"/>
  <c r="L2390" i="12" s="1"/>
  <c r="K2282" i="12"/>
  <c r="L2282" i="12" s="1"/>
  <c r="K2823" i="12"/>
  <c r="L2823" i="12" s="1"/>
  <c r="K2751" i="12"/>
  <c r="L2751" i="12" s="1"/>
  <c r="K2571" i="12"/>
  <c r="L2571" i="12" s="1"/>
  <c r="K2427" i="12"/>
  <c r="L2427" i="12" s="1"/>
  <c r="K2715" i="12"/>
  <c r="L2715" i="12" s="1"/>
  <c r="K2859" i="12"/>
  <c r="L2859" i="12" s="1"/>
  <c r="K2931" i="12"/>
  <c r="L2931" i="12" s="1"/>
  <c r="K2499" i="12"/>
  <c r="L2499" i="12" s="1"/>
  <c r="K2679" i="12"/>
  <c r="L2679" i="12" s="1"/>
  <c r="K2319" i="12"/>
  <c r="L2319" i="12" s="1"/>
  <c r="K2463" i="12"/>
  <c r="L2463" i="12" s="1"/>
  <c r="K2355" i="12"/>
  <c r="L2355" i="12" s="1"/>
  <c r="K2643" i="12"/>
  <c r="L2643" i="12" s="1"/>
  <c r="K2787" i="12"/>
  <c r="L2787" i="12" s="1"/>
  <c r="K2607" i="12"/>
  <c r="L2607" i="12" s="1"/>
  <c r="K2895" i="12"/>
  <c r="L2895" i="12" s="1"/>
  <c r="K2535" i="12"/>
  <c r="L2535" i="12" s="1"/>
  <c r="K2391" i="12"/>
  <c r="L2391" i="12" s="1"/>
  <c r="K2283" i="12"/>
  <c r="L2283" i="12" s="1"/>
  <c r="K2824" i="12"/>
  <c r="L2824" i="12" s="1"/>
  <c r="K2752" i="12"/>
  <c r="L2752" i="12" s="1"/>
  <c r="K2572" i="12"/>
  <c r="L2572" i="12" s="1"/>
  <c r="K2428" i="12"/>
  <c r="L2428" i="12" s="1"/>
  <c r="K2716" i="12"/>
  <c r="L2716" i="12" s="1"/>
  <c r="K2860" i="12"/>
  <c r="L2860" i="12" s="1"/>
  <c r="K2932" i="12"/>
  <c r="L2932" i="12" s="1"/>
  <c r="K2500" i="12"/>
  <c r="L2500" i="12" s="1"/>
  <c r="K2680" i="12"/>
  <c r="L2680" i="12" s="1"/>
  <c r="K2320" i="12"/>
  <c r="L2320" i="12" s="1"/>
  <c r="K2464" i="12"/>
  <c r="L2464" i="12" s="1"/>
  <c r="K2356" i="12"/>
  <c r="L2356" i="12" s="1"/>
  <c r="K2644" i="12"/>
  <c r="L2644" i="12" s="1"/>
  <c r="K2788" i="12"/>
  <c r="L2788" i="12" s="1"/>
  <c r="K2608" i="12"/>
  <c r="L2608" i="12" s="1"/>
  <c r="K2896" i="12"/>
  <c r="L2896" i="12" s="1"/>
  <c r="K2536" i="12"/>
  <c r="L2536" i="12" s="1"/>
  <c r="K2392" i="12"/>
  <c r="L2392" i="12" s="1"/>
  <c r="K2284" i="12"/>
  <c r="L2284" i="12" s="1"/>
  <c r="K2825" i="12"/>
  <c r="L2825" i="12" s="1"/>
  <c r="K2753" i="12"/>
  <c r="L2753" i="12" s="1"/>
  <c r="K2573" i="12"/>
  <c r="L2573" i="12" s="1"/>
  <c r="K2429" i="12"/>
  <c r="L2429" i="12" s="1"/>
  <c r="K2717" i="12"/>
  <c r="L2717" i="12" s="1"/>
  <c r="K2861" i="12"/>
  <c r="L2861" i="12" s="1"/>
  <c r="K2933" i="12"/>
  <c r="L2933" i="12" s="1"/>
  <c r="K2501" i="12"/>
  <c r="L2501" i="12" s="1"/>
  <c r="K2681" i="12"/>
  <c r="L2681" i="12" s="1"/>
  <c r="K2321" i="12"/>
  <c r="L2321" i="12" s="1"/>
  <c r="K2465" i="12"/>
  <c r="L2465" i="12" s="1"/>
  <c r="K2357" i="12"/>
  <c r="L2357" i="12" s="1"/>
  <c r="K2645" i="12"/>
  <c r="L2645" i="12" s="1"/>
  <c r="K2789" i="12"/>
  <c r="L2789" i="12" s="1"/>
  <c r="K2609" i="12"/>
  <c r="L2609" i="12" s="1"/>
  <c r="K2897" i="12"/>
  <c r="L2897" i="12" s="1"/>
  <c r="K2537" i="12"/>
  <c r="L2537" i="12" s="1"/>
  <c r="K2393" i="12"/>
  <c r="L2393" i="12" s="1"/>
  <c r="K2285" i="12"/>
  <c r="L2285" i="12" s="1"/>
  <c r="K2826" i="12"/>
  <c r="L2826" i="12" s="1"/>
  <c r="K2754" i="12"/>
  <c r="L2754" i="12" s="1"/>
  <c r="K2574" i="12"/>
  <c r="L2574" i="12" s="1"/>
  <c r="K2430" i="12"/>
  <c r="L2430" i="12" s="1"/>
  <c r="K2718" i="12"/>
  <c r="L2718" i="12" s="1"/>
  <c r="K2862" i="12"/>
  <c r="L2862" i="12" s="1"/>
  <c r="K2934" i="12"/>
  <c r="L2934" i="12" s="1"/>
  <c r="K2502" i="12"/>
  <c r="L2502" i="12" s="1"/>
  <c r="K2682" i="12"/>
  <c r="L2682" i="12" s="1"/>
  <c r="K2322" i="12"/>
  <c r="L2322" i="12" s="1"/>
  <c r="K2466" i="12"/>
  <c r="L2466" i="12" s="1"/>
  <c r="K2358" i="12"/>
  <c r="L2358" i="12" s="1"/>
  <c r="K2646" i="12"/>
  <c r="L2646" i="12" s="1"/>
  <c r="K2790" i="12"/>
  <c r="L2790" i="12" s="1"/>
  <c r="K2610" i="12"/>
  <c r="L2610" i="12" s="1"/>
  <c r="K2898" i="12"/>
  <c r="L2898" i="12" s="1"/>
  <c r="K2538" i="12"/>
  <c r="L2538" i="12" s="1"/>
  <c r="K2394" i="12"/>
  <c r="L2394" i="12" s="1"/>
  <c r="K2286" i="12"/>
  <c r="L2286" i="12" s="1"/>
  <c r="K2827" i="12"/>
  <c r="L2827" i="12" s="1"/>
  <c r="K2755" i="12"/>
  <c r="L2755" i="12" s="1"/>
  <c r="K2575" i="12"/>
  <c r="L2575" i="12" s="1"/>
  <c r="K2431" i="12"/>
  <c r="L2431" i="12" s="1"/>
  <c r="K2719" i="12"/>
  <c r="L2719" i="12" s="1"/>
  <c r="K2863" i="12"/>
  <c r="L2863" i="12" s="1"/>
  <c r="K2935" i="12"/>
  <c r="L2935" i="12" s="1"/>
  <c r="K2503" i="12"/>
  <c r="L2503" i="12" s="1"/>
  <c r="K2683" i="12"/>
  <c r="L2683" i="12" s="1"/>
  <c r="K2323" i="12"/>
  <c r="L2323" i="12" s="1"/>
  <c r="K2467" i="12"/>
  <c r="L2467" i="12" s="1"/>
  <c r="K2359" i="12"/>
  <c r="L2359" i="12" s="1"/>
  <c r="K2647" i="12"/>
  <c r="L2647" i="12" s="1"/>
  <c r="K2791" i="12"/>
  <c r="L2791" i="12" s="1"/>
  <c r="K2611" i="12"/>
  <c r="L2611" i="12" s="1"/>
  <c r="K2899" i="12"/>
  <c r="L2899" i="12" s="1"/>
  <c r="K2539" i="12"/>
  <c r="L2539" i="12" s="1"/>
  <c r="K2395" i="12"/>
  <c r="L2395" i="12" s="1"/>
  <c r="K2287" i="12"/>
  <c r="L2287" i="12" s="1"/>
  <c r="K2828" i="12"/>
  <c r="L2828" i="12" s="1"/>
  <c r="K2756" i="12"/>
  <c r="L2756" i="12" s="1"/>
  <c r="K2576" i="12"/>
  <c r="L2576" i="12" s="1"/>
  <c r="K2432" i="12"/>
  <c r="L2432" i="12" s="1"/>
  <c r="K2720" i="12"/>
  <c r="L2720" i="12" s="1"/>
  <c r="K2864" i="12"/>
  <c r="L2864" i="12" s="1"/>
  <c r="K2936" i="12"/>
  <c r="L2936" i="12" s="1"/>
  <c r="K2504" i="12"/>
  <c r="L2504" i="12" s="1"/>
  <c r="K2684" i="12"/>
  <c r="L2684" i="12" s="1"/>
  <c r="K2324" i="12"/>
  <c r="L2324" i="12" s="1"/>
  <c r="K2468" i="12"/>
  <c r="L2468" i="12" s="1"/>
  <c r="K2360" i="12"/>
  <c r="L2360" i="12" s="1"/>
  <c r="K2648" i="12"/>
  <c r="L2648" i="12" s="1"/>
  <c r="K2792" i="12"/>
  <c r="L2792" i="12" s="1"/>
  <c r="K2612" i="12"/>
  <c r="L2612" i="12" s="1"/>
  <c r="K2900" i="12"/>
  <c r="L2900" i="12" s="1"/>
  <c r="K2540" i="12"/>
  <c r="L2540" i="12" s="1"/>
  <c r="K2396" i="12"/>
  <c r="L2396" i="12" s="1"/>
  <c r="K2288" i="12"/>
  <c r="L2288" i="12" s="1"/>
  <c r="K2829" i="12"/>
  <c r="L2829" i="12" s="1"/>
  <c r="K2757" i="12"/>
  <c r="L2757" i="12" s="1"/>
  <c r="K2577" i="12"/>
  <c r="L2577" i="12" s="1"/>
  <c r="K2433" i="12"/>
  <c r="L2433" i="12" s="1"/>
  <c r="K2721" i="12"/>
  <c r="L2721" i="12" s="1"/>
  <c r="K2865" i="12"/>
  <c r="L2865" i="12" s="1"/>
  <c r="K2937" i="12"/>
  <c r="L2937" i="12" s="1"/>
  <c r="K2505" i="12"/>
  <c r="L2505" i="12" s="1"/>
  <c r="K2685" i="12"/>
  <c r="L2685" i="12" s="1"/>
  <c r="K2325" i="12"/>
  <c r="L2325" i="12" s="1"/>
  <c r="K2469" i="12"/>
  <c r="L2469" i="12" s="1"/>
  <c r="K2361" i="12"/>
  <c r="L2361" i="12" s="1"/>
  <c r="K2649" i="12"/>
  <c r="L2649" i="12" s="1"/>
  <c r="K2793" i="12"/>
  <c r="L2793" i="12" s="1"/>
  <c r="K2613" i="12"/>
  <c r="L2613" i="12" s="1"/>
  <c r="K2901" i="12"/>
  <c r="L2901" i="12" s="1"/>
  <c r="K2541" i="12"/>
  <c r="L2541" i="12" s="1"/>
  <c r="K2397" i="12"/>
  <c r="L2397" i="12" s="1"/>
  <c r="K2289" i="12"/>
  <c r="L2289" i="12" s="1"/>
  <c r="K2830" i="12"/>
  <c r="L2830" i="12" s="1"/>
  <c r="K2758" i="12"/>
  <c r="L2758" i="12" s="1"/>
  <c r="K2578" i="12"/>
  <c r="L2578" i="12" s="1"/>
  <c r="K2434" i="12"/>
  <c r="L2434" i="12" s="1"/>
  <c r="K2722" i="12"/>
  <c r="L2722" i="12" s="1"/>
  <c r="K2866" i="12"/>
  <c r="L2866" i="12" s="1"/>
  <c r="K2938" i="12"/>
  <c r="L2938" i="12" s="1"/>
  <c r="K2506" i="12"/>
  <c r="L2506" i="12" s="1"/>
  <c r="K2686" i="12"/>
  <c r="L2686" i="12" s="1"/>
  <c r="K2326" i="12"/>
  <c r="L2326" i="12" s="1"/>
  <c r="K2470" i="12"/>
  <c r="L2470" i="12" s="1"/>
  <c r="K2362" i="12"/>
  <c r="L2362" i="12" s="1"/>
  <c r="K2650" i="12"/>
  <c r="L2650" i="12" s="1"/>
  <c r="K2794" i="12"/>
  <c r="L2794" i="12" s="1"/>
  <c r="K2614" i="12"/>
  <c r="L2614" i="12" s="1"/>
  <c r="K2902" i="12"/>
  <c r="L2902" i="12" s="1"/>
  <c r="K2542" i="12"/>
  <c r="L2542" i="12" s="1"/>
  <c r="K2398" i="12"/>
  <c r="L2398" i="12" s="1"/>
  <c r="K2290" i="12"/>
  <c r="L2290" i="12" s="1"/>
  <c r="K2831" i="12"/>
  <c r="L2831" i="12" s="1"/>
  <c r="K2759" i="12"/>
  <c r="L2759" i="12" s="1"/>
  <c r="K2579" i="12"/>
  <c r="L2579" i="12" s="1"/>
  <c r="K2435" i="12"/>
  <c r="L2435" i="12" s="1"/>
  <c r="K2723" i="12"/>
  <c r="L2723" i="12" s="1"/>
  <c r="K2867" i="12"/>
  <c r="L2867" i="12" s="1"/>
  <c r="K2939" i="12"/>
  <c r="L2939" i="12" s="1"/>
  <c r="K2507" i="12"/>
  <c r="L2507" i="12" s="1"/>
  <c r="K2687" i="12"/>
  <c r="L2687" i="12" s="1"/>
  <c r="K2327" i="12"/>
  <c r="L2327" i="12" s="1"/>
  <c r="K2471" i="12"/>
  <c r="L2471" i="12" s="1"/>
  <c r="K2363" i="12"/>
  <c r="L2363" i="12" s="1"/>
  <c r="K2651" i="12"/>
  <c r="L2651" i="12" s="1"/>
  <c r="K2795" i="12"/>
  <c r="L2795" i="12" s="1"/>
  <c r="K2615" i="12"/>
  <c r="L2615" i="12" s="1"/>
  <c r="K2903" i="12"/>
  <c r="L2903" i="12" s="1"/>
  <c r="K2543" i="12"/>
  <c r="L2543" i="12" s="1"/>
  <c r="K2399" i="12"/>
  <c r="L2399" i="12" s="1"/>
  <c r="K2291" i="12"/>
  <c r="L2291" i="12" s="1"/>
  <c r="K2832" i="12"/>
  <c r="L2832" i="12" s="1"/>
  <c r="K2760" i="12"/>
  <c r="L2760" i="12" s="1"/>
  <c r="K2580" i="12"/>
  <c r="L2580" i="12" s="1"/>
  <c r="K2436" i="12"/>
  <c r="L2436" i="12" s="1"/>
  <c r="K2724" i="12"/>
  <c r="L2724" i="12" s="1"/>
  <c r="K2868" i="12"/>
  <c r="L2868" i="12" s="1"/>
  <c r="K2940" i="12"/>
  <c r="L2940" i="12" s="1"/>
  <c r="K2508" i="12"/>
  <c r="L2508" i="12" s="1"/>
  <c r="K2688" i="12"/>
  <c r="L2688" i="12" s="1"/>
  <c r="K2328" i="12"/>
  <c r="L2328" i="12" s="1"/>
  <c r="K2472" i="12"/>
  <c r="L2472" i="12" s="1"/>
  <c r="K2364" i="12"/>
  <c r="L2364" i="12" s="1"/>
  <c r="K2652" i="12"/>
  <c r="L2652" i="12" s="1"/>
  <c r="K2796" i="12"/>
  <c r="L2796" i="12" s="1"/>
  <c r="K2616" i="12"/>
  <c r="L2616" i="12" s="1"/>
  <c r="K2904" i="12"/>
  <c r="L2904" i="12" s="1"/>
  <c r="K2544" i="12"/>
  <c r="L2544" i="12" s="1"/>
  <c r="K2400" i="12"/>
  <c r="L2400" i="12" s="1"/>
  <c r="K2292" i="12"/>
  <c r="L2292" i="12" s="1"/>
  <c r="K2833" i="12"/>
  <c r="L2833" i="12" s="1"/>
  <c r="K2761" i="12"/>
  <c r="L2761" i="12" s="1"/>
  <c r="K2581" i="12"/>
  <c r="L2581" i="12" s="1"/>
  <c r="K2437" i="12"/>
  <c r="L2437" i="12" s="1"/>
  <c r="K2725" i="12"/>
  <c r="L2725" i="12" s="1"/>
  <c r="K2869" i="12"/>
  <c r="L2869" i="12" s="1"/>
  <c r="K2941" i="12"/>
  <c r="L2941" i="12" s="1"/>
  <c r="K2509" i="12"/>
  <c r="L2509" i="12" s="1"/>
  <c r="K2689" i="12"/>
  <c r="L2689" i="12" s="1"/>
  <c r="K2329" i="12"/>
  <c r="L2329" i="12" s="1"/>
  <c r="K2473" i="12"/>
  <c r="L2473" i="12" s="1"/>
  <c r="K2365" i="12"/>
  <c r="L2365" i="12" s="1"/>
  <c r="K2653" i="12"/>
  <c r="L2653" i="12" s="1"/>
  <c r="K2797" i="12"/>
  <c r="L2797" i="12" s="1"/>
  <c r="K2617" i="12"/>
  <c r="L2617" i="12" s="1"/>
  <c r="K2905" i="12"/>
  <c r="L2905" i="12" s="1"/>
  <c r="K2545" i="12"/>
  <c r="L2545" i="12" s="1"/>
  <c r="K2401" i="12"/>
  <c r="L2401" i="12" s="1"/>
  <c r="K2293" i="12"/>
  <c r="L2293" i="12" s="1"/>
  <c r="K2834" i="12"/>
  <c r="L2834" i="12" s="1"/>
  <c r="K2762" i="12"/>
  <c r="L2762" i="12" s="1"/>
  <c r="K2582" i="12"/>
  <c r="L2582" i="12" s="1"/>
  <c r="K2438" i="12"/>
  <c r="L2438" i="12" s="1"/>
  <c r="K2726" i="12"/>
  <c r="L2726" i="12" s="1"/>
  <c r="K2870" i="12"/>
  <c r="L2870" i="12" s="1"/>
  <c r="K2942" i="12"/>
  <c r="L2942" i="12" s="1"/>
  <c r="K2510" i="12"/>
  <c r="L2510" i="12" s="1"/>
  <c r="K2690" i="12"/>
  <c r="L2690" i="12" s="1"/>
  <c r="K2330" i="12"/>
  <c r="L2330" i="12" s="1"/>
  <c r="K2474" i="12"/>
  <c r="L2474" i="12" s="1"/>
  <c r="K2366" i="12"/>
  <c r="L2366" i="12" s="1"/>
  <c r="K2654" i="12"/>
  <c r="L2654" i="12" s="1"/>
  <c r="K2798" i="12"/>
  <c r="L2798" i="12" s="1"/>
  <c r="K2618" i="12"/>
  <c r="L2618" i="12" s="1"/>
  <c r="K2906" i="12"/>
  <c r="L2906" i="12" s="1"/>
  <c r="K2546" i="12"/>
  <c r="L2546" i="12" s="1"/>
  <c r="K2402" i="12"/>
  <c r="L2402" i="12" s="1"/>
  <c r="K2294" i="12"/>
  <c r="L2294" i="12" s="1"/>
  <c r="K2835" i="12"/>
  <c r="L2835" i="12" s="1"/>
  <c r="K2763" i="12"/>
  <c r="L2763" i="12" s="1"/>
  <c r="K2583" i="12"/>
  <c r="L2583" i="12" s="1"/>
  <c r="K2439" i="12"/>
  <c r="L2439" i="12" s="1"/>
  <c r="K2727" i="12"/>
  <c r="L2727" i="12" s="1"/>
  <c r="K2871" i="12"/>
  <c r="L2871" i="12" s="1"/>
  <c r="K2943" i="12"/>
  <c r="L2943" i="12" s="1"/>
  <c r="K2511" i="12"/>
  <c r="L2511" i="12" s="1"/>
  <c r="K2691" i="12"/>
  <c r="L2691" i="12" s="1"/>
  <c r="K2331" i="12"/>
  <c r="L2331" i="12" s="1"/>
  <c r="K2475" i="12"/>
  <c r="L2475" i="12" s="1"/>
  <c r="K2367" i="12"/>
  <c r="L2367" i="12" s="1"/>
  <c r="K2655" i="12"/>
  <c r="L2655" i="12" s="1"/>
  <c r="K2799" i="12"/>
  <c r="L2799" i="12" s="1"/>
  <c r="K2619" i="12"/>
  <c r="L2619" i="12" s="1"/>
  <c r="K2907" i="12"/>
  <c r="L2907" i="12" s="1"/>
  <c r="K2547" i="12"/>
  <c r="L2547" i="12" s="1"/>
  <c r="K2403" i="12"/>
  <c r="L2403" i="12" s="1"/>
  <c r="K2295" i="12"/>
  <c r="L2295" i="12" s="1"/>
  <c r="K2836" i="12"/>
  <c r="L2836" i="12" s="1"/>
  <c r="K2764" i="12"/>
  <c r="L2764" i="12" s="1"/>
  <c r="K2584" i="12"/>
  <c r="L2584" i="12" s="1"/>
  <c r="K2440" i="12"/>
  <c r="L2440" i="12" s="1"/>
  <c r="K2728" i="12"/>
  <c r="L2728" i="12" s="1"/>
  <c r="K2872" i="12"/>
  <c r="L2872" i="12" s="1"/>
  <c r="K2944" i="12"/>
  <c r="L2944" i="12" s="1"/>
  <c r="K2512" i="12"/>
  <c r="L2512" i="12" s="1"/>
  <c r="K2692" i="12"/>
  <c r="L2692" i="12" s="1"/>
  <c r="K2332" i="12"/>
  <c r="L2332" i="12" s="1"/>
  <c r="K2476" i="12"/>
  <c r="L2476" i="12" s="1"/>
  <c r="K2368" i="12"/>
  <c r="L2368" i="12" s="1"/>
  <c r="K2656" i="12"/>
  <c r="L2656" i="12" s="1"/>
  <c r="K2800" i="12"/>
  <c r="L2800" i="12" s="1"/>
  <c r="K2620" i="12"/>
  <c r="L2620" i="12" s="1"/>
  <c r="K2908" i="12"/>
  <c r="L2908" i="12" s="1"/>
  <c r="K2548" i="12"/>
  <c r="L2548" i="12" s="1"/>
  <c r="K2404" i="12"/>
  <c r="L2404" i="12" s="1"/>
  <c r="K2296" i="12"/>
  <c r="L2296" i="12" s="1"/>
  <c r="K2837" i="12"/>
  <c r="L2837" i="12" s="1"/>
  <c r="K2765" i="12"/>
  <c r="L2765" i="12" s="1"/>
  <c r="K2585" i="12"/>
  <c r="L2585" i="12" s="1"/>
  <c r="K2441" i="12"/>
  <c r="L2441" i="12" s="1"/>
  <c r="K2729" i="12"/>
  <c r="L2729" i="12" s="1"/>
  <c r="K2873" i="12"/>
  <c r="L2873" i="12" s="1"/>
  <c r="K2945" i="12"/>
  <c r="L2945" i="12" s="1"/>
  <c r="K2513" i="12"/>
  <c r="L2513" i="12" s="1"/>
  <c r="K2693" i="12"/>
  <c r="L2693" i="12" s="1"/>
  <c r="K2333" i="12"/>
  <c r="L2333" i="12" s="1"/>
  <c r="K2477" i="12"/>
  <c r="L2477" i="12" s="1"/>
  <c r="K2369" i="12"/>
  <c r="L2369" i="12" s="1"/>
  <c r="K2657" i="12"/>
  <c r="L2657" i="12" s="1"/>
  <c r="K2801" i="12"/>
  <c r="L2801" i="12" s="1"/>
  <c r="K2621" i="12"/>
  <c r="L2621" i="12" s="1"/>
  <c r="K2909" i="12"/>
  <c r="L2909" i="12" s="1"/>
  <c r="K2549" i="12"/>
  <c r="L2549" i="12" s="1"/>
  <c r="K2405" i="12"/>
  <c r="L2405" i="12" s="1"/>
  <c r="K2297" i="12"/>
  <c r="L2297" i="12" s="1"/>
  <c r="K2838" i="12"/>
  <c r="L2838" i="12" s="1"/>
  <c r="K2766" i="12"/>
  <c r="L2766" i="12" s="1"/>
  <c r="K2586" i="12"/>
  <c r="L2586" i="12" s="1"/>
  <c r="K2442" i="12"/>
  <c r="L2442" i="12" s="1"/>
  <c r="K2730" i="12"/>
  <c r="L2730" i="12" s="1"/>
  <c r="K2874" i="12"/>
  <c r="L2874" i="12" s="1"/>
  <c r="K2946" i="12"/>
  <c r="L2946" i="12" s="1"/>
  <c r="K2514" i="12"/>
  <c r="L2514" i="12" s="1"/>
  <c r="K2694" i="12"/>
  <c r="L2694" i="12" s="1"/>
  <c r="K2334" i="12"/>
  <c r="L2334" i="12" s="1"/>
  <c r="K2478" i="12"/>
  <c r="L2478" i="12" s="1"/>
  <c r="K2370" i="12"/>
  <c r="L2370" i="12" s="1"/>
  <c r="K2658" i="12"/>
  <c r="L2658" i="12" s="1"/>
  <c r="K2802" i="12"/>
  <c r="L2802" i="12" s="1"/>
  <c r="K2622" i="12"/>
  <c r="L2622" i="12" s="1"/>
  <c r="K2910" i="12"/>
  <c r="L2910" i="12" s="1"/>
  <c r="K2550" i="12"/>
  <c r="L2550" i="12" s="1"/>
  <c r="K2406" i="12"/>
  <c r="L2406" i="12" s="1"/>
  <c r="K2298" i="12"/>
  <c r="L2298" i="12" s="1"/>
  <c r="K2839" i="12"/>
  <c r="L2839" i="12" s="1"/>
  <c r="K2767" i="12"/>
  <c r="L2767" i="12" s="1"/>
  <c r="K2587" i="12"/>
  <c r="L2587" i="12" s="1"/>
  <c r="K2443" i="12"/>
  <c r="L2443" i="12" s="1"/>
  <c r="K2731" i="12"/>
  <c r="L2731" i="12" s="1"/>
  <c r="K2875" i="12"/>
  <c r="L2875" i="12" s="1"/>
  <c r="K2947" i="12"/>
  <c r="L2947" i="12" s="1"/>
  <c r="K2515" i="12"/>
  <c r="L2515" i="12" s="1"/>
  <c r="K2695" i="12"/>
  <c r="L2695" i="12" s="1"/>
  <c r="K2335" i="12"/>
  <c r="L2335" i="12" s="1"/>
  <c r="K2479" i="12"/>
  <c r="L2479" i="12" s="1"/>
  <c r="K2371" i="12"/>
  <c r="L2371" i="12" s="1"/>
  <c r="K2659" i="12"/>
  <c r="L2659" i="12" s="1"/>
  <c r="K2803" i="12"/>
  <c r="L2803" i="12" s="1"/>
  <c r="K2623" i="12"/>
  <c r="L2623" i="12" s="1"/>
  <c r="K2911" i="12"/>
  <c r="L2911" i="12" s="1"/>
  <c r="K2551" i="12"/>
  <c r="L2551" i="12" s="1"/>
  <c r="K2407" i="12"/>
  <c r="L2407" i="12" s="1"/>
  <c r="K2299" i="12"/>
  <c r="L2299" i="12" s="1"/>
  <c r="K2840" i="12"/>
  <c r="L2840" i="12" s="1"/>
  <c r="K2768" i="12"/>
  <c r="L2768" i="12" s="1"/>
  <c r="K2588" i="12"/>
  <c r="L2588" i="12" s="1"/>
  <c r="K2444" i="12"/>
  <c r="L2444" i="12" s="1"/>
  <c r="K2732" i="12"/>
  <c r="L2732" i="12" s="1"/>
  <c r="K2876" i="12"/>
  <c r="L2876" i="12" s="1"/>
  <c r="K2948" i="12"/>
  <c r="L2948" i="12" s="1"/>
  <c r="K2516" i="12"/>
  <c r="L2516" i="12" s="1"/>
  <c r="K2696" i="12"/>
  <c r="L2696" i="12" s="1"/>
  <c r="K2336" i="12"/>
  <c r="L2336" i="12" s="1"/>
  <c r="K2480" i="12"/>
  <c r="L2480" i="12" s="1"/>
  <c r="K2372" i="12"/>
  <c r="L2372" i="12" s="1"/>
  <c r="K2660" i="12"/>
  <c r="L2660" i="12" s="1"/>
  <c r="K2804" i="12"/>
  <c r="L2804" i="12" s="1"/>
  <c r="K2624" i="12"/>
  <c r="L2624" i="12" s="1"/>
  <c r="K2912" i="12"/>
  <c r="L2912" i="12" s="1"/>
  <c r="K2552" i="12"/>
  <c r="L2552" i="12" s="1"/>
  <c r="K2408" i="12"/>
  <c r="L2408" i="12" s="1"/>
  <c r="K2300" i="12"/>
  <c r="L2300" i="12" s="1"/>
  <c r="K2841" i="12"/>
  <c r="L2841" i="12" s="1"/>
  <c r="K2769" i="12"/>
  <c r="L2769" i="12" s="1"/>
  <c r="K2589" i="12"/>
  <c r="L2589" i="12" s="1"/>
  <c r="K2445" i="12"/>
  <c r="L2445" i="12" s="1"/>
  <c r="K2733" i="12"/>
  <c r="L2733" i="12" s="1"/>
  <c r="K2877" i="12"/>
  <c r="L2877" i="12" s="1"/>
  <c r="K2949" i="12"/>
  <c r="L2949" i="12" s="1"/>
  <c r="K2517" i="12"/>
  <c r="L2517" i="12" s="1"/>
  <c r="K2697" i="12"/>
  <c r="L2697" i="12" s="1"/>
  <c r="K2337" i="12"/>
  <c r="L2337" i="12" s="1"/>
  <c r="K2481" i="12"/>
  <c r="L2481" i="12" s="1"/>
  <c r="K2373" i="12"/>
  <c r="L2373" i="12" s="1"/>
  <c r="K2661" i="12"/>
  <c r="L2661" i="12" s="1"/>
  <c r="K2805" i="12"/>
  <c r="L2805" i="12" s="1"/>
  <c r="K2625" i="12"/>
  <c r="L2625" i="12" s="1"/>
  <c r="K2913" i="12"/>
  <c r="L2913" i="12" s="1"/>
  <c r="K2553" i="12"/>
  <c r="L2553" i="12" s="1"/>
  <c r="K2409" i="12"/>
  <c r="L2409" i="12" s="1"/>
  <c r="K2301" i="12"/>
  <c r="L2301" i="12" s="1"/>
  <c r="K2842" i="12"/>
  <c r="L2842" i="12" s="1"/>
  <c r="K2770" i="12"/>
  <c r="L2770" i="12" s="1"/>
  <c r="K2590" i="12"/>
  <c r="L2590" i="12" s="1"/>
  <c r="K2446" i="12"/>
  <c r="L2446" i="12" s="1"/>
  <c r="K2734" i="12"/>
  <c r="L2734" i="12" s="1"/>
  <c r="K2878" i="12"/>
  <c r="L2878" i="12" s="1"/>
  <c r="K2950" i="12"/>
  <c r="L2950" i="12" s="1"/>
  <c r="K2518" i="12"/>
  <c r="L2518" i="12" s="1"/>
  <c r="K2698" i="12"/>
  <c r="L2698" i="12" s="1"/>
  <c r="K2338" i="12"/>
  <c r="L2338" i="12" s="1"/>
  <c r="K2482" i="12"/>
  <c r="L2482" i="12" s="1"/>
  <c r="K2374" i="12"/>
  <c r="L2374" i="12" s="1"/>
  <c r="K2662" i="12"/>
  <c r="L2662" i="12" s="1"/>
  <c r="K2806" i="12"/>
  <c r="L2806" i="12" s="1"/>
  <c r="K2626" i="12"/>
  <c r="L2626" i="12" s="1"/>
  <c r="K2914" i="12"/>
  <c r="L2914" i="12" s="1"/>
  <c r="K2554" i="12"/>
  <c r="L2554" i="12" s="1"/>
  <c r="K2410" i="12"/>
  <c r="L2410" i="12" s="1"/>
  <c r="K2302" i="12"/>
  <c r="L2302" i="12" s="1"/>
  <c r="K2843" i="12"/>
  <c r="L2843" i="12" s="1"/>
  <c r="K2771" i="12"/>
  <c r="L2771" i="12" s="1"/>
  <c r="K2591" i="12"/>
  <c r="L2591" i="12" s="1"/>
  <c r="K2447" i="12"/>
  <c r="L2447" i="12" s="1"/>
  <c r="K2735" i="12"/>
  <c r="L2735" i="12" s="1"/>
  <c r="K2879" i="12"/>
  <c r="L2879" i="12" s="1"/>
  <c r="K2951" i="12"/>
  <c r="L2951" i="12" s="1"/>
  <c r="K2519" i="12"/>
  <c r="L2519" i="12" s="1"/>
  <c r="K2699" i="12"/>
  <c r="L2699" i="12" s="1"/>
  <c r="K2339" i="12"/>
  <c r="L2339" i="12" s="1"/>
  <c r="K2483" i="12"/>
  <c r="L2483" i="12" s="1"/>
  <c r="K2375" i="12"/>
  <c r="L2375" i="12" s="1"/>
  <c r="K2663" i="12"/>
  <c r="L2663" i="12" s="1"/>
  <c r="K2807" i="12"/>
  <c r="L2807" i="12" s="1"/>
  <c r="K2627" i="12"/>
  <c r="L2627" i="12" s="1"/>
  <c r="K2915" i="12"/>
  <c r="L2915" i="12" s="1"/>
  <c r="K2555" i="12"/>
  <c r="L2555" i="12" s="1"/>
  <c r="K2411" i="12"/>
  <c r="L2411" i="12" s="1"/>
  <c r="K2303" i="12"/>
  <c r="L2303" i="12" s="1"/>
  <c r="K2844" i="12"/>
  <c r="L2844" i="12" s="1"/>
  <c r="K2772" i="12"/>
  <c r="L2772" i="12" s="1"/>
  <c r="K2592" i="12"/>
  <c r="L2592" i="12" s="1"/>
  <c r="K2448" i="12"/>
  <c r="L2448" i="12" s="1"/>
  <c r="K2736" i="12"/>
  <c r="L2736" i="12" s="1"/>
  <c r="K2880" i="12"/>
  <c r="L2880" i="12" s="1"/>
  <c r="K2952" i="12"/>
  <c r="L2952" i="12" s="1"/>
  <c r="K2520" i="12"/>
  <c r="L2520" i="12" s="1"/>
  <c r="K2700" i="12"/>
  <c r="L2700" i="12" s="1"/>
  <c r="K2340" i="12"/>
  <c r="L2340" i="12" s="1"/>
  <c r="K2484" i="12"/>
  <c r="L2484" i="12" s="1"/>
  <c r="K2376" i="12"/>
  <c r="L2376" i="12" s="1"/>
  <c r="K2664" i="12"/>
  <c r="L2664" i="12" s="1"/>
  <c r="K2808" i="12"/>
  <c r="L2808" i="12" s="1"/>
  <c r="K2628" i="12"/>
  <c r="L2628" i="12" s="1"/>
  <c r="K2916" i="12"/>
  <c r="L2916" i="12" s="1"/>
  <c r="K2556" i="12"/>
  <c r="L2556" i="12" s="1"/>
  <c r="K2412" i="12"/>
  <c r="L2412" i="12" s="1"/>
  <c r="K2304" i="12"/>
  <c r="L2304" i="12" s="1"/>
  <c r="K2845" i="12"/>
  <c r="L2845" i="12" s="1"/>
  <c r="K2773" i="12"/>
  <c r="L2773" i="12" s="1"/>
  <c r="K2593" i="12"/>
  <c r="L2593" i="12" s="1"/>
  <c r="K2449" i="12"/>
  <c r="L2449" i="12" s="1"/>
  <c r="K2737" i="12"/>
  <c r="L2737" i="12" s="1"/>
  <c r="K2881" i="12"/>
  <c r="L2881" i="12" s="1"/>
  <c r="K2953" i="12"/>
  <c r="L2953" i="12" s="1"/>
  <c r="K2521" i="12"/>
  <c r="L2521" i="12" s="1"/>
  <c r="K2701" i="12"/>
  <c r="L2701" i="12" s="1"/>
  <c r="K2341" i="12"/>
  <c r="L2341" i="12" s="1"/>
  <c r="K2485" i="12"/>
  <c r="L2485" i="12" s="1"/>
  <c r="K2377" i="12"/>
  <c r="L2377" i="12" s="1"/>
  <c r="K2665" i="12"/>
  <c r="L2665" i="12" s="1"/>
  <c r="K2809" i="12"/>
  <c r="L2809" i="12" s="1"/>
  <c r="K2629" i="12"/>
  <c r="L2629" i="12" s="1"/>
  <c r="K2917" i="12"/>
  <c r="L2917" i="12" s="1"/>
  <c r="K2557" i="12"/>
  <c r="L2557" i="12" s="1"/>
  <c r="K2413" i="12"/>
  <c r="L2413" i="12" s="1"/>
  <c r="K2305" i="12"/>
  <c r="L2305" i="12" s="1"/>
  <c r="K3098" i="12"/>
  <c r="L3098" i="12" s="1"/>
  <c r="K2954" i="12"/>
  <c r="L2954" i="12" s="1"/>
  <c r="K3206" i="12"/>
  <c r="L3206" i="12" s="1"/>
  <c r="K3458" i="12"/>
  <c r="L3458" i="12" s="1"/>
  <c r="K3566" i="12"/>
  <c r="L3566" i="12" s="1"/>
  <c r="K2990" i="12"/>
  <c r="L2990" i="12" s="1"/>
  <c r="K3530" i="12"/>
  <c r="L3530" i="12" s="1"/>
  <c r="K3134" i="12"/>
  <c r="L3134" i="12" s="1"/>
  <c r="K3350" i="12"/>
  <c r="L3350" i="12" s="1"/>
  <c r="K3026" i="12"/>
  <c r="L3026" i="12" s="1"/>
  <c r="K3062" i="12"/>
  <c r="L3062" i="12" s="1"/>
  <c r="K3278" i="12"/>
  <c r="L3278" i="12" s="1"/>
  <c r="K3314" i="12"/>
  <c r="L3314" i="12" s="1"/>
  <c r="K3494" i="12"/>
  <c r="L3494" i="12" s="1"/>
  <c r="K3170" i="12"/>
  <c r="L3170" i="12" s="1"/>
  <c r="K3422" i="12"/>
  <c r="L3422" i="12" s="1"/>
  <c r="K3242" i="12"/>
  <c r="L3242" i="12" s="1"/>
  <c r="K3386" i="12"/>
  <c r="L3386" i="12" s="1"/>
  <c r="K3099" i="12"/>
  <c r="L3099" i="12" s="1"/>
  <c r="K2955" i="12"/>
  <c r="L2955" i="12" s="1"/>
  <c r="K3207" i="12"/>
  <c r="L3207" i="12" s="1"/>
  <c r="K3459" i="12"/>
  <c r="L3459" i="12" s="1"/>
  <c r="K3567" i="12"/>
  <c r="L3567" i="12" s="1"/>
  <c r="K2991" i="12"/>
  <c r="L2991" i="12" s="1"/>
  <c r="K3531" i="12"/>
  <c r="L3531" i="12" s="1"/>
  <c r="K3135" i="12"/>
  <c r="L3135" i="12" s="1"/>
  <c r="K3351" i="12"/>
  <c r="L3351" i="12" s="1"/>
  <c r="K3027" i="12"/>
  <c r="L3027" i="12" s="1"/>
  <c r="K3063" i="12"/>
  <c r="L3063" i="12" s="1"/>
  <c r="K3279" i="12"/>
  <c r="L3279" i="12" s="1"/>
  <c r="K3315" i="12"/>
  <c r="L3315" i="12" s="1"/>
  <c r="K3495" i="12"/>
  <c r="L3495" i="12" s="1"/>
  <c r="K3171" i="12"/>
  <c r="L3171" i="12" s="1"/>
  <c r="K3423" i="12"/>
  <c r="L3423" i="12" s="1"/>
  <c r="K3243" i="12"/>
  <c r="L3243" i="12" s="1"/>
  <c r="K3387" i="12"/>
  <c r="L3387" i="12" s="1"/>
  <c r="K3100" i="12"/>
  <c r="L3100" i="12" s="1"/>
  <c r="K2956" i="12"/>
  <c r="L2956" i="12" s="1"/>
  <c r="K3208" i="12"/>
  <c r="L3208" i="12" s="1"/>
  <c r="K3460" i="12"/>
  <c r="L3460" i="12" s="1"/>
  <c r="K3568" i="12"/>
  <c r="L3568" i="12" s="1"/>
  <c r="K2992" i="12"/>
  <c r="L2992" i="12" s="1"/>
  <c r="K3532" i="12"/>
  <c r="L3532" i="12" s="1"/>
  <c r="K3136" i="12"/>
  <c r="L3136" i="12" s="1"/>
  <c r="K3352" i="12"/>
  <c r="L3352" i="12" s="1"/>
  <c r="K3028" i="12"/>
  <c r="L3028" i="12" s="1"/>
  <c r="K3064" i="12"/>
  <c r="L3064" i="12" s="1"/>
  <c r="K3280" i="12"/>
  <c r="L3280" i="12" s="1"/>
  <c r="K3316" i="12"/>
  <c r="L3316" i="12" s="1"/>
  <c r="K3496" i="12"/>
  <c r="L3496" i="12" s="1"/>
  <c r="K3172" i="12"/>
  <c r="L3172" i="12" s="1"/>
  <c r="K3424" i="12"/>
  <c r="L3424" i="12" s="1"/>
  <c r="K3244" i="12"/>
  <c r="L3244" i="12" s="1"/>
  <c r="K3388" i="12"/>
  <c r="L3388" i="12" s="1"/>
  <c r="K3101" i="12"/>
  <c r="L3101" i="12" s="1"/>
  <c r="K2957" i="12"/>
  <c r="L2957" i="12" s="1"/>
  <c r="K3209" i="12"/>
  <c r="L3209" i="12" s="1"/>
  <c r="K3461" i="12"/>
  <c r="L3461" i="12" s="1"/>
  <c r="K3569" i="12"/>
  <c r="L3569" i="12" s="1"/>
  <c r="K2993" i="12"/>
  <c r="L2993" i="12" s="1"/>
  <c r="K3533" i="12"/>
  <c r="L3533" i="12" s="1"/>
  <c r="K3137" i="12"/>
  <c r="L3137" i="12" s="1"/>
  <c r="K3353" i="12"/>
  <c r="L3353" i="12" s="1"/>
  <c r="K3029" i="12"/>
  <c r="L3029" i="12" s="1"/>
  <c r="K3065" i="12"/>
  <c r="L3065" i="12" s="1"/>
  <c r="K3281" i="12"/>
  <c r="L3281" i="12" s="1"/>
  <c r="K3317" i="12"/>
  <c r="L3317" i="12" s="1"/>
  <c r="K3497" i="12"/>
  <c r="L3497" i="12" s="1"/>
  <c r="K3173" i="12"/>
  <c r="L3173" i="12" s="1"/>
  <c r="K3425" i="12"/>
  <c r="L3425" i="12" s="1"/>
  <c r="K3245" i="12"/>
  <c r="L3245" i="12" s="1"/>
  <c r="K3389" i="12"/>
  <c r="L3389" i="12" s="1"/>
  <c r="K3102" i="12"/>
  <c r="L3102" i="12" s="1"/>
  <c r="K2958" i="12"/>
  <c r="L2958" i="12" s="1"/>
  <c r="K3210" i="12"/>
  <c r="L3210" i="12" s="1"/>
  <c r="K3462" i="12"/>
  <c r="L3462" i="12" s="1"/>
  <c r="K3570" i="12"/>
  <c r="L3570" i="12" s="1"/>
  <c r="K2994" i="12"/>
  <c r="L2994" i="12" s="1"/>
  <c r="K3534" i="12"/>
  <c r="L3534" i="12" s="1"/>
  <c r="K3138" i="12"/>
  <c r="L3138" i="12" s="1"/>
  <c r="K3354" i="12"/>
  <c r="L3354" i="12" s="1"/>
  <c r="K3030" i="12"/>
  <c r="L3030" i="12" s="1"/>
  <c r="K3066" i="12"/>
  <c r="L3066" i="12" s="1"/>
  <c r="K3282" i="12"/>
  <c r="L3282" i="12" s="1"/>
  <c r="K3318" i="12"/>
  <c r="L3318" i="12" s="1"/>
  <c r="K3498" i="12"/>
  <c r="L3498" i="12" s="1"/>
  <c r="K3174" i="12"/>
  <c r="L3174" i="12" s="1"/>
  <c r="K3426" i="12"/>
  <c r="L3426" i="12" s="1"/>
  <c r="K3246" i="12"/>
  <c r="L3246" i="12" s="1"/>
  <c r="K3390" i="12"/>
  <c r="L3390" i="12" s="1"/>
  <c r="K3103" i="12"/>
  <c r="L3103" i="12" s="1"/>
  <c r="K2959" i="12"/>
  <c r="L2959" i="12" s="1"/>
  <c r="K3211" i="12"/>
  <c r="L3211" i="12" s="1"/>
  <c r="K3463" i="12"/>
  <c r="L3463" i="12" s="1"/>
  <c r="K3571" i="12"/>
  <c r="L3571" i="12" s="1"/>
  <c r="K2995" i="12"/>
  <c r="L2995" i="12" s="1"/>
  <c r="K3535" i="12"/>
  <c r="L3535" i="12" s="1"/>
  <c r="K3139" i="12"/>
  <c r="L3139" i="12" s="1"/>
  <c r="K3355" i="12"/>
  <c r="L3355" i="12" s="1"/>
  <c r="K3031" i="12"/>
  <c r="L3031" i="12" s="1"/>
  <c r="K3067" i="12"/>
  <c r="L3067" i="12" s="1"/>
  <c r="K3283" i="12"/>
  <c r="L3283" i="12" s="1"/>
  <c r="K3319" i="12"/>
  <c r="L3319" i="12" s="1"/>
  <c r="K3499" i="12"/>
  <c r="L3499" i="12" s="1"/>
  <c r="K3175" i="12"/>
  <c r="L3175" i="12" s="1"/>
  <c r="K3427" i="12"/>
  <c r="L3427" i="12" s="1"/>
  <c r="K3247" i="12"/>
  <c r="L3247" i="12" s="1"/>
  <c r="K3391" i="12"/>
  <c r="L3391" i="12" s="1"/>
  <c r="K3104" i="12"/>
  <c r="L3104" i="12" s="1"/>
  <c r="K2960" i="12"/>
  <c r="L2960" i="12" s="1"/>
  <c r="K3212" i="12"/>
  <c r="L3212" i="12" s="1"/>
  <c r="K3464" i="12"/>
  <c r="L3464" i="12" s="1"/>
  <c r="K3572" i="12"/>
  <c r="L3572" i="12" s="1"/>
  <c r="K2996" i="12"/>
  <c r="L2996" i="12" s="1"/>
  <c r="K3536" i="12"/>
  <c r="L3536" i="12" s="1"/>
  <c r="K3140" i="12"/>
  <c r="L3140" i="12" s="1"/>
  <c r="K3356" i="12"/>
  <c r="L3356" i="12" s="1"/>
  <c r="K3032" i="12"/>
  <c r="L3032" i="12" s="1"/>
  <c r="K3068" i="12"/>
  <c r="L3068" i="12" s="1"/>
  <c r="K3284" i="12"/>
  <c r="L3284" i="12" s="1"/>
  <c r="K3320" i="12"/>
  <c r="L3320" i="12" s="1"/>
  <c r="K3500" i="12"/>
  <c r="L3500" i="12" s="1"/>
  <c r="K3176" i="12"/>
  <c r="L3176" i="12" s="1"/>
  <c r="K3428" i="12"/>
  <c r="L3428" i="12" s="1"/>
  <c r="K3248" i="12"/>
  <c r="L3248" i="12" s="1"/>
  <c r="K3392" i="12"/>
  <c r="L3392" i="12" s="1"/>
  <c r="K3105" i="12"/>
  <c r="L3105" i="12" s="1"/>
  <c r="K2961" i="12"/>
  <c r="L2961" i="12" s="1"/>
  <c r="K3213" i="12"/>
  <c r="L3213" i="12" s="1"/>
  <c r="K3465" i="12"/>
  <c r="L3465" i="12" s="1"/>
  <c r="K3573" i="12"/>
  <c r="L3573" i="12" s="1"/>
  <c r="K2997" i="12"/>
  <c r="L2997" i="12" s="1"/>
  <c r="K3537" i="12"/>
  <c r="L3537" i="12" s="1"/>
  <c r="K3141" i="12"/>
  <c r="L3141" i="12" s="1"/>
  <c r="K3357" i="12"/>
  <c r="L3357" i="12" s="1"/>
  <c r="K3033" i="12"/>
  <c r="L3033" i="12" s="1"/>
  <c r="K3069" i="12"/>
  <c r="L3069" i="12" s="1"/>
  <c r="K3285" i="12"/>
  <c r="L3285" i="12" s="1"/>
  <c r="K3321" i="12"/>
  <c r="L3321" i="12" s="1"/>
  <c r="K3501" i="12"/>
  <c r="L3501" i="12" s="1"/>
  <c r="K3177" i="12"/>
  <c r="L3177" i="12" s="1"/>
  <c r="K3429" i="12"/>
  <c r="L3429" i="12" s="1"/>
  <c r="K3249" i="12"/>
  <c r="L3249" i="12" s="1"/>
  <c r="K3393" i="12"/>
  <c r="L3393" i="12" s="1"/>
  <c r="K3106" i="12"/>
  <c r="L3106" i="12" s="1"/>
  <c r="K2962" i="12"/>
  <c r="L2962" i="12" s="1"/>
  <c r="K3214" i="12"/>
  <c r="L3214" i="12" s="1"/>
  <c r="K3466" i="12"/>
  <c r="L3466" i="12" s="1"/>
  <c r="K3574" i="12"/>
  <c r="L3574" i="12" s="1"/>
  <c r="K2998" i="12"/>
  <c r="L2998" i="12" s="1"/>
  <c r="K3538" i="12"/>
  <c r="L3538" i="12" s="1"/>
  <c r="K3142" i="12"/>
  <c r="L3142" i="12" s="1"/>
  <c r="K3358" i="12"/>
  <c r="L3358" i="12" s="1"/>
  <c r="K3034" i="12"/>
  <c r="L3034" i="12" s="1"/>
  <c r="K3070" i="12"/>
  <c r="L3070" i="12" s="1"/>
  <c r="K3286" i="12"/>
  <c r="L3286" i="12" s="1"/>
  <c r="K3322" i="12"/>
  <c r="L3322" i="12" s="1"/>
  <c r="K3502" i="12"/>
  <c r="L3502" i="12" s="1"/>
  <c r="K3178" i="12"/>
  <c r="L3178" i="12" s="1"/>
  <c r="K3430" i="12"/>
  <c r="L3430" i="12" s="1"/>
  <c r="K3250" i="12"/>
  <c r="L3250" i="12" s="1"/>
  <c r="K3394" i="12"/>
  <c r="L3394" i="12" s="1"/>
  <c r="K3107" i="12"/>
  <c r="L3107" i="12" s="1"/>
  <c r="K2963" i="12"/>
  <c r="L2963" i="12" s="1"/>
  <c r="K3215" i="12"/>
  <c r="L3215" i="12" s="1"/>
  <c r="K3467" i="12"/>
  <c r="L3467" i="12" s="1"/>
  <c r="K3575" i="12"/>
  <c r="L3575" i="12" s="1"/>
  <c r="K2999" i="12"/>
  <c r="L2999" i="12" s="1"/>
  <c r="K3539" i="12"/>
  <c r="L3539" i="12" s="1"/>
  <c r="K3143" i="12"/>
  <c r="L3143" i="12" s="1"/>
  <c r="K3359" i="12"/>
  <c r="L3359" i="12" s="1"/>
  <c r="K3035" i="12"/>
  <c r="L3035" i="12" s="1"/>
  <c r="K3071" i="12"/>
  <c r="L3071" i="12" s="1"/>
  <c r="K3287" i="12"/>
  <c r="L3287" i="12" s="1"/>
  <c r="K3323" i="12"/>
  <c r="L3323" i="12" s="1"/>
  <c r="K3503" i="12"/>
  <c r="L3503" i="12" s="1"/>
  <c r="K3179" i="12"/>
  <c r="L3179" i="12" s="1"/>
  <c r="K3431" i="12"/>
  <c r="L3431" i="12" s="1"/>
  <c r="K3251" i="12"/>
  <c r="L3251" i="12" s="1"/>
  <c r="K3395" i="12"/>
  <c r="L3395" i="12" s="1"/>
  <c r="K3108" i="12"/>
  <c r="L3108" i="12" s="1"/>
  <c r="K2964" i="12"/>
  <c r="L2964" i="12" s="1"/>
  <c r="K3216" i="12"/>
  <c r="L3216" i="12" s="1"/>
  <c r="K3468" i="12"/>
  <c r="L3468" i="12" s="1"/>
  <c r="K3576" i="12"/>
  <c r="L3576" i="12" s="1"/>
  <c r="K3000" i="12"/>
  <c r="L3000" i="12" s="1"/>
  <c r="K3540" i="12"/>
  <c r="L3540" i="12" s="1"/>
  <c r="K3144" i="12"/>
  <c r="L3144" i="12" s="1"/>
  <c r="K3360" i="12"/>
  <c r="L3360" i="12" s="1"/>
  <c r="K3036" i="12"/>
  <c r="L3036" i="12" s="1"/>
  <c r="K3072" i="12"/>
  <c r="L3072" i="12" s="1"/>
  <c r="K3288" i="12"/>
  <c r="L3288" i="12" s="1"/>
  <c r="K3324" i="12"/>
  <c r="L3324" i="12" s="1"/>
  <c r="K3504" i="12"/>
  <c r="L3504" i="12" s="1"/>
  <c r="K3180" i="12"/>
  <c r="L3180" i="12" s="1"/>
  <c r="K3432" i="12"/>
  <c r="L3432" i="12" s="1"/>
  <c r="K3252" i="12"/>
  <c r="L3252" i="12" s="1"/>
  <c r="K3396" i="12"/>
  <c r="L3396" i="12" s="1"/>
  <c r="K3109" i="12"/>
  <c r="L3109" i="12" s="1"/>
  <c r="K2965" i="12"/>
  <c r="L2965" i="12" s="1"/>
  <c r="K3217" i="12"/>
  <c r="L3217" i="12" s="1"/>
  <c r="K3469" i="12"/>
  <c r="L3469" i="12" s="1"/>
  <c r="K3577" i="12"/>
  <c r="L3577" i="12" s="1"/>
  <c r="K3001" i="12"/>
  <c r="L3001" i="12" s="1"/>
  <c r="K3541" i="12"/>
  <c r="L3541" i="12" s="1"/>
  <c r="K3145" i="12"/>
  <c r="L3145" i="12" s="1"/>
  <c r="K3361" i="12"/>
  <c r="L3361" i="12" s="1"/>
  <c r="K3037" i="12"/>
  <c r="L3037" i="12" s="1"/>
  <c r="K3073" i="12"/>
  <c r="L3073" i="12" s="1"/>
  <c r="K3289" i="12"/>
  <c r="L3289" i="12" s="1"/>
  <c r="K3325" i="12"/>
  <c r="L3325" i="12" s="1"/>
  <c r="K3505" i="12"/>
  <c r="L3505" i="12" s="1"/>
  <c r="K3181" i="12"/>
  <c r="L3181" i="12" s="1"/>
  <c r="K3433" i="12"/>
  <c r="L3433" i="12" s="1"/>
  <c r="K3253" i="12"/>
  <c r="L3253" i="12" s="1"/>
  <c r="K3397" i="12"/>
  <c r="L3397" i="12" s="1"/>
  <c r="K3110" i="12"/>
  <c r="L3110" i="12" s="1"/>
  <c r="K2966" i="12"/>
  <c r="L2966" i="12" s="1"/>
  <c r="K3218" i="12"/>
  <c r="L3218" i="12" s="1"/>
  <c r="K3470" i="12"/>
  <c r="L3470" i="12" s="1"/>
  <c r="K3578" i="12"/>
  <c r="L3578" i="12" s="1"/>
  <c r="K3002" i="12"/>
  <c r="L3002" i="12" s="1"/>
  <c r="K3542" i="12"/>
  <c r="L3542" i="12" s="1"/>
  <c r="K3146" i="12"/>
  <c r="L3146" i="12" s="1"/>
  <c r="K3362" i="12"/>
  <c r="L3362" i="12" s="1"/>
  <c r="K3038" i="12"/>
  <c r="L3038" i="12" s="1"/>
  <c r="K3074" i="12"/>
  <c r="L3074" i="12" s="1"/>
  <c r="K3290" i="12"/>
  <c r="L3290" i="12" s="1"/>
  <c r="K3326" i="12"/>
  <c r="L3326" i="12" s="1"/>
  <c r="K3506" i="12"/>
  <c r="L3506" i="12" s="1"/>
  <c r="K3182" i="12"/>
  <c r="L3182" i="12" s="1"/>
  <c r="K3434" i="12"/>
  <c r="L3434" i="12" s="1"/>
  <c r="K3254" i="12"/>
  <c r="L3254" i="12" s="1"/>
  <c r="K3398" i="12"/>
  <c r="L3398" i="12" s="1"/>
  <c r="K3111" i="12"/>
  <c r="L3111" i="12" s="1"/>
  <c r="K2967" i="12"/>
  <c r="L2967" i="12" s="1"/>
  <c r="K3219" i="12"/>
  <c r="L3219" i="12" s="1"/>
  <c r="K3471" i="12"/>
  <c r="L3471" i="12" s="1"/>
  <c r="K3579" i="12"/>
  <c r="L3579" i="12" s="1"/>
  <c r="K3003" i="12"/>
  <c r="L3003" i="12" s="1"/>
  <c r="K3543" i="12"/>
  <c r="L3543" i="12" s="1"/>
  <c r="K3147" i="12"/>
  <c r="L3147" i="12" s="1"/>
  <c r="K3363" i="12"/>
  <c r="L3363" i="12" s="1"/>
  <c r="K3039" i="12"/>
  <c r="L3039" i="12" s="1"/>
  <c r="K3075" i="12"/>
  <c r="L3075" i="12" s="1"/>
  <c r="K3291" i="12"/>
  <c r="L3291" i="12" s="1"/>
  <c r="K3327" i="12"/>
  <c r="L3327" i="12" s="1"/>
  <c r="K3507" i="12"/>
  <c r="L3507" i="12" s="1"/>
  <c r="K3183" i="12"/>
  <c r="L3183" i="12" s="1"/>
  <c r="K3435" i="12"/>
  <c r="L3435" i="12" s="1"/>
  <c r="K3255" i="12"/>
  <c r="L3255" i="12" s="1"/>
  <c r="K3399" i="12"/>
  <c r="L3399" i="12" s="1"/>
  <c r="K3112" i="12"/>
  <c r="L3112" i="12" s="1"/>
  <c r="K2968" i="12"/>
  <c r="L2968" i="12" s="1"/>
  <c r="K3220" i="12"/>
  <c r="L3220" i="12" s="1"/>
  <c r="K3472" i="12"/>
  <c r="L3472" i="12" s="1"/>
  <c r="K3580" i="12"/>
  <c r="L3580" i="12" s="1"/>
  <c r="K3004" i="12"/>
  <c r="L3004" i="12" s="1"/>
  <c r="K3544" i="12"/>
  <c r="L3544" i="12" s="1"/>
  <c r="K3148" i="12"/>
  <c r="L3148" i="12" s="1"/>
  <c r="K3364" i="12"/>
  <c r="L3364" i="12" s="1"/>
  <c r="K3040" i="12"/>
  <c r="L3040" i="12" s="1"/>
  <c r="K3076" i="12"/>
  <c r="L3076" i="12" s="1"/>
  <c r="K3292" i="12"/>
  <c r="L3292" i="12" s="1"/>
  <c r="K3328" i="12"/>
  <c r="L3328" i="12" s="1"/>
  <c r="K3508" i="12"/>
  <c r="L3508" i="12" s="1"/>
  <c r="K3184" i="12"/>
  <c r="L3184" i="12" s="1"/>
  <c r="K3436" i="12"/>
  <c r="L3436" i="12" s="1"/>
  <c r="K3256" i="12"/>
  <c r="L3256" i="12" s="1"/>
  <c r="K3400" i="12"/>
  <c r="L3400" i="12" s="1"/>
  <c r="K3113" i="12"/>
  <c r="L3113" i="12" s="1"/>
  <c r="K2969" i="12"/>
  <c r="L2969" i="12" s="1"/>
  <c r="K3221" i="12"/>
  <c r="L3221" i="12" s="1"/>
  <c r="K3473" i="12"/>
  <c r="L3473" i="12" s="1"/>
  <c r="K3581" i="12"/>
  <c r="L3581" i="12" s="1"/>
  <c r="K3005" i="12"/>
  <c r="L3005" i="12" s="1"/>
  <c r="K3545" i="12"/>
  <c r="L3545" i="12" s="1"/>
  <c r="K3149" i="12"/>
  <c r="L3149" i="12" s="1"/>
  <c r="K3365" i="12"/>
  <c r="L3365" i="12" s="1"/>
  <c r="K3041" i="12"/>
  <c r="L3041" i="12" s="1"/>
  <c r="K3077" i="12"/>
  <c r="L3077" i="12" s="1"/>
  <c r="K3293" i="12"/>
  <c r="L3293" i="12" s="1"/>
  <c r="K3329" i="12"/>
  <c r="L3329" i="12" s="1"/>
  <c r="K3509" i="12"/>
  <c r="L3509" i="12" s="1"/>
  <c r="K3185" i="12"/>
  <c r="L3185" i="12" s="1"/>
  <c r="K3437" i="12"/>
  <c r="L3437" i="12" s="1"/>
  <c r="K3257" i="12"/>
  <c r="L3257" i="12" s="1"/>
  <c r="K3401" i="12"/>
  <c r="L3401" i="12" s="1"/>
  <c r="K3114" i="12"/>
  <c r="L3114" i="12" s="1"/>
  <c r="K2970" i="12"/>
  <c r="L2970" i="12" s="1"/>
  <c r="K3222" i="12"/>
  <c r="L3222" i="12" s="1"/>
  <c r="K3474" i="12"/>
  <c r="L3474" i="12" s="1"/>
  <c r="K3582" i="12"/>
  <c r="L3582" i="12" s="1"/>
  <c r="K3006" i="12"/>
  <c r="L3006" i="12" s="1"/>
  <c r="K3546" i="12"/>
  <c r="L3546" i="12" s="1"/>
  <c r="K3150" i="12"/>
  <c r="L3150" i="12" s="1"/>
  <c r="K3366" i="12"/>
  <c r="L3366" i="12" s="1"/>
  <c r="K3042" i="12"/>
  <c r="L3042" i="12" s="1"/>
  <c r="K3078" i="12"/>
  <c r="L3078" i="12" s="1"/>
  <c r="K3294" i="12"/>
  <c r="L3294" i="12" s="1"/>
  <c r="K3330" i="12"/>
  <c r="L3330" i="12" s="1"/>
  <c r="K3510" i="12"/>
  <c r="L3510" i="12" s="1"/>
  <c r="K3186" i="12"/>
  <c r="L3186" i="12" s="1"/>
  <c r="K3438" i="12"/>
  <c r="L3438" i="12" s="1"/>
  <c r="K3258" i="12"/>
  <c r="L3258" i="12" s="1"/>
  <c r="K3402" i="12"/>
  <c r="L3402" i="12" s="1"/>
  <c r="K3115" i="12"/>
  <c r="L3115" i="12" s="1"/>
  <c r="K2971" i="12"/>
  <c r="L2971" i="12" s="1"/>
  <c r="K3223" i="12"/>
  <c r="L3223" i="12" s="1"/>
  <c r="K3475" i="12"/>
  <c r="L3475" i="12" s="1"/>
  <c r="K3583" i="12"/>
  <c r="L3583" i="12" s="1"/>
  <c r="K3007" i="12"/>
  <c r="L3007" i="12" s="1"/>
  <c r="K3547" i="12"/>
  <c r="L3547" i="12" s="1"/>
  <c r="K3151" i="12"/>
  <c r="L3151" i="12" s="1"/>
  <c r="K3367" i="12"/>
  <c r="L3367" i="12" s="1"/>
  <c r="K3043" i="12"/>
  <c r="L3043" i="12" s="1"/>
  <c r="K3079" i="12"/>
  <c r="L3079" i="12" s="1"/>
  <c r="K3295" i="12"/>
  <c r="L3295" i="12" s="1"/>
  <c r="K3331" i="12"/>
  <c r="L3331" i="12" s="1"/>
  <c r="K3511" i="12"/>
  <c r="L3511" i="12" s="1"/>
  <c r="K3187" i="12"/>
  <c r="L3187" i="12" s="1"/>
  <c r="K3439" i="12"/>
  <c r="L3439" i="12" s="1"/>
  <c r="K3259" i="12"/>
  <c r="L3259" i="12" s="1"/>
  <c r="K3403" i="12"/>
  <c r="L3403" i="12" s="1"/>
  <c r="K3116" i="12"/>
  <c r="L3116" i="12" s="1"/>
  <c r="K2972" i="12"/>
  <c r="L2972" i="12" s="1"/>
  <c r="K3224" i="12"/>
  <c r="L3224" i="12" s="1"/>
  <c r="K3476" i="12"/>
  <c r="L3476" i="12" s="1"/>
  <c r="K3584" i="12"/>
  <c r="L3584" i="12" s="1"/>
  <c r="K3008" i="12"/>
  <c r="L3008" i="12" s="1"/>
  <c r="K3548" i="12"/>
  <c r="L3548" i="12" s="1"/>
  <c r="K3152" i="12"/>
  <c r="L3152" i="12" s="1"/>
  <c r="K3368" i="12"/>
  <c r="L3368" i="12" s="1"/>
  <c r="K3044" i="12"/>
  <c r="L3044" i="12" s="1"/>
  <c r="K3080" i="12"/>
  <c r="L3080" i="12" s="1"/>
  <c r="K3296" i="12"/>
  <c r="L3296" i="12" s="1"/>
  <c r="K3332" i="12"/>
  <c r="L3332" i="12" s="1"/>
  <c r="K3512" i="12"/>
  <c r="L3512" i="12" s="1"/>
  <c r="K3188" i="12"/>
  <c r="L3188" i="12" s="1"/>
  <c r="K3440" i="12"/>
  <c r="L3440" i="12" s="1"/>
  <c r="K3260" i="12"/>
  <c r="L3260" i="12" s="1"/>
  <c r="K3404" i="12"/>
  <c r="L3404" i="12" s="1"/>
  <c r="K3117" i="12"/>
  <c r="L3117" i="12" s="1"/>
  <c r="K2973" i="12"/>
  <c r="L2973" i="12" s="1"/>
  <c r="K3225" i="12"/>
  <c r="L3225" i="12" s="1"/>
  <c r="K3477" i="12"/>
  <c r="L3477" i="12" s="1"/>
  <c r="K3585" i="12"/>
  <c r="L3585" i="12" s="1"/>
  <c r="K3009" i="12"/>
  <c r="L3009" i="12" s="1"/>
  <c r="K3549" i="12"/>
  <c r="L3549" i="12" s="1"/>
  <c r="K3153" i="12"/>
  <c r="L3153" i="12" s="1"/>
  <c r="K3369" i="12"/>
  <c r="L3369" i="12" s="1"/>
  <c r="K3045" i="12"/>
  <c r="L3045" i="12" s="1"/>
  <c r="K3081" i="12"/>
  <c r="L3081" i="12" s="1"/>
  <c r="K3297" i="12"/>
  <c r="L3297" i="12" s="1"/>
  <c r="K3333" i="12"/>
  <c r="L3333" i="12" s="1"/>
  <c r="K3513" i="12"/>
  <c r="L3513" i="12" s="1"/>
  <c r="K3189" i="12"/>
  <c r="L3189" i="12" s="1"/>
  <c r="K3441" i="12"/>
  <c r="L3441" i="12" s="1"/>
  <c r="K3261" i="12"/>
  <c r="L3261" i="12" s="1"/>
  <c r="K3405" i="12"/>
  <c r="L3405" i="12" s="1"/>
  <c r="K3118" i="12"/>
  <c r="L3118" i="12" s="1"/>
  <c r="K2974" i="12"/>
  <c r="L2974" i="12" s="1"/>
  <c r="K3226" i="12"/>
  <c r="L3226" i="12" s="1"/>
  <c r="K3478" i="12"/>
  <c r="L3478" i="12" s="1"/>
  <c r="K3586" i="12"/>
  <c r="L3586" i="12" s="1"/>
  <c r="K3010" i="12"/>
  <c r="L3010" i="12" s="1"/>
  <c r="K3550" i="12"/>
  <c r="L3550" i="12" s="1"/>
  <c r="K3154" i="12"/>
  <c r="L3154" i="12" s="1"/>
  <c r="K3370" i="12"/>
  <c r="L3370" i="12" s="1"/>
  <c r="K3046" i="12"/>
  <c r="L3046" i="12" s="1"/>
  <c r="K3082" i="12"/>
  <c r="L3082" i="12" s="1"/>
  <c r="K3298" i="12"/>
  <c r="L3298" i="12" s="1"/>
  <c r="K3334" i="12"/>
  <c r="L3334" i="12" s="1"/>
  <c r="K3514" i="12"/>
  <c r="L3514" i="12" s="1"/>
  <c r="K3190" i="12"/>
  <c r="L3190" i="12" s="1"/>
  <c r="K3442" i="12"/>
  <c r="L3442" i="12" s="1"/>
  <c r="K3262" i="12"/>
  <c r="L3262" i="12" s="1"/>
  <c r="K3406" i="12"/>
  <c r="L3406" i="12" s="1"/>
  <c r="K3119" i="12"/>
  <c r="L3119" i="12" s="1"/>
  <c r="K2975" i="12"/>
  <c r="L2975" i="12" s="1"/>
  <c r="K3227" i="12"/>
  <c r="L3227" i="12" s="1"/>
  <c r="K3479" i="12"/>
  <c r="L3479" i="12" s="1"/>
  <c r="K3587" i="12"/>
  <c r="L3587" i="12" s="1"/>
  <c r="K3011" i="12"/>
  <c r="L3011" i="12" s="1"/>
  <c r="K3551" i="12"/>
  <c r="L3551" i="12" s="1"/>
  <c r="K3155" i="12"/>
  <c r="L3155" i="12" s="1"/>
  <c r="K3371" i="12"/>
  <c r="L3371" i="12" s="1"/>
  <c r="K3047" i="12"/>
  <c r="L3047" i="12" s="1"/>
  <c r="K3083" i="12"/>
  <c r="L3083" i="12" s="1"/>
  <c r="K3299" i="12"/>
  <c r="L3299" i="12" s="1"/>
  <c r="K3335" i="12"/>
  <c r="L3335" i="12" s="1"/>
  <c r="K3515" i="12"/>
  <c r="L3515" i="12" s="1"/>
  <c r="K3191" i="12"/>
  <c r="L3191" i="12" s="1"/>
  <c r="K3443" i="12"/>
  <c r="L3443" i="12" s="1"/>
  <c r="K3263" i="12"/>
  <c r="L3263" i="12" s="1"/>
  <c r="K3407" i="12"/>
  <c r="L3407" i="12" s="1"/>
  <c r="K3120" i="12"/>
  <c r="L3120" i="12" s="1"/>
  <c r="K2976" i="12"/>
  <c r="L2976" i="12" s="1"/>
  <c r="K3228" i="12"/>
  <c r="L3228" i="12" s="1"/>
  <c r="K3480" i="12"/>
  <c r="L3480" i="12" s="1"/>
  <c r="K3588" i="12"/>
  <c r="L3588" i="12" s="1"/>
  <c r="K3012" i="12"/>
  <c r="L3012" i="12" s="1"/>
  <c r="K3552" i="12"/>
  <c r="L3552" i="12" s="1"/>
  <c r="K3156" i="12"/>
  <c r="L3156" i="12" s="1"/>
  <c r="K3372" i="12"/>
  <c r="L3372" i="12" s="1"/>
  <c r="K3048" i="12"/>
  <c r="L3048" i="12" s="1"/>
  <c r="K3084" i="12"/>
  <c r="L3084" i="12" s="1"/>
  <c r="K3300" i="12"/>
  <c r="L3300" i="12" s="1"/>
  <c r="K3336" i="12"/>
  <c r="L3336" i="12" s="1"/>
  <c r="K3516" i="12"/>
  <c r="L3516" i="12" s="1"/>
  <c r="K3192" i="12"/>
  <c r="L3192" i="12" s="1"/>
  <c r="K3444" i="12"/>
  <c r="L3444" i="12" s="1"/>
  <c r="K3264" i="12"/>
  <c r="L3264" i="12" s="1"/>
  <c r="K3408" i="12"/>
  <c r="L3408" i="12" s="1"/>
  <c r="K3121" i="12"/>
  <c r="L3121" i="12" s="1"/>
  <c r="K2977" i="12"/>
  <c r="L2977" i="12" s="1"/>
  <c r="K3229" i="12"/>
  <c r="L3229" i="12" s="1"/>
  <c r="K3481" i="12"/>
  <c r="L3481" i="12" s="1"/>
  <c r="K3589" i="12"/>
  <c r="L3589" i="12" s="1"/>
  <c r="K3013" i="12"/>
  <c r="L3013" i="12" s="1"/>
  <c r="K3553" i="12"/>
  <c r="L3553" i="12" s="1"/>
  <c r="K3157" i="12"/>
  <c r="L3157" i="12" s="1"/>
  <c r="K3373" i="12"/>
  <c r="L3373" i="12" s="1"/>
  <c r="K3049" i="12"/>
  <c r="L3049" i="12" s="1"/>
  <c r="K3085" i="12"/>
  <c r="L3085" i="12" s="1"/>
  <c r="K3301" i="12"/>
  <c r="L3301" i="12" s="1"/>
  <c r="K3337" i="12"/>
  <c r="L3337" i="12" s="1"/>
  <c r="K3517" i="12"/>
  <c r="L3517" i="12" s="1"/>
  <c r="K3193" i="12"/>
  <c r="L3193" i="12" s="1"/>
  <c r="K3445" i="12"/>
  <c r="L3445" i="12" s="1"/>
  <c r="K3265" i="12"/>
  <c r="L3265" i="12" s="1"/>
  <c r="K3409" i="12"/>
  <c r="L3409" i="12" s="1"/>
  <c r="K3122" i="12"/>
  <c r="L3122" i="12" s="1"/>
  <c r="K2978" i="12"/>
  <c r="L2978" i="12" s="1"/>
  <c r="K3230" i="12"/>
  <c r="L3230" i="12" s="1"/>
  <c r="K3482" i="12"/>
  <c r="L3482" i="12" s="1"/>
  <c r="K3590" i="12"/>
  <c r="L3590" i="12" s="1"/>
  <c r="K3014" i="12"/>
  <c r="L3014" i="12" s="1"/>
  <c r="K3554" i="12"/>
  <c r="L3554" i="12" s="1"/>
  <c r="K3158" i="12"/>
  <c r="L3158" i="12" s="1"/>
  <c r="K3374" i="12"/>
  <c r="L3374" i="12" s="1"/>
  <c r="K3050" i="12"/>
  <c r="L3050" i="12" s="1"/>
  <c r="K3086" i="12"/>
  <c r="L3086" i="12" s="1"/>
  <c r="K3302" i="12"/>
  <c r="L3302" i="12" s="1"/>
  <c r="K3338" i="12"/>
  <c r="L3338" i="12" s="1"/>
  <c r="K3518" i="12"/>
  <c r="L3518" i="12" s="1"/>
  <c r="K3194" i="12"/>
  <c r="L3194" i="12" s="1"/>
  <c r="K3446" i="12"/>
  <c r="L3446" i="12" s="1"/>
  <c r="K3266" i="12"/>
  <c r="L3266" i="12" s="1"/>
  <c r="K3410" i="12"/>
  <c r="L3410" i="12" s="1"/>
  <c r="K3123" i="12"/>
  <c r="L3123" i="12" s="1"/>
  <c r="K2979" i="12"/>
  <c r="L2979" i="12" s="1"/>
  <c r="K3231" i="12"/>
  <c r="L3231" i="12" s="1"/>
  <c r="K3483" i="12"/>
  <c r="L3483" i="12" s="1"/>
  <c r="K3591" i="12"/>
  <c r="L3591" i="12" s="1"/>
  <c r="K3015" i="12"/>
  <c r="L3015" i="12" s="1"/>
  <c r="K3555" i="12"/>
  <c r="L3555" i="12" s="1"/>
  <c r="K3159" i="12"/>
  <c r="L3159" i="12" s="1"/>
  <c r="K3375" i="12"/>
  <c r="L3375" i="12" s="1"/>
  <c r="K3051" i="12"/>
  <c r="L3051" i="12" s="1"/>
  <c r="K3087" i="12"/>
  <c r="L3087" i="12" s="1"/>
  <c r="K3303" i="12"/>
  <c r="L3303" i="12" s="1"/>
  <c r="K3339" i="12"/>
  <c r="L3339" i="12" s="1"/>
  <c r="K3519" i="12"/>
  <c r="L3519" i="12" s="1"/>
  <c r="K3195" i="12"/>
  <c r="L3195" i="12" s="1"/>
  <c r="K3447" i="12"/>
  <c r="L3447" i="12" s="1"/>
  <c r="K3267" i="12"/>
  <c r="L3267" i="12" s="1"/>
  <c r="K3411" i="12"/>
  <c r="L3411" i="12" s="1"/>
  <c r="K3124" i="12"/>
  <c r="L3124" i="12" s="1"/>
  <c r="K2980" i="12"/>
  <c r="L2980" i="12" s="1"/>
  <c r="K3232" i="12"/>
  <c r="L3232" i="12" s="1"/>
  <c r="K3484" i="12"/>
  <c r="L3484" i="12" s="1"/>
  <c r="K3592" i="12"/>
  <c r="L3592" i="12" s="1"/>
  <c r="K3016" i="12"/>
  <c r="L3016" i="12" s="1"/>
  <c r="K3556" i="12"/>
  <c r="L3556" i="12" s="1"/>
  <c r="K3160" i="12"/>
  <c r="L3160" i="12" s="1"/>
  <c r="K3376" i="12"/>
  <c r="L3376" i="12" s="1"/>
  <c r="K3052" i="12"/>
  <c r="L3052" i="12" s="1"/>
  <c r="K3088" i="12"/>
  <c r="L3088" i="12" s="1"/>
  <c r="K3304" i="12"/>
  <c r="L3304" i="12" s="1"/>
  <c r="K3340" i="12"/>
  <c r="L3340" i="12" s="1"/>
  <c r="K3520" i="12"/>
  <c r="L3520" i="12" s="1"/>
  <c r="K3196" i="12"/>
  <c r="L3196" i="12" s="1"/>
  <c r="K3448" i="12"/>
  <c r="L3448" i="12" s="1"/>
  <c r="K3268" i="12"/>
  <c r="L3268" i="12" s="1"/>
  <c r="K3412" i="12"/>
  <c r="L3412" i="12" s="1"/>
  <c r="K3125" i="12"/>
  <c r="L3125" i="12" s="1"/>
  <c r="K2981" i="12"/>
  <c r="L2981" i="12" s="1"/>
  <c r="K3233" i="12"/>
  <c r="L3233" i="12" s="1"/>
  <c r="K3485" i="12"/>
  <c r="L3485" i="12" s="1"/>
  <c r="K3593" i="12"/>
  <c r="L3593" i="12" s="1"/>
  <c r="K3017" i="12"/>
  <c r="L3017" i="12" s="1"/>
  <c r="K3557" i="12"/>
  <c r="L3557" i="12" s="1"/>
  <c r="K3161" i="12"/>
  <c r="L3161" i="12" s="1"/>
  <c r="K3377" i="12"/>
  <c r="L3377" i="12" s="1"/>
  <c r="K3053" i="12"/>
  <c r="L3053" i="12" s="1"/>
  <c r="K3089" i="12"/>
  <c r="L3089" i="12" s="1"/>
  <c r="K3305" i="12"/>
  <c r="L3305" i="12" s="1"/>
  <c r="K3341" i="12"/>
  <c r="L3341" i="12" s="1"/>
  <c r="K3521" i="12"/>
  <c r="L3521" i="12" s="1"/>
  <c r="K3197" i="12"/>
  <c r="L3197" i="12" s="1"/>
  <c r="K3449" i="12"/>
  <c r="L3449" i="12" s="1"/>
  <c r="K3269" i="12"/>
  <c r="L3269" i="12" s="1"/>
  <c r="K3413" i="12"/>
  <c r="L3413" i="12" s="1"/>
  <c r="K3126" i="12"/>
  <c r="L3126" i="12" s="1"/>
  <c r="K2982" i="12"/>
  <c r="L2982" i="12" s="1"/>
  <c r="K3234" i="12"/>
  <c r="L3234" i="12" s="1"/>
  <c r="K3486" i="12"/>
  <c r="L3486" i="12" s="1"/>
  <c r="K3594" i="12"/>
  <c r="L3594" i="12" s="1"/>
  <c r="K3018" i="12"/>
  <c r="L3018" i="12" s="1"/>
  <c r="K3558" i="12"/>
  <c r="L3558" i="12" s="1"/>
  <c r="K3162" i="12"/>
  <c r="L3162" i="12" s="1"/>
  <c r="K3378" i="12"/>
  <c r="L3378" i="12" s="1"/>
  <c r="K3054" i="12"/>
  <c r="L3054" i="12" s="1"/>
  <c r="K3090" i="12"/>
  <c r="L3090" i="12" s="1"/>
  <c r="K3306" i="12"/>
  <c r="L3306" i="12" s="1"/>
  <c r="K3342" i="12"/>
  <c r="L3342" i="12" s="1"/>
  <c r="K3522" i="12"/>
  <c r="L3522" i="12" s="1"/>
  <c r="K3198" i="12"/>
  <c r="L3198" i="12" s="1"/>
  <c r="K3450" i="12"/>
  <c r="L3450" i="12" s="1"/>
  <c r="K3270" i="12"/>
  <c r="L3270" i="12" s="1"/>
  <c r="K3414" i="12"/>
  <c r="L3414" i="12" s="1"/>
  <c r="K3127" i="12"/>
  <c r="L3127" i="12" s="1"/>
  <c r="K2983" i="12"/>
  <c r="L2983" i="12" s="1"/>
  <c r="K3235" i="12"/>
  <c r="L3235" i="12" s="1"/>
  <c r="K3487" i="12"/>
  <c r="L3487" i="12" s="1"/>
  <c r="K3595" i="12"/>
  <c r="L3595" i="12" s="1"/>
  <c r="K3019" i="12"/>
  <c r="L3019" i="12" s="1"/>
  <c r="K3559" i="12"/>
  <c r="L3559" i="12" s="1"/>
  <c r="K3163" i="12"/>
  <c r="L3163" i="12" s="1"/>
  <c r="K3379" i="12"/>
  <c r="L3379" i="12" s="1"/>
  <c r="K3055" i="12"/>
  <c r="L3055" i="12" s="1"/>
  <c r="K3091" i="12"/>
  <c r="L3091" i="12" s="1"/>
  <c r="K3307" i="12"/>
  <c r="L3307" i="12" s="1"/>
  <c r="K3343" i="12"/>
  <c r="L3343" i="12" s="1"/>
  <c r="K3523" i="12"/>
  <c r="L3523" i="12" s="1"/>
  <c r="K3199" i="12"/>
  <c r="L3199" i="12" s="1"/>
  <c r="K3451" i="12"/>
  <c r="L3451" i="12" s="1"/>
  <c r="K3271" i="12"/>
  <c r="L3271" i="12" s="1"/>
  <c r="K3415" i="12"/>
  <c r="L3415" i="12" s="1"/>
  <c r="K3128" i="12"/>
  <c r="L3128" i="12" s="1"/>
  <c r="K2984" i="12"/>
  <c r="L2984" i="12" s="1"/>
  <c r="K3236" i="12"/>
  <c r="L3236" i="12" s="1"/>
  <c r="K3488" i="12"/>
  <c r="L3488" i="12" s="1"/>
  <c r="K3596" i="12"/>
  <c r="L3596" i="12" s="1"/>
  <c r="K3020" i="12"/>
  <c r="L3020" i="12" s="1"/>
  <c r="K3560" i="12"/>
  <c r="L3560" i="12" s="1"/>
  <c r="K3164" i="12"/>
  <c r="L3164" i="12" s="1"/>
  <c r="K3380" i="12"/>
  <c r="L3380" i="12" s="1"/>
  <c r="K3056" i="12"/>
  <c r="L3056" i="12" s="1"/>
  <c r="K3092" i="12"/>
  <c r="L3092" i="12" s="1"/>
  <c r="K3308" i="12"/>
  <c r="L3308" i="12" s="1"/>
  <c r="K3344" i="12"/>
  <c r="L3344" i="12" s="1"/>
  <c r="K3524" i="12"/>
  <c r="L3524" i="12" s="1"/>
  <c r="K3200" i="12"/>
  <c r="L3200" i="12" s="1"/>
  <c r="K3452" i="12"/>
  <c r="L3452" i="12" s="1"/>
  <c r="K3272" i="12"/>
  <c r="L3272" i="12" s="1"/>
  <c r="K3416" i="12"/>
  <c r="L3416" i="12" s="1"/>
  <c r="K3129" i="12"/>
  <c r="L3129" i="12" s="1"/>
  <c r="K2985" i="12"/>
  <c r="L2985" i="12" s="1"/>
  <c r="K3237" i="12"/>
  <c r="L3237" i="12" s="1"/>
  <c r="K3489" i="12"/>
  <c r="L3489" i="12" s="1"/>
  <c r="K3597" i="12"/>
  <c r="L3597" i="12" s="1"/>
  <c r="K3021" i="12"/>
  <c r="L3021" i="12" s="1"/>
  <c r="K3561" i="12"/>
  <c r="L3561" i="12" s="1"/>
  <c r="K3165" i="12"/>
  <c r="L3165" i="12" s="1"/>
  <c r="K3381" i="12"/>
  <c r="L3381" i="12" s="1"/>
  <c r="K3057" i="12"/>
  <c r="L3057" i="12" s="1"/>
  <c r="K3093" i="12"/>
  <c r="L3093" i="12" s="1"/>
  <c r="K3309" i="12"/>
  <c r="L3309" i="12" s="1"/>
  <c r="K3345" i="12"/>
  <c r="L3345" i="12" s="1"/>
  <c r="K3525" i="12"/>
  <c r="L3525" i="12" s="1"/>
  <c r="K3201" i="12"/>
  <c r="L3201" i="12" s="1"/>
  <c r="K3453" i="12"/>
  <c r="L3453" i="12" s="1"/>
  <c r="K3273" i="12"/>
  <c r="L3273" i="12" s="1"/>
  <c r="K3417" i="12"/>
  <c r="L3417" i="12" s="1"/>
  <c r="K3130" i="12"/>
  <c r="L3130" i="12" s="1"/>
  <c r="K2986" i="12"/>
  <c r="L2986" i="12" s="1"/>
  <c r="K3238" i="12"/>
  <c r="L3238" i="12" s="1"/>
  <c r="K3490" i="12"/>
  <c r="L3490" i="12" s="1"/>
  <c r="K3598" i="12"/>
  <c r="L3598" i="12" s="1"/>
  <c r="K3022" i="12"/>
  <c r="L3022" i="12" s="1"/>
  <c r="K3562" i="12"/>
  <c r="L3562" i="12" s="1"/>
  <c r="K3166" i="12"/>
  <c r="L3166" i="12" s="1"/>
  <c r="K3382" i="12"/>
  <c r="L3382" i="12" s="1"/>
  <c r="K3058" i="12"/>
  <c r="L3058" i="12" s="1"/>
  <c r="K3094" i="12"/>
  <c r="L3094" i="12" s="1"/>
  <c r="K3310" i="12"/>
  <c r="L3310" i="12" s="1"/>
  <c r="K3346" i="12"/>
  <c r="L3346" i="12" s="1"/>
  <c r="K3526" i="12"/>
  <c r="L3526" i="12" s="1"/>
  <c r="K3202" i="12"/>
  <c r="L3202" i="12" s="1"/>
  <c r="K3454" i="12"/>
  <c r="L3454" i="12" s="1"/>
  <c r="K3274" i="12"/>
  <c r="L3274" i="12" s="1"/>
  <c r="K3418" i="12"/>
  <c r="L3418" i="12" s="1"/>
  <c r="K3131" i="12"/>
  <c r="L3131" i="12" s="1"/>
  <c r="K2987" i="12"/>
  <c r="L2987" i="12" s="1"/>
  <c r="K3239" i="12"/>
  <c r="L3239" i="12" s="1"/>
  <c r="K3491" i="12"/>
  <c r="L3491" i="12" s="1"/>
  <c r="K3599" i="12"/>
  <c r="L3599" i="12" s="1"/>
  <c r="K3023" i="12"/>
  <c r="L3023" i="12" s="1"/>
  <c r="K3563" i="12"/>
  <c r="L3563" i="12" s="1"/>
  <c r="K3167" i="12"/>
  <c r="L3167" i="12" s="1"/>
  <c r="K3383" i="12"/>
  <c r="L3383" i="12" s="1"/>
  <c r="K3059" i="12"/>
  <c r="L3059" i="12" s="1"/>
  <c r="K3095" i="12"/>
  <c r="L3095" i="12" s="1"/>
  <c r="K3311" i="12"/>
  <c r="L3311" i="12" s="1"/>
  <c r="K3347" i="12"/>
  <c r="L3347" i="12" s="1"/>
  <c r="K3527" i="12"/>
  <c r="L3527" i="12" s="1"/>
  <c r="K3203" i="12"/>
  <c r="L3203" i="12" s="1"/>
  <c r="K3455" i="12"/>
  <c r="L3455" i="12" s="1"/>
  <c r="K3275" i="12"/>
  <c r="L3275" i="12" s="1"/>
  <c r="K3419" i="12"/>
  <c r="L3419" i="12" s="1"/>
  <c r="K3132" i="12"/>
  <c r="L3132" i="12" s="1"/>
  <c r="K2988" i="12"/>
  <c r="L2988" i="12" s="1"/>
  <c r="K3240" i="12"/>
  <c r="L3240" i="12" s="1"/>
  <c r="K3492" i="12"/>
  <c r="L3492" i="12" s="1"/>
  <c r="K3600" i="12"/>
  <c r="L3600" i="12" s="1"/>
  <c r="K3024" i="12"/>
  <c r="L3024" i="12" s="1"/>
  <c r="K3564" i="12"/>
  <c r="L3564" i="12" s="1"/>
  <c r="K3168" i="12"/>
  <c r="L3168" i="12" s="1"/>
  <c r="K3384" i="12"/>
  <c r="L3384" i="12" s="1"/>
  <c r="K3060" i="12"/>
  <c r="L3060" i="12" s="1"/>
  <c r="K3096" i="12"/>
  <c r="L3096" i="12" s="1"/>
  <c r="K3312" i="12"/>
  <c r="L3312" i="12" s="1"/>
  <c r="K3348" i="12"/>
  <c r="L3348" i="12" s="1"/>
  <c r="K3528" i="12"/>
  <c r="L3528" i="12" s="1"/>
  <c r="K3204" i="12"/>
  <c r="L3204" i="12" s="1"/>
  <c r="K3456" i="12"/>
  <c r="L3456" i="12" s="1"/>
  <c r="K3276" i="12"/>
  <c r="L3276" i="12" s="1"/>
  <c r="K3420" i="12"/>
  <c r="L3420" i="12" s="1"/>
  <c r="K3133" i="12"/>
  <c r="L3133" i="12" s="1"/>
  <c r="K2989" i="12"/>
  <c r="L2989" i="12" s="1"/>
  <c r="K3241" i="12"/>
  <c r="L3241" i="12" s="1"/>
  <c r="K3493" i="12"/>
  <c r="L3493" i="12" s="1"/>
  <c r="K3601" i="12"/>
  <c r="L3601" i="12" s="1"/>
  <c r="K3025" i="12"/>
  <c r="L3025" i="12" s="1"/>
  <c r="K3565" i="12"/>
  <c r="L3565" i="12" s="1"/>
  <c r="K3169" i="12"/>
  <c r="L3169" i="12" s="1"/>
  <c r="K3385" i="12"/>
  <c r="L3385" i="12" s="1"/>
  <c r="K3061" i="12"/>
  <c r="L3061" i="12" s="1"/>
  <c r="K3097" i="12"/>
  <c r="L3097" i="12" s="1"/>
  <c r="K3313" i="12"/>
  <c r="L3313" i="12" s="1"/>
  <c r="K3349" i="12"/>
  <c r="L3349" i="12" s="1"/>
  <c r="K3529" i="12"/>
  <c r="L3529" i="12" s="1"/>
  <c r="K3205" i="12"/>
  <c r="L3205" i="12" s="1"/>
  <c r="K3457" i="12"/>
  <c r="L3457" i="12" s="1"/>
  <c r="K3277" i="12"/>
  <c r="L3277" i="12" s="1"/>
  <c r="K3421" i="12"/>
  <c r="L3421" i="12" s="1"/>
  <c r="K362" i="12"/>
  <c r="L362" i="12" s="1"/>
  <c r="K110" i="12"/>
  <c r="L110" i="12" s="1"/>
  <c r="K254" i="12"/>
  <c r="L254" i="12" s="1"/>
  <c r="K470" i="12"/>
  <c r="L470" i="12" s="1"/>
  <c r="K182" i="12"/>
  <c r="L182" i="12" s="1"/>
  <c r="K434" i="12"/>
  <c r="L434" i="12" s="1"/>
  <c r="K146" i="12"/>
  <c r="L146" i="12" s="1"/>
  <c r="K614" i="12"/>
  <c r="L614" i="12" s="1"/>
  <c r="K506" i="12"/>
  <c r="L506" i="12" s="1"/>
  <c r="K290" i="12"/>
  <c r="L290" i="12" s="1"/>
  <c r="K398" i="12"/>
  <c r="L398" i="12" s="1"/>
  <c r="K326" i="12"/>
  <c r="L326" i="12" s="1"/>
  <c r="K218" i="12"/>
  <c r="L218" i="12" s="1"/>
  <c r="K363" i="12"/>
  <c r="L363" i="12" s="1"/>
  <c r="K111" i="12"/>
  <c r="L111" i="12" s="1"/>
  <c r="K255" i="12"/>
  <c r="L255" i="12" s="1"/>
  <c r="K471" i="12"/>
  <c r="L471" i="12" s="1"/>
  <c r="K183" i="12"/>
  <c r="L183" i="12" s="1"/>
  <c r="K435" i="12"/>
  <c r="L435" i="12" s="1"/>
  <c r="K147" i="12"/>
  <c r="L147" i="12" s="1"/>
  <c r="K615" i="12"/>
  <c r="L615" i="12" s="1"/>
  <c r="K507" i="12"/>
  <c r="L507" i="12" s="1"/>
  <c r="K291" i="12"/>
  <c r="L291" i="12" s="1"/>
  <c r="K399" i="12"/>
  <c r="L399" i="12" s="1"/>
  <c r="K327" i="12"/>
  <c r="L327" i="12" s="1"/>
  <c r="K219" i="12"/>
  <c r="L219" i="12" s="1"/>
  <c r="K364" i="12"/>
  <c r="L364" i="12" s="1"/>
  <c r="K112" i="12"/>
  <c r="L112" i="12" s="1"/>
  <c r="K256" i="12"/>
  <c r="L256" i="12" s="1"/>
  <c r="K472" i="12"/>
  <c r="L472" i="12" s="1"/>
  <c r="K184" i="12"/>
  <c r="L184" i="12" s="1"/>
  <c r="K436" i="12"/>
  <c r="L436" i="12" s="1"/>
  <c r="K148" i="12"/>
  <c r="L148" i="12" s="1"/>
  <c r="K616" i="12"/>
  <c r="L616" i="12" s="1"/>
  <c r="K508" i="12"/>
  <c r="L508" i="12" s="1"/>
  <c r="K292" i="12"/>
  <c r="L292" i="12" s="1"/>
  <c r="K400" i="12"/>
  <c r="L400" i="12" s="1"/>
  <c r="K328" i="12"/>
  <c r="L328" i="12" s="1"/>
  <c r="K220" i="12"/>
  <c r="L220" i="12" s="1"/>
  <c r="K365" i="12"/>
  <c r="L365" i="12" s="1"/>
  <c r="K113" i="12"/>
  <c r="L113" i="12" s="1"/>
  <c r="K257" i="12"/>
  <c r="L257" i="12" s="1"/>
  <c r="K473" i="12"/>
  <c r="L473" i="12" s="1"/>
  <c r="K185" i="12"/>
  <c r="L185" i="12" s="1"/>
  <c r="K437" i="12"/>
  <c r="L437" i="12" s="1"/>
  <c r="K149" i="12"/>
  <c r="L149" i="12" s="1"/>
  <c r="K617" i="12"/>
  <c r="L617" i="12" s="1"/>
  <c r="K509" i="12"/>
  <c r="L509" i="12" s="1"/>
  <c r="K293" i="12"/>
  <c r="L293" i="12" s="1"/>
  <c r="K401" i="12"/>
  <c r="L401" i="12" s="1"/>
  <c r="K329" i="12"/>
  <c r="L329" i="12" s="1"/>
  <c r="K221" i="12"/>
  <c r="L221" i="12" s="1"/>
  <c r="K366" i="12"/>
  <c r="L366" i="12" s="1"/>
  <c r="K114" i="12"/>
  <c r="L114" i="12" s="1"/>
  <c r="K258" i="12"/>
  <c r="L258" i="12" s="1"/>
  <c r="K474" i="12"/>
  <c r="L474" i="12" s="1"/>
  <c r="K186" i="12"/>
  <c r="L186" i="12" s="1"/>
  <c r="K438" i="12"/>
  <c r="L438" i="12" s="1"/>
  <c r="K150" i="12"/>
  <c r="L150" i="12" s="1"/>
  <c r="K618" i="12"/>
  <c r="L618" i="12" s="1"/>
  <c r="K510" i="12"/>
  <c r="L510" i="12" s="1"/>
  <c r="K294" i="12"/>
  <c r="L294" i="12" s="1"/>
  <c r="K402" i="12"/>
  <c r="L402" i="12" s="1"/>
  <c r="K330" i="12"/>
  <c r="L330" i="12" s="1"/>
  <c r="K222" i="12"/>
  <c r="L222" i="12" s="1"/>
  <c r="K367" i="12"/>
  <c r="L367" i="12" s="1"/>
  <c r="K115" i="12"/>
  <c r="L115" i="12" s="1"/>
  <c r="K259" i="12"/>
  <c r="L259" i="12" s="1"/>
  <c r="K475" i="12"/>
  <c r="L475" i="12" s="1"/>
  <c r="K187" i="12"/>
  <c r="L187" i="12" s="1"/>
  <c r="K439" i="12"/>
  <c r="L439" i="12" s="1"/>
  <c r="K151" i="12"/>
  <c r="L151" i="12" s="1"/>
  <c r="K619" i="12"/>
  <c r="L619" i="12" s="1"/>
  <c r="K511" i="12"/>
  <c r="L511" i="12" s="1"/>
  <c r="K295" i="12"/>
  <c r="L295" i="12" s="1"/>
  <c r="K403" i="12"/>
  <c r="L403" i="12" s="1"/>
  <c r="K331" i="12"/>
  <c r="L331" i="12" s="1"/>
  <c r="K223" i="12"/>
  <c r="L223" i="12" s="1"/>
  <c r="K368" i="12"/>
  <c r="L368" i="12" s="1"/>
  <c r="K116" i="12"/>
  <c r="L116" i="12" s="1"/>
  <c r="K260" i="12"/>
  <c r="L260" i="12" s="1"/>
  <c r="K476" i="12"/>
  <c r="L476" i="12" s="1"/>
  <c r="K188" i="12"/>
  <c r="L188" i="12" s="1"/>
  <c r="K440" i="12"/>
  <c r="L440" i="12" s="1"/>
  <c r="K152" i="12"/>
  <c r="L152" i="12" s="1"/>
  <c r="K620" i="12"/>
  <c r="L620" i="12" s="1"/>
  <c r="K512" i="12"/>
  <c r="L512" i="12" s="1"/>
  <c r="K296" i="12"/>
  <c r="L296" i="12" s="1"/>
  <c r="K404" i="12"/>
  <c r="L404" i="12" s="1"/>
  <c r="K332" i="12"/>
  <c r="L332" i="12" s="1"/>
  <c r="K224" i="12"/>
  <c r="L224" i="12" s="1"/>
  <c r="K369" i="12"/>
  <c r="L369" i="12" s="1"/>
  <c r="K117" i="12"/>
  <c r="L117" i="12" s="1"/>
  <c r="K261" i="12"/>
  <c r="L261" i="12" s="1"/>
  <c r="K477" i="12"/>
  <c r="L477" i="12" s="1"/>
  <c r="K189" i="12"/>
  <c r="L189" i="12" s="1"/>
  <c r="K441" i="12"/>
  <c r="L441" i="12" s="1"/>
  <c r="K153" i="12"/>
  <c r="L153" i="12" s="1"/>
  <c r="K621" i="12"/>
  <c r="L621" i="12" s="1"/>
  <c r="K513" i="12"/>
  <c r="L513" i="12" s="1"/>
  <c r="K297" i="12"/>
  <c r="L297" i="12" s="1"/>
  <c r="K405" i="12"/>
  <c r="L405" i="12" s="1"/>
  <c r="K333" i="12"/>
  <c r="L333" i="12" s="1"/>
  <c r="K225" i="12"/>
  <c r="L225" i="12" s="1"/>
  <c r="K370" i="12"/>
  <c r="L370" i="12" s="1"/>
  <c r="K118" i="12"/>
  <c r="L118" i="12" s="1"/>
  <c r="K262" i="12"/>
  <c r="L262" i="12" s="1"/>
  <c r="K478" i="12"/>
  <c r="L478" i="12" s="1"/>
  <c r="K190" i="12"/>
  <c r="L190" i="12" s="1"/>
  <c r="K442" i="12"/>
  <c r="L442" i="12" s="1"/>
  <c r="K154" i="12"/>
  <c r="L154" i="12" s="1"/>
  <c r="K622" i="12"/>
  <c r="L622" i="12" s="1"/>
  <c r="K514" i="12"/>
  <c r="L514" i="12" s="1"/>
  <c r="K298" i="12"/>
  <c r="L298" i="12" s="1"/>
  <c r="K406" i="12"/>
  <c r="L406" i="12" s="1"/>
  <c r="K334" i="12"/>
  <c r="L334" i="12" s="1"/>
  <c r="K226" i="12"/>
  <c r="L226" i="12" s="1"/>
  <c r="K371" i="12"/>
  <c r="L371" i="12" s="1"/>
  <c r="K119" i="12"/>
  <c r="L119" i="12" s="1"/>
  <c r="K263" i="12"/>
  <c r="L263" i="12" s="1"/>
  <c r="K479" i="12"/>
  <c r="L479" i="12" s="1"/>
  <c r="K191" i="12"/>
  <c r="L191" i="12" s="1"/>
  <c r="K443" i="12"/>
  <c r="L443" i="12" s="1"/>
  <c r="K155" i="12"/>
  <c r="L155" i="12" s="1"/>
  <c r="K623" i="12"/>
  <c r="L623" i="12" s="1"/>
  <c r="K515" i="12"/>
  <c r="L515" i="12" s="1"/>
  <c r="K299" i="12"/>
  <c r="L299" i="12" s="1"/>
  <c r="K407" i="12"/>
  <c r="L407" i="12" s="1"/>
  <c r="K335" i="12"/>
  <c r="L335" i="12" s="1"/>
  <c r="K227" i="12"/>
  <c r="L227" i="12" s="1"/>
  <c r="K372" i="12"/>
  <c r="L372" i="12" s="1"/>
  <c r="K120" i="12"/>
  <c r="L120" i="12" s="1"/>
  <c r="K264" i="12"/>
  <c r="L264" i="12" s="1"/>
  <c r="K480" i="12"/>
  <c r="L480" i="12" s="1"/>
  <c r="K192" i="12"/>
  <c r="L192" i="12" s="1"/>
  <c r="K444" i="12"/>
  <c r="L444" i="12" s="1"/>
  <c r="K156" i="12"/>
  <c r="L156" i="12" s="1"/>
  <c r="K624" i="12"/>
  <c r="L624" i="12" s="1"/>
  <c r="K516" i="12"/>
  <c r="L516" i="12" s="1"/>
  <c r="K300" i="12"/>
  <c r="L300" i="12" s="1"/>
  <c r="K408" i="12"/>
  <c r="L408" i="12" s="1"/>
  <c r="K336" i="12"/>
  <c r="L336" i="12" s="1"/>
  <c r="K228" i="12"/>
  <c r="L228" i="12" s="1"/>
  <c r="K373" i="12"/>
  <c r="L373" i="12" s="1"/>
  <c r="K121" i="12"/>
  <c r="L121" i="12" s="1"/>
  <c r="K265" i="12"/>
  <c r="L265" i="12" s="1"/>
  <c r="K481" i="12"/>
  <c r="L481" i="12" s="1"/>
  <c r="K193" i="12"/>
  <c r="L193" i="12" s="1"/>
  <c r="K445" i="12"/>
  <c r="L445" i="12" s="1"/>
  <c r="K157" i="12"/>
  <c r="L157" i="12" s="1"/>
  <c r="K625" i="12"/>
  <c r="L625" i="12" s="1"/>
  <c r="K517" i="12"/>
  <c r="L517" i="12" s="1"/>
  <c r="K301" i="12"/>
  <c r="L301" i="12" s="1"/>
  <c r="K409" i="12"/>
  <c r="L409" i="12" s="1"/>
  <c r="K337" i="12"/>
  <c r="L337" i="12" s="1"/>
  <c r="K229" i="12"/>
  <c r="L229" i="12" s="1"/>
  <c r="K374" i="12"/>
  <c r="L374" i="12" s="1"/>
  <c r="K122" i="12"/>
  <c r="L122" i="12" s="1"/>
  <c r="K266" i="12"/>
  <c r="L266" i="12" s="1"/>
  <c r="K482" i="12"/>
  <c r="L482" i="12" s="1"/>
  <c r="K194" i="12"/>
  <c r="L194" i="12" s="1"/>
  <c r="K446" i="12"/>
  <c r="L446" i="12" s="1"/>
  <c r="K158" i="12"/>
  <c r="L158" i="12" s="1"/>
  <c r="K626" i="12"/>
  <c r="L626" i="12" s="1"/>
  <c r="K518" i="12"/>
  <c r="L518" i="12" s="1"/>
  <c r="K302" i="12"/>
  <c r="L302" i="12" s="1"/>
  <c r="K410" i="12"/>
  <c r="L410" i="12" s="1"/>
  <c r="K338" i="12"/>
  <c r="L338" i="12" s="1"/>
  <c r="K230" i="12"/>
  <c r="L230" i="12" s="1"/>
  <c r="K375" i="12"/>
  <c r="L375" i="12" s="1"/>
  <c r="K123" i="12"/>
  <c r="L123" i="12" s="1"/>
  <c r="K267" i="12"/>
  <c r="L267" i="12" s="1"/>
  <c r="K483" i="12"/>
  <c r="L483" i="12" s="1"/>
  <c r="K195" i="12"/>
  <c r="L195" i="12" s="1"/>
  <c r="K447" i="12"/>
  <c r="L447" i="12" s="1"/>
  <c r="K159" i="12"/>
  <c r="L159" i="12" s="1"/>
  <c r="K627" i="12"/>
  <c r="L627" i="12" s="1"/>
  <c r="K519" i="12"/>
  <c r="L519" i="12" s="1"/>
  <c r="K303" i="12"/>
  <c r="L303" i="12" s="1"/>
  <c r="K411" i="12"/>
  <c r="L411" i="12" s="1"/>
  <c r="K339" i="12"/>
  <c r="L339" i="12" s="1"/>
  <c r="K231" i="12"/>
  <c r="L231" i="12" s="1"/>
  <c r="K376" i="12"/>
  <c r="L376" i="12" s="1"/>
  <c r="K124" i="12"/>
  <c r="L124" i="12" s="1"/>
  <c r="K268" i="12"/>
  <c r="L268" i="12" s="1"/>
  <c r="K484" i="12"/>
  <c r="L484" i="12" s="1"/>
  <c r="K196" i="12"/>
  <c r="L196" i="12" s="1"/>
  <c r="K448" i="12"/>
  <c r="L448" i="12" s="1"/>
  <c r="K160" i="12"/>
  <c r="L160" i="12" s="1"/>
  <c r="K628" i="12"/>
  <c r="L628" i="12" s="1"/>
  <c r="K520" i="12"/>
  <c r="L520" i="12" s="1"/>
  <c r="K304" i="12"/>
  <c r="L304" i="12" s="1"/>
  <c r="K412" i="12"/>
  <c r="L412" i="12" s="1"/>
  <c r="K340" i="12"/>
  <c r="L340" i="12" s="1"/>
  <c r="K232" i="12"/>
  <c r="L232" i="12" s="1"/>
  <c r="K377" i="12"/>
  <c r="L377" i="12" s="1"/>
  <c r="K125" i="12"/>
  <c r="L125" i="12" s="1"/>
  <c r="K269" i="12"/>
  <c r="L269" i="12" s="1"/>
  <c r="K485" i="12"/>
  <c r="L485" i="12" s="1"/>
  <c r="K197" i="12"/>
  <c r="L197" i="12" s="1"/>
  <c r="K449" i="12"/>
  <c r="L449" i="12" s="1"/>
  <c r="K161" i="12"/>
  <c r="L161" i="12" s="1"/>
  <c r="K629" i="12"/>
  <c r="L629" i="12" s="1"/>
  <c r="K521" i="12"/>
  <c r="L521" i="12" s="1"/>
  <c r="K305" i="12"/>
  <c r="L305" i="12" s="1"/>
  <c r="K413" i="12"/>
  <c r="L413" i="12" s="1"/>
  <c r="K341" i="12"/>
  <c r="L341" i="12" s="1"/>
  <c r="K233" i="12"/>
  <c r="L233" i="12" s="1"/>
  <c r="K378" i="12"/>
  <c r="L378" i="12" s="1"/>
  <c r="K126" i="12"/>
  <c r="L126" i="12" s="1"/>
  <c r="K270" i="12"/>
  <c r="L270" i="12" s="1"/>
  <c r="K486" i="12"/>
  <c r="L486" i="12" s="1"/>
  <c r="K198" i="12"/>
  <c r="L198" i="12" s="1"/>
  <c r="K450" i="12"/>
  <c r="L450" i="12" s="1"/>
  <c r="K162" i="12"/>
  <c r="L162" i="12" s="1"/>
  <c r="K630" i="12"/>
  <c r="L630" i="12" s="1"/>
  <c r="K522" i="12"/>
  <c r="L522" i="12" s="1"/>
  <c r="K306" i="12"/>
  <c r="L306" i="12" s="1"/>
  <c r="K414" i="12"/>
  <c r="L414" i="12" s="1"/>
  <c r="K342" i="12"/>
  <c r="L342" i="12" s="1"/>
  <c r="K234" i="12"/>
  <c r="L234" i="12" s="1"/>
  <c r="K379" i="12"/>
  <c r="L379" i="12" s="1"/>
  <c r="K127" i="12"/>
  <c r="L127" i="12" s="1"/>
  <c r="K271" i="12"/>
  <c r="L271" i="12" s="1"/>
  <c r="K487" i="12"/>
  <c r="L487" i="12" s="1"/>
  <c r="K199" i="12"/>
  <c r="L199" i="12" s="1"/>
  <c r="K451" i="12"/>
  <c r="L451" i="12" s="1"/>
  <c r="K163" i="12"/>
  <c r="L163" i="12" s="1"/>
  <c r="K631" i="12"/>
  <c r="L631" i="12" s="1"/>
  <c r="K523" i="12"/>
  <c r="L523" i="12" s="1"/>
  <c r="K307" i="12"/>
  <c r="L307" i="12" s="1"/>
  <c r="K415" i="12"/>
  <c r="L415" i="12" s="1"/>
  <c r="K343" i="12"/>
  <c r="L343" i="12" s="1"/>
  <c r="K235" i="12"/>
  <c r="L235" i="12" s="1"/>
  <c r="K380" i="12"/>
  <c r="L380" i="12" s="1"/>
  <c r="K128" i="12"/>
  <c r="L128" i="12" s="1"/>
  <c r="K272" i="12"/>
  <c r="L272" i="12" s="1"/>
  <c r="K488" i="12"/>
  <c r="L488" i="12" s="1"/>
  <c r="K200" i="12"/>
  <c r="L200" i="12" s="1"/>
  <c r="K452" i="12"/>
  <c r="L452" i="12" s="1"/>
  <c r="K164" i="12"/>
  <c r="L164" i="12" s="1"/>
  <c r="K632" i="12"/>
  <c r="L632" i="12" s="1"/>
  <c r="K524" i="12"/>
  <c r="L524" i="12" s="1"/>
  <c r="K308" i="12"/>
  <c r="L308" i="12" s="1"/>
  <c r="K416" i="12"/>
  <c r="L416" i="12" s="1"/>
  <c r="K344" i="12"/>
  <c r="L344" i="12" s="1"/>
  <c r="K236" i="12"/>
  <c r="L236" i="12" s="1"/>
  <c r="K381" i="12"/>
  <c r="L381" i="12" s="1"/>
  <c r="K129" i="12"/>
  <c r="L129" i="12" s="1"/>
  <c r="K273" i="12"/>
  <c r="L273" i="12" s="1"/>
  <c r="K489" i="12"/>
  <c r="L489" i="12" s="1"/>
  <c r="K201" i="12"/>
  <c r="L201" i="12" s="1"/>
  <c r="K453" i="12"/>
  <c r="L453" i="12" s="1"/>
  <c r="K165" i="12"/>
  <c r="L165" i="12" s="1"/>
  <c r="K633" i="12"/>
  <c r="L633" i="12" s="1"/>
  <c r="K525" i="12"/>
  <c r="L525" i="12" s="1"/>
  <c r="K309" i="12"/>
  <c r="L309" i="12" s="1"/>
  <c r="K417" i="12"/>
  <c r="L417" i="12" s="1"/>
  <c r="K345" i="12"/>
  <c r="L345" i="12" s="1"/>
  <c r="K237" i="12"/>
  <c r="L237" i="12" s="1"/>
  <c r="K382" i="12"/>
  <c r="L382" i="12" s="1"/>
  <c r="K130" i="12"/>
  <c r="L130" i="12" s="1"/>
  <c r="K274" i="12"/>
  <c r="L274" i="12" s="1"/>
  <c r="K490" i="12"/>
  <c r="L490" i="12" s="1"/>
  <c r="K202" i="12"/>
  <c r="L202" i="12" s="1"/>
  <c r="K454" i="12"/>
  <c r="L454" i="12" s="1"/>
  <c r="K166" i="12"/>
  <c r="L166" i="12" s="1"/>
  <c r="K634" i="12"/>
  <c r="L634" i="12" s="1"/>
  <c r="K526" i="12"/>
  <c r="L526" i="12" s="1"/>
  <c r="K310" i="12"/>
  <c r="L310" i="12" s="1"/>
  <c r="K418" i="12"/>
  <c r="L418" i="12" s="1"/>
  <c r="K346" i="12"/>
  <c r="L346" i="12" s="1"/>
  <c r="K238" i="12"/>
  <c r="L238" i="12" s="1"/>
  <c r="K383" i="12"/>
  <c r="L383" i="12" s="1"/>
  <c r="K131" i="12"/>
  <c r="L131" i="12" s="1"/>
  <c r="K275" i="12"/>
  <c r="L275" i="12" s="1"/>
  <c r="K491" i="12"/>
  <c r="L491" i="12" s="1"/>
  <c r="K203" i="12"/>
  <c r="L203" i="12" s="1"/>
  <c r="K455" i="12"/>
  <c r="L455" i="12" s="1"/>
  <c r="K167" i="12"/>
  <c r="L167" i="12" s="1"/>
  <c r="K635" i="12"/>
  <c r="L635" i="12" s="1"/>
  <c r="K527" i="12"/>
  <c r="L527" i="12" s="1"/>
  <c r="K311" i="12"/>
  <c r="L311" i="12" s="1"/>
  <c r="K419" i="12"/>
  <c r="L419" i="12" s="1"/>
  <c r="K347" i="12"/>
  <c r="L347" i="12" s="1"/>
  <c r="K239" i="12"/>
  <c r="L239" i="12" s="1"/>
  <c r="K384" i="12"/>
  <c r="L384" i="12" s="1"/>
  <c r="K132" i="12"/>
  <c r="L132" i="12" s="1"/>
  <c r="K276" i="12"/>
  <c r="L276" i="12" s="1"/>
  <c r="K492" i="12"/>
  <c r="L492" i="12" s="1"/>
  <c r="K204" i="12"/>
  <c r="L204" i="12" s="1"/>
  <c r="K456" i="12"/>
  <c r="L456" i="12" s="1"/>
  <c r="K168" i="12"/>
  <c r="L168" i="12" s="1"/>
  <c r="K636" i="12"/>
  <c r="L636" i="12" s="1"/>
  <c r="K528" i="12"/>
  <c r="L528" i="12" s="1"/>
  <c r="K312" i="12"/>
  <c r="L312" i="12" s="1"/>
  <c r="K420" i="12"/>
  <c r="L420" i="12" s="1"/>
  <c r="K348" i="12"/>
  <c r="L348" i="12" s="1"/>
  <c r="K240" i="12"/>
  <c r="L240" i="12" s="1"/>
  <c r="K385" i="12"/>
  <c r="L385" i="12" s="1"/>
  <c r="K133" i="12"/>
  <c r="L133" i="12" s="1"/>
  <c r="K277" i="12"/>
  <c r="L277" i="12" s="1"/>
  <c r="K493" i="12"/>
  <c r="L493" i="12" s="1"/>
  <c r="K205" i="12"/>
  <c r="L205" i="12" s="1"/>
  <c r="K457" i="12"/>
  <c r="L457" i="12" s="1"/>
  <c r="K169" i="12"/>
  <c r="L169" i="12" s="1"/>
  <c r="K637" i="12"/>
  <c r="L637" i="12" s="1"/>
  <c r="K529" i="12"/>
  <c r="L529" i="12" s="1"/>
  <c r="K313" i="12"/>
  <c r="L313" i="12" s="1"/>
  <c r="K421" i="12"/>
  <c r="L421" i="12" s="1"/>
  <c r="K349" i="12"/>
  <c r="L349" i="12" s="1"/>
  <c r="K241" i="12"/>
  <c r="L241" i="12" s="1"/>
  <c r="K386" i="12"/>
  <c r="L386" i="12" s="1"/>
  <c r="K134" i="12"/>
  <c r="L134" i="12" s="1"/>
  <c r="K278" i="12"/>
  <c r="L278" i="12" s="1"/>
  <c r="K494" i="12"/>
  <c r="L494" i="12" s="1"/>
  <c r="K206" i="12"/>
  <c r="L206" i="12" s="1"/>
  <c r="K458" i="12"/>
  <c r="L458" i="12" s="1"/>
  <c r="K170" i="12"/>
  <c r="L170" i="12" s="1"/>
  <c r="K638" i="12"/>
  <c r="L638" i="12" s="1"/>
  <c r="K530" i="12"/>
  <c r="L530" i="12" s="1"/>
  <c r="K314" i="12"/>
  <c r="L314" i="12" s="1"/>
  <c r="K422" i="12"/>
  <c r="L422" i="12" s="1"/>
  <c r="K350" i="12"/>
  <c r="L350" i="12" s="1"/>
  <c r="K242" i="12"/>
  <c r="L242" i="12" s="1"/>
  <c r="K387" i="12"/>
  <c r="L387" i="12" s="1"/>
  <c r="K135" i="12"/>
  <c r="L135" i="12" s="1"/>
  <c r="K279" i="12"/>
  <c r="L279" i="12" s="1"/>
  <c r="K495" i="12"/>
  <c r="L495" i="12" s="1"/>
  <c r="K207" i="12"/>
  <c r="L207" i="12" s="1"/>
  <c r="K459" i="12"/>
  <c r="L459" i="12" s="1"/>
  <c r="K171" i="12"/>
  <c r="L171" i="12" s="1"/>
  <c r="K639" i="12"/>
  <c r="L639" i="12" s="1"/>
  <c r="K531" i="12"/>
  <c r="L531" i="12" s="1"/>
  <c r="K315" i="12"/>
  <c r="L315" i="12" s="1"/>
  <c r="K423" i="12"/>
  <c r="L423" i="12" s="1"/>
  <c r="K351" i="12"/>
  <c r="L351" i="12" s="1"/>
  <c r="K243" i="12"/>
  <c r="L243" i="12" s="1"/>
  <c r="K388" i="12"/>
  <c r="L388" i="12" s="1"/>
  <c r="K136" i="12"/>
  <c r="L136" i="12" s="1"/>
  <c r="K280" i="12"/>
  <c r="L280" i="12" s="1"/>
  <c r="K496" i="12"/>
  <c r="L496" i="12" s="1"/>
  <c r="K208" i="12"/>
  <c r="L208" i="12" s="1"/>
  <c r="K460" i="12"/>
  <c r="L460" i="12" s="1"/>
  <c r="K172" i="12"/>
  <c r="L172" i="12" s="1"/>
  <c r="K640" i="12"/>
  <c r="L640" i="12" s="1"/>
  <c r="K532" i="12"/>
  <c r="L532" i="12" s="1"/>
  <c r="K316" i="12"/>
  <c r="L316" i="12" s="1"/>
  <c r="K424" i="12"/>
  <c r="L424" i="12" s="1"/>
  <c r="K352" i="12"/>
  <c r="L352" i="12" s="1"/>
  <c r="K244" i="12"/>
  <c r="L244" i="12" s="1"/>
  <c r="K389" i="12"/>
  <c r="L389" i="12" s="1"/>
  <c r="K137" i="12"/>
  <c r="L137" i="12" s="1"/>
  <c r="K281" i="12"/>
  <c r="L281" i="12" s="1"/>
  <c r="K497" i="12"/>
  <c r="L497" i="12" s="1"/>
  <c r="K209" i="12"/>
  <c r="L209" i="12" s="1"/>
  <c r="K461" i="12"/>
  <c r="L461" i="12" s="1"/>
  <c r="K173" i="12"/>
  <c r="L173" i="12" s="1"/>
  <c r="K641" i="12"/>
  <c r="L641" i="12" s="1"/>
  <c r="K533" i="12"/>
  <c r="L533" i="12" s="1"/>
  <c r="K317" i="12"/>
  <c r="L317" i="12" s="1"/>
  <c r="K425" i="12"/>
  <c r="L425" i="12" s="1"/>
  <c r="K353" i="12"/>
  <c r="L353" i="12" s="1"/>
  <c r="K245" i="12"/>
  <c r="L245" i="12" s="1"/>
  <c r="K390" i="12"/>
  <c r="L390" i="12" s="1"/>
  <c r="K138" i="12"/>
  <c r="L138" i="12" s="1"/>
  <c r="K282" i="12"/>
  <c r="L282" i="12" s="1"/>
  <c r="K498" i="12"/>
  <c r="L498" i="12" s="1"/>
  <c r="K210" i="12"/>
  <c r="L210" i="12" s="1"/>
  <c r="K462" i="12"/>
  <c r="L462" i="12" s="1"/>
  <c r="K174" i="12"/>
  <c r="L174" i="12" s="1"/>
  <c r="K642" i="12"/>
  <c r="L642" i="12" s="1"/>
  <c r="K534" i="12"/>
  <c r="L534" i="12" s="1"/>
  <c r="K318" i="12"/>
  <c r="L318" i="12" s="1"/>
  <c r="K426" i="12"/>
  <c r="L426" i="12" s="1"/>
  <c r="K354" i="12"/>
  <c r="L354" i="12" s="1"/>
  <c r="K246" i="12"/>
  <c r="L246" i="12" s="1"/>
  <c r="K391" i="12"/>
  <c r="L391" i="12" s="1"/>
  <c r="K139" i="12"/>
  <c r="L139" i="12" s="1"/>
  <c r="K283" i="12"/>
  <c r="L283" i="12" s="1"/>
  <c r="K499" i="12"/>
  <c r="L499" i="12" s="1"/>
  <c r="K211" i="12"/>
  <c r="L211" i="12" s="1"/>
  <c r="K463" i="12"/>
  <c r="L463" i="12" s="1"/>
  <c r="K175" i="12"/>
  <c r="L175" i="12" s="1"/>
  <c r="K643" i="12"/>
  <c r="L643" i="12" s="1"/>
  <c r="K535" i="12"/>
  <c r="L535" i="12" s="1"/>
  <c r="K319" i="12"/>
  <c r="L319" i="12" s="1"/>
  <c r="K427" i="12"/>
  <c r="L427" i="12" s="1"/>
  <c r="K355" i="12"/>
  <c r="L355" i="12" s="1"/>
  <c r="K247" i="12"/>
  <c r="L247" i="12" s="1"/>
  <c r="K392" i="12"/>
  <c r="L392" i="12" s="1"/>
  <c r="K140" i="12"/>
  <c r="L140" i="12" s="1"/>
  <c r="K284" i="12"/>
  <c r="L284" i="12" s="1"/>
  <c r="K500" i="12"/>
  <c r="L500" i="12" s="1"/>
  <c r="K212" i="12"/>
  <c r="L212" i="12" s="1"/>
  <c r="K464" i="12"/>
  <c r="L464" i="12" s="1"/>
  <c r="K176" i="12"/>
  <c r="L176" i="12" s="1"/>
  <c r="K644" i="12"/>
  <c r="L644" i="12" s="1"/>
  <c r="K536" i="12"/>
  <c r="L536" i="12" s="1"/>
  <c r="K320" i="12"/>
  <c r="L320" i="12" s="1"/>
  <c r="K428" i="12"/>
  <c r="L428" i="12" s="1"/>
  <c r="K356" i="12"/>
  <c r="L356" i="12" s="1"/>
  <c r="K248" i="12"/>
  <c r="L248" i="12" s="1"/>
  <c r="K393" i="12"/>
  <c r="L393" i="12" s="1"/>
  <c r="K141" i="12"/>
  <c r="L141" i="12" s="1"/>
  <c r="K285" i="12"/>
  <c r="L285" i="12" s="1"/>
  <c r="K501" i="12"/>
  <c r="L501" i="12" s="1"/>
  <c r="K213" i="12"/>
  <c r="L213" i="12" s="1"/>
  <c r="K465" i="12"/>
  <c r="L465" i="12" s="1"/>
  <c r="K177" i="12"/>
  <c r="L177" i="12" s="1"/>
  <c r="K645" i="12"/>
  <c r="L645" i="12" s="1"/>
  <c r="K537" i="12"/>
  <c r="L537" i="12" s="1"/>
  <c r="K321" i="12"/>
  <c r="L321" i="12" s="1"/>
  <c r="K429" i="12"/>
  <c r="L429" i="12" s="1"/>
  <c r="K357" i="12"/>
  <c r="L357" i="12" s="1"/>
  <c r="K249" i="12"/>
  <c r="L249" i="12" s="1"/>
  <c r="K394" i="12"/>
  <c r="L394" i="12" s="1"/>
  <c r="K142" i="12"/>
  <c r="L142" i="12" s="1"/>
  <c r="K286" i="12"/>
  <c r="L286" i="12" s="1"/>
  <c r="K502" i="12"/>
  <c r="L502" i="12" s="1"/>
  <c r="K214" i="12"/>
  <c r="L214" i="12" s="1"/>
  <c r="K466" i="12"/>
  <c r="L466" i="12" s="1"/>
  <c r="K178" i="12"/>
  <c r="L178" i="12" s="1"/>
  <c r="K646" i="12"/>
  <c r="L646" i="12" s="1"/>
  <c r="K538" i="12"/>
  <c r="L538" i="12" s="1"/>
  <c r="K322" i="12"/>
  <c r="L322" i="12" s="1"/>
  <c r="K430" i="12"/>
  <c r="L430" i="12" s="1"/>
  <c r="K358" i="12"/>
  <c r="L358" i="12" s="1"/>
  <c r="K250" i="12"/>
  <c r="L250" i="12" s="1"/>
  <c r="K395" i="12"/>
  <c r="L395" i="12" s="1"/>
  <c r="K143" i="12"/>
  <c r="L143" i="12" s="1"/>
  <c r="K287" i="12"/>
  <c r="L287" i="12" s="1"/>
  <c r="K503" i="12"/>
  <c r="L503" i="12" s="1"/>
  <c r="K215" i="12"/>
  <c r="L215" i="12" s="1"/>
  <c r="K467" i="12"/>
  <c r="L467" i="12" s="1"/>
  <c r="K179" i="12"/>
  <c r="L179" i="12" s="1"/>
  <c r="K647" i="12"/>
  <c r="L647" i="12" s="1"/>
  <c r="K539" i="12"/>
  <c r="L539" i="12" s="1"/>
  <c r="K323" i="12"/>
  <c r="L323" i="12" s="1"/>
  <c r="K431" i="12"/>
  <c r="L431" i="12" s="1"/>
  <c r="K359" i="12"/>
  <c r="L359" i="12" s="1"/>
  <c r="K251" i="12"/>
  <c r="L251" i="12" s="1"/>
  <c r="K396" i="12"/>
  <c r="L396" i="12" s="1"/>
  <c r="K144" i="12"/>
  <c r="L144" i="12" s="1"/>
  <c r="K288" i="12"/>
  <c r="L288" i="12" s="1"/>
  <c r="K504" i="12"/>
  <c r="L504" i="12" s="1"/>
  <c r="K216" i="12"/>
  <c r="L216" i="12" s="1"/>
  <c r="K468" i="12"/>
  <c r="L468" i="12" s="1"/>
  <c r="K180" i="12"/>
  <c r="L180" i="12" s="1"/>
  <c r="K648" i="12"/>
  <c r="L648" i="12" s="1"/>
  <c r="K540" i="12"/>
  <c r="L540" i="12" s="1"/>
  <c r="K324" i="12"/>
  <c r="L324" i="12" s="1"/>
  <c r="K432" i="12"/>
  <c r="L432" i="12" s="1"/>
  <c r="K360" i="12"/>
  <c r="L360" i="12" s="1"/>
  <c r="K252" i="12"/>
  <c r="L252" i="12" s="1"/>
  <c r="K397" i="12"/>
  <c r="L397" i="12" s="1"/>
  <c r="K145" i="12"/>
  <c r="L145" i="12" s="1"/>
  <c r="K289" i="12"/>
  <c r="L289" i="12" s="1"/>
  <c r="K505" i="12"/>
  <c r="L505" i="12" s="1"/>
  <c r="K217" i="12"/>
  <c r="L217" i="12" s="1"/>
  <c r="K469" i="12"/>
  <c r="L469" i="12" s="1"/>
  <c r="K181" i="12"/>
  <c r="L181" i="12" s="1"/>
  <c r="K649" i="12"/>
  <c r="L649" i="12" s="1"/>
  <c r="K541" i="12"/>
  <c r="L541" i="12" s="1"/>
  <c r="K325" i="12"/>
  <c r="L325" i="12" s="1"/>
  <c r="K433" i="12"/>
  <c r="L433" i="12" s="1"/>
  <c r="K361" i="12"/>
  <c r="L361" i="12" s="1"/>
  <c r="K253" i="12"/>
  <c r="L253" i="12" s="1"/>
  <c r="K542" i="12"/>
  <c r="L542" i="12" s="1"/>
  <c r="K543" i="12"/>
  <c r="L543" i="12" s="1"/>
  <c r="K544" i="12"/>
  <c r="L544" i="12" s="1"/>
  <c r="K545" i="12"/>
  <c r="L545" i="12" s="1"/>
  <c r="K546" i="12"/>
  <c r="L546" i="12" s="1"/>
  <c r="K547" i="12"/>
  <c r="L547" i="12" s="1"/>
  <c r="K548" i="12"/>
  <c r="L548" i="12" s="1"/>
  <c r="K549" i="12"/>
  <c r="L549" i="12" s="1"/>
  <c r="K550" i="12"/>
  <c r="L550" i="12" s="1"/>
  <c r="K551" i="12"/>
  <c r="L551" i="12" s="1"/>
  <c r="K552" i="12"/>
  <c r="L552" i="12" s="1"/>
  <c r="K553" i="12"/>
  <c r="L553" i="12" s="1"/>
  <c r="K554" i="12"/>
  <c r="L554" i="12" s="1"/>
  <c r="K555" i="12"/>
  <c r="L555" i="12" s="1"/>
  <c r="K556" i="12"/>
  <c r="L556" i="12" s="1"/>
  <c r="K557" i="12"/>
  <c r="L557" i="12" s="1"/>
  <c r="K558" i="12"/>
  <c r="L558" i="12" s="1"/>
  <c r="K559" i="12"/>
  <c r="L559" i="12" s="1"/>
  <c r="K560" i="12"/>
  <c r="L560" i="12" s="1"/>
  <c r="K561" i="12"/>
  <c r="L561" i="12" s="1"/>
  <c r="K562" i="12"/>
  <c r="L562" i="12" s="1"/>
  <c r="K563" i="12"/>
  <c r="L563" i="12" s="1"/>
  <c r="K564" i="12"/>
  <c r="L564" i="12" s="1"/>
  <c r="K565" i="12"/>
  <c r="L565" i="12" s="1"/>
  <c r="K566" i="12"/>
  <c r="L566" i="12" s="1"/>
  <c r="K567" i="12"/>
  <c r="L567" i="12" s="1"/>
  <c r="K568" i="12"/>
  <c r="L568" i="12" s="1"/>
  <c r="K569" i="12"/>
  <c r="L569" i="12" s="1"/>
  <c r="K570" i="12"/>
  <c r="L570" i="12" s="1"/>
  <c r="K571" i="12"/>
  <c r="L571" i="12" s="1"/>
  <c r="K572" i="12"/>
  <c r="L572" i="12" s="1"/>
  <c r="K573" i="12"/>
  <c r="L573" i="12" s="1"/>
  <c r="K574" i="12"/>
  <c r="L574" i="12" s="1"/>
  <c r="K575" i="12"/>
  <c r="L575" i="12" s="1"/>
  <c r="K576" i="12"/>
  <c r="L576" i="12" s="1"/>
  <c r="K577" i="12"/>
  <c r="L577" i="12" s="1"/>
  <c r="K578" i="12"/>
  <c r="L578" i="12" s="1"/>
  <c r="K579" i="12"/>
  <c r="L579" i="12" s="1"/>
  <c r="K580" i="12"/>
  <c r="L580" i="12" s="1"/>
  <c r="K581" i="12"/>
  <c r="L581" i="12" s="1"/>
  <c r="K582" i="12"/>
  <c r="L582" i="12" s="1"/>
  <c r="K583" i="12"/>
  <c r="L583" i="12" s="1"/>
  <c r="K584" i="12"/>
  <c r="L584" i="12" s="1"/>
  <c r="K585" i="12"/>
  <c r="L585" i="12" s="1"/>
  <c r="K586" i="12"/>
  <c r="L586" i="12" s="1"/>
  <c r="K587" i="12"/>
  <c r="L587" i="12" s="1"/>
  <c r="K588" i="12"/>
  <c r="L588" i="12" s="1"/>
  <c r="K589" i="12"/>
  <c r="L589" i="12" s="1"/>
  <c r="K590" i="12"/>
  <c r="L590" i="12" s="1"/>
  <c r="K591" i="12"/>
  <c r="L591" i="12" s="1"/>
  <c r="K592" i="12"/>
  <c r="L592" i="12" s="1"/>
  <c r="K593" i="12"/>
  <c r="L593" i="12" s="1"/>
  <c r="K594" i="12"/>
  <c r="L594" i="12" s="1"/>
  <c r="K595" i="12"/>
  <c r="L595" i="12" s="1"/>
  <c r="K596" i="12"/>
  <c r="L596" i="12" s="1"/>
  <c r="K597" i="12"/>
  <c r="L597" i="12" s="1"/>
  <c r="K598" i="12"/>
  <c r="L598" i="12" s="1"/>
  <c r="K599" i="12"/>
  <c r="L599" i="12" s="1"/>
  <c r="K600" i="12"/>
  <c r="L600" i="12" s="1"/>
  <c r="K601" i="12"/>
  <c r="L601" i="12" s="1"/>
  <c r="K602" i="12"/>
  <c r="L602" i="12" s="1"/>
  <c r="K603" i="12"/>
  <c r="L603" i="12" s="1"/>
  <c r="K604" i="12"/>
  <c r="L604" i="12" s="1"/>
  <c r="K605" i="12"/>
  <c r="L605" i="12" s="1"/>
  <c r="K606" i="12"/>
  <c r="L606" i="12" s="1"/>
  <c r="K607" i="12"/>
  <c r="L607" i="12" s="1"/>
  <c r="K608" i="12"/>
  <c r="L608" i="12" s="1"/>
  <c r="K609" i="12"/>
  <c r="L609" i="12" s="1"/>
  <c r="K610" i="12"/>
  <c r="L610" i="12" s="1"/>
  <c r="K611" i="12"/>
  <c r="L611" i="12" s="1"/>
  <c r="K612" i="12"/>
  <c r="L612" i="12" s="1"/>
  <c r="K613" i="12"/>
  <c r="L613" i="12" s="1"/>
  <c r="K2090" i="12"/>
  <c r="L2090" i="12" s="1"/>
  <c r="K2234" i="12"/>
  <c r="L2234" i="12" s="1"/>
  <c r="K2126" i="12"/>
  <c r="L2126" i="12" s="1"/>
  <c r="K1874" i="12"/>
  <c r="L1874" i="12" s="1"/>
  <c r="K2054" i="12"/>
  <c r="L2054" i="12" s="1"/>
  <c r="K2198" i="12"/>
  <c r="L2198" i="12" s="1"/>
  <c r="K1982" i="12"/>
  <c r="L1982" i="12" s="1"/>
  <c r="K1838" i="12"/>
  <c r="L1838" i="12" s="1"/>
  <c r="K1946" i="12"/>
  <c r="L1946" i="12" s="1"/>
  <c r="K1910" i="12"/>
  <c r="L1910" i="12" s="1"/>
  <c r="K1802" i="12"/>
  <c r="L1802" i="12" s="1"/>
  <c r="K2018" i="12"/>
  <c r="L2018" i="12" s="1"/>
  <c r="K2162" i="12"/>
  <c r="L2162" i="12" s="1"/>
  <c r="K2091" i="12"/>
  <c r="L2091" i="12" s="1"/>
  <c r="K2235" i="12"/>
  <c r="L2235" i="12" s="1"/>
  <c r="K2127" i="12"/>
  <c r="L2127" i="12" s="1"/>
  <c r="K1875" i="12"/>
  <c r="L1875" i="12" s="1"/>
  <c r="K2055" i="12"/>
  <c r="L2055" i="12" s="1"/>
  <c r="K2199" i="12"/>
  <c r="L2199" i="12" s="1"/>
  <c r="K1983" i="12"/>
  <c r="L1983" i="12" s="1"/>
  <c r="K1839" i="12"/>
  <c r="L1839" i="12" s="1"/>
  <c r="K1947" i="12"/>
  <c r="L1947" i="12" s="1"/>
  <c r="K1911" i="12"/>
  <c r="L1911" i="12" s="1"/>
  <c r="K1803" i="12"/>
  <c r="L1803" i="12" s="1"/>
  <c r="K2019" i="12"/>
  <c r="L2019" i="12" s="1"/>
  <c r="K2163" i="12"/>
  <c r="L2163" i="12" s="1"/>
  <c r="K2092" i="12"/>
  <c r="L2092" i="12" s="1"/>
  <c r="K2236" i="12"/>
  <c r="L2236" i="12" s="1"/>
  <c r="K2128" i="12"/>
  <c r="L2128" i="12" s="1"/>
  <c r="K1876" i="12"/>
  <c r="L1876" i="12" s="1"/>
  <c r="K2056" i="12"/>
  <c r="L2056" i="12" s="1"/>
  <c r="K2200" i="12"/>
  <c r="L2200" i="12" s="1"/>
  <c r="K1984" i="12"/>
  <c r="L1984" i="12" s="1"/>
  <c r="K1840" i="12"/>
  <c r="L1840" i="12" s="1"/>
  <c r="K1948" i="12"/>
  <c r="L1948" i="12" s="1"/>
  <c r="K1912" i="12"/>
  <c r="L1912" i="12" s="1"/>
  <c r="K1804" i="12"/>
  <c r="L1804" i="12" s="1"/>
  <c r="K2020" i="12"/>
  <c r="L2020" i="12" s="1"/>
  <c r="K2164" i="12"/>
  <c r="L2164" i="12" s="1"/>
  <c r="K2093" i="12"/>
  <c r="L2093" i="12" s="1"/>
  <c r="K2237" i="12"/>
  <c r="L2237" i="12" s="1"/>
  <c r="K2129" i="12"/>
  <c r="L2129" i="12" s="1"/>
  <c r="K1877" i="12"/>
  <c r="L1877" i="12" s="1"/>
  <c r="K2057" i="12"/>
  <c r="L2057" i="12" s="1"/>
  <c r="K2201" i="12"/>
  <c r="L2201" i="12" s="1"/>
  <c r="K1985" i="12"/>
  <c r="L1985" i="12" s="1"/>
  <c r="K1841" i="12"/>
  <c r="L1841" i="12" s="1"/>
  <c r="K1949" i="12"/>
  <c r="L1949" i="12" s="1"/>
  <c r="K1913" i="12"/>
  <c r="L1913" i="12" s="1"/>
  <c r="K1805" i="12"/>
  <c r="L1805" i="12" s="1"/>
  <c r="K2021" i="12"/>
  <c r="L2021" i="12" s="1"/>
  <c r="K2165" i="12"/>
  <c r="L2165" i="12" s="1"/>
  <c r="K2094" i="12"/>
  <c r="L2094" i="12" s="1"/>
  <c r="K2238" i="12"/>
  <c r="L2238" i="12" s="1"/>
  <c r="K2130" i="12"/>
  <c r="L2130" i="12" s="1"/>
  <c r="K1878" i="12"/>
  <c r="L1878" i="12" s="1"/>
  <c r="K2058" i="12"/>
  <c r="L2058" i="12" s="1"/>
  <c r="K2202" i="12"/>
  <c r="L2202" i="12" s="1"/>
  <c r="K1986" i="12"/>
  <c r="L1986" i="12" s="1"/>
  <c r="K1842" i="12"/>
  <c r="L1842" i="12" s="1"/>
  <c r="K1950" i="12"/>
  <c r="L1950" i="12" s="1"/>
  <c r="K1914" i="12"/>
  <c r="L1914" i="12" s="1"/>
  <c r="K1806" i="12"/>
  <c r="L1806" i="12" s="1"/>
  <c r="K2022" i="12"/>
  <c r="L2022" i="12" s="1"/>
  <c r="K2166" i="12"/>
  <c r="L2166" i="12" s="1"/>
  <c r="K2095" i="12"/>
  <c r="L2095" i="12" s="1"/>
  <c r="K2239" i="12"/>
  <c r="L2239" i="12" s="1"/>
  <c r="K2131" i="12"/>
  <c r="L2131" i="12" s="1"/>
  <c r="K1879" i="12"/>
  <c r="L1879" i="12" s="1"/>
  <c r="K2059" i="12"/>
  <c r="L2059" i="12" s="1"/>
  <c r="K2203" i="12"/>
  <c r="L2203" i="12" s="1"/>
  <c r="K1987" i="12"/>
  <c r="L1987" i="12" s="1"/>
  <c r="K1843" i="12"/>
  <c r="L1843" i="12" s="1"/>
  <c r="K1951" i="12"/>
  <c r="L1951" i="12" s="1"/>
  <c r="K1915" i="12"/>
  <c r="L1915" i="12" s="1"/>
  <c r="K1807" i="12"/>
  <c r="L1807" i="12" s="1"/>
  <c r="K2023" i="12"/>
  <c r="L2023" i="12" s="1"/>
  <c r="K2167" i="12"/>
  <c r="L2167" i="12" s="1"/>
  <c r="K2096" i="12"/>
  <c r="L2096" i="12" s="1"/>
  <c r="K2240" i="12"/>
  <c r="L2240" i="12" s="1"/>
  <c r="K2132" i="12"/>
  <c r="L2132" i="12" s="1"/>
  <c r="K1880" i="12"/>
  <c r="L1880" i="12" s="1"/>
  <c r="K2060" i="12"/>
  <c r="L2060" i="12" s="1"/>
  <c r="K2204" i="12"/>
  <c r="L2204" i="12" s="1"/>
  <c r="K1988" i="12"/>
  <c r="L1988" i="12" s="1"/>
  <c r="K1844" i="12"/>
  <c r="L1844" i="12" s="1"/>
  <c r="K1952" i="12"/>
  <c r="L1952" i="12" s="1"/>
  <c r="K1916" i="12"/>
  <c r="L1916" i="12" s="1"/>
  <c r="K1808" i="12"/>
  <c r="L1808" i="12" s="1"/>
  <c r="K2024" i="12"/>
  <c r="L2024" i="12" s="1"/>
  <c r="K2168" i="12"/>
  <c r="L2168" i="12" s="1"/>
  <c r="K2097" i="12"/>
  <c r="L2097" i="12" s="1"/>
  <c r="K2241" i="12"/>
  <c r="L2241" i="12" s="1"/>
  <c r="K2133" i="12"/>
  <c r="L2133" i="12" s="1"/>
  <c r="K1881" i="12"/>
  <c r="L1881" i="12" s="1"/>
  <c r="K2061" i="12"/>
  <c r="L2061" i="12" s="1"/>
  <c r="K2205" i="12"/>
  <c r="L2205" i="12" s="1"/>
  <c r="K1989" i="12"/>
  <c r="L1989" i="12" s="1"/>
  <c r="K1845" i="12"/>
  <c r="L1845" i="12" s="1"/>
  <c r="K1953" i="12"/>
  <c r="L1953" i="12" s="1"/>
  <c r="K1917" i="12"/>
  <c r="L1917" i="12" s="1"/>
  <c r="K1809" i="12"/>
  <c r="L1809" i="12" s="1"/>
  <c r="K2025" i="12"/>
  <c r="L2025" i="12" s="1"/>
  <c r="K2169" i="12"/>
  <c r="L2169" i="12" s="1"/>
  <c r="K2098" i="12"/>
  <c r="L2098" i="12" s="1"/>
  <c r="K2242" i="12"/>
  <c r="L2242" i="12" s="1"/>
  <c r="K2134" i="12"/>
  <c r="L2134" i="12" s="1"/>
  <c r="K1882" i="12"/>
  <c r="L1882" i="12" s="1"/>
  <c r="K2062" i="12"/>
  <c r="L2062" i="12" s="1"/>
  <c r="K2206" i="12"/>
  <c r="L2206" i="12" s="1"/>
  <c r="K1990" i="12"/>
  <c r="L1990" i="12" s="1"/>
  <c r="K1846" i="12"/>
  <c r="L1846" i="12" s="1"/>
  <c r="K1954" i="12"/>
  <c r="L1954" i="12" s="1"/>
  <c r="K1918" i="12"/>
  <c r="L1918" i="12" s="1"/>
  <c r="K1810" i="12"/>
  <c r="L1810" i="12" s="1"/>
  <c r="K2026" i="12"/>
  <c r="L2026" i="12" s="1"/>
  <c r="K2170" i="12"/>
  <c r="L2170" i="12" s="1"/>
  <c r="K2099" i="12"/>
  <c r="L2099" i="12" s="1"/>
  <c r="K2243" i="12"/>
  <c r="L2243" i="12" s="1"/>
  <c r="K2135" i="12"/>
  <c r="L2135" i="12" s="1"/>
  <c r="K1883" i="12"/>
  <c r="L1883" i="12" s="1"/>
  <c r="K2063" i="12"/>
  <c r="L2063" i="12" s="1"/>
  <c r="K2207" i="12"/>
  <c r="L2207" i="12" s="1"/>
  <c r="K1991" i="12"/>
  <c r="L1991" i="12" s="1"/>
  <c r="K1847" i="12"/>
  <c r="L1847" i="12" s="1"/>
  <c r="K1955" i="12"/>
  <c r="L1955" i="12" s="1"/>
  <c r="K1919" i="12"/>
  <c r="L1919" i="12" s="1"/>
  <c r="K1811" i="12"/>
  <c r="L1811" i="12" s="1"/>
  <c r="K2027" i="12"/>
  <c r="L2027" i="12" s="1"/>
  <c r="K2171" i="12"/>
  <c r="L2171" i="12" s="1"/>
  <c r="K2100" i="12"/>
  <c r="L2100" i="12" s="1"/>
  <c r="K2244" i="12"/>
  <c r="L2244" i="12" s="1"/>
  <c r="K2136" i="12"/>
  <c r="L2136" i="12" s="1"/>
  <c r="K1884" i="12"/>
  <c r="L1884" i="12" s="1"/>
  <c r="K2064" i="12"/>
  <c r="L2064" i="12" s="1"/>
  <c r="K2208" i="12"/>
  <c r="L2208" i="12" s="1"/>
  <c r="K1992" i="12"/>
  <c r="L1992" i="12" s="1"/>
  <c r="K1848" i="12"/>
  <c r="L1848" i="12" s="1"/>
  <c r="K1956" i="12"/>
  <c r="L1956" i="12" s="1"/>
  <c r="K1920" i="12"/>
  <c r="L1920" i="12" s="1"/>
  <c r="K1812" i="12"/>
  <c r="L1812" i="12" s="1"/>
  <c r="K2028" i="12"/>
  <c r="L2028" i="12" s="1"/>
  <c r="K2172" i="12"/>
  <c r="L2172" i="12" s="1"/>
  <c r="K2101" i="12"/>
  <c r="L2101" i="12" s="1"/>
  <c r="K2245" i="12"/>
  <c r="L2245" i="12" s="1"/>
  <c r="K2137" i="12"/>
  <c r="L2137" i="12" s="1"/>
  <c r="K1885" i="12"/>
  <c r="L1885" i="12" s="1"/>
  <c r="K2065" i="12"/>
  <c r="L2065" i="12" s="1"/>
  <c r="K2209" i="12"/>
  <c r="L2209" i="12" s="1"/>
  <c r="K1993" i="12"/>
  <c r="L1993" i="12" s="1"/>
  <c r="K1849" i="12"/>
  <c r="L1849" i="12" s="1"/>
  <c r="K1957" i="12"/>
  <c r="L1957" i="12" s="1"/>
  <c r="K1921" i="12"/>
  <c r="L1921" i="12" s="1"/>
  <c r="K1813" i="12"/>
  <c r="L1813" i="12" s="1"/>
  <c r="K2029" i="12"/>
  <c r="L2029" i="12" s="1"/>
  <c r="K2173" i="12"/>
  <c r="L2173" i="12" s="1"/>
  <c r="K2102" i="12"/>
  <c r="L2102" i="12" s="1"/>
  <c r="K2246" i="12"/>
  <c r="L2246" i="12" s="1"/>
  <c r="K2138" i="12"/>
  <c r="L2138" i="12" s="1"/>
  <c r="K1886" i="12"/>
  <c r="L1886" i="12" s="1"/>
  <c r="K2066" i="12"/>
  <c r="L2066" i="12" s="1"/>
  <c r="K2210" i="12"/>
  <c r="L2210" i="12" s="1"/>
  <c r="K1994" i="12"/>
  <c r="L1994" i="12" s="1"/>
  <c r="K1850" i="12"/>
  <c r="L1850" i="12" s="1"/>
  <c r="K1958" i="12"/>
  <c r="L1958" i="12" s="1"/>
  <c r="K1922" i="12"/>
  <c r="L1922" i="12" s="1"/>
  <c r="K1814" i="12"/>
  <c r="L1814" i="12" s="1"/>
  <c r="K2030" i="12"/>
  <c r="L2030" i="12" s="1"/>
  <c r="K2174" i="12"/>
  <c r="L2174" i="12" s="1"/>
  <c r="K2103" i="12"/>
  <c r="L2103" i="12" s="1"/>
  <c r="K2247" i="12"/>
  <c r="L2247" i="12" s="1"/>
  <c r="K2139" i="12"/>
  <c r="L2139" i="12" s="1"/>
  <c r="K1887" i="12"/>
  <c r="L1887" i="12" s="1"/>
  <c r="K2067" i="12"/>
  <c r="L2067" i="12" s="1"/>
  <c r="K2211" i="12"/>
  <c r="L2211" i="12" s="1"/>
  <c r="K1995" i="12"/>
  <c r="L1995" i="12" s="1"/>
  <c r="K1851" i="12"/>
  <c r="L1851" i="12" s="1"/>
  <c r="K1959" i="12"/>
  <c r="L1959" i="12" s="1"/>
  <c r="K1923" i="12"/>
  <c r="L1923" i="12" s="1"/>
  <c r="K1815" i="12"/>
  <c r="L1815" i="12" s="1"/>
  <c r="K2031" i="12"/>
  <c r="L2031" i="12" s="1"/>
  <c r="K2175" i="12"/>
  <c r="L2175" i="12" s="1"/>
  <c r="K2104" i="12"/>
  <c r="L2104" i="12" s="1"/>
  <c r="K2248" i="12"/>
  <c r="L2248" i="12" s="1"/>
  <c r="K2140" i="12"/>
  <c r="L2140" i="12" s="1"/>
  <c r="K1888" i="12"/>
  <c r="L1888" i="12" s="1"/>
  <c r="K2068" i="12"/>
  <c r="L2068" i="12" s="1"/>
  <c r="K2212" i="12"/>
  <c r="L2212" i="12" s="1"/>
  <c r="K1996" i="12"/>
  <c r="L1996" i="12" s="1"/>
  <c r="K1852" i="12"/>
  <c r="L1852" i="12" s="1"/>
  <c r="K1960" i="12"/>
  <c r="L1960" i="12" s="1"/>
  <c r="K1924" i="12"/>
  <c r="L1924" i="12" s="1"/>
  <c r="K1816" i="12"/>
  <c r="L1816" i="12" s="1"/>
  <c r="K2032" i="12"/>
  <c r="L2032" i="12" s="1"/>
  <c r="K2176" i="12"/>
  <c r="L2176" i="12" s="1"/>
  <c r="K2105" i="12"/>
  <c r="L2105" i="12" s="1"/>
  <c r="K2249" i="12"/>
  <c r="L2249" i="12" s="1"/>
  <c r="K2141" i="12"/>
  <c r="L2141" i="12" s="1"/>
  <c r="K1889" i="12"/>
  <c r="L1889" i="12" s="1"/>
  <c r="K2069" i="12"/>
  <c r="L2069" i="12" s="1"/>
  <c r="K2213" i="12"/>
  <c r="L2213" i="12" s="1"/>
  <c r="K1997" i="12"/>
  <c r="L1997" i="12" s="1"/>
  <c r="K1853" i="12"/>
  <c r="L1853" i="12" s="1"/>
  <c r="K1961" i="12"/>
  <c r="L1961" i="12" s="1"/>
  <c r="K1925" i="12"/>
  <c r="L1925" i="12" s="1"/>
  <c r="K1817" i="12"/>
  <c r="L1817" i="12" s="1"/>
  <c r="K2033" i="12"/>
  <c r="L2033" i="12" s="1"/>
  <c r="K2177" i="12"/>
  <c r="L2177" i="12" s="1"/>
  <c r="K2106" i="12"/>
  <c r="L2106" i="12" s="1"/>
  <c r="K2250" i="12"/>
  <c r="L2250" i="12" s="1"/>
  <c r="K2142" i="12"/>
  <c r="L2142" i="12" s="1"/>
  <c r="K1890" i="12"/>
  <c r="L1890" i="12" s="1"/>
  <c r="K2070" i="12"/>
  <c r="L2070" i="12" s="1"/>
  <c r="K2214" i="12"/>
  <c r="L2214" i="12" s="1"/>
  <c r="K1998" i="12"/>
  <c r="L1998" i="12" s="1"/>
  <c r="K1854" i="12"/>
  <c r="L1854" i="12" s="1"/>
  <c r="K1962" i="12"/>
  <c r="L1962" i="12" s="1"/>
  <c r="K1926" i="12"/>
  <c r="L1926" i="12" s="1"/>
  <c r="K1818" i="12"/>
  <c r="L1818" i="12" s="1"/>
  <c r="K2034" i="12"/>
  <c r="L2034" i="12" s="1"/>
  <c r="K2178" i="12"/>
  <c r="L2178" i="12" s="1"/>
  <c r="K2107" i="12"/>
  <c r="L2107" i="12" s="1"/>
  <c r="K2251" i="12"/>
  <c r="L2251" i="12" s="1"/>
  <c r="K2143" i="12"/>
  <c r="L2143" i="12" s="1"/>
  <c r="K1891" i="12"/>
  <c r="L1891" i="12" s="1"/>
  <c r="K2071" i="12"/>
  <c r="L2071" i="12" s="1"/>
  <c r="K2215" i="12"/>
  <c r="L2215" i="12" s="1"/>
  <c r="K1999" i="12"/>
  <c r="L1999" i="12" s="1"/>
  <c r="K1855" i="12"/>
  <c r="L1855" i="12" s="1"/>
  <c r="K1963" i="12"/>
  <c r="L1963" i="12" s="1"/>
  <c r="K1927" i="12"/>
  <c r="L1927" i="12" s="1"/>
  <c r="K1819" i="12"/>
  <c r="L1819" i="12" s="1"/>
  <c r="K2035" i="12"/>
  <c r="L2035" i="12" s="1"/>
  <c r="K2179" i="12"/>
  <c r="L2179" i="12" s="1"/>
  <c r="K2108" i="12"/>
  <c r="L2108" i="12" s="1"/>
  <c r="K2252" i="12"/>
  <c r="L2252" i="12" s="1"/>
  <c r="K2144" i="12"/>
  <c r="L2144" i="12" s="1"/>
  <c r="K1892" i="12"/>
  <c r="L1892" i="12" s="1"/>
  <c r="K2072" i="12"/>
  <c r="L2072" i="12" s="1"/>
  <c r="K2216" i="12"/>
  <c r="L2216" i="12" s="1"/>
  <c r="K2000" i="12"/>
  <c r="L2000" i="12" s="1"/>
  <c r="K1856" i="12"/>
  <c r="L1856" i="12" s="1"/>
  <c r="K1964" i="12"/>
  <c r="L1964" i="12" s="1"/>
  <c r="K1928" i="12"/>
  <c r="L1928" i="12" s="1"/>
  <c r="K1820" i="12"/>
  <c r="L1820" i="12" s="1"/>
  <c r="K2036" i="12"/>
  <c r="L2036" i="12" s="1"/>
  <c r="K2180" i="12"/>
  <c r="L2180" i="12" s="1"/>
  <c r="K2109" i="12"/>
  <c r="L2109" i="12" s="1"/>
  <c r="K2253" i="12"/>
  <c r="L2253" i="12" s="1"/>
  <c r="K2145" i="12"/>
  <c r="L2145" i="12" s="1"/>
  <c r="K1893" i="12"/>
  <c r="L1893" i="12" s="1"/>
  <c r="K2073" i="12"/>
  <c r="L2073" i="12" s="1"/>
  <c r="K2217" i="12"/>
  <c r="L2217" i="12" s="1"/>
  <c r="K2001" i="12"/>
  <c r="L2001" i="12" s="1"/>
  <c r="K1857" i="12"/>
  <c r="L1857" i="12" s="1"/>
  <c r="K1965" i="12"/>
  <c r="L1965" i="12" s="1"/>
  <c r="K1929" i="12"/>
  <c r="L1929" i="12" s="1"/>
  <c r="K1821" i="12"/>
  <c r="L1821" i="12" s="1"/>
  <c r="K2037" i="12"/>
  <c r="L2037" i="12" s="1"/>
  <c r="K2181" i="12"/>
  <c r="L2181" i="12" s="1"/>
  <c r="K2110" i="12"/>
  <c r="L2110" i="12" s="1"/>
  <c r="K2254" i="12"/>
  <c r="L2254" i="12" s="1"/>
  <c r="K2146" i="12"/>
  <c r="L2146" i="12" s="1"/>
  <c r="K1894" i="12"/>
  <c r="L1894" i="12" s="1"/>
  <c r="K2074" i="12"/>
  <c r="L2074" i="12" s="1"/>
  <c r="K2218" i="12"/>
  <c r="L2218" i="12" s="1"/>
  <c r="K2002" i="12"/>
  <c r="L2002" i="12" s="1"/>
  <c r="K1858" i="12"/>
  <c r="L1858" i="12" s="1"/>
  <c r="K1966" i="12"/>
  <c r="L1966" i="12" s="1"/>
  <c r="K1930" i="12"/>
  <c r="L1930" i="12" s="1"/>
  <c r="K1822" i="12"/>
  <c r="L1822" i="12" s="1"/>
  <c r="K2038" i="12"/>
  <c r="L2038" i="12" s="1"/>
  <c r="K2182" i="12"/>
  <c r="L2182" i="12" s="1"/>
  <c r="K2111" i="12"/>
  <c r="L2111" i="12" s="1"/>
  <c r="K2255" i="12"/>
  <c r="L2255" i="12" s="1"/>
  <c r="K2147" i="12"/>
  <c r="L2147" i="12" s="1"/>
  <c r="K1895" i="12"/>
  <c r="L1895" i="12" s="1"/>
  <c r="K2075" i="12"/>
  <c r="L2075" i="12" s="1"/>
  <c r="K2219" i="12"/>
  <c r="L2219" i="12" s="1"/>
  <c r="K2003" i="12"/>
  <c r="L2003" i="12" s="1"/>
  <c r="K1859" i="12"/>
  <c r="L1859" i="12" s="1"/>
  <c r="K1967" i="12"/>
  <c r="L1967" i="12" s="1"/>
  <c r="K1931" i="12"/>
  <c r="L1931" i="12" s="1"/>
  <c r="K1823" i="12"/>
  <c r="L1823" i="12" s="1"/>
  <c r="K2039" i="12"/>
  <c r="L2039" i="12" s="1"/>
  <c r="K2183" i="12"/>
  <c r="L2183" i="12" s="1"/>
  <c r="K2112" i="12"/>
  <c r="L2112" i="12" s="1"/>
  <c r="K2256" i="12"/>
  <c r="L2256" i="12" s="1"/>
  <c r="K2148" i="12"/>
  <c r="L2148" i="12" s="1"/>
  <c r="K1896" i="12"/>
  <c r="L1896" i="12" s="1"/>
  <c r="K2076" i="12"/>
  <c r="L2076" i="12" s="1"/>
  <c r="K2220" i="12"/>
  <c r="L2220" i="12" s="1"/>
  <c r="K2004" i="12"/>
  <c r="L2004" i="12" s="1"/>
  <c r="K1860" i="12"/>
  <c r="L1860" i="12" s="1"/>
  <c r="K1968" i="12"/>
  <c r="L1968" i="12" s="1"/>
  <c r="K1932" i="12"/>
  <c r="L1932" i="12" s="1"/>
  <c r="K1824" i="12"/>
  <c r="L1824" i="12" s="1"/>
  <c r="K2040" i="12"/>
  <c r="L2040" i="12" s="1"/>
  <c r="K2184" i="12"/>
  <c r="L2184" i="12" s="1"/>
  <c r="K2113" i="12"/>
  <c r="L2113" i="12" s="1"/>
  <c r="K2257" i="12"/>
  <c r="L2257" i="12" s="1"/>
  <c r="K2149" i="12"/>
  <c r="L2149" i="12" s="1"/>
  <c r="K1897" i="12"/>
  <c r="L1897" i="12" s="1"/>
  <c r="K2077" i="12"/>
  <c r="L2077" i="12" s="1"/>
  <c r="K2221" i="12"/>
  <c r="L2221" i="12" s="1"/>
  <c r="K2005" i="12"/>
  <c r="L2005" i="12" s="1"/>
  <c r="K1861" i="12"/>
  <c r="L1861" i="12" s="1"/>
  <c r="K1969" i="12"/>
  <c r="L1969" i="12" s="1"/>
  <c r="K1933" i="12"/>
  <c r="L1933" i="12" s="1"/>
  <c r="K1825" i="12"/>
  <c r="L1825" i="12" s="1"/>
  <c r="K2041" i="12"/>
  <c r="L2041" i="12" s="1"/>
  <c r="K2185" i="12"/>
  <c r="L2185" i="12" s="1"/>
  <c r="K2114" i="12"/>
  <c r="L2114" i="12" s="1"/>
  <c r="K2258" i="12"/>
  <c r="L2258" i="12" s="1"/>
  <c r="K2150" i="12"/>
  <c r="L2150" i="12" s="1"/>
  <c r="K1898" i="12"/>
  <c r="L1898" i="12" s="1"/>
  <c r="K2078" i="12"/>
  <c r="L2078" i="12" s="1"/>
  <c r="K2222" i="12"/>
  <c r="L2222" i="12" s="1"/>
  <c r="K2006" i="12"/>
  <c r="L2006" i="12" s="1"/>
  <c r="K1862" i="12"/>
  <c r="L1862" i="12" s="1"/>
  <c r="K1970" i="12"/>
  <c r="L1970" i="12" s="1"/>
  <c r="K1934" i="12"/>
  <c r="L1934" i="12" s="1"/>
  <c r="K1826" i="12"/>
  <c r="L1826" i="12" s="1"/>
  <c r="K2042" i="12"/>
  <c r="L2042" i="12" s="1"/>
  <c r="K2186" i="12"/>
  <c r="L2186" i="12" s="1"/>
  <c r="K2115" i="12"/>
  <c r="L2115" i="12" s="1"/>
  <c r="K2259" i="12"/>
  <c r="L2259" i="12" s="1"/>
  <c r="K2151" i="12"/>
  <c r="L2151" i="12" s="1"/>
  <c r="K1899" i="12"/>
  <c r="L1899" i="12" s="1"/>
  <c r="K2079" i="12"/>
  <c r="L2079" i="12" s="1"/>
  <c r="K2223" i="12"/>
  <c r="L2223" i="12" s="1"/>
  <c r="K2007" i="12"/>
  <c r="L2007" i="12" s="1"/>
  <c r="K1863" i="12"/>
  <c r="L1863" i="12" s="1"/>
  <c r="K1971" i="12"/>
  <c r="L1971" i="12" s="1"/>
  <c r="K1935" i="12"/>
  <c r="L1935" i="12" s="1"/>
  <c r="K1827" i="12"/>
  <c r="L1827" i="12" s="1"/>
  <c r="K2043" i="12"/>
  <c r="L2043" i="12" s="1"/>
  <c r="K2187" i="12"/>
  <c r="L2187" i="12" s="1"/>
  <c r="K2116" i="12"/>
  <c r="L2116" i="12" s="1"/>
  <c r="K2260" i="12"/>
  <c r="L2260" i="12" s="1"/>
  <c r="K2152" i="12"/>
  <c r="L2152" i="12" s="1"/>
  <c r="K1900" i="12"/>
  <c r="L1900" i="12" s="1"/>
  <c r="K2080" i="12"/>
  <c r="L2080" i="12" s="1"/>
  <c r="K2224" i="12"/>
  <c r="L2224" i="12" s="1"/>
  <c r="K2008" i="12"/>
  <c r="L2008" i="12" s="1"/>
  <c r="K1864" i="12"/>
  <c r="L1864" i="12" s="1"/>
  <c r="K1972" i="12"/>
  <c r="L1972" i="12" s="1"/>
  <c r="K1936" i="12"/>
  <c r="L1936" i="12" s="1"/>
  <c r="K1828" i="12"/>
  <c r="L1828" i="12" s="1"/>
  <c r="K2044" i="12"/>
  <c r="L2044" i="12" s="1"/>
  <c r="K2188" i="12"/>
  <c r="L2188" i="12" s="1"/>
  <c r="K2117" i="12"/>
  <c r="L2117" i="12" s="1"/>
  <c r="K2261" i="12"/>
  <c r="L2261" i="12" s="1"/>
  <c r="K2153" i="12"/>
  <c r="L2153" i="12" s="1"/>
  <c r="K1901" i="12"/>
  <c r="L1901" i="12" s="1"/>
  <c r="K2081" i="12"/>
  <c r="L2081" i="12" s="1"/>
  <c r="K2225" i="12"/>
  <c r="L2225" i="12" s="1"/>
  <c r="K2009" i="12"/>
  <c r="L2009" i="12" s="1"/>
  <c r="K1865" i="12"/>
  <c r="L1865" i="12" s="1"/>
  <c r="K1973" i="12"/>
  <c r="L1973" i="12" s="1"/>
  <c r="K1937" i="12"/>
  <c r="L1937" i="12" s="1"/>
  <c r="K1829" i="12"/>
  <c r="L1829" i="12" s="1"/>
  <c r="K2045" i="12"/>
  <c r="L2045" i="12" s="1"/>
  <c r="K2189" i="12"/>
  <c r="L2189" i="12" s="1"/>
  <c r="K2118" i="12"/>
  <c r="L2118" i="12" s="1"/>
  <c r="K2262" i="12"/>
  <c r="L2262" i="12" s="1"/>
  <c r="K2154" i="12"/>
  <c r="L2154" i="12" s="1"/>
  <c r="K1902" i="12"/>
  <c r="L1902" i="12" s="1"/>
  <c r="K2082" i="12"/>
  <c r="L2082" i="12" s="1"/>
  <c r="K2226" i="12"/>
  <c r="L2226" i="12" s="1"/>
  <c r="K2010" i="12"/>
  <c r="L2010" i="12" s="1"/>
  <c r="K1866" i="12"/>
  <c r="L1866" i="12" s="1"/>
  <c r="K1974" i="12"/>
  <c r="L1974" i="12" s="1"/>
  <c r="K1938" i="12"/>
  <c r="L1938" i="12" s="1"/>
  <c r="K1830" i="12"/>
  <c r="L1830" i="12" s="1"/>
  <c r="K2046" i="12"/>
  <c r="L2046" i="12" s="1"/>
  <c r="K2190" i="12"/>
  <c r="L2190" i="12" s="1"/>
  <c r="K2119" i="12"/>
  <c r="L2119" i="12" s="1"/>
  <c r="K2263" i="12"/>
  <c r="L2263" i="12" s="1"/>
  <c r="K2155" i="12"/>
  <c r="L2155" i="12" s="1"/>
  <c r="K1903" i="12"/>
  <c r="L1903" i="12" s="1"/>
  <c r="K2083" i="12"/>
  <c r="L2083" i="12" s="1"/>
  <c r="K2227" i="12"/>
  <c r="L2227" i="12" s="1"/>
  <c r="K2011" i="12"/>
  <c r="L2011" i="12" s="1"/>
  <c r="K1867" i="12"/>
  <c r="L1867" i="12" s="1"/>
  <c r="K1975" i="12"/>
  <c r="L1975" i="12" s="1"/>
  <c r="K1939" i="12"/>
  <c r="L1939" i="12" s="1"/>
  <c r="K1831" i="12"/>
  <c r="L1831" i="12" s="1"/>
  <c r="K2047" i="12"/>
  <c r="L2047" i="12" s="1"/>
  <c r="K2191" i="12"/>
  <c r="L2191" i="12" s="1"/>
  <c r="K2120" i="12"/>
  <c r="L2120" i="12" s="1"/>
  <c r="K2264" i="12"/>
  <c r="L2264" i="12" s="1"/>
  <c r="K2156" i="12"/>
  <c r="L2156" i="12" s="1"/>
  <c r="K1904" i="12"/>
  <c r="L1904" i="12" s="1"/>
  <c r="K2084" i="12"/>
  <c r="L2084" i="12" s="1"/>
  <c r="K2228" i="12"/>
  <c r="L2228" i="12" s="1"/>
  <c r="K2012" i="12"/>
  <c r="L2012" i="12" s="1"/>
  <c r="K1868" i="12"/>
  <c r="L1868" i="12" s="1"/>
  <c r="K1976" i="12"/>
  <c r="L1976" i="12" s="1"/>
  <c r="K1940" i="12"/>
  <c r="L1940" i="12" s="1"/>
  <c r="K1832" i="12"/>
  <c r="L1832" i="12" s="1"/>
  <c r="K2048" i="12"/>
  <c r="L2048" i="12" s="1"/>
  <c r="K2192" i="12"/>
  <c r="L2192" i="12" s="1"/>
  <c r="K2121" i="12"/>
  <c r="L2121" i="12" s="1"/>
  <c r="K2265" i="12"/>
  <c r="L2265" i="12" s="1"/>
  <c r="K2157" i="12"/>
  <c r="L2157" i="12" s="1"/>
  <c r="K1905" i="12"/>
  <c r="L1905" i="12" s="1"/>
  <c r="K2085" i="12"/>
  <c r="L2085" i="12" s="1"/>
  <c r="K2229" i="12"/>
  <c r="L2229" i="12" s="1"/>
  <c r="K2013" i="12"/>
  <c r="L2013" i="12" s="1"/>
  <c r="K1869" i="12"/>
  <c r="L1869" i="12" s="1"/>
  <c r="K1977" i="12"/>
  <c r="L1977" i="12" s="1"/>
  <c r="K1941" i="12"/>
  <c r="L1941" i="12" s="1"/>
  <c r="K1833" i="12"/>
  <c r="L1833" i="12" s="1"/>
  <c r="K2049" i="12"/>
  <c r="L2049" i="12" s="1"/>
  <c r="K2193" i="12"/>
  <c r="L2193" i="12" s="1"/>
  <c r="K2122" i="12"/>
  <c r="L2122" i="12" s="1"/>
  <c r="K2266" i="12"/>
  <c r="L2266" i="12" s="1"/>
  <c r="K2158" i="12"/>
  <c r="L2158" i="12" s="1"/>
  <c r="K1906" i="12"/>
  <c r="L1906" i="12" s="1"/>
  <c r="K2086" i="12"/>
  <c r="L2086" i="12" s="1"/>
  <c r="K2230" i="12"/>
  <c r="L2230" i="12" s="1"/>
  <c r="K2014" i="12"/>
  <c r="L2014" i="12" s="1"/>
  <c r="K1870" i="12"/>
  <c r="L1870" i="12" s="1"/>
  <c r="K1978" i="12"/>
  <c r="L1978" i="12" s="1"/>
  <c r="K1942" i="12"/>
  <c r="L1942" i="12" s="1"/>
  <c r="K1834" i="12"/>
  <c r="L1834" i="12" s="1"/>
  <c r="K2050" i="12"/>
  <c r="L2050" i="12" s="1"/>
  <c r="K2194" i="12"/>
  <c r="L2194" i="12" s="1"/>
  <c r="K2123" i="12"/>
  <c r="L2123" i="12" s="1"/>
  <c r="K2267" i="12"/>
  <c r="L2267" i="12" s="1"/>
  <c r="K2159" i="12"/>
  <c r="L2159" i="12" s="1"/>
  <c r="K1907" i="12"/>
  <c r="L1907" i="12" s="1"/>
  <c r="K2087" i="12"/>
  <c r="L2087" i="12" s="1"/>
  <c r="K2231" i="12"/>
  <c r="L2231" i="12" s="1"/>
  <c r="K2015" i="12"/>
  <c r="L2015" i="12" s="1"/>
  <c r="K1871" i="12"/>
  <c r="L1871" i="12" s="1"/>
  <c r="K1979" i="12"/>
  <c r="L1979" i="12" s="1"/>
  <c r="K1943" i="12"/>
  <c r="L1943" i="12" s="1"/>
  <c r="K1835" i="12"/>
  <c r="L1835" i="12" s="1"/>
  <c r="K2051" i="12"/>
  <c r="L2051" i="12" s="1"/>
  <c r="K2195" i="12"/>
  <c r="L2195" i="12" s="1"/>
  <c r="K2124" i="12"/>
  <c r="L2124" i="12" s="1"/>
  <c r="K2268" i="12"/>
  <c r="L2268" i="12" s="1"/>
  <c r="K2160" i="12"/>
  <c r="L2160" i="12" s="1"/>
  <c r="K1908" i="12"/>
  <c r="L1908" i="12" s="1"/>
  <c r="K2088" i="12"/>
  <c r="L2088" i="12" s="1"/>
  <c r="K2232" i="12"/>
  <c r="L2232" i="12" s="1"/>
  <c r="K2016" i="12"/>
  <c r="L2016" i="12" s="1"/>
  <c r="K1872" i="12"/>
  <c r="L1872" i="12" s="1"/>
  <c r="K1980" i="12"/>
  <c r="L1980" i="12" s="1"/>
  <c r="K1944" i="12"/>
  <c r="L1944" i="12" s="1"/>
  <c r="K1836" i="12"/>
  <c r="L1836" i="12" s="1"/>
  <c r="K2052" i="12"/>
  <c r="L2052" i="12" s="1"/>
  <c r="K2196" i="12"/>
  <c r="L2196" i="12" s="1"/>
  <c r="K2125" i="12"/>
  <c r="L2125" i="12" s="1"/>
  <c r="K2269" i="12"/>
  <c r="L2269" i="12" s="1"/>
  <c r="K2161" i="12"/>
  <c r="L2161" i="12" s="1"/>
  <c r="K1909" i="12"/>
  <c r="L1909" i="12" s="1"/>
  <c r="K2089" i="12"/>
  <c r="L2089" i="12" s="1"/>
  <c r="K2233" i="12"/>
  <c r="L2233" i="12" s="1"/>
  <c r="K2017" i="12"/>
  <c r="L2017" i="12" s="1"/>
  <c r="K1873" i="12"/>
  <c r="L1873" i="12" s="1"/>
  <c r="K1981" i="12"/>
  <c r="L1981" i="12" s="1"/>
  <c r="K1945" i="12"/>
  <c r="L1945" i="12" s="1"/>
  <c r="K1837" i="12"/>
  <c r="L1837" i="12" s="1"/>
  <c r="K2053" i="12"/>
  <c r="L2053" i="12" s="1"/>
  <c r="K2197" i="12"/>
  <c r="L2197" i="12" s="1"/>
  <c r="K2" i="12"/>
  <c r="L2" i="12" s="1"/>
  <c r="K74" i="12"/>
  <c r="L74" i="12" s="1"/>
  <c r="K3" i="12"/>
  <c r="L3" i="12" s="1"/>
  <c r="K75" i="12"/>
  <c r="L75" i="12" s="1"/>
  <c r="K4" i="12"/>
  <c r="L4" i="12" s="1"/>
  <c r="K76" i="12"/>
  <c r="L76" i="12" s="1"/>
  <c r="K5" i="12"/>
  <c r="L5" i="12" s="1"/>
  <c r="K77" i="12"/>
  <c r="L77" i="12" s="1"/>
  <c r="K6" i="12"/>
  <c r="L6" i="12" s="1"/>
  <c r="K78" i="12"/>
  <c r="L78" i="12" s="1"/>
  <c r="K7" i="12"/>
  <c r="L7" i="12" s="1"/>
  <c r="K79" i="12"/>
  <c r="L79" i="12" s="1"/>
  <c r="K8" i="12"/>
  <c r="L8" i="12" s="1"/>
  <c r="K80" i="12"/>
  <c r="L80" i="12" s="1"/>
  <c r="K9" i="12"/>
  <c r="L9" i="12" s="1"/>
  <c r="K81" i="12"/>
  <c r="L81" i="12" s="1"/>
  <c r="K10" i="12"/>
  <c r="L10" i="12" s="1"/>
  <c r="K82" i="12"/>
  <c r="L82" i="12" s="1"/>
  <c r="K11" i="12"/>
  <c r="L11" i="12" s="1"/>
  <c r="K83" i="12"/>
  <c r="L83" i="12" s="1"/>
  <c r="K12" i="12"/>
  <c r="L12" i="12" s="1"/>
  <c r="K84" i="12"/>
  <c r="L84" i="12" s="1"/>
  <c r="K13" i="12"/>
  <c r="L13" i="12" s="1"/>
  <c r="K85" i="12"/>
  <c r="L85" i="12" s="1"/>
  <c r="K14" i="12"/>
  <c r="L14" i="12" s="1"/>
  <c r="K86" i="12"/>
  <c r="L86" i="12" s="1"/>
  <c r="K15" i="12"/>
  <c r="L15" i="12" s="1"/>
  <c r="K87" i="12"/>
  <c r="L87" i="12" s="1"/>
  <c r="K16" i="12"/>
  <c r="L16" i="12" s="1"/>
  <c r="K88" i="12"/>
  <c r="L88" i="12" s="1"/>
  <c r="K17" i="12"/>
  <c r="L17" i="12" s="1"/>
  <c r="K89" i="12"/>
  <c r="L89" i="12" s="1"/>
  <c r="K18" i="12"/>
  <c r="L18" i="12" s="1"/>
  <c r="K90" i="12"/>
  <c r="L90" i="12" s="1"/>
  <c r="K19" i="12"/>
  <c r="L19" i="12" s="1"/>
  <c r="K91" i="12"/>
  <c r="L91" i="12" s="1"/>
  <c r="K20" i="12"/>
  <c r="L20" i="12" s="1"/>
  <c r="K92" i="12"/>
  <c r="L92" i="12" s="1"/>
  <c r="K21" i="12"/>
  <c r="L21" i="12" s="1"/>
  <c r="K93" i="12"/>
  <c r="L93" i="12" s="1"/>
  <c r="K22" i="12"/>
  <c r="L22" i="12" s="1"/>
  <c r="K94" i="12"/>
  <c r="L94" i="12" s="1"/>
  <c r="K23" i="12"/>
  <c r="L23" i="12" s="1"/>
  <c r="K95" i="12"/>
  <c r="L95" i="12" s="1"/>
  <c r="K24" i="12"/>
  <c r="L24" i="12" s="1"/>
  <c r="K96" i="12"/>
  <c r="L96" i="12" s="1"/>
  <c r="K25" i="12"/>
  <c r="L25" i="12" s="1"/>
  <c r="K97" i="12"/>
  <c r="L97" i="12" s="1"/>
  <c r="K26" i="12"/>
  <c r="L26" i="12" s="1"/>
  <c r="K98" i="12"/>
  <c r="L98" i="12" s="1"/>
  <c r="K27" i="12"/>
  <c r="L27" i="12" s="1"/>
  <c r="K99" i="12"/>
  <c r="L99" i="12" s="1"/>
  <c r="K28" i="12"/>
  <c r="L28" i="12" s="1"/>
  <c r="K100" i="12"/>
  <c r="L100" i="12" s="1"/>
  <c r="K29" i="12"/>
  <c r="L29" i="12" s="1"/>
  <c r="K101" i="12"/>
  <c r="L101" i="12" s="1"/>
  <c r="K30" i="12"/>
  <c r="L30" i="12" s="1"/>
  <c r="K102" i="12"/>
  <c r="L102" i="12" s="1"/>
  <c r="K31" i="12"/>
  <c r="L31" i="12" s="1"/>
  <c r="K103" i="12"/>
  <c r="L103" i="12" s="1"/>
  <c r="K32" i="12"/>
  <c r="L32" i="12" s="1"/>
  <c r="K104" i="12"/>
  <c r="L104" i="12" s="1"/>
  <c r="K33" i="12"/>
  <c r="L33" i="12" s="1"/>
  <c r="K105" i="12"/>
  <c r="L105" i="12" s="1"/>
  <c r="K34" i="12"/>
  <c r="L34" i="12" s="1"/>
  <c r="K106" i="12"/>
  <c r="L106" i="12" s="1"/>
  <c r="K35" i="12"/>
  <c r="L35" i="12" s="1"/>
  <c r="K107" i="12"/>
  <c r="L107" i="12" s="1"/>
  <c r="K36" i="12"/>
  <c r="L36" i="12" s="1"/>
  <c r="K108" i="12"/>
  <c r="L108" i="12" s="1"/>
  <c r="K37" i="12"/>
  <c r="L37" i="12" s="1"/>
  <c r="K109" i="12"/>
  <c r="L109" i="12" s="1"/>
  <c r="B6" i="6"/>
  <c r="E2" i="8"/>
  <c r="F2" i="8"/>
  <c r="G2" i="8"/>
  <c r="H2" i="8"/>
  <c r="I2" i="8"/>
  <c r="J2" i="8"/>
  <c r="K2" i="8"/>
  <c r="L2" i="8"/>
  <c r="M2" i="8"/>
  <c r="N2" i="8"/>
  <c r="O2" i="8"/>
  <c r="P2" i="8"/>
  <c r="Q2" i="8"/>
  <c r="R2" i="8"/>
  <c r="S2" i="8"/>
  <c r="T2" i="8"/>
  <c r="U2" i="8"/>
  <c r="V2" i="8"/>
  <c r="W2" i="8"/>
  <c r="X2" i="8"/>
  <c r="Y2" i="8"/>
  <c r="Z2" i="8"/>
  <c r="AA2" i="8"/>
  <c r="AB2" i="8"/>
  <c r="AC2" i="8"/>
  <c r="AD2" i="8"/>
  <c r="AE2" i="8"/>
  <c r="AF2" i="8"/>
  <c r="AG2" i="8"/>
  <c r="AH2" i="8"/>
  <c r="AI2" i="8"/>
  <c r="AJ2" i="8"/>
  <c r="AK2" i="8"/>
  <c r="AL2" i="8"/>
  <c r="AM2" i="8"/>
  <c r="AN2" i="8"/>
  <c r="AO2" i="8"/>
  <c r="AP2" i="8"/>
  <c r="AQ2" i="8"/>
  <c r="AR2" i="8"/>
  <c r="AS2" i="8"/>
  <c r="AT2" i="8"/>
  <c r="AU2" i="8"/>
  <c r="AV2" i="8"/>
  <c r="AW2" i="8"/>
  <c r="AX2" i="8"/>
  <c r="AY2" i="8"/>
  <c r="AZ2" i="8"/>
  <c r="BA2" i="8"/>
  <c r="BB2" i="8"/>
  <c r="BC2" i="8"/>
  <c r="BD2" i="8"/>
  <c r="BE2" i="8"/>
  <c r="BF2" i="8"/>
  <c r="BG2" i="8"/>
  <c r="BH2" i="8"/>
  <c r="BI2" i="8"/>
  <c r="BJ2" i="8"/>
  <c r="BK2" i="8"/>
  <c r="BL2" i="8"/>
  <c r="BM2" i="8"/>
  <c r="BN2" i="8"/>
  <c r="BO2" i="8"/>
  <c r="BP2" i="8"/>
  <c r="BQ2" i="8"/>
  <c r="BR2" i="8"/>
  <c r="BS2" i="8"/>
  <c r="BT2" i="8"/>
  <c r="BU2" i="8"/>
  <c r="BV2" i="8"/>
  <c r="BW2" i="8"/>
  <c r="BX2" i="8"/>
  <c r="BY2" i="8"/>
  <c r="BZ2" i="8"/>
  <c r="CA2" i="8"/>
  <c r="CB2" i="8"/>
  <c r="CC2" i="8"/>
  <c r="CD2" i="8"/>
  <c r="CE2" i="8"/>
  <c r="CF2" i="8"/>
  <c r="CG2" i="8"/>
  <c r="CH2" i="8"/>
  <c r="CI2" i="8"/>
  <c r="CJ2" i="8"/>
  <c r="CK2" i="8"/>
  <c r="CL2" i="8"/>
  <c r="CM2" i="8"/>
  <c r="CN2" i="8"/>
  <c r="CO2" i="8"/>
  <c r="CP2" i="8"/>
  <c r="CQ2" i="8"/>
  <c r="CR2" i="8"/>
  <c r="CS2" i="8"/>
  <c r="CT2" i="8"/>
  <c r="CU2" i="8"/>
  <c r="CV2" i="8"/>
  <c r="CW2" i="8"/>
  <c r="CX2" i="8"/>
  <c r="CY2" i="8"/>
  <c r="CZ2" i="8"/>
  <c r="DA2" i="8"/>
  <c r="DB2" i="8"/>
  <c r="DC2" i="8"/>
  <c r="DD2" i="8"/>
  <c r="DE2" i="8"/>
  <c r="DF2" i="8"/>
  <c r="DG2" i="8"/>
  <c r="DH2" i="8"/>
  <c r="DI2" i="8"/>
  <c r="DJ2" i="8"/>
  <c r="DK2" i="8"/>
  <c r="DL2" i="8"/>
  <c r="DM2" i="8"/>
  <c r="DN2" i="8"/>
  <c r="DO2" i="8"/>
  <c r="DP2" i="8"/>
  <c r="DQ2" i="8"/>
  <c r="DR2" i="8"/>
  <c r="DS2" i="8"/>
  <c r="DT2" i="8"/>
  <c r="DU2" i="8"/>
  <c r="DV2" i="8"/>
  <c r="DW2" i="8"/>
  <c r="DX2" i="8"/>
  <c r="DY2" i="8"/>
  <c r="DZ2" i="8"/>
  <c r="EA2" i="8"/>
  <c r="EB2" i="8"/>
  <c r="EC2" i="8"/>
  <c r="ED2" i="8"/>
  <c r="EE2" i="8"/>
  <c r="EF2" i="8"/>
  <c r="EG2" i="8"/>
  <c r="EH2" i="8"/>
  <c r="EI2" i="8"/>
  <c r="EJ2" i="8"/>
  <c r="EK2" i="8"/>
  <c r="EL2" i="8"/>
  <c r="EM2" i="8"/>
  <c r="EN2" i="8"/>
  <c r="EO2" i="8"/>
  <c r="EP2" i="8"/>
  <c r="EQ2" i="8"/>
  <c r="ER2" i="8"/>
  <c r="ES2" i="8"/>
  <c r="ET2" i="8"/>
  <c r="EU2" i="8"/>
  <c r="EV2" i="8"/>
  <c r="EW2" i="8"/>
  <c r="EX2" i="8"/>
  <c r="EY2" i="8"/>
  <c r="EZ2" i="8"/>
  <c r="FA2" i="8"/>
  <c r="FB2" i="8"/>
  <c r="FC2" i="8"/>
  <c r="FD2" i="8"/>
  <c r="FE2" i="8"/>
  <c r="FF2" i="8"/>
  <c r="FG2" i="8"/>
  <c r="FH2" i="8"/>
  <c r="FI2" i="8"/>
  <c r="FJ2" i="8"/>
  <c r="FK2" i="8"/>
  <c r="FL2" i="8"/>
  <c r="FM2" i="8"/>
  <c r="FN2" i="8"/>
  <c r="FO2" i="8"/>
  <c r="FP2" i="8"/>
  <c r="FQ2" i="8"/>
  <c r="FR2" i="8"/>
  <c r="FS2" i="8"/>
  <c r="FT2" i="8"/>
  <c r="FU2" i="8"/>
  <c r="FV2" i="8"/>
  <c r="FW2" i="8"/>
  <c r="FX2" i="8"/>
  <c r="FY2" i="8"/>
  <c r="FZ2" i="8"/>
  <c r="GA2" i="8"/>
  <c r="GB2" i="8"/>
  <c r="GC2" i="8"/>
  <c r="GD2" i="8"/>
  <c r="GE2" i="8"/>
  <c r="GF2" i="8"/>
  <c r="GG2" i="8"/>
  <c r="GH2" i="8"/>
  <c r="GI2" i="8"/>
  <c r="GJ2" i="8"/>
  <c r="GK2" i="8"/>
  <c r="GL2" i="8"/>
  <c r="GM2" i="8"/>
  <c r="GN2" i="8"/>
  <c r="GO2" i="8"/>
  <c r="GP2" i="8"/>
  <c r="GQ2" i="8"/>
  <c r="GR2" i="8"/>
  <c r="GS2" i="8"/>
  <c r="GT2" i="8"/>
  <c r="GU2" i="8"/>
  <c r="GV2" i="8"/>
  <c r="GW2" i="8"/>
  <c r="GX2" i="8"/>
  <c r="GY2" i="8"/>
  <c r="GZ2" i="8"/>
  <c r="HA2" i="8"/>
  <c r="HB2" i="8"/>
  <c r="HC2" i="8"/>
  <c r="HD2" i="8"/>
  <c r="HE2" i="8"/>
  <c r="HF2" i="8"/>
  <c r="HG2" i="8"/>
  <c r="HH2" i="8"/>
  <c r="HI2" i="8"/>
  <c r="HJ2" i="8"/>
  <c r="HK2" i="8"/>
  <c r="HL2" i="8"/>
  <c r="HM2" i="8"/>
  <c r="HN2" i="8"/>
  <c r="HO2" i="8"/>
  <c r="HP2" i="8"/>
  <c r="HQ2" i="8"/>
  <c r="HR2" i="8"/>
  <c r="HS2" i="8"/>
  <c r="HT2" i="8"/>
  <c r="HU2" i="8"/>
  <c r="HV2" i="8"/>
  <c r="HW2" i="8"/>
  <c r="HX2" i="8"/>
  <c r="HY2" i="8"/>
  <c r="HZ2" i="8"/>
  <c r="IA2" i="8"/>
  <c r="IB2" i="8"/>
  <c r="IC2" i="8"/>
  <c r="ID2" i="8"/>
  <c r="IE2" i="8"/>
  <c r="IF2" i="8"/>
  <c r="IG2" i="8"/>
  <c r="IH2" i="8"/>
  <c r="II2" i="8"/>
  <c r="IJ2" i="8"/>
  <c r="IK2" i="8"/>
  <c r="IL2" i="8"/>
  <c r="IM2" i="8"/>
  <c r="IN2" i="8"/>
  <c r="IO2" i="8"/>
  <c r="IP2" i="8"/>
  <c r="IQ2" i="8"/>
  <c r="IR2" i="8"/>
  <c r="IS2" i="8"/>
  <c r="IT2" i="8"/>
  <c r="IU2" i="8"/>
  <c r="IV2" i="8"/>
  <c r="IW2" i="8"/>
  <c r="IX2" i="8"/>
  <c r="IY2" i="8"/>
  <c r="IZ2" i="8"/>
  <c r="JA2" i="8"/>
  <c r="JB2" i="8"/>
  <c r="JC2" i="8"/>
  <c r="JD2" i="8"/>
  <c r="JE2" i="8"/>
  <c r="JF2" i="8"/>
  <c r="JG2" i="8"/>
  <c r="JH2" i="8"/>
  <c r="JI2" i="8"/>
  <c r="JJ2" i="8"/>
  <c r="JK2" i="8"/>
  <c r="JL2" i="8"/>
  <c r="JM2" i="8"/>
  <c r="JN2" i="8"/>
  <c r="JO2" i="8"/>
  <c r="JP2" i="8"/>
  <c r="JQ2" i="8"/>
  <c r="JR2" i="8"/>
  <c r="JS2" i="8"/>
  <c r="JT2" i="8"/>
  <c r="JU2" i="8"/>
  <c r="JV2" i="8"/>
  <c r="JW2" i="8"/>
  <c r="JX2" i="8"/>
  <c r="JY2" i="8"/>
  <c r="JZ2" i="8"/>
  <c r="KA2" i="8"/>
  <c r="KB2" i="8"/>
  <c r="KC2" i="8"/>
  <c r="KD2" i="8"/>
  <c r="KE2" i="8"/>
  <c r="KF2" i="8"/>
  <c r="KG2" i="8"/>
  <c r="KH2" i="8"/>
  <c r="KI2" i="8"/>
  <c r="KJ2" i="8"/>
  <c r="KK2" i="8"/>
  <c r="KL2" i="8"/>
  <c r="KM2" i="8"/>
  <c r="KN2" i="8"/>
  <c r="KO2" i="8"/>
  <c r="KP2" i="8"/>
  <c r="KQ2" i="8"/>
  <c r="KR2" i="8"/>
  <c r="KS2" i="8"/>
  <c r="KT2" i="8"/>
  <c r="KU2" i="8"/>
  <c r="KV2" i="8"/>
  <c r="KW2" i="8"/>
  <c r="KX2" i="8"/>
  <c r="KY2" i="8"/>
  <c r="KZ2" i="8"/>
  <c r="LA2" i="8"/>
  <c r="LB2" i="8"/>
  <c r="LC2" i="8"/>
  <c r="LD2" i="8"/>
  <c r="LE2" i="8"/>
  <c r="LF2" i="8"/>
  <c r="LG2" i="8"/>
  <c r="LH2" i="8"/>
  <c r="LI2" i="8"/>
  <c r="LJ2" i="8"/>
  <c r="LK2" i="8"/>
  <c r="LL2" i="8"/>
  <c r="LM2" i="8"/>
  <c r="LN2" i="8"/>
  <c r="LO2" i="8"/>
  <c r="LP2" i="8"/>
  <c r="LQ2" i="8"/>
  <c r="LR2" i="8"/>
  <c r="LS2" i="8"/>
  <c r="LT2" i="8"/>
  <c r="LU2" i="8"/>
  <c r="LV2" i="8"/>
  <c r="LW2" i="8"/>
  <c r="LX2" i="8"/>
  <c r="LY2" i="8"/>
  <c r="LZ2" i="8"/>
  <c r="MA2" i="8"/>
  <c r="MB2" i="8"/>
  <c r="MC2" i="8"/>
  <c r="MD2" i="8"/>
  <c r="ME2" i="8"/>
  <c r="MF2" i="8"/>
  <c r="MG2" i="8"/>
  <c r="MH2" i="8"/>
  <c r="MI2" i="8"/>
  <c r="MJ2" i="8"/>
  <c r="MK2" i="8"/>
  <c r="ML2" i="8"/>
  <c r="MM2" i="8"/>
  <c r="MN2" i="8"/>
  <c r="MO2" i="8"/>
  <c r="MP2" i="8"/>
  <c r="MQ2" i="8"/>
  <c r="MR2" i="8"/>
  <c r="MS2" i="8"/>
  <c r="MT2" i="8"/>
  <c r="MU2" i="8"/>
  <c r="MV2" i="8"/>
  <c r="MW2" i="8"/>
  <c r="MX2" i="8"/>
  <c r="MY2" i="8"/>
  <c r="MZ2" i="8"/>
  <c r="NA2" i="8"/>
  <c r="NB2" i="8"/>
  <c r="NC2" i="8"/>
  <c r="ND2" i="8"/>
  <c r="NE2" i="8"/>
  <c r="NF2" i="8"/>
  <c r="NG2" i="8"/>
  <c r="NH2" i="8"/>
  <c r="NI2" i="8"/>
  <c r="NJ2" i="8"/>
  <c r="NK2" i="8"/>
  <c r="NL2" i="8"/>
  <c r="NM2" i="8"/>
  <c r="NN2" i="8"/>
  <c r="NO2" i="8"/>
  <c r="NP2" i="8"/>
  <c r="NQ2" i="8"/>
  <c r="NR2" i="8"/>
  <c r="NS2" i="8"/>
  <c r="NT2" i="8"/>
  <c r="NU2" i="8"/>
  <c r="NV2" i="8"/>
  <c r="NW2" i="8"/>
  <c r="NX2" i="8"/>
  <c r="NY2" i="8"/>
  <c r="NZ2" i="8"/>
  <c r="OA2" i="8"/>
  <c r="OB2" i="8"/>
  <c r="OC2" i="8"/>
  <c r="OD2" i="8"/>
  <c r="OE2" i="8"/>
  <c r="OF2" i="8"/>
  <c r="OG2" i="8"/>
  <c r="OH2" i="8"/>
  <c r="OI2" i="8"/>
  <c r="OJ2" i="8"/>
  <c r="OK2" i="8"/>
  <c r="OL2" i="8"/>
  <c r="OM2" i="8"/>
  <c r="ON2" i="8"/>
  <c r="OO2" i="8"/>
  <c r="OP2" i="8"/>
  <c r="OQ2" i="8"/>
  <c r="OR2" i="8"/>
  <c r="OS2" i="8"/>
  <c r="OT2" i="8"/>
  <c r="OU2" i="8"/>
  <c r="OV2" i="8"/>
  <c r="OW2" i="8"/>
  <c r="OX2" i="8"/>
  <c r="OY2" i="8"/>
  <c r="OZ2" i="8"/>
  <c r="PA2" i="8"/>
  <c r="PB2" i="8"/>
  <c r="PC2" i="8"/>
  <c r="PD2" i="8"/>
  <c r="PE2" i="8"/>
  <c r="PF2" i="8"/>
  <c r="PG2" i="8"/>
  <c r="PH2" i="8"/>
  <c r="PI2" i="8"/>
  <c r="PJ2" i="8"/>
  <c r="PK2" i="8"/>
  <c r="PL2" i="8"/>
  <c r="PM2" i="8"/>
  <c r="PN2" i="8"/>
  <c r="PO2" i="8"/>
  <c r="PP2" i="8"/>
  <c r="PQ2" i="8"/>
  <c r="PR2" i="8"/>
  <c r="PS2" i="8"/>
  <c r="PT2" i="8"/>
  <c r="PU2" i="8"/>
  <c r="PV2" i="8"/>
  <c r="PW2" i="8"/>
  <c r="PX2" i="8"/>
  <c r="PY2" i="8"/>
  <c r="PZ2" i="8"/>
  <c r="QA2" i="8"/>
  <c r="QB2" i="8"/>
  <c r="QC2" i="8"/>
  <c r="QD2" i="8"/>
  <c r="QE2" i="8"/>
  <c r="QF2" i="8"/>
  <c r="QG2" i="8"/>
  <c r="QH2" i="8"/>
  <c r="QI2" i="8"/>
  <c r="QJ2" i="8"/>
  <c r="QK2" i="8"/>
  <c r="QL2" i="8"/>
  <c r="QM2" i="8"/>
  <c r="QN2" i="8"/>
  <c r="QO2" i="8"/>
  <c r="QP2" i="8"/>
  <c r="QQ2" i="8"/>
  <c r="QR2" i="8"/>
  <c r="QS2" i="8"/>
  <c r="QT2" i="8"/>
  <c r="QU2" i="8"/>
  <c r="QV2" i="8"/>
  <c r="QW2" i="8"/>
  <c r="QX2" i="8"/>
  <c r="QY2" i="8"/>
  <c r="QZ2" i="8"/>
  <c r="RA2" i="8"/>
  <c r="RB2" i="8"/>
  <c r="RC2" i="8"/>
  <c r="RD2" i="8"/>
  <c r="RE2" i="8"/>
  <c r="RF2" i="8"/>
  <c r="RG2" i="8"/>
  <c r="RH2" i="8"/>
  <c r="RI2" i="8"/>
  <c r="RJ2" i="8"/>
  <c r="RK2" i="8"/>
  <c r="RL2" i="8"/>
  <c r="RM2" i="8"/>
  <c r="RN2" i="8"/>
  <c r="RO2" i="8"/>
  <c r="RP2" i="8"/>
  <c r="RQ2" i="8"/>
  <c r="RR2" i="8"/>
  <c r="RS2" i="8"/>
  <c r="RT2" i="8"/>
  <c r="RU2" i="8"/>
  <c r="RV2" i="8"/>
  <c r="RW2" i="8"/>
  <c r="RX2" i="8"/>
  <c r="RY2" i="8"/>
  <c r="RZ2" i="8"/>
  <c r="SA2" i="8"/>
  <c r="SB2" i="8"/>
  <c r="SC2" i="8"/>
  <c r="SD2" i="8"/>
  <c r="SE2" i="8"/>
  <c r="SF2" i="8"/>
  <c r="SG2" i="8"/>
  <c r="SH2" i="8"/>
  <c r="SI2" i="8"/>
  <c r="SJ2" i="8"/>
  <c r="SK2" i="8"/>
  <c r="SL2" i="8"/>
  <c r="SM2" i="8"/>
  <c r="SN2" i="8"/>
  <c r="SO2" i="8"/>
  <c r="SP2" i="8"/>
  <c r="SQ2" i="8"/>
  <c r="SR2" i="8"/>
  <c r="SS2" i="8"/>
  <c r="ST2" i="8"/>
  <c r="SU2" i="8"/>
  <c r="SV2" i="8"/>
  <c r="SW2" i="8"/>
  <c r="SX2" i="8"/>
  <c r="SY2" i="8"/>
  <c r="SZ2" i="8"/>
  <c r="TA2" i="8"/>
  <c r="TB2" i="8"/>
  <c r="TC2" i="8"/>
  <c r="TD2" i="8"/>
  <c r="TE2" i="8"/>
  <c r="TF2" i="8"/>
  <c r="TG2" i="8"/>
  <c r="TH2" i="8"/>
  <c r="TI2" i="8"/>
  <c r="TJ2" i="8"/>
  <c r="TK2" i="8"/>
  <c r="TL2" i="8"/>
  <c r="TM2" i="8"/>
  <c r="TN2" i="8"/>
  <c r="TO2" i="8"/>
  <c r="TP2" i="8"/>
  <c r="TQ2" i="8"/>
  <c r="TR2" i="8"/>
  <c r="TS2" i="8"/>
  <c r="TT2" i="8"/>
  <c r="TU2" i="8"/>
  <c r="TV2" i="8"/>
  <c r="TW2" i="8"/>
  <c r="TX2" i="8"/>
  <c r="TY2" i="8"/>
  <c r="TZ2" i="8"/>
  <c r="UA2" i="8"/>
  <c r="UB2" i="8"/>
  <c r="UC2" i="8"/>
  <c r="UD2" i="8"/>
  <c r="UE2" i="8"/>
  <c r="UF2" i="8"/>
  <c r="UG2" i="8"/>
  <c r="UH2" i="8"/>
  <c r="UI2" i="8"/>
  <c r="UJ2" i="8"/>
  <c r="UK2" i="8"/>
  <c r="UL2" i="8"/>
  <c r="UM2" i="8"/>
  <c r="UN2" i="8"/>
  <c r="UO2" i="8"/>
  <c r="UP2" i="8"/>
  <c r="UQ2" i="8"/>
  <c r="UR2" i="8"/>
  <c r="US2" i="8"/>
  <c r="UT2" i="8"/>
  <c r="UU2" i="8"/>
  <c r="UV2" i="8"/>
  <c r="UW2" i="8"/>
  <c r="UX2" i="8"/>
  <c r="UY2" i="8"/>
  <c r="UZ2" i="8"/>
  <c r="VA2" i="8"/>
  <c r="VB2" i="8"/>
  <c r="VC2" i="8"/>
  <c r="VD2" i="8"/>
  <c r="VE2" i="8"/>
  <c r="VF2" i="8"/>
  <c r="VG2" i="8"/>
  <c r="VH2" i="8"/>
  <c r="VI2" i="8"/>
  <c r="VJ2" i="8"/>
  <c r="VK2" i="8"/>
  <c r="VL2" i="8"/>
  <c r="VM2" i="8"/>
  <c r="VN2" i="8"/>
  <c r="VO2" i="8"/>
  <c r="VP2" i="8"/>
  <c r="VQ2" i="8"/>
  <c r="VR2" i="8"/>
  <c r="VS2" i="8"/>
  <c r="VT2" i="8"/>
  <c r="VU2" i="8"/>
  <c r="VV2" i="8"/>
  <c r="VW2" i="8"/>
  <c r="VX2" i="8"/>
  <c r="VY2" i="8"/>
  <c r="VZ2" i="8"/>
  <c r="WA2" i="8"/>
  <c r="WB2" i="8"/>
  <c r="WC2" i="8"/>
  <c r="WD2" i="8"/>
  <c r="WE2" i="8"/>
  <c r="WF2" i="8"/>
  <c r="WG2" i="8"/>
  <c r="WH2" i="8"/>
  <c r="WI2" i="8"/>
  <c r="WJ2" i="8"/>
  <c r="WK2" i="8"/>
  <c r="WL2" i="8"/>
  <c r="WM2" i="8"/>
  <c r="WN2" i="8"/>
  <c r="WO2" i="8"/>
  <c r="WP2" i="8"/>
  <c r="WQ2" i="8"/>
  <c r="WR2" i="8"/>
  <c r="WS2" i="8"/>
  <c r="WT2" i="8"/>
  <c r="WU2" i="8"/>
  <c r="WV2" i="8"/>
  <c r="WW2" i="8"/>
  <c r="WX2" i="8"/>
  <c r="WY2" i="8"/>
  <c r="WZ2" i="8"/>
  <c r="XA2" i="8"/>
  <c r="XB2" i="8"/>
  <c r="XC2" i="8"/>
  <c r="XD2" i="8"/>
  <c r="XE2" i="8"/>
  <c r="XF2" i="8"/>
  <c r="XG2" i="8"/>
  <c r="XH2" i="8"/>
  <c r="XI2" i="8"/>
  <c r="XJ2" i="8"/>
  <c r="XK2" i="8"/>
  <c r="XL2" i="8"/>
  <c r="XM2" i="8"/>
  <c r="XN2" i="8"/>
  <c r="XO2" i="8"/>
  <c r="XP2" i="8"/>
  <c r="XQ2" i="8"/>
  <c r="XR2" i="8"/>
  <c r="XS2" i="8"/>
  <c r="XT2" i="8"/>
  <c r="XU2" i="8"/>
  <c r="XV2" i="8"/>
  <c r="XW2" i="8"/>
  <c r="XX2" i="8"/>
  <c r="XY2" i="8"/>
  <c r="XZ2" i="8"/>
  <c r="YA2" i="8"/>
  <c r="YB2" i="8"/>
  <c r="YC2" i="8"/>
  <c r="YD2" i="8"/>
  <c r="YE2" i="8"/>
  <c r="YF2" i="8"/>
  <c r="YG2" i="8"/>
  <c r="YH2" i="8"/>
  <c r="YI2" i="8"/>
  <c r="YJ2" i="8"/>
  <c r="YK2" i="8"/>
  <c r="YL2" i="8"/>
  <c r="YM2" i="8"/>
  <c r="YN2" i="8"/>
  <c r="YO2" i="8"/>
  <c r="YP2" i="8"/>
  <c r="YQ2" i="8"/>
  <c r="YR2" i="8"/>
  <c r="YS2" i="8"/>
  <c r="YT2" i="8"/>
  <c r="YU2" i="8"/>
  <c r="YV2" i="8"/>
  <c r="YW2" i="8"/>
  <c r="YX2" i="8"/>
  <c r="YY2" i="8"/>
  <c r="YZ2" i="8"/>
  <c r="ZA2" i="8"/>
  <c r="ZB2" i="8"/>
  <c r="ZC2" i="8"/>
  <c r="ZD2" i="8"/>
  <c r="ZE2" i="8"/>
  <c r="ZF2" i="8"/>
  <c r="ZG2" i="8"/>
  <c r="ZH2" i="8"/>
  <c r="ZI2" i="8"/>
  <c r="ZJ2" i="8"/>
  <c r="ZK2" i="8"/>
  <c r="ZL2" i="8"/>
  <c r="ZM2" i="8"/>
  <c r="ZN2" i="8"/>
  <c r="ZO2" i="8"/>
  <c r="ZP2" i="8"/>
  <c r="ZQ2" i="8"/>
  <c r="ZR2" i="8"/>
  <c r="ZS2" i="8"/>
  <c r="ZT2" i="8"/>
  <c r="ZU2" i="8"/>
  <c r="ZV2" i="8"/>
  <c r="ZW2" i="8"/>
  <c r="ZX2" i="8"/>
  <c r="ZY2" i="8"/>
  <c r="ZZ2" i="8"/>
  <c r="AAA2" i="8"/>
  <c r="AAB2" i="8"/>
  <c r="AAC2" i="8"/>
  <c r="AAD2" i="8"/>
  <c r="AAE2" i="8"/>
  <c r="AAF2" i="8"/>
  <c r="AAG2" i="8"/>
  <c r="AAH2" i="8"/>
  <c r="AAI2" i="8"/>
  <c r="AAJ2" i="8"/>
  <c r="AAK2" i="8"/>
  <c r="AAL2" i="8"/>
  <c r="AAM2" i="8"/>
  <c r="AAN2" i="8"/>
  <c r="AAO2" i="8"/>
  <c r="AAP2" i="8"/>
  <c r="AAQ2" i="8"/>
  <c r="AAR2" i="8"/>
  <c r="AAS2" i="8"/>
  <c r="AAT2" i="8"/>
  <c r="AAU2" i="8"/>
  <c r="AAV2" i="8"/>
  <c r="AAW2" i="8"/>
  <c r="AAX2" i="8"/>
  <c r="AAY2" i="8"/>
  <c r="AAZ2" i="8"/>
  <c r="ABA2" i="8"/>
  <c r="ABB2" i="8"/>
  <c r="ABC2" i="8"/>
  <c r="ABD2" i="8"/>
  <c r="ABE2" i="8"/>
  <c r="ABF2" i="8"/>
  <c r="ABG2" i="8"/>
  <c r="ABH2" i="8"/>
  <c r="ABI2" i="8"/>
  <c r="ABJ2" i="8"/>
  <c r="ABK2" i="8"/>
  <c r="ABL2" i="8"/>
  <c r="ABM2" i="8"/>
  <c r="ABN2" i="8"/>
  <c r="ABO2" i="8"/>
  <c r="ABP2" i="8"/>
  <c r="ABQ2" i="8"/>
  <c r="ABR2" i="8"/>
  <c r="ABS2" i="8"/>
  <c r="ABT2" i="8"/>
  <c r="ABU2" i="8"/>
  <c r="ABV2" i="8"/>
  <c r="ABW2" i="8"/>
  <c r="ABX2" i="8"/>
  <c r="ABY2" i="8"/>
  <c r="ABZ2" i="8"/>
  <c r="ACA2" i="8"/>
  <c r="ACB2" i="8"/>
  <c r="ACC2" i="8"/>
  <c r="ACD2" i="8"/>
  <c r="ACE2" i="8"/>
  <c r="ACF2" i="8"/>
  <c r="ACG2" i="8"/>
  <c r="ACH2" i="8"/>
  <c r="ACI2" i="8"/>
  <c r="ACJ2" i="8"/>
  <c r="ACK2" i="8"/>
  <c r="ACL2" i="8"/>
  <c r="ACM2" i="8"/>
  <c r="ACN2" i="8"/>
  <c r="ACO2" i="8"/>
  <c r="ACP2" i="8"/>
  <c r="ACQ2" i="8"/>
  <c r="ACR2" i="8"/>
  <c r="ACS2" i="8"/>
  <c r="ACT2" i="8"/>
  <c r="ACU2" i="8"/>
  <c r="ACV2" i="8"/>
  <c r="ACW2" i="8"/>
  <c r="ACX2" i="8"/>
  <c r="ACY2" i="8"/>
  <c r="ACZ2" i="8"/>
  <c r="ADA2" i="8"/>
  <c r="ADB2" i="8"/>
  <c r="ADC2" i="8"/>
  <c r="ADD2" i="8"/>
  <c r="ADE2" i="8"/>
  <c r="ADF2" i="8"/>
  <c r="ADG2" i="8"/>
  <c r="ADH2" i="8"/>
  <c r="ADI2" i="8"/>
  <c r="ADJ2" i="8"/>
  <c r="ADK2" i="8"/>
  <c r="ADL2" i="8"/>
  <c r="ADM2" i="8"/>
  <c r="ADN2" i="8"/>
  <c r="ADO2" i="8"/>
  <c r="ADP2" i="8"/>
  <c r="ADQ2" i="8"/>
  <c r="ADR2" i="8"/>
  <c r="ADS2" i="8"/>
  <c r="ADT2" i="8"/>
  <c r="ADU2" i="8"/>
  <c r="ADV2" i="8"/>
  <c r="ADW2" i="8"/>
  <c r="ADX2" i="8"/>
  <c r="ADY2" i="8"/>
  <c r="ADZ2" i="8"/>
  <c r="AEA2" i="8"/>
  <c r="AEB2" i="8"/>
  <c r="AEC2" i="8"/>
  <c r="AED2" i="8"/>
  <c r="AEE2" i="8"/>
  <c r="AEF2" i="8"/>
  <c r="AEG2" i="8"/>
  <c r="AEH2" i="8"/>
  <c r="AEI2" i="8"/>
  <c r="AEJ2" i="8"/>
  <c r="AEK2" i="8"/>
  <c r="AEL2" i="8"/>
  <c r="AEM2" i="8"/>
  <c r="AEN2" i="8"/>
  <c r="AEO2" i="8"/>
  <c r="AEP2" i="8"/>
  <c r="AEQ2" i="8"/>
  <c r="AER2" i="8"/>
  <c r="AES2" i="8"/>
  <c r="AET2" i="8"/>
  <c r="AEU2" i="8"/>
  <c r="AEV2" i="8"/>
  <c r="AEW2" i="8"/>
  <c r="AEX2" i="8"/>
  <c r="AEY2" i="8"/>
  <c r="AEZ2" i="8"/>
  <c r="AFA2" i="8"/>
  <c r="AFB2" i="8"/>
  <c r="AFC2" i="8"/>
  <c r="AFD2" i="8"/>
  <c r="AFE2" i="8"/>
  <c r="AFF2" i="8"/>
  <c r="AFG2" i="8"/>
  <c r="AFH2" i="8"/>
  <c r="AFI2" i="8"/>
  <c r="AFJ2" i="8"/>
  <c r="AFK2" i="8"/>
  <c r="AFL2" i="8"/>
  <c r="AFM2" i="8"/>
  <c r="AFN2" i="8"/>
  <c r="AFO2" i="8"/>
  <c r="AFP2" i="8"/>
  <c r="AFQ2" i="8"/>
  <c r="AFR2" i="8"/>
  <c r="AFS2" i="8"/>
  <c r="AFT2" i="8"/>
  <c r="AFU2" i="8"/>
  <c r="AFV2" i="8"/>
  <c r="AFW2" i="8"/>
  <c r="AFX2" i="8"/>
  <c r="AFY2" i="8"/>
  <c r="AFZ2" i="8"/>
  <c r="AGA2" i="8"/>
  <c r="AGB2" i="8"/>
  <c r="AGC2" i="8"/>
  <c r="AGD2" i="8"/>
  <c r="AGE2" i="8"/>
  <c r="AGF2" i="8"/>
  <c r="AGG2" i="8"/>
  <c r="AGH2" i="8"/>
  <c r="AGI2" i="8"/>
  <c r="AGJ2" i="8"/>
  <c r="AGK2" i="8"/>
  <c r="AGL2" i="8"/>
  <c r="AGM2" i="8"/>
  <c r="AGN2" i="8"/>
  <c r="AGO2" i="8"/>
  <c r="AGP2" i="8"/>
  <c r="AGQ2" i="8"/>
  <c r="AGR2" i="8"/>
  <c r="AGS2" i="8"/>
  <c r="AGT2" i="8"/>
  <c r="AGU2" i="8"/>
  <c r="AGV2" i="8"/>
  <c r="AGW2" i="8"/>
  <c r="AGX2" i="8"/>
  <c r="AGY2" i="8"/>
  <c r="AGZ2" i="8"/>
  <c r="AHA2" i="8"/>
  <c r="AHB2" i="8"/>
  <c r="AHC2" i="8"/>
  <c r="AHD2" i="8"/>
  <c r="AHE2" i="8"/>
  <c r="AHF2" i="8"/>
  <c r="AHG2" i="8"/>
  <c r="AHH2" i="8"/>
  <c r="AHI2" i="8"/>
  <c r="AHJ2" i="8"/>
  <c r="AHK2" i="8"/>
  <c r="AHL2" i="8"/>
  <c r="AHM2" i="8"/>
  <c r="AHN2" i="8"/>
  <c r="AHO2" i="8"/>
  <c r="AHP2" i="8"/>
  <c r="AHQ2" i="8"/>
  <c r="AHR2" i="8"/>
  <c r="AHS2" i="8"/>
  <c r="AHT2" i="8"/>
  <c r="AHU2" i="8"/>
  <c r="AHV2" i="8"/>
  <c r="AHW2" i="8"/>
  <c r="AHX2" i="8"/>
  <c r="AHY2" i="8"/>
  <c r="AHZ2" i="8"/>
  <c r="AIA2" i="8"/>
  <c r="AIB2" i="8"/>
  <c r="AIC2" i="8"/>
  <c r="AID2" i="8"/>
  <c r="AIE2" i="8"/>
  <c r="AIF2" i="8"/>
  <c r="AIG2" i="8"/>
  <c r="AIH2" i="8"/>
  <c r="AII2" i="8"/>
  <c r="AIJ2" i="8"/>
  <c r="AIK2" i="8"/>
  <c r="AIL2" i="8"/>
  <c r="AIM2" i="8"/>
  <c r="AIN2" i="8"/>
  <c r="AIO2" i="8"/>
  <c r="AIP2" i="8"/>
  <c r="AIQ2" i="8"/>
  <c r="AIR2" i="8"/>
  <c r="AIS2" i="8"/>
  <c r="AIT2" i="8"/>
  <c r="AIU2" i="8"/>
  <c r="AIV2" i="8"/>
  <c r="AIW2" i="8"/>
  <c r="AIX2" i="8"/>
  <c r="AIY2" i="8"/>
  <c r="AIZ2" i="8"/>
  <c r="AJA2" i="8"/>
  <c r="AJB2" i="8"/>
  <c r="AJC2" i="8"/>
  <c r="AJD2" i="8"/>
  <c r="AJE2" i="8"/>
  <c r="AJF2" i="8"/>
  <c r="AJG2" i="8"/>
  <c r="AJH2" i="8"/>
  <c r="AJI2" i="8"/>
  <c r="AJJ2" i="8"/>
  <c r="AJK2" i="8"/>
  <c r="AJL2" i="8"/>
  <c r="AJM2" i="8"/>
  <c r="AJN2" i="8"/>
  <c r="AJO2" i="8"/>
  <c r="AJP2" i="8"/>
  <c r="AJQ2" i="8"/>
  <c r="AJR2" i="8"/>
  <c r="AJS2" i="8"/>
  <c r="AJT2" i="8"/>
  <c r="AJU2" i="8"/>
  <c r="AJV2" i="8"/>
  <c r="AJW2" i="8"/>
  <c r="AJX2" i="8"/>
  <c r="AJY2" i="8"/>
  <c r="AJZ2" i="8"/>
  <c r="AKA2" i="8"/>
  <c r="AKB2" i="8"/>
  <c r="AKC2" i="8"/>
  <c r="AKD2" i="8"/>
  <c r="AKE2" i="8"/>
  <c r="AKF2" i="8"/>
  <c r="AKG2" i="8"/>
  <c r="AKH2" i="8"/>
  <c r="AKI2" i="8"/>
  <c r="AKJ2" i="8"/>
  <c r="AKK2" i="8"/>
  <c r="AKL2" i="8"/>
  <c r="AKM2" i="8"/>
  <c r="AKN2" i="8"/>
  <c r="AKO2" i="8"/>
  <c r="AKP2" i="8"/>
  <c r="AKQ2" i="8"/>
  <c r="AKR2" i="8"/>
  <c r="AKS2" i="8"/>
  <c r="AKT2" i="8"/>
  <c r="AKU2" i="8"/>
  <c r="AKV2" i="8"/>
  <c r="AKW2" i="8"/>
  <c r="AKX2" i="8"/>
  <c r="AKY2" i="8"/>
  <c r="AKZ2" i="8"/>
  <c r="ALA2" i="8"/>
  <c r="ALB2" i="8"/>
  <c r="ALC2" i="8"/>
  <c r="ALD2" i="8"/>
  <c r="ALE2" i="8"/>
  <c r="ALF2" i="8"/>
  <c r="ALG2" i="8"/>
  <c r="ALH2" i="8"/>
  <c r="ALI2" i="8"/>
  <c r="ALJ2" i="8"/>
  <c r="ALK2" i="8"/>
  <c r="ALL2" i="8"/>
  <c r="ALM2" i="8"/>
  <c r="ALN2" i="8"/>
  <c r="ALO2" i="8"/>
  <c r="ALP2" i="8"/>
  <c r="ALQ2" i="8"/>
  <c r="ALR2" i="8"/>
  <c r="ALS2" i="8"/>
  <c r="ALT2" i="8"/>
  <c r="ALU2" i="8"/>
  <c r="ALV2" i="8"/>
  <c r="ALW2" i="8"/>
  <c r="ALX2" i="8"/>
  <c r="ALY2" i="8"/>
  <c r="ALZ2" i="8"/>
  <c r="AMA2" i="8"/>
  <c r="AMB2" i="8"/>
  <c r="AMC2" i="8"/>
  <c r="AMD2" i="8"/>
  <c r="AME2" i="8"/>
  <c r="AMF2" i="8"/>
  <c r="AMG2" i="8"/>
  <c r="AMH2" i="8"/>
  <c r="AMI2" i="8"/>
  <c r="AMJ2" i="8"/>
  <c r="AMK2" i="8"/>
  <c r="AML2" i="8"/>
  <c r="AMM2" i="8"/>
  <c r="AMN2" i="8"/>
  <c r="AMO2" i="8"/>
  <c r="AMP2" i="8"/>
  <c r="AMQ2" i="8"/>
  <c r="AMR2" i="8"/>
  <c r="AMS2" i="8"/>
  <c r="AMT2" i="8"/>
  <c r="AMU2" i="8"/>
  <c r="AMV2" i="8"/>
  <c r="AMW2" i="8"/>
  <c r="AMX2" i="8"/>
  <c r="AMY2" i="8"/>
  <c r="AMZ2" i="8"/>
  <c r="ANA2" i="8"/>
  <c r="ANB2" i="8"/>
  <c r="ANC2" i="8"/>
  <c r="AND2" i="8"/>
  <c r="ANE2" i="8"/>
  <c r="ANF2" i="8"/>
  <c r="ANG2" i="8"/>
  <c r="ANH2" i="8"/>
  <c r="ANI2" i="8"/>
  <c r="ANJ2" i="8"/>
  <c r="ANK2" i="8"/>
  <c r="ANL2" i="8"/>
  <c r="ANM2" i="8"/>
  <c r="ANN2" i="8"/>
  <c r="ANO2" i="8"/>
  <c r="ANP2" i="8"/>
  <c r="ANQ2" i="8"/>
  <c r="ANR2" i="8"/>
  <c r="ANS2" i="8"/>
  <c r="ANT2" i="8"/>
  <c r="ANU2" i="8"/>
  <c r="ANV2" i="8"/>
  <c r="ANW2" i="8"/>
  <c r="ANX2" i="8"/>
  <c r="ANY2" i="8"/>
  <c r="ANZ2" i="8"/>
  <c r="AOA2" i="8"/>
  <c r="AOB2" i="8"/>
  <c r="AOC2" i="8"/>
  <c r="AOD2" i="8"/>
  <c r="AOE2" i="8"/>
  <c r="AOF2" i="8"/>
  <c r="AOG2" i="8"/>
  <c r="AOH2" i="8"/>
  <c r="AOI2" i="8"/>
  <c r="AOJ2" i="8"/>
  <c r="AOK2" i="8"/>
  <c r="AOL2" i="8"/>
  <c r="AOM2" i="8"/>
  <c r="AON2" i="8"/>
  <c r="AOO2" i="8"/>
  <c r="AOP2" i="8"/>
  <c r="AOQ2" i="8"/>
  <c r="AOR2" i="8"/>
  <c r="AOS2" i="8"/>
  <c r="AOT2" i="8"/>
  <c r="AOU2" i="8"/>
  <c r="AOV2" i="8"/>
  <c r="AOW2" i="8"/>
  <c r="AOX2" i="8"/>
  <c r="AOY2" i="8"/>
  <c r="AOZ2" i="8"/>
  <c r="APA2" i="8"/>
  <c r="APB2" i="8"/>
  <c r="APC2" i="8"/>
  <c r="APD2" i="8"/>
  <c r="APE2" i="8"/>
  <c r="APF2" i="8"/>
  <c r="APG2" i="8"/>
  <c r="APH2" i="8"/>
  <c r="API2" i="8"/>
  <c r="APJ2" i="8"/>
  <c r="APK2" i="8"/>
  <c r="APL2" i="8"/>
  <c r="APM2" i="8"/>
  <c r="APN2" i="8"/>
  <c r="APO2" i="8"/>
  <c r="APP2" i="8"/>
  <c r="APQ2" i="8"/>
  <c r="APR2" i="8"/>
  <c r="APS2" i="8"/>
  <c r="APT2" i="8"/>
  <c r="APU2" i="8"/>
  <c r="APV2" i="8"/>
  <c r="APW2" i="8"/>
  <c r="APX2" i="8"/>
  <c r="APY2" i="8"/>
  <c r="APZ2" i="8"/>
  <c r="AQA2" i="8"/>
  <c r="AQB2" i="8"/>
  <c r="AQC2" i="8"/>
  <c r="AQD2" i="8"/>
  <c r="AQE2" i="8"/>
  <c r="AQF2" i="8"/>
  <c r="AQG2" i="8"/>
  <c r="AQH2" i="8"/>
  <c r="AQI2" i="8"/>
  <c r="AQJ2" i="8"/>
  <c r="AQK2" i="8"/>
  <c r="AQL2" i="8"/>
  <c r="AQM2" i="8"/>
  <c r="AQN2" i="8"/>
  <c r="AQO2" i="8"/>
  <c r="AQP2" i="8"/>
  <c r="AQQ2" i="8"/>
  <c r="AQR2" i="8"/>
  <c r="AQS2" i="8"/>
  <c r="AQT2" i="8"/>
  <c r="AQU2" i="8"/>
  <c r="AQV2" i="8"/>
  <c r="AQW2" i="8"/>
  <c r="AQX2" i="8"/>
  <c r="AQY2" i="8"/>
  <c r="AQZ2" i="8"/>
  <c r="ARA2" i="8"/>
  <c r="ARB2" i="8"/>
  <c r="ARC2" i="8"/>
  <c r="ARD2" i="8"/>
  <c r="ARE2" i="8"/>
  <c r="ARF2" i="8"/>
  <c r="ARG2" i="8"/>
  <c r="ARH2" i="8"/>
  <c r="ARI2" i="8"/>
  <c r="ARJ2" i="8"/>
  <c r="ARK2" i="8"/>
  <c r="ARL2" i="8"/>
  <c r="ARM2" i="8"/>
  <c r="ARN2" i="8"/>
  <c r="ARO2" i="8"/>
  <c r="ARP2" i="8"/>
  <c r="ARQ2" i="8"/>
  <c r="ARR2" i="8"/>
  <c r="ARS2" i="8"/>
  <c r="ART2" i="8"/>
  <c r="ARU2" i="8"/>
  <c r="ARV2" i="8"/>
  <c r="ARW2" i="8"/>
  <c r="ARX2" i="8"/>
  <c r="ARY2" i="8"/>
  <c r="ARZ2" i="8"/>
  <c r="ASA2" i="8"/>
  <c r="ASB2" i="8"/>
  <c r="ASC2" i="8"/>
  <c r="ASD2" i="8"/>
  <c r="ASE2" i="8"/>
  <c r="ASF2" i="8"/>
  <c r="ASG2" i="8"/>
  <c r="ASH2" i="8"/>
  <c r="ASI2" i="8"/>
  <c r="ASJ2" i="8"/>
  <c r="ASK2" i="8"/>
  <c r="ASL2" i="8"/>
  <c r="ASM2" i="8"/>
  <c r="ASN2" i="8"/>
  <c r="ASO2" i="8"/>
  <c r="ASP2" i="8"/>
  <c r="ASQ2" i="8"/>
  <c r="ASR2" i="8"/>
  <c r="ASS2" i="8"/>
  <c r="AST2" i="8"/>
  <c r="ASU2" i="8"/>
  <c r="ASV2" i="8"/>
  <c r="ASW2" i="8"/>
  <c r="ASX2" i="8"/>
  <c r="ASY2" i="8"/>
  <c r="ASZ2" i="8"/>
  <c r="ATA2" i="8"/>
  <c r="ATB2" i="8"/>
  <c r="ATC2" i="8"/>
  <c r="ATD2" i="8"/>
  <c r="ATE2" i="8"/>
  <c r="ATF2" i="8"/>
  <c r="ATG2" i="8"/>
  <c r="ATH2" i="8"/>
  <c r="ATI2" i="8"/>
  <c r="ATJ2" i="8"/>
  <c r="ATK2" i="8"/>
  <c r="ATL2" i="8"/>
  <c r="ATM2" i="8"/>
  <c r="ATN2" i="8"/>
  <c r="ATO2" i="8"/>
  <c r="ATP2" i="8"/>
  <c r="ATQ2" i="8"/>
  <c r="ATR2" i="8"/>
  <c r="ATS2" i="8"/>
  <c r="ATT2" i="8"/>
  <c r="ATU2" i="8"/>
  <c r="ATV2" i="8"/>
  <c r="ATW2" i="8"/>
  <c r="ATX2" i="8"/>
  <c r="ATY2" i="8"/>
  <c r="ATZ2" i="8"/>
  <c r="AUA2" i="8"/>
  <c r="AUB2" i="8"/>
  <c r="AUC2" i="8"/>
  <c r="AUD2" i="8"/>
  <c r="AUE2" i="8"/>
  <c r="AUF2" i="8"/>
  <c r="AUG2" i="8"/>
  <c r="AUH2" i="8"/>
  <c r="AUI2" i="8"/>
  <c r="AUJ2" i="8"/>
  <c r="AUK2" i="8"/>
  <c r="AUL2" i="8"/>
  <c r="AUM2" i="8"/>
  <c r="AUN2" i="8"/>
  <c r="AUO2" i="8"/>
  <c r="AUP2" i="8"/>
  <c r="AUQ2" i="8"/>
  <c r="AUR2" i="8"/>
  <c r="AUS2" i="8"/>
  <c r="AUT2" i="8"/>
  <c r="AUU2" i="8"/>
  <c r="AUV2" i="8"/>
  <c r="AUW2" i="8"/>
  <c r="AUX2" i="8"/>
  <c r="AUY2" i="8"/>
  <c r="AUZ2" i="8"/>
  <c r="AVA2" i="8"/>
  <c r="AVB2" i="8"/>
  <c r="AVC2" i="8"/>
  <c r="AVD2" i="8"/>
  <c r="AVE2" i="8"/>
  <c r="AVF2" i="8"/>
  <c r="AVG2" i="8"/>
  <c r="AVH2" i="8"/>
  <c r="AVI2" i="8"/>
  <c r="AVJ2" i="8"/>
  <c r="AVK2" i="8"/>
  <c r="AVL2" i="8"/>
  <c r="AVM2" i="8"/>
  <c r="AVN2" i="8"/>
  <c r="AVO2" i="8"/>
  <c r="AVP2" i="8"/>
  <c r="AVQ2" i="8"/>
  <c r="AVR2" i="8"/>
  <c r="AVS2" i="8"/>
  <c r="AVT2" i="8"/>
  <c r="AVU2" i="8"/>
  <c r="AVV2" i="8"/>
  <c r="AVW2" i="8"/>
  <c r="AVX2" i="8"/>
  <c r="AVY2" i="8"/>
  <c r="AVZ2" i="8"/>
  <c r="AWA2" i="8"/>
  <c r="AWB2" i="8"/>
  <c r="AWC2" i="8"/>
  <c r="AWD2" i="8"/>
  <c r="AWE2" i="8"/>
  <c r="AWF2" i="8"/>
  <c r="AWG2" i="8"/>
  <c r="AWH2" i="8"/>
  <c r="AWI2" i="8"/>
  <c r="AWJ2" i="8"/>
  <c r="AWK2" i="8"/>
  <c r="AWL2" i="8"/>
  <c r="AWM2" i="8"/>
  <c r="AWN2" i="8"/>
  <c r="AWO2" i="8"/>
  <c r="AWP2" i="8"/>
  <c r="AWQ2" i="8"/>
  <c r="AWR2" i="8"/>
  <c r="AWS2" i="8"/>
  <c r="AWT2" i="8"/>
  <c r="AWU2" i="8"/>
  <c r="AWV2" i="8"/>
  <c r="AWW2" i="8"/>
  <c r="AWX2" i="8"/>
  <c r="AWY2" i="8"/>
  <c r="AWZ2" i="8"/>
  <c r="AXA2" i="8"/>
  <c r="AXB2" i="8"/>
  <c r="AXC2" i="8"/>
  <c r="AXD2" i="8"/>
  <c r="AXE2" i="8"/>
  <c r="AXF2" i="8"/>
  <c r="AXG2" i="8"/>
  <c r="AXH2" i="8"/>
  <c r="AXI2" i="8"/>
  <c r="AXJ2" i="8"/>
  <c r="AXK2" i="8"/>
  <c r="AXL2" i="8"/>
  <c r="AXM2" i="8"/>
  <c r="AXN2" i="8"/>
  <c r="AXO2" i="8"/>
  <c r="AXP2" i="8"/>
  <c r="AXQ2" i="8"/>
  <c r="AXR2" i="8"/>
  <c r="AXS2" i="8"/>
  <c r="AXT2" i="8"/>
  <c r="AXU2" i="8"/>
  <c r="AXV2" i="8"/>
  <c r="AXW2" i="8"/>
  <c r="AXX2" i="8"/>
  <c r="AXY2" i="8"/>
  <c r="AXZ2" i="8"/>
  <c r="AYA2" i="8"/>
  <c r="AYB2" i="8"/>
  <c r="AYC2" i="8"/>
  <c r="AYD2" i="8"/>
  <c r="AYE2" i="8"/>
  <c r="AYF2" i="8"/>
  <c r="AYG2" i="8"/>
  <c r="AYH2" i="8"/>
  <c r="AYI2" i="8"/>
  <c r="AYJ2" i="8"/>
  <c r="AYK2" i="8"/>
  <c r="AYL2" i="8"/>
  <c r="AYM2" i="8"/>
  <c r="AYN2" i="8"/>
  <c r="AYO2" i="8"/>
  <c r="AYP2" i="8"/>
  <c r="AYQ2" i="8"/>
  <c r="AYR2" i="8"/>
  <c r="AYS2" i="8"/>
  <c r="AYT2" i="8"/>
  <c r="AYU2" i="8"/>
  <c r="AYV2" i="8"/>
  <c r="AYW2" i="8"/>
  <c r="AYX2" i="8"/>
  <c r="AYY2" i="8"/>
  <c r="AYZ2" i="8"/>
  <c r="AZA2" i="8"/>
  <c r="AZB2" i="8"/>
  <c r="AZC2" i="8"/>
  <c r="AZD2" i="8"/>
  <c r="AZE2" i="8"/>
  <c r="AZF2" i="8"/>
  <c r="AZG2" i="8"/>
  <c r="AZH2" i="8"/>
  <c r="AZI2" i="8"/>
  <c r="AZJ2" i="8"/>
  <c r="AZK2" i="8"/>
  <c r="AZL2" i="8"/>
  <c r="AZM2" i="8"/>
  <c r="AZN2" i="8"/>
  <c r="AZO2" i="8"/>
  <c r="AZP2" i="8"/>
  <c r="AZQ2" i="8"/>
  <c r="AZR2" i="8"/>
  <c r="AZS2" i="8"/>
  <c r="AZT2" i="8"/>
  <c r="AZU2" i="8"/>
  <c r="AZV2" i="8"/>
  <c r="AZW2" i="8"/>
  <c r="AZX2" i="8"/>
  <c r="AZY2" i="8"/>
  <c r="AZZ2" i="8"/>
  <c r="BAA2" i="8"/>
  <c r="BAB2" i="8"/>
  <c r="BAC2" i="8"/>
  <c r="BAD2" i="8"/>
  <c r="BAE2" i="8"/>
  <c r="BAF2" i="8"/>
  <c r="BAG2" i="8"/>
  <c r="BAH2" i="8"/>
  <c r="BAI2" i="8"/>
  <c r="BAJ2" i="8"/>
  <c r="BAK2" i="8"/>
  <c r="BAL2" i="8"/>
  <c r="BAM2" i="8"/>
  <c r="BAN2" i="8"/>
  <c r="BAO2" i="8"/>
  <c r="BAP2" i="8"/>
  <c r="BAQ2" i="8"/>
  <c r="BAR2" i="8"/>
  <c r="BAS2" i="8"/>
  <c r="BAT2" i="8"/>
  <c r="BAU2" i="8"/>
  <c r="BAV2" i="8"/>
  <c r="BAW2" i="8"/>
  <c r="BAX2" i="8"/>
  <c r="BAY2" i="8"/>
  <c r="BAZ2" i="8"/>
  <c r="BBA2" i="8"/>
  <c r="BBB2" i="8"/>
  <c r="BBC2" i="8"/>
  <c r="BBD2" i="8"/>
  <c r="BBE2" i="8"/>
  <c r="BBF2" i="8"/>
  <c r="BBG2" i="8"/>
  <c r="BBH2" i="8"/>
  <c r="BBI2" i="8"/>
  <c r="BBJ2" i="8"/>
  <c r="BBK2" i="8"/>
  <c r="BBL2" i="8"/>
  <c r="BBM2" i="8"/>
  <c r="BBN2" i="8"/>
  <c r="BBO2" i="8"/>
  <c r="BBP2" i="8"/>
  <c r="BBQ2" i="8"/>
  <c r="BBR2" i="8"/>
  <c r="BBS2" i="8"/>
  <c r="BBT2" i="8"/>
  <c r="BBU2" i="8"/>
  <c r="BBV2" i="8"/>
  <c r="BBW2" i="8"/>
  <c r="BBX2" i="8"/>
  <c r="BBY2" i="8"/>
  <c r="BBZ2" i="8"/>
  <c r="BCA2" i="8"/>
  <c r="BCB2" i="8"/>
  <c r="BCC2" i="8"/>
  <c r="BCD2" i="8"/>
  <c r="BCE2" i="8"/>
  <c r="BCF2" i="8"/>
  <c r="BCG2" i="8"/>
  <c r="BCH2" i="8"/>
  <c r="BCI2" i="8"/>
  <c r="BCJ2" i="8"/>
  <c r="BCK2" i="8"/>
  <c r="BCL2" i="8"/>
  <c r="BCM2" i="8"/>
  <c r="BCN2" i="8"/>
  <c r="BCO2" i="8"/>
  <c r="BCP2" i="8"/>
  <c r="BCQ2" i="8"/>
  <c r="BCR2" i="8"/>
  <c r="BCS2" i="8"/>
  <c r="BCT2" i="8"/>
  <c r="BCU2" i="8"/>
  <c r="BCV2" i="8"/>
  <c r="BCW2" i="8"/>
  <c r="BCX2" i="8"/>
  <c r="BCY2" i="8"/>
  <c r="BCZ2" i="8"/>
  <c r="BDA2" i="8"/>
  <c r="BDB2" i="8"/>
  <c r="BDC2" i="8"/>
  <c r="BDD2" i="8"/>
  <c r="BDE2" i="8"/>
  <c r="BDF2" i="8"/>
  <c r="BDG2" i="8"/>
  <c r="BDH2" i="8"/>
  <c r="BDI2" i="8"/>
  <c r="BDJ2" i="8"/>
  <c r="BDK2" i="8"/>
  <c r="BDL2" i="8"/>
  <c r="BDM2" i="8"/>
  <c r="BDN2" i="8"/>
  <c r="BDO2" i="8"/>
  <c r="BDP2" i="8"/>
  <c r="BDQ2" i="8"/>
  <c r="BDR2" i="8"/>
  <c r="BDS2" i="8"/>
  <c r="BDT2" i="8"/>
  <c r="BDU2" i="8"/>
  <c r="BDV2" i="8"/>
  <c r="BDW2" i="8"/>
  <c r="BDX2" i="8"/>
  <c r="BDY2" i="8"/>
  <c r="BDZ2" i="8"/>
  <c r="BEA2" i="8"/>
  <c r="BEB2" i="8"/>
  <c r="BEC2" i="8"/>
  <c r="BED2" i="8"/>
  <c r="BEE2" i="8"/>
  <c r="BEF2" i="8"/>
  <c r="BEG2" i="8"/>
  <c r="BEH2" i="8"/>
  <c r="BEI2" i="8"/>
  <c r="BEJ2" i="8"/>
  <c r="BEK2" i="8"/>
  <c r="BEL2" i="8"/>
  <c r="BEM2" i="8"/>
  <c r="BEN2" i="8"/>
  <c r="BEO2" i="8"/>
  <c r="BEP2" i="8"/>
  <c r="BEQ2" i="8"/>
  <c r="BER2" i="8"/>
  <c r="BES2" i="8"/>
  <c r="BET2" i="8"/>
  <c r="BEU2" i="8"/>
  <c r="BEV2" i="8"/>
  <c r="BEW2" i="8"/>
  <c r="BEX2" i="8"/>
  <c r="BEY2" i="8"/>
  <c r="BEZ2" i="8"/>
  <c r="BFA2" i="8"/>
  <c r="BFB2" i="8"/>
  <c r="BFC2" i="8"/>
  <c r="BFD2" i="8"/>
  <c r="BFE2" i="8"/>
  <c r="BFF2" i="8"/>
  <c r="BFG2" i="8"/>
  <c r="BFH2" i="8"/>
  <c r="BFI2" i="8"/>
  <c r="BFJ2" i="8"/>
  <c r="BFK2" i="8"/>
  <c r="BFL2" i="8"/>
  <c r="BFM2" i="8"/>
  <c r="BFN2" i="8"/>
  <c r="BFO2" i="8"/>
  <c r="BFP2" i="8"/>
  <c r="BFQ2" i="8"/>
  <c r="BFR2" i="8"/>
  <c r="BFS2" i="8"/>
  <c r="BFT2" i="8"/>
  <c r="BFU2" i="8"/>
  <c r="BFV2" i="8"/>
  <c r="BFW2" i="8"/>
  <c r="BFX2" i="8"/>
  <c r="BFY2" i="8"/>
  <c r="BFZ2" i="8"/>
  <c r="BGA2" i="8"/>
  <c r="BGB2" i="8"/>
  <c r="BGC2" i="8"/>
  <c r="BGD2" i="8"/>
  <c r="BGE2" i="8"/>
  <c r="BGF2" i="8"/>
  <c r="BGG2" i="8"/>
  <c r="BGH2" i="8"/>
  <c r="BGI2" i="8"/>
  <c r="BGJ2" i="8"/>
  <c r="BGK2" i="8"/>
  <c r="BGL2" i="8"/>
  <c r="BGM2" i="8"/>
  <c r="BGN2" i="8"/>
  <c r="BGO2" i="8"/>
  <c r="BGP2" i="8"/>
  <c r="BGQ2" i="8"/>
  <c r="BGR2" i="8"/>
  <c r="BGS2" i="8"/>
  <c r="BGT2" i="8"/>
  <c r="BGU2" i="8"/>
  <c r="BGV2" i="8"/>
  <c r="BGW2" i="8"/>
  <c r="BGX2" i="8"/>
  <c r="BGY2" i="8"/>
  <c r="BGZ2" i="8"/>
  <c r="BHA2" i="8"/>
  <c r="BHB2" i="8"/>
  <c r="BHC2" i="8"/>
  <c r="BHD2" i="8"/>
  <c r="BHE2" i="8"/>
  <c r="BHF2" i="8"/>
  <c r="BHG2" i="8"/>
  <c r="BHH2" i="8"/>
  <c r="BHI2" i="8"/>
  <c r="BHJ2" i="8"/>
  <c r="BHK2" i="8"/>
  <c r="BHL2" i="8"/>
  <c r="BHM2" i="8"/>
  <c r="BHN2" i="8"/>
  <c r="BHO2" i="8"/>
  <c r="BHP2" i="8"/>
  <c r="BHQ2" i="8"/>
  <c r="BHR2" i="8"/>
  <c r="BHS2" i="8"/>
  <c r="BHT2" i="8"/>
  <c r="BHU2" i="8"/>
  <c r="BHV2" i="8"/>
  <c r="BHW2" i="8"/>
  <c r="BHX2" i="8"/>
  <c r="BHY2" i="8"/>
  <c r="BHZ2" i="8"/>
  <c r="BIA2" i="8"/>
  <c r="BIB2" i="8"/>
  <c r="BIC2" i="8"/>
  <c r="BID2" i="8"/>
  <c r="BIE2" i="8"/>
  <c r="BIF2" i="8"/>
  <c r="BIG2" i="8"/>
  <c r="BIH2" i="8"/>
  <c r="BII2" i="8"/>
  <c r="BIJ2" i="8"/>
  <c r="BIK2" i="8"/>
  <c r="BIL2" i="8"/>
  <c r="BIM2" i="8"/>
  <c r="BIN2" i="8"/>
  <c r="BIO2" i="8"/>
  <c r="BIP2" i="8"/>
  <c r="BIQ2" i="8"/>
  <c r="BIR2" i="8"/>
  <c r="BIS2" i="8"/>
  <c r="BIT2" i="8"/>
  <c r="BIU2" i="8"/>
  <c r="BIV2" i="8"/>
  <c r="BIW2" i="8"/>
  <c r="BIX2" i="8"/>
  <c r="BIY2" i="8"/>
  <c r="BIZ2" i="8"/>
  <c r="BJA2" i="8"/>
  <c r="BJB2" i="8"/>
  <c r="BJC2" i="8"/>
  <c r="BJD2" i="8"/>
  <c r="BJE2" i="8"/>
  <c r="BJF2" i="8"/>
  <c r="BJG2" i="8"/>
  <c r="BJH2" i="8"/>
  <c r="BJI2" i="8"/>
  <c r="BJJ2" i="8"/>
  <c r="BJK2" i="8"/>
  <c r="BJL2" i="8"/>
  <c r="BJM2" i="8"/>
  <c r="BJN2" i="8"/>
  <c r="BJO2" i="8"/>
  <c r="BJP2" i="8"/>
  <c r="BJQ2" i="8"/>
  <c r="BJR2" i="8"/>
  <c r="BJS2" i="8"/>
  <c r="BJT2" i="8"/>
  <c r="BJU2" i="8"/>
  <c r="BJV2" i="8"/>
  <c r="BJW2" i="8"/>
  <c r="BJX2" i="8"/>
  <c r="BJY2" i="8"/>
  <c r="BJZ2" i="8"/>
  <c r="BKA2" i="8"/>
  <c r="BKB2" i="8"/>
  <c r="BKC2" i="8"/>
  <c r="BKD2" i="8"/>
  <c r="BKE2" i="8"/>
  <c r="BKF2" i="8"/>
  <c r="BKG2" i="8"/>
  <c r="BKH2" i="8"/>
  <c r="BKI2" i="8"/>
  <c r="BKJ2" i="8"/>
  <c r="BKK2" i="8"/>
  <c r="BKL2" i="8"/>
  <c r="BKM2" i="8"/>
  <c r="BKN2" i="8"/>
  <c r="BKO2" i="8"/>
  <c r="BKP2" i="8"/>
  <c r="BKQ2" i="8"/>
  <c r="BKR2" i="8"/>
  <c r="BKS2" i="8"/>
  <c r="BKT2" i="8"/>
  <c r="BKU2" i="8"/>
  <c r="BKV2" i="8"/>
  <c r="BKW2" i="8"/>
  <c r="BKX2" i="8"/>
  <c r="BKY2" i="8"/>
  <c r="BKZ2" i="8"/>
  <c r="BLA2" i="8"/>
  <c r="BLB2" i="8"/>
  <c r="BLC2" i="8"/>
  <c r="BLD2" i="8"/>
  <c r="BLE2" i="8"/>
  <c r="BLF2" i="8"/>
  <c r="BLG2" i="8"/>
  <c r="BLH2" i="8"/>
  <c r="BLI2" i="8"/>
  <c r="BLJ2" i="8"/>
  <c r="BLK2" i="8"/>
  <c r="BLL2" i="8"/>
  <c r="BLM2" i="8"/>
  <c r="BLN2" i="8"/>
  <c r="BLO2" i="8"/>
  <c r="BLP2" i="8"/>
  <c r="BLQ2" i="8"/>
  <c r="BLR2" i="8"/>
  <c r="BLS2" i="8"/>
  <c r="BLT2" i="8"/>
  <c r="BLU2" i="8"/>
  <c r="BLV2" i="8"/>
  <c r="BLW2" i="8"/>
  <c r="BLX2" i="8"/>
  <c r="BLY2" i="8"/>
  <c r="BLZ2" i="8"/>
  <c r="BMA2" i="8"/>
  <c r="BMB2" i="8"/>
  <c r="BMC2" i="8"/>
  <c r="BMD2" i="8"/>
  <c r="BME2" i="8"/>
  <c r="BMF2" i="8"/>
  <c r="BMG2" i="8"/>
  <c r="BMH2" i="8"/>
  <c r="BMI2" i="8"/>
  <c r="BMJ2" i="8"/>
  <c r="BMK2" i="8"/>
  <c r="BML2" i="8"/>
  <c r="BMM2" i="8"/>
  <c r="BMN2" i="8"/>
  <c r="BMO2" i="8"/>
  <c r="BMP2" i="8"/>
  <c r="BMQ2" i="8"/>
  <c r="BMR2" i="8"/>
  <c r="BMS2" i="8"/>
  <c r="BMT2" i="8"/>
  <c r="BMU2" i="8"/>
  <c r="BMV2" i="8"/>
  <c r="BMW2" i="8"/>
  <c r="BMX2" i="8"/>
  <c r="BMY2" i="8"/>
  <c r="BMZ2" i="8"/>
  <c r="BNA2" i="8"/>
  <c r="BNB2" i="8"/>
  <c r="BNC2" i="8"/>
  <c r="BND2" i="8"/>
  <c r="BNE2" i="8"/>
  <c r="BNF2" i="8"/>
  <c r="BNG2" i="8"/>
  <c r="BNH2" i="8"/>
  <c r="BNI2" i="8"/>
  <c r="BNJ2" i="8"/>
  <c r="BNK2" i="8"/>
  <c r="BNL2" i="8"/>
  <c r="BNM2" i="8"/>
  <c r="BNN2" i="8"/>
  <c r="BNO2" i="8"/>
  <c r="BNP2" i="8"/>
  <c r="BNQ2" i="8"/>
  <c r="BNR2" i="8"/>
  <c r="BNS2" i="8"/>
  <c r="BNT2" i="8"/>
  <c r="BNU2" i="8"/>
  <c r="BNV2" i="8"/>
  <c r="BNW2" i="8"/>
  <c r="BNX2" i="8"/>
  <c r="BNY2" i="8"/>
  <c r="BNZ2" i="8"/>
  <c r="BOA2" i="8"/>
  <c r="BOB2" i="8"/>
  <c r="BOC2" i="8"/>
  <c r="BOD2" i="8"/>
  <c r="BOE2" i="8"/>
  <c r="BOF2" i="8"/>
  <c r="BOG2" i="8"/>
  <c r="BOH2" i="8"/>
  <c r="BOI2" i="8"/>
  <c r="BOJ2" i="8"/>
  <c r="BOK2" i="8"/>
  <c r="BOL2" i="8"/>
  <c r="BOM2" i="8"/>
  <c r="BON2" i="8"/>
  <c r="BOO2" i="8"/>
  <c r="BOP2" i="8"/>
  <c r="BOQ2" i="8"/>
  <c r="BOR2" i="8"/>
  <c r="BOS2" i="8"/>
  <c r="BOT2" i="8"/>
  <c r="BOU2" i="8"/>
  <c r="BOV2" i="8"/>
  <c r="BOW2" i="8"/>
  <c r="BOX2" i="8"/>
  <c r="BOY2" i="8"/>
  <c r="BOZ2" i="8"/>
  <c r="BPA2" i="8"/>
  <c r="BPB2" i="8"/>
  <c r="BPC2" i="8"/>
  <c r="BPD2" i="8"/>
  <c r="BPE2" i="8"/>
  <c r="BPF2" i="8"/>
  <c r="BPG2" i="8"/>
  <c r="BPH2" i="8"/>
  <c r="BPI2" i="8"/>
  <c r="BPJ2" i="8"/>
  <c r="BPK2" i="8"/>
  <c r="BPL2" i="8"/>
  <c r="BPM2" i="8"/>
  <c r="BPN2" i="8"/>
  <c r="BPO2" i="8"/>
  <c r="BPP2" i="8"/>
  <c r="BPQ2" i="8"/>
  <c r="BPR2" i="8"/>
  <c r="BPS2" i="8"/>
  <c r="BPT2" i="8"/>
  <c r="BPU2" i="8"/>
  <c r="BPV2" i="8"/>
  <c r="BPW2" i="8"/>
  <c r="BPX2" i="8"/>
  <c r="BPY2" i="8"/>
  <c r="BPZ2" i="8"/>
  <c r="BQA2" i="8"/>
  <c r="BQB2" i="8"/>
  <c r="BQC2" i="8"/>
  <c r="BQD2" i="8"/>
  <c r="BQE2" i="8"/>
  <c r="BQF2" i="8"/>
  <c r="BQG2" i="8"/>
  <c r="BQH2" i="8"/>
  <c r="BQI2" i="8"/>
  <c r="BQJ2" i="8"/>
  <c r="BQK2" i="8"/>
  <c r="BQL2" i="8"/>
  <c r="BQM2" i="8"/>
  <c r="BQN2" i="8"/>
  <c r="BQO2" i="8"/>
  <c r="BQP2" i="8"/>
  <c r="BQQ2" i="8"/>
  <c r="BQR2" i="8"/>
  <c r="BQS2" i="8"/>
  <c r="BQT2" i="8"/>
  <c r="BQU2" i="8"/>
  <c r="BQV2" i="8"/>
  <c r="BQW2" i="8"/>
  <c r="BQX2" i="8"/>
  <c r="BQY2" i="8"/>
  <c r="BQZ2" i="8"/>
  <c r="BRA2" i="8"/>
  <c r="BRB2" i="8"/>
  <c r="BRC2" i="8"/>
  <c r="BRD2" i="8"/>
  <c r="BRE2" i="8"/>
  <c r="BRF2" i="8"/>
  <c r="BRG2" i="8"/>
  <c r="BRH2" i="8"/>
  <c r="BRI2" i="8"/>
  <c r="BRJ2" i="8"/>
  <c r="BRK2" i="8"/>
  <c r="BRL2" i="8"/>
  <c r="BRM2" i="8"/>
  <c r="BRN2" i="8"/>
  <c r="BRO2" i="8"/>
  <c r="BRP2" i="8"/>
  <c r="BRQ2" i="8"/>
  <c r="BRR2" i="8"/>
  <c r="BRS2" i="8"/>
  <c r="BRT2" i="8"/>
  <c r="BRU2" i="8"/>
  <c r="BRV2" i="8"/>
  <c r="BRW2" i="8"/>
  <c r="BRX2" i="8"/>
  <c r="BRY2" i="8"/>
  <c r="BRZ2" i="8"/>
  <c r="BSA2" i="8"/>
  <c r="BSB2" i="8"/>
  <c r="BSC2" i="8"/>
  <c r="BSD2" i="8"/>
  <c r="BSE2" i="8"/>
  <c r="BSF2" i="8"/>
  <c r="BSG2" i="8"/>
  <c r="BSH2" i="8"/>
  <c r="BSI2" i="8"/>
  <c r="BSJ2" i="8"/>
  <c r="BSK2" i="8"/>
  <c r="BSL2" i="8"/>
  <c r="BSM2" i="8"/>
  <c r="BSN2" i="8"/>
  <c r="BSO2" i="8"/>
  <c r="BSP2" i="8"/>
  <c r="BSQ2" i="8"/>
  <c r="BSR2" i="8"/>
  <c r="BSS2" i="8"/>
  <c r="BST2" i="8"/>
  <c r="BSU2" i="8"/>
  <c r="BSV2" i="8"/>
  <c r="BSW2" i="8"/>
  <c r="BSX2" i="8"/>
  <c r="BSY2" i="8"/>
  <c r="BSZ2" i="8"/>
  <c r="BTA2" i="8"/>
  <c r="BTB2" i="8"/>
  <c r="BTC2" i="8"/>
  <c r="BTD2" i="8"/>
  <c r="BTE2" i="8"/>
  <c r="BTF2" i="8"/>
  <c r="BTG2" i="8"/>
  <c r="BTH2" i="8"/>
  <c r="BTI2" i="8"/>
  <c r="BTJ2" i="8"/>
  <c r="BTK2" i="8"/>
  <c r="BTL2" i="8"/>
  <c r="BTM2" i="8"/>
  <c r="BTN2" i="8"/>
  <c r="BTO2" i="8"/>
  <c r="BTP2" i="8"/>
  <c r="BTQ2" i="8"/>
  <c r="BTR2" i="8"/>
  <c r="BTS2" i="8"/>
  <c r="BTT2" i="8"/>
  <c r="BTU2" i="8"/>
  <c r="BTV2" i="8"/>
  <c r="BTW2" i="8"/>
  <c r="BTX2" i="8"/>
  <c r="BTY2" i="8"/>
  <c r="BTZ2" i="8"/>
  <c r="BUA2" i="8"/>
  <c r="BUB2" i="8"/>
  <c r="BUC2" i="8"/>
  <c r="BUD2" i="8"/>
  <c r="BUE2" i="8"/>
  <c r="BUF2" i="8"/>
  <c r="BUG2" i="8"/>
  <c r="BUH2" i="8"/>
  <c r="BUI2" i="8"/>
  <c r="BUJ2" i="8"/>
  <c r="BUK2" i="8"/>
  <c r="BUL2" i="8"/>
  <c r="BUM2" i="8"/>
  <c r="BUN2" i="8"/>
  <c r="BUO2" i="8"/>
  <c r="BUP2" i="8"/>
  <c r="BUQ2" i="8"/>
  <c r="BUR2" i="8"/>
  <c r="BUS2" i="8"/>
  <c r="BUT2" i="8"/>
  <c r="BUU2" i="8"/>
  <c r="BUV2" i="8"/>
  <c r="BUW2" i="8"/>
  <c r="BUX2" i="8"/>
  <c r="BUY2" i="8"/>
  <c r="BUZ2" i="8"/>
  <c r="BVA2" i="8"/>
  <c r="BVB2" i="8"/>
  <c r="BVC2" i="8"/>
  <c r="BVD2" i="8"/>
  <c r="BVE2" i="8"/>
  <c r="BVF2" i="8"/>
  <c r="BVG2" i="8"/>
  <c r="BVH2" i="8"/>
  <c r="BVI2" i="8"/>
  <c r="BVJ2" i="8"/>
  <c r="BVK2" i="8"/>
  <c r="BVL2" i="8"/>
  <c r="BVM2" i="8"/>
  <c r="BVN2" i="8"/>
  <c r="BVO2" i="8"/>
  <c r="BVP2" i="8"/>
  <c r="BVQ2" i="8"/>
  <c r="BVR2" i="8"/>
  <c r="BVS2" i="8"/>
  <c r="BVT2" i="8"/>
  <c r="BVU2" i="8"/>
  <c r="BVV2" i="8"/>
  <c r="BVW2" i="8"/>
  <c r="BVX2" i="8"/>
  <c r="BVY2" i="8"/>
  <c r="BVZ2" i="8"/>
  <c r="BWA2" i="8"/>
  <c r="BWB2" i="8"/>
  <c r="BWC2" i="8"/>
  <c r="BWD2" i="8"/>
  <c r="BWE2" i="8"/>
  <c r="BWF2" i="8"/>
  <c r="BWG2" i="8"/>
  <c r="BWH2" i="8"/>
  <c r="BWI2" i="8"/>
  <c r="BWJ2" i="8"/>
  <c r="BWK2" i="8"/>
  <c r="BWL2" i="8"/>
  <c r="BWM2" i="8"/>
  <c r="BWN2" i="8"/>
  <c r="BWO2" i="8"/>
  <c r="BWP2" i="8"/>
  <c r="BWQ2" i="8"/>
  <c r="BWR2" i="8"/>
  <c r="BWS2" i="8"/>
  <c r="BWT2" i="8"/>
  <c r="BWU2" i="8"/>
  <c r="BWV2" i="8"/>
  <c r="BWW2" i="8"/>
  <c r="BWX2" i="8"/>
  <c r="BWY2" i="8"/>
  <c r="BWZ2" i="8"/>
  <c r="BXA2" i="8"/>
  <c r="BXB2" i="8"/>
  <c r="BXC2" i="8"/>
  <c r="BXD2" i="8"/>
  <c r="BXE2" i="8"/>
  <c r="BXF2" i="8"/>
  <c r="BXG2" i="8"/>
  <c r="BXH2" i="8"/>
  <c r="BXI2" i="8"/>
  <c r="BXJ2" i="8"/>
  <c r="BXK2" i="8"/>
  <c r="BXL2" i="8"/>
  <c r="BXM2" i="8"/>
  <c r="BXN2" i="8"/>
  <c r="BXO2" i="8"/>
  <c r="BXP2" i="8"/>
  <c r="BXQ2" i="8"/>
  <c r="BXR2" i="8"/>
  <c r="BXS2" i="8"/>
  <c r="BXT2" i="8"/>
  <c r="BXU2" i="8"/>
  <c r="BXV2" i="8"/>
  <c r="BXW2" i="8"/>
  <c r="BXX2" i="8"/>
  <c r="BXY2" i="8"/>
  <c r="BXZ2" i="8"/>
  <c r="BYA2" i="8"/>
  <c r="BYB2" i="8"/>
  <c r="BYC2" i="8"/>
  <c r="BYD2" i="8"/>
  <c r="BYE2" i="8"/>
  <c r="BYF2" i="8"/>
  <c r="BYG2" i="8"/>
  <c r="BYH2" i="8"/>
  <c r="BYI2" i="8"/>
  <c r="BYJ2" i="8"/>
  <c r="BYK2" i="8"/>
  <c r="BYL2" i="8"/>
  <c r="BYM2" i="8"/>
  <c r="BYN2" i="8"/>
  <c r="BYO2" i="8"/>
  <c r="BYP2" i="8"/>
  <c r="BYQ2" i="8"/>
  <c r="BYR2" i="8"/>
  <c r="BYS2" i="8"/>
  <c r="BYT2" i="8"/>
  <c r="BYU2" i="8"/>
  <c r="BYV2" i="8"/>
  <c r="BYW2" i="8"/>
  <c r="BYX2" i="8"/>
  <c r="BYY2" i="8"/>
  <c r="BYZ2" i="8"/>
  <c r="BZA2" i="8"/>
  <c r="BZB2" i="8"/>
  <c r="BZC2" i="8"/>
  <c r="BZD2" i="8"/>
  <c r="BZE2" i="8"/>
  <c r="BZF2" i="8"/>
  <c r="BZG2" i="8"/>
  <c r="BZH2" i="8"/>
  <c r="BZI2" i="8"/>
  <c r="BZJ2" i="8"/>
  <c r="BZK2" i="8"/>
  <c r="BZL2" i="8"/>
  <c r="BZM2" i="8"/>
  <c r="BZN2" i="8"/>
  <c r="BZO2" i="8"/>
  <c r="BZP2" i="8"/>
  <c r="BZQ2" i="8"/>
  <c r="BZR2" i="8"/>
  <c r="BZS2" i="8"/>
  <c r="BZT2" i="8"/>
  <c r="BZU2" i="8"/>
  <c r="BZV2" i="8"/>
  <c r="BZW2" i="8"/>
  <c r="BZX2" i="8"/>
  <c r="BZY2" i="8"/>
  <c r="BZZ2" i="8"/>
  <c r="CAA2" i="8"/>
  <c r="CAB2" i="8"/>
  <c r="CAC2" i="8"/>
  <c r="CAD2" i="8"/>
  <c r="CAE2" i="8"/>
  <c r="CAF2" i="8"/>
  <c r="CAG2" i="8"/>
  <c r="CAH2" i="8"/>
  <c r="CAI2" i="8"/>
  <c r="CAJ2" i="8"/>
  <c r="CAK2" i="8"/>
  <c r="CAL2" i="8"/>
  <c r="CAM2" i="8"/>
  <c r="CAN2" i="8"/>
  <c r="CAO2" i="8"/>
  <c r="CAP2" i="8"/>
  <c r="CAQ2" i="8"/>
  <c r="CAR2" i="8"/>
  <c r="CAS2" i="8"/>
  <c r="CAT2" i="8"/>
  <c r="CAU2" i="8"/>
  <c r="CAV2" i="8"/>
  <c r="CAW2" i="8"/>
  <c r="CAX2" i="8"/>
  <c r="CAY2" i="8"/>
  <c r="CAZ2" i="8"/>
  <c r="CBA2" i="8"/>
  <c r="CBB2" i="8"/>
  <c r="CBC2" i="8"/>
  <c r="CBD2" i="8"/>
  <c r="CBE2" i="8"/>
  <c r="CBF2" i="8"/>
  <c r="CBG2" i="8"/>
  <c r="CBH2" i="8"/>
  <c r="CBI2" i="8"/>
  <c r="CBJ2" i="8"/>
  <c r="CBK2" i="8"/>
  <c r="CBL2" i="8"/>
  <c r="CBM2" i="8"/>
  <c r="CBN2" i="8"/>
  <c r="CBO2" i="8"/>
  <c r="CBP2" i="8"/>
  <c r="CBQ2" i="8"/>
  <c r="CBR2" i="8"/>
  <c r="CBS2" i="8"/>
  <c r="CBT2" i="8"/>
  <c r="CBU2" i="8"/>
  <c r="CBV2" i="8"/>
  <c r="CBW2" i="8"/>
  <c r="CBX2" i="8"/>
  <c r="CBY2" i="8"/>
  <c r="CBZ2" i="8"/>
  <c r="CCA2" i="8"/>
  <c r="CCB2" i="8"/>
  <c r="CCC2" i="8"/>
  <c r="CCD2" i="8"/>
  <c r="CCE2" i="8"/>
  <c r="CCF2" i="8"/>
  <c r="CCG2" i="8"/>
  <c r="CCH2" i="8"/>
  <c r="CCI2" i="8"/>
  <c r="CCJ2" i="8"/>
  <c r="CCK2" i="8"/>
  <c r="CCL2" i="8"/>
  <c r="CCM2" i="8"/>
  <c r="CCN2" i="8"/>
  <c r="CCO2" i="8"/>
  <c r="CCP2" i="8"/>
  <c r="CCQ2" i="8"/>
  <c r="CCR2" i="8"/>
  <c r="CCS2" i="8"/>
  <c r="CCT2" i="8"/>
  <c r="CCU2" i="8"/>
  <c r="CCV2" i="8"/>
  <c r="CCW2" i="8"/>
  <c r="CCX2" i="8"/>
  <c r="CCY2" i="8"/>
  <c r="CCZ2" i="8"/>
  <c r="CDA2" i="8"/>
  <c r="CDB2" i="8"/>
  <c r="CDC2" i="8"/>
  <c r="CDD2" i="8"/>
  <c r="CDE2" i="8"/>
  <c r="CDF2" i="8"/>
  <c r="CDG2" i="8"/>
  <c r="CDH2" i="8"/>
  <c r="CDI2" i="8"/>
  <c r="CDJ2" i="8"/>
  <c r="CDK2" i="8"/>
  <c r="CDL2" i="8"/>
  <c r="CDM2" i="8"/>
  <c r="CDN2" i="8"/>
  <c r="CDO2" i="8"/>
  <c r="CDP2" i="8"/>
  <c r="CDQ2" i="8"/>
  <c r="CDR2" i="8"/>
  <c r="CDS2" i="8"/>
  <c r="CDT2" i="8"/>
  <c r="CDU2" i="8"/>
  <c r="CDV2" i="8"/>
  <c r="CDW2" i="8"/>
  <c r="CDX2" i="8"/>
  <c r="CDY2" i="8"/>
  <c r="CDZ2" i="8"/>
  <c r="CEA2" i="8"/>
  <c r="CEB2" i="8"/>
  <c r="CEC2" i="8"/>
  <c r="CED2" i="8"/>
  <c r="CEE2" i="8"/>
  <c r="CEF2" i="8"/>
  <c r="CEG2" i="8"/>
  <c r="CEH2" i="8"/>
  <c r="CEI2" i="8"/>
  <c r="CEJ2" i="8"/>
  <c r="CEK2" i="8"/>
  <c r="CEL2" i="8"/>
  <c r="CEM2" i="8"/>
  <c r="CEN2" i="8"/>
  <c r="CEO2" i="8"/>
  <c r="CEP2" i="8"/>
  <c r="CEQ2" i="8"/>
  <c r="CER2" i="8"/>
  <c r="CES2" i="8"/>
  <c r="CET2" i="8"/>
  <c r="CEU2" i="8"/>
  <c r="CEV2" i="8"/>
  <c r="CEW2" i="8"/>
  <c r="CEX2" i="8"/>
  <c r="CEY2" i="8"/>
  <c r="CEZ2" i="8"/>
  <c r="CFA2" i="8"/>
  <c r="CFB2" i="8"/>
  <c r="CFC2" i="8"/>
  <c r="CFD2" i="8"/>
  <c r="CFE2" i="8"/>
  <c r="CFF2" i="8"/>
  <c r="CFG2" i="8"/>
  <c r="CFH2" i="8"/>
  <c r="CFI2" i="8"/>
  <c r="CFJ2" i="8"/>
  <c r="CFK2" i="8"/>
  <c r="CFL2" i="8"/>
  <c r="CFM2" i="8"/>
  <c r="CFN2" i="8"/>
  <c r="CFO2" i="8"/>
  <c r="CFP2" i="8"/>
  <c r="CFQ2" i="8"/>
  <c r="CFR2" i="8"/>
  <c r="CFS2" i="8"/>
  <c r="CFT2" i="8"/>
  <c r="CFU2" i="8"/>
  <c r="CFV2" i="8"/>
  <c r="CFW2" i="8"/>
  <c r="CFX2" i="8"/>
  <c r="CFY2" i="8"/>
  <c r="CFZ2" i="8"/>
  <c r="CGA2" i="8"/>
  <c r="CGB2" i="8"/>
  <c r="CGC2" i="8"/>
  <c r="CGD2" i="8"/>
  <c r="CGE2" i="8"/>
  <c r="CGF2" i="8"/>
  <c r="CGG2" i="8"/>
  <c r="CGH2" i="8"/>
  <c r="CGI2" i="8"/>
  <c r="CGJ2" i="8"/>
  <c r="CGK2" i="8"/>
  <c r="CGL2" i="8"/>
  <c r="CGM2" i="8"/>
  <c r="CGN2" i="8"/>
  <c r="CGO2" i="8"/>
  <c r="CGP2" i="8"/>
  <c r="CGQ2" i="8"/>
  <c r="CGR2" i="8"/>
  <c r="CGS2" i="8"/>
  <c r="CGT2" i="8"/>
  <c r="CGU2" i="8"/>
  <c r="CGV2" i="8"/>
  <c r="CGW2" i="8"/>
  <c r="CGX2" i="8"/>
  <c r="CGY2" i="8"/>
  <c r="CGZ2" i="8"/>
  <c r="CHA2" i="8"/>
  <c r="CHB2" i="8"/>
  <c r="CHC2" i="8"/>
  <c r="CHD2" i="8"/>
  <c r="CHE2" i="8"/>
  <c r="CHF2" i="8"/>
  <c r="CHG2" i="8"/>
  <c r="CHH2" i="8"/>
  <c r="CHI2" i="8"/>
  <c r="CHJ2" i="8"/>
  <c r="CHK2" i="8"/>
  <c r="CHL2" i="8"/>
  <c r="CHM2" i="8"/>
  <c r="CHN2" i="8"/>
  <c r="CHO2" i="8"/>
  <c r="CHP2" i="8"/>
  <c r="CHQ2" i="8"/>
  <c r="CHR2" i="8"/>
  <c r="CHS2" i="8"/>
  <c r="CHT2" i="8"/>
  <c r="CHU2" i="8"/>
  <c r="CHV2" i="8"/>
  <c r="CHW2" i="8"/>
  <c r="CHX2" i="8"/>
  <c r="CHY2" i="8"/>
  <c r="CHZ2" i="8"/>
  <c r="CIA2" i="8"/>
  <c r="CIB2" i="8"/>
  <c r="CIC2" i="8"/>
  <c r="CID2" i="8"/>
  <c r="CIE2" i="8"/>
  <c r="CIF2" i="8"/>
  <c r="CIG2" i="8"/>
  <c r="CIH2" i="8"/>
  <c r="CII2" i="8"/>
  <c r="CIJ2" i="8"/>
  <c r="CIK2" i="8"/>
  <c r="CIL2" i="8"/>
  <c r="CIM2" i="8"/>
  <c r="CIN2" i="8"/>
  <c r="CIO2" i="8"/>
  <c r="CIP2" i="8"/>
  <c r="CIQ2" i="8"/>
  <c r="CIR2" i="8"/>
  <c r="CIS2" i="8"/>
  <c r="CIT2" i="8"/>
  <c r="CIU2" i="8"/>
  <c r="CIV2" i="8"/>
  <c r="CIW2" i="8"/>
  <c r="CIX2" i="8"/>
  <c r="CIY2" i="8"/>
  <c r="CIZ2" i="8"/>
  <c r="CJA2" i="8"/>
  <c r="CJB2" i="8"/>
  <c r="CJC2" i="8"/>
  <c r="CJD2" i="8"/>
  <c r="CJE2" i="8"/>
  <c r="CJF2" i="8"/>
  <c r="CJG2" i="8"/>
  <c r="CJH2" i="8"/>
  <c r="CJI2" i="8"/>
  <c r="CJJ2" i="8"/>
  <c r="CJK2" i="8"/>
  <c r="CJL2" i="8"/>
  <c r="CJM2" i="8"/>
  <c r="CJN2" i="8"/>
  <c r="CJO2" i="8"/>
  <c r="CJP2" i="8"/>
  <c r="CJQ2" i="8"/>
  <c r="CJR2" i="8"/>
  <c r="CJS2" i="8"/>
  <c r="CJT2" i="8"/>
  <c r="CJU2" i="8"/>
  <c r="CJV2" i="8"/>
  <c r="CJW2" i="8"/>
  <c r="CJX2" i="8"/>
  <c r="CJY2" i="8"/>
  <c r="CJZ2" i="8"/>
  <c r="CKA2" i="8"/>
  <c r="CKB2" i="8"/>
  <c r="CKC2" i="8"/>
  <c r="CKD2" i="8"/>
  <c r="CKE2" i="8"/>
  <c r="CKF2" i="8"/>
  <c r="CKG2" i="8"/>
  <c r="CKH2" i="8"/>
  <c r="CKI2" i="8"/>
  <c r="CKJ2" i="8"/>
  <c r="CKK2" i="8"/>
  <c r="CKL2" i="8"/>
  <c r="CKM2" i="8"/>
  <c r="CKN2" i="8"/>
  <c r="CKO2" i="8"/>
  <c r="CKP2" i="8"/>
  <c r="CKQ2" i="8"/>
  <c r="CKR2" i="8"/>
  <c r="CKS2" i="8"/>
  <c r="CKT2" i="8"/>
  <c r="CKU2" i="8"/>
  <c r="CKV2" i="8"/>
  <c r="CKW2" i="8"/>
  <c r="CKX2" i="8"/>
  <c r="CKY2" i="8"/>
  <c r="CKZ2" i="8"/>
  <c r="CLA2" i="8"/>
  <c r="CLB2" i="8"/>
  <c r="CLC2" i="8"/>
  <c r="CLD2" i="8"/>
  <c r="CLE2" i="8"/>
  <c r="CLF2" i="8"/>
  <c r="CLG2" i="8"/>
  <c r="CLH2" i="8"/>
  <c r="CLI2" i="8"/>
  <c r="CLJ2" i="8"/>
  <c r="CLK2" i="8"/>
  <c r="CLL2" i="8"/>
  <c r="CLM2" i="8"/>
  <c r="CLN2" i="8"/>
  <c r="CLO2" i="8"/>
  <c r="CLP2" i="8"/>
  <c r="CLQ2" i="8"/>
  <c r="CLR2" i="8"/>
  <c r="CLS2" i="8"/>
  <c r="CLT2" i="8"/>
  <c r="CLU2" i="8"/>
  <c r="CLV2" i="8"/>
  <c r="CLW2" i="8"/>
  <c r="CLX2" i="8"/>
  <c r="CLY2" i="8"/>
  <c r="CLZ2" i="8"/>
  <c r="CMA2" i="8"/>
  <c r="CMB2" i="8"/>
  <c r="CMC2" i="8"/>
  <c r="CMD2" i="8"/>
  <c r="CME2" i="8"/>
  <c r="CMF2" i="8"/>
  <c r="CMG2" i="8"/>
  <c r="CMH2" i="8"/>
  <c r="CMI2" i="8"/>
  <c r="CMJ2" i="8"/>
  <c r="CMK2" i="8"/>
  <c r="CML2" i="8"/>
  <c r="CMM2" i="8"/>
  <c r="CMN2" i="8"/>
  <c r="CMO2" i="8"/>
  <c r="CMP2" i="8"/>
  <c r="CMQ2" i="8"/>
  <c r="CMR2" i="8"/>
  <c r="CMS2" i="8"/>
  <c r="CMT2" i="8"/>
  <c r="CMU2" i="8"/>
  <c r="CMV2" i="8"/>
  <c r="CMW2" i="8"/>
  <c r="CMX2" i="8"/>
  <c r="CMY2" i="8"/>
  <c r="CMZ2" i="8"/>
  <c r="CNA2" i="8"/>
  <c r="CNB2" i="8"/>
  <c r="CNC2" i="8"/>
  <c r="CND2" i="8"/>
  <c r="CNE2" i="8"/>
  <c r="CNF2" i="8"/>
  <c r="CNG2" i="8"/>
  <c r="CNH2" i="8"/>
  <c r="CNI2" i="8"/>
  <c r="CNJ2" i="8"/>
  <c r="CNK2" i="8"/>
  <c r="CNL2" i="8"/>
  <c r="CNM2" i="8"/>
  <c r="CNN2" i="8"/>
  <c r="CNO2" i="8"/>
  <c r="CNP2" i="8"/>
  <c r="CNQ2" i="8"/>
  <c r="CNR2" i="8"/>
  <c r="CNS2" i="8"/>
  <c r="CNT2" i="8"/>
  <c r="CNU2" i="8"/>
  <c r="CNV2" i="8"/>
  <c r="CNW2" i="8"/>
  <c r="CNX2" i="8"/>
  <c r="CNY2" i="8"/>
  <c r="CNZ2" i="8"/>
  <c r="COA2" i="8"/>
  <c r="COB2" i="8"/>
  <c r="COC2" i="8"/>
  <c r="COD2" i="8"/>
  <c r="COE2" i="8"/>
  <c r="COF2" i="8"/>
  <c r="COG2" i="8"/>
  <c r="COH2" i="8"/>
  <c r="COI2" i="8"/>
  <c r="COJ2" i="8"/>
  <c r="COK2" i="8"/>
  <c r="COL2" i="8"/>
  <c r="COM2" i="8"/>
  <c r="CON2" i="8"/>
  <c r="COO2" i="8"/>
  <c r="COP2" i="8"/>
  <c r="COQ2" i="8"/>
  <c r="COR2" i="8"/>
  <c r="COS2" i="8"/>
  <c r="COT2" i="8"/>
  <c r="COU2" i="8"/>
  <c r="COV2" i="8"/>
  <c r="COW2" i="8"/>
  <c r="COX2" i="8"/>
  <c r="COY2" i="8"/>
  <c r="COZ2" i="8"/>
  <c r="CPA2" i="8"/>
  <c r="CPB2" i="8"/>
  <c r="CPC2" i="8"/>
  <c r="CPD2" i="8"/>
  <c r="CPE2" i="8"/>
  <c r="CPF2" i="8"/>
  <c r="CPG2" i="8"/>
  <c r="CPH2" i="8"/>
  <c r="CPI2" i="8"/>
  <c r="CPJ2" i="8"/>
  <c r="CPK2" i="8"/>
  <c r="CPL2" i="8"/>
  <c r="CPM2" i="8"/>
  <c r="CPN2" i="8"/>
  <c r="CPO2" i="8"/>
  <c r="CPP2" i="8"/>
  <c r="CPQ2" i="8"/>
  <c r="CPR2" i="8"/>
  <c r="CPS2" i="8"/>
  <c r="CPT2" i="8"/>
  <c r="CPU2" i="8"/>
  <c r="CPV2" i="8"/>
  <c r="CPW2" i="8"/>
  <c r="CPX2" i="8"/>
  <c r="CPY2" i="8"/>
  <c r="CPZ2" i="8"/>
  <c r="CQA2" i="8"/>
  <c r="CQB2" i="8"/>
  <c r="CQC2" i="8"/>
  <c r="CQD2" i="8"/>
  <c r="CQE2" i="8"/>
  <c r="CQF2" i="8"/>
  <c r="CQG2" i="8"/>
  <c r="CQH2" i="8"/>
  <c r="CQI2" i="8"/>
  <c r="CQJ2" i="8"/>
  <c r="CQK2" i="8"/>
  <c r="CQL2" i="8"/>
  <c r="CQM2" i="8"/>
  <c r="CQN2" i="8"/>
  <c r="CQO2" i="8"/>
  <c r="CQP2" i="8"/>
  <c r="CQQ2" i="8"/>
  <c r="CQR2" i="8"/>
  <c r="CQS2" i="8"/>
  <c r="CQT2" i="8"/>
  <c r="CQU2" i="8"/>
  <c r="CQV2" i="8"/>
  <c r="CQW2" i="8"/>
  <c r="CQX2" i="8"/>
  <c r="CQY2" i="8"/>
  <c r="CQZ2" i="8"/>
  <c r="CRA2" i="8"/>
  <c r="CRB2" i="8"/>
  <c r="CRC2" i="8"/>
  <c r="CRD2" i="8"/>
  <c r="CRE2" i="8"/>
  <c r="CRF2" i="8"/>
  <c r="CRG2" i="8"/>
  <c r="CRH2" i="8"/>
  <c r="CRI2" i="8"/>
  <c r="CRJ2" i="8"/>
  <c r="CRK2" i="8"/>
  <c r="CRL2" i="8"/>
  <c r="CRM2" i="8"/>
  <c r="CRN2" i="8"/>
  <c r="CRO2" i="8"/>
  <c r="CRP2" i="8"/>
  <c r="CRQ2" i="8"/>
  <c r="CRR2" i="8"/>
  <c r="CRS2" i="8"/>
  <c r="CRT2" i="8"/>
  <c r="CRU2" i="8"/>
  <c r="CRV2" i="8"/>
  <c r="CRW2" i="8"/>
  <c r="CRX2" i="8"/>
  <c r="CRY2" i="8"/>
  <c r="CRZ2" i="8"/>
  <c r="CSA2" i="8"/>
  <c r="CSB2" i="8"/>
  <c r="CSC2" i="8"/>
  <c r="CSD2" i="8"/>
  <c r="CSE2" i="8"/>
  <c r="CSF2" i="8"/>
  <c r="CSG2" i="8"/>
  <c r="CSH2" i="8"/>
  <c r="CSI2" i="8"/>
  <c r="CSJ2" i="8"/>
  <c r="CSK2" i="8"/>
  <c r="CSL2" i="8"/>
  <c r="CSM2" i="8"/>
  <c r="CSN2" i="8"/>
  <c r="CSO2" i="8"/>
  <c r="CSP2" i="8"/>
  <c r="CSQ2" i="8"/>
  <c r="CSR2" i="8"/>
  <c r="CSS2" i="8"/>
  <c r="CST2" i="8"/>
  <c r="CSU2" i="8"/>
  <c r="CSV2" i="8"/>
  <c r="CSW2" i="8"/>
  <c r="CSX2" i="8"/>
  <c r="CSY2" i="8"/>
  <c r="CSZ2" i="8"/>
  <c r="CTA2" i="8"/>
  <c r="CTB2" i="8"/>
  <c r="CTC2" i="8"/>
  <c r="CTD2" i="8"/>
  <c r="CTE2" i="8"/>
  <c r="CTF2" i="8"/>
  <c r="CTG2" i="8"/>
  <c r="CTH2" i="8"/>
  <c r="CTI2" i="8"/>
  <c r="CTJ2" i="8"/>
  <c r="CTK2" i="8"/>
  <c r="CTL2" i="8"/>
  <c r="CTM2" i="8"/>
  <c r="CTN2" i="8"/>
  <c r="CTO2" i="8"/>
  <c r="CTP2" i="8"/>
  <c r="CTQ2" i="8"/>
  <c r="CTR2" i="8"/>
  <c r="CTS2" i="8"/>
  <c r="CTT2" i="8"/>
  <c r="CTU2" i="8"/>
  <c r="CTV2" i="8"/>
  <c r="CTW2" i="8"/>
  <c r="CTX2" i="8"/>
  <c r="CTY2" i="8"/>
  <c r="CTZ2" i="8"/>
  <c r="CUA2" i="8"/>
  <c r="CUB2" i="8"/>
  <c r="CUC2" i="8"/>
  <c r="CUD2" i="8"/>
  <c r="CUE2" i="8"/>
  <c r="CUF2" i="8"/>
  <c r="CUG2" i="8"/>
  <c r="CUH2" i="8"/>
  <c r="CUI2" i="8"/>
  <c r="CUJ2" i="8"/>
  <c r="CUK2" i="8"/>
  <c r="CUL2" i="8"/>
  <c r="CUM2" i="8"/>
  <c r="CUN2" i="8"/>
  <c r="CUO2" i="8"/>
  <c r="CUP2" i="8"/>
  <c r="CUQ2" i="8"/>
  <c r="CUR2" i="8"/>
  <c r="CUS2" i="8"/>
  <c r="CUT2" i="8"/>
  <c r="CUU2" i="8"/>
  <c r="CUV2" i="8"/>
  <c r="CUW2" i="8"/>
  <c r="CUX2" i="8"/>
  <c r="CUY2" i="8"/>
  <c r="CUZ2" i="8"/>
  <c r="CVA2" i="8"/>
  <c r="CVB2" i="8"/>
  <c r="CVC2" i="8"/>
  <c r="CVD2" i="8"/>
  <c r="CVE2" i="8"/>
  <c r="CVF2" i="8"/>
  <c r="CVG2" i="8"/>
  <c r="CVH2" i="8"/>
  <c r="CVI2" i="8"/>
  <c r="CVJ2" i="8"/>
  <c r="CVK2" i="8"/>
  <c r="CVL2" i="8"/>
  <c r="CVM2" i="8"/>
  <c r="CVN2" i="8"/>
  <c r="CVO2" i="8"/>
  <c r="CVP2" i="8"/>
  <c r="CVQ2" i="8"/>
  <c r="CVR2" i="8"/>
  <c r="CVS2" i="8"/>
  <c r="CVT2" i="8"/>
  <c r="CVU2" i="8"/>
  <c r="CVV2" i="8"/>
  <c r="CVW2" i="8"/>
  <c r="CVX2" i="8"/>
  <c r="CVY2" i="8"/>
  <c r="CVZ2" i="8"/>
  <c r="CWA2" i="8"/>
  <c r="CWB2" i="8"/>
  <c r="CWC2" i="8"/>
  <c r="CWD2" i="8"/>
  <c r="CWE2" i="8"/>
  <c r="CWF2" i="8"/>
  <c r="CWG2" i="8"/>
  <c r="CWH2" i="8"/>
  <c r="CWI2" i="8"/>
  <c r="CWJ2" i="8"/>
  <c r="CWK2" i="8"/>
  <c r="CWL2" i="8"/>
  <c r="CWM2" i="8"/>
  <c r="CWN2" i="8"/>
  <c r="CWO2" i="8"/>
  <c r="CWP2" i="8"/>
  <c r="CWQ2" i="8"/>
  <c r="CWR2" i="8"/>
  <c r="CWS2" i="8"/>
  <c r="CWT2" i="8"/>
  <c r="CWU2" i="8"/>
  <c r="CWV2" i="8"/>
  <c r="CWW2" i="8"/>
  <c r="CWX2" i="8"/>
  <c r="CWY2" i="8"/>
  <c r="CWZ2" i="8"/>
  <c r="CXA2" i="8"/>
  <c r="CXB2" i="8"/>
  <c r="CXC2" i="8"/>
  <c r="CXD2" i="8"/>
  <c r="CXE2" i="8"/>
  <c r="CXF2" i="8"/>
  <c r="CXG2" i="8"/>
  <c r="CXH2" i="8"/>
  <c r="CXI2" i="8"/>
  <c r="CXJ2" i="8"/>
  <c r="CXK2" i="8"/>
  <c r="CXL2" i="8"/>
  <c r="CXM2" i="8"/>
  <c r="CXN2" i="8"/>
  <c r="CXO2" i="8"/>
  <c r="CXP2" i="8"/>
  <c r="CXQ2" i="8"/>
  <c r="CXR2" i="8"/>
  <c r="CXS2" i="8"/>
  <c r="CXT2" i="8"/>
  <c r="CXU2" i="8"/>
  <c r="CXV2" i="8"/>
  <c r="CXW2" i="8"/>
  <c r="CXX2" i="8"/>
  <c r="CXY2" i="8"/>
  <c r="CXZ2" i="8"/>
  <c r="CYA2" i="8"/>
  <c r="CYB2" i="8"/>
  <c r="CYC2" i="8"/>
  <c r="CYD2" i="8"/>
  <c r="CYE2" i="8"/>
  <c r="CYF2" i="8"/>
  <c r="CYG2" i="8"/>
  <c r="CYH2" i="8"/>
  <c r="CYI2" i="8"/>
  <c r="CYJ2" i="8"/>
  <c r="CYK2" i="8"/>
  <c r="CYL2" i="8"/>
  <c r="CYM2" i="8"/>
  <c r="CYN2" i="8"/>
  <c r="CYO2" i="8"/>
  <c r="CYP2" i="8"/>
  <c r="CYQ2" i="8"/>
  <c r="CYR2" i="8"/>
  <c r="CYS2" i="8"/>
  <c r="CYT2" i="8"/>
  <c r="CYU2" i="8"/>
  <c r="CYV2" i="8"/>
  <c r="CYW2" i="8"/>
  <c r="CYX2" i="8"/>
  <c r="CYY2" i="8"/>
  <c r="CYZ2" i="8"/>
  <c r="CZA2" i="8"/>
  <c r="CZB2" i="8"/>
  <c r="CZC2" i="8"/>
  <c r="CZD2" i="8"/>
  <c r="CZE2" i="8"/>
  <c r="CZF2" i="8"/>
  <c r="CZG2" i="8"/>
  <c r="CZH2" i="8"/>
  <c r="CZI2" i="8"/>
  <c r="CZJ2" i="8"/>
  <c r="CZK2" i="8"/>
  <c r="CZL2" i="8"/>
  <c r="CZM2" i="8"/>
  <c r="CZN2" i="8"/>
  <c r="CZO2" i="8"/>
  <c r="CZP2" i="8"/>
  <c r="CZQ2" i="8"/>
  <c r="CZR2" i="8"/>
  <c r="CZS2" i="8"/>
  <c r="CZT2" i="8"/>
  <c r="CZU2" i="8"/>
  <c r="CZV2" i="8"/>
  <c r="CZW2" i="8"/>
  <c r="CZX2" i="8"/>
  <c r="CZY2" i="8"/>
  <c r="CZZ2" i="8"/>
  <c r="DAA2" i="8"/>
  <c r="DAB2" i="8"/>
  <c r="DAC2" i="8"/>
  <c r="DAD2" i="8"/>
  <c r="DAE2" i="8"/>
  <c r="DAF2" i="8"/>
  <c r="DAG2" i="8"/>
  <c r="DAH2" i="8"/>
  <c r="DAI2" i="8"/>
  <c r="DAJ2" i="8"/>
  <c r="DAK2" i="8"/>
  <c r="DAL2" i="8"/>
  <c r="DAM2" i="8"/>
  <c r="DAN2" i="8"/>
  <c r="DAO2" i="8"/>
  <c r="DAP2" i="8"/>
  <c r="DAQ2" i="8"/>
  <c r="DAR2" i="8"/>
  <c r="DAS2" i="8"/>
  <c r="DAT2" i="8"/>
  <c r="DAU2" i="8"/>
  <c r="DAV2" i="8"/>
  <c r="DAW2" i="8"/>
  <c r="DAX2" i="8"/>
  <c r="DAY2" i="8"/>
  <c r="DAZ2" i="8"/>
  <c r="DBA2" i="8"/>
  <c r="DBB2" i="8"/>
  <c r="DBC2" i="8"/>
  <c r="DBD2" i="8"/>
  <c r="DBE2" i="8"/>
  <c r="DBF2" i="8"/>
  <c r="DBG2" i="8"/>
  <c r="DBH2" i="8"/>
  <c r="DBI2" i="8"/>
  <c r="DBJ2" i="8"/>
  <c r="DBK2" i="8"/>
  <c r="DBL2" i="8"/>
  <c r="DBM2" i="8"/>
  <c r="DBN2" i="8"/>
  <c r="DBO2" i="8"/>
  <c r="DBP2" i="8"/>
  <c r="DBQ2" i="8"/>
  <c r="DBR2" i="8"/>
  <c r="DBS2" i="8"/>
  <c r="DBT2" i="8"/>
  <c r="DBU2" i="8"/>
  <c r="DBV2" i="8"/>
  <c r="DBW2" i="8"/>
  <c r="DBX2" i="8"/>
  <c r="DBY2" i="8"/>
  <c r="DBZ2" i="8"/>
  <c r="DCA2" i="8"/>
  <c r="DCB2" i="8"/>
  <c r="DCC2" i="8"/>
  <c r="DCD2" i="8"/>
  <c r="DCE2" i="8"/>
  <c r="DCF2" i="8"/>
  <c r="DCG2" i="8"/>
  <c r="DCH2" i="8"/>
  <c r="DCI2" i="8"/>
  <c r="DCJ2" i="8"/>
  <c r="DCK2" i="8"/>
  <c r="DCL2" i="8"/>
  <c r="DCM2" i="8"/>
  <c r="DCN2" i="8"/>
  <c r="DCO2" i="8"/>
  <c r="DCP2" i="8"/>
  <c r="DCQ2" i="8"/>
  <c r="DCR2" i="8"/>
  <c r="DCS2" i="8"/>
  <c r="DCT2" i="8"/>
  <c r="DCU2" i="8"/>
  <c r="DCV2" i="8"/>
  <c r="DCW2" i="8"/>
  <c r="DCX2" i="8"/>
  <c r="DCY2" i="8"/>
  <c r="DCZ2" i="8"/>
  <c r="DDA2" i="8"/>
  <c r="DDB2" i="8"/>
  <c r="DDC2" i="8"/>
  <c r="DDD2" i="8"/>
  <c r="DDE2" i="8"/>
  <c r="DDF2" i="8"/>
  <c r="DDG2" i="8"/>
  <c r="DDH2" i="8"/>
  <c r="DDI2" i="8"/>
  <c r="DDJ2" i="8"/>
  <c r="DDK2" i="8"/>
  <c r="DDL2" i="8"/>
  <c r="DDM2" i="8"/>
  <c r="DDN2" i="8"/>
  <c r="DDO2" i="8"/>
  <c r="DDP2" i="8"/>
  <c r="DDQ2" i="8"/>
  <c r="DDR2" i="8"/>
  <c r="DDS2" i="8"/>
  <c r="DDT2" i="8"/>
  <c r="DDU2" i="8"/>
  <c r="DDV2" i="8"/>
  <c r="DDW2" i="8"/>
  <c r="DDX2" i="8"/>
  <c r="DDY2" i="8"/>
  <c r="DDZ2" i="8"/>
  <c r="DEA2" i="8"/>
  <c r="DEB2" i="8"/>
  <c r="DEC2" i="8"/>
  <c r="DED2" i="8"/>
  <c r="DEE2" i="8"/>
  <c r="DEF2" i="8"/>
  <c r="DEG2" i="8"/>
  <c r="DEH2" i="8"/>
  <c r="DEI2" i="8"/>
  <c r="DEI3" i="8" s="1"/>
  <c r="DEJ2" i="8"/>
  <c r="DEJ3" i="8" s="1"/>
  <c r="DEK2" i="8"/>
  <c r="DEK3" i="8" s="1"/>
  <c r="DEL2" i="8"/>
  <c r="DEL3" i="8" s="1"/>
  <c r="DEM2" i="8"/>
  <c r="DEM3" i="8" s="1"/>
  <c r="DEN2" i="8"/>
  <c r="DEN3" i="8" s="1"/>
  <c r="DEO2" i="8"/>
  <c r="DEO3" i="8" s="1"/>
  <c r="DEP2" i="8"/>
  <c r="DEP3" i="8" s="1"/>
  <c r="DEQ2" i="8"/>
  <c r="DEQ3" i="8" s="1"/>
  <c r="DER2" i="8"/>
  <c r="DER3" i="8" s="1"/>
  <c r="DES2" i="8"/>
  <c r="DES3" i="8" s="1"/>
  <c r="DET2" i="8"/>
  <c r="DEU2" i="8"/>
  <c r="DEV2" i="8"/>
  <c r="DEW2" i="8"/>
  <c r="DEX2" i="8"/>
  <c r="DEY2" i="8"/>
  <c r="DEZ2" i="8"/>
  <c r="DFA2" i="8"/>
  <c r="DFA3" i="8" s="1"/>
  <c r="DFB2" i="8"/>
  <c r="DFB3" i="8" s="1"/>
  <c r="DFC2" i="8"/>
  <c r="DFC3" i="8" s="1"/>
  <c r="DFD2" i="8"/>
  <c r="DFD3" i="8" s="1"/>
  <c r="DFE2" i="8"/>
  <c r="DFE3" i="8" s="1"/>
  <c r="DFF2" i="8"/>
  <c r="DFF3" i="8" s="1"/>
  <c r="DFG2" i="8"/>
  <c r="DFG3" i="8" s="1"/>
  <c r="DFH2" i="8"/>
  <c r="DFH3" i="8" s="1"/>
  <c r="DFI2" i="8"/>
  <c r="DFI3" i="8" s="1"/>
  <c r="DFJ2" i="8"/>
  <c r="DFK2" i="8"/>
  <c r="DFL2" i="8"/>
  <c r="DFM2" i="8"/>
  <c r="DFM3" i="8" s="1"/>
  <c r="DFN2" i="8"/>
  <c r="DFO2" i="8"/>
  <c r="DFO3" i="8" s="1"/>
  <c r="DFP2" i="8"/>
  <c r="DFP3" i="8" s="1"/>
  <c r="DFQ2" i="8"/>
  <c r="DFQ3" i="8" s="1"/>
  <c r="DFR2" i="8"/>
  <c r="DFR3" i="8" s="1"/>
  <c r="DFS2" i="8"/>
  <c r="DFS3" i="8" s="1"/>
  <c r="DFT2" i="8"/>
  <c r="DFU2" i="8"/>
  <c r="DFU3" i="8" s="1"/>
  <c r="DFV2" i="8"/>
  <c r="DFV3" i="8" s="1"/>
  <c r="DFW2" i="8"/>
  <c r="DFW3" i="8" s="1"/>
  <c r="DFX2" i="8"/>
  <c r="DFX3" i="8" s="1"/>
  <c r="DFY2" i="8"/>
  <c r="DFY3" i="8" s="1"/>
  <c r="DFZ2" i="8"/>
  <c r="DGA2" i="8"/>
  <c r="DGB2" i="8"/>
  <c r="DGC2" i="8"/>
  <c r="DGD2" i="8"/>
  <c r="DGE2" i="8"/>
  <c r="DGE3" i="8" s="1"/>
  <c r="DGF2" i="8"/>
  <c r="DGF3" i="8" s="1"/>
  <c r="DGG2" i="8"/>
  <c r="DGG3" i="8" s="1"/>
  <c r="DGH2" i="8"/>
  <c r="DGH3" i="8" s="1"/>
  <c r="DGI2" i="8"/>
  <c r="DGI3" i="8" s="1"/>
  <c r="DGJ2" i="8"/>
  <c r="DGJ3" i="8" s="1"/>
  <c r="DGK2" i="8"/>
  <c r="DGK3" i="8" s="1"/>
  <c r="DGL2" i="8"/>
  <c r="DGL3" i="8" s="1"/>
  <c r="DGM2" i="8"/>
  <c r="DGM3" i="8" s="1"/>
  <c r="DGN2" i="8"/>
  <c r="DGN3" i="8" s="1"/>
  <c r="DGO2" i="8"/>
  <c r="DGO3" i="8" s="1"/>
  <c r="DGP2" i="8"/>
  <c r="DGQ2" i="8"/>
  <c r="DGR2" i="8"/>
  <c r="DGS2" i="8"/>
  <c r="DGT2" i="8"/>
  <c r="DGU2" i="8"/>
  <c r="DGU3" i="8" s="1"/>
  <c r="DGV2" i="8"/>
  <c r="DGV3" i="8" s="1"/>
  <c r="DGW2" i="8"/>
  <c r="DGW3" i="8" s="1"/>
  <c r="DGX2" i="8"/>
  <c r="DGX3" i="8" s="1"/>
  <c r="DGY2" i="8"/>
  <c r="DGY3" i="8" s="1"/>
  <c r="DGZ2" i="8"/>
  <c r="DGZ3" i="8" s="1"/>
  <c r="DHA2" i="8"/>
  <c r="DHA3" i="8" s="1"/>
  <c r="DHB2" i="8"/>
  <c r="DHB3" i="8" s="1"/>
  <c r="DHC2" i="8"/>
  <c r="DHC3" i="8" s="1"/>
  <c r="DHD2" i="8"/>
  <c r="DHD3" i="8" s="1"/>
  <c r="DHE2" i="8"/>
  <c r="DHE3" i="8" s="1"/>
  <c r="DHF2" i="8"/>
  <c r="DHG2" i="8"/>
  <c r="DHH2" i="8"/>
  <c r="DHI2" i="8"/>
  <c r="DHJ2" i="8"/>
  <c r="DHK2" i="8"/>
  <c r="DHL2" i="8"/>
  <c r="DHM2" i="8"/>
  <c r="DHM3" i="8" s="1"/>
  <c r="DHN2" i="8"/>
  <c r="DHN3" i="8" s="1"/>
  <c r="DHO2" i="8"/>
  <c r="DHO3" i="8" s="1"/>
  <c r="DHP2" i="8"/>
  <c r="DHP3" i="8" s="1"/>
  <c r="DHQ2" i="8"/>
  <c r="DHQ3" i="8" s="1"/>
  <c r="DHR2" i="8"/>
  <c r="DHR3" i="8" s="1"/>
  <c r="DHS2" i="8"/>
  <c r="DHS3" i="8" s="1"/>
  <c r="DHT2" i="8"/>
  <c r="DHT3" i="8" s="1"/>
  <c r="DHU2" i="8"/>
  <c r="DHU3" i="8" s="1"/>
  <c r="DHV2" i="8"/>
  <c r="DHW2" i="8"/>
  <c r="DHX2" i="8"/>
  <c r="DHY2" i="8"/>
  <c r="DHY3" i="8" s="1"/>
  <c r="DHZ2" i="8"/>
  <c r="DIA2" i="8"/>
  <c r="DIA3" i="8" s="1"/>
  <c r="DIB2" i="8"/>
  <c r="DIB3" i="8" s="1"/>
  <c r="DIC2" i="8"/>
  <c r="DIC3" i="8" s="1"/>
  <c r="DID2" i="8"/>
  <c r="DID3" i="8" s="1"/>
  <c r="DIE2" i="8"/>
  <c r="DIE3" i="8" s="1"/>
  <c r="DIF2" i="8"/>
  <c r="DIF3" i="8" s="1"/>
  <c r="DIG2" i="8"/>
  <c r="DIG3" i="8" s="1"/>
  <c r="DIH2" i="8"/>
  <c r="DIH3" i="8" s="1"/>
  <c r="DII2" i="8"/>
  <c r="DII3" i="8" s="1"/>
  <c r="DIJ2" i="8"/>
  <c r="DIJ3" i="8" s="1"/>
  <c r="DIK2" i="8"/>
  <c r="DIK3" i="8" s="1"/>
  <c r="DIL2" i="8"/>
  <c r="DIM2" i="8"/>
  <c r="DIN2" i="8"/>
  <c r="DIO2" i="8"/>
  <c r="DIP2" i="8"/>
  <c r="DIQ2" i="8"/>
  <c r="DIR2" i="8"/>
  <c r="DIS2" i="8"/>
  <c r="DIT2" i="8"/>
  <c r="DIU2" i="8"/>
  <c r="DIV2" i="8"/>
  <c r="DIW2" i="8"/>
  <c r="DIX2" i="8"/>
  <c r="DIY2" i="8"/>
  <c r="DIZ2" i="8"/>
  <c r="DJA2" i="8"/>
  <c r="DJB2" i="8"/>
  <c r="DJC2" i="8"/>
  <c r="DJD2" i="8"/>
  <c r="DJE2" i="8"/>
  <c r="DJF2" i="8"/>
  <c r="DJG2" i="8"/>
  <c r="DJH2" i="8"/>
  <c r="DJI2" i="8"/>
  <c r="DJJ2" i="8"/>
  <c r="DJK2" i="8"/>
  <c r="DJL2" i="8"/>
  <c r="DJM2" i="8"/>
  <c r="DJN2" i="8"/>
  <c r="DJO2" i="8"/>
  <c r="DJP2" i="8"/>
  <c r="DJQ2" i="8"/>
  <c r="DJR2" i="8"/>
  <c r="DJS2" i="8"/>
  <c r="DJT2" i="8"/>
  <c r="DJU2" i="8"/>
  <c r="DJV2" i="8"/>
  <c r="DJW2" i="8"/>
  <c r="DJX2" i="8"/>
  <c r="DJY2" i="8"/>
  <c r="DJZ2" i="8"/>
  <c r="DKA2" i="8"/>
  <c r="DKB2" i="8"/>
  <c r="DKC2" i="8"/>
  <c r="DKD2" i="8"/>
  <c r="DKE2" i="8"/>
  <c r="DKF2" i="8"/>
  <c r="DKG2" i="8"/>
  <c r="DKH2" i="8"/>
  <c r="DKI2" i="8"/>
  <c r="DKJ2" i="8"/>
  <c r="DKK2" i="8"/>
  <c r="DKL2" i="8"/>
  <c r="DKM2" i="8"/>
  <c r="DKN2" i="8"/>
  <c r="DKO2" i="8"/>
  <c r="DKP2" i="8"/>
  <c r="DKQ2" i="8"/>
  <c r="DKR2" i="8"/>
  <c r="DKS2" i="8"/>
  <c r="DKT2" i="8"/>
  <c r="DKU2" i="8"/>
  <c r="DKV2" i="8"/>
  <c r="DKW2" i="8"/>
  <c r="DKX2" i="8"/>
  <c r="DKY2" i="8"/>
  <c r="DKZ2" i="8"/>
  <c r="DLA2" i="8"/>
  <c r="DLB2" i="8"/>
  <c r="DLC2" i="8"/>
  <c r="DLD2" i="8"/>
  <c r="DLE2" i="8"/>
  <c r="DLF2" i="8"/>
  <c r="DLG2" i="8"/>
  <c r="DLH2" i="8"/>
  <c r="DLI2" i="8"/>
  <c r="DLJ2" i="8"/>
  <c r="DLK2" i="8"/>
  <c r="DLL2" i="8"/>
  <c r="DLM2" i="8"/>
  <c r="DLN2" i="8"/>
  <c r="DLO2" i="8"/>
  <c r="DLP2" i="8"/>
  <c r="DLQ2" i="8"/>
  <c r="DLR2" i="8"/>
  <c r="DLS2" i="8"/>
  <c r="DLT2" i="8"/>
  <c r="DLU2" i="8"/>
  <c r="DLV2" i="8"/>
  <c r="DLW2" i="8"/>
  <c r="DLX2" i="8"/>
  <c r="DLY2" i="8"/>
  <c r="DLZ2" i="8"/>
  <c r="DMA2" i="8"/>
  <c r="DMB2" i="8"/>
  <c r="DMC2" i="8"/>
  <c r="DMD2" i="8"/>
  <c r="DME2" i="8"/>
  <c r="DMF2" i="8"/>
  <c r="DMG2" i="8"/>
  <c r="DMH2" i="8"/>
  <c r="DMI2" i="8"/>
  <c r="DMJ2" i="8"/>
  <c r="DMK2" i="8"/>
  <c r="DML2" i="8"/>
  <c r="DMM2" i="8"/>
  <c r="DMN2" i="8"/>
  <c r="DMO2" i="8"/>
  <c r="DMP2" i="8"/>
  <c r="DMQ2" i="8"/>
  <c r="DMR2" i="8"/>
  <c r="DMS2" i="8"/>
  <c r="DMT2" i="8"/>
  <c r="DMU2" i="8"/>
  <c r="DMV2" i="8"/>
  <c r="DMW2" i="8"/>
  <c r="DMX2" i="8"/>
  <c r="DMY2" i="8"/>
  <c r="DMZ2" i="8"/>
  <c r="DNA2" i="8"/>
  <c r="DNB2" i="8"/>
  <c r="DNC2" i="8"/>
  <c r="DND2" i="8"/>
  <c r="DNE2" i="8"/>
  <c r="DNF2" i="8"/>
  <c r="DNG2" i="8"/>
  <c r="DNH2" i="8"/>
  <c r="DNI2" i="8"/>
  <c r="DNJ2" i="8"/>
  <c r="DNK2" i="8"/>
  <c r="DNL2" i="8"/>
  <c r="DNM2" i="8"/>
  <c r="DNN2" i="8"/>
  <c r="DNO2" i="8"/>
  <c r="DNP2" i="8"/>
  <c r="DNQ2" i="8"/>
  <c r="DNR2" i="8"/>
  <c r="DNS2" i="8"/>
  <c r="DNT2" i="8"/>
  <c r="DNU2" i="8"/>
  <c r="DNV2" i="8"/>
  <c r="DNW2" i="8"/>
  <c r="DNX2" i="8"/>
  <c r="DNY2" i="8"/>
  <c r="DNZ2" i="8"/>
  <c r="DOA2" i="8"/>
  <c r="DOB2" i="8"/>
  <c r="DOC2" i="8"/>
  <c r="DOD2" i="8"/>
  <c r="DOE2" i="8"/>
  <c r="DOF2" i="8"/>
  <c r="DOG2" i="8"/>
  <c r="DOH2" i="8"/>
  <c r="DOI2" i="8"/>
  <c r="DOJ2" i="8"/>
  <c r="DOK2" i="8"/>
  <c r="DOL2" i="8"/>
  <c r="DOM2" i="8"/>
  <c r="DON2" i="8"/>
  <c r="DOO2" i="8"/>
  <c r="DOP2" i="8"/>
  <c r="DOQ2" i="8"/>
  <c r="DOR2" i="8"/>
  <c r="DOS2" i="8"/>
  <c r="DOT2" i="8"/>
  <c r="DOU2" i="8"/>
  <c r="DOV2" i="8"/>
  <c r="DOW2" i="8"/>
  <c r="DOX2" i="8"/>
  <c r="DOY2" i="8"/>
  <c r="DOZ2" i="8"/>
  <c r="DPA2" i="8"/>
  <c r="DPB2" i="8"/>
  <c r="DPC2" i="8"/>
  <c r="DPD2" i="8"/>
  <c r="DPE2" i="8"/>
  <c r="DPF2" i="8"/>
  <c r="DPG2" i="8"/>
  <c r="DPH2" i="8"/>
  <c r="DPI2" i="8"/>
  <c r="DPJ2" i="8"/>
  <c r="DPK2" i="8"/>
  <c r="DPL2" i="8"/>
  <c r="DPM2" i="8"/>
  <c r="DPN2" i="8"/>
  <c r="DPO2" i="8"/>
  <c r="DPP2" i="8"/>
  <c r="DPQ2" i="8"/>
  <c r="DPR2" i="8"/>
  <c r="DPS2" i="8"/>
  <c r="DPT2" i="8"/>
  <c r="DPU2" i="8"/>
  <c r="DPV2" i="8"/>
  <c r="DPW2" i="8"/>
  <c r="DPX2" i="8"/>
  <c r="DPY2" i="8"/>
  <c r="DPZ2" i="8"/>
  <c r="DQA2" i="8"/>
  <c r="DQB2" i="8"/>
  <c r="DQC2" i="8"/>
  <c r="DQD2" i="8"/>
  <c r="DQE2" i="8"/>
  <c r="DQF2" i="8"/>
  <c r="DQG2" i="8"/>
  <c r="DQH2" i="8"/>
  <c r="DQI2" i="8"/>
  <c r="DQJ2" i="8"/>
  <c r="DQK2" i="8"/>
  <c r="DQL2" i="8"/>
  <c r="DQM2" i="8"/>
  <c r="DQN2" i="8"/>
  <c r="DQO2" i="8"/>
  <c r="DQP2" i="8"/>
  <c r="DQQ2" i="8"/>
  <c r="DQR2" i="8"/>
  <c r="DQS2" i="8"/>
  <c r="DQT2" i="8"/>
  <c r="DQU2" i="8"/>
  <c r="DQV2" i="8"/>
  <c r="DQW2" i="8"/>
  <c r="DQX2" i="8"/>
  <c r="DQY2" i="8"/>
  <c r="DQZ2" i="8"/>
  <c r="DRA2" i="8"/>
  <c r="DRB2" i="8"/>
  <c r="DRC2" i="8"/>
  <c r="DRD2" i="8"/>
  <c r="DRE2" i="8"/>
  <c r="DRF2" i="8"/>
  <c r="DRG2" i="8"/>
  <c r="DRH2" i="8"/>
  <c r="DRI2" i="8"/>
  <c r="DRJ2" i="8"/>
  <c r="DRK2" i="8"/>
  <c r="DRL2" i="8"/>
  <c r="DRM2" i="8"/>
  <c r="DRN2" i="8"/>
  <c r="DRO2" i="8"/>
  <c r="DRP2" i="8"/>
  <c r="DRQ2" i="8"/>
  <c r="DRR2" i="8"/>
  <c r="DRS2" i="8"/>
  <c r="DRT2" i="8"/>
  <c r="DRU2" i="8"/>
  <c r="DRV2" i="8"/>
  <c r="DRW2" i="8"/>
  <c r="DRX2" i="8"/>
  <c r="DRY2" i="8"/>
  <c r="DRZ2" i="8"/>
  <c r="DSA2" i="8"/>
  <c r="DSB2" i="8"/>
  <c r="DSC2" i="8"/>
  <c r="DSD2" i="8"/>
  <c r="DSE2" i="8"/>
  <c r="DSF2" i="8"/>
  <c r="DSG2" i="8"/>
  <c r="DSH2" i="8"/>
  <c r="DSI2" i="8"/>
  <c r="DSJ2" i="8"/>
  <c r="DSK2" i="8"/>
  <c r="DSL2" i="8"/>
  <c r="DSM2" i="8"/>
  <c r="DSN2" i="8"/>
  <c r="DSO2" i="8"/>
  <c r="DSP2" i="8"/>
  <c r="DSQ2" i="8"/>
  <c r="DSR2" i="8"/>
  <c r="DSS2" i="8"/>
  <c r="DST2" i="8"/>
  <c r="DSU2" i="8"/>
  <c r="DSV2" i="8"/>
  <c r="DSW2" i="8"/>
  <c r="DSX2" i="8"/>
  <c r="DSY2" i="8"/>
  <c r="DSZ2" i="8"/>
  <c r="DTA2" i="8"/>
  <c r="DTB2" i="8"/>
  <c r="DTC2" i="8"/>
  <c r="DTD2" i="8"/>
  <c r="DTE2" i="8"/>
  <c r="DTF2" i="8"/>
  <c r="DTG2" i="8"/>
  <c r="DTH2" i="8"/>
  <c r="DTI2" i="8"/>
  <c r="DTJ2" i="8"/>
  <c r="DTK2" i="8"/>
  <c r="DTL2" i="8"/>
  <c r="DTM2" i="8"/>
  <c r="DTN2" i="8"/>
  <c r="DTO2" i="8"/>
  <c r="DTP2" i="8"/>
  <c r="DTQ2" i="8"/>
  <c r="DTR2" i="8"/>
  <c r="DTS2" i="8"/>
  <c r="DTT2" i="8"/>
  <c r="DTU2" i="8"/>
  <c r="DTV2" i="8"/>
  <c r="DTW2" i="8"/>
  <c r="DTX2" i="8"/>
  <c r="DTY2" i="8"/>
  <c r="DTZ2" i="8"/>
  <c r="DUA2" i="8"/>
  <c r="DUB2" i="8"/>
  <c r="DUC2" i="8"/>
  <c r="DUD2" i="8"/>
  <c r="DUE2" i="8"/>
  <c r="DUF2" i="8"/>
  <c r="DUG2" i="8"/>
  <c r="DUH2" i="8"/>
  <c r="DUI2" i="8"/>
  <c r="DUJ2" i="8"/>
  <c r="DUK2" i="8"/>
  <c r="DUL2" i="8"/>
  <c r="DUM2" i="8"/>
  <c r="DUN2" i="8"/>
  <c r="DUO2" i="8"/>
  <c r="DUP2" i="8"/>
  <c r="DUQ2" i="8"/>
  <c r="DUR2" i="8"/>
  <c r="DUS2" i="8"/>
  <c r="DUT2" i="8"/>
  <c r="DUU2" i="8"/>
  <c r="DUV2" i="8"/>
  <c r="DUW2" i="8"/>
  <c r="DUX2" i="8"/>
  <c r="DUY2" i="8"/>
  <c r="DUZ2" i="8"/>
  <c r="DVA2" i="8"/>
  <c r="DVB2" i="8"/>
  <c r="DVC2" i="8"/>
  <c r="DVD2" i="8"/>
  <c r="DVE2" i="8"/>
  <c r="DVF2" i="8"/>
  <c r="DVG2" i="8"/>
  <c r="DVH2" i="8"/>
  <c r="DVI2" i="8"/>
  <c r="DVJ2" i="8"/>
  <c r="DVK2" i="8"/>
  <c r="DVL2" i="8"/>
  <c r="DVM2" i="8"/>
  <c r="DVN2" i="8"/>
  <c r="DVO2" i="8"/>
  <c r="DVP2" i="8"/>
  <c r="DVQ2" i="8"/>
  <c r="DVR2" i="8"/>
  <c r="DVS2" i="8"/>
  <c r="DVT2" i="8"/>
  <c r="DVU2" i="8"/>
  <c r="DVV2" i="8"/>
  <c r="DVW2" i="8"/>
  <c r="DVX2" i="8"/>
  <c r="DVY2" i="8"/>
  <c r="DVZ2" i="8"/>
  <c r="DWA2" i="8"/>
  <c r="DWB2" i="8"/>
  <c r="DWC2" i="8"/>
  <c r="DWD2" i="8"/>
  <c r="DWE2" i="8"/>
  <c r="DWF2" i="8"/>
  <c r="DWG2" i="8"/>
  <c r="DWH2" i="8"/>
  <c r="DWI2" i="8"/>
  <c r="DWJ2" i="8"/>
  <c r="DWK2" i="8"/>
  <c r="DWL2" i="8"/>
  <c r="DWM2" i="8"/>
  <c r="DWN2" i="8"/>
  <c r="DWO2" i="8"/>
  <c r="DWP2" i="8"/>
  <c r="DWQ2" i="8"/>
  <c r="DWR2" i="8"/>
  <c r="DWS2" i="8"/>
  <c r="DWT2" i="8"/>
  <c r="DWU2" i="8"/>
  <c r="DWV2" i="8"/>
  <c r="DWW2" i="8"/>
  <c r="DWX2" i="8"/>
  <c r="DWY2" i="8"/>
  <c r="DWZ2" i="8"/>
  <c r="DXA2" i="8"/>
  <c r="DXB2" i="8"/>
  <c r="DXC2" i="8"/>
  <c r="DXD2" i="8"/>
  <c r="DXE2" i="8"/>
  <c r="DXF2" i="8"/>
  <c r="DXG2" i="8"/>
  <c r="DXH2" i="8"/>
  <c r="DXI2" i="8"/>
  <c r="DXJ2" i="8"/>
  <c r="DXK2" i="8"/>
  <c r="DXL2" i="8"/>
  <c r="DXM2" i="8"/>
  <c r="DXN2" i="8"/>
  <c r="DXO2" i="8"/>
  <c r="DXP2" i="8"/>
  <c r="DXQ2" i="8"/>
  <c r="DXR2" i="8"/>
  <c r="DXS2" i="8"/>
  <c r="DXT2" i="8"/>
  <c r="DXU2" i="8"/>
  <c r="DXV2" i="8"/>
  <c r="DXW2" i="8"/>
  <c r="DXX2" i="8"/>
  <c r="DXY2" i="8"/>
  <c r="DXZ2" i="8"/>
  <c r="DYA2" i="8"/>
  <c r="DYB2" i="8"/>
  <c r="DYC2" i="8"/>
  <c r="DYD2" i="8"/>
  <c r="DYE2" i="8"/>
  <c r="DYF2" i="8"/>
  <c r="DYG2" i="8"/>
  <c r="DYH2" i="8"/>
  <c r="DYI2" i="8"/>
  <c r="DYJ2" i="8"/>
  <c r="DYK2" i="8"/>
  <c r="DYL2" i="8"/>
  <c r="DYM2" i="8"/>
  <c r="DYN2" i="8"/>
  <c r="DYO2" i="8"/>
  <c r="DYP2" i="8"/>
  <c r="DYQ2" i="8"/>
  <c r="DYR2" i="8"/>
  <c r="DYS2" i="8"/>
  <c r="DYT2" i="8"/>
  <c r="DYU2" i="8"/>
  <c r="DYV2" i="8"/>
  <c r="DYW2" i="8"/>
  <c r="DYX2" i="8"/>
  <c r="DYY2" i="8"/>
  <c r="DYZ2" i="8"/>
  <c r="DZA2" i="8"/>
  <c r="DZB2" i="8"/>
  <c r="DZC2" i="8"/>
  <c r="DZD2" i="8"/>
  <c r="DZE2" i="8"/>
  <c r="DZF2" i="8"/>
  <c r="DZG2" i="8"/>
  <c r="DZH2" i="8"/>
  <c r="DZI2" i="8"/>
  <c r="DZJ2" i="8"/>
  <c r="DZK2" i="8"/>
  <c r="DZL2" i="8"/>
  <c r="DZM2" i="8"/>
  <c r="DZN2" i="8"/>
  <c r="DZO2" i="8"/>
  <c r="DZP2" i="8"/>
  <c r="DZQ2" i="8"/>
  <c r="DZR2" i="8"/>
  <c r="DZS2" i="8"/>
  <c r="DZT2" i="8"/>
  <c r="DZU2" i="8"/>
  <c r="DZV2" i="8"/>
  <c r="DZW2" i="8"/>
  <c r="DZX2" i="8"/>
  <c r="DZY2" i="8"/>
  <c r="DZZ2" i="8"/>
  <c r="EAA2" i="8"/>
  <c r="EAB2" i="8"/>
  <c r="EAC2" i="8"/>
  <c r="EAD2" i="8"/>
  <c r="EAE2" i="8"/>
  <c r="EAF2" i="8"/>
  <c r="EAG2" i="8"/>
  <c r="EAH2" i="8"/>
  <c r="EAI2" i="8"/>
  <c r="EAJ2" i="8"/>
  <c r="EAK2" i="8"/>
  <c r="EAL2" i="8"/>
  <c r="EAM2" i="8"/>
  <c r="EAN2" i="8"/>
  <c r="EAO2" i="8"/>
  <c r="EAP2" i="8"/>
  <c r="EAQ2" i="8"/>
  <c r="EAR2" i="8"/>
  <c r="EAS2" i="8"/>
  <c r="EAT2" i="8"/>
  <c r="EAU2" i="8"/>
  <c r="EAV2" i="8"/>
  <c r="EAW2" i="8"/>
  <c r="EAX2" i="8"/>
  <c r="EAY2" i="8"/>
  <c r="EAZ2" i="8"/>
  <c r="EBA2" i="8"/>
  <c r="EBB2" i="8"/>
  <c r="EBC2" i="8"/>
  <c r="EBD2" i="8"/>
  <c r="EBE2" i="8"/>
  <c r="EBF2" i="8"/>
  <c r="EBG2" i="8"/>
  <c r="EBH2" i="8"/>
  <c r="EBI2" i="8"/>
  <c r="EBJ2" i="8"/>
  <c r="EBK2" i="8"/>
  <c r="EBL2" i="8"/>
  <c r="EBM2" i="8"/>
  <c r="EBN2" i="8"/>
  <c r="EBO2" i="8"/>
  <c r="EBP2" i="8"/>
  <c r="EBQ2" i="8"/>
  <c r="EBR2" i="8"/>
  <c r="EBS2" i="8"/>
  <c r="EBT2" i="8"/>
  <c r="EBU2" i="8"/>
  <c r="EBV2" i="8"/>
  <c r="EBW2" i="8"/>
  <c r="EBX2" i="8"/>
  <c r="EBY2" i="8"/>
  <c r="EBZ2" i="8"/>
  <c r="ECA2" i="8"/>
  <c r="ECB2" i="8"/>
  <c r="ECC2" i="8"/>
  <c r="ECD2" i="8"/>
  <c r="ECE2" i="8"/>
  <c r="ECF2" i="8"/>
  <c r="ECG2" i="8"/>
  <c r="ECH2" i="8"/>
  <c r="ECI2" i="8"/>
  <c r="ECJ2" i="8"/>
  <c r="ECK2" i="8"/>
  <c r="ECL2" i="8"/>
  <c r="ECM2" i="8"/>
  <c r="ECN2" i="8"/>
  <c r="ECO2" i="8"/>
  <c r="ECP2" i="8"/>
  <c r="ECQ2" i="8"/>
  <c r="ECR2" i="8"/>
  <c r="ECS2" i="8"/>
  <c r="ECT2" i="8"/>
  <c r="ECU2" i="8"/>
  <c r="ECV2" i="8"/>
  <c r="ECW2" i="8"/>
  <c r="ECX2" i="8"/>
  <c r="ECY2" i="8"/>
  <c r="ECZ2" i="8"/>
  <c r="EDA2" i="8"/>
  <c r="EDB2" i="8"/>
  <c r="EDC2" i="8"/>
  <c r="EDD2" i="8"/>
  <c r="EDE2" i="8"/>
  <c r="EDF2" i="8"/>
  <c r="EDG2" i="8"/>
  <c r="EDH2" i="8"/>
  <c r="EDI2" i="8"/>
  <c r="EDJ2" i="8"/>
  <c r="EDK2" i="8"/>
  <c r="EDL2" i="8"/>
  <c r="EDM2" i="8"/>
  <c r="EDN2" i="8"/>
  <c r="EDO2" i="8"/>
  <c r="EDP2" i="8"/>
  <c r="EDQ2" i="8"/>
  <c r="EDR2" i="8"/>
  <c r="EDS2" i="8"/>
  <c r="EDT2" i="8"/>
  <c r="EDU2" i="8"/>
  <c r="EDV2" i="8"/>
  <c r="EDW2" i="8"/>
  <c r="EDX2" i="8"/>
  <c r="EDY2" i="8"/>
  <c r="EDZ2" i="8"/>
  <c r="EEA2" i="8"/>
  <c r="EEB2" i="8"/>
  <c r="EEC2" i="8"/>
  <c r="EED2" i="8"/>
  <c r="EEE2" i="8"/>
  <c r="EEF2" i="8"/>
  <c r="EEG2" i="8"/>
  <c r="EEH2" i="8"/>
  <c r="EEI2" i="8"/>
  <c r="EEJ2" i="8"/>
  <c r="EEK2" i="8"/>
  <c r="EEL2" i="8"/>
  <c r="EEM2" i="8"/>
  <c r="EEN2" i="8"/>
  <c r="EEO2" i="8"/>
  <c r="EEP2" i="8"/>
  <c r="EEQ2" i="8"/>
  <c r="EER2" i="8"/>
  <c r="EES2" i="8"/>
  <c r="EET2" i="8"/>
  <c r="EEU2" i="8"/>
  <c r="EEV2" i="8"/>
  <c r="EEW2" i="8"/>
  <c r="EEX2" i="8"/>
  <c r="EEY2" i="8"/>
  <c r="EEZ2" i="8"/>
  <c r="EFA2" i="8"/>
  <c r="EFB2" i="8"/>
  <c r="EFC2" i="8"/>
  <c r="EFD2" i="8"/>
  <c r="EFE2" i="8"/>
  <c r="EFF2" i="8"/>
  <c r="EFG2" i="8"/>
  <c r="EFH2" i="8"/>
  <c r="EFI2" i="8"/>
  <c r="EFJ2" i="8"/>
  <c r="EFK2" i="8"/>
  <c r="EFL2" i="8"/>
  <c r="EFM2" i="8"/>
  <c r="EFN2" i="8"/>
  <c r="EFO2" i="8"/>
  <c r="EFP2" i="8"/>
  <c r="EFQ2" i="8"/>
  <c r="EFR2" i="8"/>
  <c r="EFS2" i="8"/>
  <c r="EFT2" i="8"/>
  <c r="EFU2" i="8"/>
  <c r="EFV2" i="8"/>
  <c r="EFW2" i="8"/>
  <c r="EFX2" i="8"/>
  <c r="EFY2" i="8"/>
  <c r="EFZ2" i="8"/>
  <c r="EGA2" i="8"/>
  <c r="EGB2" i="8"/>
  <c r="EGC2" i="8"/>
  <c r="EGD2" i="8"/>
  <c r="EGE2" i="8"/>
  <c r="EGF2" i="8"/>
  <c r="EGG2" i="8"/>
  <c r="EGH2" i="8"/>
  <c r="EGI2" i="8"/>
  <c r="EGJ2" i="8"/>
  <c r="EGK2" i="8"/>
  <c r="EGL2" i="8"/>
  <c r="EGM2" i="8"/>
  <c r="EGN2" i="8"/>
  <c r="EGO2" i="8"/>
  <c r="EGP2" i="8"/>
  <c r="EGQ2" i="8"/>
  <c r="EGR2" i="8"/>
  <c r="EGS2" i="8"/>
  <c r="EGT2" i="8"/>
  <c r="EGU2" i="8"/>
  <c r="EGV2" i="8"/>
  <c r="EGW2" i="8"/>
  <c r="EGX2" i="8"/>
  <c r="EGY2" i="8"/>
  <c r="EGZ2" i="8"/>
  <c r="EHA2" i="8"/>
  <c r="EHB2" i="8"/>
  <c r="EHC2" i="8"/>
  <c r="EHD2" i="8"/>
  <c r="EHE2" i="8"/>
  <c r="EHF2" i="8"/>
  <c r="EHG2" i="8"/>
  <c r="EHH2" i="8"/>
  <c r="EHI2" i="8"/>
  <c r="EHJ2" i="8"/>
  <c r="EHK2" i="8"/>
  <c r="EHL2" i="8"/>
  <c r="EHM2" i="8"/>
  <c r="EHN2" i="8"/>
  <c r="EHO2" i="8"/>
  <c r="EHP2" i="8"/>
  <c r="EHQ2" i="8"/>
  <c r="EHR2" i="8"/>
  <c r="EHS2" i="8"/>
  <c r="EHT2" i="8"/>
  <c r="EHU2" i="8"/>
  <c r="EHV2" i="8"/>
  <c r="EHW2" i="8"/>
  <c r="EHX2" i="8"/>
  <c r="EHY2" i="8"/>
  <c r="EHZ2" i="8"/>
  <c r="EIA2" i="8"/>
  <c r="EIB2" i="8"/>
  <c r="EIC2" i="8"/>
  <c r="EID2" i="8"/>
  <c r="EIE2" i="8"/>
  <c r="EIF2" i="8"/>
  <c r="EIG2" i="8"/>
  <c r="EIH2" i="8"/>
  <c r="EII2" i="8"/>
  <c r="EIJ2" i="8"/>
  <c r="EIK2" i="8"/>
  <c r="EIL2" i="8"/>
  <c r="EIM2" i="8"/>
  <c r="EIN2" i="8"/>
  <c r="EIO2" i="8"/>
  <c r="EIP2" i="8"/>
  <c r="EIQ2" i="8"/>
  <c r="EIR2" i="8"/>
  <c r="EIS2" i="8"/>
  <c r="EIT2" i="8"/>
  <c r="EIU2" i="8"/>
  <c r="EIV2" i="8"/>
  <c r="EIW2" i="8"/>
  <c r="EIX2" i="8"/>
  <c r="EIY2" i="8"/>
  <c r="EIZ2" i="8"/>
  <c r="EJA2" i="8"/>
  <c r="EJB2" i="8"/>
  <c r="EJC2" i="8"/>
  <c r="EJD2" i="8"/>
  <c r="EJE2" i="8"/>
  <c r="EJF2" i="8"/>
  <c r="EJG2" i="8"/>
  <c r="EJH2" i="8"/>
  <c r="EJI2" i="8"/>
  <c r="EJJ2" i="8"/>
  <c r="EJK2" i="8"/>
  <c r="EJL2" i="8"/>
  <c r="EJM2" i="8"/>
  <c r="EJN2" i="8"/>
  <c r="EJO2" i="8"/>
  <c r="EJP2" i="8"/>
  <c r="EJQ2" i="8"/>
  <c r="EJR2" i="8"/>
  <c r="EJS2" i="8"/>
  <c r="EJT2" i="8"/>
  <c r="EJU2" i="8"/>
  <c r="EJV2" i="8"/>
  <c r="EJW2" i="8"/>
  <c r="EJX2" i="8"/>
  <c r="EJY2" i="8"/>
  <c r="EJZ2" i="8"/>
  <c r="EKA2" i="8"/>
  <c r="EKB2" i="8"/>
  <c r="EKC2" i="8"/>
  <c r="EKD2" i="8"/>
  <c r="EKE2" i="8"/>
  <c r="EKF2" i="8"/>
  <c r="EKG2" i="8"/>
  <c r="EKH2" i="8"/>
  <c r="EKI2" i="8"/>
  <c r="EKJ2" i="8"/>
  <c r="EKK2" i="8"/>
  <c r="EKL2" i="8"/>
  <c r="EKM2" i="8"/>
  <c r="EKN2" i="8"/>
  <c r="EKO2" i="8"/>
  <c r="EKP2" i="8"/>
  <c r="EKQ2" i="8"/>
  <c r="EKR2" i="8"/>
  <c r="EKS2" i="8"/>
  <c r="EKT2" i="8"/>
  <c r="EKU2" i="8"/>
  <c r="EKV2" i="8"/>
  <c r="EKW2" i="8"/>
  <c r="EKX2" i="8"/>
  <c r="EKY2" i="8"/>
  <c r="EKZ2" i="8"/>
  <c r="ELA2" i="8"/>
  <c r="ELB2" i="8"/>
  <c r="ELC2" i="8"/>
  <c r="ELD2" i="8"/>
  <c r="ELE2" i="8"/>
  <c r="ELF2" i="8"/>
  <c r="ELG2" i="8"/>
  <c r="ELH2" i="8"/>
  <c r="ELI2" i="8"/>
  <c r="ELJ2" i="8"/>
  <c r="ELK2" i="8"/>
  <c r="ELL2" i="8"/>
  <c r="ELM2" i="8"/>
  <c r="ELN2" i="8"/>
  <c r="ELO2" i="8"/>
  <c r="ELP2" i="8"/>
  <c r="ELQ2" i="8"/>
  <c r="ELR2" i="8"/>
  <c r="ELS2" i="8"/>
  <c r="ELT2" i="8"/>
  <c r="ELU2" i="8"/>
  <c r="ELV2" i="8"/>
  <c r="ELW2" i="8"/>
  <c r="ELX2" i="8"/>
  <c r="ELY2" i="8"/>
  <c r="ELZ2" i="8"/>
  <c r="EMA2" i="8"/>
  <c r="EMB2" i="8"/>
  <c r="EMC2" i="8"/>
  <c r="EMD2" i="8"/>
  <c r="EME2" i="8"/>
  <c r="EMF2" i="8"/>
  <c r="EMG2" i="8"/>
  <c r="EMH2" i="8"/>
  <c r="EMI2" i="8"/>
  <c r="EMJ2" i="8"/>
  <c r="EMK2" i="8"/>
  <c r="EML2" i="8"/>
  <c r="EMM2" i="8"/>
  <c r="EMN2" i="8"/>
  <c r="EMO2" i="8"/>
  <c r="EMP2" i="8"/>
  <c r="EMQ2" i="8"/>
  <c r="EMR2" i="8"/>
  <c r="EMS2" i="8"/>
  <c r="EMT2" i="8"/>
  <c r="EMU2" i="8"/>
  <c r="EMV2" i="8"/>
  <c r="EMW2" i="8"/>
  <c r="EMX2" i="8"/>
  <c r="EMY2" i="8"/>
  <c r="EMZ2" i="8"/>
  <c r="ENA2" i="8"/>
  <c r="ENB2" i="8"/>
  <c r="ENC2" i="8"/>
  <c r="END2" i="8"/>
  <c r="ENE2" i="8"/>
  <c r="ENF2" i="8"/>
  <c r="ENG2" i="8"/>
  <c r="ENH2" i="8"/>
  <c r="ENI2" i="8"/>
  <c r="ENJ2" i="8"/>
  <c r="ENK2" i="8"/>
  <c r="ENL2" i="8"/>
  <c r="ENM2" i="8"/>
  <c r="ENN2" i="8"/>
  <c r="ENO2" i="8"/>
  <c r="ENP2" i="8"/>
  <c r="ENQ2" i="8"/>
  <c r="ENR2" i="8"/>
  <c r="ENS2" i="8"/>
  <c r="ENT2" i="8"/>
  <c r="ENU2" i="8"/>
  <c r="ENV2" i="8"/>
  <c r="ENW2" i="8"/>
  <c r="ENX2" i="8"/>
  <c r="ENY2" i="8"/>
  <c r="ENZ2" i="8"/>
  <c r="EOA2" i="8"/>
  <c r="EOB2" i="8"/>
  <c r="EOC2" i="8"/>
  <c r="EOD2" i="8"/>
  <c r="EOE2" i="8"/>
  <c r="EOF2" i="8"/>
  <c r="EOG2" i="8"/>
  <c r="EOH2" i="8"/>
  <c r="EOI2" i="8"/>
  <c r="EOJ2" i="8"/>
  <c r="EOK2" i="8"/>
  <c r="EOL2" i="8"/>
  <c r="EOM2" i="8"/>
  <c r="EON2" i="8"/>
  <c r="E3" i="8"/>
  <c r="F3" i="8"/>
  <c r="AJN3" i="8"/>
  <c r="AJO3" i="8"/>
  <c r="AJP3" i="8"/>
  <c r="BTX3" i="8"/>
  <c r="BTY3" i="8"/>
  <c r="DEG3" i="8"/>
  <c r="DEH3" i="8"/>
  <c r="DET3" i="8"/>
  <c r="DEU3" i="8"/>
  <c r="DEV3" i="8"/>
  <c r="DEW3" i="8"/>
  <c r="DEX3" i="8"/>
  <c r="DEY3" i="8"/>
  <c r="DEZ3" i="8"/>
  <c r="DFJ3" i="8"/>
  <c r="DFK3" i="8"/>
  <c r="DFL3" i="8"/>
  <c r="DFN3" i="8"/>
  <c r="DFT3" i="8"/>
  <c r="DFZ3" i="8"/>
  <c r="DGA3" i="8"/>
  <c r="DGB3" i="8"/>
  <c r="DGC3" i="8"/>
  <c r="DGD3" i="8"/>
  <c r="DGP3" i="8"/>
  <c r="DGQ3" i="8"/>
  <c r="DGR3" i="8"/>
  <c r="DGS3" i="8"/>
  <c r="DGT3" i="8"/>
  <c r="DHF3" i="8"/>
  <c r="DHG3" i="8"/>
  <c r="DHH3" i="8"/>
  <c r="DHI3" i="8"/>
  <c r="DHJ3" i="8"/>
  <c r="DHK3" i="8"/>
  <c r="DHL3" i="8"/>
  <c r="DHV3" i="8"/>
  <c r="DHW3" i="8"/>
  <c r="DHX3" i="8"/>
  <c r="DHZ3" i="8"/>
  <c r="DIL3" i="8"/>
  <c r="B2" i="8"/>
  <c r="D2" i="8"/>
  <c r="D3" i="8" s="1"/>
  <c r="C2" i="8"/>
  <c r="C3" i="8" s="1"/>
  <c r="I64" i="25" l="1" a="1"/>
  <c r="L64" i="25" s="1"/>
  <c r="N64" i="25" s="1"/>
  <c r="I69" i="25" a="1"/>
  <c r="L69" i="25" s="1"/>
  <c r="N69" i="25" s="1"/>
  <c r="I61" i="25" a="1"/>
  <c r="L61" i="25" s="1"/>
  <c r="N61" i="25" s="1"/>
  <c r="I71" i="25" a="1"/>
  <c r="I65" i="25" a="1"/>
  <c r="I62" i="25" a="1"/>
  <c r="I60" i="25" a="1"/>
  <c r="L60" i="25" s="1"/>
  <c r="N60" i="25" s="1"/>
  <c r="I63" i="25" a="1"/>
  <c r="L63" i="25" s="1"/>
  <c r="N63" i="25" s="1"/>
  <c r="H31" i="23" a="1"/>
  <c r="G31" i="23" a="1"/>
  <c r="C31" i="23" a="1"/>
  <c r="C22" i="23" a="1"/>
  <c r="C8" i="23" a="1"/>
  <c r="H8" i="23" a="1"/>
  <c r="G8" i="23" a="1"/>
  <c r="G22" i="23" a="1"/>
  <c r="H22" i="23" a="1"/>
  <c r="G27" i="23" a="1"/>
  <c r="C27" i="23" a="1"/>
  <c r="H27" i="23" a="1"/>
  <c r="G20" i="23" a="1"/>
  <c r="C20" i="23" a="1"/>
  <c r="H20" i="23" a="1"/>
  <c r="C21" i="23" a="1"/>
  <c r="G21" i="23" a="1"/>
  <c r="H21" i="23" a="1"/>
  <c r="C34" i="23" a="1"/>
  <c r="H34" i="23" a="1"/>
  <c r="G34" i="23" a="1"/>
  <c r="G13" i="23" a="1"/>
  <c r="H13" i="23" a="1"/>
  <c r="C13" i="23" a="1"/>
  <c r="C16" i="23" a="1"/>
  <c r="G16" i="23" a="1"/>
  <c r="H6" i="23" a="1"/>
  <c r="H16" i="23" a="1"/>
  <c r="C6" i="23"/>
  <c r="G6" i="23"/>
  <c r="H17" i="23" a="1"/>
  <c r="C7" i="23" a="1"/>
  <c r="C17" i="23" a="1"/>
  <c r="G17" i="23" a="1"/>
  <c r="H7" i="23" a="1"/>
  <c r="G7" i="23" a="1"/>
  <c r="C30" i="23" a="1"/>
  <c r="H30" i="23" a="1"/>
  <c r="G30" i="23" a="1"/>
  <c r="H28" i="23" a="1"/>
  <c r="C28" i="23" a="1"/>
  <c r="G28" i="23" a="1"/>
  <c r="C29" i="23" a="1"/>
  <c r="G29" i="23" a="1"/>
  <c r="H29" i="23" a="1"/>
  <c r="C24" i="23" a="1"/>
  <c r="G24" i="23" a="1"/>
  <c r="H24" i="23" a="1"/>
  <c r="C26" i="23" a="1"/>
  <c r="H26" i="23" a="1"/>
  <c r="G26" i="23" a="1"/>
  <c r="H11" i="23" a="1"/>
  <c r="C11" i="23" a="1"/>
  <c r="G11" i="23" a="1"/>
  <c r="G12" i="23" a="1"/>
  <c r="C12" i="23" a="1"/>
  <c r="H12" i="23" a="1"/>
  <c r="G35" i="23" a="1"/>
  <c r="H35" i="23" a="1"/>
  <c r="C35" i="23" a="1"/>
  <c r="H32" i="23" a="1"/>
  <c r="G32" i="23" a="1"/>
  <c r="C32" i="23" a="1"/>
  <c r="H33" i="23" a="1"/>
  <c r="G33" i="23" a="1"/>
  <c r="C33" i="23" a="1"/>
  <c r="C9" i="23" a="1"/>
  <c r="H9" i="23" a="1"/>
  <c r="G9" i="23" a="1"/>
  <c r="G14" i="23" a="1"/>
  <c r="H14" i="23" a="1"/>
  <c r="C14" i="23" a="1"/>
  <c r="G3" i="8"/>
  <c r="H3" i="8"/>
  <c r="I3" i="8"/>
  <c r="J3" i="8"/>
  <c r="K3" i="8"/>
  <c r="L3" i="8"/>
  <c r="M3" i="8"/>
  <c r="N3" i="8"/>
  <c r="O3" i="8"/>
  <c r="P3" i="8"/>
  <c r="Q3" i="8"/>
  <c r="R3" i="8"/>
  <c r="S3" i="8"/>
  <c r="T3" i="8"/>
  <c r="U3" i="8"/>
  <c r="V3" i="8"/>
  <c r="W3" i="8"/>
  <c r="X3" i="8"/>
  <c r="Y3" i="8"/>
  <c r="Z3" i="8"/>
  <c r="AA3" i="8"/>
  <c r="AB3" i="8"/>
  <c r="AC3" i="8"/>
  <c r="AD3" i="8"/>
  <c r="AE3" i="8"/>
  <c r="AF3" i="8"/>
  <c r="AG3" i="8"/>
  <c r="AH3" i="8"/>
  <c r="AI3" i="8"/>
  <c r="AJ3" i="8"/>
  <c r="AK3" i="8"/>
  <c r="AL3" i="8"/>
  <c r="AM3" i="8"/>
  <c r="AN3" i="8"/>
  <c r="AO3" i="8"/>
  <c r="AP3" i="8"/>
  <c r="AQ3" i="8"/>
  <c r="AR3" i="8"/>
  <c r="AS3" i="8"/>
  <c r="AT3" i="8"/>
  <c r="AU3" i="8"/>
  <c r="AV3" i="8"/>
  <c r="AW3" i="8"/>
  <c r="AX3" i="8"/>
  <c r="AY3" i="8"/>
  <c r="AZ3" i="8"/>
  <c r="BA3" i="8"/>
  <c r="BB3" i="8"/>
  <c r="BC3" i="8"/>
  <c r="BD3" i="8"/>
  <c r="BE3" i="8"/>
  <c r="BF3" i="8"/>
  <c r="BG3" i="8"/>
  <c r="BH3" i="8"/>
  <c r="BI3" i="8"/>
  <c r="BJ3" i="8"/>
  <c r="BK3" i="8"/>
  <c r="BL3" i="8"/>
  <c r="BM3" i="8"/>
  <c r="BN3" i="8"/>
  <c r="BO3" i="8"/>
  <c r="BP3" i="8"/>
  <c r="BQ3" i="8"/>
  <c r="BR3" i="8"/>
  <c r="BS3" i="8"/>
  <c r="BT3" i="8"/>
  <c r="BU3" i="8"/>
  <c r="BV3" i="8"/>
  <c r="BW3" i="8"/>
  <c r="BX3" i="8"/>
  <c r="BY3" i="8"/>
  <c r="BZ3" i="8"/>
  <c r="CA3" i="8"/>
  <c r="CB3" i="8"/>
  <c r="CC3" i="8"/>
  <c r="CD3" i="8"/>
  <c r="CE3" i="8"/>
  <c r="CF3" i="8"/>
  <c r="CG3" i="8"/>
  <c r="CH3" i="8"/>
  <c r="CI3" i="8"/>
  <c r="CJ3" i="8"/>
  <c r="CK3" i="8"/>
  <c r="CL3" i="8"/>
  <c r="CM3" i="8"/>
  <c r="CN3" i="8"/>
  <c r="CO3" i="8"/>
  <c r="CP3" i="8"/>
  <c r="CQ3" i="8"/>
  <c r="CR3" i="8"/>
  <c r="CS3" i="8"/>
  <c r="CT3" i="8"/>
  <c r="CU3" i="8"/>
  <c r="CV3" i="8"/>
  <c r="CW3" i="8"/>
  <c r="CX3" i="8"/>
  <c r="CY3" i="8"/>
  <c r="CZ3" i="8"/>
  <c r="DA3" i="8"/>
  <c r="DB3" i="8"/>
  <c r="DC3" i="8"/>
  <c r="DD3" i="8"/>
  <c r="DE3" i="8"/>
  <c r="DF3" i="8"/>
  <c r="DG3" i="8"/>
  <c r="DH3" i="8"/>
  <c r="DI3" i="8"/>
  <c r="DJ3" i="8"/>
  <c r="DK3" i="8"/>
  <c r="DL3" i="8"/>
  <c r="DM3" i="8"/>
  <c r="DN3" i="8"/>
  <c r="DO3" i="8"/>
  <c r="DP3" i="8"/>
  <c r="DQ3" i="8"/>
  <c r="DR3" i="8"/>
  <c r="DS3" i="8"/>
  <c r="DT3" i="8"/>
  <c r="DU3" i="8"/>
  <c r="DV3" i="8"/>
  <c r="DW3" i="8"/>
  <c r="DX3" i="8"/>
  <c r="DY3" i="8"/>
  <c r="DZ3" i="8"/>
  <c r="EA3" i="8"/>
  <c r="EB3" i="8"/>
  <c r="EC3" i="8"/>
  <c r="ED3" i="8"/>
  <c r="EE3" i="8"/>
  <c r="EF3" i="8"/>
  <c r="EG3" i="8"/>
  <c r="EH3" i="8"/>
  <c r="EI3" i="8"/>
  <c r="EJ3" i="8"/>
  <c r="EK3" i="8"/>
  <c r="EL3" i="8"/>
  <c r="EM3" i="8"/>
  <c r="EN3" i="8"/>
  <c r="EO3" i="8"/>
  <c r="EP3" i="8"/>
  <c r="EQ3" i="8"/>
  <c r="ER3" i="8"/>
  <c r="ES3" i="8"/>
  <c r="ET3" i="8"/>
  <c r="EU3" i="8"/>
  <c r="EV3" i="8"/>
  <c r="EW3" i="8"/>
  <c r="EX3" i="8"/>
  <c r="EY3" i="8"/>
  <c r="EZ3" i="8"/>
  <c r="FA3" i="8"/>
  <c r="FB3" i="8"/>
  <c r="FC3" i="8"/>
  <c r="FD3" i="8"/>
  <c r="FE3" i="8"/>
  <c r="FF3" i="8"/>
  <c r="FG3" i="8"/>
  <c r="FH3" i="8"/>
  <c r="FI3" i="8"/>
  <c r="FJ3" i="8"/>
  <c r="FK3" i="8"/>
  <c r="FL3" i="8"/>
  <c r="FM3" i="8"/>
  <c r="FN3" i="8"/>
  <c r="FO3" i="8"/>
  <c r="FP3" i="8"/>
  <c r="FQ3" i="8"/>
  <c r="FR3" i="8"/>
  <c r="FS3" i="8"/>
  <c r="FT3" i="8"/>
  <c r="FU3" i="8"/>
  <c r="FV3" i="8"/>
  <c r="FW3" i="8"/>
  <c r="FX3" i="8"/>
  <c r="FY3" i="8"/>
  <c r="FZ3" i="8"/>
  <c r="GA3" i="8"/>
  <c r="GB3" i="8"/>
  <c r="GC3" i="8"/>
  <c r="GD3" i="8"/>
  <c r="GE3" i="8"/>
  <c r="GF3" i="8"/>
  <c r="GG3" i="8"/>
  <c r="GH3" i="8"/>
  <c r="GI3" i="8"/>
  <c r="GJ3" i="8"/>
  <c r="GK3" i="8"/>
  <c r="GL3" i="8"/>
  <c r="GM3" i="8"/>
  <c r="GN3" i="8"/>
  <c r="GO3" i="8"/>
  <c r="GP3" i="8"/>
  <c r="GQ3" i="8"/>
  <c r="GR3" i="8"/>
  <c r="GS3" i="8"/>
  <c r="GT3" i="8"/>
  <c r="GU3" i="8"/>
  <c r="GV3" i="8"/>
  <c r="GW3" i="8"/>
  <c r="GX3" i="8"/>
  <c r="GY3" i="8"/>
  <c r="GZ3" i="8"/>
  <c r="HA3" i="8"/>
  <c r="HB3" i="8"/>
  <c r="HC3" i="8"/>
  <c r="HD3" i="8"/>
  <c r="HE3" i="8"/>
  <c r="HF3" i="8"/>
  <c r="HG3" i="8"/>
  <c r="HH3" i="8"/>
  <c r="HI3" i="8"/>
  <c r="HJ3" i="8"/>
  <c r="HK3" i="8"/>
  <c r="HL3" i="8"/>
  <c r="HM3" i="8"/>
  <c r="HN3" i="8"/>
  <c r="HO3" i="8"/>
  <c r="HP3" i="8"/>
  <c r="HQ3" i="8"/>
  <c r="HR3" i="8"/>
  <c r="HS3" i="8"/>
  <c r="HT3" i="8"/>
  <c r="HU3" i="8"/>
  <c r="HV3" i="8"/>
  <c r="HW3" i="8"/>
  <c r="HX3" i="8"/>
  <c r="HY3" i="8"/>
  <c r="HZ3" i="8"/>
  <c r="IA3" i="8"/>
  <c r="IB3" i="8"/>
  <c r="IC3" i="8"/>
  <c r="ID3" i="8"/>
  <c r="IE3" i="8"/>
  <c r="IF3" i="8"/>
  <c r="IG3" i="8"/>
  <c r="IH3" i="8"/>
  <c r="II3" i="8"/>
  <c r="IJ3" i="8"/>
  <c r="IK3" i="8"/>
  <c r="IL3" i="8"/>
  <c r="IM3" i="8"/>
  <c r="IN3" i="8"/>
  <c r="IO3" i="8"/>
  <c r="IP3" i="8"/>
  <c r="IQ3" i="8"/>
  <c r="IR3" i="8"/>
  <c r="IS3" i="8"/>
  <c r="IT3" i="8"/>
  <c r="IU3" i="8"/>
  <c r="IV3" i="8"/>
  <c r="IW3" i="8"/>
  <c r="IX3" i="8"/>
  <c r="IY3" i="8"/>
  <c r="IZ3" i="8"/>
  <c r="JA3" i="8"/>
  <c r="JB3" i="8"/>
  <c r="JC3" i="8"/>
  <c r="JD3" i="8"/>
  <c r="JE3" i="8"/>
  <c r="JF3" i="8"/>
  <c r="JG3" i="8"/>
  <c r="JH3" i="8"/>
  <c r="JI3" i="8"/>
  <c r="JJ3" i="8"/>
  <c r="JK3" i="8"/>
  <c r="JL3" i="8"/>
  <c r="JM3" i="8"/>
  <c r="JN3" i="8"/>
  <c r="JO3" i="8"/>
  <c r="JP3" i="8"/>
  <c r="JQ3" i="8"/>
  <c r="JR3" i="8"/>
  <c r="JS3" i="8"/>
  <c r="JT3" i="8"/>
  <c r="JU3" i="8"/>
  <c r="JV3" i="8"/>
  <c r="JW3" i="8"/>
  <c r="JX3" i="8"/>
  <c r="JY3" i="8"/>
  <c r="JZ3" i="8"/>
  <c r="KA3" i="8"/>
  <c r="KB3" i="8"/>
  <c r="KC3" i="8"/>
  <c r="KD3" i="8"/>
  <c r="KE3" i="8"/>
  <c r="KF3" i="8"/>
  <c r="KG3" i="8"/>
  <c r="KH3" i="8"/>
  <c r="KI3" i="8"/>
  <c r="KJ3" i="8"/>
  <c r="KK3" i="8"/>
  <c r="KL3" i="8"/>
  <c r="KM3" i="8"/>
  <c r="KN3" i="8"/>
  <c r="KO3" i="8"/>
  <c r="KP3" i="8"/>
  <c r="KQ3" i="8"/>
  <c r="KR3" i="8"/>
  <c r="KS3" i="8"/>
  <c r="KT3" i="8"/>
  <c r="KU3" i="8"/>
  <c r="KV3" i="8"/>
  <c r="KW3" i="8"/>
  <c r="KX3" i="8"/>
  <c r="KY3" i="8"/>
  <c r="KZ3" i="8"/>
  <c r="LA3" i="8"/>
  <c r="LB3" i="8"/>
  <c r="LC3" i="8"/>
  <c r="LD3" i="8"/>
  <c r="LE3" i="8"/>
  <c r="LF3" i="8"/>
  <c r="LG3" i="8"/>
  <c r="LH3" i="8"/>
  <c r="LI3" i="8"/>
  <c r="LJ3" i="8"/>
  <c r="LK3" i="8"/>
  <c r="LL3" i="8"/>
  <c r="LM3" i="8"/>
  <c r="LN3" i="8"/>
  <c r="LO3" i="8"/>
  <c r="LP3" i="8"/>
  <c r="LQ3" i="8"/>
  <c r="LR3" i="8"/>
  <c r="LS3" i="8"/>
  <c r="LT3" i="8"/>
  <c r="LU3" i="8"/>
  <c r="LV3" i="8"/>
  <c r="LW3" i="8"/>
  <c r="LX3" i="8"/>
  <c r="LY3" i="8"/>
  <c r="LZ3" i="8"/>
  <c r="MA3" i="8"/>
  <c r="MB3" i="8"/>
  <c r="MC3" i="8"/>
  <c r="MD3" i="8"/>
  <c r="ME3" i="8"/>
  <c r="MF3" i="8"/>
  <c r="MG3" i="8"/>
  <c r="MH3" i="8"/>
  <c r="MI3" i="8"/>
  <c r="MJ3" i="8"/>
  <c r="MK3" i="8"/>
  <c r="ML3" i="8"/>
  <c r="MM3" i="8"/>
  <c r="MN3" i="8"/>
  <c r="MO3" i="8"/>
  <c r="MP3" i="8"/>
  <c r="MQ3" i="8"/>
  <c r="MR3" i="8"/>
  <c r="MS3" i="8"/>
  <c r="MT3" i="8"/>
  <c r="MU3" i="8"/>
  <c r="MV3" i="8"/>
  <c r="MW3" i="8"/>
  <c r="MX3" i="8"/>
  <c r="MY3" i="8"/>
  <c r="MZ3" i="8"/>
  <c r="NA3" i="8"/>
  <c r="NB3" i="8"/>
  <c r="NC3" i="8"/>
  <c r="ND3" i="8"/>
  <c r="NE3" i="8"/>
  <c r="NF3" i="8"/>
  <c r="NG3" i="8"/>
  <c r="NH3" i="8"/>
  <c r="NI3" i="8"/>
  <c r="NJ3" i="8"/>
  <c r="NK3" i="8"/>
  <c r="NL3" i="8"/>
  <c r="NM3" i="8"/>
  <c r="NN3" i="8"/>
  <c r="NO3" i="8"/>
  <c r="NP3" i="8"/>
  <c r="NQ3" i="8"/>
  <c r="NR3" i="8"/>
  <c r="NS3" i="8"/>
  <c r="NT3" i="8"/>
  <c r="NU3" i="8"/>
  <c r="NV3" i="8"/>
  <c r="NW3" i="8"/>
  <c r="NX3" i="8"/>
  <c r="NY3" i="8"/>
  <c r="NZ3" i="8"/>
  <c r="OA3" i="8"/>
  <c r="OB3" i="8"/>
  <c r="OC3" i="8"/>
  <c r="OD3" i="8"/>
  <c r="OE3" i="8"/>
  <c r="OF3" i="8"/>
  <c r="OG3" i="8"/>
  <c r="OH3" i="8"/>
  <c r="OI3" i="8"/>
  <c r="OJ3" i="8"/>
  <c r="OK3" i="8"/>
  <c r="OL3" i="8"/>
  <c r="OM3" i="8"/>
  <c r="ON3" i="8"/>
  <c r="OO3" i="8"/>
  <c r="OP3" i="8"/>
  <c r="OQ3" i="8"/>
  <c r="OR3" i="8"/>
  <c r="OS3" i="8"/>
  <c r="OT3" i="8"/>
  <c r="OU3" i="8"/>
  <c r="OV3" i="8"/>
  <c r="OW3" i="8"/>
  <c r="OX3" i="8"/>
  <c r="OY3" i="8"/>
  <c r="OZ3" i="8"/>
  <c r="PA3" i="8"/>
  <c r="PB3" i="8"/>
  <c r="PC3" i="8"/>
  <c r="PD3" i="8"/>
  <c r="PE3" i="8"/>
  <c r="PF3" i="8"/>
  <c r="PG3" i="8"/>
  <c r="PH3" i="8"/>
  <c r="PI3" i="8"/>
  <c r="PJ3" i="8"/>
  <c r="PK3" i="8"/>
  <c r="PL3" i="8"/>
  <c r="PM3" i="8"/>
  <c r="PN3" i="8"/>
  <c r="PO3" i="8"/>
  <c r="PP3" i="8"/>
  <c r="PQ3" i="8"/>
  <c r="PR3" i="8"/>
  <c r="PS3" i="8"/>
  <c r="PT3" i="8"/>
  <c r="PU3" i="8"/>
  <c r="PV3" i="8"/>
  <c r="PW3" i="8"/>
  <c r="PX3" i="8"/>
  <c r="PY3" i="8"/>
  <c r="PZ3" i="8"/>
  <c r="QA3" i="8"/>
  <c r="QB3" i="8"/>
  <c r="QC3" i="8"/>
  <c r="QD3" i="8"/>
  <c r="QE3" i="8"/>
  <c r="QF3" i="8"/>
  <c r="QG3" i="8"/>
  <c r="QH3" i="8"/>
  <c r="QI3" i="8"/>
  <c r="QJ3" i="8"/>
  <c r="QK3" i="8"/>
  <c r="QL3" i="8"/>
  <c r="QM3" i="8"/>
  <c r="QN3" i="8"/>
  <c r="QO3" i="8"/>
  <c r="QP3" i="8"/>
  <c r="QQ3" i="8"/>
  <c r="QR3" i="8"/>
  <c r="QS3" i="8"/>
  <c r="QT3" i="8"/>
  <c r="QU3" i="8"/>
  <c r="QV3" i="8"/>
  <c r="QW3" i="8"/>
  <c r="QX3" i="8"/>
  <c r="QY3" i="8"/>
  <c r="QZ3" i="8"/>
  <c r="RA3" i="8"/>
  <c r="RB3" i="8"/>
  <c r="RC3" i="8"/>
  <c r="RD3" i="8"/>
  <c r="RE3" i="8"/>
  <c r="RF3" i="8"/>
  <c r="RG3" i="8"/>
  <c r="RH3" i="8"/>
  <c r="RI3" i="8"/>
  <c r="RJ3" i="8"/>
  <c r="RK3" i="8"/>
  <c r="RL3" i="8"/>
  <c r="RM3" i="8"/>
  <c r="RN3" i="8"/>
  <c r="RO3" i="8"/>
  <c r="RP3" i="8"/>
  <c r="RQ3" i="8"/>
  <c r="RR3" i="8"/>
  <c r="RS3" i="8"/>
  <c r="RT3" i="8"/>
  <c r="RU3" i="8"/>
  <c r="RV3" i="8"/>
  <c r="RW3" i="8"/>
  <c r="RX3" i="8"/>
  <c r="RY3" i="8"/>
  <c r="RZ3" i="8"/>
  <c r="SA3" i="8"/>
  <c r="SB3" i="8"/>
  <c r="SC3" i="8"/>
  <c r="SD3" i="8"/>
  <c r="SE3" i="8"/>
  <c r="SF3" i="8"/>
  <c r="SG3" i="8"/>
  <c r="SH3" i="8"/>
  <c r="SI3" i="8"/>
  <c r="SJ3" i="8"/>
  <c r="SK3" i="8"/>
  <c r="SL3" i="8"/>
  <c r="SM3" i="8"/>
  <c r="SN3" i="8"/>
  <c r="SO3" i="8"/>
  <c r="SP3" i="8"/>
  <c r="SQ3" i="8"/>
  <c r="SR3" i="8"/>
  <c r="SS3" i="8"/>
  <c r="ST3" i="8"/>
  <c r="SU3" i="8"/>
  <c r="SV3" i="8"/>
  <c r="SW3" i="8"/>
  <c r="SX3" i="8"/>
  <c r="SY3" i="8"/>
  <c r="SZ3" i="8"/>
  <c r="TA3" i="8"/>
  <c r="TB3" i="8"/>
  <c r="TC3" i="8"/>
  <c r="TD3" i="8"/>
  <c r="TE3" i="8"/>
  <c r="TF3" i="8"/>
  <c r="TG3" i="8"/>
  <c r="TH3" i="8"/>
  <c r="TI3" i="8"/>
  <c r="TJ3" i="8"/>
  <c r="TK3" i="8"/>
  <c r="TL3" i="8"/>
  <c r="TM3" i="8"/>
  <c r="TN3" i="8"/>
  <c r="TO3" i="8"/>
  <c r="TP3" i="8"/>
  <c r="TQ3" i="8"/>
  <c r="TR3" i="8"/>
  <c r="TS3" i="8"/>
  <c r="TT3" i="8"/>
  <c r="TU3" i="8"/>
  <c r="TV3" i="8"/>
  <c r="TW3" i="8"/>
  <c r="TX3" i="8"/>
  <c r="TY3" i="8"/>
  <c r="TZ3" i="8"/>
  <c r="UA3" i="8"/>
  <c r="UB3" i="8"/>
  <c r="UC3" i="8"/>
  <c r="UD3" i="8"/>
  <c r="UE3" i="8"/>
  <c r="UF3" i="8"/>
  <c r="UG3" i="8"/>
  <c r="UH3" i="8"/>
  <c r="UI3" i="8"/>
  <c r="UJ3" i="8"/>
  <c r="UK3" i="8"/>
  <c r="UL3" i="8"/>
  <c r="UM3" i="8"/>
  <c r="UN3" i="8"/>
  <c r="UO3" i="8"/>
  <c r="UP3" i="8"/>
  <c r="UQ3" i="8"/>
  <c r="UR3" i="8"/>
  <c r="US3" i="8"/>
  <c r="UT3" i="8"/>
  <c r="UU3" i="8"/>
  <c r="UV3" i="8"/>
  <c r="UW3" i="8"/>
  <c r="UX3" i="8"/>
  <c r="UY3" i="8"/>
  <c r="UZ3" i="8"/>
  <c r="VA3" i="8"/>
  <c r="VB3" i="8"/>
  <c r="VC3" i="8"/>
  <c r="VD3" i="8"/>
  <c r="VE3" i="8"/>
  <c r="VF3" i="8"/>
  <c r="VG3" i="8"/>
  <c r="VH3" i="8"/>
  <c r="VI3" i="8"/>
  <c r="VJ3" i="8"/>
  <c r="VK3" i="8"/>
  <c r="VL3" i="8"/>
  <c r="VM3" i="8"/>
  <c r="VN3" i="8"/>
  <c r="VO3" i="8"/>
  <c r="VP3" i="8"/>
  <c r="VQ3" i="8"/>
  <c r="VR3" i="8"/>
  <c r="VS3" i="8"/>
  <c r="VT3" i="8"/>
  <c r="VU3" i="8"/>
  <c r="VV3" i="8"/>
  <c r="VW3" i="8"/>
  <c r="VX3" i="8"/>
  <c r="VY3" i="8"/>
  <c r="VZ3" i="8"/>
  <c r="WA3" i="8"/>
  <c r="WB3" i="8"/>
  <c r="WC3" i="8"/>
  <c r="WD3" i="8"/>
  <c r="WE3" i="8"/>
  <c r="WF3" i="8"/>
  <c r="WG3" i="8"/>
  <c r="WH3" i="8"/>
  <c r="WI3" i="8"/>
  <c r="WJ3" i="8"/>
  <c r="WK3" i="8"/>
  <c r="WL3" i="8"/>
  <c r="WM3" i="8"/>
  <c r="WN3" i="8"/>
  <c r="WO3" i="8"/>
  <c r="WP3" i="8"/>
  <c r="WQ3" i="8"/>
  <c r="WR3" i="8"/>
  <c r="WS3" i="8"/>
  <c r="WT3" i="8"/>
  <c r="WU3" i="8"/>
  <c r="WV3" i="8"/>
  <c r="WW3" i="8"/>
  <c r="WX3" i="8"/>
  <c r="WY3" i="8"/>
  <c r="WZ3" i="8"/>
  <c r="XA3" i="8"/>
  <c r="XB3" i="8"/>
  <c r="XC3" i="8"/>
  <c r="XD3" i="8"/>
  <c r="XE3" i="8"/>
  <c r="XF3" i="8"/>
  <c r="XG3" i="8"/>
  <c r="XH3" i="8"/>
  <c r="XI3" i="8"/>
  <c r="XJ3" i="8"/>
  <c r="XK3" i="8"/>
  <c r="XL3" i="8"/>
  <c r="XM3" i="8"/>
  <c r="XN3" i="8"/>
  <c r="XO3" i="8"/>
  <c r="XP3" i="8"/>
  <c r="XQ3" i="8"/>
  <c r="XR3" i="8"/>
  <c r="XS3" i="8"/>
  <c r="XT3" i="8"/>
  <c r="XU3" i="8"/>
  <c r="XV3" i="8"/>
  <c r="XW3" i="8"/>
  <c r="XX3" i="8"/>
  <c r="XY3" i="8"/>
  <c r="XZ3" i="8"/>
  <c r="YA3" i="8"/>
  <c r="YB3" i="8"/>
  <c r="YC3" i="8"/>
  <c r="YD3" i="8"/>
  <c r="YE3" i="8"/>
  <c r="YF3" i="8"/>
  <c r="YG3" i="8"/>
  <c r="YH3" i="8"/>
  <c r="YI3" i="8"/>
  <c r="YJ3" i="8"/>
  <c r="YK3" i="8"/>
  <c r="YL3" i="8"/>
  <c r="YM3" i="8"/>
  <c r="YN3" i="8"/>
  <c r="YO3" i="8"/>
  <c r="YP3" i="8"/>
  <c r="YQ3" i="8"/>
  <c r="YR3" i="8"/>
  <c r="YS3" i="8"/>
  <c r="YT3" i="8"/>
  <c r="YU3" i="8"/>
  <c r="YV3" i="8"/>
  <c r="YW3" i="8"/>
  <c r="YX3" i="8"/>
  <c r="YY3" i="8"/>
  <c r="YZ3" i="8"/>
  <c r="ZA3" i="8"/>
  <c r="ZB3" i="8"/>
  <c r="ZC3" i="8"/>
  <c r="ZD3" i="8"/>
  <c r="ZE3" i="8"/>
  <c r="ZF3" i="8"/>
  <c r="ZG3" i="8"/>
  <c r="ZH3" i="8"/>
  <c r="ZI3" i="8"/>
  <c r="ZJ3" i="8"/>
  <c r="ZK3" i="8"/>
  <c r="ZL3" i="8"/>
  <c r="ZM3" i="8"/>
  <c r="ZN3" i="8"/>
  <c r="ZO3" i="8"/>
  <c r="ZP3" i="8"/>
  <c r="ZQ3" i="8"/>
  <c r="ZR3" i="8"/>
  <c r="ZS3" i="8"/>
  <c r="ZT3" i="8"/>
  <c r="ZU3" i="8"/>
  <c r="ZV3" i="8"/>
  <c r="ZW3" i="8"/>
  <c r="ZX3" i="8"/>
  <c r="ZY3" i="8"/>
  <c r="ZZ3" i="8"/>
  <c r="AAA3" i="8"/>
  <c r="AAB3" i="8"/>
  <c r="AAC3" i="8"/>
  <c r="AAD3" i="8"/>
  <c r="AAE3" i="8"/>
  <c r="AAF3" i="8"/>
  <c r="AAG3" i="8"/>
  <c r="AAH3" i="8"/>
  <c r="AAI3" i="8"/>
  <c r="AAJ3" i="8"/>
  <c r="AAK3" i="8"/>
  <c r="AAL3" i="8"/>
  <c r="AAM3" i="8"/>
  <c r="AAN3" i="8"/>
  <c r="AAO3" i="8"/>
  <c r="AAP3" i="8"/>
  <c r="AAQ3" i="8"/>
  <c r="AAR3" i="8"/>
  <c r="AAS3" i="8"/>
  <c r="AAT3" i="8"/>
  <c r="AAU3" i="8"/>
  <c r="AAV3" i="8"/>
  <c r="AAW3" i="8"/>
  <c r="AAX3" i="8"/>
  <c r="AAY3" i="8"/>
  <c r="AAZ3" i="8"/>
  <c r="ABA3" i="8"/>
  <c r="ABB3" i="8"/>
  <c r="ABC3" i="8"/>
  <c r="ABD3" i="8"/>
  <c r="ABE3" i="8"/>
  <c r="ABF3" i="8"/>
  <c r="ABG3" i="8"/>
  <c r="ABH3" i="8"/>
  <c r="ABI3" i="8"/>
  <c r="ABJ3" i="8"/>
  <c r="ABK3" i="8"/>
  <c r="ABL3" i="8"/>
  <c r="ABM3" i="8"/>
  <c r="ABN3" i="8"/>
  <c r="ABO3" i="8"/>
  <c r="ABP3" i="8"/>
  <c r="ABQ3" i="8"/>
  <c r="ABR3" i="8"/>
  <c r="ABS3" i="8"/>
  <c r="ABT3" i="8"/>
  <c r="ABU3" i="8"/>
  <c r="ABV3" i="8"/>
  <c r="ABW3" i="8"/>
  <c r="ABX3" i="8"/>
  <c r="ABY3" i="8"/>
  <c r="ABZ3" i="8"/>
  <c r="ACA3" i="8"/>
  <c r="ACB3" i="8"/>
  <c r="ACC3" i="8"/>
  <c r="ACD3" i="8"/>
  <c r="ACE3" i="8"/>
  <c r="ACF3" i="8"/>
  <c r="ACG3" i="8"/>
  <c r="ACH3" i="8"/>
  <c r="ACI3" i="8"/>
  <c r="ACJ3" i="8"/>
  <c r="ACK3" i="8"/>
  <c r="ACL3" i="8"/>
  <c r="ACM3" i="8"/>
  <c r="ACN3" i="8"/>
  <c r="ACO3" i="8"/>
  <c r="ACP3" i="8"/>
  <c r="ACQ3" i="8"/>
  <c r="ACR3" i="8"/>
  <c r="ACS3" i="8"/>
  <c r="ACT3" i="8"/>
  <c r="ACU3" i="8"/>
  <c r="ACV3" i="8"/>
  <c r="ACW3" i="8"/>
  <c r="ACX3" i="8"/>
  <c r="ACY3" i="8"/>
  <c r="ACZ3" i="8"/>
  <c r="ADA3" i="8"/>
  <c r="ADB3" i="8"/>
  <c r="ADC3" i="8"/>
  <c r="ADD3" i="8"/>
  <c r="ADE3" i="8"/>
  <c r="ADF3" i="8"/>
  <c r="ADG3" i="8"/>
  <c r="ADH3" i="8"/>
  <c r="ADI3" i="8"/>
  <c r="ADJ3" i="8"/>
  <c r="ADK3" i="8"/>
  <c r="ADL3" i="8"/>
  <c r="ADM3" i="8"/>
  <c r="ADN3" i="8"/>
  <c r="ADO3" i="8"/>
  <c r="ADP3" i="8"/>
  <c r="ADQ3" i="8"/>
  <c r="ADR3" i="8"/>
  <c r="ADS3" i="8"/>
  <c r="ADT3" i="8"/>
  <c r="ADU3" i="8"/>
  <c r="ADV3" i="8"/>
  <c r="ADW3" i="8"/>
  <c r="ADX3" i="8"/>
  <c r="ADY3" i="8"/>
  <c r="ADZ3" i="8"/>
  <c r="AEA3" i="8"/>
  <c r="AEB3" i="8"/>
  <c r="AEC3" i="8"/>
  <c r="AED3" i="8"/>
  <c r="AEE3" i="8"/>
  <c r="AEF3" i="8"/>
  <c r="AEG3" i="8"/>
  <c r="AEH3" i="8"/>
  <c r="AEI3" i="8"/>
  <c r="AEJ3" i="8"/>
  <c r="AEK3" i="8"/>
  <c r="AEL3" i="8"/>
  <c r="AEM3" i="8"/>
  <c r="AEN3" i="8"/>
  <c r="AEO3" i="8"/>
  <c r="AEP3" i="8"/>
  <c r="AEQ3" i="8"/>
  <c r="AER3" i="8"/>
  <c r="AES3" i="8"/>
  <c r="AET3" i="8"/>
  <c r="AEU3" i="8"/>
  <c r="AEV3" i="8"/>
  <c r="AEW3" i="8"/>
  <c r="AEX3" i="8"/>
  <c r="AEY3" i="8"/>
  <c r="AEZ3" i="8"/>
  <c r="AFA3" i="8"/>
  <c r="AFB3" i="8"/>
  <c r="AFC3" i="8"/>
  <c r="AFD3" i="8"/>
  <c r="AFE3" i="8"/>
  <c r="AFF3" i="8"/>
  <c r="AFG3" i="8"/>
  <c r="AFH3" i="8"/>
  <c r="AFI3" i="8"/>
  <c r="AFJ3" i="8"/>
  <c r="AFK3" i="8"/>
  <c r="AFL3" i="8"/>
  <c r="AFM3" i="8"/>
  <c r="AFN3" i="8"/>
  <c r="AFO3" i="8"/>
  <c r="AFP3" i="8"/>
  <c r="AFQ3" i="8"/>
  <c r="AFR3" i="8"/>
  <c r="AFS3" i="8"/>
  <c r="AFT3" i="8"/>
  <c r="AFU3" i="8"/>
  <c r="AFV3" i="8"/>
  <c r="AFW3" i="8"/>
  <c r="AFX3" i="8"/>
  <c r="AFY3" i="8"/>
  <c r="AFZ3" i="8"/>
  <c r="AGA3" i="8"/>
  <c r="AGB3" i="8"/>
  <c r="AGC3" i="8"/>
  <c r="AGD3" i="8"/>
  <c r="AGE3" i="8"/>
  <c r="AGF3" i="8"/>
  <c r="AGG3" i="8"/>
  <c r="AGH3" i="8"/>
  <c r="AGI3" i="8"/>
  <c r="AGJ3" i="8"/>
  <c r="AGK3" i="8"/>
  <c r="AGL3" i="8"/>
  <c r="AGM3" i="8"/>
  <c r="AGN3" i="8"/>
  <c r="AGO3" i="8"/>
  <c r="AGP3" i="8"/>
  <c r="AGQ3" i="8"/>
  <c r="AGR3" i="8"/>
  <c r="AGS3" i="8"/>
  <c r="AGT3" i="8"/>
  <c r="AGU3" i="8"/>
  <c r="AGV3" i="8"/>
  <c r="AGW3" i="8"/>
  <c r="AGX3" i="8"/>
  <c r="AGY3" i="8"/>
  <c r="AGZ3" i="8"/>
  <c r="AHA3" i="8"/>
  <c r="AHB3" i="8"/>
  <c r="AHC3" i="8"/>
  <c r="AHD3" i="8"/>
  <c r="AHE3" i="8"/>
  <c r="AHF3" i="8"/>
  <c r="AHG3" i="8"/>
  <c r="AHH3" i="8"/>
  <c r="AHI3" i="8"/>
  <c r="AHJ3" i="8"/>
  <c r="AHK3" i="8"/>
  <c r="AHL3" i="8"/>
  <c r="AHM3" i="8"/>
  <c r="AHN3" i="8"/>
  <c r="AHO3" i="8"/>
  <c r="AHP3" i="8"/>
  <c r="AHQ3" i="8"/>
  <c r="AHR3" i="8"/>
  <c r="AHS3" i="8"/>
  <c r="AHT3" i="8"/>
  <c r="AHU3" i="8"/>
  <c r="AHV3" i="8"/>
  <c r="AHW3" i="8"/>
  <c r="AHX3" i="8"/>
  <c r="AHY3" i="8"/>
  <c r="AHZ3" i="8"/>
  <c r="AIA3" i="8"/>
  <c r="AIB3" i="8"/>
  <c r="AIC3" i="8"/>
  <c r="AID3" i="8"/>
  <c r="AIE3" i="8"/>
  <c r="AIF3" i="8"/>
  <c r="AIG3" i="8"/>
  <c r="AIH3" i="8"/>
  <c r="AII3" i="8"/>
  <c r="AIJ3" i="8"/>
  <c r="AIK3" i="8"/>
  <c r="AIL3" i="8"/>
  <c r="AIM3" i="8"/>
  <c r="AIN3" i="8"/>
  <c r="AIO3" i="8"/>
  <c r="AIP3" i="8"/>
  <c r="AIQ3" i="8"/>
  <c r="AIR3" i="8"/>
  <c r="AIS3" i="8"/>
  <c r="AIT3" i="8"/>
  <c r="AIU3" i="8"/>
  <c r="AIV3" i="8"/>
  <c r="AIW3" i="8"/>
  <c r="AIX3" i="8"/>
  <c r="AIY3" i="8"/>
  <c r="AIZ3" i="8"/>
  <c r="AJA3" i="8"/>
  <c r="AJB3" i="8"/>
  <c r="AJC3" i="8"/>
  <c r="AJD3" i="8"/>
  <c r="AJE3" i="8"/>
  <c r="AJF3" i="8"/>
  <c r="AJG3" i="8"/>
  <c r="AJH3" i="8"/>
  <c r="AJI3" i="8"/>
  <c r="AJJ3" i="8"/>
  <c r="AJK3" i="8"/>
  <c r="AJL3" i="8"/>
  <c r="AJM3" i="8"/>
  <c r="ECC3" i="8"/>
  <c r="ECH3" i="8"/>
  <c r="ECL3" i="8"/>
  <c r="ECO3" i="8"/>
  <c r="ECR3" i="8"/>
  <c r="ECU3" i="8"/>
  <c r="ECW3" i="8"/>
  <c r="ECZ3" i="8"/>
  <c r="EDC3" i="8"/>
  <c r="EDF3" i="8"/>
  <c r="EDI3" i="8"/>
  <c r="EDL3" i="8"/>
  <c r="EDO3" i="8"/>
  <c r="EDR3" i="8"/>
  <c r="EDU3" i="8"/>
  <c r="EDX3" i="8"/>
  <c r="EEB3" i="8"/>
  <c r="EEE3" i="8"/>
  <c r="EEG3" i="8"/>
  <c r="EEJ3" i="8"/>
  <c r="EEM3" i="8"/>
  <c r="EEP3" i="8"/>
  <c r="EES3" i="8"/>
  <c r="EEV3" i="8"/>
  <c r="EEY3" i="8"/>
  <c r="EFB3" i="8"/>
  <c r="EFF3" i="8"/>
  <c r="EFH3" i="8"/>
  <c r="EFK3" i="8"/>
  <c r="EFO3" i="8"/>
  <c r="EFR3" i="8"/>
  <c r="EFT3" i="8"/>
  <c r="EFW3" i="8"/>
  <c r="EFZ3" i="8"/>
  <c r="EGB3" i="8"/>
  <c r="EGE3" i="8"/>
  <c r="EGH3" i="8"/>
  <c r="EGJ3" i="8"/>
  <c r="EGM3" i="8"/>
  <c r="EGQ3" i="8"/>
  <c r="EGT3" i="8"/>
  <c r="EGW3" i="8"/>
  <c r="EGZ3" i="8"/>
  <c r="EHB3" i="8"/>
  <c r="EHF3" i="8"/>
  <c r="EHI3" i="8"/>
  <c r="EHL3" i="8"/>
  <c r="EHO3" i="8"/>
  <c r="EHR3" i="8"/>
  <c r="EHU3" i="8"/>
  <c r="EHX3" i="8"/>
  <c r="EIA3" i="8"/>
  <c r="EIF3" i="8"/>
  <c r="EIJ3" i="8"/>
  <c r="EIM3" i="8"/>
  <c r="EIO3" i="8"/>
  <c r="EIR3" i="8"/>
  <c r="EIU3" i="8"/>
  <c r="EIX3" i="8"/>
  <c r="EJB3" i="8"/>
  <c r="EJE3" i="8"/>
  <c r="EJI3" i="8"/>
  <c r="EJL3" i="8"/>
  <c r="EJO3" i="8"/>
  <c r="EJQ3" i="8"/>
  <c r="EJU3" i="8"/>
  <c r="EJW3" i="8"/>
  <c r="EJZ3" i="8"/>
  <c r="EKC3" i="8"/>
  <c r="EKG3" i="8"/>
  <c r="EKJ3" i="8"/>
  <c r="EKN3" i="8"/>
  <c r="EKQ3" i="8"/>
  <c r="EKS3" i="8"/>
  <c r="EKV3" i="8"/>
  <c r="EKY3" i="8"/>
  <c r="ELB3" i="8"/>
  <c r="ELE3" i="8"/>
  <c r="ELH3" i="8"/>
  <c r="ELK3" i="8"/>
  <c r="ELN3" i="8"/>
  <c r="ELR3" i="8"/>
  <c r="ELU3" i="8"/>
  <c r="ELX3" i="8"/>
  <c r="EMA3" i="8"/>
  <c r="EMD3" i="8"/>
  <c r="EMG3" i="8"/>
  <c r="EMJ3" i="8"/>
  <c r="EMM3" i="8"/>
  <c r="EMP3" i="8"/>
  <c r="EMS3" i="8"/>
  <c r="EMV3" i="8"/>
  <c r="EMX3" i="8"/>
  <c r="ENB3" i="8"/>
  <c r="ENE3" i="8"/>
  <c r="ENH3" i="8"/>
  <c r="ENK3" i="8"/>
  <c r="ENN3" i="8"/>
  <c r="ENQ3" i="8"/>
  <c r="ENT3" i="8"/>
  <c r="ENW3" i="8"/>
  <c r="EOB3" i="8"/>
  <c r="EOE3" i="8"/>
  <c r="EOH3" i="8"/>
  <c r="EOK3" i="8"/>
  <c r="EON3" i="8"/>
  <c r="AJQ3" i="8"/>
  <c r="AJR3" i="8"/>
  <c r="AJS3" i="8"/>
  <c r="AJT3" i="8"/>
  <c r="AJU3" i="8"/>
  <c r="AJV3" i="8"/>
  <c r="AJW3" i="8"/>
  <c r="AJX3" i="8"/>
  <c r="AJY3" i="8"/>
  <c r="AJZ3" i="8"/>
  <c r="AKA3" i="8"/>
  <c r="AKB3" i="8"/>
  <c r="AKC3" i="8"/>
  <c r="AKD3" i="8"/>
  <c r="AKE3" i="8"/>
  <c r="AKF3" i="8"/>
  <c r="AKG3" i="8"/>
  <c r="AKH3" i="8"/>
  <c r="AKI3" i="8"/>
  <c r="AKJ3" i="8"/>
  <c r="AKK3" i="8"/>
  <c r="AKL3" i="8"/>
  <c r="AKM3" i="8"/>
  <c r="AKN3" i="8"/>
  <c r="AKO3" i="8"/>
  <c r="AKP3" i="8"/>
  <c r="AKQ3" i="8"/>
  <c r="AKR3" i="8"/>
  <c r="AKS3" i="8"/>
  <c r="AKT3" i="8"/>
  <c r="AKU3" i="8"/>
  <c r="AKV3" i="8"/>
  <c r="AKW3" i="8"/>
  <c r="AKX3" i="8"/>
  <c r="AKY3" i="8"/>
  <c r="AKZ3" i="8"/>
  <c r="ALA3" i="8"/>
  <c r="ALB3" i="8"/>
  <c r="ALC3" i="8"/>
  <c r="ALD3" i="8"/>
  <c r="ALE3" i="8"/>
  <c r="ALF3" i="8"/>
  <c r="ALG3" i="8"/>
  <c r="ALH3" i="8"/>
  <c r="ALI3" i="8"/>
  <c r="ALJ3" i="8"/>
  <c r="ALK3" i="8"/>
  <c r="ALL3" i="8"/>
  <c r="ALM3" i="8"/>
  <c r="ALN3" i="8"/>
  <c r="ALO3" i="8"/>
  <c r="ALP3" i="8"/>
  <c r="ALQ3" i="8"/>
  <c r="ALR3" i="8"/>
  <c r="ALS3" i="8"/>
  <c r="ALT3" i="8"/>
  <c r="ALU3" i="8"/>
  <c r="ALV3" i="8"/>
  <c r="ALW3" i="8"/>
  <c r="ALX3" i="8"/>
  <c r="ALY3" i="8"/>
  <c r="ALZ3" i="8"/>
  <c r="AMA3" i="8"/>
  <c r="AMB3" i="8"/>
  <c r="AMC3" i="8"/>
  <c r="AMD3" i="8"/>
  <c r="AME3" i="8"/>
  <c r="AMF3" i="8"/>
  <c r="AMG3" i="8"/>
  <c r="AMH3" i="8"/>
  <c r="AMI3" i="8"/>
  <c r="AMJ3" i="8"/>
  <c r="AMK3" i="8"/>
  <c r="AML3" i="8"/>
  <c r="AMM3" i="8"/>
  <c r="AMN3" i="8"/>
  <c r="AMO3" i="8"/>
  <c r="AMP3" i="8"/>
  <c r="AMQ3" i="8"/>
  <c r="AMR3" i="8"/>
  <c r="AMS3" i="8"/>
  <c r="AMT3" i="8"/>
  <c r="AMU3" i="8"/>
  <c r="AMV3" i="8"/>
  <c r="AMW3" i="8"/>
  <c r="AMX3" i="8"/>
  <c r="AMY3" i="8"/>
  <c r="AMZ3" i="8"/>
  <c r="ANA3" i="8"/>
  <c r="ANB3" i="8"/>
  <c r="ANC3" i="8"/>
  <c r="AND3" i="8"/>
  <c r="ANE3" i="8"/>
  <c r="ANF3" i="8"/>
  <c r="ANG3" i="8"/>
  <c r="ANH3" i="8"/>
  <c r="ANI3" i="8"/>
  <c r="ANJ3" i="8"/>
  <c r="ANK3" i="8"/>
  <c r="ANL3" i="8"/>
  <c r="ANM3" i="8"/>
  <c r="ANN3" i="8"/>
  <c r="ANO3" i="8"/>
  <c r="ANP3" i="8"/>
  <c r="ANQ3" i="8"/>
  <c r="ANR3" i="8"/>
  <c r="ANS3" i="8"/>
  <c r="ANT3" i="8"/>
  <c r="ANU3" i="8"/>
  <c r="ANV3" i="8"/>
  <c r="ANW3" i="8"/>
  <c r="ANX3" i="8"/>
  <c r="ANY3" i="8"/>
  <c r="ANZ3" i="8"/>
  <c r="AOA3" i="8"/>
  <c r="AOB3" i="8"/>
  <c r="AOC3" i="8"/>
  <c r="AOD3" i="8"/>
  <c r="AOE3" i="8"/>
  <c r="AOF3" i="8"/>
  <c r="AOG3" i="8"/>
  <c r="AOH3" i="8"/>
  <c r="AOI3" i="8"/>
  <c r="AOJ3" i="8"/>
  <c r="AOK3" i="8"/>
  <c r="AOL3" i="8"/>
  <c r="AOM3" i="8"/>
  <c r="AON3" i="8"/>
  <c r="AOO3" i="8"/>
  <c r="AOP3" i="8"/>
  <c r="AOQ3" i="8"/>
  <c r="AOR3" i="8"/>
  <c r="AOS3" i="8"/>
  <c r="AOT3" i="8"/>
  <c r="AOU3" i="8"/>
  <c r="AOV3" i="8"/>
  <c r="AOW3" i="8"/>
  <c r="AOX3" i="8"/>
  <c r="AOY3" i="8"/>
  <c r="AOZ3" i="8"/>
  <c r="APA3" i="8"/>
  <c r="APB3" i="8"/>
  <c r="APC3" i="8"/>
  <c r="APD3" i="8"/>
  <c r="APE3" i="8"/>
  <c r="APF3" i="8"/>
  <c r="APG3" i="8"/>
  <c r="APH3" i="8"/>
  <c r="API3" i="8"/>
  <c r="APJ3" i="8"/>
  <c r="APK3" i="8"/>
  <c r="APL3" i="8"/>
  <c r="APM3" i="8"/>
  <c r="APN3" i="8"/>
  <c r="APO3" i="8"/>
  <c r="APP3" i="8"/>
  <c r="APQ3" i="8"/>
  <c r="APR3" i="8"/>
  <c r="APS3" i="8"/>
  <c r="APT3" i="8"/>
  <c r="APU3" i="8"/>
  <c r="APV3" i="8"/>
  <c r="APW3" i="8"/>
  <c r="APX3" i="8"/>
  <c r="APY3" i="8"/>
  <c r="APZ3" i="8"/>
  <c r="AQA3" i="8"/>
  <c r="AQB3" i="8"/>
  <c r="AQC3" i="8"/>
  <c r="AQD3" i="8"/>
  <c r="AQE3" i="8"/>
  <c r="AQF3" i="8"/>
  <c r="AQG3" i="8"/>
  <c r="AQH3" i="8"/>
  <c r="AQI3" i="8"/>
  <c r="AQJ3" i="8"/>
  <c r="AQK3" i="8"/>
  <c r="AQL3" i="8"/>
  <c r="AQM3" i="8"/>
  <c r="AQN3" i="8"/>
  <c r="AQO3" i="8"/>
  <c r="AQP3" i="8"/>
  <c r="AQQ3" i="8"/>
  <c r="AQR3" i="8"/>
  <c r="AQS3" i="8"/>
  <c r="AQT3" i="8"/>
  <c r="AQU3" i="8"/>
  <c r="AQV3" i="8"/>
  <c r="AQW3" i="8"/>
  <c r="AQX3" i="8"/>
  <c r="AQY3" i="8"/>
  <c r="AQZ3" i="8"/>
  <c r="ARA3" i="8"/>
  <c r="ARB3" i="8"/>
  <c r="ARC3" i="8"/>
  <c r="ARD3" i="8"/>
  <c r="ARE3" i="8"/>
  <c r="ARF3" i="8"/>
  <c r="ARG3" i="8"/>
  <c r="ARH3" i="8"/>
  <c r="ARI3" i="8"/>
  <c r="ARJ3" i="8"/>
  <c r="ARK3" i="8"/>
  <c r="ARL3" i="8"/>
  <c r="ARM3" i="8"/>
  <c r="ARN3" i="8"/>
  <c r="ARO3" i="8"/>
  <c r="ARP3" i="8"/>
  <c r="ARQ3" i="8"/>
  <c r="ARR3" i="8"/>
  <c r="ARS3" i="8"/>
  <c r="ART3" i="8"/>
  <c r="ARU3" i="8"/>
  <c r="ARV3" i="8"/>
  <c r="ARW3" i="8"/>
  <c r="ARX3" i="8"/>
  <c r="ARY3" i="8"/>
  <c r="ARZ3" i="8"/>
  <c r="ASA3" i="8"/>
  <c r="ASB3" i="8"/>
  <c r="ASC3" i="8"/>
  <c r="ASD3" i="8"/>
  <c r="ASE3" i="8"/>
  <c r="ASF3" i="8"/>
  <c r="ASG3" i="8"/>
  <c r="ASH3" i="8"/>
  <c r="ASI3" i="8"/>
  <c r="ASJ3" i="8"/>
  <c r="ASK3" i="8"/>
  <c r="ASL3" i="8"/>
  <c r="ASM3" i="8"/>
  <c r="ASN3" i="8"/>
  <c r="ASO3" i="8"/>
  <c r="ASP3" i="8"/>
  <c r="ASQ3" i="8"/>
  <c r="ASR3" i="8"/>
  <c r="ASS3" i="8"/>
  <c r="AST3" i="8"/>
  <c r="ASU3" i="8"/>
  <c r="ASV3" i="8"/>
  <c r="ASW3" i="8"/>
  <c r="ASX3" i="8"/>
  <c r="ASY3" i="8"/>
  <c r="ASZ3" i="8"/>
  <c r="ATA3" i="8"/>
  <c r="ATB3" i="8"/>
  <c r="ATC3" i="8"/>
  <c r="ATD3" i="8"/>
  <c r="ATE3" i="8"/>
  <c r="ATF3" i="8"/>
  <c r="ATG3" i="8"/>
  <c r="ATH3" i="8"/>
  <c r="ATI3" i="8"/>
  <c r="ATJ3" i="8"/>
  <c r="ATK3" i="8"/>
  <c r="ATL3" i="8"/>
  <c r="ATM3" i="8"/>
  <c r="ATN3" i="8"/>
  <c r="ATO3" i="8"/>
  <c r="ATP3" i="8"/>
  <c r="ATQ3" i="8"/>
  <c r="ATR3" i="8"/>
  <c r="ATS3" i="8"/>
  <c r="ATT3" i="8"/>
  <c r="ATU3" i="8"/>
  <c r="ATV3" i="8"/>
  <c r="ATW3" i="8"/>
  <c r="ATX3" i="8"/>
  <c r="ATY3" i="8"/>
  <c r="ATZ3" i="8"/>
  <c r="AUA3" i="8"/>
  <c r="AUB3" i="8"/>
  <c r="AUC3" i="8"/>
  <c r="AUD3" i="8"/>
  <c r="AUE3" i="8"/>
  <c r="AUF3" i="8"/>
  <c r="AUG3" i="8"/>
  <c r="AUH3" i="8"/>
  <c r="AUI3" i="8"/>
  <c r="AUJ3" i="8"/>
  <c r="AUK3" i="8"/>
  <c r="AUL3" i="8"/>
  <c r="AUM3" i="8"/>
  <c r="AUN3" i="8"/>
  <c r="AUO3" i="8"/>
  <c r="AUP3" i="8"/>
  <c r="AUQ3" i="8"/>
  <c r="AUR3" i="8"/>
  <c r="AUS3" i="8"/>
  <c r="AUT3" i="8"/>
  <c r="AUU3" i="8"/>
  <c r="AUV3" i="8"/>
  <c r="AUW3" i="8"/>
  <c r="AUX3" i="8"/>
  <c r="AUY3" i="8"/>
  <c r="AUZ3" i="8"/>
  <c r="AVA3" i="8"/>
  <c r="AVB3" i="8"/>
  <c r="AVC3" i="8"/>
  <c r="AVD3" i="8"/>
  <c r="AVE3" i="8"/>
  <c r="AVF3" i="8"/>
  <c r="AVG3" i="8"/>
  <c r="AVH3" i="8"/>
  <c r="AVI3" i="8"/>
  <c r="AVJ3" i="8"/>
  <c r="AVK3" i="8"/>
  <c r="AVL3" i="8"/>
  <c r="AVM3" i="8"/>
  <c r="AVN3" i="8"/>
  <c r="AVO3" i="8"/>
  <c r="AVP3" i="8"/>
  <c r="AVQ3" i="8"/>
  <c r="AVR3" i="8"/>
  <c r="AVS3" i="8"/>
  <c r="AVT3" i="8"/>
  <c r="AVU3" i="8"/>
  <c r="AVV3" i="8"/>
  <c r="AVW3" i="8"/>
  <c r="AVX3" i="8"/>
  <c r="AVY3" i="8"/>
  <c r="AVZ3" i="8"/>
  <c r="AWA3" i="8"/>
  <c r="AWB3" i="8"/>
  <c r="AWC3" i="8"/>
  <c r="AWD3" i="8"/>
  <c r="AWE3" i="8"/>
  <c r="AWF3" i="8"/>
  <c r="AWG3" i="8"/>
  <c r="AWH3" i="8"/>
  <c r="AWI3" i="8"/>
  <c r="AWJ3" i="8"/>
  <c r="AWK3" i="8"/>
  <c r="AWL3" i="8"/>
  <c r="AWM3" i="8"/>
  <c r="AWN3" i="8"/>
  <c r="AWO3" i="8"/>
  <c r="AWP3" i="8"/>
  <c r="AWQ3" i="8"/>
  <c r="AWR3" i="8"/>
  <c r="AWS3" i="8"/>
  <c r="AWT3" i="8"/>
  <c r="AWU3" i="8"/>
  <c r="AWV3" i="8"/>
  <c r="AWW3" i="8"/>
  <c r="AWX3" i="8"/>
  <c r="AWY3" i="8"/>
  <c r="AWZ3" i="8"/>
  <c r="AXA3" i="8"/>
  <c r="AXB3" i="8"/>
  <c r="AXC3" i="8"/>
  <c r="AXD3" i="8"/>
  <c r="AXE3" i="8"/>
  <c r="AXF3" i="8"/>
  <c r="AXG3" i="8"/>
  <c r="AXH3" i="8"/>
  <c r="AXI3" i="8"/>
  <c r="AXJ3" i="8"/>
  <c r="AXK3" i="8"/>
  <c r="AXL3" i="8"/>
  <c r="AXM3" i="8"/>
  <c r="AXN3" i="8"/>
  <c r="AXO3" i="8"/>
  <c r="AXP3" i="8"/>
  <c r="AXQ3" i="8"/>
  <c r="AXR3" i="8"/>
  <c r="AXS3" i="8"/>
  <c r="AXT3" i="8"/>
  <c r="AXU3" i="8"/>
  <c r="AXV3" i="8"/>
  <c r="AXW3" i="8"/>
  <c r="AXX3" i="8"/>
  <c r="AXY3" i="8"/>
  <c r="AXZ3" i="8"/>
  <c r="AYA3" i="8"/>
  <c r="AYB3" i="8"/>
  <c r="AYC3" i="8"/>
  <c r="AYD3" i="8"/>
  <c r="AYE3" i="8"/>
  <c r="AYF3" i="8"/>
  <c r="AYG3" i="8"/>
  <c r="AYH3" i="8"/>
  <c r="AYI3" i="8"/>
  <c r="AYJ3" i="8"/>
  <c r="AYK3" i="8"/>
  <c r="AYL3" i="8"/>
  <c r="AYM3" i="8"/>
  <c r="AYN3" i="8"/>
  <c r="AYO3" i="8"/>
  <c r="AYP3" i="8"/>
  <c r="AYQ3" i="8"/>
  <c r="AYR3" i="8"/>
  <c r="AYS3" i="8"/>
  <c r="AYT3" i="8"/>
  <c r="AYU3" i="8"/>
  <c r="AYV3" i="8"/>
  <c r="AYW3" i="8"/>
  <c r="AYX3" i="8"/>
  <c r="AYY3" i="8"/>
  <c r="AYZ3" i="8"/>
  <c r="AZA3" i="8"/>
  <c r="AZB3" i="8"/>
  <c r="AZC3" i="8"/>
  <c r="AZD3" i="8"/>
  <c r="AZE3" i="8"/>
  <c r="AZF3" i="8"/>
  <c r="AZG3" i="8"/>
  <c r="AZH3" i="8"/>
  <c r="AZI3" i="8"/>
  <c r="AZJ3" i="8"/>
  <c r="AZK3" i="8"/>
  <c r="AZL3" i="8"/>
  <c r="AZM3" i="8"/>
  <c r="AZN3" i="8"/>
  <c r="AZO3" i="8"/>
  <c r="AZP3" i="8"/>
  <c r="AZQ3" i="8"/>
  <c r="AZR3" i="8"/>
  <c r="AZS3" i="8"/>
  <c r="AZT3" i="8"/>
  <c r="AZU3" i="8"/>
  <c r="AZV3" i="8"/>
  <c r="AZW3" i="8"/>
  <c r="AZX3" i="8"/>
  <c r="AZY3" i="8"/>
  <c r="AZZ3" i="8"/>
  <c r="BAA3" i="8"/>
  <c r="BAB3" i="8"/>
  <c r="BAC3" i="8"/>
  <c r="BAD3" i="8"/>
  <c r="BAE3" i="8"/>
  <c r="BAF3" i="8"/>
  <c r="BAG3" i="8"/>
  <c r="BAH3" i="8"/>
  <c r="BAI3" i="8"/>
  <c r="BAJ3" i="8"/>
  <c r="BAK3" i="8"/>
  <c r="BAL3" i="8"/>
  <c r="BAM3" i="8"/>
  <c r="BAN3" i="8"/>
  <c r="BAO3" i="8"/>
  <c r="BAP3" i="8"/>
  <c r="BAQ3" i="8"/>
  <c r="BAR3" i="8"/>
  <c r="BAS3" i="8"/>
  <c r="BAT3" i="8"/>
  <c r="BAU3" i="8"/>
  <c r="BAV3" i="8"/>
  <c r="BAW3" i="8"/>
  <c r="BAX3" i="8"/>
  <c r="BAY3" i="8"/>
  <c r="BAZ3" i="8"/>
  <c r="BBA3" i="8"/>
  <c r="BBB3" i="8"/>
  <c r="BBC3" i="8"/>
  <c r="BBD3" i="8"/>
  <c r="BBE3" i="8"/>
  <c r="BBF3" i="8"/>
  <c r="BBG3" i="8"/>
  <c r="BBH3" i="8"/>
  <c r="BBI3" i="8"/>
  <c r="BBJ3" i="8"/>
  <c r="BBK3" i="8"/>
  <c r="BBL3" i="8"/>
  <c r="BBM3" i="8"/>
  <c r="BBN3" i="8"/>
  <c r="BBO3" i="8"/>
  <c r="BBP3" i="8"/>
  <c r="BBQ3" i="8"/>
  <c r="BBR3" i="8"/>
  <c r="BBS3" i="8"/>
  <c r="BBT3" i="8"/>
  <c r="BBU3" i="8"/>
  <c r="BBV3" i="8"/>
  <c r="BBW3" i="8"/>
  <c r="BBX3" i="8"/>
  <c r="BBY3" i="8"/>
  <c r="BBZ3" i="8"/>
  <c r="BCA3" i="8"/>
  <c r="BCB3" i="8"/>
  <c r="BCC3" i="8"/>
  <c r="BCD3" i="8"/>
  <c r="BCE3" i="8"/>
  <c r="BCF3" i="8"/>
  <c r="BCG3" i="8"/>
  <c r="BCH3" i="8"/>
  <c r="BCI3" i="8"/>
  <c r="BCJ3" i="8"/>
  <c r="BCK3" i="8"/>
  <c r="BCL3" i="8"/>
  <c r="BCM3" i="8"/>
  <c r="BCN3" i="8"/>
  <c r="BCO3" i="8"/>
  <c r="BCP3" i="8"/>
  <c r="BCQ3" i="8"/>
  <c r="BCR3" i="8"/>
  <c r="BCS3" i="8"/>
  <c r="BCT3" i="8"/>
  <c r="BCU3" i="8"/>
  <c r="BCV3" i="8"/>
  <c r="BCW3" i="8"/>
  <c r="BCX3" i="8"/>
  <c r="BCY3" i="8"/>
  <c r="BCZ3" i="8"/>
  <c r="BDA3" i="8"/>
  <c r="BDB3" i="8"/>
  <c r="BDC3" i="8"/>
  <c r="BDD3" i="8"/>
  <c r="BDE3" i="8"/>
  <c r="BDF3" i="8"/>
  <c r="BDG3" i="8"/>
  <c r="BDH3" i="8"/>
  <c r="BDI3" i="8"/>
  <c r="BDJ3" i="8"/>
  <c r="BDK3" i="8"/>
  <c r="BDL3" i="8"/>
  <c r="BDM3" i="8"/>
  <c r="BDN3" i="8"/>
  <c r="BDO3" i="8"/>
  <c r="BDP3" i="8"/>
  <c r="BDQ3" i="8"/>
  <c r="BDR3" i="8"/>
  <c r="BDS3" i="8"/>
  <c r="BDT3" i="8"/>
  <c r="BDU3" i="8"/>
  <c r="BDV3" i="8"/>
  <c r="BDW3" i="8"/>
  <c r="BDX3" i="8"/>
  <c r="BDY3" i="8"/>
  <c r="BDZ3" i="8"/>
  <c r="BEA3" i="8"/>
  <c r="BEB3" i="8"/>
  <c r="BEC3" i="8"/>
  <c r="BED3" i="8"/>
  <c r="BEE3" i="8"/>
  <c r="BEF3" i="8"/>
  <c r="BEG3" i="8"/>
  <c r="BEH3" i="8"/>
  <c r="BEI3" i="8"/>
  <c r="BEJ3" i="8"/>
  <c r="BEK3" i="8"/>
  <c r="BEL3" i="8"/>
  <c r="BEM3" i="8"/>
  <c r="BEN3" i="8"/>
  <c r="BEO3" i="8"/>
  <c r="BEP3" i="8"/>
  <c r="BEQ3" i="8"/>
  <c r="BER3" i="8"/>
  <c r="BES3" i="8"/>
  <c r="BET3" i="8"/>
  <c r="BEU3" i="8"/>
  <c r="BEV3" i="8"/>
  <c r="BEW3" i="8"/>
  <c r="BEX3" i="8"/>
  <c r="BEY3" i="8"/>
  <c r="BEZ3" i="8"/>
  <c r="BFA3" i="8"/>
  <c r="BFB3" i="8"/>
  <c r="BFC3" i="8"/>
  <c r="BFD3" i="8"/>
  <c r="BFE3" i="8"/>
  <c r="BFF3" i="8"/>
  <c r="BFG3" i="8"/>
  <c r="BFH3" i="8"/>
  <c r="BFI3" i="8"/>
  <c r="BFJ3" i="8"/>
  <c r="BFK3" i="8"/>
  <c r="BFL3" i="8"/>
  <c r="BFM3" i="8"/>
  <c r="BFN3" i="8"/>
  <c r="BFO3" i="8"/>
  <c r="BFP3" i="8"/>
  <c r="BFQ3" i="8"/>
  <c r="BFR3" i="8"/>
  <c r="BFS3" i="8"/>
  <c r="BFT3" i="8"/>
  <c r="BFU3" i="8"/>
  <c r="BFV3" i="8"/>
  <c r="BFW3" i="8"/>
  <c r="BFX3" i="8"/>
  <c r="BFY3" i="8"/>
  <c r="BFZ3" i="8"/>
  <c r="BGA3" i="8"/>
  <c r="BGB3" i="8"/>
  <c r="BGC3" i="8"/>
  <c r="BGD3" i="8"/>
  <c r="BGE3" i="8"/>
  <c r="BGF3" i="8"/>
  <c r="BGG3" i="8"/>
  <c r="BGH3" i="8"/>
  <c r="BGI3" i="8"/>
  <c r="BGJ3" i="8"/>
  <c r="BGK3" i="8"/>
  <c r="BGL3" i="8"/>
  <c r="BGM3" i="8"/>
  <c r="BGN3" i="8"/>
  <c r="BGO3" i="8"/>
  <c r="BGP3" i="8"/>
  <c r="BGQ3" i="8"/>
  <c r="BGR3" i="8"/>
  <c r="BGS3" i="8"/>
  <c r="BGT3" i="8"/>
  <c r="BGU3" i="8"/>
  <c r="BGV3" i="8"/>
  <c r="BGW3" i="8"/>
  <c r="BGX3" i="8"/>
  <c r="BGY3" i="8"/>
  <c r="BGZ3" i="8"/>
  <c r="BHA3" i="8"/>
  <c r="BHB3" i="8"/>
  <c r="BHC3" i="8"/>
  <c r="BHD3" i="8"/>
  <c r="BHE3" i="8"/>
  <c r="BHF3" i="8"/>
  <c r="BHG3" i="8"/>
  <c r="BHH3" i="8"/>
  <c r="BHI3" i="8"/>
  <c r="BHJ3" i="8"/>
  <c r="BHK3" i="8"/>
  <c r="BHL3" i="8"/>
  <c r="BHM3" i="8"/>
  <c r="BHN3" i="8"/>
  <c r="BHO3" i="8"/>
  <c r="BHP3" i="8"/>
  <c r="BHQ3" i="8"/>
  <c r="BHR3" i="8"/>
  <c r="BHS3" i="8"/>
  <c r="BHT3" i="8"/>
  <c r="BHU3" i="8"/>
  <c r="BHV3" i="8"/>
  <c r="BHW3" i="8"/>
  <c r="BHX3" i="8"/>
  <c r="BHY3" i="8"/>
  <c r="BHZ3" i="8"/>
  <c r="BIA3" i="8"/>
  <c r="BIB3" i="8"/>
  <c r="BIC3" i="8"/>
  <c r="BID3" i="8"/>
  <c r="BIE3" i="8"/>
  <c r="BIF3" i="8"/>
  <c r="BIG3" i="8"/>
  <c r="BIH3" i="8"/>
  <c r="BII3" i="8"/>
  <c r="BIJ3" i="8"/>
  <c r="BIK3" i="8"/>
  <c r="BIL3" i="8"/>
  <c r="BIM3" i="8"/>
  <c r="BIN3" i="8"/>
  <c r="BIO3" i="8"/>
  <c r="BIP3" i="8"/>
  <c r="BIQ3" i="8"/>
  <c r="BIR3" i="8"/>
  <c r="BIS3" i="8"/>
  <c r="BIT3" i="8"/>
  <c r="BIU3" i="8"/>
  <c r="BIV3" i="8"/>
  <c r="BIW3" i="8"/>
  <c r="BIX3" i="8"/>
  <c r="BIY3" i="8"/>
  <c r="BIZ3" i="8"/>
  <c r="BJA3" i="8"/>
  <c r="BJB3" i="8"/>
  <c r="BJC3" i="8"/>
  <c r="BJD3" i="8"/>
  <c r="BJE3" i="8"/>
  <c r="BJF3" i="8"/>
  <c r="BJG3" i="8"/>
  <c r="BJH3" i="8"/>
  <c r="BJI3" i="8"/>
  <c r="BJJ3" i="8"/>
  <c r="BJK3" i="8"/>
  <c r="BJL3" i="8"/>
  <c r="BJM3" i="8"/>
  <c r="BJN3" i="8"/>
  <c r="BJO3" i="8"/>
  <c r="BJP3" i="8"/>
  <c r="BJQ3" i="8"/>
  <c r="BJR3" i="8"/>
  <c r="BJS3" i="8"/>
  <c r="BJT3" i="8"/>
  <c r="BJU3" i="8"/>
  <c r="BJV3" i="8"/>
  <c r="BJW3" i="8"/>
  <c r="BJX3" i="8"/>
  <c r="BJY3" i="8"/>
  <c r="BJZ3" i="8"/>
  <c r="BKA3" i="8"/>
  <c r="BKB3" i="8"/>
  <c r="BKC3" i="8"/>
  <c r="BKD3" i="8"/>
  <c r="BKE3" i="8"/>
  <c r="BKF3" i="8"/>
  <c r="BKG3" i="8"/>
  <c r="BKH3" i="8"/>
  <c r="BKI3" i="8"/>
  <c r="BKJ3" i="8"/>
  <c r="BKK3" i="8"/>
  <c r="BKL3" i="8"/>
  <c r="BKM3" i="8"/>
  <c r="BKN3" i="8"/>
  <c r="BKO3" i="8"/>
  <c r="BKP3" i="8"/>
  <c r="BKQ3" i="8"/>
  <c r="BKR3" i="8"/>
  <c r="BKS3" i="8"/>
  <c r="BKT3" i="8"/>
  <c r="BKU3" i="8"/>
  <c r="BKV3" i="8"/>
  <c r="BKW3" i="8"/>
  <c r="BKX3" i="8"/>
  <c r="BKY3" i="8"/>
  <c r="BKZ3" i="8"/>
  <c r="BLA3" i="8"/>
  <c r="BLB3" i="8"/>
  <c r="BLC3" i="8"/>
  <c r="BLD3" i="8"/>
  <c r="BLE3" i="8"/>
  <c r="BLF3" i="8"/>
  <c r="BLG3" i="8"/>
  <c r="BLH3" i="8"/>
  <c r="BLI3" i="8"/>
  <c r="BLJ3" i="8"/>
  <c r="BLK3" i="8"/>
  <c r="BLL3" i="8"/>
  <c r="BLM3" i="8"/>
  <c r="BLN3" i="8"/>
  <c r="BLO3" i="8"/>
  <c r="BLP3" i="8"/>
  <c r="BLQ3" i="8"/>
  <c r="BLR3" i="8"/>
  <c r="BLS3" i="8"/>
  <c r="BLT3" i="8"/>
  <c r="BLU3" i="8"/>
  <c r="BLV3" i="8"/>
  <c r="BLW3" i="8"/>
  <c r="BLX3" i="8"/>
  <c r="BLY3" i="8"/>
  <c r="BLZ3" i="8"/>
  <c r="BMA3" i="8"/>
  <c r="BMB3" i="8"/>
  <c r="BMC3" i="8"/>
  <c r="BMD3" i="8"/>
  <c r="BME3" i="8"/>
  <c r="BMF3" i="8"/>
  <c r="BMG3" i="8"/>
  <c r="BMH3" i="8"/>
  <c r="BMI3" i="8"/>
  <c r="BMJ3" i="8"/>
  <c r="BMK3" i="8"/>
  <c r="BML3" i="8"/>
  <c r="BMM3" i="8"/>
  <c r="BMN3" i="8"/>
  <c r="BMO3" i="8"/>
  <c r="BMP3" i="8"/>
  <c r="BMQ3" i="8"/>
  <c r="BMR3" i="8"/>
  <c r="BMS3" i="8"/>
  <c r="BMT3" i="8"/>
  <c r="BMU3" i="8"/>
  <c r="BMV3" i="8"/>
  <c r="BMW3" i="8"/>
  <c r="BMX3" i="8"/>
  <c r="BMY3" i="8"/>
  <c r="BMZ3" i="8"/>
  <c r="BNA3" i="8"/>
  <c r="BNB3" i="8"/>
  <c r="BNC3" i="8"/>
  <c r="BND3" i="8"/>
  <c r="BNE3" i="8"/>
  <c r="BNF3" i="8"/>
  <c r="BNG3" i="8"/>
  <c r="BNH3" i="8"/>
  <c r="BNI3" i="8"/>
  <c r="BNJ3" i="8"/>
  <c r="BNK3" i="8"/>
  <c r="BNL3" i="8"/>
  <c r="BNM3" i="8"/>
  <c r="BNN3" i="8"/>
  <c r="BNO3" i="8"/>
  <c r="BNP3" i="8"/>
  <c r="BNQ3" i="8"/>
  <c r="BNR3" i="8"/>
  <c r="BNS3" i="8"/>
  <c r="BNT3" i="8"/>
  <c r="BNU3" i="8"/>
  <c r="BNV3" i="8"/>
  <c r="BNW3" i="8"/>
  <c r="BNX3" i="8"/>
  <c r="BNY3" i="8"/>
  <c r="BNZ3" i="8"/>
  <c r="BOA3" i="8"/>
  <c r="BOB3" i="8"/>
  <c r="BOC3" i="8"/>
  <c r="BOD3" i="8"/>
  <c r="BOE3" i="8"/>
  <c r="BOF3" i="8"/>
  <c r="BOG3" i="8"/>
  <c r="BOH3" i="8"/>
  <c r="BOI3" i="8"/>
  <c r="BOJ3" i="8"/>
  <c r="BOK3" i="8"/>
  <c r="BOL3" i="8"/>
  <c r="BOM3" i="8"/>
  <c r="BON3" i="8"/>
  <c r="BOO3" i="8"/>
  <c r="BOP3" i="8"/>
  <c r="BOQ3" i="8"/>
  <c r="BOR3" i="8"/>
  <c r="BOS3" i="8"/>
  <c r="BOT3" i="8"/>
  <c r="BOU3" i="8"/>
  <c r="BOV3" i="8"/>
  <c r="BOW3" i="8"/>
  <c r="BOX3" i="8"/>
  <c r="BOY3" i="8"/>
  <c r="BOZ3" i="8"/>
  <c r="BPA3" i="8"/>
  <c r="BPB3" i="8"/>
  <c r="BPC3" i="8"/>
  <c r="BPD3" i="8"/>
  <c r="BPE3" i="8"/>
  <c r="BPF3" i="8"/>
  <c r="BPG3" i="8"/>
  <c r="BPH3" i="8"/>
  <c r="BPI3" i="8"/>
  <c r="BPJ3" i="8"/>
  <c r="BPK3" i="8"/>
  <c r="BPL3" i="8"/>
  <c r="BPM3" i="8"/>
  <c r="BPN3" i="8"/>
  <c r="BPO3" i="8"/>
  <c r="BPP3" i="8"/>
  <c r="BPQ3" i="8"/>
  <c r="BPR3" i="8"/>
  <c r="BPS3" i="8"/>
  <c r="BPT3" i="8"/>
  <c r="BPU3" i="8"/>
  <c r="BPV3" i="8"/>
  <c r="BPW3" i="8"/>
  <c r="BPX3" i="8"/>
  <c r="BPY3" i="8"/>
  <c r="BPZ3" i="8"/>
  <c r="BQA3" i="8"/>
  <c r="BQB3" i="8"/>
  <c r="BQC3" i="8"/>
  <c r="BQD3" i="8"/>
  <c r="BQE3" i="8"/>
  <c r="BQF3" i="8"/>
  <c r="BQG3" i="8"/>
  <c r="BQH3" i="8"/>
  <c r="BQI3" i="8"/>
  <c r="BQJ3" i="8"/>
  <c r="BQK3" i="8"/>
  <c r="BQL3" i="8"/>
  <c r="BQM3" i="8"/>
  <c r="BQN3" i="8"/>
  <c r="BQO3" i="8"/>
  <c r="BQP3" i="8"/>
  <c r="BQQ3" i="8"/>
  <c r="BQR3" i="8"/>
  <c r="BQS3" i="8"/>
  <c r="BQT3" i="8"/>
  <c r="BQU3" i="8"/>
  <c r="BQV3" i="8"/>
  <c r="BQW3" i="8"/>
  <c r="BQX3" i="8"/>
  <c r="BQY3" i="8"/>
  <c r="BQZ3" i="8"/>
  <c r="BRA3" i="8"/>
  <c r="BRB3" i="8"/>
  <c r="BRC3" i="8"/>
  <c r="BRD3" i="8"/>
  <c r="BRE3" i="8"/>
  <c r="BRF3" i="8"/>
  <c r="BRG3" i="8"/>
  <c r="BRH3" i="8"/>
  <c r="BRI3" i="8"/>
  <c r="BRJ3" i="8"/>
  <c r="BRK3" i="8"/>
  <c r="BRL3" i="8"/>
  <c r="BRM3" i="8"/>
  <c r="BRN3" i="8"/>
  <c r="BRO3" i="8"/>
  <c r="BRP3" i="8"/>
  <c r="BRQ3" i="8"/>
  <c r="BRR3" i="8"/>
  <c r="BRS3" i="8"/>
  <c r="BRT3" i="8"/>
  <c r="BRU3" i="8"/>
  <c r="BRV3" i="8"/>
  <c r="BRW3" i="8"/>
  <c r="BRX3" i="8"/>
  <c r="BRY3" i="8"/>
  <c r="BRZ3" i="8"/>
  <c r="BSA3" i="8"/>
  <c r="BSB3" i="8"/>
  <c r="BSC3" i="8"/>
  <c r="BSD3" i="8"/>
  <c r="BSE3" i="8"/>
  <c r="BSF3" i="8"/>
  <c r="BSG3" i="8"/>
  <c r="BSH3" i="8"/>
  <c r="BSI3" i="8"/>
  <c r="BSJ3" i="8"/>
  <c r="BSK3" i="8"/>
  <c r="BSL3" i="8"/>
  <c r="BSM3" i="8"/>
  <c r="BSN3" i="8"/>
  <c r="BSO3" i="8"/>
  <c r="BSP3" i="8"/>
  <c r="BSQ3" i="8"/>
  <c r="BSR3" i="8"/>
  <c r="BSS3" i="8"/>
  <c r="BST3" i="8"/>
  <c r="BSU3" i="8"/>
  <c r="BSV3" i="8"/>
  <c r="BSW3" i="8"/>
  <c r="BSX3" i="8"/>
  <c r="BSY3" i="8"/>
  <c r="BSZ3" i="8"/>
  <c r="BTA3" i="8"/>
  <c r="BTB3" i="8"/>
  <c r="BTC3" i="8"/>
  <c r="BTD3" i="8"/>
  <c r="BTE3" i="8"/>
  <c r="BTF3" i="8"/>
  <c r="BTG3" i="8"/>
  <c r="BTH3" i="8"/>
  <c r="BTI3" i="8"/>
  <c r="BTJ3" i="8"/>
  <c r="BTK3" i="8"/>
  <c r="BTL3" i="8"/>
  <c r="BTM3" i="8"/>
  <c r="BTN3" i="8"/>
  <c r="BTO3" i="8"/>
  <c r="BTP3" i="8"/>
  <c r="BTQ3" i="8"/>
  <c r="BTR3" i="8"/>
  <c r="BTS3" i="8"/>
  <c r="BTT3" i="8"/>
  <c r="BTU3" i="8"/>
  <c r="BTV3" i="8"/>
  <c r="BTW3" i="8"/>
  <c r="DIM3" i="8"/>
  <c r="DIN3" i="8"/>
  <c r="DIP3" i="8"/>
  <c r="DIR3" i="8"/>
  <c r="DIS3" i="8"/>
  <c r="DIU3" i="8"/>
  <c r="DIW3" i="8"/>
  <c r="DIY3" i="8"/>
  <c r="DIZ3" i="8"/>
  <c r="DJB3" i="8"/>
  <c r="DJD3" i="8"/>
  <c r="DJF3" i="8"/>
  <c r="DJH3" i="8"/>
  <c r="DJJ3" i="8"/>
  <c r="DJL3" i="8"/>
  <c r="DJN3" i="8"/>
  <c r="DJP3" i="8"/>
  <c r="DJR3" i="8"/>
  <c r="DJT3" i="8"/>
  <c r="DJU3" i="8"/>
  <c r="DJW3" i="8"/>
  <c r="DJY3" i="8"/>
  <c r="DKA3" i="8"/>
  <c r="DKC3" i="8"/>
  <c r="DKE3" i="8"/>
  <c r="DKG3" i="8"/>
  <c r="DKI3" i="8"/>
  <c r="DKK3" i="8"/>
  <c r="DKM3" i="8"/>
  <c r="DKN3" i="8"/>
  <c r="DKP3" i="8"/>
  <c r="DKR3" i="8"/>
  <c r="DKT3" i="8"/>
  <c r="DKV3" i="8"/>
  <c r="DKX3" i="8"/>
  <c r="DKZ3" i="8"/>
  <c r="DLB3" i="8"/>
  <c r="DLD3" i="8"/>
  <c r="DLE3" i="8"/>
  <c r="DLG3" i="8"/>
  <c r="DLI3" i="8"/>
  <c r="DLK3" i="8"/>
  <c r="DLL3" i="8"/>
  <c r="DLN3" i="8"/>
  <c r="DLP3" i="8"/>
  <c r="DLR3" i="8"/>
  <c r="DLT3" i="8"/>
  <c r="DLV3" i="8"/>
  <c r="DLX3" i="8"/>
  <c r="DLZ3" i="8"/>
  <c r="DMB3" i="8"/>
  <c r="DMD3" i="8"/>
  <c r="DMF3" i="8"/>
  <c r="DMH3" i="8"/>
  <c r="DMI3" i="8"/>
  <c r="DMK3" i="8"/>
  <c r="DMM3" i="8"/>
  <c r="DMO3" i="8"/>
  <c r="DMQ3" i="8"/>
  <c r="DMS3" i="8"/>
  <c r="DMU3" i="8"/>
  <c r="DMW3" i="8"/>
  <c r="DMY3" i="8"/>
  <c r="DNA3" i="8"/>
  <c r="DNC3" i="8"/>
  <c r="DNE3" i="8"/>
  <c r="DNG3" i="8"/>
  <c r="DNI3" i="8"/>
  <c r="DNK3" i="8"/>
  <c r="DNM3" i="8"/>
  <c r="DNN3" i="8"/>
  <c r="DNP3" i="8"/>
  <c r="DNR3" i="8"/>
  <c r="DNT3" i="8"/>
  <c r="DNV3" i="8"/>
  <c r="DNX3" i="8"/>
  <c r="DNZ3" i="8"/>
  <c r="DOB3" i="8"/>
  <c r="DOD3" i="8"/>
  <c r="DOF3" i="8"/>
  <c r="DOH3" i="8"/>
  <c r="DOJ3" i="8"/>
  <c r="DOL3" i="8"/>
  <c r="DON3" i="8"/>
  <c r="DOP3" i="8"/>
  <c r="DOQ3" i="8"/>
  <c r="DOS3" i="8"/>
  <c r="DOU3" i="8"/>
  <c r="DOW3" i="8"/>
  <c r="DOY3" i="8"/>
  <c r="DPA3" i="8"/>
  <c r="DPC3" i="8"/>
  <c r="DPD3" i="8"/>
  <c r="DPF3" i="8"/>
  <c r="DPH3" i="8"/>
  <c r="DPJ3" i="8"/>
  <c r="DPL3" i="8"/>
  <c r="DPN3" i="8"/>
  <c r="DPP3" i="8"/>
  <c r="DPR3" i="8"/>
  <c r="DPT3" i="8"/>
  <c r="DPV3" i="8"/>
  <c r="DPX3" i="8"/>
  <c r="DPZ3" i="8"/>
  <c r="DQB3" i="8"/>
  <c r="DQD3" i="8"/>
  <c r="DQF3" i="8"/>
  <c r="DQH3" i="8"/>
  <c r="DQJ3" i="8"/>
  <c r="DQL3" i="8"/>
  <c r="DQN3" i="8"/>
  <c r="DQP3" i="8"/>
  <c r="DQR3" i="8"/>
  <c r="DQT3" i="8"/>
  <c r="DQV3" i="8"/>
  <c r="DQX3" i="8"/>
  <c r="DQZ3" i="8"/>
  <c r="DRB3" i="8"/>
  <c r="DRD3" i="8"/>
  <c r="DRF3" i="8"/>
  <c r="DRH3" i="8"/>
  <c r="DRJ3" i="8"/>
  <c r="DRL3" i="8"/>
  <c r="DRN3" i="8"/>
  <c r="DRP3" i="8"/>
  <c r="DRR3" i="8"/>
  <c r="DRS3" i="8"/>
  <c r="DRU3" i="8"/>
  <c r="DRW3" i="8"/>
  <c r="DRY3" i="8"/>
  <c r="DSA3" i="8"/>
  <c r="DSC3" i="8"/>
  <c r="DSE3" i="8"/>
  <c r="DSG3" i="8"/>
  <c r="DSI3" i="8"/>
  <c r="DSK3" i="8"/>
  <c r="DSM3" i="8"/>
  <c r="DSO3" i="8"/>
  <c r="DSQ3" i="8"/>
  <c r="DSR3" i="8"/>
  <c r="DST3" i="8"/>
  <c r="DSV3" i="8"/>
  <c r="DSX3" i="8"/>
  <c r="DSZ3" i="8"/>
  <c r="DTB3" i="8"/>
  <c r="DTD3" i="8"/>
  <c r="DTF3" i="8"/>
  <c r="DTH3" i="8"/>
  <c r="DTJ3" i="8"/>
  <c r="DTL3" i="8"/>
  <c r="DTN3" i="8"/>
  <c r="DTP3" i="8"/>
  <c r="DTR3" i="8"/>
  <c r="DTS3" i="8"/>
  <c r="DTU3" i="8"/>
  <c r="DTW3" i="8"/>
  <c r="DTY3" i="8"/>
  <c r="DUA3" i="8"/>
  <c r="DUB3" i="8"/>
  <c r="DUD3" i="8"/>
  <c r="DUF3" i="8"/>
  <c r="DUH3" i="8"/>
  <c r="DUJ3" i="8"/>
  <c r="DUL3" i="8"/>
  <c r="DUN3" i="8"/>
  <c r="DUP3" i="8"/>
  <c r="DUQ3" i="8"/>
  <c r="DUS3" i="8"/>
  <c r="DUU3" i="8"/>
  <c r="DUW3" i="8"/>
  <c r="DUY3" i="8"/>
  <c r="DVA3" i="8"/>
  <c r="DVC3" i="8"/>
  <c r="DVE3" i="8"/>
  <c r="DVG3" i="8"/>
  <c r="DVI3" i="8"/>
  <c r="DVK3" i="8"/>
  <c r="DVM3" i="8"/>
  <c r="DVN3" i="8"/>
  <c r="DVP3" i="8"/>
  <c r="DVR3" i="8"/>
  <c r="DVT3" i="8"/>
  <c r="DVV3" i="8"/>
  <c r="DVX3" i="8"/>
  <c r="DVZ3" i="8"/>
  <c r="DWB3" i="8"/>
  <c r="DWD3" i="8"/>
  <c r="DWF3" i="8"/>
  <c r="DWH3" i="8"/>
  <c r="DWJ3" i="8"/>
  <c r="DWL3" i="8"/>
  <c r="DWN3" i="8"/>
  <c r="DWP3" i="8"/>
  <c r="DWR3" i="8"/>
  <c r="DWT3" i="8"/>
  <c r="DWV3" i="8"/>
  <c r="DWX3" i="8"/>
  <c r="DWZ3" i="8"/>
  <c r="DXB3" i="8"/>
  <c r="DXD3" i="8"/>
  <c r="DXF3" i="8"/>
  <c r="DXH3" i="8"/>
  <c r="DXJ3" i="8"/>
  <c r="DXL3" i="8"/>
  <c r="DXN3" i="8"/>
  <c r="DXP3" i="8"/>
  <c r="DXR3" i="8"/>
  <c r="DXT3" i="8"/>
  <c r="DXV3" i="8"/>
  <c r="DXX3" i="8"/>
  <c r="DXZ3" i="8"/>
  <c r="DYB3" i="8"/>
  <c r="DYD3" i="8"/>
  <c r="DYF3" i="8"/>
  <c r="DYG3" i="8"/>
  <c r="DYI3" i="8"/>
  <c r="DYK3" i="8"/>
  <c r="DYM3" i="8"/>
  <c r="DYN3" i="8"/>
  <c r="DYP3" i="8"/>
  <c r="DYR3" i="8"/>
  <c r="DYT3" i="8"/>
  <c r="DYV3" i="8"/>
  <c r="DYX3" i="8"/>
  <c r="DYZ3" i="8"/>
  <c r="DZB3" i="8"/>
  <c r="DZD3" i="8"/>
  <c r="DZF3" i="8"/>
  <c r="DZH3" i="8"/>
  <c r="DZJ3" i="8"/>
  <c r="DZK3" i="8"/>
  <c r="DZM3" i="8"/>
  <c r="DZO3" i="8"/>
  <c r="DZQ3" i="8"/>
  <c r="DZR3" i="8"/>
  <c r="DZT3" i="8"/>
  <c r="DZV3" i="8"/>
  <c r="DZX3" i="8"/>
  <c r="DZZ3" i="8"/>
  <c r="EAA3" i="8"/>
  <c r="EAC3" i="8"/>
  <c r="EAE3" i="8"/>
  <c r="EAG3" i="8"/>
  <c r="EAH3" i="8"/>
  <c r="EAJ3" i="8"/>
  <c r="EAL3" i="8"/>
  <c r="EAN3" i="8"/>
  <c r="EAP3" i="8"/>
  <c r="EAR3" i="8"/>
  <c r="EAT3" i="8"/>
  <c r="EAV3" i="8"/>
  <c r="EAX3" i="8"/>
  <c r="EAZ3" i="8"/>
  <c r="EBB3" i="8"/>
  <c r="EBD3" i="8"/>
  <c r="EBE3" i="8"/>
  <c r="EBG3" i="8"/>
  <c r="EBI3" i="8"/>
  <c r="EBK3" i="8"/>
  <c r="EBM3" i="8"/>
  <c r="EBO3" i="8"/>
  <c r="EBP3" i="8"/>
  <c r="EBR3" i="8"/>
  <c r="EBT3" i="8"/>
  <c r="EBV3" i="8"/>
  <c r="EBX3" i="8"/>
  <c r="EBY3" i="8"/>
  <c r="ECA3" i="8"/>
  <c r="ECD3" i="8"/>
  <c r="ECF3" i="8"/>
  <c r="ECI3" i="8"/>
  <c r="ECK3" i="8"/>
  <c r="ECN3" i="8"/>
  <c r="ECQ3" i="8"/>
  <c r="ECS3" i="8"/>
  <c r="ECX3" i="8"/>
  <c r="EDA3" i="8"/>
  <c r="EDD3" i="8"/>
  <c r="EDG3" i="8"/>
  <c r="EDJ3" i="8"/>
  <c r="EDM3" i="8"/>
  <c r="EDP3" i="8"/>
  <c r="EDT3" i="8"/>
  <c r="EDW3" i="8"/>
  <c r="EDZ3" i="8"/>
  <c r="EEC3" i="8"/>
  <c r="EEF3" i="8"/>
  <c r="EEH3" i="8"/>
  <c r="EEL3" i="8"/>
  <c r="EEO3" i="8"/>
  <c r="EER3" i="8"/>
  <c r="EEU3" i="8"/>
  <c r="EEX3" i="8"/>
  <c r="EEZ3" i="8"/>
  <c r="EFC3" i="8"/>
  <c r="EFE3" i="8"/>
  <c r="EFJ3" i="8"/>
  <c r="EFL3" i="8"/>
  <c r="EFN3" i="8"/>
  <c r="EFQ3" i="8"/>
  <c r="EFS3" i="8"/>
  <c r="EFU3" i="8"/>
  <c r="EFX3" i="8"/>
  <c r="EGC3" i="8"/>
  <c r="EGF3" i="8"/>
  <c r="EGI3" i="8"/>
  <c r="EGL3" i="8"/>
  <c r="EGN3" i="8"/>
  <c r="EGP3" i="8"/>
  <c r="EGS3" i="8"/>
  <c r="EGV3" i="8"/>
  <c r="EGY3" i="8"/>
  <c r="EHC3" i="8"/>
  <c r="EHE3" i="8"/>
  <c r="EHH3" i="8"/>
  <c r="EHJ3" i="8"/>
  <c r="EHM3" i="8"/>
  <c r="EHP3" i="8"/>
  <c r="EHS3" i="8"/>
  <c r="EHV3" i="8"/>
  <c r="EHY3" i="8"/>
  <c r="EIB3" i="8"/>
  <c r="EID3" i="8"/>
  <c r="EIG3" i="8"/>
  <c r="EII3" i="8"/>
  <c r="EIL3" i="8"/>
  <c r="EIP3" i="8"/>
  <c r="EIS3" i="8"/>
  <c r="EIV3" i="8"/>
  <c r="EIY3" i="8"/>
  <c r="EJA3" i="8"/>
  <c r="EJD3" i="8"/>
  <c r="EJG3" i="8"/>
  <c r="EJJ3" i="8"/>
  <c r="EJM3" i="8"/>
  <c r="EJR3" i="8"/>
  <c r="EJT3" i="8"/>
  <c r="EJV3" i="8"/>
  <c r="EJY3" i="8"/>
  <c r="EKB3" i="8"/>
  <c r="EKD3" i="8"/>
  <c r="EKF3" i="8"/>
  <c r="EKI3" i="8"/>
  <c r="EKL3" i="8"/>
  <c r="EKO3" i="8"/>
  <c r="EKR3" i="8"/>
  <c r="EKT3" i="8"/>
  <c r="EKW3" i="8"/>
  <c r="ELA3" i="8"/>
  <c r="ELD3" i="8"/>
  <c r="ELG3" i="8"/>
  <c r="ELJ3" i="8"/>
  <c r="ELM3" i="8"/>
  <c r="ELP3" i="8"/>
  <c r="ELS3" i="8"/>
  <c r="ELV3" i="8"/>
  <c r="ELZ3" i="8"/>
  <c r="EMB3" i="8"/>
  <c r="EME3" i="8"/>
  <c r="EMH3" i="8"/>
  <c r="EMK3" i="8"/>
  <c r="EMN3" i="8"/>
  <c r="EMQ3" i="8"/>
  <c r="EMT3" i="8"/>
  <c r="EMY3" i="8"/>
  <c r="ENA3" i="8"/>
  <c r="END3" i="8"/>
  <c r="ENG3" i="8"/>
  <c r="ENJ3" i="8"/>
  <c r="ENM3" i="8"/>
  <c r="ENP3" i="8"/>
  <c r="ENS3" i="8"/>
  <c r="ENU3" i="8"/>
  <c r="ENX3" i="8"/>
  <c r="ENZ3" i="8"/>
  <c r="EOC3" i="8"/>
  <c r="EOF3" i="8"/>
  <c r="EOI3" i="8"/>
  <c r="EOJ3" i="8"/>
  <c r="EOM3" i="8"/>
  <c r="BTZ3" i="8"/>
  <c r="BUA3" i="8"/>
  <c r="BUB3" i="8"/>
  <c r="BUC3" i="8"/>
  <c r="BUD3" i="8"/>
  <c r="BUE3" i="8"/>
  <c r="BUF3" i="8"/>
  <c r="BUG3" i="8"/>
  <c r="BUH3" i="8"/>
  <c r="BUI3" i="8"/>
  <c r="BUJ3" i="8"/>
  <c r="BUK3" i="8"/>
  <c r="BUL3" i="8"/>
  <c r="BUM3" i="8"/>
  <c r="BUN3" i="8"/>
  <c r="BUO3" i="8"/>
  <c r="BUP3" i="8"/>
  <c r="BUQ3" i="8"/>
  <c r="BUR3" i="8"/>
  <c r="BUS3" i="8"/>
  <c r="BUT3" i="8"/>
  <c r="BUU3" i="8"/>
  <c r="BUV3" i="8"/>
  <c r="BUW3" i="8"/>
  <c r="BUX3" i="8"/>
  <c r="BUY3" i="8"/>
  <c r="BUZ3" i="8"/>
  <c r="BVA3" i="8"/>
  <c r="BVB3" i="8"/>
  <c r="BVC3" i="8"/>
  <c r="BVD3" i="8"/>
  <c r="BVE3" i="8"/>
  <c r="BVF3" i="8"/>
  <c r="BVG3" i="8"/>
  <c r="BVH3" i="8"/>
  <c r="BVI3" i="8"/>
  <c r="BVJ3" i="8"/>
  <c r="BVK3" i="8"/>
  <c r="BVL3" i="8"/>
  <c r="BVM3" i="8"/>
  <c r="BVN3" i="8"/>
  <c r="BVO3" i="8"/>
  <c r="BVP3" i="8"/>
  <c r="BVQ3" i="8"/>
  <c r="BVR3" i="8"/>
  <c r="BVS3" i="8"/>
  <c r="BVT3" i="8"/>
  <c r="BVU3" i="8"/>
  <c r="BVV3" i="8"/>
  <c r="BVW3" i="8"/>
  <c r="BVX3" i="8"/>
  <c r="BVY3" i="8"/>
  <c r="BVZ3" i="8"/>
  <c r="BWA3" i="8"/>
  <c r="BWB3" i="8"/>
  <c r="BWC3" i="8"/>
  <c r="BWD3" i="8"/>
  <c r="BWE3" i="8"/>
  <c r="BWF3" i="8"/>
  <c r="BWG3" i="8"/>
  <c r="BWH3" i="8"/>
  <c r="BWI3" i="8"/>
  <c r="BWJ3" i="8"/>
  <c r="BWK3" i="8"/>
  <c r="BWL3" i="8"/>
  <c r="BWM3" i="8"/>
  <c r="BWN3" i="8"/>
  <c r="BWO3" i="8"/>
  <c r="BWP3" i="8"/>
  <c r="BWQ3" i="8"/>
  <c r="BWR3" i="8"/>
  <c r="BWS3" i="8"/>
  <c r="BWT3" i="8"/>
  <c r="BWU3" i="8"/>
  <c r="BWV3" i="8"/>
  <c r="BWW3" i="8"/>
  <c r="BWX3" i="8"/>
  <c r="BWY3" i="8"/>
  <c r="BWZ3" i="8"/>
  <c r="BXA3" i="8"/>
  <c r="BXB3" i="8"/>
  <c r="BXC3" i="8"/>
  <c r="BXD3" i="8"/>
  <c r="BXE3" i="8"/>
  <c r="BXF3" i="8"/>
  <c r="BXG3" i="8"/>
  <c r="BXH3" i="8"/>
  <c r="BXI3" i="8"/>
  <c r="BXJ3" i="8"/>
  <c r="BXK3" i="8"/>
  <c r="BXL3" i="8"/>
  <c r="BXM3" i="8"/>
  <c r="BXN3" i="8"/>
  <c r="BXO3" i="8"/>
  <c r="BXP3" i="8"/>
  <c r="BXQ3" i="8"/>
  <c r="BXR3" i="8"/>
  <c r="BXS3" i="8"/>
  <c r="BXT3" i="8"/>
  <c r="BXU3" i="8"/>
  <c r="BXV3" i="8"/>
  <c r="BXW3" i="8"/>
  <c r="BXX3" i="8"/>
  <c r="BXY3" i="8"/>
  <c r="BXZ3" i="8"/>
  <c r="BYA3" i="8"/>
  <c r="BYB3" i="8"/>
  <c r="BYC3" i="8"/>
  <c r="BYD3" i="8"/>
  <c r="BYE3" i="8"/>
  <c r="BYF3" i="8"/>
  <c r="BYG3" i="8"/>
  <c r="BYH3" i="8"/>
  <c r="BYI3" i="8"/>
  <c r="BYJ3" i="8"/>
  <c r="BYK3" i="8"/>
  <c r="BYL3" i="8"/>
  <c r="BYM3" i="8"/>
  <c r="BYN3" i="8"/>
  <c r="BYO3" i="8"/>
  <c r="BYP3" i="8"/>
  <c r="BYQ3" i="8"/>
  <c r="BYR3" i="8"/>
  <c r="BYS3" i="8"/>
  <c r="BYT3" i="8"/>
  <c r="BYU3" i="8"/>
  <c r="BYV3" i="8"/>
  <c r="BYW3" i="8"/>
  <c r="BYX3" i="8"/>
  <c r="BYY3" i="8"/>
  <c r="BYZ3" i="8"/>
  <c r="BZA3" i="8"/>
  <c r="BZB3" i="8"/>
  <c r="BZC3" i="8"/>
  <c r="BZD3" i="8"/>
  <c r="BZE3" i="8"/>
  <c r="BZF3" i="8"/>
  <c r="BZG3" i="8"/>
  <c r="BZH3" i="8"/>
  <c r="BZI3" i="8"/>
  <c r="BZJ3" i="8"/>
  <c r="BZK3" i="8"/>
  <c r="BZL3" i="8"/>
  <c r="BZM3" i="8"/>
  <c r="BZN3" i="8"/>
  <c r="BZO3" i="8"/>
  <c r="BZP3" i="8"/>
  <c r="BZQ3" i="8"/>
  <c r="BZR3" i="8"/>
  <c r="BZS3" i="8"/>
  <c r="BZT3" i="8"/>
  <c r="BZU3" i="8"/>
  <c r="BZV3" i="8"/>
  <c r="BZW3" i="8"/>
  <c r="BZX3" i="8"/>
  <c r="BZY3" i="8"/>
  <c r="BZZ3" i="8"/>
  <c r="CAA3" i="8"/>
  <c r="CAB3" i="8"/>
  <c r="CAC3" i="8"/>
  <c r="CAD3" i="8"/>
  <c r="CAE3" i="8"/>
  <c r="CAF3" i="8"/>
  <c r="CAG3" i="8"/>
  <c r="CAH3" i="8"/>
  <c r="CAI3" i="8"/>
  <c r="CAJ3" i="8"/>
  <c r="CAK3" i="8"/>
  <c r="CAL3" i="8"/>
  <c r="CAM3" i="8"/>
  <c r="CAN3" i="8"/>
  <c r="CAO3" i="8"/>
  <c r="CAP3" i="8"/>
  <c r="CAQ3" i="8"/>
  <c r="CAR3" i="8"/>
  <c r="CAS3" i="8"/>
  <c r="CAT3" i="8"/>
  <c r="CAU3" i="8"/>
  <c r="CAV3" i="8"/>
  <c r="CAW3" i="8"/>
  <c r="CAX3" i="8"/>
  <c r="CAY3" i="8"/>
  <c r="CAZ3" i="8"/>
  <c r="CBA3" i="8"/>
  <c r="CBB3" i="8"/>
  <c r="CBC3" i="8"/>
  <c r="CBD3" i="8"/>
  <c r="CBE3" i="8"/>
  <c r="CBF3" i="8"/>
  <c r="CBG3" i="8"/>
  <c r="CBH3" i="8"/>
  <c r="CBI3" i="8"/>
  <c r="CBJ3" i="8"/>
  <c r="CBK3" i="8"/>
  <c r="CBL3" i="8"/>
  <c r="CBM3" i="8"/>
  <c r="CBN3" i="8"/>
  <c r="CBO3" i="8"/>
  <c r="CBP3" i="8"/>
  <c r="CBQ3" i="8"/>
  <c r="CBR3" i="8"/>
  <c r="CBS3" i="8"/>
  <c r="CBT3" i="8"/>
  <c r="CBU3" i="8"/>
  <c r="CBV3" i="8"/>
  <c r="CBW3" i="8"/>
  <c r="CBX3" i="8"/>
  <c r="CBY3" i="8"/>
  <c r="CBZ3" i="8"/>
  <c r="CCA3" i="8"/>
  <c r="CCB3" i="8"/>
  <c r="CCC3" i="8"/>
  <c r="CCD3" i="8"/>
  <c r="CCE3" i="8"/>
  <c r="CCF3" i="8"/>
  <c r="CCG3" i="8"/>
  <c r="CCH3" i="8"/>
  <c r="CCI3" i="8"/>
  <c r="CCJ3" i="8"/>
  <c r="CCK3" i="8"/>
  <c r="CCL3" i="8"/>
  <c r="CCM3" i="8"/>
  <c r="CCN3" i="8"/>
  <c r="CCO3" i="8"/>
  <c r="CCP3" i="8"/>
  <c r="CCQ3" i="8"/>
  <c r="CCR3" i="8"/>
  <c r="CCS3" i="8"/>
  <c r="CCT3" i="8"/>
  <c r="CCU3" i="8"/>
  <c r="CCV3" i="8"/>
  <c r="CCW3" i="8"/>
  <c r="CCX3" i="8"/>
  <c r="CCY3" i="8"/>
  <c r="CCZ3" i="8"/>
  <c r="CDA3" i="8"/>
  <c r="CDB3" i="8"/>
  <c r="CDC3" i="8"/>
  <c r="CDD3" i="8"/>
  <c r="CDE3" i="8"/>
  <c r="CDF3" i="8"/>
  <c r="CDG3" i="8"/>
  <c r="CDH3" i="8"/>
  <c r="CDI3" i="8"/>
  <c r="CDJ3" i="8"/>
  <c r="CDK3" i="8"/>
  <c r="CDL3" i="8"/>
  <c r="CDM3" i="8"/>
  <c r="CDN3" i="8"/>
  <c r="CDO3" i="8"/>
  <c r="CDP3" i="8"/>
  <c r="CDQ3" i="8"/>
  <c r="CDR3" i="8"/>
  <c r="CDS3" i="8"/>
  <c r="CDT3" i="8"/>
  <c r="CDU3" i="8"/>
  <c r="CDV3" i="8"/>
  <c r="CDW3" i="8"/>
  <c r="CDX3" i="8"/>
  <c r="CDY3" i="8"/>
  <c r="CDZ3" i="8"/>
  <c r="CEA3" i="8"/>
  <c r="CEB3" i="8"/>
  <c r="CEC3" i="8"/>
  <c r="CED3" i="8"/>
  <c r="CEE3" i="8"/>
  <c r="CEF3" i="8"/>
  <c r="CEG3" i="8"/>
  <c r="CEH3" i="8"/>
  <c r="CEI3" i="8"/>
  <c r="CEJ3" i="8"/>
  <c r="CEK3" i="8"/>
  <c r="CEL3" i="8"/>
  <c r="CEM3" i="8"/>
  <c r="CEN3" i="8"/>
  <c r="CEO3" i="8"/>
  <c r="CEP3" i="8"/>
  <c r="CEQ3" i="8"/>
  <c r="CER3" i="8"/>
  <c r="CES3" i="8"/>
  <c r="CET3" i="8"/>
  <c r="CEU3" i="8"/>
  <c r="CEV3" i="8"/>
  <c r="CEW3" i="8"/>
  <c r="CEX3" i="8"/>
  <c r="CEY3" i="8"/>
  <c r="CEZ3" i="8"/>
  <c r="CFA3" i="8"/>
  <c r="CFB3" i="8"/>
  <c r="CFC3" i="8"/>
  <c r="CFD3" i="8"/>
  <c r="CFE3" i="8"/>
  <c r="CFF3" i="8"/>
  <c r="CFG3" i="8"/>
  <c r="CFH3" i="8"/>
  <c r="CFI3" i="8"/>
  <c r="CFJ3" i="8"/>
  <c r="CFK3" i="8"/>
  <c r="CFL3" i="8"/>
  <c r="CFM3" i="8"/>
  <c r="CFN3" i="8"/>
  <c r="CFO3" i="8"/>
  <c r="CFP3" i="8"/>
  <c r="CFQ3" i="8"/>
  <c r="CFR3" i="8"/>
  <c r="CFS3" i="8"/>
  <c r="CFT3" i="8"/>
  <c r="CFU3" i="8"/>
  <c r="CFV3" i="8"/>
  <c r="CFW3" i="8"/>
  <c r="CFX3" i="8"/>
  <c r="CFY3" i="8"/>
  <c r="CFZ3" i="8"/>
  <c r="CGA3" i="8"/>
  <c r="CGB3" i="8"/>
  <c r="CGC3" i="8"/>
  <c r="CGD3" i="8"/>
  <c r="CGE3" i="8"/>
  <c r="CGF3" i="8"/>
  <c r="CGG3" i="8"/>
  <c r="CGH3" i="8"/>
  <c r="CGI3" i="8"/>
  <c r="CGJ3" i="8"/>
  <c r="CGK3" i="8"/>
  <c r="CGL3" i="8"/>
  <c r="CGM3" i="8"/>
  <c r="CGN3" i="8"/>
  <c r="CGO3" i="8"/>
  <c r="CGP3" i="8"/>
  <c r="CGQ3" i="8"/>
  <c r="CGR3" i="8"/>
  <c r="CGS3" i="8"/>
  <c r="CGT3" i="8"/>
  <c r="CGU3" i="8"/>
  <c r="CGV3" i="8"/>
  <c r="CGW3" i="8"/>
  <c r="CGX3" i="8"/>
  <c r="CGY3" i="8"/>
  <c r="CGZ3" i="8"/>
  <c r="CHA3" i="8"/>
  <c r="CHB3" i="8"/>
  <c r="CHC3" i="8"/>
  <c r="CHD3" i="8"/>
  <c r="CHE3" i="8"/>
  <c r="CHF3" i="8"/>
  <c r="CHG3" i="8"/>
  <c r="CHH3" i="8"/>
  <c r="CHI3" i="8"/>
  <c r="CHJ3" i="8"/>
  <c r="CHK3" i="8"/>
  <c r="CHL3" i="8"/>
  <c r="CHM3" i="8"/>
  <c r="CHN3" i="8"/>
  <c r="CHO3" i="8"/>
  <c r="CHP3" i="8"/>
  <c r="CHQ3" i="8"/>
  <c r="CHR3" i="8"/>
  <c r="CHS3" i="8"/>
  <c r="CHT3" i="8"/>
  <c r="CHU3" i="8"/>
  <c r="CHV3" i="8"/>
  <c r="CHW3" i="8"/>
  <c r="CHX3" i="8"/>
  <c r="CHY3" i="8"/>
  <c r="CHZ3" i="8"/>
  <c r="CIA3" i="8"/>
  <c r="CIB3" i="8"/>
  <c r="CIC3" i="8"/>
  <c r="CID3" i="8"/>
  <c r="CIE3" i="8"/>
  <c r="CIF3" i="8"/>
  <c r="CIG3" i="8"/>
  <c r="CIH3" i="8"/>
  <c r="CII3" i="8"/>
  <c r="CIJ3" i="8"/>
  <c r="CIK3" i="8"/>
  <c r="CIL3" i="8"/>
  <c r="CIM3" i="8"/>
  <c r="CIN3" i="8"/>
  <c r="CIO3" i="8"/>
  <c r="CIP3" i="8"/>
  <c r="CIQ3" i="8"/>
  <c r="CIR3" i="8"/>
  <c r="CIS3" i="8"/>
  <c r="CIT3" i="8"/>
  <c r="CIU3" i="8"/>
  <c r="CIV3" i="8"/>
  <c r="CIW3" i="8"/>
  <c r="CIX3" i="8"/>
  <c r="CIY3" i="8"/>
  <c r="CIZ3" i="8"/>
  <c r="CJA3" i="8"/>
  <c r="CJB3" i="8"/>
  <c r="CJC3" i="8"/>
  <c r="CJD3" i="8"/>
  <c r="CJE3" i="8"/>
  <c r="CJF3" i="8"/>
  <c r="CJG3" i="8"/>
  <c r="CJH3" i="8"/>
  <c r="CJI3" i="8"/>
  <c r="CJJ3" i="8"/>
  <c r="CJK3" i="8"/>
  <c r="CJL3" i="8"/>
  <c r="CJM3" i="8"/>
  <c r="CJN3" i="8"/>
  <c r="CJO3" i="8"/>
  <c r="CJP3" i="8"/>
  <c r="CJQ3" i="8"/>
  <c r="CJR3" i="8"/>
  <c r="CJS3" i="8"/>
  <c r="CJT3" i="8"/>
  <c r="CJU3" i="8"/>
  <c r="CJV3" i="8"/>
  <c r="CJW3" i="8"/>
  <c r="CJX3" i="8"/>
  <c r="CJY3" i="8"/>
  <c r="CJZ3" i="8"/>
  <c r="CKA3" i="8"/>
  <c r="CKB3" i="8"/>
  <c r="CKC3" i="8"/>
  <c r="CKD3" i="8"/>
  <c r="CKE3" i="8"/>
  <c r="CKF3" i="8"/>
  <c r="CKG3" i="8"/>
  <c r="CKH3" i="8"/>
  <c r="CKI3" i="8"/>
  <c r="CKJ3" i="8"/>
  <c r="CKK3" i="8"/>
  <c r="CKL3" i="8"/>
  <c r="CKM3" i="8"/>
  <c r="CKN3" i="8"/>
  <c r="CKO3" i="8"/>
  <c r="CKP3" i="8"/>
  <c r="CKQ3" i="8"/>
  <c r="CKR3" i="8"/>
  <c r="CKS3" i="8"/>
  <c r="CKT3" i="8"/>
  <c r="CKU3" i="8"/>
  <c r="CKV3" i="8"/>
  <c r="CKW3" i="8"/>
  <c r="CKX3" i="8"/>
  <c r="CKY3" i="8"/>
  <c r="CKZ3" i="8"/>
  <c r="CLA3" i="8"/>
  <c r="CLB3" i="8"/>
  <c r="CLC3" i="8"/>
  <c r="CLD3" i="8"/>
  <c r="CLE3" i="8"/>
  <c r="CLF3" i="8"/>
  <c r="CLG3" i="8"/>
  <c r="CLH3" i="8"/>
  <c r="CLI3" i="8"/>
  <c r="CLJ3" i="8"/>
  <c r="CLK3" i="8"/>
  <c r="CLL3" i="8"/>
  <c r="CLM3" i="8"/>
  <c r="CLN3" i="8"/>
  <c r="CLO3" i="8"/>
  <c r="CLP3" i="8"/>
  <c r="CLQ3" i="8"/>
  <c r="CLR3" i="8"/>
  <c r="CLS3" i="8"/>
  <c r="CLT3" i="8"/>
  <c r="CLU3" i="8"/>
  <c r="CLV3" i="8"/>
  <c r="CLW3" i="8"/>
  <c r="CLX3" i="8"/>
  <c r="CLY3" i="8"/>
  <c r="CLZ3" i="8"/>
  <c r="CMA3" i="8"/>
  <c r="CMB3" i="8"/>
  <c r="CMC3" i="8"/>
  <c r="CMD3" i="8"/>
  <c r="CME3" i="8"/>
  <c r="CMF3" i="8"/>
  <c r="CMG3" i="8"/>
  <c r="CMH3" i="8"/>
  <c r="CMI3" i="8"/>
  <c r="CMJ3" i="8"/>
  <c r="CMK3" i="8"/>
  <c r="CML3" i="8"/>
  <c r="CMM3" i="8"/>
  <c r="CMN3" i="8"/>
  <c r="CMO3" i="8"/>
  <c r="CMP3" i="8"/>
  <c r="CMQ3" i="8"/>
  <c r="CMR3" i="8"/>
  <c r="CMS3" i="8"/>
  <c r="CMT3" i="8"/>
  <c r="CMU3" i="8"/>
  <c r="CMV3" i="8"/>
  <c r="CMW3" i="8"/>
  <c r="CMX3" i="8"/>
  <c r="CMY3" i="8"/>
  <c r="CMZ3" i="8"/>
  <c r="CNA3" i="8"/>
  <c r="CNB3" i="8"/>
  <c r="CNC3" i="8"/>
  <c r="CND3" i="8"/>
  <c r="CNE3" i="8"/>
  <c r="CNF3" i="8"/>
  <c r="CNG3" i="8"/>
  <c r="CNH3" i="8"/>
  <c r="CNI3" i="8"/>
  <c r="CNJ3" i="8"/>
  <c r="CNK3" i="8"/>
  <c r="CNL3" i="8"/>
  <c r="CNM3" i="8"/>
  <c r="CNN3" i="8"/>
  <c r="CNO3" i="8"/>
  <c r="CNP3" i="8"/>
  <c r="CNQ3" i="8"/>
  <c r="CNR3" i="8"/>
  <c r="CNS3" i="8"/>
  <c r="CNT3" i="8"/>
  <c r="CNU3" i="8"/>
  <c r="CNV3" i="8"/>
  <c r="CNW3" i="8"/>
  <c r="CNX3" i="8"/>
  <c r="CNY3" i="8"/>
  <c r="CNZ3" i="8"/>
  <c r="COA3" i="8"/>
  <c r="COB3" i="8"/>
  <c r="COC3" i="8"/>
  <c r="COD3" i="8"/>
  <c r="COE3" i="8"/>
  <c r="COF3" i="8"/>
  <c r="COG3" i="8"/>
  <c r="COH3" i="8"/>
  <c r="COI3" i="8"/>
  <c r="COJ3" i="8"/>
  <c r="COK3" i="8"/>
  <c r="COL3" i="8"/>
  <c r="COM3" i="8"/>
  <c r="CON3" i="8"/>
  <c r="COO3" i="8"/>
  <c r="COP3" i="8"/>
  <c r="COQ3" i="8"/>
  <c r="COR3" i="8"/>
  <c r="COS3" i="8"/>
  <c r="COT3" i="8"/>
  <c r="COU3" i="8"/>
  <c r="COV3" i="8"/>
  <c r="COW3" i="8"/>
  <c r="COX3" i="8"/>
  <c r="COY3" i="8"/>
  <c r="COZ3" i="8"/>
  <c r="CPA3" i="8"/>
  <c r="CPB3" i="8"/>
  <c r="CPC3" i="8"/>
  <c r="CPD3" i="8"/>
  <c r="CPE3" i="8"/>
  <c r="CPF3" i="8"/>
  <c r="CPG3" i="8"/>
  <c r="CPH3" i="8"/>
  <c r="CPI3" i="8"/>
  <c r="CPJ3" i="8"/>
  <c r="CPK3" i="8"/>
  <c r="CPL3" i="8"/>
  <c r="CPM3" i="8"/>
  <c r="CPN3" i="8"/>
  <c r="CPO3" i="8"/>
  <c r="CPP3" i="8"/>
  <c r="CPQ3" i="8"/>
  <c r="CPR3" i="8"/>
  <c r="CPS3" i="8"/>
  <c r="CPT3" i="8"/>
  <c r="CPU3" i="8"/>
  <c r="CPV3" i="8"/>
  <c r="CPW3" i="8"/>
  <c r="CPX3" i="8"/>
  <c r="CPY3" i="8"/>
  <c r="CPZ3" i="8"/>
  <c r="CQA3" i="8"/>
  <c r="CQB3" i="8"/>
  <c r="CQC3" i="8"/>
  <c r="CQD3" i="8"/>
  <c r="CQE3" i="8"/>
  <c r="CQF3" i="8"/>
  <c r="CQG3" i="8"/>
  <c r="CQH3" i="8"/>
  <c r="CQI3" i="8"/>
  <c r="CQJ3" i="8"/>
  <c r="CQK3" i="8"/>
  <c r="CQL3" i="8"/>
  <c r="CQM3" i="8"/>
  <c r="CQN3" i="8"/>
  <c r="CQO3" i="8"/>
  <c r="CQP3" i="8"/>
  <c r="CQQ3" i="8"/>
  <c r="CQR3" i="8"/>
  <c r="CQS3" i="8"/>
  <c r="CQT3" i="8"/>
  <c r="CQU3" i="8"/>
  <c r="CQV3" i="8"/>
  <c r="CQW3" i="8"/>
  <c r="CQX3" i="8"/>
  <c r="CQY3" i="8"/>
  <c r="CQZ3" i="8"/>
  <c r="CRA3" i="8"/>
  <c r="CRB3" i="8"/>
  <c r="CRC3" i="8"/>
  <c r="CRD3" i="8"/>
  <c r="CRE3" i="8"/>
  <c r="CRF3" i="8"/>
  <c r="CRG3" i="8"/>
  <c r="CRH3" i="8"/>
  <c r="CRI3" i="8"/>
  <c r="CRJ3" i="8"/>
  <c r="CRK3" i="8"/>
  <c r="CRL3" i="8"/>
  <c r="CRM3" i="8"/>
  <c r="CRN3" i="8"/>
  <c r="CRO3" i="8"/>
  <c r="CRP3" i="8"/>
  <c r="CRQ3" i="8"/>
  <c r="CRR3" i="8"/>
  <c r="CRS3" i="8"/>
  <c r="CRT3" i="8"/>
  <c r="CRU3" i="8"/>
  <c r="CRV3" i="8"/>
  <c r="CRW3" i="8"/>
  <c r="CRX3" i="8"/>
  <c r="CRY3" i="8"/>
  <c r="CRZ3" i="8"/>
  <c r="CSA3" i="8"/>
  <c r="CSB3" i="8"/>
  <c r="CSC3" i="8"/>
  <c r="CSD3" i="8"/>
  <c r="CSE3" i="8"/>
  <c r="CSF3" i="8"/>
  <c r="CSG3" i="8"/>
  <c r="CSH3" i="8"/>
  <c r="CSI3" i="8"/>
  <c r="CSJ3" i="8"/>
  <c r="CSK3" i="8"/>
  <c r="CSL3" i="8"/>
  <c r="CSM3" i="8"/>
  <c r="CSN3" i="8"/>
  <c r="CSO3" i="8"/>
  <c r="CSP3" i="8"/>
  <c r="CSQ3" i="8"/>
  <c r="CSR3" i="8"/>
  <c r="CSS3" i="8"/>
  <c r="CST3" i="8"/>
  <c r="CSU3" i="8"/>
  <c r="CSV3" i="8"/>
  <c r="CSW3" i="8"/>
  <c r="CSX3" i="8"/>
  <c r="CSY3" i="8"/>
  <c r="CSZ3" i="8"/>
  <c r="CTA3" i="8"/>
  <c r="CTB3" i="8"/>
  <c r="CTC3" i="8"/>
  <c r="CTD3" i="8"/>
  <c r="CTE3" i="8"/>
  <c r="CTF3" i="8"/>
  <c r="CTG3" i="8"/>
  <c r="CTH3" i="8"/>
  <c r="CTI3" i="8"/>
  <c r="CTJ3" i="8"/>
  <c r="CTK3" i="8"/>
  <c r="CTL3" i="8"/>
  <c r="CTM3" i="8"/>
  <c r="CTN3" i="8"/>
  <c r="CTO3" i="8"/>
  <c r="CTP3" i="8"/>
  <c r="CTQ3" i="8"/>
  <c r="CTR3" i="8"/>
  <c r="CTS3" i="8"/>
  <c r="CTT3" i="8"/>
  <c r="CTU3" i="8"/>
  <c r="CTV3" i="8"/>
  <c r="CTW3" i="8"/>
  <c r="CTX3" i="8"/>
  <c r="CTY3" i="8"/>
  <c r="CTZ3" i="8"/>
  <c r="CUA3" i="8"/>
  <c r="CUB3" i="8"/>
  <c r="CUC3" i="8"/>
  <c r="CUD3" i="8"/>
  <c r="CUE3" i="8"/>
  <c r="CUF3" i="8"/>
  <c r="CUG3" i="8"/>
  <c r="CUH3" i="8"/>
  <c r="CUI3" i="8"/>
  <c r="CUJ3" i="8"/>
  <c r="CUK3" i="8"/>
  <c r="CUL3" i="8"/>
  <c r="CUM3" i="8"/>
  <c r="CUN3" i="8"/>
  <c r="CUO3" i="8"/>
  <c r="CUP3" i="8"/>
  <c r="CUQ3" i="8"/>
  <c r="CUR3" i="8"/>
  <c r="CUS3" i="8"/>
  <c r="CUT3" i="8"/>
  <c r="CUU3" i="8"/>
  <c r="CUV3" i="8"/>
  <c r="CUW3" i="8"/>
  <c r="CUX3" i="8"/>
  <c r="CUY3" i="8"/>
  <c r="CUZ3" i="8"/>
  <c r="CVA3" i="8"/>
  <c r="CVB3" i="8"/>
  <c r="CVC3" i="8"/>
  <c r="CVD3" i="8"/>
  <c r="CVE3" i="8"/>
  <c r="CVF3" i="8"/>
  <c r="CVG3" i="8"/>
  <c r="CVH3" i="8"/>
  <c r="CVI3" i="8"/>
  <c r="CVJ3" i="8"/>
  <c r="CVK3" i="8"/>
  <c r="CVL3" i="8"/>
  <c r="CVM3" i="8"/>
  <c r="CVN3" i="8"/>
  <c r="CVO3" i="8"/>
  <c r="CVP3" i="8"/>
  <c r="CVQ3" i="8"/>
  <c r="CVR3" i="8"/>
  <c r="CVS3" i="8"/>
  <c r="CVT3" i="8"/>
  <c r="CVU3" i="8"/>
  <c r="CVV3" i="8"/>
  <c r="CVW3" i="8"/>
  <c r="CVX3" i="8"/>
  <c r="CVY3" i="8"/>
  <c r="CVZ3" i="8"/>
  <c r="CWA3" i="8"/>
  <c r="CWB3" i="8"/>
  <c r="CWC3" i="8"/>
  <c r="CWD3" i="8"/>
  <c r="CWE3" i="8"/>
  <c r="CWF3" i="8"/>
  <c r="CWG3" i="8"/>
  <c r="CWH3" i="8"/>
  <c r="CWI3" i="8"/>
  <c r="CWJ3" i="8"/>
  <c r="CWK3" i="8"/>
  <c r="CWL3" i="8"/>
  <c r="CWM3" i="8"/>
  <c r="CWN3" i="8"/>
  <c r="CWO3" i="8"/>
  <c r="CWP3" i="8"/>
  <c r="CWQ3" i="8"/>
  <c r="CWR3" i="8"/>
  <c r="CWS3" i="8"/>
  <c r="CWT3" i="8"/>
  <c r="CWU3" i="8"/>
  <c r="CWV3" i="8"/>
  <c r="CWW3" i="8"/>
  <c r="CWX3" i="8"/>
  <c r="CWY3" i="8"/>
  <c r="CWZ3" i="8"/>
  <c r="CXA3" i="8"/>
  <c r="CXB3" i="8"/>
  <c r="CXC3" i="8"/>
  <c r="CXD3" i="8"/>
  <c r="CXE3" i="8"/>
  <c r="CXF3" i="8"/>
  <c r="CXG3" i="8"/>
  <c r="CXH3" i="8"/>
  <c r="CXI3" i="8"/>
  <c r="CXJ3" i="8"/>
  <c r="CXK3" i="8"/>
  <c r="CXL3" i="8"/>
  <c r="CXM3" i="8"/>
  <c r="CXN3" i="8"/>
  <c r="CXO3" i="8"/>
  <c r="CXP3" i="8"/>
  <c r="CXQ3" i="8"/>
  <c r="CXR3" i="8"/>
  <c r="CXS3" i="8"/>
  <c r="CXT3" i="8"/>
  <c r="CXU3" i="8"/>
  <c r="CXV3" i="8"/>
  <c r="CXW3" i="8"/>
  <c r="CXX3" i="8"/>
  <c r="CXY3" i="8"/>
  <c r="CXZ3" i="8"/>
  <c r="CYA3" i="8"/>
  <c r="CYB3" i="8"/>
  <c r="CYC3" i="8"/>
  <c r="CYD3" i="8"/>
  <c r="CYE3" i="8"/>
  <c r="CYF3" i="8"/>
  <c r="CYG3" i="8"/>
  <c r="CYH3" i="8"/>
  <c r="CYI3" i="8"/>
  <c r="CYJ3" i="8"/>
  <c r="CYK3" i="8"/>
  <c r="CYL3" i="8"/>
  <c r="CYM3" i="8"/>
  <c r="CYN3" i="8"/>
  <c r="CYO3" i="8"/>
  <c r="CYP3" i="8"/>
  <c r="CYQ3" i="8"/>
  <c r="CYR3" i="8"/>
  <c r="CYS3" i="8"/>
  <c r="CYT3" i="8"/>
  <c r="CYU3" i="8"/>
  <c r="CYV3" i="8"/>
  <c r="CYW3" i="8"/>
  <c r="CYX3" i="8"/>
  <c r="CYY3" i="8"/>
  <c r="CYZ3" i="8"/>
  <c r="CZA3" i="8"/>
  <c r="CZB3" i="8"/>
  <c r="CZC3" i="8"/>
  <c r="CZD3" i="8"/>
  <c r="CZE3" i="8"/>
  <c r="CZF3" i="8"/>
  <c r="CZG3" i="8"/>
  <c r="CZH3" i="8"/>
  <c r="CZI3" i="8"/>
  <c r="CZJ3" i="8"/>
  <c r="CZK3" i="8"/>
  <c r="CZL3" i="8"/>
  <c r="CZM3" i="8"/>
  <c r="CZN3" i="8"/>
  <c r="CZO3" i="8"/>
  <c r="CZP3" i="8"/>
  <c r="CZQ3" i="8"/>
  <c r="CZR3" i="8"/>
  <c r="CZS3" i="8"/>
  <c r="CZT3" i="8"/>
  <c r="CZU3" i="8"/>
  <c r="CZV3" i="8"/>
  <c r="CZW3" i="8"/>
  <c r="CZX3" i="8"/>
  <c r="CZY3" i="8"/>
  <c r="CZZ3" i="8"/>
  <c r="DAA3" i="8"/>
  <c r="DAB3" i="8"/>
  <c r="DAC3" i="8"/>
  <c r="DAD3" i="8"/>
  <c r="DAE3" i="8"/>
  <c r="DAF3" i="8"/>
  <c r="DAG3" i="8"/>
  <c r="DAH3" i="8"/>
  <c r="DAI3" i="8"/>
  <c r="DAJ3" i="8"/>
  <c r="DAK3" i="8"/>
  <c r="DAL3" i="8"/>
  <c r="DAM3" i="8"/>
  <c r="DAN3" i="8"/>
  <c r="DAO3" i="8"/>
  <c r="DAP3" i="8"/>
  <c r="DAQ3" i="8"/>
  <c r="DAR3" i="8"/>
  <c r="DAS3" i="8"/>
  <c r="DAT3" i="8"/>
  <c r="DAU3" i="8"/>
  <c r="DAV3" i="8"/>
  <c r="DAW3" i="8"/>
  <c r="DAX3" i="8"/>
  <c r="DAY3" i="8"/>
  <c r="DAZ3" i="8"/>
  <c r="DBA3" i="8"/>
  <c r="DBB3" i="8"/>
  <c r="DBC3" i="8"/>
  <c r="DBD3" i="8"/>
  <c r="DBE3" i="8"/>
  <c r="DBF3" i="8"/>
  <c r="DBG3" i="8"/>
  <c r="DBH3" i="8"/>
  <c r="DBI3" i="8"/>
  <c r="DBJ3" i="8"/>
  <c r="DBK3" i="8"/>
  <c r="DBL3" i="8"/>
  <c r="DBM3" i="8"/>
  <c r="DBN3" i="8"/>
  <c r="DBO3" i="8"/>
  <c r="DBP3" i="8"/>
  <c r="DBQ3" i="8"/>
  <c r="DBR3" i="8"/>
  <c r="DBS3" i="8"/>
  <c r="DBT3" i="8"/>
  <c r="DBU3" i="8"/>
  <c r="DBV3" i="8"/>
  <c r="DBW3" i="8"/>
  <c r="DBX3" i="8"/>
  <c r="DBY3" i="8"/>
  <c r="DBZ3" i="8"/>
  <c r="DCA3" i="8"/>
  <c r="DCB3" i="8"/>
  <c r="DCC3" i="8"/>
  <c r="DCD3" i="8"/>
  <c r="DCE3" i="8"/>
  <c r="DCF3" i="8"/>
  <c r="DCG3" i="8"/>
  <c r="DCH3" i="8"/>
  <c r="DCI3" i="8"/>
  <c r="DCJ3" i="8"/>
  <c r="DCK3" i="8"/>
  <c r="DCL3" i="8"/>
  <c r="DCM3" i="8"/>
  <c r="DCN3" i="8"/>
  <c r="DCO3" i="8"/>
  <c r="DCP3" i="8"/>
  <c r="DCQ3" i="8"/>
  <c r="DCR3" i="8"/>
  <c r="DCS3" i="8"/>
  <c r="DCT3" i="8"/>
  <c r="DCU3" i="8"/>
  <c r="DCV3" i="8"/>
  <c r="DCW3" i="8"/>
  <c r="DCX3" i="8"/>
  <c r="DCY3" i="8"/>
  <c r="DCZ3" i="8"/>
  <c r="DDA3" i="8"/>
  <c r="DDB3" i="8"/>
  <c r="DDC3" i="8"/>
  <c r="DDD3" i="8"/>
  <c r="DDE3" i="8"/>
  <c r="DDF3" i="8"/>
  <c r="DDG3" i="8"/>
  <c r="DDH3" i="8"/>
  <c r="DDI3" i="8"/>
  <c r="DDJ3" i="8"/>
  <c r="DDK3" i="8"/>
  <c r="DDL3" i="8"/>
  <c r="DDM3" i="8"/>
  <c r="DDN3" i="8"/>
  <c r="DDO3" i="8"/>
  <c r="DDP3" i="8"/>
  <c r="DDQ3" i="8"/>
  <c r="DDR3" i="8"/>
  <c r="DDS3" i="8"/>
  <c r="DDT3" i="8"/>
  <c r="DDU3" i="8"/>
  <c r="DDV3" i="8"/>
  <c r="DDW3" i="8"/>
  <c r="DDX3" i="8"/>
  <c r="DDY3" i="8"/>
  <c r="DDZ3" i="8"/>
  <c r="DEA3" i="8"/>
  <c r="DEB3" i="8"/>
  <c r="DEC3" i="8"/>
  <c r="DED3" i="8"/>
  <c r="DEE3" i="8"/>
  <c r="DEF3" i="8"/>
  <c r="DIO3" i="8"/>
  <c r="DIQ3" i="8"/>
  <c r="DIT3" i="8"/>
  <c r="DIV3" i="8"/>
  <c r="DIX3" i="8"/>
  <c r="DJA3" i="8"/>
  <c r="DJC3" i="8"/>
  <c r="DJE3" i="8"/>
  <c r="DJG3" i="8"/>
  <c r="DJI3" i="8"/>
  <c r="DJK3" i="8"/>
  <c r="DJM3" i="8"/>
  <c r="DJO3" i="8"/>
  <c r="DJQ3" i="8"/>
  <c r="DJS3" i="8"/>
  <c r="DJV3" i="8"/>
  <c r="DJX3" i="8"/>
  <c r="DJZ3" i="8"/>
  <c r="DKB3" i="8"/>
  <c r="DKD3" i="8"/>
  <c r="DKF3" i="8"/>
  <c r="DKH3" i="8"/>
  <c r="DKJ3" i="8"/>
  <c r="DKL3" i="8"/>
  <c r="DKO3" i="8"/>
  <c r="DKQ3" i="8"/>
  <c r="DKS3" i="8"/>
  <c r="DKU3" i="8"/>
  <c r="DKW3" i="8"/>
  <c r="DKY3" i="8"/>
  <c r="DLA3" i="8"/>
  <c r="DLC3" i="8"/>
  <c r="DLF3" i="8"/>
  <c r="DLH3" i="8"/>
  <c r="DLJ3" i="8"/>
  <c r="DLM3" i="8"/>
  <c r="DLO3" i="8"/>
  <c r="DLQ3" i="8"/>
  <c r="DLS3" i="8"/>
  <c r="DLU3" i="8"/>
  <c r="DLW3" i="8"/>
  <c r="DLY3" i="8"/>
  <c r="DMA3" i="8"/>
  <c r="DMC3" i="8"/>
  <c r="DME3" i="8"/>
  <c r="DMG3" i="8"/>
  <c r="DMJ3" i="8"/>
  <c r="DML3" i="8"/>
  <c r="DMN3" i="8"/>
  <c r="DMP3" i="8"/>
  <c r="DMR3" i="8"/>
  <c r="DMT3" i="8"/>
  <c r="DMV3" i="8"/>
  <c r="DMX3" i="8"/>
  <c r="DMZ3" i="8"/>
  <c r="DNB3" i="8"/>
  <c r="DND3" i="8"/>
  <c r="DNF3" i="8"/>
  <c r="DNH3" i="8"/>
  <c r="DNJ3" i="8"/>
  <c r="DNL3" i="8"/>
  <c r="DNO3" i="8"/>
  <c r="DNQ3" i="8"/>
  <c r="DNS3" i="8"/>
  <c r="DNU3" i="8"/>
  <c r="DNW3" i="8"/>
  <c r="DNY3" i="8"/>
  <c r="DOA3" i="8"/>
  <c r="DOC3" i="8"/>
  <c r="DOE3" i="8"/>
  <c r="DOG3" i="8"/>
  <c r="DOI3" i="8"/>
  <c r="DOK3" i="8"/>
  <c r="DOM3" i="8"/>
  <c r="DOO3" i="8"/>
  <c r="DOR3" i="8"/>
  <c r="DOT3" i="8"/>
  <c r="DOV3" i="8"/>
  <c r="DOX3" i="8"/>
  <c r="DOZ3" i="8"/>
  <c r="DPB3" i="8"/>
  <c r="DPE3" i="8"/>
  <c r="DPG3" i="8"/>
  <c r="DPI3" i="8"/>
  <c r="DPK3" i="8"/>
  <c r="DPM3" i="8"/>
  <c r="DPO3" i="8"/>
  <c r="DPQ3" i="8"/>
  <c r="DPS3" i="8"/>
  <c r="DPU3" i="8"/>
  <c r="DPW3" i="8"/>
  <c r="DPY3" i="8"/>
  <c r="DQA3" i="8"/>
  <c r="DQC3" i="8"/>
  <c r="DQE3" i="8"/>
  <c r="DQG3" i="8"/>
  <c r="DQI3" i="8"/>
  <c r="DQK3" i="8"/>
  <c r="DQM3" i="8"/>
  <c r="DQO3" i="8"/>
  <c r="DQQ3" i="8"/>
  <c r="DQS3" i="8"/>
  <c r="DQU3" i="8"/>
  <c r="DQW3" i="8"/>
  <c r="DQY3" i="8"/>
  <c r="DRA3" i="8"/>
  <c r="DRC3" i="8"/>
  <c r="DRE3" i="8"/>
  <c r="DRG3" i="8"/>
  <c r="DRI3" i="8"/>
  <c r="DRK3" i="8"/>
  <c r="DRM3" i="8"/>
  <c r="DRO3" i="8"/>
  <c r="DRQ3" i="8"/>
  <c r="DRT3" i="8"/>
  <c r="DRV3" i="8"/>
  <c r="DRX3" i="8"/>
  <c r="DRZ3" i="8"/>
  <c r="DSB3" i="8"/>
  <c r="DSD3" i="8"/>
  <c r="DSF3" i="8"/>
  <c r="DSH3" i="8"/>
  <c r="DSJ3" i="8"/>
  <c r="DSL3" i="8"/>
  <c r="DSN3" i="8"/>
  <c r="DSP3" i="8"/>
  <c r="DSS3" i="8"/>
  <c r="DSU3" i="8"/>
  <c r="DSW3" i="8"/>
  <c r="DSY3" i="8"/>
  <c r="DTA3" i="8"/>
  <c r="DTC3" i="8"/>
  <c r="DTE3" i="8"/>
  <c r="DTG3" i="8"/>
  <c r="DTI3" i="8"/>
  <c r="DTK3" i="8"/>
  <c r="DTM3" i="8"/>
  <c r="DTO3" i="8"/>
  <c r="DTQ3" i="8"/>
  <c r="DTT3" i="8"/>
  <c r="DTV3" i="8"/>
  <c r="DTX3" i="8"/>
  <c r="DTZ3" i="8"/>
  <c r="DUC3" i="8"/>
  <c r="DUE3" i="8"/>
  <c r="DUG3" i="8"/>
  <c r="DUI3" i="8"/>
  <c r="DUK3" i="8"/>
  <c r="DUM3" i="8"/>
  <c r="DUO3" i="8"/>
  <c r="DUR3" i="8"/>
  <c r="DUT3" i="8"/>
  <c r="DUV3" i="8"/>
  <c r="DUX3" i="8"/>
  <c r="DUZ3" i="8"/>
  <c r="DVB3" i="8"/>
  <c r="DVD3" i="8"/>
  <c r="DVF3" i="8"/>
  <c r="DVH3" i="8"/>
  <c r="DVJ3" i="8"/>
  <c r="DVL3" i="8"/>
  <c r="DVO3" i="8"/>
  <c r="DVQ3" i="8"/>
  <c r="DVS3" i="8"/>
  <c r="DVU3" i="8"/>
  <c r="DVW3" i="8"/>
  <c r="DVY3" i="8"/>
  <c r="DWA3" i="8"/>
  <c r="DWC3" i="8"/>
  <c r="DWE3" i="8"/>
  <c r="DWG3" i="8"/>
  <c r="DWI3" i="8"/>
  <c r="DWK3" i="8"/>
  <c r="DWM3" i="8"/>
  <c r="DWO3" i="8"/>
  <c r="DWQ3" i="8"/>
  <c r="DWS3" i="8"/>
  <c r="DWU3" i="8"/>
  <c r="DWW3" i="8"/>
  <c r="DWY3" i="8"/>
  <c r="DXA3" i="8"/>
  <c r="DXC3" i="8"/>
  <c r="DXE3" i="8"/>
  <c r="DXG3" i="8"/>
  <c r="DXI3" i="8"/>
  <c r="DXK3" i="8"/>
  <c r="DXM3" i="8"/>
  <c r="DXO3" i="8"/>
  <c r="DXQ3" i="8"/>
  <c r="DXS3" i="8"/>
  <c r="DXU3" i="8"/>
  <c r="DXW3" i="8"/>
  <c r="DXY3" i="8"/>
  <c r="DYA3" i="8"/>
  <c r="DYC3" i="8"/>
  <c r="DYE3" i="8"/>
  <c r="DYH3" i="8"/>
  <c r="DYJ3" i="8"/>
  <c r="DYL3" i="8"/>
  <c r="DYO3" i="8"/>
  <c r="DYQ3" i="8"/>
  <c r="DYS3" i="8"/>
  <c r="DYU3" i="8"/>
  <c r="DYW3" i="8"/>
  <c r="DYY3" i="8"/>
  <c r="DZA3" i="8"/>
  <c r="DZC3" i="8"/>
  <c r="DZE3" i="8"/>
  <c r="DZG3" i="8"/>
  <c r="DZI3" i="8"/>
  <c r="DZL3" i="8"/>
  <c r="DZN3" i="8"/>
  <c r="DZP3" i="8"/>
  <c r="DZS3" i="8"/>
  <c r="DZU3" i="8"/>
  <c r="DZW3" i="8"/>
  <c r="DZY3" i="8"/>
  <c r="EAB3" i="8"/>
  <c r="EAD3" i="8"/>
  <c r="EAF3" i="8"/>
  <c r="EAI3" i="8"/>
  <c r="EAK3" i="8"/>
  <c r="EAM3" i="8"/>
  <c r="EAO3" i="8"/>
  <c r="EAQ3" i="8"/>
  <c r="EAS3" i="8"/>
  <c r="EAU3" i="8"/>
  <c r="EAW3" i="8"/>
  <c r="EAY3" i="8"/>
  <c r="EBA3" i="8"/>
  <c r="EBC3" i="8"/>
  <c r="EBF3" i="8"/>
  <c r="EBH3" i="8"/>
  <c r="EBJ3" i="8"/>
  <c r="EBL3" i="8"/>
  <c r="EBN3" i="8"/>
  <c r="EBQ3" i="8"/>
  <c r="EBS3" i="8"/>
  <c r="EBU3" i="8"/>
  <c r="EBW3" i="8"/>
  <c r="EBZ3" i="8"/>
  <c r="ECB3" i="8"/>
  <c r="ECE3" i="8"/>
  <c r="ECG3" i="8"/>
  <c r="ECJ3" i="8"/>
  <c r="ECM3" i="8"/>
  <c r="ECP3" i="8"/>
  <c r="ECT3" i="8"/>
  <c r="ECV3" i="8"/>
  <c r="ECY3" i="8"/>
  <c r="EDB3" i="8"/>
  <c r="EDE3" i="8"/>
  <c r="EDH3" i="8"/>
  <c r="EDK3" i="8"/>
  <c r="EDN3" i="8"/>
  <c r="EDQ3" i="8"/>
  <c r="EDS3" i="8"/>
  <c r="EDV3" i="8"/>
  <c r="EDY3" i="8"/>
  <c r="EEA3" i="8"/>
  <c r="EED3" i="8"/>
  <c r="EEI3" i="8"/>
  <c r="EEK3" i="8"/>
  <c r="EEN3" i="8"/>
  <c r="EEQ3" i="8"/>
  <c r="EET3" i="8"/>
  <c r="EEW3" i="8"/>
  <c r="EFA3" i="8"/>
  <c r="EFD3" i="8"/>
  <c r="EFG3" i="8"/>
  <c r="EFI3" i="8"/>
  <c r="EFM3" i="8"/>
  <c r="EFP3" i="8"/>
  <c r="EFV3" i="8"/>
  <c r="EFY3" i="8"/>
  <c r="EGA3" i="8"/>
  <c r="EGD3" i="8"/>
  <c r="EGG3" i="8"/>
  <c r="EGK3" i="8"/>
  <c r="EGO3" i="8"/>
  <c r="EGR3" i="8"/>
  <c r="EGU3" i="8"/>
  <c r="EGX3" i="8"/>
  <c r="EHA3" i="8"/>
  <c r="EHD3" i="8"/>
  <c r="EHG3" i="8"/>
  <c r="EHK3" i="8"/>
  <c r="EHN3" i="8"/>
  <c r="EHQ3" i="8"/>
  <c r="EHT3" i="8"/>
  <c r="EHW3" i="8"/>
  <c r="EHZ3" i="8"/>
  <c r="EIC3" i="8"/>
  <c r="EIE3" i="8"/>
  <c r="EIH3" i="8"/>
  <c r="EIK3" i="8"/>
  <c r="EIN3" i="8"/>
  <c r="EIQ3" i="8"/>
  <c r="EIT3" i="8"/>
  <c r="EIW3" i="8"/>
  <c r="EIZ3" i="8"/>
  <c r="EJC3" i="8"/>
  <c r="EJF3" i="8"/>
  <c r="EJH3" i="8"/>
  <c r="EJK3" i="8"/>
  <c r="EJN3" i="8"/>
  <c r="EJP3" i="8"/>
  <c r="EJS3" i="8"/>
  <c r="EJX3" i="8"/>
  <c r="EKA3" i="8"/>
  <c r="EKE3" i="8"/>
  <c r="EKH3" i="8"/>
  <c r="EKK3" i="8"/>
  <c r="EKM3" i="8"/>
  <c r="EKP3" i="8"/>
  <c r="EKU3" i="8"/>
  <c r="EKX3" i="8"/>
  <c r="EKZ3" i="8"/>
  <c r="ELC3" i="8"/>
  <c r="ELF3" i="8"/>
  <c r="ELI3" i="8"/>
  <c r="ELL3" i="8"/>
  <c r="ELO3" i="8"/>
  <c r="ELQ3" i="8"/>
  <c r="ELT3" i="8"/>
  <c r="ELW3" i="8"/>
  <c r="ELY3" i="8"/>
  <c r="EMC3" i="8"/>
  <c r="EMF3" i="8"/>
  <c r="EMI3" i="8"/>
  <c r="EML3" i="8"/>
  <c r="EMO3" i="8"/>
  <c r="EMR3" i="8"/>
  <c r="EMU3" i="8"/>
  <c r="EMW3" i="8"/>
  <c r="EMZ3" i="8"/>
  <c r="ENC3" i="8"/>
  <c r="ENF3" i="8"/>
  <c r="ENI3" i="8"/>
  <c r="ENL3" i="8"/>
  <c r="ENO3" i="8"/>
  <c r="ENR3" i="8"/>
  <c r="ENV3" i="8"/>
  <c r="ENY3" i="8"/>
  <c r="EOA3" i="8"/>
  <c r="EOD3" i="8"/>
  <c r="EOG3" i="8"/>
  <c r="EOL3" i="8"/>
  <c r="B3" i="8"/>
  <c r="I7" i="28" l="1"/>
  <c r="K7" i="28" s="1"/>
  <c r="L7" i="28" s="1"/>
  <c r="B18" i="27"/>
  <c r="B19" i="27"/>
  <c r="I8" i="28"/>
  <c r="K8" i="28" s="1"/>
  <c r="L8" i="28" s="1"/>
  <c r="B17" i="27"/>
  <c r="I6" i="28"/>
  <c r="K6" i="28" s="1"/>
  <c r="L6" i="28" s="1"/>
  <c r="H76" i="25"/>
  <c r="K76" i="25" s="1"/>
  <c r="M76" i="25" s="1"/>
  <c r="L62" i="25"/>
  <c r="N62" i="25" s="1"/>
  <c r="N76" i="25" s="1"/>
  <c r="H77" i="25"/>
  <c r="K77" i="25" s="1"/>
  <c r="M77" i="25" s="1"/>
  <c r="L65" i="25"/>
  <c r="N65" i="25" s="1"/>
  <c r="H78" i="25"/>
  <c r="K78" i="25" s="1"/>
  <c r="M78" i="25" s="1"/>
  <c r="L71" i="25"/>
  <c r="N71" i="25" s="1"/>
  <c r="H10" i="25"/>
  <c r="E15" i="25" s="1"/>
  <c r="H9" i="25"/>
  <c r="J9" i="25" s="1"/>
  <c r="K9" i="25" s="1"/>
  <c r="H8" i="25"/>
  <c r="J8" i="25" s="1"/>
  <c r="K8" i="25" s="1"/>
  <c r="H7" i="25"/>
  <c r="J7" i="25" s="1"/>
  <c r="K7" i="25" s="1"/>
  <c r="B9" i="8"/>
  <c r="B8" i="8"/>
  <c r="B7" i="8"/>
  <c r="B6" i="8"/>
  <c r="N78" i="25" l="1"/>
  <c r="N77" i="25"/>
  <c r="N6" i="28"/>
  <c r="L9" i="28"/>
  <c r="M6" i="28"/>
  <c r="M8" i="28"/>
  <c r="N8" i="28"/>
  <c r="O8" i="28" s="1"/>
  <c r="J10" i="25"/>
  <c r="M7" i="28"/>
  <c r="N7" i="28"/>
  <c r="O7" i="28" s="1"/>
  <c r="K10" i="25"/>
  <c r="B9" i="27" s="1"/>
  <c r="B10" i="27" s="1"/>
  <c r="F17" i="25"/>
  <c r="G17" i="25" s="1"/>
  <c r="C17" i="25"/>
  <c r="D17" i="25" s="1"/>
  <c r="E17" i="25" s="1"/>
  <c r="F16" i="25"/>
  <c r="G16" i="25" s="1"/>
  <c r="C15" i="25"/>
  <c r="D15" i="25" s="1"/>
  <c r="C16" i="25"/>
  <c r="D16" i="25" s="1"/>
  <c r="E16" i="25" s="1"/>
  <c r="F15" i="25"/>
  <c r="G15" i="25" s="1"/>
  <c r="L9" i="25"/>
  <c r="M9" i="25"/>
  <c r="N9" i="25" s="1"/>
  <c r="L7" i="25"/>
  <c r="M7" i="25"/>
  <c r="M8" i="25"/>
  <c r="N8" i="25" s="1"/>
  <c r="L8" i="25"/>
  <c r="B10" i="8"/>
  <c r="M9" i="28" l="1"/>
  <c r="O6" i="28"/>
  <c r="O9" i="28" s="1"/>
  <c r="N9" i="28"/>
  <c r="N7" i="25"/>
  <c r="N10" i="25" s="1"/>
  <c r="B6" i="27" s="1"/>
  <c r="M10" i="25"/>
  <c r="L10"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trace</author>
  </authors>
  <commentList>
    <comment ref="D38" authorId="0" shapeId="0" xr:uid="{FD0E8452-EA9D-4027-B5A7-43514C1494C8}">
      <text>
        <r>
          <rPr>
            <b/>
            <sz val="9"/>
            <color indexed="81"/>
            <rFont val="Tahoma"/>
            <family val="2"/>
          </rPr>
          <t>trace:</t>
        </r>
        <r>
          <rPr>
            <sz val="9"/>
            <color indexed="81"/>
            <rFont val="Tahoma"/>
            <family val="2"/>
          </rPr>
          <t xml:space="preserve">
https://law.lis.virginia.gov/vacodepopularnames/miscellaneous-taxes/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69252A-F62C-4740-B5DD-5060FC029AF5}" keepAlive="1" name="ModelConnection_ExternalData_11" description="Data Model" type="5" refreshedVersion="8" minRefreshableVersion="5" saveData="1">
    <dbPr connection="Data Model Connection" command="dataset" commandType="3"/>
    <extLst>
      <ext xmlns:x15="http://schemas.microsoft.com/office/spreadsheetml/2010/11/main" uri="{DE250136-89BD-433C-8126-D09CA5730AF9}">
        <x15:connection id="" model="1"/>
      </ext>
    </extLst>
  </connection>
  <connection id="2" xr16:uid="{D5FD439B-C0F3-4C7F-AA4F-CE64233005E0}" name="Query - dataset" description="Connection to the 'dataset' query in the workbook." type="100" refreshedVersion="8" minRefreshableVersion="5" saveData="1">
    <extLst>
      <ext xmlns:x15="http://schemas.microsoft.com/office/spreadsheetml/2010/11/main" uri="{DE250136-89BD-433C-8126-D09CA5730AF9}">
        <x15:connection id="da436e1c-36c8-4eaf-8919-6879d0b2fbd3" excludeFromRefreshAll="1">
          <x15:oledbPr connection="Provider=Microsoft.Mashup.OleDb.1;Data Source=$Workbook$;Location=dataset;Extended Properties=&quot;&quot;">
            <x15:dbTables>
              <x15:dbTable name="dataset"/>
            </x15:dbTables>
          </x15:oledbPr>
        </x15:connection>
      </ext>
    </extLst>
  </connection>
  <connection id="3" xr16:uid="{0317E0B8-C822-48B6-B8E1-B4840BC7B34C}" name="Query - DimDate" description="Connection to the 'DimDate' query in the workbook." type="100" refreshedVersion="8" minRefreshableVersion="5">
    <extLst>
      <ext xmlns:x15="http://schemas.microsoft.com/office/spreadsheetml/2010/11/main" uri="{DE250136-89BD-433C-8126-D09CA5730AF9}">
        <x15:connection id="68c38c60-8405-4dad-a910-a5b06fa97aec">
          <x15:oledbPr connection="Provider=Microsoft.Mashup.OleDb.1;Data Source=$Workbook$;Location=DimDate;Extended Properties=&quot;&quot;">
            <x15:dbTables>
              <x15:dbTable name="DimDate"/>
            </x15:dbTables>
          </x15:oledbPr>
        </x15:connection>
      </ext>
    </extLst>
  </connection>
  <connection id="4" xr16:uid="{2CF06AB5-35DD-4AA3-A220-B0DE85E5DD73}" name="Query - DimStore" description="Connection to the 'DimStore' query in the workbook." type="100" refreshedVersion="8" minRefreshableVersion="5">
    <extLst>
      <ext xmlns:x15="http://schemas.microsoft.com/office/spreadsheetml/2010/11/main" uri="{DE250136-89BD-433C-8126-D09CA5730AF9}">
        <x15:connection id="8eed01dc-c5a9-415b-9b2b-5e8e18a42d67">
          <x15:oledbPr connection="Provider=Microsoft.Mashup.OleDb.1;Data Source=$Workbook$;Location=DimStore;Extended Properties=&quot;&quot;">
            <x15:dbTables>
              <x15:dbTable name="DimStore"/>
            </x15:dbTables>
          </x15:oledbPr>
        </x15:connection>
      </ext>
    </extLst>
  </connection>
  <connection id="5" xr16:uid="{73BDDB5C-930B-4964-B60E-9244C6F9CAA2}" name="Query - DimZip" description="Connection to the 'DimZip' query in the workbook." type="100" refreshedVersion="8" minRefreshableVersion="5">
    <extLst>
      <ext xmlns:x15="http://schemas.microsoft.com/office/spreadsheetml/2010/11/main" uri="{DE250136-89BD-433C-8126-D09CA5730AF9}">
        <x15:connection id="8f18b7eb-0413-4bdd-9c49-206ab45a7d5c">
          <x15:oledbPr connection="Provider=Microsoft.Mashup.OleDb.1;Data Source=$Workbook$;Location=DimZip;Extended Properties=&quot;&quot;">
            <x15:dbTables>
              <x15:dbTable name="DimZip"/>
            </x15:dbTables>
          </x15:oledbPr>
        </x15:connection>
      </ext>
    </extLst>
  </connection>
  <connection id="6" xr16:uid="{3E787EF1-1D4A-4D5A-AEFD-A469D4F871B1}" keepAlive="1" name="Query - inc_tbl" description="Connection to the 'inc_tbl' query in the workbook." type="5" refreshedVersion="0" saveData="1">
    <dbPr connection="Provider=Microsoft.Mashup.OleDb.1;Data Source=$Workbook$;Location=inc_tbl;Extended Properties=&quot;&quot;" command="SELECT * FROM [inc_tbl]"/>
    <extLst>
      <ext xmlns:x15="http://schemas.microsoft.com/office/spreadsheetml/2010/11/main" uri="{DE250136-89BD-433C-8126-D09CA5730AF9}">
        <x15:connection id="" excludeFromRefreshAll="1"/>
      </ext>
    </extLst>
  </connection>
  <connection id="7" xr16:uid="{0D20E8DE-3CA3-4A6E-82D6-3F0926AF142C}" keepAlive="1" name="Query - soda_ppu_tbl" description="Connection to the 'soda_ppu_tbl' query in the workbook." type="5" refreshedVersion="0" saveData="1">
    <dbPr connection="Provider=Microsoft.Mashup.OleDb.1;Data Source=$Workbook$;Location=soda_ppu_tbl;Extended Properties=&quot;&quot;" command="SELECT * FROM [soda_ppu_tbl]"/>
    <extLst>
      <ext xmlns:x15="http://schemas.microsoft.com/office/spreadsheetml/2010/11/main" uri="{DE250136-89BD-433C-8126-D09CA5730AF9}">
        <x15:connection id="" excludeFromRefreshAll="1"/>
      </ext>
    </extLst>
  </connection>
  <connection id="8" xr16:uid="{52298F06-B017-4766-B3D6-086CCC991137}" keepAlive="1" name="Query - soda_units_tbl" description="Connection to the 'soda_units_tbl' query in the workbook." type="5" refreshedVersion="0" saveData="1">
    <dbPr connection="Provider=Microsoft.Mashup.OleDb.1;Data Source=$Workbook$;Location=soda_units_tbl;Extended Properties=&quot;&quot;" command="SELECT * FROM [soda_units_tbl]"/>
    <extLst>
      <ext xmlns:x15="http://schemas.microsoft.com/office/spreadsheetml/2010/11/main" uri="{DE250136-89BD-433C-8126-D09CA5730AF9}">
        <x15:connection id="" excludeFromRefreshAll="1"/>
      </ext>
    </extLst>
  </connection>
  <connection id="9" xr16:uid="{FE11A8A3-2180-448D-82AF-4EEDFB24D7DC}" keepAlive="1" name="Query - store_tbl" description="Connection to the 'store_tbl' query in the workbook." type="5" refreshedVersion="0" saveData="1">
    <dbPr connection="Provider=Microsoft.Mashup.OleDb.1;Data Source=$Workbook$;Location=store_tbl;Extended Properties=&quot;&quot;" command="SELECT * FROM [store_tbl]"/>
    <extLst>
      <ext xmlns:x15="http://schemas.microsoft.com/office/spreadsheetml/2010/11/main" uri="{DE250136-89BD-433C-8126-D09CA5730AF9}">
        <x15:connection id="" excludeFromRefreshAll="1"/>
      </ext>
    </extLst>
  </connection>
  <connection id="10" xr16:uid="{9DA8BF05-0CF9-473A-AEA4-ACB0BDBABA5E}" keepAlive="1" name="Query - tot_sales_tbl" description="Connection to the 'tot_sales_tbl' query in the workbook." type="5" refreshedVersion="0" saveData="1">
    <dbPr connection="Provider=Microsoft.Mashup.OleDb.1;Data Source=$Workbook$;Location=tot_sales_tbl;Extended Properties=&quot;&quot;" command="SELECT * FROM [tot_sales_tbl]"/>
    <extLst>
      <ext xmlns:x15="http://schemas.microsoft.com/office/spreadsheetml/2010/11/main" uri="{DE250136-89BD-433C-8126-D09CA5730AF9}">
        <x15:connection id="" excludeFromRefreshAll="1"/>
      </ext>
    </extLst>
  </connection>
  <connection id="11" xr16:uid="{E323577C-B239-42A0-92F4-5B2C9179839A}" keepAlive="1" name="Query - zip_med_inc_updated" description="Connection to the 'zip_med_inc_updated' query in the workbook." type="5" refreshedVersion="8" saveData="1">
    <dbPr connection="Provider=Microsoft.Mashup.OleDb.1;Data Source=$Workbook$;Location=zip_med_inc_updated;Extended Properties=&quot;&quot;" command="SELECT * FROM [zip_med_inc_updated]"/>
    <extLst>
      <ext xmlns:x15="http://schemas.microsoft.com/office/spreadsheetml/2010/11/main" uri="{DE250136-89BD-433C-8126-D09CA5730AF9}">
        <x15:connection id="" excludeFromRefreshAll="1"/>
      </ext>
    </extLst>
  </connection>
  <connection id="12" xr16:uid="{6986697D-C74B-41B6-B341-A208781394C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8">
    <s v="ThisWorkbookDataModel"/>
    <s v="{[dataset].[state].&amp;[VA]}"/>
    <s v="{[DimDate].[year].&amp;[2024]}"/>
    <s v="{[DimDate].[year_month].[All]}"/>
    <s v="{[DimZip].[state].&amp;[MD]}"/>
    <s v="{[DimZip].[state].&amp;[NC]}"/>
    <s v="{[DimZip].[state].&amp;[GA]}"/>
    <s v="{[DimZip].[state].&amp;[VA]}"/>
  </metadataStrings>
  <mdxMetadata count="7">
    <mdx n="0" f="s">
      <ms ns="1" c="0"/>
    </mdx>
    <mdx n="0" f="s">
      <ms ns="2" c="0"/>
    </mdx>
    <mdx n="0" f="s">
      <ms ns="3" c="0"/>
    </mdx>
    <mdx n="0" f="s">
      <ms ns="4" c="0"/>
    </mdx>
    <mdx n="0" f="s">
      <ms ns="5" c="0"/>
    </mdx>
    <mdx n="0" f="s">
      <ms ns="6" c="0"/>
    </mdx>
    <mdx n="0" f="s">
      <ms ns="7" c="0"/>
    </mdx>
  </mdxMetadata>
  <futureMetadata name="XLDAPR" count="1">
    <bk>
      <extLst>
        <ext uri="{bdbb8cdc-fa1e-496e-a857-3c3f30c029c3}">
          <xda:dynamicArrayProperties fDynamic="1" fCollapsed="0"/>
        </ext>
      </extLst>
    </bk>
  </futureMetadata>
  <cellMetadata count="1">
    <bk>
      <rc t="2" v="0"/>
    </bk>
  </cell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<sst xmlns="http://schemas.openxmlformats.org/spreadsheetml/2006/main" count="19894" uniqueCount="4373">
  <si>
    <t>store_id</t>
  </si>
  <si>
    <t>zip</t>
  </si>
  <si>
    <t>state</t>
  </si>
  <si>
    <t>VA</t>
  </si>
  <si>
    <t>DC</t>
  </si>
  <si>
    <t>GA</t>
  </si>
  <si>
    <t>MD</t>
  </si>
  <si>
    <t>NC</t>
  </si>
  <si>
    <t>WV</t>
  </si>
  <si>
    <t>year_month</t>
  </si>
  <si>
    <t>total_sales_1</t>
  </si>
  <si>
    <t>total_sales_2</t>
  </si>
  <si>
    <t>total_sales_3</t>
  </si>
  <si>
    <t>total_sales_4</t>
  </si>
  <si>
    <t>total_sales_5</t>
  </si>
  <si>
    <t>total_sales_6</t>
  </si>
  <si>
    <t>total_sales_7</t>
  </si>
  <si>
    <t>total_sales_8</t>
  </si>
  <si>
    <t>total_sales_9</t>
  </si>
  <si>
    <t>total_sales_10</t>
  </si>
  <si>
    <t>total_sales_11</t>
  </si>
  <si>
    <t>total_sales_12</t>
  </si>
  <si>
    <t>total_sales_13</t>
  </si>
  <si>
    <t>total_sales_14</t>
  </si>
  <si>
    <t>total_sales_15</t>
  </si>
  <si>
    <t>total_sales_16</t>
  </si>
  <si>
    <t>total_sales_17</t>
  </si>
  <si>
    <t>total_sales_18</t>
  </si>
  <si>
    <t>total_sales_19</t>
  </si>
  <si>
    <t>total_sales_20</t>
  </si>
  <si>
    <t>total_sales_21</t>
  </si>
  <si>
    <t>total_sales_22</t>
  </si>
  <si>
    <t>total_sales_23</t>
  </si>
  <si>
    <t>total_sales_24</t>
  </si>
  <si>
    <t>total_sales_25</t>
  </si>
  <si>
    <t>total_sales_26</t>
  </si>
  <si>
    <t>total_sales_27</t>
  </si>
  <si>
    <t>total_sales_28</t>
  </si>
  <si>
    <t>total_sales_29</t>
  </si>
  <si>
    <t>total_sales_30</t>
  </si>
  <si>
    <t>total_sales_31</t>
  </si>
  <si>
    <t>total_sales_32</t>
  </si>
  <si>
    <t>total_sales_33</t>
  </si>
  <si>
    <t>total_sales_34</t>
  </si>
  <si>
    <t>total_sales_35</t>
  </si>
  <si>
    <t>total_sales_36</t>
  </si>
  <si>
    <t>total_sales_37</t>
  </si>
  <si>
    <t>total_sales_38</t>
  </si>
  <si>
    <t>total_sales_39</t>
  </si>
  <si>
    <t>total_sales_40</t>
  </si>
  <si>
    <t>total_sales_41</t>
  </si>
  <si>
    <t>total_sales_42</t>
  </si>
  <si>
    <t>total_sales_43</t>
  </si>
  <si>
    <t>total_sales_44</t>
  </si>
  <si>
    <t>total_sales_45</t>
  </si>
  <si>
    <t>total_sales_46</t>
  </si>
  <si>
    <t>total_sales_47</t>
  </si>
  <si>
    <t>total_sales_48</t>
  </si>
  <si>
    <t>total_sales_49</t>
  </si>
  <si>
    <t>total_sales_50</t>
  </si>
  <si>
    <t>total_sales_51</t>
  </si>
  <si>
    <t>total_sales_52</t>
  </si>
  <si>
    <t>total_sales_53</t>
  </si>
  <si>
    <t>total_sales_54</t>
  </si>
  <si>
    <t>total_sales_55</t>
  </si>
  <si>
    <t>total_sales_56</t>
  </si>
  <si>
    <t>total_sales_57</t>
  </si>
  <si>
    <t>total_sales_58</t>
  </si>
  <si>
    <t>total_sales_59</t>
  </si>
  <si>
    <t>total_sales_60</t>
  </si>
  <si>
    <t>total_sales_61</t>
  </si>
  <si>
    <t>total_sales_62</t>
  </si>
  <si>
    <t>total_sales_63</t>
  </si>
  <si>
    <t>total_sales_64</t>
  </si>
  <si>
    <t>total_sales_65</t>
  </si>
  <si>
    <t>total_sales_66</t>
  </si>
  <si>
    <t>total_sales_67</t>
  </si>
  <si>
    <t>total_sales_68</t>
  </si>
  <si>
    <t>total_sales_69</t>
  </si>
  <si>
    <t>total_sales_70</t>
  </si>
  <si>
    <t>total_sales_71</t>
  </si>
  <si>
    <t>total_sales_72</t>
  </si>
  <si>
    <t>total_sales_73</t>
  </si>
  <si>
    <t>total_sales_74</t>
  </si>
  <si>
    <t>total_sales_75</t>
  </si>
  <si>
    <t>total_sales_76</t>
  </si>
  <si>
    <t>total_sales_77</t>
  </si>
  <si>
    <t>total_sales_78</t>
  </si>
  <si>
    <t>total_sales_79</t>
  </si>
  <si>
    <t>total_sales_80</t>
  </si>
  <si>
    <t>total_sales_81</t>
  </si>
  <si>
    <t>total_sales_82</t>
  </si>
  <si>
    <t>total_sales_83</t>
  </si>
  <si>
    <t>total_sales_84</t>
  </si>
  <si>
    <t>total_sales_85</t>
  </si>
  <si>
    <t>total_sales_86</t>
  </si>
  <si>
    <t>total_sales_87</t>
  </si>
  <si>
    <t>total_sales_88</t>
  </si>
  <si>
    <t>total_sales_89</t>
  </si>
  <si>
    <t>total_sales_90</t>
  </si>
  <si>
    <t>total_sales_91</t>
  </si>
  <si>
    <t>total_sales_92</t>
  </si>
  <si>
    <t>total_sales_93</t>
  </si>
  <si>
    <t>total_sales_94</t>
  </si>
  <si>
    <t>total_sales_95</t>
  </si>
  <si>
    <t>total_sales_96</t>
  </si>
  <si>
    <t>total_sales_97</t>
  </si>
  <si>
    <t>total_sales_98</t>
  </si>
  <si>
    <t>total_sales_99</t>
  </si>
  <si>
    <t>total_sales_100</t>
  </si>
  <si>
    <t>Year</t>
  </si>
  <si>
    <t>inc_2022</t>
  </si>
  <si>
    <t>inc_2023</t>
  </si>
  <si>
    <t>inc_2024</t>
  </si>
  <si>
    <t>20001</t>
  </si>
  <si>
    <t>20002</t>
  </si>
  <si>
    <t>20003</t>
  </si>
  <si>
    <t>20004</t>
  </si>
  <si>
    <t>20005</t>
  </si>
  <si>
    <t>20006</t>
  </si>
  <si>
    <t>20007</t>
  </si>
  <si>
    <t>20008</t>
  </si>
  <si>
    <t>20009</t>
  </si>
  <si>
    <t>20010</t>
  </si>
  <si>
    <t>20011</t>
  </si>
  <si>
    <t>20012</t>
  </si>
  <si>
    <t>20015</t>
  </si>
  <si>
    <t>20016</t>
  </si>
  <si>
    <t>20017</t>
  </si>
  <si>
    <t>20018</t>
  </si>
  <si>
    <t>20019</t>
  </si>
  <si>
    <t>20020</t>
  </si>
  <si>
    <t>20024</t>
  </si>
  <si>
    <t>20032</t>
  </si>
  <si>
    <t>20036</t>
  </si>
  <si>
    <t>20037</t>
  </si>
  <si>
    <t>20045</t>
  </si>
  <si>
    <t>20052</t>
  </si>
  <si>
    <t>20057</t>
  </si>
  <si>
    <t>20059</t>
  </si>
  <si>
    <t>20064</t>
  </si>
  <si>
    <t>20204</t>
  </si>
  <si>
    <t>20220</t>
  </si>
  <si>
    <t>20230</t>
  </si>
  <si>
    <t>20240</t>
  </si>
  <si>
    <t>20245</t>
  </si>
  <si>
    <t>20250</t>
  </si>
  <si>
    <t>20260</t>
  </si>
  <si>
    <t>20317</t>
  </si>
  <si>
    <t>20319</t>
  </si>
  <si>
    <t>20373</t>
  </si>
  <si>
    <t>20388</t>
  </si>
  <si>
    <t>20390</t>
  </si>
  <si>
    <t>20408</t>
  </si>
  <si>
    <t>20415</t>
  </si>
  <si>
    <t>20418</t>
  </si>
  <si>
    <t>20422</t>
  </si>
  <si>
    <t>20427</t>
  </si>
  <si>
    <t>20431</t>
  </si>
  <si>
    <t>20510</t>
  </si>
  <si>
    <t>20515</t>
  </si>
  <si>
    <t>20520</t>
  </si>
  <si>
    <t>20530</t>
  </si>
  <si>
    <t>20535</t>
  </si>
  <si>
    <t>20540</t>
  </si>
  <si>
    <t>20542</t>
  </si>
  <si>
    <t>20551</t>
  </si>
  <si>
    <t>20560</t>
  </si>
  <si>
    <t>20565</t>
  </si>
  <si>
    <t>20566</t>
  </si>
  <si>
    <t>20591</t>
  </si>
  <si>
    <t>30002</t>
  </si>
  <si>
    <t>30004</t>
  </si>
  <si>
    <t>30005</t>
  </si>
  <si>
    <t>30008</t>
  </si>
  <si>
    <t>30009</t>
  </si>
  <si>
    <t>30011</t>
  </si>
  <si>
    <t>30012</t>
  </si>
  <si>
    <t>30013</t>
  </si>
  <si>
    <t>30014</t>
  </si>
  <si>
    <t>30016</t>
  </si>
  <si>
    <t>30017</t>
  </si>
  <si>
    <t>30018</t>
  </si>
  <si>
    <t>30019</t>
  </si>
  <si>
    <t>30021</t>
  </si>
  <si>
    <t>30022</t>
  </si>
  <si>
    <t>30024</t>
  </si>
  <si>
    <t>30025</t>
  </si>
  <si>
    <t>30028</t>
  </si>
  <si>
    <t>30030</t>
  </si>
  <si>
    <t>30032</t>
  </si>
  <si>
    <t>30033</t>
  </si>
  <si>
    <t>30034</t>
  </si>
  <si>
    <t>30035</t>
  </si>
  <si>
    <t>30038</t>
  </si>
  <si>
    <t>30039</t>
  </si>
  <si>
    <t>30040</t>
  </si>
  <si>
    <t>30041</t>
  </si>
  <si>
    <t>30043</t>
  </si>
  <si>
    <t>30044</t>
  </si>
  <si>
    <t>30045</t>
  </si>
  <si>
    <t>30046</t>
  </si>
  <si>
    <t>30047</t>
  </si>
  <si>
    <t>30052</t>
  </si>
  <si>
    <t>30054</t>
  </si>
  <si>
    <t>30055</t>
  </si>
  <si>
    <t>30056</t>
  </si>
  <si>
    <t>30058</t>
  </si>
  <si>
    <t>30060</t>
  </si>
  <si>
    <t>30062</t>
  </si>
  <si>
    <t>30064</t>
  </si>
  <si>
    <t>30066</t>
  </si>
  <si>
    <t>30067</t>
  </si>
  <si>
    <t>30068</t>
  </si>
  <si>
    <t>30070</t>
  </si>
  <si>
    <t>30071</t>
  </si>
  <si>
    <t>30072</t>
  </si>
  <si>
    <t>30075</t>
  </si>
  <si>
    <t>30076</t>
  </si>
  <si>
    <t>30078</t>
  </si>
  <si>
    <t>30079</t>
  </si>
  <si>
    <t>30080</t>
  </si>
  <si>
    <t>30082</t>
  </si>
  <si>
    <t>30083</t>
  </si>
  <si>
    <t>30084</t>
  </si>
  <si>
    <t>30087</t>
  </si>
  <si>
    <t>30088</t>
  </si>
  <si>
    <t>30090</t>
  </si>
  <si>
    <t>30092</t>
  </si>
  <si>
    <t>30093</t>
  </si>
  <si>
    <t>30094</t>
  </si>
  <si>
    <t>30096</t>
  </si>
  <si>
    <t>30097</t>
  </si>
  <si>
    <t>30101</t>
  </si>
  <si>
    <t>30102</t>
  </si>
  <si>
    <t>30103</t>
  </si>
  <si>
    <t>30104</t>
  </si>
  <si>
    <t>30105</t>
  </si>
  <si>
    <t>30106</t>
  </si>
  <si>
    <t>30107</t>
  </si>
  <si>
    <t>30108</t>
  </si>
  <si>
    <t>30110</t>
  </si>
  <si>
    <t>30111</t>
  </si>
  <si>
    <t>30113</t>
  </si>
  <si>
    <t>30114</t>
  </si>
  <si>
    <t>30115</t>
  </si>
  <si>
    <t>30116</t>
  </si>
  <si>
    <t>30117</t>
  </si>
  <si>
    <t>30118</t>
  </si>
  <si>
    <t>30120</t>
  </si>
  <si>
    <t>30121</t>
  </si>
  <si>
    <t>30122</t>
  </si>
  <si>
    <t>30124</t>
  </si>
  <si>
    <t>30125</t>
  </si>
  <si>
    <t>30126</t>
  </si>
  <si>
    <t>30127</t>
  </si>
  <si>
    <t>30132</t>
  </si>
  <si>
    <t>30134</t>
  </si>
  <si>
    <t>30135</t>
  </si>
  <si>
    <t>30137</t>
  </si>
  <si>
    <t>30139</t>
  </si>
  <si>
    <t>30141</t>
  </si>
  <si>
    <t>30143</t>
  </si>
  <si>
    <t>30144</t>
  </si>
  <si>
    <t>30145</t>
  </si>
  <si>
    <t>30147</t>
  </si>
  <si>
    <t>30148</t>
  </si>
  <si>
    <t>30149</t>
  </si>
  <si>
    <t>30152</t>
  </si>
  <si>
    <t>30153</t>
  </si>
  <si>
    <t>30157</t>
  </si>
  <si>
    <t>30161</t>
  </si>
  <si>
    <t>30165</t>
  </si>
  <si>
    <t>30168</t>
  </si>
  <si>
    <t>30170</t>
  </si>
  <si>
    <t>30171</t>
  </si>
  <si>
    <t>30173</t>
  </si>
  <si>
    <t>30175</t>
  </si>
  <si>
    <t>30176</t>
  </si>
  <si>
    <t>30177</t>
  </si>
  <si>
    <t>30178</t>
  </si>
  <si>
    <t>30179</t>
  </si>
  <si>
    <t>30180</t>
  </si>
  <si>
    <t>30182</t>
  </si>
  <si>
    <t>30183</t>
  </si>
  <si>
    <t>30184</t>
  </si>
  <si>
    <t>30185</t>
  </si>
  <si>
    <t>30187</t>
  </si>
  <si>
    <t>30188</t>
  </si>
  <si>
    <t>30189</t>
  </si>
  <si>
    <t>30204</t>
  </si>
  <si>
    <t>30205</t>
  </si>
  <si>
    <t>30206</t>
  </si>
  <si>
    <t>30213</t>
  </si>
  <si>
    <t>30214</t>
  </si>
  <si>
    <t>30215</t>
  </si>
  <si>
    <t>30216</t>
  </si>
  <si>
    <t>30217</t>
  </si>
  <si>
    <t>30218</t>
  </si>
  <si>
    <t>30220</t>
  </si>
  <si>
    <t>30222</t>
  </si>
  <si>
    <t>30223</t>
  </si>
  <si>
    <t>30224</t>
  </si>
  <si>
    <t>30228</t>
  </si>
  <si>
    <t>30229</t>
  </si>
  <si>
    <t>30230</t>
  </si>
  <si>
    <t>30233</t>
  </si>
  <si>
    <t>30234</t>
  </si>
  <si>
    <t>30236</t>
  </si>
  <si>
    <t>30238</t>
  </si>
  <si>
    <t>30240</t>
  </si>
  <si>
    <t>30241</t>
  </si>
  <si>
    <t>30248</t>
  </si>
  <si>
    <t>30250</t>
  </si>
  <si>
    <t>30251</t>
  </si>
  <si>
    <t>30252</t>
  </si>
  <si>
    <t>30253</t>
  </si>
  <si>
    <t>30256</t>
  </si>
  <si>
    <t>30257</t>
  </si>
  <si>
    <t>30258</t>
  </si>
  <si>
    <t>30259</t>
  </si>
  <si>
    <t>30260</t>
  </si>
  <si>
    <t>30263</t>
  </si>
  <si>
    <t>30265</t>
  </si>
  <si>
    <t>30268</t>
  </si>
  <si>
    <t>30269</t>
  </si>
  <si>
    <t>30272</t>
  </si>
  <si>
    <t>30273</t>
  </si>
  <si>
    <t>30274</t>
  </si>
  <si>
    <t>30275</t>
  </si>
  <si>
    <t>30276</t>
  </si>
  <si>
    <t>30277</t>
  </si>
  <si>
    <t>30281</t>
  </si>
  <si>
    <t>30284</t>
  </si>
  <si>
    <t>30285</t>
  </si>
  <si>
    <t>30286</t>
  </si>
  <si>
    <t>30288</t>
  </si>
  <si>
    <t>30289</t>
  </si>
  <si>
    <t>30290</t>
  </si>
  <si>
    <t>30291</t>
  </si>
  <si>
    <t>30292</t>
  </si>
  <si>
    <t>30293</t>
  </si>
  <si>
    <t>30294</t>
  </si>
  <si>
    <t>30295</t>
  </si>
  <si>
    <t>30296</t>
  </si>
  <si>
    <t>30297</t>
  </si>
  <si>
    <t>30303</t>
  </si>
  <si>
    <t>30305</t>
  </si>
  <si>
    <t>30306</t>
  </si>
  <si>
    <t>30307</t>
  </si>
  <si>
    <t>30308</t>
  </si>
  <si>
    <t>30309</t>
  </si>
  <si>
    <t>30310</t>
  </si>
  <si>
    <t>30311</t>
  </si>
  <si>
    <t>30312</t>
  </si>
  <si>
    <t>30313</t>
  </si>
  <si>
    <t>30314</t>
  </si>
  <si>
    <t>30315</t>
  </si>
  <si>
    <t>30316</t>
  </si>
  <si>
    <t>30317</t>
  </si>
  <si>
    <t>30318</t>
  </si>
  <si>
    <t>30319</t>
  </si>
  <si>
    <t>30322</t>
  </si>
  <si>
    <t>30324</t>
  </si>
  <si>
    <t>30326</t>
  </si>
  <si>
    <t>30327</t>
  </si>
  <si>
    <t>30328</t>
  </si>
  <si>
    <t>30329</t>
  </si>
  <si>
    <t>30331</t>
  </si>
  <si>
    <t>30332</t>
  </si>
  <si>
    <t>30334</t>
  </si>
  <si>
    <t>30336</t>
  </si>
  <si>
    <t>30337</t>
  </si>
  <si>
    <t>30338</t>
  </si>
  <si>
    <t>30339</t>
  </si>
  <si>
    <t>30340</t>
  </si>
  <si>
    <t>30341</t>
  </si>
  <si>
    <t>30342</t>
  </si>
  <si>
    <t>30344</t>
  </si>
  <si>
    <t>30345</t>
  </si>
  <si>
    <t>30346</t>
  </si>
  <si>
    <t>30349</t>
  </si>
  <si>
    <t>30350</t>
  </si>
  <si>
    <t>30354</t>
  </si>
  <si>
    <t>30360</t>
  </si>
  <si>
    <t>30363</t>
  </si>
  <si>
    <t>30401</t>
  </si>
  <si>
    <t>30410</t>
  </si>
  <si>
    <t>30411</t>
  </si>
  <si>
    <t>30412</t>
  </si>
  <si>
    <t>30413</t>
  </si>
  <si>
    <t>30414</t>
  </si>
  <si>
    <t>30415</t>
  </si>
  <si>
    <t>30417</t>
  </si>
  <si>
    <t>30420</t>
  </si>
  <si>
    <t>30421</t>
  </si>
  <si>
    <t>30423</t>
  </si>
  <si>
    <t>30425</t>
  </si>
  <si>
    <t>30426</t>
  </si>
  <si>
    <t>30427</t>
  </si>
  <si>
    <t>30428</t>
  </si>
  <si>
    <t>30429</t>
  </si>
  <si>
    <t>30434</t>
  </si>
  <si>
    <t>30436</t>
  </si>
  <si>
    <t>30439</t>
  </si>
  <si>
    <t>30441</t>
  </si>
  <si>
    <t>30442</t>
  </si>
  <si>
    <t>30445</t>
  </si>
  <si>
    <t>30446</t>
  </si>
  <si>
    <t>30448</t>
  </si>
  <si>
    <t>30449</t>
  </si>
  <si>
    <t>30450</t>
  </si>
  <si>
    <t>30451</t>
  </si>
  <si>
    <t>30452</t>
  </si>
  <si>
    <t>30453</t>
  </si>
  <si>
    <t>30454</t>
  </si>
  <si>
    <t>30455</t>
  </si>
  <si>
    <t>30456</t>
  </si>
  <si>
    <t>30457</t>
  </si>
  <si>
    <t>30458</t>
  </si>
  <si>
    <t>30460</t>
  </si>
  <si>
    <t>30461</t>
  </si>
  <si>
    <t>30464</t>
  </si>
  <si>
    <t>30467</t>
  </si>
  <si>
    <t>30470</t>
  </si>
  <si>
    <t>30471</t>
  </si>
  <si>
    <t>30473</t>
  </si>
  <si>
    <t>30474</t>
  </si>
  <si>
    <t>30477</t>
  </si>
  <si>
    <t>30501</t>
  </si>
  <si>
    <t>30504</t>
  </si>
  <si>
    <t>30506</t>
  </si>
  <si>
    <t>30507</t>
  </si>
  <si>
    <t>30510</t>
  </si>
  <si>
    <t>30511</t>
  </si>
  <si>
    <t>30512</t>
  </si>
  <si>
    <t>30513</t>
  </si>
  <si>
    <t>30516</t>
  </si>
  <si>
    <t>30517</t>
  </si>
  <si>
    <t>30518</t>
  </si>
  <si>
    <t>30519</t>
  </si>
  <si>
    <t>30520</t>
  </si>
  <si>
    <t>30521</t>
  </si>
  <si>
    <t>30522</t>
  </si>
  <si>
    <t>30523</t>
  </si>
  <si>
    <t>30525</t>
  </si>
  <si>
    <t>30527</t>
  </si>
  <si>
    <t>30528</t>
  </si>
  <si>
    <t>30529</t>
  </si>
  <si>
    <t>30530</t>
  </si>
  <si>
    <t>30531</t>
  </si>
  <si>
    <t>30533</t>
  </si>
  <si>
    <t>30534</t>
  </si>
  <si>
    <t>30535</t>
  </si>
  <si>
    <t>30536</t>
  </si>
  <si>
    <t>30537</t>
  </si>
  <si>
    <t>30538</t>
  </si>
  <si>
    <t>30539</t>
  </si>
  <si>
    <t>30540</t>
  </si>
  <si>
    <t>30541</t>
  </si>
  <si>
    <t>30542</t>
  </si>
  <si>
    <t>30543</t>
  </si>
  <si>
    <t>30545</t>
  </si>
  <si>
    <t>30546</t>
  </si>
  <si>
    <t>30547</t>
  </si>
  <si>
    <t>30548</t>
  </si>
  <si>
    <t>30549</t>
  </si>
  <si>
    <t>30552</t>
  </si>
  <si>
    <t>30553</t>
  </si>
  <si>
    <t>30554</t>
  </si>
  <si>
    <t>30555</t>
  </si>
  <si>
    <t>30557</t>
  </si>
  <si>
    <t>30558</t>
  </si>
  <si>
    <t>30559</t>
  </si>
  <si>
    <t>30560</t>
  </si>
  <si>
    <t>30562</t>
  </si>
  <si>
    <t>30563</t>
  </si>
  <si>
    <t>30564</t>
  </si>
  <si>
    <t>30565</t>
  </si>
  <si>
    <t>30566</t>
  </si>
  <si>
    <t>30567</t>
  </si>
  <si>
    <t>30568</t>
  </si>
  <si>
    <t>30571</t>
  </si>
  <si>
    <t>30572</t>
  </si>
  <si>
    <t>30573</t>
  </si>
  <si>
    <t>30575</t>
  </si>
  <si>
    <t>30576</t>
  </si>
  <si>
    <t>30577</t>
  </si>
  <si>
    <t>30581</t>
  </si>
  <si>
    <t>30582</t>
  </si>
  <si>
    <t>30597</t>
  </si>
  <si>
    <t>30598</t>
  </si>
  <si>
    <t>30601</t>
  </si>
  <si>
    <t>30602</t>
  </si>
  <si>
    <t>30605</t>
  </si>
  <si>
    <t>30606</t>
  </si>
  <si>
    <t>30607</t>
  </si>
  <si>
    <t>30609</t>
  </si>
  <si>
    <t>30619</t>
  </si>
  <si>
    <t>30620</t>
  </si>
  <si>
    <t>30621</t>
  </si>
  <si>
    <t>30622</t>
  </si>
  <si>
    <t>30623</t>
  </si>
  <si>
    <t>30624</t>
  </si>
  <si>
    <t>30625</t>
  </si>
  <si>
    <t>30627</t>
  </si>
  <si>
    <t>30628</t>
  </si>
  <si>
    <t>30629</t>
  </si>
  <si>
    <t>30630</t>
  </si>
  <si>
    <t>30631</t>
  </si>
  <si>
    <t>30633</t>
  </si>
  <si>
    <t>30634</t>
  </si>
  <si>
    <t>30635</t>
  </si>
  <si>
    <t>30639</t>
  </si>
  <si>
    <t>30641</t>
  </si>
  <si>
    <t>30642</t>
  </si>
  <si>
    <t>30643</t>
  </si>
  <si>
    <t>30646</t>
  </si>
  <si>
    <t>30648</t>
  </si>
  <si>
    <t>30650</t>
  </si>
  <si>
    <t>30655</t>
  </si>
  <si>
    <t>30656</t>
  </si>
  <si>
    <t>30660</t>
  </si>
  <si>
    <t>30662</t>
  </si>
  <si>
    <t>30663</t>
  </si>
  <si>
    <t>30664</t>
  </si>
  <si>
    <t>30665</t>
  </si>
  <si>
    <t>30666</t>
  </si>
  <si>
    <t>30667</t>
  </si>
  <si>
    <t>30668</t>
  </si>
  <si>
    <t>30669</t>
  </si>
  <si>
    <t>30673</t>
  </si>
  <si>
    <t>30677</t>
  </si>
  <si>
    <t>30678</t>
  </si>
  <si>
    <t>30680</t>
  </si>
  <si>
    <t>30683</t>
  </si>
  <si>
    <t>30701</t>
  </si>
  <si>
    <t>30705</t>
  </si>
  <si>
    <t>30707</t>
  </si>
  <si>
    <t>30708</t>
  </si>
  <si>
    <t>30710</t>
  </si>
  <si>
    <t>30711</t>
  </si>
  <si>
    <t>30720</t>
  </si>
  <si>
    <t>30721</t>
  </si>
  <si>
    <t>30724</t>
  </si>
  <si>
    <t>30725</t>
  </si>
  <si>
    <t>30726</t>
  </si>
  <si>
    <t>30728</t>
  </si>
  <si>
    <t>30730</t>
  </si>
  <si>
    <t>30731</t>
  </si>
  <si>
    <t>30733</t>
  </si>
  <si>
    <t>30734</t>
  </si>
  <si>
    <t>30735</t>
  </si>
  <si>
    <t>30736</t>
  </si>
  <si>
    <t>30738</t>
  </si>
  <si>
    <t>30739</t>
  </si>
  <si>
    <t>30740</t>
  </si>
  <si>
    <t>30741</t>
  </si>
  <si>
    <t>30742</t>
  </si>
  <si>
    <t>30746</t>
  </si>
  <si>
    <t>30747</t>
  </si>
  <si>
    <t>30750</t>
  </si>
  <si>
    <t>30751</t>
  </si>
  <si>
    <t>30752</t>
  </si>
  <si>
    <t>30753</t>
  </si>
  <si>
    <t>30755</t>
  </si>
  <si>
    <t>30756</t>
  </si>
  <si>
    <t>30757</t>
  </si>
  <si>
    <t>30802</t>
  </si>
  <si>
    <t>30803</t>
  </si>
  <si>
    <t>30805</t>
  </si>
  <si>
    <t>30807</t>
  </si>
  <si>
    <t>30808</t>
  </si>
  <si>
    <t>30809</t>
  </si>
  <si>
    <t>30810</t>
  </si>
  <si>
    <t>30812</t>
  </si>
  <si>
    <t>30813</t>
  </si>
  <si>
    <t>30814</t>
  </si>
  <si>
    <t>30815</t>
  </si>
  <si>
    <t>30816</t>
  </si>
  <si>
    <t>30817</t>
  </si>
  <si>
    <t>30818</t>
  </si>
  <si>
    <t>30820</t>
  </si>
  <si>
    <t>30821</t>
  </si>
  <si>
    <t>30822</t>
  </si>
  <si>
    <t>30823</t>
  </si>
  <si>
    <t>30824</t>
  </si>
  <si>
    <t>30828</t>
  </si>
  <si>
    <t>30830</t>
  </si>
  <si>
    <t>30833</t>
  </si>
  <si>
    <t>30901</t>
  </si>
  <si>
    <t>30904</t>
  </si>
  <si>
    <t>30905</t>
  </si>
  <si>
    <t>30906</t>
  </si>
  <si>
    <t>30907</t>
  </si>
  <si>
    <t>30909</t>
  </si>
  <si>
    <t>30912</t>
  </si>
  <si>
    <t>31001</t>
  </si>
  <si>
    <t>31002</t>
  </si>
  <si>
    <t>31003</t>
  </si>
  <si>
    <t>31004</t>
  </si>
  <si>
    <t>31005</t>
  </si>
  <si>
    <t>31006</t>
  </si>
  <si>
    <t>31007</t>
  </si>
  <si>
    <t>31008</t>
  </si>
  <si>
    <t>31009</t>
  </si>
  <si>
    <t>31011</t>
  </si>
  <si>
    <t>31012</t>
  </si>
  <si>
    <t>31014</t>
  </si>
  <si>
    <t>31015</t>
  </si>
  <si>
    <t>31016</t>
  </si>
  <si>
    <t>31017</t>
  </si>
  <si>
    <t>31018</t>
  </si>
  <si>
    <t>31019</t>
  </si>
  <si>
    <t>31020</t>
  </si>
  <si>
    <t>31021</t>
  </si>
  <si>
    <t>31022</t>
  </si>
  <si>
    <t>31023</t>
  </si>
  <si>
    <t>31024</t>
  </si>
  <si>
    <t>31025</t>
  </si>
  <si>
    <t>31027</t>
  </si>
  <si>
    <t>31028</t>
  </si>
  <si>
    <t>31029</t>
  </si>
  <si>
    <t>31030</t>
  </si>
  <si>
    <t>31031</t>
  </si>
  <si>
    <t>31032</t>
  </si>
  <si>
    <t>31033</t>
  </si>
  <si>
    <t>31034</t>
  </si>
  <si>
    <t>31035</t>
  </si>
  <si>
    <t>31036</t>
  </si>
  <si>
    <t>31037</t>
  </si>
  <si>
    <t>31038</t>
  </si>
  <si>
    <t>31039</t>
  </si>
  <si>
    <t>31041</t>
  </si>
  <si>
    <t>31042</t>
  </si>
  <si>
    <t>31044</t>
  </si>
  <si>
    <t>31045</t>
  </si>
  <si>
    <t>31046</t>
  </si>
  <si>
    <t>31047</t>
  </si>
  <si>
    <t>31049</t>
  </si>
  <si>
    <t>31050</t>
  </si>
  <si>
    <t>31051</t>
  </si>
  <si>
    <t>31052</t>
  </si>
  <si>
    <t>31054</t>
  </si>
  <si>
    <t>31055</t>
  </si>
  <si>
    <t>31057</t>
  </si>
  <si>
    <t>31058</t>
  </si>
  <si>
    <t>31060</t>
  </si>
  <si>
    <t>31061</t>
  </si>
  <si>
    <t>31062</t>
  </si>
  <si>
    <t>31063</t>
  </si>
  <si>
    <t>31064</t>
  </si>
  <si>
    <t>31065</t>
  </si>
  <si>
    <t>31066</t>
  </si>
  <si>
    <t>31067</t>
  </si>
  <si>
    <t>31068</t>
  </si>
  <si>
    <t>31069</t>
  </si>
  <si>
    <t>31070</t>
  </si>
  <si>
    <t>31071</t>
  </si>
  <si>
    <t>31072</t>
  </si>
  <si>
    <t>31075</t>
  </si>
  <si>
    <t>31076</t>
  </si>
  <si>
    <t>31077</t>
  </si>
  <si>
    <t>31078</t>
  </si>
  <si>
    <t>31079</t>
  </si>
  <si>
    <t>31081</t>
  </si>
  <si>
    <t>31082</t>
  </si>
  <si>
    <t>31083</t>
  </si>
  <si>
    <t>31084</t>
  </si>
  <si>
    <t>31085</t>
  </si>
  <si>
    <t>31087</t>
  </si>
  <si>
    <t>31088</t>
  </si>
  <si>
    <t>31089</t>
  </si>
  <si>
    <t>31090</t>
  </si>
  <si>
    <t>31091</t>
  </si>
  <si>
    <t>31092</t>
  </si>
  <si>
    <t>31093</t>
  </si>
  <si>
    <t>31094</t>
  </si>
  <si>
    <t>31096</t>
  </si>
  <si>
    <t>31097</t>
  </si>
  <si>
    <t>31098</t>
  </si>
  <si>
    <t>31201</t>
  </si>
  <si>
    <t>31204</t>
  </si>
  <si>
    <t>31206</t>
  </si>
  <si>
    <t>31207</t>
  </si>
  <si>
    <t>31210</t>
  </si>
  <si>
    <t>31211</t>
  </si>
  <si>
    <t>31213</t>
  </si>
  <si>
    <t>31216</t>
  </si>
  <si>
    <t>31217</t>
  </si>
  <si>
    <t>31220</t>
  </si>
  <si>
    <t>31301</t>
  </si>
  <si>
    <t>31302</t>
  </si>
  <si>
    <t>31303</t>
  </si>
  <si>
    <t>31305</t>
  </si>
  <si>
    <t>31307</t>
  </si>
  <si>
    <t>31308</t>
  </si>
  <si>
    <t>31309</t>
  </si>
  <si>
    <t>31312</t>
  </si>
  <si>
    <t>31313</t>
  </si>
  <si>
    <t>31314</t>
  </si>
  <si>
    <t>31315</t>
  </si>
  <si>
    <t>31316</t>
  </si>
  <si>
    <t>31318</t>
  </si>
  <si>
    <t>31320</t>
  </si>
  <si>
    <t>31321</t>
  </si>
  <si>
    <t>31322</t>
  </si>
  <si>
    <t>31323</t>
  </si>
  <si>
    <t>31324</t>
  </si>
  <si>
    <t>31326</t>
  </si>
  <si>
    <t>31327</t>
  </si>
  <si>
    <t>31328</t>
  </si>
  <si>
    <t>31329</t>
  </si>
  <si>
    <t>31331</t>
  </si>
  <si>
    <t>31333</t>
  </si>
  <si>
    <t>31401</t>
  </si>
  <si>
    <t>31404</t>
  </si>
  <si>
    <t>31405</t>
  </si>
  <si>
    <t>31406</t>
  </si>
  <si>
    <t>31407</t>
  </si>
  <si>
    <t>31408</t>
  </si>
  <si>
    <t>31409</t>
  </si>
  <si>
    <t>31410</t>
  </si>
  <si>
    <t>31411</t>
  </si>
  <si>
    <t>31415</t>
  </si>
  <si>
    <t>31419</t>
  </si>
  <si>
    <t>31421</t>
  </si>
  <si>
    <t>31501</t>
  </si>
  <si>
    <t>31503</t>
  </si>
  <si>
    <t>31510</t>
  </si>
  <si>
    <t>31512</t>
  </si>
  <si>
    <t>31513</t>
  </si>
  <si>
    <t>31516</t>
  </si>
  <si>
    <t>31518</t>
  </si>
  <si>
    <t>31519</t>
  </si>
  <si>
    <t>31520</t>
  </si>
  <si>
    <t>31522</t>
  </si>
  <si>
    <t>31523</t>
  </si>
  <si>
    <t>31524</t>
  </si>
  <si>
    <t>31525</t>
  </si>
  <si>
    <t>31527</t>
  </si>
  <si>
    <t>31532</t>
  </si>
  <si>
    <t>31533</t>
  </si>
  <si>
    <t>31535</t>
  </si>
  <si>
    <t>31537</t>
  </si>
  <si>
    <t>31539</t>
  </si>
  <si>
    <t>31542</t>
  </si>
  <si>
    <t>31543</t>
  </si>
  <si>
    <t>31544</t>
  </si>
  <si>
    <t>31545</t>
  </si>
  <si>
    <t>31546</t>
  </si>
  <si>
    <t>31547</t>
  </si>
  <si>
    <t>31548</t>
  </si>
  <si>
    <t>31549</t>
  </si>
  <si>
    <t>31550</t>
  </si>
  <si>
    <t>31551</t>
  </si>
  <si>
    <t>31552</t>
  </si>
  <si>
    <t>31553</t>
  </si>
  <si>
    <t>31554</t>
  </si>
  <si>
    <t>31555</t>
  </si>
  <si>
    <t>31556</t>
  </si>
  <si>
    <t>31557</t>
  </si>
  <si>
    <t>31558</t>
  </si>
  <si>
    <t>31560</t>
  </si>
  <si>
    <t>31561</t>
  </si>
  <si>
    <t>31562</t>
  </si>
  <si>
    <t>31563</t>
  </si>
  <si>
    <t>31564</t>
  </si>
  <si>
    <t>31565</t>
  </si>
  <si>
    <t>31566</t>
  </si>
  <si>
    <t>31567</t>
  </si>
  <si>
    <t>31568</t>
  </si>
  <si>
    <t>31569</t>
  </si>
  <si>
    <t>31599</t>
  </si>
  <si>
    <t>31601</t>
  </si>
  <si>
    <t>31602</t>
  </si>
  <si>
    <t>31605</t>
  </si>
  <si>
    <t>31606</t>
  </si>
  <si>
    <t>31620</t>
  </si>
  <si>
    <t>31622</t>
  </si>
  <si>
    <t>31623</t>
  </si>
  <si>
    <t>31624</t>
  </si>
  <si>
    <t>31625</t>
  </si>
  <si>
    <t>31626</t>
  </si>
  <si>
    <t>31627</t>
  </si>
  <si>
    <t>31629</t>
  </si>
  <si>
    <t>31630</t>
  </si>
  <si>
    <t>31631</t>
  </si>
  <si>
    <t>31632</t>
  </si>
  <si>
    <t>31634</t>
  </si>
  <si>
    <t>31635</t>
  </si>
  <si>
    <t>31636</t>
  </si>
  <si>
    <t>31637</t>
  </si>
  <si>
    <t>31638</t>
  </si>
  <si>
    <t>31639</t>
  </si>
  <si>
    <t>31641</t>
  </si>
  <si>
    <t>31642</t>
  </si>
  <si>
    <t>31643</t>
  </si>
  <si>
    <t>31645</t>
  </si>
  <si>
    <t>31647</t>
  </si>
  <si>
    <t>31648</t>
  </si>
  <si>
    <t>31649</t>
  </si>
  <si>
    <t>31650</t>
  </si>
  <si>
    <t>31698</t>
  </si>
  <si>
    <t>31699</t>
  </si>
  <si>
    <t>31701</t>
  </si>
  <si>
    <t>31704</t>
  </si>
  <si>
    <t>31705</t>
  </si>
  <si>
    <t>31707</t>
  </si>
  <si>
    <t>31709</t>
  </si>
  <si>
    <t>31711</t>
  </si>
  <si>
    <t>31712</t>
  </si>
  <si>
    <t>31714</t>
  </si>
  <si>
    <t>31716</t>
  </si>
  <si>
    <t>31719</t>
  </si>
  <si>
    <t>31720</t>
  </si>
  <si>
    <t>31721</t>
  </si>
  <si>
    <t>31722</t>
  </si>
  <si>
    <t>31727</t>
  </si>
  <si>
    <t>31730</t>
  </si>
  <si>
    <t>31733</t>
  </si>
  <si>
    <t>31735</t>
  </si>
  <si>
    <t>31738</t>
  </si>
  <si>
    <t>31743</t>
  </si>
  <si>
    <t>31744</t>
  </si>
  <si>
    <t>31747</t>
  </si>
  <si>
    <t>31749</t>
  </si>
  <si>
    <t>31750</t>
  </si>
  <si>
    <t>31753</t>
  </si>
  <si>
    <t>31756</t>
  </si>
  <si>
    <t>31757</t>
  </si>
  <si>
    <t>31763</t>
  </si>
  <si>
    <t>31764</t>
  </si>
  <si>
    <t>31765</t>
  </si>
  <si>
    <t>31768</t>
  </si>
  <si>
    <t>31771</t>
  </si>
  <si>
    <t>31772</t>
  </si>
  <si>
    <t>31773</t>
  </si>
  <si>
    <t>31774</t>
  </si>
  <si>
    <t>31775</t>
  </si>
  <si>
    <t>31778</t>
  </si>
  <si>
    <t>31779</t>
  </si>
  <si>
    <t>31780</t>
  </si>
  <si>
    <t>31781</t>
  </si>
  <si>
    <t>31783</t>
  </si>
  <si>
    <t>31784</t>
  </si>
  <si>
    <t>31787</t>
  </si>
  <si>
    <t>31788</t>
  </si>
  <si>
    <t>31789</t>
  </si>
  <si>
    <t>31790</t>
  </si>
  <si>
    <t>31791</t>
  </si>
  <si>
    <t>31792</t>
  </si>
  <si>
    <t>31793</t>
  </si>
  <si>
    <t>31794</t>
  </si>
  <si>
    <t>31795</t>
  </si>
  <si>
    <t>31796</t>
  </si>
  <si>
    <t>31798</t>
  </si>
  <si>
    <t>31801</t>
  </si>
  <si>
    <t>31803</t>
  </si>
  <si>
    <t>31804</t>
  </si>
  <si>
    <t>31805</t>
  </si>
  <si>
    <t>31806</t>
  </si>
  <si>
    <t>31807</t>
  </si>
  <si>
    <t>31808</t>
  </si>
  <si>
    <t>31810</t>
  </si>
  <si>
    <t>31811</t>
  </si>
  <si>
    <t>31812</t>
  </si>
  <si>
    <t>31814</t>
  </si>
  <si>
    <t>31815</t>
  </si>
  <si>
    <t>31816</t>
  </si>
  <si>
    <t>31820</t>
  </si>
  <si>
    <t>31821</t>
  </si>
  <si>
    <t>31822</t>
  </si>
  <si>
    <t>31823</t>
  </si>
  <si>
    <t>31824</t>
  </si>
  <si>
    <t>31825</t>
  </si>
  <si>
    <t>31826</t>
  </si>
  <si>
    <t>31827</t>
  </si>
  <si>
    <t>31829</t>
  </si>
  <si>
    <t>31830</t>
  </si>
  <si>
    <t>31831</t>
  </si>
  <si>
    <t>31832</t>
  </si>
  <si>
    <t>31833</t>
  </si>
  <si>
    <t>31836</t>
  </si>
  <si>
    <t>31901</t>
  </si>
  <si>
    <t>31903</t>
  </si>
  <si>
    <t>31904</t>
  </si>
  <si>
    <t>31905</t>
  </si>
  <si>
    <t>31906</t>
  </si>
  <si>
    <t>31907</t>
  </si>
  <si>
    <t>31909</t>
  </si>
  <si>
    <t>36855</t>
  </si>
  <si>
    <t>39813</t>
  </si>
  <si>
    <t>39815</t>
  </si>
  <si>
    <t>39817</t>
  </si>
  <si>
    <t>39819</t>
  </si>
  <si>
    <t>39823</t>
  </si>
  <si>
    <t>39824</t>
  </si>
  <si>
    <t>39825</t>
  </si>
  <si>
    <t>39826</t>
  </si>
  <si>
    <t>39827</t>
  </si>
  <si>
    <t>39828</t>
  </si>
  <si>
    <t>39832</t>
  </si>
  <si>
    <t>39834</t>
  </si>
  <si>
    <t>39836</t>
  </si>
  <si>
    <t>39837</t>
  </si>
  <si>
    <t>39840</t>
  </si>
  <si>
    <t>39841</t>
  </si>
  <si>
    <t>39842</t>
  </si>
  <si>
    <t>39845</t>
  </si>
  <si>
    <t>39846</t>
  </si>
  <si>
    <t>39851</t>
  </si>
  <si>
    <t>39854</t>
  </si>
  <si>
    <t>39859</t>
  </si>
  <si>
    <t>39861</t>
  </si>
  <si>
    <t>39862</t>
  </si>
  <si>
    <t>39866</t>
  </si>
  <si>
    <t>39867</t>
  </si>
  <si>
    <t>39870</t>
  </si>
  <si>
    <t>39877</t>
  </si>
  <si>
    <t>39885</t>
  </si>
  <si>
    <t>39886</t>
  </si>
  <si>
    <t>39897</t>
  </si>
  <si>
    <t>19973</t>
  </si>
  <si>
    <t>20601</t>
  </si>
  <si>
    <t>20602</t>
  </si>
  <si>
    <t>20603</t>
  </si>
  <si>
    <t>20606</t>
  </si>
  <si>
    <t>20607</t>
  </si>
  <si>
    <t>20608</t>
  </si>
  <si>
    <t>20609</t>
  </si>
  <si>
    <t>20611</t>
  </si>
  <si>
    <t>20612</t>
  </si>
  <si>
    <t>20613</t>
  </si>
  <si>
    <t>20615</t>
  </si>
  <si>
    <t>20616</t>
  </si>
  <si>
    <t>20617</t>
  </si>
  <si>
    <t>20618</t>
  </si>
  <si>
    <t>20619</t>
  </si>
  <si>
    <t>20620</t>
  </si>
  <si>
    <t>20621</t>
  </si>
  <si>
    <t>20622</t>
  </si>
  <si>
    <t>20623</t>
  </si>
  <si>
    <t>20624</t>
  </si>
  <si>
    <t>20625</t>
  </si>
  <si>
    <t>20626</t>
  </si>
  <si>
    <t>20628</t>
  </si>
  <si>
    <t>20629</t>
  </si>
  <si>
    <t>20630</t>
  </si>
  <si>
    <t>20632</t>
  </si>
  <si>
    <t>20634</t>
  </si>
  <si>
    <t>20636</t>
  </si>
  <si>
    <t>20637</t>
  </si>
  <si>
    <t>20639</t>
  </si>
  <si>
    <t>20640</t>
  </si>
  <si>
    <t>20645</t>
  </si>
  <si>
    <t>20646</t>
  </si>
  <si>
    <t>20650</t>
  </si>
  <si>
    <t>20653</t>
  </si>
  <si>
    <t>20656</t>
  </si>
  <si>
    <t>20657</t>
  </si>
  <si>
    <t>20658</t>
  </si>
  <si>
    <t>20659</t>
  </si>
  <si>
    <t>20660</t>
  </si>
  <si>
    <t>20661</t>
  </si>
  <si>
    <t>20662</t>
  </si>
  <si>
    <t>20664</t>
  </si>
  <si>
    <t>20667</t>
  </si>
  <si>
    <t>20670</t>
  </si>
  <si>
    <t>20674</t>
  </si>
  <si>
    <t>20675</t>
  </si>
  <si>
    <t>20676</t>
  </si>
  <si>
    <t>20677</t>
  </si>
  <si>
    <t>20678</t>
  </si>
  <si>
    <t>20680</t>
  </si>
  <si>
    <t>20684</t>
  </si>
  <si>
    <t>20685</t>
  </si>
  <si>
    <t>20686</t>
  </si>
  <si>
    <t>20687</t>
  </si>
  <si>
    <t>20688</t>
  </si>
  <si>
    <t>20689</t>
  </si>
  <si>
    <t>20690</t>
  </si>
  <si>
    <t>20692</t>
  </si>
  <si>
    <t>20693</t>
  </si>
  <si>
    <t>20695</t>
  </si>
  <si>
    <t>20701</t>
  </si>
  <si>
    <t>20705</t>
  </si>
  <si>
    <t>20706</t>
  </si>
  <si>
    <t>20707</t>
  </si>
  <si>
    <t>20708</t>
  </si>
  <si>
    <t>20710</t>
  </si>
  <si>
    <t>20711</t>
  </si>
  <si>
    <t>20712</t>
  </si>
  <si>
    <t>20714</t>
  </si>
  <si>
    <t>20715</t>
  </si>
  <si>
    <t>20716</t>
  </si>
  <si>
    <t>20720</t>
  </si>
  <si>
    <t>20721</t>
  </si>
  <si>
    <t>20722</t>
  </si>
  <si>
    <t>20723</t>
  </si>
  <si>
    <t>20724</t>
  </si>
  <si>
    <t>20732</t>
  </si>
  <si>
    <t>20733</t>
  </si>
  <si>
    <t>20735</t>
  </si>
  <si>
    <t>20736</t>
  </si>
  <si>
    <t>20737</t>
  </si>
  <si>
    <t>20740</t>
  </si>
  <si>
    <t>20742</t>
  </si>
  <si>
    <t>20743</t>
  </si>
  <si>
    <t>20744</t>
  </si>
  <si>
    <t>20745</t>
  </si>
  <si>
    <t>20746</t>
  </si>
  <si>
    <t>20747</t>
  </si>
  <si>
    <t>20748</t>
  </si>
  <si>
    <t>20751</t>
  </si>
  <si>
    <t>20754</t>
  </si>
  <si>
    <t>20755</t>
  </si>
  <si>
    <t>20758</t>
  </si>
  <si>
    <t>20759</t>
  </si>
  <si>
    <t>20762</t>
  </si>
  <si>
    <t>20763</t>
  </si>
  <si>
    <t>20764</t>
  </si>
  <si>
    <t>20765</t>
  </si>
  <si>
    <t>20769</t>
  </si>
  <si>
    <t>20770</t>
  </si>
  <si>
    <t>20771</t>
  </si>
  <si>
    <t>20772</t>
  </si>
  <si>
    <t>20774</t>
  </si>
  <si>
    <t>20776</t>
  </si>
  <si>
    <t>20777</t>
  </si>
  <si>
    <t>20778</t>
  </si>
  <si>
    <t>20779</t>
  </si>
  <si>
    <t>20781</t>
  </si>
  <si>
    <t>20782</t>
  </si>
  <si>
    <t>20783</t>
  </si>
  <si>
    <t>20784</t>
  </si>
  <si>
    <t>20785</t>
  </si>
  <si>
    <t>20794</t>
  </si>
  <si>
    <t>20812</t>
  </si>
  <si>
    <t>20814</t>
  </si>
  <si>
    <t>20815</t>
  </si>
  <si>
    <t>20816</t>
  </si>
  <si>
    <t>20817</t>
  </si>
  <si>
    <t>20818</t>
  </si>
  <si>
    <t>20832</t>
  </si>
  <si>
    <t>20833</t>
  </si>
  <si>
    <t>20837</t>
  </si>
  <si>
    <t>20838</t>
  </si>
  <si>
    <t>20839</t>
  </si>
  <si>
    <t>20841</t>
  </si>
  <si>
    <t>20842</t>
  </si>
  <si>
    <t>20850</t>
  </si>
  <si>
    <t>20851</t>
  </si>
  <si>
    <t>20852</t>
  </si>
  <si>
    <t>20853</t>
  </si>
  <si>
    <t>20854</t>
  </si>
  <si>
    <t>20855</t>
  </si>
  <si>
    <t>20860</t>
  </si>
  <si>
    <t>20861</t>
  </si>
  <si>
    <t>20862</t>
  </si>
  <si>
    <t>20866</t>
  </si>
  <si>
    <t>20868</t>
  </si>
  <si>
    <t>20871</t>
  </si>
  <si>
    <t>20872</t>
  </si>
  <si>
    <t>20874</t>
  </si>
  <si>
    <t>20876</t>
  </si>
  <si>
    <t>20877</t>
  </si>
  <si>
    <t>20878</t>
  </si>
  <si>
    <t>20879</t>
  </si>
  <si>
    <t>20880</t>
  </si>
  <si>
    <t>20882</t>
  </si>
  <si>
    <t>20886</t>
  </si>
  <si>
    <t>20889</t>
  </si>
  <si>
    <t>20892</t>
  </si>
  <si>
    <t>20894</t>
  </si>
  <si>
    <t>20895</t>
  </si>
  <si>
    <t>20896</t>
  </si>
  <si>
    <t>20899</t>
  </si>
  <si>
    <t>20901</t>
  </si>
  <si>
    <t>20902</t>
  </si>
  <si>
    <t>20903</t>
  </si>
  <si>
    <t>20904</t>
  </si>
  <si>
    <t>20905</t>
  </si>
  <si>
    <t>20906</t>
  </si>
  <si>
    <t>20910</t>
  </si>
  <si>
    <t>20912</t>
  </si>
  <si>
    <t>21001</t>
  </si>
  <si>
    <t>21005</t>
  </si>
  <si>
    <t>21009</t>
  </si>
  <si>
    <t>21010</t>
  </si>
  <si>
    <t>21012</t>
  </si>
  <si>
    <t>21013</t>
  </si>
  <si>
    <t>21014</t>
  </si>
  <si>
    <t>21015</t>
  </si>
  <si>
    <t>21017</t>
  </si>
  <si>
    <t>21023</t>
  </si>
  <si>
    <t>21028</t>
  </si>
  <si>
    <t>21029</t>
  </si>
  <si>
    <t>21030</t>
  </si>
  <si>
    <t>21031</t>
  </si>
  <si>
    <t>21032</t>
  </si>
  <si>
    <t>21034</t>
  </si>
  <si>
    <t>21035</t>
  </si>
  <si>
    <t>21036</t>
  </si>
  <si>
    <t>21037</t>
  </si>
  <si>
    <t>21040</t>
  </si>
  <si>
    <t>21042</t>
  </si>
  <si>
    <t>21043</t>
  </si>
  <si>
    <t>21044</t>
  </si>
  <si>
    <t>21045</t>
  </si>
  <si>
    <t>21046</t>
  </si>
  <si>
    <t>21047</t>
  </si>
  <si>
    <t>21048</t>
  </si>
  <si>
    <t>21050</t>
  </si>
  <si>
    <t>21051</t>
  </si>
  <si>
    <t>21052</t>
  </si>
  <si>
    <t>21053</t>
  </si>
  <si>
    <t>21054</t>
  </si>
  <si>
    <t>21056</t>
  </si>
  <si>
    <t>21057</t>
  </si>
  <si>
    <t>21060</t>
  </si>
  <si>
    <t>21061</t>
  </si>
  <si>
    <t>21071</t>
  </si>
  <si>
    <t>21074</t>
  </si>
  <si>
    <t>21075</t>
  </si>
  <si>
    <t>21076</t>
  </si>
  <si>
    <t>21077</t>
  </si>
  <si>
    <t>21078</t>
  </si>
  <si>
    <t>21082</t>
  </si>
  <si>
    <t>21084</t>
  </si>
  <si>
    <t>21085</t>
  </si>
  <si>
    <t>21087</t>
  </si>
  <si>
    <t>21090</t>
  </si>
  <si>
    <t>21093</t>
  </si>
  <si>
    <t>21102</t>
  </si>
  <si>
    <t>21104</t>
  </si>
  <si>
    <t>21105</t>
  </si>
  <si>
    <t>21108</t>
  </si>
  <si>
    <t>21111</t>
  </si>
  <si>
    <t>21113</t>
  </si>
  <si>
    <t>21114</t>
  </si>
  <si>
    <t>21117</t>
  </si>
  <si>
    <t>21120</t>
  </si>
  <si>
    <t>21122</t>
  </si>
  <si>
    <t>21128</t>
  </si>
  <si>
    <t>21130</t>
  </si>
  <si>
    <t>21131</t>
  </si>
  <si>
    <t>21132</t>
  </si>
  <si>
    <t>21133</t>
  </si>
  <si>
    <t>21136</t>
  </si>
  <si>
    <t>21140</t>
  </si>
  <si>
    <t>21144</t>
  </si>
  <si>
    <t>21146</t>
  </si>
  <si>
    <t>21152</t>
  </si>
  <si>
    <t>21153</t>
  </si>
  <si>
    <t>21154</t>
  </si>
  <si>
    <t>21155</t>
  </si>
  <si>
    <t>21156</t>
  </si>
  <si>
    <t>21157</t>
  </si>
  <si>
    <t>21158</t>
  </si>
  <si>
    <t>21160</t>
  </si>
  <si>
    <t>21161</t>
  </si>
  <si>
    <t>21162</t>
  </si>
  <si>
    <t>21163</t>
  </si>
  <si>
    <t>21201</t>
  </si>
  <si>
    <t>21202</t>
  </si>
  <si>
    <t>21204</t>
  </si>
  <si>
    <t>21205</t>
  </si>
  <si>
    <t>21206</t>
  </si>
  <si>
    <t>21207</t>
  </si>
  <si>
    <t>21208</t>
  </si>
  <si>
    <t>21209</t>
  </si>
  <si>
    <t>21210</t>
  </si>
  <si>
    <t>21211</t>
  </si>
  <si>
    <t>21212</t>
  </si>
  <si>
    <t>21213</t>
  </si>
  <si>
    <t>21214</t>
  </si>
  <si>
    <t>21215</t>
  </si>
  <si>
    <t>21216</t>
  </si>
  <si>
    <t>21217</t>
  </si>
  <si>
    <t>21218</t>
  </si>
  <si>
    <t>21219</t>
  </si>
  <si>
    <t>21220</t>
  </si>
  <si>
    <t>21221</t>
  </si>
  <si>
    <t>21222</t>
  </si>
  <si>
    <t>21223</t>
  </si>
  <si>
    <t>21224</t>
  </si>
  <si>
    <t>21225</t>
  </si>
  <si>
    <t>21226</t>
  </si>
  <si>
    <t>21227</t>
  </si>
  <si>
    <t>21228</t>
  </si>
  <si>
    <t>21229</t>
  </si>
  <si>
    <t>21230</t>
  </si>
  <si>
    <t>21231</t>
  </si>
  <si>
    <t>21233</t>
  </si>
  <si>
    <t>21234</t>
  </si>
  <si>
    <t>21236</t>
  </si>
  <si>
    <t>21237</t>
  </si>
  <si>
    <t>21239</t>
  </si>
  <si>
    <t>21240</t>
  </si>
  <si>
    <t>21244</t>
  </si>
  <si>
    <t>21250</t>
  </si>
  <si>
    <t>21251</t>
  </si>
  <si>
    <t>21252</t>
  </si>
  <si>
    <t>21285</t>
  </si>
  <si>
    <t>21286</t>
  </si>
  <si>
    <t>21287</t>
  </si>
  <si>
    <t>21401</t>
  </si>
  <si>
    <t>21402</t>
  </si>
  <si>
    <t>21403</t>
  </si>
  <si>
    <t>21405</t>
  </si>
  <si>
    <t>21409</t>
  </si>
  <si>
    <t>21502</t>
  </si>
  <si>
    <t>21520</t>
  </si>
  <si>
    <t>21521</t>
  </si>
  <si>
    <t>21523</t>
  </si>
  <si>
    <t>21524</t>
  </si>
  <si>
    <t>21529</t>
  </si>
  <si>
    <t>21530</t>
  </si>
  <si>
    <t>21531</t>
  </si>
  <si>
    <t>21532</t>
  </si>
  <si>
    <t>21536</t>
  </si>
  <si>
    <t>21538</t>
  </si>
  <si>
    <t>21539</t>
  </si>
  <si>
    <t>21540</t>
  </si>
  <si>
    <t>21541</t>
  </si>
  <si>
    <t>21542</t>
  </si>
  <si>
    <t>21543</t>
  </si>
  <si>
    <t>21545</t>
  </si>
  <si>
    <t>21550</t>
  </si>
  <si>
    <t>21555</t>
  </si>
  <si>
    <t>21557</t>
  </si>
  <si>
    <t>21560</t>
  </si>
  <si>
    <t>21561</t>
  </si>
  <si>
    <t>21562</t>
  </si>
  <si>
    <t>21601</t>
  </si>
  <si>
    <t>21607</t>
  </si>
  <si>
    <t>21610</t>
  </si>
  <si>
    <t>21612</t>
  </si>
  <si>
    <t>21613</t>
  </si>
  <si>
    <t>21617</t>
  </si>
  <si>
    <t>21619</t>
  </si>
  <si>
    <t>21620</t>
  </si>
  <si>
    <t>21622</t>
  </si>
  <si>
    <t>21623</t>
  </si>
  <si>
    <t>21624</t>
  </si>
  <si>
    <t>21625</t>
  </si>
  <si>
    <t>21626</t>
  </si>
  <si>
    <t>21627</t>
  </si>
  <si>
    <t>21628</t>
  </si>
  <si>
    <t>21629</t>
  </si>
  <si>
    <t>21631</t>
  </si>
  <si>
    <t>21632</t>
  </si>
  <si>
    <t>21634</t>
  </si>
  <si>
    <t>21635</t>
  </si>
  <si>
    <t>21636</t>
  </si>
  <si>
    <t>21638</t>
  </si>
  <si>
    <t>21639</t>
  </si>
  <si>
    <t>21640</t>
  </si>
  <si>
    <t>21641</t>
  </si>
  <si>
    <t>21643</t>
  </si>
  <si>
    <t>21644</t>
  </si>
  <si>
    <t>21645</t>
  </si>
  <si>
    <t>21647</t>
  </si>
  <si>
    <t>21648</t>
  </si>
  <si>
    <t>21649</t>
  </si>
  <si>
    <t>21650</t>
  </si>
  <si>
    <t>21651</t>
  </si>
  <si>
    <t>21652</t>
  </si>
  <si>
    <t>21653</t>
  </si>
  <si>
    <t>21654</t>
  </si>
  <si>
    <t>21655</t>
  </si>
  <si>
    <t>21657</t>
  </si>
  <si>
    <t>21658</t>
  </si>
  <si>
    <t>21659</t>
  </si>
  <si>
    <t>21660</t>
  </si>
  <si>
    <t>21661</t>
  </si>
  <si>
    <t>21662</t>
  </si>
  <si>
    <t>21663</t>
  </si>
  <si>
    <t>21664</t>
  </si>
  <si>
    <t>21665</t>
  </si>
  <si>
    <t>21666</t>
  </si>
  <si>
    <t>21667</t>
  </si>
  <si>
    <t>21668</t>
  </si>
  <si>
    <t>21669</t>
  </si>
  <si>
    <t>21671</t>
  </si>
  <si>
    <t>21672</t>
  </si>
  <si>
    <t>21673</t>
  </si>
  <si>
    <t>21675</t>
  </si>
  <si>
    <t>21676</t>
  </si>
  <si>
    <t>21677</t>
  </si>
  <si>
    <t>21678</t>
  </si>
  <si>
    <t>21679</t>
  </si>
  <si>
    <t>21701</t>
  </si>
  <si>
    <t>21702</t>
  </si>
  <si>
    <t>21703</t>
  </si>
  <si>
    <t>21704</t>
  </si>
  <si>
    <t>21705</t>
  </si>
  <si>
    <t>21710</t>
  </si>
  <si>
    <t>21711</t>
  </si>
  <si>
    <t>21713</t>
  </si>
  <si>
    <t>21714</t>
  </si>
  <si>
    <t>21715</t>
  </si>
  <si>
    <t>21716</t>
  </si>
  <si>
    <t>21717</t>
  </si>
  <si>
    <t>21718</t>
  </si>
  <si>
    <t>21719</t>
  </si>
  <si>
    <t>21722</t>
  </si>
  <si>
    <t>21723</t>
  </si>
  <si>
    <t>21727</t>
  </si>
  <si>
    <t>21733</t>
  </si>
  <si>
    <t>21734</t>
  </si>
  <si>
    <t>21737</t>
  </si>
  <si>
    <t>21738</t>
  </si>
  <si>
    <t>21740</t>
  </si>
  <si>
    <t>21742</t>
  </si>
  <si>
    <t>21746</t>
  </si>
  <si>
    <t>21750</t>
  </si>
  <si>
    <t>21754</t>
  </si>
  <si>
    <t>21755</t>
  </si>
  <si>
    <t>21756</t>
  </si>
  <si>
    <t>21757</t>
  </si>
  <si>
    <t>21758</t>
  </si>
  <si>
    <t>21762</t>
  </si>
  <si>
    <t>21766</t>
  </si>
  <si>
    <t>21767</t>
  </si>
  <si>
    <t>21769</t>
  </si>
  <si>
    <t>21770</t>
  </si>
  <si>
    <t>21771</t>
  </si>
  <si>
    <t>21773</t>
  </si>
  <si>
    <t>21774</t>
  </si>
  <si>
    <t>21776</t>
  </si>
  <si>
    <t>21777</t>
  </si>
  <si>
    <t>21778</t>
  </si>
  <si>
    <t>21779</t>
  </si>
  <si>
    <t>21780</t>
  </si>
  <si>
    <t>21781</t>
  </si>
  <si>
    <t>21782</t>
  </si>
  <si>
    <t>21783</t>
  </si>
  <si>
    <t>21784</t>
  </si>
  <si>
    <t>21787</t>
  </si>
  <si>
    <t>21788</t>
  </si>
  <si>
    <t>21790</t>
  </si>
  <si>
    <t>21791</t>
  </si>
  <si>
    <t>21793</t>
  </si>
  <si>
    <t>21794</t>
  </si>
  <si>
    <t>21795</t>
  </si>
  <si>
    <t>21797</t>
  </si>
  <si>
    <t>21798</t>
  </si>
  <si>
    <t>21801</t>
  </si>
  <si>
    <t>21804</t>
  </si>
  <si>
    <t>21810</t>
  </si>
  <si>
    <t>21811</t>
  </si>
  <si>
    <t>21813</t>
  </si>
  <si>
    <t>21814</t>
  </si>
  <si>
    <t>21817</t>
  </si>
  <si>
    <t>21821</t>
  </si>
  <si>
    <t>21822</t>
  </si>
  <si>
    <t>21824</t>
  </si>
  <si>
    <t>21826</t>
  </si>
  <si>
    <t>21829</t>
  </si>
  <si>
    <t>21830</t>
  </si>
  <si>
    <t>21835</t>
  </si>
  <si>
    <t>21837</t>
  </si>
  <si>
    <t>21838</t>
  </si>
  <si>
    <t>21840</t>
  </si>
  <si>
    <t>21841</t>
  </si>
  <si>
    <t>21842</t>
  </si>
  <si>
    <t>21849</t>
  </si>
  <si>
    <t>21850</t>
  </si>
  <si>
    <t>21851</t>
  </si>
  <si>
    <t>21853</t>
  </si>
  <si>
    <t>21856</t>
  </si>
  <si>
    <t>21861</t>
  </si>
  <si>
    <t>21862</t>
  </si>
  <si>
    <t>21863</t>
  </si>
  <si>
    <t>21864</t>
  </si>
  <si>
    <t>21865</t>
  </si>
  <si>
    <t>21866</t>
  </si>
  <si>
    <t>21867</t>
  </si>
  <si>
    <t>21869</t>
  </si>
  <si>
    <t>21871</t>
  </si>
  <si>
    <t>21872</t>
  </si>
  <si>
    <t>21874</t>
  </si>
  <si>
    <t>21875</t>
  </si>
  <si>
    <t>21890</t>
  </si>
  <si>
    <t>21901</t>
  </si>
  <si>
    <t>21902</t>
  </si>
  <si>
    <t>21903</t>
  </si>
  <si>
    <t>21904</t>
  </si>
  <si>
    <t>21911</t>
  </si>
  <si>
    <t>21912</t>
  </si>
  <si>
    <t>21913</t>
  </si>
  <si>
    <t>21914</t>
  </si>
  <si>
    <t>21915</t>
  </si>
  <si>
    <t>21917</t>
  </si>
  <si>
    <t>21918</t>
  </si>
  <si>
    <t>21919</t>
  </si>
  <si>
    <t>21920</t>
  </si>
  <si>
    <t>21921</t>
  </si>
  <si>
    <t>21930</t>
  </si>
  <si>
    <t>27006</t>
  </si>
  <si>
    <t>27007</t>
  </si>
  <si>
    <t>27009</t>
  </si>
  <si>
    <t>27011</t>
  </si>
  <si>
    <t>27012</t>
  </si>
  <si>
    <t>27013</t>
  </si>
  <si>
    <t>27014</t>
  </si>
  <si>
    <t>27016</t>
  </si>
  <si>
    <t>27017</t>
  </si>
  <si>
    <t>27018</t>
  </si>
  <si>
    <t>27019</t>
  </si>
  <si>
    <t>27020</t>
  </si>
  <si>
    <t>27021</t>
  </si>
  <si>
    <t>27022</t>
  </si>
  <si>
    <t>27023</t>
  </si>
  <si>
    <t>27024</t>
  </si>
  <si>
    <t>27025</t>
  </si>
  <si>
    <t>27027</t>
  </si>
  <si>
    <t>27028</t>
  </si>
  <si>
    <t>27030</t>
  </si>
  <si>
    <t>27040</t>
  </si>
  <si>
    <t>27041</t>
  </si>
  <si>
    <t>27042</t>
  </si>
  <si>
    <t>27043</t>
  </si>
  <si>
    <t>27045</t>
  </si>
  <si>
    <t>27046</t>
  </si>
  <si>
    <t>27047</t>
  </si>
  <si>
    <t>27048</t>
  </si>
  <si>
    <t>27050</t>
  </si>
  <si>
    <t>27051</t>
  </si>
  <si>
    <t>27052</t>
  </si>
  <si>
    <t>27053</t>
  </si>
  <si>
    <t>27054</t>
  </si>
  <si>
    <t>27055</t>
  </si>
  <si>
    <t>27101</t>
  </si>
  <si>
    <t>27103</t>
  </si>
  <si>
    <t>27104</t>
  </si>
  <si>
    <t>27105</t>
  </si>
  <si>
    <t>27106</t>
  </si>
  <si>
    <t>27107</t>
  </si>
  <si>
    <t>27109</t>
  </si>
  <si>
    <t>27110</t>
  </si>
  <si>
    <t>27127</t>
  </si>
  <si>
    <t>27201</t>
  </si>
  <si>
    <t>27202</t>
  </si>
  <si>
    <t>27203</t>
  </si>
  <si>
    <t>27205</t>
  </si>
  <si>
    <t>27207</t>
  </si>
  <si>
    <t>27208</t>
  </si>
  <si>
    <t>27209</t>
  </si>
  <si>
    <t>27212</t>
  </si>
  <si>
    <t>27213</t>
  </si>
  <si>
    <t>27214</t>
  </si>
  <si>
    <t>27215</t>
  </si>
  <si>
    <t>27217</t>
  </si>
  <si>
    <t>27229</t>
  </si>
  <si>
    <t>27231</t>
  </si>
  <si>
    <t>27233</t>
  </si>
  <si>
    <t>27235</t>
  </si>
  <si>
    <t>27239</t>
  </si>
  <si>
    <t>27242</t>
  </si>
  <si>
    <t>27243</t>
  </si>
  <si>
    <t>27244</t>
  </si>
  <si>
    <t>27247</t>
  </si>
  <si>
    <t>27248</t>
  </si>
  <si>
    <t>27249</t>
  </si>
  <si>
    <t>27252</t>
  </si>
  <si>
    <t>27253</t>
  </si>
  <si>
    <t>27256</t>
  </si>
  <si>
    <t>27258</t>
  </si>
  <si>
    <t>27259</t>
  </si>
  <si>
    <t>27260</t>
  </si>
  <si>
    <t>27262</t>
  </si>
  <si>
    <t>27263</t>
  </si>
  <si>
    <t>27265</t>
  </si>
  <si>
    <t>27268</t>
  </si>
  <si>
    <t>27278</t>
  </si>
  <si>
    <t>27281</t>
  </si>
  <si>
    <t>27282</t>
  </si>
  <si>
    <t>27283</t>
  </si>
  <si>
    <t>27284</t>
  </si>
  <si>
    <t>27288</t>
  </si>
  <si>
    <t>27291</t>
  </si>
  <si>
    <t>27292</t>
  </si>
  <si>
    <t>27295</t>
  </si>
  <si>
    <t>27298</t>
  </si>
  <si>
    <t>27299</t>
  </si>
  <si>
    <t>27301</t>
  </si>
  <si>
    <t>27302</t>
  </si>
  <si>
    <t>27305</t>
  </si>
  <si>
    <t>27306</t>
  </si>
  <si>
    <t>27310</t>
  </si>
  <si>
    <t>27311</t>
  </si>
  <si>
    <t>27312</t>
  </si>
  <si>
    <t>27313</t>
  </si>
  <si>
    <t>27314</t>
  </si>
  <si>
    <t>27315</t>
  </si>
  <si>
    <t>27316</t>
  </si>
  <si>
    <t>27317</t>
  </si>
  <si>
    <t>27320</t>
  </si>
  <si>
    <t>27325</t>
  </si>
  <si>
    <t>27326</t>
  </si>
  <si>
    <t>27330</t>
  </si>
  <si>
    <t>27332</t>
  </si>
  <si>
    <t>27340</t>
  </si>
  <si>
    <t>27341</t>
  </si>
  <si>
    <t>27342</t>
  </si>
  <si>
    <t>27343</t>
  </si>
  <si>
    <t>27344</t>
  </si>
  <si>
    <t>27349</t>
  </si>
  <si>
    <t>27350</t>
  </si>
  <si>
    <t>27351</t>
  </si>
  <si>
    <t>27355</t>
  </si>
  <si>
    <t>27356</t>
  </si>
  <si>
    <t>27357</t>
  </si>
  <si>
    <t>27358</t>
  </si>
  <si>
    <t>27360</t>
  </si>
  <si>
    <t>27370</t>
  </si>
  <si>
    <t>27371</t>
  </si>
  <si>
    <t>27374</t>
  </si>
  <si>
    <t>27376</t>
  </si>
  <si>
    <t>27377</t>
  </si>
  <si>
    <t>27379</t>
  </si>
  <si>
    <t>27401</t>
  </si>
  <si>
    <t>27403</t>
  </si>
  <si>
    <t>27405</t>
  </si>
  <si>
    <t>27406</t>
  </si>
  <si>
    <t>27407</t>
  </si>
  <si>
    <t>27408</t>
  </si>
  <si>
    <t>27409</t>
  </si>
  <si>
    <t>27410</t>
  </si>
  <si>
    <t>27411</t>
  </si>
  <si>
    <t>27412</t>
  </si>
  <si>
    <t>27455</t>
  </si>
  <si>
    <t>27501</t>
  </si>
  <si>
    <t>27502</t>
  </si>
  <si>
    <t>27503</t>
  </si>
  <si>
    <t>27504</t>
  </si>
  <si>
    <t>27505</t>
  </si>
  <si>
    <t>27506</t>
  </si>
  <si>
    <t>27507</t>
  </si>
  <si>
    <t>27508</t>
  </si>
  <si>
    <t>27509</t>
  </si>
  <si>
    <t>27510</t>
  </si>
  <si>
    <t>27511</t>
  </si>
  <si>
    <t>27513</t>
  </si>
  <si>
    <t>27514</t>
  </si>
  <si>
    <t>27516</t>
  </si>
  <si>
    <t>27517</t>
  </si>
  <si>
    <t>27518</t>
  </si>
  <si>
    <t>27519</t>
  </si>
  <si>
    <t>27520</t>
  </si>
  <si>
    <t>27521</t>
  </si>
  <si>
    <t>27522</t>
  </si>
  <si>
    <t>27523</t>
  </si>
  <si>
    <t>27524</t>
  </si>
  <si>
    <t>27525</t>
  </si>
  <si>
    <t>27526</t>
  </si>
  <si>
    <t>27527</t>
  </si>
  <si>
    <t>27529</t>
  </si>
  <si>
    <t>27530</t>
  </si>
  <si>
    <t>27531</t>
  </si>
  <si>
    <t>27533</t>
  </si>
  <si>
    <t>27534</t>
  </si>
  <si>
    <t>27536</t>
  </si>
  <si>
    <t>27537</t>
  </si>
  <si>
    <t>27539</t>
  </si>
  <si>
    <t>27540</t>
  </si>
  <si>
    <t>27541</t>
  </si>
  <si>
    <t>27542</t>
  </si>
  <si>
    <t>27544</t>
  </si>
  <si>
    <t>27545</t>
  </si>
  <si>
    <t>27546</t>
  </si>
  <si>
    <t>27549</t>
  </si>
  <si>
    <t>27551</t>
  </si>
  <si>
    <t>27553</t>
  </si>
  <si>
    <t>27555</t>
  </si>
  <si>
    <t>27556</t>
  </si>
  <si>
    <t>27557</t>
  </si>
  <si>
    <t>27559</t>
  </si>
  <si>
    <t>27560</t>
  </si>
  <si>
    <t>27562</t>
  </si>
  <si>
    <t>27563</t>
  </si>
  <si>
    <t>27565</t>
  </si>
  <si>
    <t>27568</t>
  </si>
  <si>
    <t>27569</t>
  </si>
  <si>
    <t>27570</t>
  </si>
  <si>
    <t>27571</t>
  </si>
  <si>
    <t>27572</t>
  </si>
  <si>
    <t>27573</t>
  </si>
  <si>
    <t>27574</t>
  </si>
  <si>
    <t>27576</t>
  </si>
  <si>
    <t>27577</t>
  </si>
  <si>
    <t>27581</t>
  </si>
  <si>
    <t>27582</t>
  </si>
  <si>
    <t>27583</t>
  </si>
  <si>
    <t>27584</t>
  </si>
  <si>
    <t>27587</t>
  </si>
  <si>
    <t>27589</t>
  </si>
  <si>
    <t>27591</t>
  </si>
  <si>
    <t>27592</t>
  </si>
  <si>
    <t>27593</t>
  </si>
  <si>
    <t>27594</t>
  </si>
  <si>
    <t>27596</t>
  </si>
  <si>
    <t>27597</t>
  </si>
  <si>
    <t>27599</t>
  </si>
  <si>
    <t>27601</t>
  </si>
  <si>
    <t>27603</t>
  </si>
  <si>
    <t>27604</t>
  </si>
  <si>
    <t>27605</t>
  </si>
  <si>
    <t>27606</t>
  </si>
  <si>
    <t>27607</t>
  </si>
  <si>
    <t>27608</t>
  </si>
  <si>
    <t>27609</t>
  </si>
  <si>
    <t>27610</t>
  </si>
  <si>
    <t>27612</t>
  </si>
  <si>
    <t>27613</t>
  </si>
  <si>
    <t>27614</t>
  </si>
  <si>
    <t>27615</t>
  </si>
  <si>
    <t>27616</t>
  </si>
  <si>
    <t>27617</t>
  </si>
  <si>
    <t>27695</t>
  </si>
  <si>
    <t>27697</t>
  </si>
  <si>
    <t>27701</t>
  </si>
  <si>
    <t>27703</t>
  </si>
  <si>
    <t>27704</t>
  </si>
  <si>
    <t>27705</t>
  </si>
  <si>
    <t>27707</t>
  </si>
  <si>
    <t>27708</t>
  </si>
  <si>
    <t>27709</t>
  </si>
  <si>
    <t>27712</t>
  </si>
  <si>
    <t>27713</t>
  </si>
  <si>
    <t>27801</t>
  </si>
  <si>
    <t>27803</t>
  </si>
  <si>
    <t>27804</t>
  </si>
  <si>
    <t>27805</t>
  </si>
  <si>
    <t>27806</t>
  </si>
  <si>
    <t>27807</t>
  </si>
  <si>
    <t>27808</t>
  </si>
  <si>
    <t>27809</t>
  </si>
  <si>
    <t>27810</t>
  </si>
  <si>
    <t>27812</t>
  </si>
  <si>
    <t>27813</t>
  </si>
  <si>
    <t>27814</t>
  </si>
  <si>
    <t>27815</t>
  </si>
  <si>
    <t>27816</t>
  </si>
  <si>
    <t>27817</t>
  </si>
  <si>
    <t>27818</t>
  </si>
  <si>
    <t>27819</t>
  </si>
  <si>
    <t>27820</t>
  </si>
  <si>
    <t>27821</t>
  </si>
  <si>
    <t>27822</t>
  </si>
  <si>
    <t>27823</t>
  </si>
  <si>
    <t>27824</t>
  </si>
  <si>
    <t>27825</t>
  </si>
  <si>
    <t>27826</t>
  </si>
  <si>
    <t>27827</t>
  </si>
  <si>
    <t>27828</t>
  </si>
  <si>
    <t>27829</t>
  </si>
  <si>
    <t>27830</t>
  </si>
  <si>
    <t>27831</t>
  </si>
  <si>
    <t>27832</t>
  </si>
  <si>
    <t>27834</t>
  </si>
  <si>
    <t>27837</t>
  </si>
  <si>
    <t>27839</t>
  </si>
  <si>
    <t>27840</t>
  </si>
  <si>
    <t>27841</t>
  </si>
  <si>
    <t>27842</t>
  </si>
  <si>
    <t>27843</t>
  </si>
  <si>
    <t>27844</t>
  </si>
  <si>
    <t>27845</t>
  </si>
  <si>
    <t>27846</t>
  </si>
  <si>
    <t>27847</t>
  </si>
  <si>
    <t>27849</t>
  </si>
  <si>
    <t>27850</t>
  </si>
  <si>
    <t>27851</t>
  </si>
  <si>
    <t>27852</t>
  </si>
  <si>
    <t>27853</t>
  </si>
  <si>
    <t>27855</t>
  </si>
  <si>
    <t>27856</t>
  </si>
  <si>
    <t>27857</t>
  </si>
  <si>
    <t>27858</t>
  </si>
  <si>
    <t>27860</t>
  </si>
  <si>
    <t>27861</t>
  </si>
  <si>
    <t>27862</t>
  </si>
  <si>
    <t>27863</t>
  </si>
  <si>
    <t>27864</t>
  </si>
  <si>
    <t>27865</t>
  </si>
  <si>
    <t>27866</t>
  </si>
  <si>
    <t>27869</t>
  </si>
  <si>
    <t>27870</t>
  </si>
  <si>
    <t>27871</t>
  </si>
  <si>
    <t>27872</t>
  </si>
  <si>
    <t>27873</t>
  </si>
  <si>
    <t>27874</t>
  </si>
  <si>
    <t>27875</t>
  </si>
  <si>
    <t>27876</t>
  </si>
  <si>
    <t>27877</t>
  </si>
  <si>
    <t>27878</t>
  </si>
  <si>
    <t>27879</t>
  </si>
  <si>
    <t>27880</t>
  </si>
  <si>
    <t>27881</t>
  </si>
  <si>
    <t>27882</t>
  </si>
  <si>
    <t>27883</t>
  </si>
  <si>
    <t>27884</t>
  </si>
  <si>
    <t>27885</t>
  </si>
  <si>
    <t>27886</t>
  </si>
  <si>
    <t>27888</t>
  </si>
  <si>
    <t>27889</t>
  </si>
  <si>
    <t>27890</t>
  </si>
  <si>
    <t>27891</t>
  </si>
  <si>
    <t>27892</t>
  </si>
  <si>
    <t>27893</t>
  </si>
  <si>
    <t>27896</t>
  </si>
  <si>
    <t>27897</t>
  </si>
  <si>
    <t>27909</t>
  </si>
  <si>
    <t>27910</t>
  </si>
  <si>
    <t>27915</t>
  </si>
  <si>
    <t>27916</t>
  </si>
  <si>
    <t>27917</t>
  </si>
  <si>
    <t>27919</t>
  </si>
  <si>
    <t>27920</t>
  </si>
  <si>
    <t>27921</t>
  </si>
  <si>
    <t>27922</t>
  </si>
  <si>
    <t>27923</t>
  </si>
  <si>
    <t>27924</t>
  </si>
  <si>
    <t>27925</t>
  </si>
  <si>
    <t>27926</t>
  </si>
  <si>
    <t>27927</t>
  </si>
  <si>
    <t>27928</t>
  </si>
  <si>
    <t>27929</t>
  </si>
  <si>
    <t>27932</t>
  </si>
  <si>
    <t>27935</t>
  </si>
  <si>
    <t>27936</t>
  </si>
  <si>
    <t>27937</t>
  </si>
  <si>
    <t>27938</t>
  </si>
  <si>
    <t>27939</t>
  </si>
  <si>
    <t>27941</t>
  </si>
  <si>
    <t>27942</t>
  </si>
  <si>
    <t>27943</t>
  </si>
  <si>
    <t>27944</t>
  </si>
  <si>
    <t>27946</t>
  </si>
  <si>
    <t>27947</t>
  </si>
  <si>
    <t>27948</t>
  </si>
  <si>
    <t>27949</t>
  </si>
  <si>
    <t>27950</t>
  </si>
  <si>
    <t>27953</t>
  </si>
  <si>
    <t>27954</t>
  </si>
  <si>
    <t>27956</t>
  </si>
  <si>
    <t>27957</t>
  </si>
  <si>
    <t>27958</t>
  </si>
  <si>
    <t>27959</t>
  </si>
  <si>
    <t>27960</t>
  </si>
  <si>
    <t>27962</t>
  </si>
  <si>
    <t>27964</t>
  </si>
  <si>
    <t>27965</t>
  </si>
  <si>
    <t>27966</t>
  </si>
  <si>
    <t>27967</t>
  </si>
  <si>
    <t>27968</t>
  </si>
  <si>
    <t>27969</t>
  </si>
  <si>
    <t>27970</t>
  </si>
  <si>
    <t>27972</t>
  </si>
  <si>
    <t>27973</t>
  </si>
  <si>
    <t>27974</t>
  </si>
  <si>
    <t>27976</t>
  </si>
  <si>
    <t>27978</t>
  </si>
  <si>
    <t>27979</t>
  </si>
  <si>
    <t>27980</t>
  </si>
  <si>
    <t>27981</t>
  </si>
  <si>
    <t>27982</t>
  </si>
  <si>
    <t>27983</t>
  </si>
  <si>
    <t>27985</t>
  </si>
  <si>
    <t>27986</t>
  </si>
  <si>
    <t>28001</t>
  </si>
  <si>
    <t>28006</t>
  </si>
  <si>
    <t>28007</t>
  </si>
  <si>
    <t>28009</t>
  </si>
  <si>
    <t>28012</t>
  </si>
  <si>
    <t>28016</t>
  </si>
  <si>
    <t>28017</t>
  </si>
  <si>
    <t>28018</t>
  </si>
  <si>
    <t>28019</t>
  </si>
  <si>
    <t>28020</t>
  </si>
  <si>
    <t>28021</t>
  </si>
  <si>
    <t>28023</t>
  </si>
  <si>
    <t>28024</t>
  </si>
  <si>
    <t>28025</t>
  </si>
  <si>
    <t>28027</t>
  </si>
  <si>
    <t>28031</t>
  </si>
  <si>
    <t>28032</t>
  </si>
  <si>
    <t>28033</t>
  </si>
  <si>
    <t>28034</t>
  </si>
  <si>
    <t>28036</t>
  </si>
  <si>
    <t>28037</t>
  </si>
  <si>
    <t>28039</t>
  </si>
  <si>
    <t>28040</t>
  </si>
  <si>
    <t>28041</t>
  </si>
  <si>
    <t>28042</t>
  </si>
  <si>
    <t>28043</t>
  </si>
  <si>
    <t>28052</t>
  </si>
  <si>
    <t>28054</t>
  </si>
  <si>
    <t>28056</t>
  </si>
  <si>
    <t>28071</t>
  </si>
  <si>
    <t>28072</t>
  </si>
  <si>
    <t>28073</t>
  </si>
  <si>
    <t>28074</t>
  </si>
  <si>
    <t>28075</t>
  </si>
  <si>
    <t>28076</t>
  </si>
  <si>
    <t>28077</t>
  </si>
  <si>
    <t>28078</t>
  </si>
  <si>
    <t>28079</t>
  </si>
  <si>
    <t>28080</t>
  </si>
  <si>
    <t>28081</t>
  </si>
  <si>
    <t>28083</t>
  </si>
  <si>
    <t>28086</t>
  </si>
  <si>
    <t>28088</t>
  </si>
  <si>
    <t>28089</t>
  </si>
  <si>
    <t>28090</t>
  </si>
  <si>
    <t>28091</t>
  </si>
  <si>
    <t>28092</t>
  </si>
  <si>
    <t>28097</t>
  </si>
  <si>
    <t>28098</t>
  </si>
  <si>
    <t>28101</t>
  </si>
  <si>
    <t>28102</t>
  </si>
  <si>
    <t>28103</t>
  </si>
  <si>
    <t>28104</t>
  </si>
  <si>
    <t>28105</t>
  </si>
  <si>
    <t>28107</t>
  </si>
  <si>
    <t>28108</t>
  </si>
  <si>
    <t>28109</t>
  </si>
  <si>
    <t>28110</t>
  </si>
  <si>
    <t>28112</t>
  </si>
  <si>
    <t>28114</t>
  </si>
  <si>
    <t>28115</t>
  </si>
  <si>
    <t>28117</t>
  </si>
  <si>
    <t>28119</t>
  </si>
  <si>
    <t>28120</t>
  </si>
  <si>
    <t>28124</t>
  </si>
  <si>
    <t>28125</t>
  </si>
  <si>
    <t>28127</t>
  </si>
  <si>
    <t>28128</t>
  </si>
  <si>
    <t>28129</t>
  </si>
  <si>
    <t>28133</t>
  </si>
  <si>
    <t>28134</t>
  </si>
  <si>
    <t>28135</t>
  </si>
  <si>
    <t>28136</t>
  </si>
  <si>
    <t>28137</t>
  </si>
  <si>
    <t>28138</t>
  </si>
  <si>
    <t>28139</t>
  </si>
  <si>
    <t>28144</t>
  </si>
  <si>
    <t>28146</t>
  </si>
  <si>
    <t>28147</t>
  </si>
  <si>
    <t>28150</t>
  </si>
  <si>
    <t>28152</t>
  </si>
  <si>
    <t>28159</t>
  </si>
  <si>
    <t>28160</t>
  </si>
  <si>
    <t>28163</t>
  </si>
  <si>
    <t>28164</t>
  </si>
  <si>
    <t>28166</t>
  </si>
  <si>
    <t>28167</t>
  </si>
  <si>
    <t>28168</t>
  </si>
  <si>
    <t>28169</t>
  </si>
  <si>
    <t>28170</t>
  </si>
  <si>
    <t>28173</t>
  </si>
  <si>
    <t>28174</t>
  </si>
  <si>
    <t>28202</t>
  </si>
  <si>
    <t>28203</t>
  </si>
  <si>
    <t>28204</t>
  </si>
  <si>
    <t>28205</t>
  </si>
  <si>
    <t>28206</t>
  </si>
  <si>
    <t>28207</t>
  </si>
  <si>
    <t>28208</t>
  </si>
  <si>
    <t>28209</t>
  </si>
  <si>
    <t>28210</t>
  </si>
  <si>
    <t>28211</t>
  </si>
  <si>
    <t>28212</t>
  </si>
  <si>
    <t>28213</t>
  </si>
  <si>
    <t>28214</t>
  </si>
  <si>
    <t>28215</t>
  </si>
  <si>
    <t>28216</t>
  </si>
  <si>
    <t>28217</t>
  </si>
  <si>
    <t>28223</t>
  </si>
  <si>
    <t>28226</t>
  </si>
  <si>
    <t>28227</t>
  </si>
  <si>
    <t>28244</t>
  </si>
  <si>
    <t>28262</t>
  </si>
  <si>
    <t>28269</t>
  </si>
  <si>
    <t>28270</t>
  </si>
  <si>
    <t>28273</t>
  </si>
  <si>
    <t>28274</t>
  </si>
  <si>
    <t>28277</t>
  </si>
  <si>
    <t>28278</t>
  </si>
  <si>
    <t>28280</t>
  </si>
  <si>
    <t>28282</t>
  </si>
  <si>
    <t>28301</t>
  </si>
  <si>
    <t>28303</t>
  </si>
  <si>
    <t>28304</t>
  </si>
  <si>
    <t>28305</t>
  </si>
  <si>
    <t>28306</t>
  </si>
  <si>
    <t>28307</t>
  </si>
  <si>
    <t>28308</t>
  </si>
  <si>
    <t>28310</t>
  </si>
  <si>
    <t>28311</t>
  </si>
  <si>
    <t>28312</t>
  </si>
  <si>
    <t>28314</t>
  </si>
  <si>
    <t>28315</t>
  </si>
  <si>
    <t>28318</t>
  </si>
  <si>
    <t>28320</t>
  </si>
  <si>
    <t>28323</t>
  </si>
  <si>
    <t>28325</t>
  </si>
  <si>
    <t>28326</t>
  </si>
  <si>
    <t>28327</t>
  </si>
  <si>
    <t>28328</t>
  </si>
  <si>
    <t>28330</t>
  </si>
  <si>
    <t>28331</t>
  </si>
  <si>
    <t>28332</t>
  </si>
  <si>
    <t>28333</t>
  </si>
  <si>
    <t>28334</t>
  </si>
  <si>
    <t>28337</t>
  </si>
  <si>
    <t>28338</t>
  </si>
  <si>
    <t>28339</t>
  </si>
  <si>
    <t>28340</t>
  </si>
  <si>
    <t>28341</t>
  </si>
  <si>
    <t>28342</t>
  </si>
  <si>
    <t>28343</t>
  </si>
  <si>
    <t>28344</t>
  </si>
  <si>
    <t>28345</t>
  </si>
  <si>
    <t>28347</t>
  </si>
  <si>
    <t>28348</t>
  </si>
  <si>
    <t>28349</t>
  </si>
  <si>
    <t>28350</t>
  </si>
  <si>
    <t>28351</t>
  </si>
  <si>
    <t>28352</t>
  </si>
  <si>
    <t>28355</t>
  </si>
  <si>
    <t>28356</t>
  </si>
  <si>
    <t>28357</t>
  </si>
  <si>
    <t>28358</t>
  </si>
  <si>
    <t>28359</t>
  </si>
  <si>
    <t>28360</t>
  </si>
  <si>
    <t>28362</t>
  </si>
  <si>
    <t>28363</t>
  </si>
  <si>
    <t>28364</t>
  </si>
  <si>
    <t>28365</t>
  </si>
  <si>
    <t>28366</t>
  </si>
  <si>
    <t>28367</t>
  </si>
  <si>
    <t>28368</t>
  </si>
  <si>
    <t>28369</t>
  </si>
  <si>
    <t>28371</t>
  </si>
  <si>
    <t>28372</t>
  </si>
  <si>
    <t>28373</t>
  </si>
  <si>
    <t>28374</t>
  </si>
  <si>
    <t>28375</t>
  </si>
  <si>
    <t>28376</t>
  </si>
  <si>
    <t>28377</t>
  </si>
  <si>
    <t>28378</t>
  </si>
  <si>
    <t>28379</t>
  </si>
  <si>
    <t>28382</t>
  </si>
  <si>
    <t>28383</t>
  </si>
  <si>
    <t>28384</t>
  </si>
  <si>
    <t>28385</t>
  </si>
  <si>
    <t>28386</t>
  </si>
  <si>
    <t>28387</t>
  </si>
  <si>
    <t>28390</t>
  </si>
  <si>
    <t>28391</t>
  </si>
  <si>
    <t>28392</t>
  </si>
  <si>
    <t>28393</t>
  </si>
  <si>
    <t>28394</t>
  </si>
  <si>
    <t>28395</t>
  </si>
  <si>
    <t>28396</t>
  </si>
  <si>
    <t>28398</t>
  </si>
  <si>
    <t>28399</t>
  </si>
  <si>
    <t>28401</t>
  </si>
  <si>
    <t>28403</t>
  </si>
  <si>
    <t>28405</t>
  </si>
  <si>
    <t>28409</t>
  </si>
  <si>
    <t>28411</t>
  </si>
  <si>
    <t>28412</t>
  </si>
  <si>
    <t>28420</t>
  </si>
  <si>
    <t>28421</t>
  </si>
  <si>
    <t>28422</t>
  </si>
  <si>
    <t>28423</t>
  </si>
  <si>
    <t>28424</t>
  </si>
  <si>
    <t>28425</t>
  </si>
  <si>
    <t>28428</t>
  </si>
  <si>
    <t>28429</t>
  </si>
  <si>
    <t>28430</t>
  </si>
  <si>
    <t>28431</t>
  </si>
  <si>
    <t>28432</t>
  </si>
  <si>
    <t>28433</t>
  </si>
  <si>
    <t>28434</t>
  </si>
  <si>
    <t>28435</t>
  </si>
  <si>
    <t>28436</t>
  </si>
  <si>
    <t>28438</t>
  </si>
  <si>
    <t>28439</t>
  </si>
  <si>
    <t>28441</t>
  </si>
  <si>
    <t>28442</t>
  </si>
  <si>
    <t>28443</t>
  </si>
  <si>
    <t>28444</t>
  </si>
  <si>
    <t>28445</t>
  </si>
  <si>
    <t>28447</t>
  </si>
  <si>
    <t>28448</t>
  </si>
  <si>
    <t>28449</t>
  </si>
  <si>
    <t>28450</t>
  </si>
  <si>
    <t>28451</t>
  </si>
  <si>
    <t>28452</t>
  </si>
  <si>
    <t>28453</t>
  </si>
  <si>
    <t>28454</t>
  </si>
  <si>
    <t>28455</t>
  </si>
  <si>
    <t>28456</t>
  </si>
  <si>
    <t>28457</t>
  </si>
  <si>
    <t>28458</t>
  </si>
  <si>
    <t>28460</t>
  </si>
  <si>
    <t>28461</t>
  </si>
  <si>
    <t>28462</t>
  </si>
  <si>
    <t>28463</t>
  </si>
  <si>
    <t>28464</t>
  </si>
  <si>
    <t>28465</t>
  </si>
  <si>
    <t>28466</t>
  </si>
  <si>
    <t>28467</t>
  </si>
  <si>
    <t>28468</t>
  </si>
  <si>
    <t>28469</t>
  </si>
  <si>
    <t>28470</t>
  </si>
  <si>
    <t>28472</t>
  </si>
  <si>
    <t>28478</t>
  </si>
  <si>
    <t>28479</t>
  </si>
  <si>
    <t>28480</t>
  </si>
  <si>
    <t>28501</t>
  </si>
  <si>
    <t>28504</t>
  </si>
  <si>
    <t>28508</t>
  </si>
  <si>
    <t>28509</t>
  </si>
  <si>
    <t>28510</t>
  </si>
  <si>
    <t>28511</t>
  </si>
  <si>
    <t>28512</t>
  </si>
  <si>
    <t>28513</t>
  </si>
  <si>
    <t>28515</t>
  </si>
  <si>
    <t>28516</t>
  </si>
  <si>
    <t>28518</t>
  </si>
  <si>
    <t>28519</t>
  </si>
  <si>
    <t>28520</t>
  </si>
  <si>
    <t>28521</t>
  </si>
  <si>
    <t>28523</t>
  </si>
  <si>
    <t>28524</t>
  </si>
  <si>
    <t>28525</t>
  </si>
  <si>
    <t>28526</t>
  </si>
  <si>
    <t>28527</t>
  </si>
  <si>
    <t>28528</t>
  </si>
  <si>
    <t>28529</t>
  </si>
  <si>
    <t>28530</t>
  </si>
  <si>
    <t>28531</t>
  </si>
  <si>
    <t>28532</t>
  </si>
  <si>
    <t>28533</t>
  </si>
  <si>
    <t>28537</t>
  </si>
  <si>
    <t>28538</t>
  </si>
  <si>
    <t>28539</t>
  </si>
  <si>
    <t>28540</t>
  </si>
  <si>
    <t>28542</t>
  </si>
  <si>
    <t>28543</t>
  </si>
  <si>
    <t>28544</t>
  </si>
  <si>
    <t>28546</t>
  </si>
  <si>
    <t>28547</t>
  </si>
  <si>
    <t>28551</t>
  </si>
  <si>
    <t>28552</t>
  </si>
  <si>
    <t>28553</t>
  </si>
  <si>
    <t>28554</t>
  </si>
  <si>
    <t>28555</t>
  </si>
  <si>
    <t>28556</t>
  </si>
  <si>
    <t>28557</t>
  </si>
  <si>
    <t>28560</t>
  </si>
  <si>
    <t>28562</t>
  </si>
  <si>
    <t>28570</t>
  </si>
  <si>
    <t>28571</t>
  </si>
  <si>
    <t>28572</t>
  </si>
  <si>
    <t>28573</t>
  </si>
  <si>
    <t>28574</t>
  </si>
  <si>
    <t>28575</t>
  </si>
  <si>
    <t>28577</t>
  </si>
  <si>
    <t>28578</t>
  </si>
  <si>
    <t>28579</t>
  </si>
  <si>
    <t>28580</t>
  </si>
  <si>
    <t>28581</t>
  </si>
  <si>
    <t>28582</t>
  </si>
  <si>
    <t>28584</t>
  </si>
  <si>
    <t>28585</t>
  </si>
  <si>
    <t>28586</t>
  </si>
  <si>
    <t>28587</t>
  </si>
  <si>
    <t>28589</t>
  </si>
  <si>
    <t>28590</t>
  </si>
  <si>
    <t>28594</t>
  </si>
  <si>
    <t>28601</t>
  </si>
  <si>
    <t>28602</t>
  </si>
  <si>
    <t>28604</t>
  </si>
  <si>
    <t>28605</t>
  </si>
  <si>
    <t>28606</t>
  </si>
  <si>
    <t>28607</t>
  </si>
  <si>
    <t>28609</t>
  </si>
  <si>
    <t>28610</t>
  </si>
  <si>
    <t>28611</t>
  </si>
  <si>
    <t>28612</t>
  </si>
  <si>
    <t>28613</t>
  </si>
  <si>
    <t>28615</t>
  </si>
  <si>
    <t>28616</t>
  </si>
  <si>
    <t>28617</t>
  </si>
  <si>
    <t>28618</t>
  </si>
  <si>
    <t>28619</t>
  </si>
  <si>
    <t>28621</t>
  </si>
  <si>
    <t>28622</t>
  </si>
  <si>
    <t>28623</t>
  </si>
  <si>
    <t>28624</t>
  </si>
  <si>
    <t>28625</t>
  </si>
  <si>
    <t>28626</t>
  </si>
  <si>
    <t>28627</t>
  </si>
  <si>
    <t>28628</t>
  </si>
  <si>
    <t>28629</t>
  </si>
  <si>
    <t>28630</t>
  </si>
  <si>
    <t>28631</t>
  </si>
  <si>
    <t>28634</t>
  </si>
  <si>
    <t>28635</t>
  </si>
  <si>
    <t>28636</t>
  </si>
  <si>
    <t>28637</t>
  </si>
  <si>
    <t>28638</t>
  </si>
  <si>
    <t>28640</t>
  </si>
  <si>
    <t>28641</t>
  </si>
  <si>
    <t>28642</t>
  </si>
  <si>
    <t>28643</t>
  </si>
  <si>
    <t>28644</t>
  </si>
  <si>
    <t>28645</t>
  </si>
  <si>
    <t>28646</t>
  </si>
  <si>
    <t>28649</t>
  </si>
  <si>
    <t>28650</t>
  </si>
  <si>
    <t>28651</t>
  </si>
  <si>
    <t>28652</t>
  </si>
  <si>
    <t>28653</t>
  </si>
  <si>
    <t>28654</t>
  </si>
  <si>
    <t>28655</t>
  </si>
  <si>
    <t>28657</t>
  </si>
  <si>
    <t>28658</t>
  </si>
  <si>
    <t>28659</t>
  </si>
  <si>
    <t>28660</t>
  </si>
  <si>
    <t>28662</t>
  </si>
  <si>
    <t>28663</t>
  </si>
  <si>
    <t>28664</t>
  </si>
  <si>
    <t>28665</t>
  </si>
  <si>
    <t>28666</t>
  </si>
  <si>
    <t>28667</t>
  </si>
  <si>
    <t>28668</t>
  </si>
  <si>
    <t>28669</t>
  </si>
  <si>
    <t>28670</t>
  </si>
  <si>
    <t>28671</t>
  </si>
  <si>
    <t>28672</t>
  </si>
  <si>
    <t>28673</t>
  </si>
  <si>
    <t>28675</t>
  </si>
  <si>
    <t>28676</t>
  </si>
  <si>
    <t>28677</t>
  </si>
  <si>
    <t>28678</t>
  </si>
  <si>
    <t>28679</t>
  </si>
  <si>
    <t>28681</t>
  </si>
  <si>
    <t>28682</t>
  </si>
  <si>
    <t>28683</t>
  </si>
  <si>
    <t>28684</t>
  </si>
  <si>
    <t>28685</t>
  </si>
  <si>
    <t>28689</t>
  </si>
  <si>
    <t>28690</t>
  </si>
  <si>
    <t>28692</t>
  </si>
  <si>
    <t>28693</t>
  </si>
  <si>
    <t>28694</t>
  </si>
  <si>
    <t>28697</t>
  </si>
  <si>
    <t>28698</t>
  </si>
  <si>
    <t>28701</t>
  </si>
  <si>
    <t>28702</t>
  </si>
  <si>
    <t>28704</t>
  </si>
  <si>
    <t>28705</t>
  </si>
  <si>
    <t>28707</t>
  </si>
  <si>
    <t>28708</t>
  </si>
  <si>
    <t>28709</t>
  </si>
  <si>
    <t>28710</t>
  </si>
  <si>
    <t>28711</t>
  </si>
  <si>
    <t>28712</t>
  </si>
  <si>
    <t>28713</t>
  </si>
  <si>
    <t>28714</t>
  </si>
  <si>
    <t>28715</t>
  </si>
  <si>
    <t>28716</t>
  </si>
  <si>
    <t>28717</t>
  </si>
  <si>
    <t>28718</t>
  </si>
  <si>
    <t>28719</t>
  </si>
  <si>
    <t>28720</t>
  </si>
  <si>
    <t>28721</t>
  </si>
  <si>
    <t>28722</t>
  </si>
  <si>
    <t>28723</t>
  </si>
  <si>
    <t>28725</t>
  </si>
  <si>
    <t>28726</t>
  </si>
  <si>
    <t>28729</t>
  </si>
  <si>
    <t>28730</t>
  </si>
  <si>
    <t>28731</t>
  </si>
  <si>
    <t>28732</t>
  </si>
  <si>
    <t>28733</t>
  </si>
  <si>
    <t>28734</t>
  </si>
  <si>
    <t>28735</t>
  </si>
  <si>
    <t>28736</t>
  </si>
  <si>
    <t>28739</t>
  </si>
  <si>
    <t>28740</t>
  </si>
  <si>
    <t>28741</t>
  </si>
  <si>
    <t>28742</t>
  </si>
  <si>
    <t>28743</t>
  </si>
  <si>
    <t>28745</t>
  </si>
  <si>
    <t>28746</t>
  </si>
  <si>
    <t>28747</t>
  </si>
  <si>
    <t>28748</t>
  </si>
  <si>
    <t>28749</t>
  </si>
  <si>
    <t>28751</t>
  </si>
  <si>
    <t>28752</t>
  </si>
  <si>
    <t>28753</t>
  </si>
  <si>
    <t>28754</t>
  </si>
  <si>
    <t>28755</t>
  </si>
  <si>
    <t>28756</t>
  </si>
  <si>
    <t>28757</t>
  </si>
  <si>
    <t>28758</t>
  </si>
  <si>
    <t>28759</t>
  </si>
  <si>
    <t>28761</t>
  </si>
  <si>
    <t>28762</t>
  </si>
  <si>
    <t>28763</t>
  </si>
  <si>
    <t>28766</t>
  </si>
  <si>
    <t>28768</t>
  </si>
  <si>
    <t>28770</t>
  </si>
  <si>
    <t>28771</t>
  </si>
  <si>
    <t>28772</t>
  </si>
  <si>
    <t>28773</t>
  </si>
  <si>
    <t>28774</t>
  </si>
  <si>
    <t>28775</t>
  </si>
  <si>
    <t>28777</t>
  </si>
  <si>
    <t>28778</t>
  </si>
  <si>
    <t>28779</t>
  </si>
  <si>
    <t>28781</t>
  </si>
  <si>
    <t>28782</t>
  </si>
  <si>
    <t>28783</t>
  </si>
  <si>
    <t>28785</t>
  </si>
  <si>
    <t>28786</t>
  </si>
  <si>
    <t>28787</t>
  </si>
  <si>
    <t>28788</t>
  </si>
  <si>
    <t>28789</t>
  </si>
  <si>
    <t>28790</t>
  </si>
  <si>
    <t>28791</t>
  </si>
  <si>
    <t>28792</t>
  </si>
  <si>
    <t>28801</t>
  </si>
  <si>
    <t>28803</t>
  </si>
  <si>
    <t>28804</t>
  </si>
  <si>
    <t>28805</t>
  </si>
  <si>
    <t>28806</t>
  </si>
  <si>
    <t>28901</t>
  </si>
  <si>
    <t>28902</t>
  </si>
  <si>
    <t>28904</t>
  </si>
  <si>
    <t>28905</t>
  </si>
  <si>
    <t>28906</t>
  </si>
  <si>
    <t>28909</t>
  </si>
  <si>
    <t>20105</t>
  </si>
  <si>
    <t>20106</t>
  </si>
  <si>
    <t>20109</t>
  </si>
  <si>
    <t>20110</t>
  </si>
  <si>
    <t>20111</t>
  </si>
  <si>
    <t>20112</t>
  </si>
  <si>
    <t>20115</t>
  </si>
  <si>
    <t>20117</t>
  </si>
  <si>
    <t>20119</t>
  </si>
  <si>
    <t>20120</t>
  </si>
  <si>
    <t>20121</t>
  </si>
  <si>
    <t>20124</t>
  </si>
  <si>
    <t>20129</t>
  </si>
  <si>
    <t>20130</t>
  </si>
  <si>
    <t>20132</t>
  </si>
  <si>
    <t>20135</t>
  </si>
  <si>
    <t>20136</t>
  </si>
  <si>
    <t>20137</t>
  </si>
  <si>
    <t>20141</t>
  </si>
  <si>
    <t>20143</t>
  </si>
  <si>
    <t>20144</t>
  </si>
  <si>
    <t>20147</t>
  </si>
  <si>
    <t>20148</t>
  </si>
  <si>
    <t>20151</t>
  </si>
  <si>
    <t>20152</t>
  </si>
  <si>
    <t>20155</t>
  </si>
  <si>
    <t>20158</t>
  </si>
  <si>
    <t>20164</t>
  </si>
  <si>
    <t>20165</t>
  </si>
  <si>
    <t>20166</t>
  </si>
  <si>
    <t>20169</t>
  </si>
  <si>
    <t>20170</t>
  </si>
  <si>
    <t>20171</t>
  </si>
  <si>
    <t>20175</t>
  </si>
  <si>
    <t>20176</t>
  </si>
  <si>
    <t>20180</t>
  </si>
  <si>
    <t>20181</t>
  </si>
  <si>
    <t>20184</t>
  </si>
  <si>
    <t>20186</t>
  </si>
  <si>
    <t>20187</t>
  </si>
  <si>
    <t>20190</t>
  </si>
  <si>
    <t>20191</t>
  </si>
  <si>
    <t>20194</t>
  </si>
  <si>
    <t>20197</t>
  </si>
  <si>
    <t>20198</t>
  </si>
  <si>
    <t>22003</t>
  </si>
  <si>
    <t>22015</t>
  </si>
  <si>
    <t>22025</t>
  </si>
  <si>
    <t>22026</t>
  </si>
  <si>
    <t>22027</t>
  </si>
  <si>
    <t>22030</t>
  </si>
  <si>
    <t>22031</t>
  </si>
  <si>
    <t>22032</t>
  </si>
  <si>
    <t>22033</t>
  </si>
  <si>
    <t>22035</t>
  </si>
  <si>
    <t>22039</t>
  </si>
  <si>
    <t>22041</t>
  </si>
  <si>
    <t>22042</t>
  </si>
  <si>
    <t>22043</t>
  </si>
  <si>
    <t>22044</t>
  </si>
  <si>
    <t>22046</t>
  </si>
  <si>
    <t>22060</t>
  </si>
  <si>
    <t>22066</t>
  </si>
  <si>
    <t>22079</t>
  </si>
  <si>
    <t>22101</t>
  </si>
  <si>
    <t>22102</t>
  </si>
  <si>
    <t>22124</t>
  </si>
  <si>
    <t>22125</t>
  </si>
  <si>
    <t>22134</t>
  </si>
  <si>
    <t>22150</t>
  </si>
  <si>
    <t>22151</t>
  </si>
  <si>
    <t>22152</t>
  </si>
  <si>
    <t>22153</t>
  </si>
  <si>
    <t>22172</t>
  </si>
  <si>
    <t>22180</t>
  </si>
  <si>
    <t>22181</t>
  </si>
  <si>
    <t>22182</t>
  </si>
  <si>
    <t>22191</t>
  </si>
  <si>
    <t>22192</t>
  </si>
  <si>
    <t>22193</t>
  </si>
  <si>
    <t>22201</t>
  </si>
  <si>
    <t>22202</t>
  </si>
  <si>
    <t>22203</t>
  </si>
  <si>
    <t>22204</t>
  </si>
  <si>
    <t>22205</t>
  </si>
  <si>
    <t>22206</t>
  </si>
  <si>
    <t>22207</t>
  </si>
  <si>
    <t>22209</t>
  </si>
  <si>
    <t>22211</t>
  </si>
  <si>
    <t>22213</t>
  </si>
  <si>
    <t>22214</t>
  </si>
  <si>
    <t>22301</t>
  </si>
  <si>
    <t>22302</t>
  </si>
  <si>
    <t>22303</t>
  </si>
  <si>
    <t>22304</t>
  </si>
  <si>
    <t>22305</t>
  </si>
  <si>
    <t>22306</t>
  </si>
  <si>
    <t>22307</t>
  </si>
  <si>
    <t>22308</t>
  </si>
  <si>
    <t>22309</t>
  </si>
  <si>
    <t>22310</t>
  </si>
  <si>
    <t>22311</t>
  </si>
  <si>
    <t>22312</t>
  </si>
  <si>
    <t>22314</t>
  </si>
  <si>
    <t>22315</t>
  </si>
  <si>
    <t>22401</t>
  </si>
  <si>
    <t>22405</t>
  </si>
  <si>
    <t>22406</t>
  </si>
  <si>
    <t>22407</t>
  </si>
  <si>
    <t>22408</t>
  </si>
  <si>
    <t>22427</t>
  </si>
  <si>
    <t>22432</t>
  </si>
  <si>
    <t>22433</t>
  </si>
  <si>
    <t>22435</t>
  </si>
  <si>
    <t>22436</t>
  </si>
  <si>
    <t>22437</t>
  </si>
  <si>
    <t>22438</t>
  </si>
  <si>
    <t>22443</t>
  </si>
  <si>
    <t>22448</t>
  </si>
  <si>
    <t>22454</t>
  </si>
  <si>
    <t>22460</t>
  </si>
  <si>
    <t>22469</t>
  </si>
  <si>
    <t>22472</t>
  </si>
  <si>
    <t>22473</t>
  </si>
  <si>
    <t>22476</t>
  </si>
  <si>
    <t>22480</t>
  </si>
  <si>
    <t>22482</t>
  </si>
  <si>
    <t>22485</t>
  </si>
  <si>
    <t>22488</t>
  </si>
  <si>
    <t>22503</t>
  </si>
  <si>
    <t>22504</t>
  </si>
  <si>
    <t>22508</t>
  </si>
  <si>
    <t>22509</t>
  </si>
  <si>
    <t>22511</t>
  </si>
  <si>
    <t>22514</t>
  </si>
  <si>
    <t>22520</t>
  </si>
  <si>
    <t>22529</t>
  </si>
  <si>
    <t>22534</t>
  </si>
  <si>
    <t>22535</t>
  </si>
  <si>
    <t>22538</t>
  </si>
  <si>
    <t>22539</t>
  </si>
  <si>
    <t>22542</t>
  </si>
  <si>
    <t>22546</t>
  </si>
  <si>
    <t>22548</t>
  </si>
  <si>
    <t>22551</t>
  </si>
  <si>
    <t>22553</t>
  </si>
  <si>
    <t>22554</t>
  </si>
  <si>
    <t>22556</t>
  </si>
  <si>
    <t>22560</t>
  </si>
  <si>
    <t>22567</t>
  </si>
  <si>
    <t>22572</t>
  </si>
  <si>
    <t>22576</t>
  </si>
  <si>
    <t>22578</t>
  </si>
  <si>
    <t>22580</t>
  </si>
  <si>
    <t>22601</t>
  </si>
  <si>
    <t>22602</t>
  </si>
  <si>
    <t>22603</t>
  </si>
  <si>
    <t>22610</t>
  </si>
  <si>
    <t>22611</t>
  </si>
  <si>
    <t>22620</t>
  </si>
  <si>
    <t>22623</t>
  </si>
  <si>
    <t>22624</t>
  </si>
  <si>
    <t>22625</t>
  </si>
  <si>
    <t>22627</t>
  </si>
  <si>
    <t>22630</t>
  </si>
  <si>
    <t>22637</t>
  </si>
  <si>
    <t>22639</t>
  </si>
  <si>
    <t>22640</t>
  </si>
  <si>
    <t>22641</t>
  </si>
  <si>
    <t>22642</t>
  </si>
  <si>
    <t>22643</t>
  </si>
  <si>
    <t>22644</t>
  </si>
  <si>
    <t>22645</t>
  </si>
  <si>
    <t>22646</t>
  </si>
  <si>
    <t>22650</t>
  </si>
  <si>
    <t>22652</t>
  </si>
  <si>
    <t>22654</t>
  </si>
  <si>
    <t>22655</t>
  </si>
  <si>
    <t>22656</t>
  </si>
  <si>
    <t>22657</t>
  </si>
  <si>
    <t>22660</t>
  </si>
  <si>
    <t>22663</t>
  </si>
  <si>
    <t>22664</t>
  </si>
  <si>
    <t>22701</t>
  </si>
  <si>
    <t>22709</t>
  </si>
  <si>
    <t>22711</t>
  </si>
  <si>
    <t>22712</t>
  </si>
  <si>
    <t>22713</t>
  </si>
  <si>
    <t>22714</t>
  </si>
  <si>
    <t>22715</t>
  </si>
  <si>
    <t>22716</t>
  </si>
  <si>
    <t>22718</t>
  </si>
  <si>
    <t>22719</t>
  </si>
  <si>
    <t>22720</t>
  </si>
  <si>
    <t>22722</t>
  </si>
  <si>
    <t>22723</t>
  </si>
  <si>
    <t>22724</t>
  </si>
  <si>
    <t>22725</t>
  </si>
  <si>
    <t>22726</t>
  </si>
  <si>
    <t>22727</t>
  </si>
  <si>
    <t>22728</t>
  </si>
  <si>
    <t>22729</t>
  </si>
  <si>
    <t>22730</t>
  </si>
  <si>
    <t>22731</t>
  </si>
  <si>
    <t>22732</t>
  </si>
  <si>
    <t>22733</t>
  </si>
  <si>
    <t>22734</t>
  </si>
  <si>
    <t>22735</t>
  </si>
  <si>
    <t>22736</t>
  </si>
  <si>
    <t>22737</t>
  </si>
  <si>
    <t>22738</t>
  </si>
  <si>
    <t>22740</t>
  </si>
  <si>
    <t>22741</t>
  </si>
  <si>
    <t>22742</t>
  </si>
  <si>
    <t>22743</t>
  </si>
  <si>
    <t>22746</t>
  </si>
  <si>
    <t>22747</t>
  </si>
  <si>
    <t>22749</t>
  </si>
  <si>
    <t>22801</t>
  </si>
  <si>
    <t>22802</t>
  </si>
  <si>
    <t>22807</t>
  </si>
  <si>
    <t>22810</t>
  </si>
  <si>
    <t>22811</t>
  </si>
  <si>
    <t>22812</t>
  </si>
  <si>
    <t>22815</t>
  </si>
  <si>
    <t>22820</t>
  </si>
  <si>
    <t>22821</t>
  </si>
  <si>
    <t>22824</t>
  </si>
  <si>
    <t>22827</t>
  </si>
  <si>
    <t>22830</t>
  </si>
  <si>
    <t>22831</t>
  </si>
  <si>
    <t>22832</t>
  </si>
  <si>
    <t>22834</t>
  </si>
  <si>
    <t>22835</t>
  </si>
  <si>
    <t>22840</t>
  </si>
  <si>
    <t>22841</t>
  </si>
  <si>
    <t>22842</t>
  </si>
  <si>
    <t>22843</t>
  </si>
  <si>
    <t>22844</t>
  </si>
  <si>
    <t>22845</t>
  </si>
  <si>
    <t>22846</t>
  </si>
  <si>
    <t>22847</t>
  </si>
  <si>
    <t>22849</t>
  </si>
  <si>
    <t>22850</t>
  </si>
  <si>
    <t>22851</t>
  </si>
  <si>
    <t>22853</t>
  </si>
  <si>
    <t>22901</t>
  </si>
  <si>
    <t>22902</t>
  </si>
  <si>
    <t>22903</t>
  </si>
  <si>
    <t>22904</t>
  </si>
  <si>
    <t>22908</t>
  </si>
  <si>
    <t>22911</t>
  </si>
  <si>
    <t>22920</t>
  </si>
  <si>
    <t>22922</t>
  </si>
  <si>
    <t>22923</t>
  </si>
  <si>
    <t>22931</t>
  </si>
  <si>
    <t>22932</t>
  </si>
  <si>
    <t>22935</t>
  </si>
  <si>
    <t>22936</t>
  </si>
  <si>
    <t>22937</t>
  </si>
  <si>
    <t>22938</t>
  </si>
  <si>
    <t>22939</t>
  </si>
  <si>
    <t>22940</t>
  </si>
  <si>
    <t>22942</t>
  </si>
  <si>
    <t>22943</t>
  </si>
  <si>
    <t>22946</t>
  </si>
  <si>
    <t>22947</t>
  </si>
  <si>
    <t>22948</t>
  </si>
  <si>
    <t>22949</t>
  </si>
  <si>
    <t>22952</t>
  </si>
  <si>
    <t>22957</t>
  </si>
  <si>
    <t>22958</t>
  </si>
  <si>
    <t>22959</t>
  </si>
  <si>
    <t>22960</t>
  </si>
  <si>
    <t>22963</t>
  </si>
  <si>
    <t>22964</t>
  </si>
  <si>
    <t>22967</t>
  </si>
  <si>
    <t>22968</t>
  </si>
  <si>
    <t>22969</t>
  </si>
  <si>
    <t>22971</t>
  </si>
  <si>
    <t>22972</t>
  </si>
  <si>
    <t>22973</t>
  </si>
  <si>
    <t>22974</t>
  </si>
  <si>
    <t>22976</t>
  </si>
  <si>
    <t>22980</t>
  </si>
  <si>
    <t>22989</t>
  </si>
  <si>
    <t>23002</t>
  </si>
  <si>
    <t>23004</t>
  </si>
  <si>
    <t>23005</t>
  </si>
  <si>
    <t>23009</t>
  </si>
  <si>
    <t>23011</t>
  </si>
  <si>
    <t>23015</t>
  </si>
  <si>
    <t>23021</t>
  </si>
  <si>
    <t>23022</t>
  </si>
  <si>
    <t>23023</t>
  </si>
  <si>
    <t>23024</t>
  </si>
  <si>
    <t>23025</t>
  </si>
  <si>
    <t>23027</t>
  </si>
  <si>
    <t>23030</t>
  </si>
  <si>
    <t>23032</t>
  </si>
  <si>
    <t>23035</t>
  </si>
  <si>
    <t>23038</t>
  </si>
  <si>
    <t>23039</t>
  </si>
  <si>
    <t>23040</t>
  </si>
  <si>
    <t>23043</t>
  </si>
  <si>
    <t>23045</t>
  </si>
  <si>
    <t>23047</t>
  </si>
  <si>
    <t>23050</t>
  </si>
  <si>
    <t>23055</t>
  </si>
  <si>
    <t>23056</t>
  </si>
  <si>
    <t>23059</t>
  </si>
  <si>
    <t>23060</t>
  </si>
  <si>
    <t>23061</t>
  </si>
  <si>
    <t>23062</t>
  </si>
  <si>
    <t>23063</t>
  </si>
  <si>
    <t>23065</t>
  </si>
  <si>
    <t>23066</t>
  </si>
  <si>
    <t>23068</t>
  </si>
  <si>
    <t>23069</t>
  </si>
  <si>
    <t>23070</t>
  </si>
  <si>
    <t>23071</t>
  </si>
  <si>
    <t>23072</t>
  </si>
  <si>
    <t>23075</t>
  </si>
  <si>
    <t>23076</t>
  </si>
  <si>
    <t>23079</t>
  </si>
  <si>
    <t>23081</t>
  </si>
  <si>
    <t>23083</t>
  </si>
  <si>
    <t>23084</t>
  </si>
  <si>
    <t>23085</t>
  </si>
  <si>
    <t>23086</t>
  </si>
  <si>
    <t>23089</t>
  </si>
  <si>
    <t>23091</t>
  </si>
  <si>
    <t>23092</t>
  </si>
  <si>
    <t>23093</t>
  </si>
  <si>
    <t>23102</t>
  </si>
  <si>
    <t>23103</t>
  </si>
  <si>
    <t>23106</t>
  </si>
  <si>
    <t>23108</t>
  </si>
  <si>
    <t>23109</t>
  </si>
  <si>
    <t>23110</t>
  </si>
  <si>
    <t>23111</t>
  </si>
  <si>
    <t>23112</t>
  </si>
  <si>
    <t>23113</t>
  </si>
  <si>
    <t>23114</t>
  </si>
  <si>
    <t>23116</t>
  </si>
  <si>
    <t>23117</t>
  </si>
  <si>
    <t>23119</t>
  </si>
  <si>
    <t>23120</t>
  </si>
  <si>
    <t>23123</t>
  </si>
  <si>
    <t>23124</t>
  </si>
  <si>
    <t>23126</t>
  </si>
  <si>
    <t>23128</t>
  </si>
  <si>
    <t>23129</t>
  </si>
  <si>
    <t>23130</t>
  </si>
  <si>
    <t>23138</t>
  </si>
  <si>
    <t>23139</t>
  </si>
  <si>
    <t>23140</t>
  </si>
  <si>
    <t>23141</t>
  </si>
  <si>
    <t>23146</t>
  </si>
  <si>
    <t>23147</t>
  </si>
  <si>
    <t>23148</t>
  </si>
  <si>
    <t>23149</t>
  </si>
  <si>
    <t>23150</t>
  </si>
  <si>
    <t>23153</t>
  </si>
  <si>
    <t>23156</t>
  </si>
  <si>
    <t>23160</t>
  </si>
  <si>
    <t>23161</t>
  </si>
  <si>
    <t>23163</t>
  </si>
  <si>
    <t>23168</t>
  </si>
  <si>
    <t>23169</t>
  </si>
  <si>
    <t>23173</t>
  </si>
  <si>
    <t>23175</t>
  </si>
  <si>
    <t>23176</t>
  </si>
  <si>
    <t>23177</t>
  </si>
  <si>
    <t>23180</t>
  </si>
  <si>
    <t>23181</t>
  </si>
  <si>
    <t>23185</t>
  </si>
  <si>
    <t>23188</t>
  </si>
  <si>
    <t>23192</t>
  </si>
  <si>
    <t>23219</t>
  </si>
  <si>
    <t>23220</t>
  </si>
  <si>
    <t>23221</t>
  </si>
  <si>
    <t>23222</t>
  </si>
  <si>
    <t>23223</t>
  </si>
  <si>
    <t>23224</t>
  </si>
  <si>
    <t>23225</t>
  </si>
  <si>
    <t>23226</t>
  </si>
  <si>
    <t>23227</t>
  </si>
  <si>
    <t>23228</t>
  </si>
  <si>
    <t>23229</t>
  </si>
  <si>
    <t>23230</t>
  </si>
  <si>
    <t>23231</t>
  </si>
  <si>
    <t>23233</t>
  </si>
  <si>
    <t>23234</t>
  </si>
  <si>
    <t>23235</t>
  </si>
  <si>
    <t>23236</t>
  </si>
  <si>
    <t>23237</t>
  </si>
  <si>
    <t>23238</t>
  </si>
  <si>
    <t>23250</t>
  </si>
  <si>
    <t>23284</t>
  </si>
  <si>
    <t>23294</t>
  </si>
  <si>
    <t>23298</t>
  </si>
  <si>
    <t>23301</t>
  </si>
  <si>
    <t>23302</t>
  </si>
  <si>
    <t>23303</t>
  </si>
  <si>
    <t>23304</t>
  </si>
  <si>
    <t>23306</t>
  </si>
  <si>
    <t>23307</t>
  </si>
  <si>
    <t>23308</t>
  </si>
  <si>
    <t>23310</t>
  </si>
  <si>
    <t>23314</t>
  </si>
  <si>
    <t>23315</t>
  </si>
  <si>
    <t>23316</t>
  </si>
  <si>
    <t>23320</t>
  </si>
  <si>
    <t>23321</t>
  </si>
  <si>
    <t>23322</t>
  </si>
  <si>
    <t>23323</t>
  </si>
  <si>
    <t>23324</t>
  </si>
  <si>
    <t>23325</t>
  </si>
  <si>
    <t>23336</t>
  </si>
  <si>
    <t>23337</t>
  </si>
  <si>
    <t>23347</t>
  </si>
  <si>
    <t>23350</t>
  </si>
  <si>
    <t>23354</t>
  </si>
  <si>
    <t>23356</t>
  </si>
  <si>
    <t>23357</t>
  </si>
  <si>
    <t>23358</t>
  </si>
  <si>
    <t>23359</t>
  </si>
  <si>
    <t>23389</t>
  </si>
  <si>
    <t>23395</t>
  </si>
  <si>
    <t>23398</t>
  </si>
  <si>
    <t>23401</t>
  </si>
  <si>
    <t>23405</t>
  </si>
  <si>
    <t>23407</t>
  </si>
  <si>
    <t>23408</t>
  </si>
  <si>
    <t>23409</t>
  </si>
  <si>
    <t>23410</t>
  </si>
  <si>
    <t>23413</t>
  </si>
  <si>
    <t>23414</t>
  </si>
  <si>
    <t>23415</t>
  </si>
  <si>
    <t>23416</t>
  </si>
  <si>
    <t>23417</t>
  </si>
  <si>
    <t>23418</t>
  </si>
  <si>
    <t>23420</t>
  </si>
  <si>
    <t>23421</t>
  </si>
  <si>
    <t>23422</t>
  </si>
  <si>
    <t>23423</t>
  </si>
  <si>
    <t>23426</t>
  </si>
  <si>
    <t>23427</t>
  </si>
  <si>
    <t>23430</t>
  </si>
  <si>
    <t>23432</t>
  </si>
  <si>
    <t>23433</t>
  </si>
  <si>
    <t>23434</t>
  </si>
  <si>
    <t>23435</t>
  </si>
  <si>
    <t>23436</t>
  </si>
  <si>
    <t>23437</t>
  </si>
  <si>
    <t>23438</t>
  </si>
  <si>
    <t>23440</t>
  </si>
  <si>
    <t>23441</t>
  </si>
  <si>
    <t>23442</t>
  </si>
  <si>
    <t>23451</t>
  </si>
  <si>
    <t>23452</t>
  </si>
  <si>
    <t>23453</t>
  </si>
  <si>
    <t>23454</t>
  </si>
  <si>
    <t>23455</t>
  </si>
  <si>
    <t>23456</t>
  </si>
  <si>
    <t>23457</t>
  </si>
  <si>
    <t>23459</t>
  </si>
  <si>
    <t>23460</t>
  </si>
  <si>
    <t>23461</t>
  </si>
  <si>
    <t>23462</t>
  </si>
  <si>
    <t>23464</t>
  </si>
  <si>
    <t>23480</t>
  </si>
  <si>
    <t>23486</t>
  </si>
  <si>
    <t>23487</t>
  </si>
  <si>
    <t>23488</t>
  </si>
  <si>
    <t>23502</t>
  </si>
  <si>
    <t>23503</t>
  </si>
  <si>
    <t>23504</t>
  </si>
  <si>
    <t>23505</t>
  </si>
  <si>
    <t>23507</t>
  </si>
  <si>
    <t>23508</t>
  </si>
  <si>
    <t>23509</t>
  </si>
  <si>
    <t>23510</t>
  </si>
  <si>
    <t>23511</t>
  </si>
  <si>
    <t>23513</t>
  </si>
  <si>
    <t>23517</t>
  </si>
  <si>
    <t>23518</t>
  </si>
  <si>
    <t>23523</t>
  </si>
  <si>
    <t>23551</t>
  </si>
  <si>
    <t>23601</t>
  </si>
  <si>
    <t>23602</t>
  </si>
  <si>
    <t>23603</t>
  </si>
  <si>
    <t>23604</t>
  </si>
  <si>
    <t>23605</t>
  </si>
  <si>
    <t>23606</t>
  </si>
  <si>
    <t>23607</t>
  </si>
  <si>
    <t>23608</t>
  </si>
  <si>
    <t>23651</t>
  </si>
  <si>
    <t>23661</t>
  </si>
  <si>
    <t>23662</t>
  </si>
  <si>
    <t>23663</t>
  </si>
  <si>
    <t>23664</t>
  </si>
  <si>
    <t>23665</t>
  </si>
  <si>
    <t>23666</t>
  </si>
  <si>
    <t>23667</t>
  </si>
  <si>
    <t>23668</t>
  </si>
  <si>
    <t>23669</t>
  </si>
  <si>
    <t>23681</t>
  </si>
  <si>
    <t>23690</t>
  </si>
  <si>
    <t>23691</t>
  </si>
  <si>
    <t>23692</t>
  </si>
  <si>
    <t>23693</t>
  </si>
  <si>
    <t>23696</t>
  </si>
  <si>
    <t>23701</t>
  </si>
  <si>
    <t>23702</t>
  </si>
  <si>
    <t>23703</t>
  </si>
  <si>
    <t>23704</t>
  </si>
  <si>
    <t>23707</t>
  </si>
  <si>
    <t>23708</t>
  </si>
  <si>
    <t>23709</t>
  </si>
  <si>
    <t>23801</t>
  </si>
  <si>
    <t>23803</t>
  </si>
  <si>
    <t>23805</t>
  </si>
  <si>
    <t>23821</t>
  </si>
  <si>
    <t>23824</t>
  </si>
  <si>
    <t>23827</t>
  </si>
  <si>
    <t>23828</t>
  </si>
  <si>
    <t>23829</t>
  </si>
  <si>
    <t>23830</t>
  </si>
  <si>
    <t>23831</t>
  </si>
  <si>
    <t>23832</t>
  </si>
  <si>
    <t>23833</t>
  </si>
  <si>
    <t>23834</t>
  </si>
  <si>
    <t>23836</t>
  </si>
  <si>
    <t>23837</t>
  </si>
  <si>
    <t>23838</t>
  </si>
  <si>
    <t>23839</t>
  </si>
  <si>
    <t>23840</t>
  </si>
  <si>
    <t>23841</t>
  </si>
  <si>
    <t>23842</t>
  </si>
  <si>
    <t>23843</t>
  </si>
  <si>
    <t>23844</t>
  </si>
  <si>
    <t>23845</t>
  </si>
  <si>
    <t>23846</t>
  </si>
  <si>
    <t>23847</t>
  </si>
  <si>
    <t>23850</t>
  </si>
  <si>
    <t>23851</t>
  </si>
  <si>
    <t>23856</t>
  </si>
  <si>
    <t>23857</t>
  </si>
  <si>
    <t>23860</t>
  </si>
  <si>
    <t>23866</t>
  </si>
  <si>
    <t>23867</t>
  </si>
  <si>
    <t>23868</t>
  </si>
  <si>
    <t>23870</t>
  </si>
  <si>
    <t>23872</t>
  </si>
  <si>
    <t>23874</t>
  </si>
  <si>
    <t>23875</t>
  </si>
  <si>
    <t>23876</t>
  </si>
  <si>
    <t>23878</t>
  </si>
  <si>
    <t>23879</t>
  </si>
  <si>
    <t>23881</t>
  </si>
  <si>
    <t>23882</t>
  </si>
  <si>
    <t>23883</t>
  </si>
  <si>
    <t>23884</t>
  </si>
  <si>
    <t>23885</t>
  </si>
  <si>
    <t>23887</t>
  </si>
  <si>
    <t>23888</t>
  </si>
  <si>
    <t>23889</t>
  </si>
  <si>
    <t>23890</t>
  </si>
  <si>
    <t>23891</t>
  </si>
  <si>
    <t>23893</t>
  </si>
  <si>
    <t>23894</t>
  </si>
  <si>
    <t>23897</t>
  </si>
  <si>
    <t>23898</t>
  </si>
  <si>
    <t>23899</t>
  </si>
  <si>
    <t>23901</t>
  </si>
  <si>
    <t>23909</t>
  </si>
  <si>
    <t>23915</t>
  </si>
  <si>
    <t>23917</t>
  </si>
  <si>
    <t>23919</t>
  </si>
  <si>
    <t>23920</t>
  </si>
  <si>
    <t>23921</t>
  </si>
  <si>
    <t>23922</t>
  </si>
  <si>
    <t>23923</t>
  </si>
  <si>
    <t>23924</t>
  </si>
  <si>
    <t>23927</t>
  </si>
  <si>
    <t>23930</t>
  </si>
  <si>
    <t>23934</t>
  </si>
  <si>
    <t>23936</t>
  </si>
  <si>
    <t>23937</t>
  </si>
  <si>
    <t>23938</t>
  </si>
  <si>
    <t>23942</t>
  </si>
  <si>
    <t>23943</t>
  </si>
  <si>
    <t>23944</t>
  </si>
  <si>
    <t>23947</t>
  </si>
  <si>
    <t>23950</t>
  </si>
  <si>
    <t>23952</t>
  </si>
  <si>
    <t>23954</t>
  </si>
  <si>
    <t>23955</t>
  </si>
  <si>
    <t>23958</t>
  </si>
  <si>
    <t>23959</t>
  </si>
  <si>
    <t>23960</t>
  </si>
  <si>
    <t>23962</t>
  </si>
  <si>
    <t>23963</t>
  </si>
  <si>
    <t>23964</t>
  </si>
  <si>
    <t>23966</t>
  </si>
  <si>
    <t>23967</t>
  </si>
  <si>
    <t>23968</t>
  </si>
  <si>
    <t>23970</t>
  </si>
  <si>
    <t>23974</t>
  </si>
  <si>
    <t>23976</t>
  </si>
  <si>
    <t>24011</t>
  </si>
  <si>
    <t>24012</t>
  </si>
  <si>
    <t>24013</t>
  </si>
  <si>
    <t>24014</t>
  </si>
  <si>
    <t>24015</t>
  </si>
  <si>
    <t>24016</t>
  </si>
  <si>
    <t>24017</t>
  </si>
  <si>
    <t>24018</t>
  </si>
  <si>
    <t>24019</t>
  </si>
  <si>
    <t>24020</t>
  </si>
  <si>
    <t>24022</t>
  </si>
  <si>
    <t>24053</t>
  </si>
  <si>
    <t>24054</t>
  </si>
  <si>
    <t>24055</t>
  </si>
  <si>
    <t>24058</t>
  </si>
  <si>
    <t>24059</t>
  </si>
  <si>
    <t>24060</t>
  </si>
  <si>
    <t>24061</t>
  </si>
  <si>
    <t>24064</t>
  </si>
  <si>
    <t>24065</t>
  </si>
  <si>
    <t>24066</t>
  </si>
  <si>
    <t>24067</t>
  </si>
  <si>
    <t>24069</t>
  </si>
  <si>
    <t>24070</t>
  </si>
  <si>
    <t>24072</t>
  </si>
  <si>
    <t>24073</t>
  </si>
  <si>
    <t>24076</t>
  </si>
  <si>
    <t>24077</t>
  </si>
  <si>
    <t>24078</t>
  </si>
  <si>
    <t>24079</t>
  </si>
  <si>
    <t>24082</t>
  </si>
  <si>
    <t>24083</t>
  </si>
  <si>
    <t>24084</t>
  </si>
  <si>
    <t>24085</t>
  </si>
  <si>
    <t>24086</t>
  </si>
  <si>
    <t>24087</t>
  </si>
  <si>
    <t>24088</t>
  </si>
  <si>
    <t>24089</t>
  </si>
  <si>
    <t>24090</t>
  </si>
  <si>
    <t>24091</t>
  </si>
  <si>
    <t>24092</t>
  </si>
  <si>
    <t>24093</t>
  </si>
  <si>
    <t>24095</t>
  </si>
  <si>
    <t>24101</t>
  </si>
  <si>
    <t>24102</t>
  </si>
  <si>
    <t>24104</t>
  </si>
  <si>
    <t>24105</t>
  </si>
  <si>
    <t>24112</t>
  </si>
  <si>
    <t>24120</t>
  </si>
  <si>
    <t>24121</t>
  </si>
  <si>
    <t>24122</t>
  </si>
  <si>
    <t>24124</t>
  </si>
  <si>
    <t>24127</t>
  </si>
  <si>
    <t>24128</t>
  </si>
  <si>
    <t>24129</t>
  </si>
  <si>
    <t>24131</t>
  </si>
  <si>
    <t>24132</t>
  </si>
  <si>
    <t>24133</t>
  </si>
  <si>
    <t>24134</t>
  </si>
  <si>
    <t>24136</t>
  </si>
  <si>
    <t>24137</t>
  </si>
  <si>
    <t>24138</t>
  </si>
  <si>
    <t>24139</t>
  </si>
  <si>
    <t>24141</t>
  </si>
  <si>
    <t>24142</t>
  </si>
  <si>
    <t>24147</t>
  </si>
  <si>
    <t>24148</t>
  </si>
  <si>
    <t>24149</t>
  </si>
  <si>
    <t>24150</t>
  </si>
  <si>
    <t>24151</t>
  </si>
  <si>
    <t>24153</t>
  </si>
  <si>
    <t>24161</t>
  </si>
  <si>
    <t>24162</t>
  </si>
  <si>
    <t>24165</t>
  </si>
  <si>
    <t>24167</t>
  </si>
  <si>
    <t>24168</t>
  </si>
  <si>
    <t>24171</t>
  </si>
  <si>
    <t>24174</t>
  </si>
  <si>
    <t>24175</t>
  </si>
  <si>
    <t>24176</t>
  </si>
  <si>
    <t>24179</t>
  </si>
  <si>
    <t>24184</t>
  </si>
  <si>
    <t>24185</t>
  </si>
  <si>
    <t>24201</t>
  </si>
  <si>
    <t>24202</t>
  </si>
  <si>
    <t>24210</t>
  </si>
  <si>
    <t>24211</t>
  </si>
  <si>
    <t>24216</t>
  </si>
  <si>
    <t>24217</t>
  </si>
  <si>
    <t>24219</t>
  </si>
  <si>
    <t>24220</t>
  </si>
  <si>
    <t>24221</t>
  </si>
  <si>
    <t>24224</t>
  </si>
  <si>
    <t>24225</t>
  </si>
  <si>
    <t>24226</t>
  </si>
  <si>
    <t>24228</t>
  </si>
  <si>
    <t>24230</t>
  </si>
  <si>
    <t>24236</t>
  </si>
  <si>
    <t>24237</t>
  </si>
  <si>
    <t>24239</t>
  </si>
  <si>
    <t>24243</t>
  </si>
  <si>
    <t>24244</t>
  </si>
  <si>
    <t>24245</t>
  </si>
  <si>
    <t>24246</t>
  </si>
  <si>
    <t>24248</t>
  </si>
  <si>
    <t>24250</t>
  </si>
  <si>
    <t>24251</t>
  </si>
  <si>
    <t>24256</t>
  </si>
  <si>
    <t>24258</t>
  </si>
  <si>
    <t>24260</t>
  </si>
  <si>
    <t>24263</t>
  </si>
  <si>
    <t>24265</t>
  </si>
  <si>
    <t>24266</t>
  </si>
  <si>
    <t>24269</t>
  </si>
  <si>
    <t>24270</t>
  </si>
  <si>
    <t>24271</t>
  </si>
  <si>
    <t>24272</t>
  </si>
  <si>
    <t>24273</t>
  </si>
  <si>
    <t>24277</t>
  </si>
  <si>
    <t>24279</t>
  </si>
  <si>
    <t>24280</t>
  </si>
  <si>
    <t>24281</t>
  </si>
  <si>
    <t>24282</t>
  </si>
  <si>
    <t>24283</t>
  </si>
  <si>
    <t>24290</t>
  </si>
  <si>
    <t>24292</t>
  </si>
  <si>
    <t>24293</t>
  </si>
  <si>
    <t>24301</t>
  </si>
  <si>
    <t>24311</t>
  </si>
  <si>
    <t>24312</t>
  </si>
  <si>
    <t>24313</t>
  </si>
  <si>
    <t>24314</t>
  </si>
  <si>
    <t>24315</t>
  </si>
  <si>
    <t>24316</t>
  </si>
  <si>
    <t>24317</t>
  </si>
  <si>
    <t>24318</t>
  </si>
  <si>
    <t>24319</t>
  </si>
  <si>
    <t>24322</t>
  </si>
  <si>
    <t>24323</t>
  </si>
  <si>
    <t>24324</t>
  </si>
  <si>
    <t>24325</t>
  </si>
  <si>
    <t>24326</t>
  </si>
  <si>
    <t>24327</t>
  </si>
  <si>
    <t>24328</t>
  </si>
  <si>
    <t>24330</t>
  </si>
  <si>
    <t>24333</t>
  </si>
  <si>
    <t>24340</t>
  </si>
  <si>
    <t>24343</t>
  </si>
  <si>
    <t>24347</t>
  </si>
  <si>
    <t>24348</t>
  </si>
  <si>
    <t>24350</t>
  </si>
  <si>
    <t>24351</t>
  </si>
  <si>
    <t>24352</t>
  </si>
  <si>
    <t>24354</t>
  </si>
  <si>
    <t>24360</t>
  </si>
  <si>
    <t>24361</t>
  </si>
  <si>
    <t>24363</t>
  </si>
  <si>
    <t>24366</t>
  </si>
  <si>
    <t>24368</t>
  </si>
  <si>
    <t>24370</t>
  </si>
  <si>
    <t>24374</t>
  </si>
  <si>
    <t>24375</t>
  </si>
  <si>
    <t>24377</t>
  </si>
  <si>
    <t>24378</t>
  </si>
  <si>
    <t>24380</t>
  </si>
  <si>
    <t>24381</t>
  </si>
  <si>
    <t>24382</t>
  </si>
  <si>
    <t>24401</t>
  </si>
  <si>
    <t>24411</t>
  </si>
  <si>
    <t>24412</t>
  </si>
  <si>
    <t>24413</t>
  </si>
  <si>
    <t>24415</t>
  </si>
  <si>
    <t>24416</t>
  </si>
  <si>
    <t>24421</t>
  </si>
  <si>
    <t>24422</t>
  </si>
  <si>
    <t>24426</t>
  </si>
  <si>
    <t>24430</t>
  </si>
  <si>
    <t>24431</t>
  </si>
  <si>
    <t>24432</t>
  </si>
  <si>
    <t>24433</t>
  </si>
  <si>
    <t>24435</t>
  </si>
  <si>
    <t>24437</t>
  </si>
  <si>
    <t>24439</t>
  </si>
  <si>
    <t>24440</t>
  </si>
  <si>
    <t>24441</t>
  </si>
  <si>
    <t>24442</t>
  </si>
  <si>
    <t>24445</t>
  </si>
  <si>
    <t>24448</t>
  </si>
  <si>
    <t>24450</t>
  </si>
  <si>
    <t>24457</t>
  </si>
  <si>
    <t>24458</t>
  </si>
  <si>
    <t>24459</t>
  </si>
  <si>
    <t>24460</t>
  </si>
  <si>
    <t>24464</t>
  </si>
  <si>
    <t>24465</t>
  </si>
  <si>
    <t>24467</t>
  </si>
  <si>
    <t>24469</t>
  </si>
  <si>
    <t>24471</t>
  </si>
  <si>
    <t>24472</t>
  </si>
  <si>
    <t>24473</t>
  </si>
  <si>
    <t>24474</t>
  </si>
  <si>
    <t>24476</t>
  </si>
  <si>
    <t>24477</t>
  </si>
  <si>
    <t>24479</t>
  </si>
  <si>
    <t>24482</t>
  </si>
  <si>
    <t>24483</t>
  </si>
  <si>
    <t>24484</t>
  </si>
  <si>
    <t>24485</t>
  </si>
  <si>
    <t>24486</t>
  </si>
  <si>
    <t>24487</t>
  </si>
  <si>
    <t>24501</t>
  </si>
  <si>
    <t>24502</t>
  </si>
  <si>
    <t>24503</t>
  </si>
  <si>
    <t>24504</t>
  </si>
  <si>
    <t>24515</t>
  </si>
  <si>
    <t>24517</t>
  </si>
  <si>
    <t>24520</t>
  </si>
  <si>
    <t>24521</t>
  </si>
  <si>
    <t>24522</t>
  </si>
  <si>
    <t>24523</t>
  </si>
  <si>
    <t>24526</t>
  </si>
  <si>
    <t>24527</t>
  </si>
  <si>
    <t>24528</t>
  </si>
  <si>
    <t>24529</t>
  </si>
  <si>
    <t>24530</t>
  </si>
  <si>
    <t>24531</t>
  </si>
  <si>
    <t>24534</t>
  </si>
  <si>
    <t>24536</t>
  </si>
  <si>
    <t>24538</t>
  </si>
  <si>
    <t>24539</t>
  </si>
  <si>
    <t>24540</t>
  </si>
  <si>
    <t>24541</t>
  </si>
  <si>
    <t>24549</t>
  </si>
  <si>
    <t>24550</t>
  </si>
  <si>
    <t>24551</t>
  </si>
  <si>
    <t>24553</t>
  </si>
  <si>
    <t>24554</t>
  </si>
  <si>
    <t>24555</t>
  </si>
  <si>
    <t>24556</t>
  </si>
  <si>
    <t>24557</t>
  </si>
  <si>
    <t>24558</t>
  </si>
  <si>
    <t>24562</t>
  </si>
  <si>
    <t>24563</t>
  </si>
  <si>
    <t>24565</t>
  </si>
  <si>
    <t>24566</t>
  </si>
  <si>
    <t>24569</t>
  </si>
  <si>
    <t>24570</t>
  </si>
  <si>
    <t>24571</t>
  </si>
  <si>
    <t>24572</t>
  </si>
  <si>
    <t>24574</t>
  </si>
  <si>
    <t>24577</t>
  </si>
  <si>
    <t>24578</t>
  </si>
  <si>
    <t>24579</t>
  </si>
  <si>
    <t>24580</t>
  </si>
  <si>
    <t>24581</t>
  </si>
  <si>
    <t>24586</t>
  </si>
  <si>
    <t>24588</t>
  </si>
  <si>
    <t>24589</t>
  </si>
  <si>
    <t>24590</t>
  </si>
  <si>
    <t>24592</t>
  </si>
  <si>
    <t>24593</t>
  </si>
  <si>
    <t>24594</t>
  </si>
  <si>
    <t>24595</t>
  </si>
  <si>
    <t>24597</t>
  </si>
  <si>
    <t>24598</t>
  </si>
  <si>
    <t>24599</t>
  </si>
  <si>
    <t>24601</t>
  </si>
  <si>
    <t>24602</t>
  </si>
  <si>
    <t>24603</t>
  </si>
  <si>
    <t>24604</t>
  </si>
  <si>
    <t>24605</t>
  </si>
  <si>
    <t>24606</t>
  </si>
  <si>
    <t>24607</t>
  </si>
  <si>
    <t>24609</t>
  </si>
  <si>
    <t>24612</t>
  </si>
  <si>
    <t>24613</t>
  </si>
  <si>
    <t>24614</t>
  </si>
  <si>
    <t>24620</t>
  </si>
  <si>
    <t>24622</t>
  </si>
  <si>
    <t>24630</t>
  </si>
  <si>
    <t>24631</t>
  </si>
  <si>
    <t>24634</t>
  </si>
  <si>
    <t>24635</t>
  </si>
  <si>
    <t>24637</t>
  </si>
  <si>
    <t>24639</t>
  </si>
  <si>
    <t>24641</t>
  </si>
  <si>
    <t>24646</t>
  </si>
  <si>
    <t>24649</t>
  </si>
  <si>
    <t>24651</t>
  </si>
  <si>
    <t>24656</t>
  </si>
  <si>
    <t>24657</t>
  </si>
  <si>
    <t>37642</t>
  </si>
  <si>
    <t>37752</t>
  </si>
  <si>
    <t>24701</t>
  </si>
  <si>
    <t>24712</t>
  </si>
  <si>
    <t>24714</t>
  </si>
  <si>
    <t>24715</t>
  </si>
  <si>
    <t>24716</t>
  </si>
  <si>
    <t>24719</t>
  </si>
  <si>
    <t>24724</t>
  </si>
  <si>
    <t>24726</t>
  </si>
  <si>
    <t>24729</t>
  </si>
  <si>
    <t>24731</t>
  </si>
  <si>
    <t>24733</t>
  </si>
  <si>
    <t>24736</t>
  </si>
  <si>
    <t>24737</t>
  </si>
  <si>
    <t>24738</t>
  </si>
  <si>
    <t>24739</t>
  </si>
  <si>
    <t>24740</t>
  </si>
  <si>
    <t>24747</t>
  </si>
  <si>
    <t>24801</t>
  </si>
  <si>
    <t>24808</t>
  </si>
  <si>
    <t>24811</t>
  </si>
  <si>
    <t>24813</t>
  </si>
  <si>
    <t>24815</t>
  </si>
  <si>
    <t>24816</t>
  </si>
  <si>
    <t>24817</t>
  </si>
  <si>
    <t>24818</t>
  </si>
  <si>
    <t>24822</t>
  </si>
  <si>
    <t>24823</t>
  </si>
  <si>
    <t>24826</t>
  </si>
  <si>
    <t>24827</t>
  </si>
  <si>
    <t>24828</t>
  </si>
  <si>
    <t>24830</t>
  </si>
  <si>
    <t>24831</t>
  </si>
  <si>
    <t>24834</t>
  </si>
  <si>
    <t>24836</t>
  </si>
  <si>
    <t>24839</t>
  </si>
  <si>
    <t>24843</t>
  </si>
  <si>
    <t>24844</t>
  </si>
  <si>
    <t>24845</t>
  </si>
  <si>
    <t>24846</t>
  </si>
  <si>
    <t>24847</t>
  </si>
  <si>
    <t>24848</t>
  </si>
  <si>
    <t>24849</t>
  </si>
  <si>
    <t>24850</t>
  </si>
  <si>
    <t>24851</t>
  </si>
  <si>
    <t>24853</t>
  </si>
  <si>
    <t>24854</t>
  </si>
  <si>
    <t>24855</t>
  </si>
  <si>
    <t>24857</t>
  </si>
  <si>
    <t>24860</t>
  </si>
  <si>
    <t>24861</t>
  </si>
  <si>
    <t>24862</t>
  </si>
  <si>
    <t>24866</t>
  </si>
  <si>
    <t>24867</t>
  </si>
  <si>
    <t>24868</t>
  </si>
  <si>
    <t>24869</t>
  </si>
  <si>
    <t>24870</t>
  </si>
  <si>
    <t>24871</t>
  </si>
  <si>
    <t>24872</t>
  </si>
  <si>
    <t>24873</t>
  </si>
  <si>
    <t>24874</t>
  </si>
  <si>
    <t>24878</t>
  </si>
  <si>
    <t>24879</t>
  </si>
  <si>
    <t>24880</t>
  </si>
  <si>
    <t>24881</t>
  </si>
  <si>
    <t>24882</t>
  </si>
  <si>
    <t>24884</t>
  </si>
  <si>
    <t>24887</t>
  </si>
  <si>
    <t>24888</t>
  </si>
  <si>
    <t>24892</t>
  </si>
  <si>
    <t>24894</t>
  </si>
  <si>
    <t>24895</t>
  </si>
  <si>
    <t>24898</t>
  </si>
  <si>
    <t>24901</t>
  </si>
  <si>
    <t>24910</t>
  </si>
  <si>
    <t>24915</t>
  </si>
  <si>
    <t>24916</t>
  </si>
  <si>
    <t>24918</t>
  </si>
  <si>
    <t>24920</t>
  </si>
  <si>
    <t>24924</t>
  </si>
  <si>
    <t>24925</t>
  </si>
  <si>
    <t>24927</t>
  </si>
  <si>
    <t>24931</t>
  </si>
  <si>
    <t>24934</t>
  </si>
  <si>
    <t>24935</t>
  </si>
  <si>
    <t>24938</t>
  </si>
  <si>
    <t>24941</t>
  </si>
  <si>
    <t>24943</t>
  </si>
  <si>
    <t>24944</t>
  </si>
  <si>
    <t>24945</t>
  </si>
  <si>
    <t>24946</t>
  </si>
  <si>
    <t>24951</t>
  </si>
  <si>
    <t>24954</t>
  </si>
  <si>
    <t>24957</t>
  </si>
  <si>
    <t>24962</t>
  </si>
  <si>
    <t>24963</t>
  </si>
  <si>
    <t>24966</t>
  </si>
  <si>
    <t>24970</t>
  </si>
  <si>
    <t>24974</t>
  </si>
  <si>
    <t>24976</t>
  </si>
  <si>
    <t>24977</t>
  </si>
  <si>
    <t>24981</t>
  </si>
  <si>
    <t>24983</t>
  </si>
  <si>
    <t>24984</t>
  </si>
  <si>
    <t>24985</t>
  </si>
  <si>
    <t>24986</t>
  </si>
  <si>
    <t>24991</t>
  </si>
  <si>
    <t>24993</t>
  </si>
  <si>
    <t>25002</t>
  </si>
  <si>
    <t>25003</t>
  </si>
  <si>
    <t>25005</t>
  </si>
  <si>
    <t>25007</t>
  </si>
  <si>
    <t>25008</t>
  </si>
  <si>
    <t>25009</t>
  </si>
  <si>
    <t>25011</t>
  </si>
  <si>
    <t>25015</t>
  </si>
  <si>
    <t>25019</t>
  </si>
  <si>
    <t>25021</t>
  </si>
  <si>
    <t>25022</t>
  </si>
  <si>
    <t>25024</t>
  </si>
  <si>
    <t>25025</t>
  </si>
  <si>
    <t>25028</t>
  </si>
  <si>
    <t>25030</t>
  </si>
  <si>
    <t>25031</t>
  </si>
  <si>
    <t>25033</t>
  </si>
  <si>
    <t>25035</t>
  </si>
  <si>
    <t>25036</t>
  </si>
  <si>
    <t>25039</t>
  </si>
  <si>
    <t>25040</t>
  </si>
  <si>
    <t>25043</t>
  </si>
  <si>
    <t>25044</t>
  </si>
  <si>
    <t>25045</t>
  </si>
  <si>
    <t>25047</t>
  </si>
  <si>
    <t>25048</t>
  </si>
  <si>
    <t>25049</t>
  </si>
  <si>
    <t>25051</t>
  </si>
  <si>
    <t>25053</t>
  </si>
  <si>
    <t>25054</t>
  </si>
  <si>
    <t>25057</t>
  </si>
  <si>
    <t>25059</t>
  </si>
  <si>
    <t>25060</t>
  </si>
  <si>
    <t>25061</t>
  </si>
  <si>
    <t>25062</t>
  </si>
  <si>
    <t>25063</t>
  </si>
  <si>
    <t>25064</t>
  </si>
  <si>
    <t>25067</t>
  </si>
  <si>
    <t>25070</t>
  </si>
  <si>
    <t>25071</t>
  </si>
  <si>
    <t>25075</t>
  </si>
  <si>
    <t>25076</t>
  </si>
  <si>
    <t>25081</t>
  </si>
  <si>
    <t>25082</t>
  </si>
  <si>
    <t>25083</t>
  </si>
  <si>
    <t>25085</t>
  </si>
  <si>
    <t>25086</t>
  </si>
  <si>
    <t>25088</t>
  </si>
  <si>
    <t>25090</t>
  </si>
  <si>
    <t>25093</t>
  </si>
  <si>
    <t>25102</t>
  </si>
  <si>
    <t>25103</t>
  </si>
  <si>
    <t>25106</t>
  </si>
  <si>
    <t>25107</t>
  </si>
  <si>
    <t>25108</t>
  </si>
  <si>
    <t>25109</t>
  </si>
  <si>
    <t>25110</t>
  </si>
  <si>
    <t>25111</t>
  </si>
  <si>
    <t>25112</t>
  </si>
  <si>
    <t>25113</t>
  </si>
  <si>
    <t>25114</t>
  </si>
  <si>
    <t>25115</t>
  </si>
  <si>
    <t>25118</t>
  </si>
  <si>
    <t>25119</t>
  </si>
  <si>
    <t>25121</t>
  </si>
  <si>
    <t>25123</t>
  </si>
  <si>
    <t>25124</t>
  </si>
  <si>
    <t>25125</t>
  </si>
  <si>
    <t>25126</t>
  </si>
  <si>
    <t>25130</t>
  </si>
  <si>
    <t>25132</t>
  </si>
  <si>
    <t>25133</t>
  </si>
  <si>
    <t>25134</t>
  </si>
  <si>
    <t>25136</t>
  </si>
  <si>
    <t>25139</t>
  </si>
  <si>
    <t>25140</t>
  </si>
  <si>
    <t>25141</t>
  </si>
  <si>
    <t>25142</t>
  </si>
  <si>
    <t>25143</t>
  </si>
  <si>
    <t>25148</t>
  </si>
  <si>
    <t>25149</t>
  </si>
  <si>
    <t>25152</t>
  </si>
  <si>
    <t>25154</t>
  </si>
  <si>
    <t>25156</t>
  </si>
  <si>
    <t>25159</t>
  </si>
  <si>
    <t>25160</t>
  </si>
  <si>
    <t>25161</t>
  </si>
  <si>
    <t>25162</t>
  </si>
  <si>
    <t>25164</t>
  </si>
  <si>
    <t>25165</t>
  </si>
  <si>
    <t>25168</t>
  </si>
  <si>
    <t>25169</t>
  </si>
  <si>
    <t>25173</t>
  </si>
  <si>
    <t>25174</t>
  </si>
  <si>
    <t>25177</t>
  </si>
  <si>
    <t>25180</t>
  </si>
  <si>
    <t>25181</t>
  </si>
  <si>
    <t>25183</t>
  </si>
  <si>
    <t>25185</t>
  </si>
  <si>
    <t>25186</t>
  </si>
  <si>
    <t>25187</t>
  </si>
  <si>
    <t>25193</t>
  </si>
  <si>
    <t>25201</t>
  </si>
  <si>
    <t>25202</t>
  </si>
  <si>
    <t>25203</t>
  </si>
  <si>
    <t>25204</t>
  </si>
  <si>
    <t>25205</t>
  </si>
  <si>
    <t>25206</t>
  </si>
  <si>
    <t>25208</t>
  </si>
  <si>
    <t>25209</t>
  </si>
  <si>
    <t>25211</t>
  </si>
  <si>
    <t>25213</t>
  </si>
  <si>
    <t>25214</t>
  </si>
  <si>
    <t>25231</t>
  </si>
  <si>
    <t>25234</t>
  </si>
  <si>
    <t>25235</t>
  </si>
  <si>
    <t>25239</t>
  </si>
  <si>
    <t>25241</t>
  </si>
  <si>
    <t>25243</t>
  </si>
  <si>
    <t>25244</t>
  </si>
  <si>
    <t>25245</t>
  </si>
  <si>
    <t>25247</t>
  </si>
  <si>
    <t>25248</t>
  </si>
  <si>
    <t>25251</t>
  </si>
  <si>
    <t>25252</t>
  </si>
  <si>
    <t>25253</t>
  </si>
  <si>
    <t>25259</t>
  </si>
  <si>
    <t>25260</t>
  </si>
  <si>
    <t>25261</t>
  </si>
  <si>
    <t>25262</t>
  </si>
  <si>
    <t>25264</t>
  </si>
  <si>
    <t>25265</t>
  </si>
  <si>
    <t>25266</t>
  </si>
  <si>
    <t>25267</t>
  </si>
  <si>
    <t>25268</t>
  </si>
  <si>
    <t>25270</t>
  </si>
  <si>
    <t>25271</t>
  </si>
  <si>
    <t>25275</t>
  </si>
  <si>
    <t>25276</t>
  </si>
  <si>
    <t>25285</t>
  </si>
  <si>
    <t>25286</t>
  </si>
  <si>
    <t>25287</t>
  </si>
  <si>
    <t>25301</t>
  </si>
  <si>
    <t>25302</t>
  </si>
  <si>
    <t>25303</t>
  </si>
  <si>
    <t>25304</t>
  </si>
  <si>
    <t>25305</t>
  </si>
  <si>
    <t>25306</t>
  </si>
  <si>
    <t>25309</t>
  </si>
  <si>
    <t>25311</t>
  </si>
  <si>
    <t>25312</t>
  </si>
  <si>
    <t>25313</t>
  </si>
  <si>
    <t>25314</t>
  </si>
  <si>
    <t>25315</t>
  </si>
  <si>
    <t>25320</t>
  </si>
  <si>
    <t>25387</t>
  </si>
  <si>
    <t>25401</t>
  </si>
  <si>
    <t>25403</t>
  </si>
  <si>
    <t>25404</t>
  </si>
  <si>
    <t>25405</t>
  </si>
  <si>
    <t>25411</t>
  </si>
  <si>
    <t>25413</t>
  </si>
  <si>
    <t>25414</t>
  </si>
  <si>
    <t>25419</t>
  </si>
  <si>
    <t>25420</t>
  </si>
  <si>
    <t>25421</t>
  </si>
  <si>
    <t>25422</t>
  </si>
  <si>
    <t>25425</t>
  </si>
  <si>
    <t>25427</t>
  </si>
  <si>
    <t>25428</t>
  </si>
  <si>
    <t>25430</t>
  </si>
  <si>
    <t>25431</t>
  </si>
  <si>
    <t>25432</t>
  </si>
  <si>
    <t>25434</t>
  </si>
  <si>
    <t>25437</t>
  </si>
  <si>
    <t>25438</t>
  </si>
  <si>
    <t>25442</t>
  </si>
  <si>
    <t>25443</t>
  </si>
  <si>
    <t>25444</t>
  </si>
  <si>
    <t>25446</t>
  </si>
  <si>
    <t>25501</t>
  </si>
  <si>
    <t>25502</t>
  </si>
  <si>
    <t>25503</t>
  </si>
  <si>
    <t>25504</t>
  </si>
  <si>
    <t>25505</t>
  </si>
  <si>
    <t>25506</t>
  </si>
  <si>
    <t>25507</t>
  </si>
  <si>
    <t>25508</t>
  </si>
  <si>
    <t>25510</t>
  </si>
  <si>
    <t>25511</t>
  </si>
  <si>
    <t>25512</t>
  </si>
  <si>
    <t>25514</t>
  </si>
  <si>
    <t>25515</t>
  </si>
  <si>
    <t>25517</t>
  </si>
  <si>
    <t>25520</t>
  </si>
  <si>
    <t>25521</t>
  </si>
  <si>
    <t>25523</t>
  </si>
  <si>
    <t>25524</t>
  </si>
  <si>
    <t>25526</t>
  </si>
  <si>
    <t>25529</t>
  </si>
  <si>
    <t>25530</t>
  </si>
  <si>
    <t>25534</t>
  </si>
  <si>
    <t>25535</t>
  </si>
  <si>
    <t>25537</t>
  </si>
  <si>
    <t>25540</t>
  </si>
  <si>
    <t>25541</t>
  </si>
  <si>
    <t>25544</t>
  </si>
  <si>
    <t>25545</t>
  </si>
  <si>
    <t>25547</t>
  </si>
  <si>
    <t>25550</t>
  </si>
  <si>
    <t>25555</t>
  </si>
  <si>
    <t>25557</t>
  </si>
  <si>
    <t>25559</t>
  </si>
  <si>
    <t>25560</t>
  </si>
  <si>
    <t>25564</t>
  </si>
  <si>
    <t>25565</t>
  </si>
  <si>
    <t>25567</t>
  </si>
  <si>
    <t>25570</t>
  </si>
  <si>
    <t>25571</t>
  </si>
  <si>
    <t>25573</t>
  </si>
  <si>
    <t>25601</t>
  </si>
  <si>
    <t>25606</t>
  </si>
  <si>
    <t>25607</t>
  </si>
  <si>
    <t>25608</t>
  </si>
  <si>
    <t>25611</t>
  </si>
  <si>
    <t>25612</t>
  </si>
  <si>
    <t>25617</t>
  </si>
  <si>
    <t>25621</t>
  </si>
  <si>
    <t>25624</t>
  </si>
  <si>
    <t>25625</t>
  </si>
  <si>
    <t>25628</t>
  </si>
  <si>
    <t>25630</t>
  </si>
  <si>
    <t>25632</t>
  </si>
  <si>
    <t>25634</t>
  </si>
  <si>
    <t>25635</t>
  </si>
  <si>
    <t>25637</t>
  </si>
  <si>
    <t>25638</t>
  </si>
  <si>
    <t>25639</t>
  </si>
  <si>
    <t>25644</t>
  </si>
  <si>
    <t>25646</t>
  </si>
  <si>
    <t>25647</t>
  </si>
  <si>
    <t>25649</t>
  </si>
  <si>
    <t>25650</t>
  </si>
  <si>
    <t>25651</t>
  </si>
  <si>
    <t>25652</t>
  </si>
  <si>
    <t>25653</t>
  </si>
  <si>
    <t>25654</t>
  </si>
  <si>
    <t>25661</t>
  </si>
  <si>
    <t>25666</t>
  </si>
  <si>
    <t>25667</t>
  </si>
  <si>
    <t>25669</t>
  </si>
  <si>
    <t>25670</t>
  </si>
  <si>
    <t>25671</t>
  </si>
  <si>
    <t>25672</t>
  </si>
  <si>
    <t>25674</t>
  </si>
  <si>
    <t>25676</t>
  </si>
  <si>
    <t>25678</t>
  </si>
  <si>
    <t>25685</t>
  </si>
  <si>
    <t>25688</t>
  </si>
  <si>
    <t>25690</t>
  </si>
  <si>
    <t>25692</t>
  </si>
  <si>
    <t>25696</t>
  </si>
  <si>
    <t>25699</t>
  </si>
  <si>
    <t>25701</t>
  </si>
  <si>
    <t>25702</t>
  </si>
  <si>
    <t>25703</t>
  </si>
  <si>
    <t>25704</t>
  </si>
  <si>
    <t>25705</t>
  </si>
  <si>
    <t>25755</t>
  </si>
  <si>
    <t>25801</t>
  </si>
  <si>
    <t>25810</t>
  </si>
  <si>
    <t>25811</t>
  </si>
  <si>
    <t>25812</t>
  </si>
  <si>
    <t>25813</t>
  </si>
  <si>
    <t>25817</t>
  </si>
  <si>
    <t>25818</t>
  </si>
  <si>
    <t>25820</t>
  </si>
  <si>
    <t>25823</t>
  </si>
  <si>
    <t>25825</t>
  </si>
  <si>
    <t>25826</t>
  </si>
  <si>
    <t>25827</t>
  </si>
  <si>
    <t>25831</t>
  </si>
  <si>
    <t>25832</t>
  </si>
  <si>
    <t>25836</t>
  </si>
  <si>
    <t>25837</t>
  </si>
  <si>
    <t>25839</t>
  </si>
  <si>
    <t>25840</t>
  </si>
  <si>
    <t>25841</t>
  </si>
  <si>
    <t>25843</t>
  </si>
  <si>
    <t>25844</t>
  </si>
  <si>
    <t>25845</t>
  </si>
  <si>
    <t>25846</t>
  </si>
  <si>
    <t>25848</t>
  </si>
  <si>
    <t>25849</t>
  </si>
  <si>
    <t>25851</t>
  </si>
  <si>
    <t>25853</t>
  </si>
  <si>
    <t>25854</t>
  </si>
  <si>
    <t>25855</t>
  </si>
  <si>
    <t>25857</t>
  </si>
  <si>
    <t>25862</t>
  </si>
  <si>
    <t>25864</t>
  </si>
  <si>
    <t>25865</t>
  </si>
  <si>
    <t>25866</t>
  </si>
  <si>
    <t>25868</t>
  </si>
  <si>
    <t>25870</t>
  </si>
  <si>
    <t>25871</t>
  </si>
  <si>
    <t>25873</t>
  </si>
  <si>
    <t>25875</t>
  </si>
  <si>
    <t>25876</t>
  </si>
  <si>
    <t>25878</t>
  </si>
  <si>
    <t>25879</t>
  </si>
  <si>
    <t>25880</t>
  </si>
  <si>
    <t>25882</t>
  </si>
  <si>
    <t>25901</t>
  </si>
  <si>
    <t>25902</t>
  </si>
  <si>
    <t>25904</t>
  </si>
  <si>
    <t>25907</t>
  </si>
  <si>
    <t>25908</t>
  </si>
  <si>
    <t>25909</t>
  </si>
  <si>
    <t>25911</t>
  </si>
  <si>
    <t>25913</t>
  </si>
  <si>
    <t>25915</t>
  </si>
  <si>
    <t>25916</t>
  </si>
  <si>
    <t>25917</t>
  </si>
  <si>
    <t>25918</t>
  </si>
  <si>
    <t>25920</t>
  </si>
  <si>
    <t>25921</t>
  </si>
  <si>
    <t>25922</t>
  </si>
  <si>
    <t>25928</t>
  </si>
  <si>
    <t>25932</t>
  </si>
  <si>
    <t>25936</t>
  </si>
  <si>
    <t>25938</t>
  </si>
  <si>
    <t>25942</t>
  </si>
  <si>
    <t>25943</t>
  </si>
  <si>
    <t>25951</t>
  </si>
  <si>
    <t>25958</t>
  </si>
  <si>
    <t>25962</t>
  </si>
  <si>
    <t>25966</t>
  </si>
  <si>
    <t>25969</t>
  </si>
  <si>
    <t>25971</t>
  </si>
  <si>
    <t>25972</t>
  </si>
  <si>
    <t>25976</t>
  </si>
  <si>
    <t>25977</t>
  </si>
  <si>
    <t>25978</t>
  </si>
  <si>
    <t>25979</t>
  </si>
  <si>
    <t>25981</t>
  </si>
  <si>
    <t>25984</t>
  </si>
  <si>
    <t>25985</t>
  </si>
  <si>
    <t>25986</t>
  </si>
  <si>
    <t>25989</t>
  </si>
  <si>
    <t>26003</t>
  </si>
  <si>
    <t>26030</t>
  </si>
  <si>
    <t>26031</t>
  </si>
  <si>
    <t>26032</t>
  </si>
  <si>
    <t>26033</t>
  </si>
  <si>
    <t>26034</t>
  </si>
  <si>
    <t>26035</t>
  </si>
  <si>
    <t>26036</t>
  </si>
  <si>
    <t>26037</t>
  </si>
  <si>
    <t>26038</t>
  </si>
  <si>
    <t>26039</t>
  </si>
  <si>
    <t>26040</t>
  </si>
  <si>
    <t>26041</t>
  </si>
  <si>
    <t>26047</t>
  </si>
  <si>
    <t>26050</t>
  </si>
  <si>
    <t>26055</t>
  </si>
  <si>
    <t>26056</t>
  </si>
  <si>
    <t>26058</t>
  </si>
  <si>
    <t>26059</t>
  </si>
  <si>
    <t>26060</t>
  </si>
  <si>
    <t>26062</t>
  </si>
  <si>
    <t>26070</t>
  </si>
  <si>
    <t>26074</t>
  </si>
  <si>
    <t>26075</t>
  </si>
  <si>
    <t>26101</t>
  </si>
  <si>
    <t>26104</t>
  </si>
  <si>
    <t>26105</t>
  </si>
  <si>
    <t>26133</t>
  </si>
  <si>
    <t>26134</t>
  </si>
  <si>
    <t>26136</t>
  </si>
  <si>
    <t>26137</t>
  </si>
  <si>
    <t>26138</t>
  </si>
  <si>
    <t>26141</t>
  </si>
  <si>
    <t>26142</t>
  </si>
  <si>
    <t>26143</t>
  </si>
  <si>
    <t>26146</t>
  </si>
  <si>
    <t>26147</t>
  </si>
  <si>
    <t>26148</t>
  </si>
  <si>
    <t>26149</t>
  </si>
  <si>
    <t>26150</t>
  </si>
  <si>
    <t>26151</t>
  </si>
  <si>
    <t>26152</t>
  </si>
  <si>
    <t>26155</t>
  </si>
  <si>
    <t>26159</t>
  </si>
  <si>
    <t>26160</t>
  </si>
  <si>
    <t>26161</t>
  </si>
  <si>
    <t>26162</t>
  </si>
  <si>
    <t>26164</t>
  </si>
  <si>
    <t>26167</t>
  </si>
  <si>
    <t>26169</t>
  </si>
  <si>
    <t>26170</t>
  </si>
  <si>
    <t>26175</t>
  </si>
  <si>
    <t>26178</t>
  </si>
  <si>
    <t>26180</t>
  </si>
  <si>
    <t>26181</t>
  </si>
  <si>
    <t>26184</t>
  </si>
  <si>
    <t>26187</t>
  </si>
  <si>
    <t>26201</t>
  </si>
  <si>
    <t>26202</t>
  </si>
  <si>
    <t>26203</t>
  </si>
  <si>
    <t>26205</t>
  </si>
  <si>
    <t>26206</t>
  </si>
  <si>
    <t>26208</t>
  </si>
  <si>
    <t>26209</t>
  </si>
  <si>
    <t>26210</t>
  </si>
  <si>
    <t>26215</t>
  </si>
  <si>
    <t>26217</t>
  </si>
  <si>
    <t>26218</t>
  </si>
  <si>
    <t>26222</t>
  </si>
  <si>
    <t>26224</t>
  </si>
  <si>
    <t>26228</t>
  </si>
  <si>
    <t>26230</t>
  </si>
  <si>
    <t>26234</t>
  </si>
  <si>
    <t>26236</t>
  </si>
  <si>
    <t>26237</t>
  </si>
  <si>
    <t>26238</t>
  </si>
  <si>
    <t>26241</t>
  </si>
  <si>
    <t>26250</t>
  </si>
  <si>
    <t>26253</t>
  </si>
  <si>
    <t>26254</t>
  </si>
  <si>
    <t>26257</t>
  </si>
  <si>
    <t>26259</t>
  </si>
  <si>
    <t>26260</t>
  </si>
  <si>
    <t>26261</t>
  </si>
  <si>
    <t>26263</t>
  </si>
  <si>
    <t>26264</t>
  </si>
  <si>
    <t>26266</t>
  </si>
  <si>
    <t>26267</t>
  </si>
  <si>
    <t>26268</t>
  </si>
  <si>
    <t>26269</t>
  </si>
  <si>
    <t>26270</t>
  </si>
  <si>
    <t>26271</t>
  </si>
  <si>
    <t>26273</t>
  </si>
  <si>
    <t>26275</t>
  </si>
  <si>
    <t>26276</t>
  </si>
  <si>
    <t>26278</t>
  </si>
  <si>
    <t>26280</t>
  </si>
  <si>
    <t>26282</t>
  </si>
  <si>
    <t>26283</t>
  </si>
  <si>
    <t>26285</t>
  </si>
  <si>
    <t>26287</t>
  </si>
  <si>
    <t>26288</t>
  </si>
  <si>
    <t>26289</t>
  </si>
  <si>
    <t>26291</t>
  </si>
  <si>
    <t>26292</t>
  </si>
  <si>
    <t>26293</t>
  </si>
  <si>
    <t>26294</t>
  </si>
  <si>
    <t>26296</t>
  </si>
  <si>
    <t>26298</t>
  </si>
  <si>
    <t>26301</t>
  </si>
  <si>
    <t>26320</t>
  </si>
  <si>
    <t>26321</t>
  </si>
  <si>
    <t>26323</t>
  </si>
  <si>
    <t>26325</t>
  </si>
  <si>
    <t>26327</t>
  </si>
  <si>
    <t>26330</t>
  </si>
  <si>
    <t>26335</t>
  </si>
  <si>
    <t>26337</t>
  </si>
  <si>
    <t>26338</t>
  </si>
  <si>
    <t>26339</t>
  </si>
  <si>
    <t>26342</t>
  </si>
  <si>
    <t>26343</t>
  </si>
  <si>
    <t>26346</t>
  </si>
  <si>
    <t>26347</t>
  </si>
  <si>
    <t>26348</t>
  </si>
  <si>
    <t>26349</t>
  </si>
  <si>
    <t>26351</t>
  </si>
  <si>
    <t>26354</t>
  </si>
  <si>
    <t>26361</t>
  </si>
  <si>
    <t>26362</t>
  </si>
  <si>
    <t>26366</t>
  </si>
  <si>
    <t>26369</t>
  </si>
  <si>
    <t>26372</t>
  </si>
  <si>
    <t>26374</t>
  </si>
  <si>
    <t>26376</t>
  </si>
  <si>
    <t>26377</t>
  </si>
  <si>
    <t>26378</t>
  </si>
  <si>
    <t>26384</t>
  </si>
  <si>
    <t>26385</t>
  </si>
  <si>
    <t>26386</t>
  </si>
  <si>
    <t>26404</t>
  </si>
  <si>
    <t>26405</t>
  </si>
  <si>
    <t>26408</t>
  </si>
  <si>
    <t>26410</t>
  </si>
  <si>
    <t>26411</t>
  </si>
  <si>
    <t>26412</t>
  </si>
  <si>
    <t>26415</t>
  </si>
  <si>
    <t>26416</t>
  </si>
  <si>
    <t>26419</t>
  </si>
  <si>
    <t>26421</t>
  </si>
  <si>
    <t>26422</t>
  </si>
  <si>
    <t>26424</t>
  </si>
  <si>
    <t>26425</t>
  </si>
  <si>
    <t>26426</t>
  </si>
  <si>
    <t>26430</t>
  </si>
  <si>
    <t>26431</t>
  </si>
  <si>
    <t>26435</t>
  </si>
  <si>
    <t>26436</t>
  </si>
  <si>
    <t>26437</t>
  </si>
  <si>
    <t>26438</t>
  </si>
  <si>
    <t>26440</t>
  </si>
  <si>
    <t>26443</t>
  </si>
  <si>
    <t>26444</t>
  </si>
  <si>
    <t>26447</t>
  </si>
  <si>
    <t>26448</t>
  </si>
  <si>
    <t>26451</t>
  </si>
  <si>
    <t>26452</t>
  </si>
  <si>
    <t>26456</t>
  </si>
  <si>
    <t>26463</t>
  </si>
  <si>
    <t>26501</t>
  </si>
  <si>
    <t>26505</t>
  </si>
  <si>
    <t>26506</t>
  </si>
  <si>
    <t>26508</t>
  </si>
  <si>
    <t>26519</t>
  </si>
  <si>
    <t>26520</t>
  </si>
  <si>
    <t>26521</t>
  </si>
  <si>
    <t>26524</t>
  </si>
  <si>
    <t>26525</t>
  </si>
  <si>
    <t>26534</t>
  </si>
  <si>
    <t>26537</t>
  </si>
  <si>
    <t>26541</t>
  </si>
  <si>
    <t>26542</t>
  </si>
  <si>
    <t>26543</t>
  </si>
  <si>
    <t>26544</t>
  </si>
  <si>
    <t>26546</t>
  </si>
  <si>
    <t>26547</t>
  </si>
  <si>
    <t>26554</t>
  </si>
  <si>
    <t>26559</t>
  </si>
  <si>
    <t>26560</t>
  </si>
  <si>
    <t>26562</t>
  </si>
  <si>
    <t>26563</t>
  </si>
  <si>
    <t>26568</t>
  </si>
  <si>
    <t>26570</t>
  </si>
  <si>
    <t>26571</t>
  </si>
  <si>
    <t>26572</t>
  </si>
  <si>
    <t>26574</t>
  </si>
  <si>
    <t>26575</t>
  </si>
  <si>
    <t>26576</t>
  </si>
  <si>
    <t>26581</t>
  </si>
  <si>
    <t>26582</t>
  </si>
  <si>
    <t>26585</t>
  </si>
  <si>
    <t>26586</t>
  </si>
  <si>
    <t>26587</t>
  </si>
  <si>
    <t>26588</t>
  </si>
  <si>
    <t>26590</t>
  </si>
  <si>
    <t>26591</t>
  </si>
  <si>
    <t>26601</t>
  </si>
  <si>
    <t>26610</t>
  </si>
  <si>
    <t>26611</t>
  </si>
  <si>
    <t>26615</t>
  </si>
  <si>
    <t>26617</t>
  </si>
  <si>
    <t>26619</t>
  </si>
  <si>
    <t>26621</t>
  </si>
  <si>
    <t>26623</t>
  </si>
  <si>
    <t>26624</t>
  </si>
  <si>
    <t>26627</t>
  </si>
  <si>
    <t>26629</t>
  </si>
  <si>
    <t>26631</t>
  </si>
  <si>
    <t>26636</t>
  </si>
  <si>
    <t>26638</t>
  </si>
  <si>
    <t>26651</t>
  </si>
  <si>
    <t>26656</t>
  </si>
  <si>
    <t>26660</t>
  </si>
  <si>
    <t>26662</t>
  </si>
  <si>
    <t>26667</t>
  </si>
  <si>
    <t>26671</t>
  </si>
  <si>
    <t>26676</t>
  </si>
  <si>
    <t>26678</t>
  </si>
  <si>
    <t>26679</t>
  </si>
  <si>
    <t>26680</t>
  </si>
  <si>
    <t>26681</t>
  </si>
  <si>
    <t>26684</t>
  </si>
  <si>
    <t>26690</t>
  </si>
  <si>
    <t>26691</t>
  </si>
  <si>
    <t>26704</t>
  </si>
  <si>
    <t>26705</t>
  </si>
  <si>
    <t>26707</t>
  </si>
  <si>
    <t>26710</t>
  </si>
  <si>
    <t>26711</t>
  </si>
  <si>
    <t>26714</t>
  </si>
  <si>
    <t>26716</t>
  </si>
  <si>
    <t>26717</t>
  </si>
  <si>
    <t>26719</t>
  </si>
  <si>
    <t>26720</t>
  </si>
  <si>
    <t>26722</t>
  </si>
  <si>
    <t>26726</t>
  </si>
  <si>
    <t>26731</t>
  </si>
  <si>
    <t>26739</t>
  </si>
  <si>
    <t>26743</t>
  </si>
  <si>
    <t>26750</t>
  </si>
  <si>
    <t>26753</t>
  </si>
  <si>
    <t>26755</t>
  </si>
  <si>
    <t>26757</t>
  </si>
  <si>
    <t>26761</t>
  </si>
  <si>
    <t>26763</t>
  </si>
  <si>
    <t>26764</t>
  </si>
  <si>
    <t>26767</t>
  </si>
  <si>
    <t>26801</t>
  </si>
  <si>
    <t>26802</t>
  </si>
  <si>
    <t>26804</t>
  </si>
  <si>
    <t>26807</t>
  </si>
  <si>
    <t>26808</t>
  </si>
  <si>
    <t>26810</t>
  </si>
  <si>
    <t>26812</t>
  </si>
  <si>
    <t>26814</t>
  </si>
  <si>
    <t>26815</t>
  </si>
  <si>
    <t>26817</t>
  </si>
  <si>
    <t>26818</t>
  </si>
  <si>
    <t>26823</t>
  </si>
  <si>
    <t>26833</t>
  </si>
  <si>
    <t>26836</t>
  </si>
  <si>
    <t>26838</t>
  </si>
  <si>
    <t>26845</t>
  </si>
  <si>
    <t>26847</t>
  </si>
  <si>
    <t>26851</t>
  </si>
  <si>
    <t>26852</t>
  </si>
  <si>
    <t>26855</t>
  </si>
  <si>
    <t>26865</t>
  </si>
  <si>
    <t>26866</t>
  </si>
  <si>
    <t>26884</t>
  </si>
  <si>
    <t>26886</t>
  </si>
  <si>
    <t>average</t>
  </si>
  <si>
    <t>income_tier</t>
  </si>
  <si>
    <t>Column</t>
  </si>
  <si>
    <t>Description</t>
  </si>
  <si>
    <t>Data Type</t>
  </si>
  <si>
    <t>number</t>
  </si>
  <si>
    <t>unique number for each individual store</t>
  </si>
  <si>
    <t>zip code store is located in</t>
  </si>
  <si>
    <t>state store is located in</t>
  </si>
  <si>
    <t>total_sales_X</t>
  </si>
  <si>
    <t>number representing the date in yyyymm format</t>
  </si>
  <si>
    <t>dollars</t>
  </si>
  <si>
    <t>soda_ppu_X</t>
  </si>
  <si>
    <t>soda_units_sold</t>
  </si>
  <si>
    <t>the number of soda units sold in that year_month for store_id "X"</t>
  </si>
  <si>
    <t>the price per unit of soda in that year_month for store_id  "X"</t>
  </si>
  <si>
    <t>soda_sales</t>
  </si>
  <si>
    <t xml:space="preserve">the dollar value of all sales (soda + all other sales) in that year_month for store_id "X" </t>
  </si>
  <si>
    <t>the dollar value of the soda sold in that year_month for store_id "X"</t>
  </si>
  <si>
    <t>stores Table</t>
  </si>
  <si>
    <t>total_sales; soda_ppu; soda_units_sold; soda_sales</t>
  </si>
  <si>
    <t>zip_med_income</t>
  </si>
  <si>
    <t>year</t>
  </si>
  <si>
    <t>…</t>
  </si>
  <si>
    <t>string</t>
  </si>
  <si>
    <t>median income for zip code 20001</t>
  </si>
  <si>
    <t>label to denote year median income is measured in</t>
  </si>
  <si>
    <t>median income for zip code 20002</t>
  </si>
  <si>
    <t>Count Check</t>
  </si>
  <si>
    <t>High</t>
  </si>
  <si>
    <t>Med</t>
  </si>
  <si>
    <t>Low</t>
  </si>
  <si>
    <t>No Data</t>
  </si>
  <si>
    <t>Total</t>
  </si>
  <si>
    <t>Total Col</t>
  </si>
  <si>
    <t>total_sales</t>
  </si>
  <si>
    <t>soda_ppu</t>
  </si>
  <si>
    <t>Row Labels</t>
  </si>
  <si>
    <t>Grand Total</t>
  </si>
  <si>
    <t>Sum of soda_sales</t>
  </si>
  <si>
    <t>Sum of total_sales</t>
  </si>
  <si>
    <t>Purpose</t>
  </si>
  <si>
    <t>Note</t>
  </si>
  <si>
    <t>check_soda_ppu</t>
  </si>
  <si>
    <t>implied_soda_ppu</t>
  </si>
  <si>
    <t>soda_sales_share</t>
  </si>
  <si>
    <t>ln_soda_units</t>
  </si>
  <si>
    <t>ln_soda_sales</t>
  </si>
  <si>
    <t>is_VA</t>
  </si>
  <si>
    <t>ln_soda_ppu</t>
  </si>
  <si>
    <t>Extend the scenario to include administrative costs, compliance costs, revenue usage, household tax burden, and broader distributional effects.</t>
  </si>
  <si>
    <t>Full fiscal impact model</t>
  </si>
  <si>
    <t>Substitution and behavior</t>
  </si>
  <si>
    <t>Clarify if the unit of analysis represents bottles, cases, ounces, or another measurement. We can test whether excise (volume-based) tax estimates differ from price-based.</t>
  </si>
  <si>
    <t>Product and unit definition</t>
  </si>
  <si>
    <t>Pass-through</t>
  </si>
  <si>
    <t>Map ZIP/ZCTA-level patterns and test whether results vary by border areas, urban/rural location, or nearby taxed jurisdictions.</t>
  </si>
  <si>
    <t>Geographic detail</t>
  </si>
  <si>
    <t>Estimate alternative models with store fixed effects, month/year controls, and income-tier interactions to test whether elasticity estimates are stable.</t>
  </si>
  <si>
    <t>Model specification tests</t>
  </si>
  <si>
    <t>Further Analysis</t>
  </si>
  <si>
    <t>Estimate results could differ under alternative scaling methods, different pass-through rates, or store-weighting methods. ZIP/ZCTA-level income tiers represent store information and may not necessarily be capturing household-level tax burden in that area, as people may shop in different zip codes than their home. Elasticity estimates are also based on observed price and quantity patterns, not accounting for random price variation, so it may not reflect product mix, seasonality, store differences, or other omitted factors. This model also does not account for substitution, cross-border shopping, health outcomes, or long-run behaviors.</t>
  </si>
  <si>
    <t>These estimates should be interpreted as an illustrative fiscal scenario, not as a full causal evaluation of soda tax policy. Under the stated assumptions, the proposed 5% Virginia soda tax is projected to raise revenue while reducing estimated soda units sold. The taxable base remains large enough to generate positive revenue after behavioral adjustment, and the income-tier results suggests that price responsiveness differs across store-area income groups. Actual distributional effects would depend on who bears the tax burden and how the revenue is used thereafter.</t>
  </si>
  <si>
    <t>Step</t>
  </si>
  <si>
    <t>Notes</t>
  </si>
  <si>
    <t>Finding 4</t>
  </si>
  <si>
    <t>Finding 3</t>
  </si>
  <si>
    <t>Finding 2</t>
  </si>
  <si>
    <t>Finding 1</t>
  </si>
  <si>
    <t>Medium</t>
  </si>
  <si>
    <t>Elasticity</t>
  </si>
  <si>
    <t>Income Tier</t>
  </si>
  <si>
    <t>Store count</t>
  </si>
  <si>
    <t>Estimated 2025 soda tax revenue</t>
  </si>
  <si>
    <t>Assumption</t>
  </si>
  <si>
    <t>A constant elasticity log-log specification was used:</t>
  </si>
  <si>
    <t>Interpretation</t>
  </si>
  <si>
    <t>Estimate</t>
  </si>
  <si>
    <t>Measure</t>
  </si>
  <si>
    <t>Prepared by: Wataru Hoeltermann</t>
  </si>
  <si>
    <t>Illustrative Summary Report</t>
  </si>
  <si>
    <t>Proposed 5.0% Statewide Soda Tax Beginning January 2025</t>
  </si>
  <si>
    <t>Virginia Soda Tax Revenue Estimate</t>
  </si>
  <si>
    <t>Summary Statistics</t>
  </si>
  <si>
    <t>obs: 3600</t>
  </si>
  <si>
    <t>Variable</t>
  </si>
  <si>
    <t>Mean</t>
  </si>
  <si>
    <t>Std.Dev.</t>
  </si>
  <si>
    <t>Min</t>
  </si>
  <si>
    <t>Median</t>
  </si>
  <si>
    <t>Max</t>
  </si>
  <si>
    <t>*Observation count is 3,600 store-month observations with 100 stores x 36 months.</t>
  </si>
  <si>
    <t>Scope</t>
  </si>
  <si>
    <t>Store-Month Obs.</t>
  </si>
  <si>
    <t>Distinct Stores</t>
  </si>
  <si>
    <t>Avg Soda PPU</t>
  </si>
  <si>
    <t>Avg Monthly Soda Units</t>
  </si>
  <si>
    <t>Avg Soda Sales</t>
  </si>
  <si>
    <t>Avg Soda Sales Share</t>
  </si>
  <si>
    <t>All</t>
  </si>
  <si>
    <t>Income tier observations</t>
  </si>
  <si>
    <t>State coverage (distinct stores)</t>
  </si>
  <si>
    <t>Done?</t>
  </si>
  <si>
    <t>☐</t>
  </si>
  <si>
    <t>Visual exploration</t>
  </si>
  <si>
    <t>Elasticity method</t>
  </si>
  <si>
    <t>Assumptions</t>
  </si>
  <si>
    <t>Limitations</t>
  </si>
  <si>
    <t>Final takeaway</t>
  </si>
  <si>
    <t>Section</t>
  </si>
  <si>
    <t>Data completion</t>
  </si>
  <si>
    <t>Opening</t>
  </si>
  <si>
    <t>Exploration</t>
  </si>
  <si>
    <t>A constant elasticity log-log model was used because the policy change is percentage-based and the assignment asks for price elasticity by income tier. The log-log specification allows the price coefficient to be interpreted directly as elasticity. This is treated as a transparent workbook-based estimate, not a full causal demand model.</t>
  </si>
  <si>
    <t>I chose log-log because it aligns the estimation method with the policy scenario: a 5% ad valorem tax creates a percentage price change, and elasticity is a percentage quantity response. More complex models could be tested, but this specification is transparent and appropriate for a short Excel-based assignment.</t>
  </si>
  <si>
    <t>Income tier</t>
  </si>
  <si>
    <t>Obs. count</t>
  </si>
  <si>
    <t>Avg soda PPU</t>
  </si>
  <si>
    <t>Avg monthly units</t>
  </si>
  <si>
    <t>R-squared</t>
  </si>
  <si>
    <t>Method</t>
  </si>
  <si>
    <t>Formula / explanation</t>
  </si>
  <si>
    <t>Model</t>
  </si>
  <si>
    <t>ln(soda_units_sold) = a + b ln(soda_ppu)</t>
  </si>
  <si>
    <t>The coefficient b is interpreted as price elasticity of demand</t>
  </si>
  <si>
    <t>Sample</t>
  </si>
  <si>
    <t>Estimated separately for High, Medium, and Low income ZIP/ZCTA store-month observations</t>
  </si>
  <si>
    <t>Excluded rows</t>
  </si>
  <si>
    <t>No Data income tier, zero/negative soda units, zero/negative soda price</t>
  </si>
  <si>
    <t>Reason for log-log model</t>
  </si>
  <si>
    <t>The proposed tax is a 5% price increase, and elasticity is a percent quantity response to a percent price change</t>
  </si>
  <si>
    <t>Expected sign</t>
  </si>
  <si>
    <t>Estimated sign</t>
  </si>
  <si>
    <t>Possible explanation</t>
  </si>
  <si>
    <t>How interpreted</t>
  </si>
  <si>
    <t>Negative</t>
  </si>
  <si>
    <t>Positive</t>
  </si>
  <si>
    <t>Higher prices may be correlated with store size, premium product mix, stronger local demand, or timing effects</t>
  </si>
  <si>
    <t>Retained for transparency, but treated cautiously</t>
  </si>
  <si>
    <t>Matches basic demand expectation</t>
  </si>
  <si>
    <t>Used directly in tax scenario</t>
  </si>
  <si>
    <t>The Medium and Low estimates follow the expected downward-sloping demand pattern. The High-income estimate is positive, so I retain it for transparency but treat it as a model anomaly rather than evidence of upward-sloping demand.</t>
  </si>
  <si>
    <t>zip_med_inc_avg</t>
  </si>
  <si>
    <t>Full sample, Constant elasticity (log-log) model for main method.</t>
  </si>
  <si>
    <t>Full Sample</t>
  </si>
  <si>
    <t>VA only</t>
  </si>
  <si>
    <t>zip_inc_tier</t>
  </si>
  <si>
    <t>*Full Sample includes elasticity from zip codes with no median income data available.</t>
  </si>
  <si>
    <t>Very little sensitivity check, but very low r-squared suggests that price alone explains little of the variation in Virginia's soda units with respect to price.</t>
  </si>
  <si>
    <t>Existing 2% tax every year</t>
  </si>
  <si>
    <t>1% tax starting in  January 2023 and increased it to 2% in January of 2024</t>
  </si>
  <si>
    <t>5% tax starting July 2023</t>
  </si>
  <si>
    <t>Neighboring State</t>
  </si>
  <si>
    <t>The only other High-income anomaly is in WV</t>
  </si>
  <si>
    <t>No sample observations in this income tier for this state.</t>
  </si>
  <si>
    <t>The positive elasticity should be treated as a data anomaly and not interpreted that higher prices increase soda demand.</t>
  </si>
  <si>
    <t>Assuming 100% pass through, a 1% increase in soda price is associated with an estimated 0.78% decrease in soda units sold.</t>
  </si>
  <si>
    <t>Assuming 100% pass through, a 1% increase in soda price is associated with an estimated 0.71% decrease in soda units sold.</t>
  </si>
  <si>
    <t>Assuming 100% pass through, a 1% increase in soda price is associated with an estimated 0.93% decrease in soda units sold.</t>
  </si>
  <si>
    <t>Assuming 100% pass through, a 1% increase in soda price is associated with an estimated 1.94% decrease in soda units sold.</t>
  </si>
  <si>
    <t>Assuming 100% pass through, a 1% increase in soda price is associated with an estimated 1.02% decrease in soda units sold.</t>
  </si>
  <si>
    <t>Subsamples:</t>
  </si>
  <si>
    <t>2022 Avg PPU</t>
  </si>
  <si>
    <t>2022 Avg Units</t>
  </si>
  <si>
    <t>2024 Avg PPU</t>
  </si>
  <si>
    <t>2024 Avg Units</t>
  </si>
  <si>
    <t>Midpoint Elasticity</t>
  </si>
  <si>
    <t>Midpoint estimate suggests relatively inelastic demand; average units declined by less than the proportional increase in price.</t>
  </si>
  <si>
    <t>Midpoint elasticity was included as sensitivity check against the main constant elasticity. This midpoint estimate only compares average 2022 and 2024 price and quantity levels as such:</t>
  </si>
  <si>
    <t>Midpoint elasticity = % change in average units / % change in average price</t>
  </si>
  <si>
    <t>Similar signs across both methods support the direction of the demand response, with the log-log estimate remaining as the primary elasticity estimate.</t>
  </si>
  <si>
    <t xml:space="preserve">This worksheet estimates the 2025 Virginia soda tax revenue and expected change in soda consumption under the proposed 5% ad valorem tax. This estimate uses 2024 Virginia soda sales and units as the baseline, scaling the Virginia sample of 33 to 1,000 stores as per the assignment. This will apply the full-sample income-tier constant elasticity estimates from the elasticity worksheet. Pass-through scenarios show how results change if 50%, 75%, or 100% of the tax is reflected in consumer prices. </t>
  </si>
  <si>
    <t>Tax Rate</t>
  </si>
  <si>
    <t>Consumer Price Increase</t>
  </si>
  <si>
    <t>VA Sample Store Count</t>
  </si>
  <si>
    <t>Scale Factor</t>
  </si>
  <si>
    <t>Elasticity Used</t>
  </si>
  <si>
    <t>Unit Change</t>
  </si>
  <si>
    <t>Estimated Tax Revenue</t>
  </si>
  <si>
    <t xml:space="preserve"> </t>
  </si>
  <si>
    <t>2024</t>
  </si>
  <si>
    <t>Scaled Units</t>
  </si>
  <si>
    <t>Scaled Soda Sales</t>
  </si>
  <si>
    <t>Post-Tax Units</t>
  </si>
  <si>
    <t>Sales after Demand Shift</t>
  </si>
  <si>
    <t>Est. Tax Revenue</t>
  </si>
  <si>
    <t>100% Pass-Through Scenario</t>
  </si>
  <si>
    <t>1000 / 33 = 30.30</t>
  </si>
  <si>
    <t>Pass-through sensitivity summary</t>
  </si>
  <si>
    <t>% Unit Change</t>
  </si>
  <si>
    <t>2024 Soda Units</t>
  </si>
  <si>
    <t>2024 Soda Sales</t>
  </si>
  <si>
    <t>2022</t>
  </si>
  <si>
    <t>2023</t>
  </si>
  <si>
    <t xml:space="preserve">Income </t>
  </si>
  <si>
    <t>Store Count</t>
  </si>
  <si>
    <t>Soda Units</t>
  </si>
  <si>
    <t>Soda Sales</t>
  </si>
  <si>
    <t>Maryland Raw Soda Sales by Income Tier and Year</t>
  </si>
  <si>
    <t>North Carolina Raw Soda Sales by Income Tier and Year</t>
  </si>
  <si>
    <t>Maryland Tax-Step Diagnostics: 0% to 1%; 1% to 2%</t>
  </si>
  <si>
    <t>North Carolina Tax Diagnostics: 0% to 5%</t>
  </si>
  <si>
    <t>State</t>
  </si>
  <si>
    <t>Policy Step</t>
  </si>
  <si>
    <t>Tax Rate Change</t>
  </si>
  <si>
    <t>Pre Avg PPU</t>
  </si>
  <si>
    <t>Post Avg PPU</t>
  </si>
  <si>
    <t>Actual % Price Change</t>
  </si>
  <si>
    <t>Predicted % Unit Change</t>
  </si>
  <si>
    <t>2022 to 2023</t>
  </si>
  <si>
    <t>2023 to 2024</t>
  </si>
  <si>
    <t>1% to 2%</t>
  </si>
  <si>
    <t>0% to 1%</t>
  </si>
  <si>
    <t>Actual % Unit Change</t>
  </si>
  <si>
    <t>Elasticity Sample Period</t>
  </si>
  <si>
    <t>2022, 2023</t>
  </si>
  <si>
    <t>Pre Soda Units</t>
  </si>
  <si>
    <t>Post Soda Units</t>
  </si>
  <si>
    <t>0% to 5%</t>
  </si>
  <si>
    <t>2022 to 2024</t>
  </si>
  <si>
    <t>Note: 2023 is excluded as it is a mixed tax year.</t>
  </si>
  <si>
    <t>Control State: Georgia</t>
  </si>
  <si>
    <t>Control Usage</t>
  </si>
  <si>
    <t>MD Step 1 control</t>
  </si>
  <si>
    <t>MD Step 2 control</t>
  </si>
  <si>
    <t>NC control</t>
  </si>
  <si>
    <t>Prediction Gap</t>
  </si>
  <si>
    <t>Georgia Raw Soda Sales by Income Tier and Year</t>
  </si>
  <si>
    <t>substantially higher actual % price change compared to tax increase</t>
  </si>
  <si>
    <t>Residual Unit Gap</t>
  </si>
  <si>
    <t>Adjusted Gap vs GA</t>
  </si>
  <si>
    <t>MD and NC diagnostics showed positive prediction gaps, showing that soda declined less than the elasticity-price model predicted.</t>
  </si>
  <si>
    <t>Est. % Change of Units (log-log proiection)</t>
  </si>
  <si>
    <t>Using VA-only High income tier elasticity produced an elastic (0.51) estimate, but this was only flagged as anomalous and not used for estimations.</t>
  </si>
  <si>
    <t>Only one VA Low income store was observed, so the upscaled estimate should be treated with caution.</t>
  </si>
  <si>
    <t>Notes: Estimated demand response is based on elasticity and the assumed price increase. Tier-level estimates should be treated with caution as sample sizes differ, with the total row being our preferred estimates for revenue and demand effects.</t>
  </si>
  <si>
    <t>1. Bottom-Line Estimates</t>
  </si>
  <si>
    <t>4. Key Assumptions</t>
  </si>
  <si>
    <t>5. Method in Brief</t>
  </si>
  <si>
    <t>6. Interpretations and Limitations</t>
  </si>
  <si>
    <t>7. Further Analysis</t>
  </si>
  <si>
    <t>3. Key Findings</t>
  </si>
  <si>
    <t>2. Price Elasticity of Soda Demand by Income Tier</t>
  </si>
  <si>
    <t>Notes: Consistent trend of lower pass-through produces higher estimated tax revenue, as the smaller consumer price increase leads to a smaller reduction in quantity demanded and thus a larger taxable sales base.</t>
  </si>
  <si>
    <r>
      <t>Note: The</t>
    </r>
    <r>
      <rPr>
        <b/>
        <sz val="11"/>
        <color theme="1"/>
        <rFont val="Aptos Narrow"/>
        <family val="2"/>
        <scheme val="minor"/>
      </rPr>
      <t xml:space="preserve"> low percentage point changes </t>
    </r>
    <r>
      <rPr>
        <sz val="11"/>
        <color theme="1"/>
        <rFont val="Aptos Narrow"/>
        <family val="2"/>
        <scheme val="minor"/>
      </rPr>
      <t>between MD/NC and the control with no tax policies of GA suggests that a simple price-elasticity prediction is picking up broader patterns, and is not clean from a tax-specific effect.</t>
    </r>
  </si>
  <si>
    <t>1) Full tax pass-through</t>
  </si>
  <si>
    <t>Estimated price elasticities are negative across income tiers, supporting the use of separate High, Medium, and Low income-tier demand responses.</t>
  </si>
  <si>
    <r>
      <rPr>
        <b/>
        <sz val="11"/>
        <color theme="1"/>
        <rFont val="Arial"/>
        <family val="2"/>
      </rPr>
      <t>Medium-income</t>
    </r>
    <r>
      <rPr>
        <sz val="11"/>
        <color theme="1"/>
        <rFont val="Arial"/>
        <family val="2"/>
      </rPr>
      <t xml:space="preserve"> ZIP stores drive the largest share of revenue and unit reduction because they account for most Virginia soda sales in the sample</t>
    </r>
  </si>
  <si>
    <r>
      <t xml:space="preserve">Full-sample elasticity estimates were negative across all income tiers, with Low-income ZIP/ZCTA stores showing the strongest price response. In the state-level diagnostic results, </t>
    </r>
    <r>
      <rPr>
        <b/>
        <sz val="11"/>
        <color theme="1"/>
        <rFont val="Arial"/>
        <family val="2"/>
      </rPr>
      <t>High-income stores</t>
    </r>
    <r>
      <rPr>
        <sz val="11"/>
        <color theme="1"/>
        <rFont val="Arial"/>
        <family val="2"/>
      </rPr>
      <t xml:space="preserve"> in Virginia and West Virginia showed </t>
    </r>
    <r>
      <rPr>
        <b/>
        <sz val="11"/>
        <color theme="1"/>
        <rFont val="Arial"/>
        <family val="2"/>
      </rPr>
      <t>positive elasticities</t>
    </r>
    <r>
      <rPr>
        <sz val="11"/>
        <color theme="1"/>
        <rFont val="Arial"/>
        <family val="2"/>
      </rPr>
      <t xml:space="preserve"> of 0.51 and 0.69, respectively. Because positive elasticities are inconsistent with the expected downward-sloping demand relationship and appeared only in narrower state-tier cuts, these results were treated as anomalies and flagged for caution rather than used in the main revenue estimate.</t>
    </r>
  </si>
  <si>
    <t>Estimated decline in annual soda units sold relative to the no-tax baseline.</t>
  </si>
  <si>
    <t>Estimated soda consumption after tax response</t>
  </si>
  <si>
    <t>Estimated reduction in consumption</t>
  </si>
  <si>
    <t>No-tax baseline soda consumption</t>
  </si>
  <si>
    <t>2024 scaled soda units sold, used as the baseline for 2025 tax scenario</t>
  </si>
  <si>
    <t>Estimated units sold after applying demand response to the baseline</t>
  </si>
  <si>
    <t>Projected 2025 full-year revenue from a 5% Virginia soda tax, after accounting for the estimated demand response.</t>
  </si>
  <si>
    <t>High, Medium, and Low ZIP/ZCTA price elasticities are applied separately, then summed for the statewide estimate</t>
  </si>
  <si>
    <t>Scenario date:       January 1, 2025</t>
  </si>
  <si>
    <t>Assumes 100% of the tax is reflected in consumer soda prices, increasing consumer soda prices by 5%.</t>
  </si>
  <si>
    <t>The 33 Virginia sample stores are treated as representative of 1,000 statewide stores.</t>
  </si>
  <si>
    <t>2) Representative scaling</t>
  </si>
  <si>
    <t>2. Build analytical dataset</t>
  </si>
  <si>
    <t>1. Complete data inputs</t>
  </si>
  <si>
    <t>3. Explore patterns and anomalies</t>
  </si>
  <si>
    <t>4. Estimate demand response</t>
  </si>
  <si>
    <t>5. Estimate Virginia tax impact</t>
  </si>
  <si>
    <t>Used Power Query to reshape the supplied wide monthly sales sheets into a store-month fact table, then linked each record to store, date, state, ZIP/ZCTA income, and income-tier fields for pivoting and slicing.</t>
  </si>
  <si>
    <t>Reviewed sales, soda units, soda prices, geography, income tiers, and time patterns using PivotTables and charts. I expected higher prices to reduce quantity demanded, but also checked for unstable estimates caused by small store counts or state-tier anomalies.</t>
  </si>
  <si>
    <t>Estimated full-sample soda price elasticity by income tier using a log-log demand specification relating soda units sold to soda price per unit. These elasticity estimates were used as the behavioral response inputs for the tax scenario.</t>
  </si>
  <si>
    <t>Used 2024 Virginia soda units and sales as the no-tax baseline, scaled the 33 Virginia sample stores to the assignment assumption of 1,000 stores, applied the proposed 5.0% tax under full pass-through, and calculated post-response tax revenue and the change in soda consumption.</t>
  </si>
  <si>
    <r>
      <t xml:space="preserve">Under stated assumptions, the proposed 5% Virginia soda tax is estimated to generate approximately </t>
    </r>
    <r>
      <rPr>
        <b/>
        <sz val="11"/>
        <color theme="1"/>
        <rFont val="Arial"/>
        <family val="2"/>
      </rPr>
      <t>$84.0 million</t>
    </r>
    <r>
      <rPr>
        <sz val="11"/>
        <color theme="1"/>
        <rFont val="Arial"/>
        <family val="2"/>
      </rPr>
      <t xml:space="preserve"> in </t>
    </r>
    <r>
      <rPr>
        <b/>
        <sz val="11"/>
        <color theme="1"/>
        <rFont val="Arial"/>
        <family val="2"/>
      </rPr>
      <t>2025 revenue.</t>
    </r>
  </si>
  <si>
    <r>
      <t xml:space="preserve">Estimated 2025 soda consumption falls by about </t>
    </r>
    <r>
      <rPr>
        <b/>
        <sz val="11"/>
        <color theme="1"/>
        <rFont val="Arial"/>
        <family val="2"/>
      </rPr>
      <t>98.8 million units</t>
    </r>
    <r>
      <rPr>
        <sz val="11"/>
        <color theme="1"/>
        <rFont val="Arial"/>
        <family val="2"/>
      </rPr>
      <t xml:space="preserve">, or roughly by </t>
    </r>
    <r>
      <rPr>
        <b/>
        <sz val="11"/>
        <color theme="1"/>
        <rFont val="Arial"/>
        <family val="2"/>
      </rPr>
      <t>4.24%</t>
    </r>
    <r>
      <rPr>
        <sz val="11"/>
        <color theme="1"/>
        <rFont val="Arial"/>
        <family val="2"/>
      </rPr>
      <t>, relative to the no-tax baseline.</t>
    </r>
  </si>
  <si>
    <t>3) Income-tier price elasticities</t>
  </si>
  <si>
    <t>4) Price-driven demand response</t>
  </si>
  <si>
    <t>Revenue is calculated from soda sales after the estimated unit reduction as an expected response to a price increase.</t>
  </si>
  <si>
    <t>Examine substitution with other beverages, cross-state shopping, seasonality impacts, long-run behavioral adjustments, and store-level heterogeneity.</t>
  </si>
  <si>
    <t>Takeaways:</t>
  </si>
  <si>
    <t>Soda units sold show clear seasonality, with a rise in sales during summer and dip during winter.</t>
  </si>
  <si>
    <t>Price per soda is mostly stable, with notable tax-period change to NC due to a large 5% soda tax.</t>
  </si>
  <si>
    <t>MD and DC both have a much less demonstrated change, albeit a lower soda tax, they end around the same price per unit as non-taxed states such as VA and WV.</t>
  </si>
  <si>
    <t>Graphs are illustrated from sample set given.</t>
  </si>
  <si>
    <t>Each state follows a very similar timing, with Georgia consuming approximately 40k more than other states during summertime.</t>
  </si>
  <si>
    <t>North Carolina's tax effect is very apparent, with a visible dip in consumption after the tax policy on July, 2023.</t>
  </si>
  <si>
    <t>Low-income ZIP/ZCTA stores show the strongest estimated price response, while High and Medium tiers are less responsive.</t>
  </si>
  <si>
    <t>Sum of soda_sales2</t>
  </si>
  <si>
    <t>Stores in Low-income neighborhoods has the strongest estimated price response, while in High- and Medium-income neighborhoods are less responsive.</t>
  </si>
  <si>
    <t>Pulled 2024 ACS 5-year median household income data from the Census API using table "B19013" at ZIP-level. Combined 2022–2024 income data to calculate three-year average income and classify each ZIP/ZCTA into the appropriate income tier.</t>
  </si>
  <si>
    <t>Tier-summed</t>
  </si>
  <si>
    <t>Main VA Estimate: 100% Pass-Through Scenario</t>
  </si>
  <si>
    <t>Scaled (33 to 1000 stores) 2024 Soda Sales</t>
  </si>
  <si>
    <t>Estimated Unit Change</t>
  </si>
  <si>
    <t>Estimated Units After Demand Shift</t>
  </si>
  <si>
    <t>Sensitivity results are illustrative and depend on the assumed pass-through rates.</t>
  </si>
  <si>
    <t>gt</t>
  </si>
  <si>
    <t>Low ( less than 40k )</t>
  </si>
  <si>
    <t>High ( 100k and above )</t>
  </si>
  <si>
    <t>Medium ( 40k to 100k )</t>
  </si>
  <si>
    <t>Presentation checklist</t>
  </si>
  <si>
    <t>Cover this</t>
  </si>
  <si>
    <t>What to say briefly</t>
  </si>
  <si>
    <t>Opening policy question</t>
  </si>
  <si>
    <t>“I treated this as a Virginia revenue-estimation exercise, not just a spreadsheet-cleaning task.”</t>
  </si>
  <si>
    <t>Census ACS 5-year B19013 filled the 2024 income row, then 2022–2024 averages classified ZIP/ZCTA tiers.</t>
  </si>
  <si>
    <t>Missing data</t>
  </si>
  <si>
    <t>Blanks/zeros were ignored so one missing year would not incorrectly lower the average.</t>
  </si>
  <si>
    <t>Relational model</t>
  </si>
  <si>
    <t>Power Query reshaped wide store-month sheets into one analytical fact table connected to store, date, and ZIP/income fields.</t>
  </si>
  <si>
    <t>Expected relationship</t>
  </si>
  <si>
    <t>I expected higher soda prices to reduce units sold, but wanted to test whether that varied by income tier.</t>
  </si>
  <si>
    <t>Page 2 shows seasonality, state patterns, and visible tax-period price/quantity changes, especially NC after July 2023.</t>
  </si>
  <si>
    <t>Page 3 shows log-log elasticities by income tier: negative across all tiers, strongest response in Low-income stores.</t>
  </si>
  <si>
    <t>Main estimate</t>
  </si>
  <si>
    <t>Page 4 applies those elasticities to Virginia’s 2024 baseline, scaled from 33 VA stores to 1,000.</t>
  </si>
  <si>
    <t>Final numbers</t>
  </si>
  <si>
    <r>
      <t xml:space="preserve">Revenue: about </t>
    </r>
    <r>
      <rPr>
        <b/>
        <sz val="11"/>
        <color theme="1"/>
        <rFont val="Aptos Narrow"/>
        <family val="2"/>
        <scheme val="minor"/>
      </rPr>
      <t>$84.0M</t>
    </r>
    <r>
      <rPr>
        <sz val="11"/>
        <color theme="1"/>
        <rFont val="Aptos Narrow"/>
        <family val="2"/>
        <scheme val="minor"/>
      </rPr>
      <t xml:space="preserve">. Consumption reduction: about </t>
    </r>
    <r>
      <rPr>
        <b/>
        <sz val="11"/>
        <color theme="1"/>
        <rFont val="Aptos Narrow"/>
        <family val="2"/>
        <scheme val="minor"/>
      </rPr>
      <t>98.8M units</t>
    </r>
    <r>
      <rPr>
        <sz val="11"/>
        <color theme="1"/>
        <rFont val="Aptos Narrow"/>
        <family val="2"/>
        <scheme val="minor"/>
      </rPr>
      <t xml:space="preserve">, or </t>
    </r>
    <r>
      <rPr>
        <b/>
        <sz val="11"/>
        <color theme="1"/>
        <rFont val="Aptos Narrow"/>
        <family val="2"/>
        <scheme val="minor"/>
      </rPr>
      <t>4.24%</t>
    </r>
    <r>
      <rPr>
        <sz val="11"/>
        <color theme="1"/>
        <rFont val="Aptos Narrow"/>
        <family val="2"/>
        <scheme val="minor"/>
      </rPr>
      <t>.</t>
    </r>
  </si>
  <si>
    <t>Representative sample, 1,000 VA stores, 100% pass-through, 2024 as baseline, static 2025 scenario.</t>
  </si>
  <si>
    <t>Not full causal proof; possible omitted variables, promotions, product mix, cross-border shopping, and tier sample-size issues.</t>
  </si>
  <si>
    <t>Close</t>
  </si>
  <si>
    <t>“The model is useful for a defensible fiscal estimate, but not the final word on behavioral or health impacts.”</t>
  </si>
  <si>
    <t>10-minute timetable</t>
  </si>
  <si>
    <t>Time</t>
  </si>
  <si>
    <t>What to emphasize</t>
  </si>
  <si>
    <t>0:00–0:45</t>
  </si>
  <si>
    <t>Frame the question: Virginia is considering a 5% soda tax starting Jan. 1, 2025. My goal was to estimate revenue and consumption change.</t>
  </si>
  <si>
    <t>0:45–1:45</t>
  </si>
  <si>
    <t>Explain Census B19013, 2024 income completion, three-year averages, and High/Medium/Low tiers.</t>
  </si>
  <si>
    <t>1:45–2:45</t>
  </si>
  <si>
    <t>Relational build</t>
  </si>
  <si>
    <t>Explain that the raw data were wide, so you reshaped them into a store-month fact table linked to store, date, state, ZIP, and income tier.</t>
  </si>
  <si>
    <t>2:45–4:15</t>
  </si>
  <si>
    <t>Walk through page 2: price trends, soda unit trends, seasonality, and state differences. Mention NC tax effect carefully as a visible pattern, not proof by itself.</t>
  </si>
  <si>
    <t>4:15–5:15</t>
  </si>
  <si>
    <t>Expectations and anomalies</t>
  </si>
  <si>
    <t>State expected negative price-demand relationship. Mention anomalous positive state-tier elasticities were flagged, not used in the main estimate.</t>
  </si>
  <si>
    <t>5:15–6:45</t>
  </si>
  <si>
    <t>Explain the log-log model: coefficient on ln(price) is elasticity, so a 1% price increase predicts b% change in units.</t>
  </si>
  <si>
    <t>6:45–7:45</t>
  </si>
  <si>
    <t>Elasticity results</t>
  </si>
  <si>
    <t>Page 3: High -0.71, Medium -0.93, Low -1.94. Low is most responsive, but Virginia Low has only one sample store, so caution.</t>
  </si>
  <si>
    <t>7:45–9:00</t>
  </si>
  <si>
    <t>Revenue and consumption</t>
  </si>
  <si>
    <t>Page 4: use VA 2024 baseline, scale 33 stores to 1,000, apply 5% price increase and elasticities, then calculate post-response sales and tax revenue.</t>
  </si>
  <si>
    <t>9:00–9:40</t>
  </si>
  <si>
    <t>Sensitivity and limits</t>
  </si>
  <si>
    <t>Mention pass-through sensitivity and why lower pass-through can raise revenue by preserving the taxable base. Then state limits.</t>
  </si>
  <si>
    <t>9:40–10:00</t>
  </si>
  <si>
    <t>“Under these assumptions, I estimate about $84M in revenue and about 98.8M fewer soda units sold in 2025.”</t>
  </si>
  <si>
    <t>My bottom-line conclusion is that, under the assignment assumptions, a 5% Virginia soda tax would likely generate substantial revenue, about $84 million in 2025, while reducing soda consumption by about 98.8 million units. I would treat that as a defensible fiscal estimate, with the main cautions being pass-through, representativeness, omitted demand factors, and the small Low-income Virginia sample.</t>
  </si>
  <si>
    <t>5) Unit of Analysis</t>
  </si>
  <si>
    <t>The dataset’s "soda_units_sold" field is treated as the analysis unit provided in the assignment, not as fluid ounces, servings, or containers of a known size. Therefore, the consumption estimate is reported as a change in dataset units sold, not as a fluid-ounce health or volume estimate.</t>
  </si>
  <si>
    <t>Order</t>
  </si>
  <si>
    <t>PDF Page</t>
  </si>
  <si>
    <t>Look At / Point To</t>
  </si>
  <si>
    <t>Key Fact</t>
  </si>
  <si>
    <t>Say This / Speaker Cue</t>
  </si>
  <si>
    <t>Transition</t>
  </si>
  <si>
    <t>0:00-0:20</t>
  </si>
  <si>
    <t>Page 1</t>
  </si>
  <si>
    <t>Title and scenario date</t>
  </si>
  <si>
    <t>VA 5% soda tax beginning Jan. 1, 2025</t>
  </si>
  <si>
    <t>Start with the bottom line.</t>
  </si>
  <si>
    <t>0:20-0:55</t>
  </si>
  <si>
    <t>Bottom-Line Estimates</t>
  </si>
  <si>
    <t>Bottom-line table</t>
  </si>
  <si>
    <t>Revenue = $83,996,983</t>
  </si>
  <si>
    <t>My main estimate is about $84 million in 2025 revenue after accounting for demand response.</t>
  </si>
  <si>
    <t>Now connect that to consumption.</t>
  </si>
  <si>
    <t>0:55-1:20</t>
  </si>
  <si>
    <t>Consumption rows</t>
  </si>
  <si>
    <t>Baseline units = 2.328B; post-tax units = 2.230B; reduction = 98.8M</t>
  </si>
  <si>
    <t>The tax reduces estimated soda consumption by about 98.8 million units, or about 4.24%.</t>
  </si>
  <si>
    <t>Next, explain how the dataset was built.</t>
  </si>
  <si>
    <t>1:20-1:55</t>
  </si>
  <si>
    <t>Method in Brief Step 1</t>
  </si>
  <si>
    <t>Complete data inputs</t>
  </si>
  <si>
    <t>ACS B19013; 2022-2024 income average</t>
  </si>
  <si>
    <t>I completed the 2024 Census income row, then used 2022 through 2024 to calculate average ZIP income and classify tiers.</t>
  </si>
  <si>
    <t>Mention missing data handling.</t>
  </si>
  <si>
    <t>1:55-2:15</t>
  </si>
  <si>
    <t>Method / Assumptions</t>
  </si>
  <si>
    <t>Income tier logic</t>
  </si>
  <si>
    <t>High &gt;=100k; Medium 40k-100k; Low &lt;40k</t>
  </si>
  <si>
    <t>For missing income values, I ignored blanks and zeros so missing data did not distort the average downward.</t>
  </si>
  <si>
    <t>Now move into the relational model.</t>
  </si>
  <si>
    <t>2:15-2:50</t>
  </si>
  <si>
    <t>Method in Brief Step 2</t>
  </si>
  <si>
    <t>Build analytical dataset</t>
  </si>
  <si>
    <t>Power Query reshaped wide sheets into store-month fact table</t>
  </si>
  <si>
    <t>The sales data started wide, so I reshaped it into a store-month fact table linked to store, date, state, ZIP, and income tier.</t>
  </si>
  <si>
    <t>Now show what the visuals revealed.</t>
  </si>
  <si>
    <t>2:50-3:25</t>
  </si>
  <si>
    <t>Page 2</t>
  </si>
  <si>
    <t>Visual Exploration</t>
  </si>
  <si>
    <t>Monthly average price by state</t>
  </si>
  <si>
    <t>NC 5% tax visible after July 2023</t>
  </si>
  <si>
    <t>The price chart shows North Carolina most clearly after its 5% tax began in July 2023. I treated this as exploratory, not causal proof.</t>
  </si>
  <si>
    <t>Now shift to units and seasonality.</t>
  </si>
  <si>
    <t>3:25-4:00</t>
  </si>
  <si>
    <t>Monthly soda units by state</t>
  </si>
  <si>
    <t>Summer rise, winter dip</t>
  </si>
  <si>
    <t>Soda units show clear seasonality, with higher summer consumption and lower winter consumption. That matters because tax effects can be confused with normal seasonal movement.</t>
  </si>
  <si>
    <t>Point to state seasonality panels.</t>
  </si>
  <si>
    <t>4:00-4:25</t>
  </si>
  <si>
    <t>Seasonality Panels</t>
  </si>
  <si>
    <t>Small state charts</t>
  </si>
  <si>
    <t>Similar seasonal shape across states</t>
  </si>
  <si>
    <t>The state-level seasonality panels show a similar timing pattern across states, even if levels differ.</t>
  </si>
  <si>
    <t>Now explain the demand model.</t>
  </si>
  <si>
    <t>4:25-5:00</t>
  </si>
  <si>
    <t>Page 3</t>
  </si>
  <si>
    <t>Elasticity Method</t>
  </si>
  <si>
    <t>Elasticity formula / bar chart</t>
  </si>
  <si>
    <t>Log-log model</t>
  </si>
  <si>
    <t>I used a log-log demand model, where the coefficient on log price is interpreted as price elasticity of demand.</t>
  </si>
  <si>
    <t>Now interpret each tier.</t>
  </si>
  <si>
    <t>5:00-5:40</t>
  </si>
  <si>
    <t>Elasticity Results</t>
  </si>
  <si>
    <t>Elasticity chart</t>
  </si>
  <si>
    <t>High -0.71; Medium -0.93; Low -1.94</t>
  </si>
  <si>
    <t>The estimated elasticities are negative across all income tiers, which matches the expected downward-sloping demand relationship. Low-income stores show the strongest price response.</t>
  </si>
  <si>
    <t>Now connect elasticity to the VA taxable base.</t>
  </si>
  <si>
    <t>5:40-6:10</t>
  </si>
  <si>
    <t>VA Sales by Income Tier</t>
  </si>
  <si>
    <t>VA soda sales by tier</t>
  </si>
  <si>
    <t>High 30.18%; Medium 67.21%; Low 2.61%</t>
  </si>
  <si>
    <t>Medium-income ZIP stores drive most of the Virginia soda sales base, so they also drive much of the revenue and unit reduction.</t>
  </si>
  <si>
    <t>Now go to the final estimate.</t>
  </si>
  <si>
    <t>6:10-6:55</t>
  </si>
  <si>
    <t>Page 4</t>
  </si>
  <si>
    <t>Main VA Estimate</t>
  </si>
  <si>
    <t>Main estimate table</t>
  </si>
  <si>
    <t>Scaled VA soda sales = $1.754B</t>
  </si>
  <si>
    <t>I used 2024 Virginia soda sales and units as the baseline, then scaled the 33 Virginia sample stores to the assignment assumption of 1,000 stores.</t>
  </si>
  <si>
    <t>Now explain the tax response.</t>
  </si>
  <si>
    <t>6:55-7:35</t>
  </si>
  <si>
    <t>Tier-level estimate rows</t>
  </si>
  <si>
    <t>100% pass-through; 5% consumer price increase</t>
  </si>
  <si>
    <t>I applied the 5% tax as a 5% consumer price increase, then applied the income-tier elasticities separately before summing to the statewide estimate.</t>
  </si>
  <si>
    <t>Now state the final table results.</t>
  </si>
  <si>
    <t>7:35-8:10</t>
  </si>
  <si>
    <t>Total row</t>
  </si>
  <si>
    <t>Post-tax units = 2.229B; unit change = -98.8M; revenue = $84.0M</t>
  </si>
  <si>
    <t>The final estimate is about $84 million in revenue and about 98.8 million fewer soda units sold.</t>
  </si>
  <si>
    <t>Now mention sensitivity.</t>
  </si>
  <si>
    <t>8:10-8:45</t>
  </si>
  <si>
    <t>Pass-Through Sensitivity</t>
  </si>
  <si>
    <t>Sensitivity table</t>
  </si>
  <si>
    <t>100% = $84.0M; 75% = $84.9M; 50% = $85.8M</t>
  </si>
  <si>
    <t>Lower pass-through leads to a smaller consumer price increase, so units fall less and the taxable base stays larger. That is why revenue is slightly higher in those sensitivity cases.</t>
  </si>
  <si>
    <t>Now move to caveats.</t>
  </si>
  <si>
    <t>8:45-9:20</t>
  </si>
  <si>
    <t>Page 5</t>
  </si>
  <si>
    <t>Interpretations and Limitations</t>
  </si>
  <si>
    <t>Not a full causal evaluation</t>
  </si>
  <si>
    <t>I would interpret this as a fiscal scenario, not a full causal evaluation. The model may still reflect promotions, product mix, store differences, or omitted factors.</t>
  </si>
  <si>
    <t>Mention income-tier caution.</t>
  </si>
  <si>
    <t>9:20-9:40</t>
  </si>
  <si>
    <t>Income/store interpretation</t>
  </si>
  <si>
    <t>ZIP tier is store-location based</t>
  </si>
  <si>
    <t>The income tier is tied to store ZIP, not necessarily the shopper’s household income, so I would not over-interpret it as a household burden analysis.</t>
  </si>
  <si>
    <t>Close with further analysis.</t>
  </si>
  <si>
    <t>9:40-9:55</t>
  </si>
  <si>
    <t>Further analysis table</t>
  </si>
  <si>
    <t>Fixed effects, geography, substitution</t>
  </si>
  <si>
    <t>Next steps would include store fixed effects, month controls, border-area checks, substitution behavior, and a fuller fiscal impact model.</t>
  </si>
  <si>
    <t>Final takeaway.</t>
  </si>
  <si>
    <t>9:55-10:10</t>
  </si>
  <si>
    <t>Page 5 / Page 1</t>
  </si>
  <si>
    <t>Final conclusion</t>
  </si>
  <si>
    <t>$84M revenue; 98.8M fewer units</t>
  </si>
  <si>
    <t>Under the assignment assumptions, the 5% Virginia soda tax raises substantial revenue while reducing estimated soda consumption. I would treat the estimate as defensible, with clear caveats.</t>
  </si>
  <si>
    <t>End.</t>
  </si>
  <si>
    <t>I treated this as a policy estimation workflow, not just an Excel task. The question is revenue and consumption under Virginia 5% soda tax.</t>
  </si>
  <si>
    <t>Soda Price Per Unit</t>
  </si>
  <si>
    <t>ln(soda units sold)  = α + β ln(soda price per unit)</t>
  </si>
  <si>
    <t>Where the coefficient β is interpreted as the price elasticity of demand.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</si>
</sst>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6" formatCode="&quot;$&quot;#,##0_);[Red]\(&quot;$&quot;#,##0\)"/>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quot;$&quot;#,##0.00"/>
    <numFmt numFmtId="167" formatCode="0.000"/>
    <numFmt numFmtId="168" formatCode="0.0000"/>
    <numFmt numFmtId="169" formatCode="0.00000"/>
    <numFmt numFmtId="170" formatCode="[$$-409]#,##0;[Red]\-[$$-409]#,##0"/>
    <numFmt numFmtId="171" formatCode="&quot;$&quot;#,##0"/>
    <numFmt numFmtId="172" formatCode="\+0.00\ &quot;pp&quot;;\-0.00\ &quot;pp&quot;;0.00\ &quot;pp&quot;"/>
    <numFmt numFmtId="173" formatCode="&quot;$&quot;#,##0.0,,&quot;M&quot;;\(&quot;$&quot;#,##0.0,,&quot;M&quot;\);&quot;$&quot;0.0,,&quot;M&quot;"/>
    <numFmt numFmtId="174" formatCode="#,##0.0,,&quot;M&quot;;\-#,##0.0,,&quot;M&quot;;0.0,,&quot;M&quot;"/>
    <numFmt numFmtId="175" formatCode="#,##0.0,,&quot;M&quot;;\(#,##0.0,,&quot;M&quot;\);0.0,,&quot;M&quot;"/>
    <numFmt numFmtId="176" formatCode="&quot;$&quot;#,##0.0,,&quot;M&quot;;\(#,##0.0,,&quot;M&quot;\);0.0,,&quot;M&quot;"/>
  </numFmts>
  <fonts count="31"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1"/>
      <name val="Aptos Narrow"/>
      <family val="2"/>
    </font>
    <font>
      <b/>
      <sz val="11"/>
      <color theme="1"/>
      <name val="Aptos Narrow"/>
      <family val="2"/>
    </font>
    <font>
      <sz val="9"/>
      <color theme="1"/>
      <name val="Aptos Narrow"/>
      <family val="2"/>
    </font>
    <font>
      <sz val="11"/>
      <color rgb="FF000000"/>
      <name val="Aptos Narrow"/>
      <family val="2"/>
      <scheme val="minor"/>
    </font>
    <font>
      <i/>
      <sz val="11"/>
      <color theme="1"/>
      <name val="Aptos Narrow"/>
      <family val="2"/>
      <scheme val="minor"/>
    </font>
    <font>
      <sz val="8"/>
      <name val="Aptos Narrow"/>
      <family val="2"/>
      <scheme val="minor"/>
    </font>
    <font>
      <b/>
      <sz val="12"/>
      <color theme="1"/>
      <name val="Aptos Narrow"/>
      <family val="2"/>
      <scheme val="minor"/>
    </font>
    <font>
      <b/>
      <sz val="14"/>
      <color theme="1"/>
      <name val="Aptos Narrow"/>
      <family val="2"/>
      <scheme val="minor"/>
    </font>
    <font>
      <b/>
      <sz val="9"/>
      <color theme="1"/>
      <name val="Aptos Narrow"/>
      <family val="2"/>
      <scheme val="minor"/>
    </font>
    <font>
      <b/>
      <sz val="22"/>
      <color rgb="FF1A4480"/>
      <name val="Arial"/>
      <family val="2"/>
    </font>
    <font>
      <sz val="11"/>
      <color theme="1"/>
      <name val="Arial"/>
      <family val="2"/>
    </font>
    <font>
      <sz val="10"/>
      <color theme="0"/>
      <name val="Arial"/>
      <family val="2"/>
    </font>
    <font>
      <sz val="12"/>
      <color theme="1"/>
      <name val="Arial"/>
      <family val="2"/>
    </font>
    <font>
      <sz val="9"/>
      <color theme="1"/>
      <name val="Arial"/>
      <family val="2"/>
    </font>
    <font>
      <b/>
      <sz val="12"/>
      <color theme="0"/>
      <name val="Arial"/>
      <family val="2"/>
    </font>
    <font>
      <b/>
      <sz val="14"/>
      <color theme="1"/>
      <name val="Arial"/>
      <family val="2"/>
    </font>
    <font>
      <sz val="10"/>
      <color theme="1"/>
      <name val="Arial"/>
      <family val="2"/>
    </font>
    <font>
      <b/>
      <sz val="11"/>
      <color theme="1"/>
      <name val="Arial"/>
      <family val="2"/>
    </font>
    <font>
      <sz val="16"/>
      <color theme="1"/>
      <name val="Arial"/>
      <family val="2"/>
    </font>
    <font>
      <b/>
      <sz val="12"/>
      <color theme="1"/>
      <name val="Arial"/>
      <family val="2"/>
    </font>
    <font>
      <b/>
      <sz val="10"/>
      <color theme="1"/>
      <name val="Arial"/>
      <family val="2"/>
    </font>
    <font>
      <b/>
      <sz val="16"/>
      <color rgb="FF1A4480"/>
      <name val="Aptos Narrow"/>
      <family val="2"/>
      <scheme val="minor"/>
    </font>
    <font>
      <sz val="9"/>
      <color theme="1"/>
      <name val="Aptos Narrow"/>
      <family val="2"/>
      <scheme val="minor"/>
    </font>
    <font>
      <sz val="10"/>
      <color theme="1"/>
      <name val="Aptos Narrow"/>
      <family val="2"/>
      <scheme val="minor"/>
    </font>
    <font>
      <b/>
      <sz val="13.5"/>
      <color theme="1"/>
      <name val="Aptos Narrow"/>
      <family val="2"/>
      <scheme val="minor"/>
    </font>
    <font>
      <sz val="9"/>
      <color indexed="81"/>
      <name val="Tahoma"/>
      <family val="2"/>
    </font>
    <font>
      <b/>
      <sz val="9"/>
      <color indexed="81"/>
      <name val="Tahoma"/>
      <family val="2"/>
    </font>
  </fonts>
  <fills count="10">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9" tint="0.79998168889431442"/>
        <bgColor theme="9" tint="0.79998168889431442"/>
      </patternFill>
    </fill>
    <fill>
      <patternFill patternType="solid">
        <fgColor theme="2"/>
        <bgColor indexed="64"/>
      </patternFill>
    </fill>
    <fill>
      <patternFill patternType="solid">
        <fgColor theme="0"/>
        <bgColor indexed="64"/>
      </patternFill>
    </fill>
    <fill>
      <patternFill patternType="solid">
        <fgColor theme="5" tint="0.79998168889431442"/>
        <bgColor theme="5" tint="0.79998168889431442"/>
      </patternFill>
    </fill>
    <fill>
      <patternFill patternType="solid">
        <fgColor rgb="FF1A4480"/>
        <bgColor indexed="64"/>
      </patternFill>
    </fill>
    <fill>
      <patternFill patternType="solid">
        <fgColor rgb="FF565C65"/>
        <bgColor indexed="64"/>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right/>
      <top/>
      <bottom style="medium">
        <color indexed="64"/>
      </bottom>
      <diagonal/>
    </border>
    <border>
      <left/>
      <right/>
      <top style="medium">
        <color indexed="64"/>
      </top>
      <bottom/>
      <diagonal/>
    </border>
    <border>
      <left/>
      <right/>
      <top style="medium">
        <color indexed="64"/>
      </top>
      <bottom style="thin">
        <color auto="1"/>
      </bottom>
      <diagonal/>
    </border>
    <border>
      <left/>
      <right/>
      <top/>
      <bottom style="double">
        <color indexed="64"/>
      </bottom>
      <diagonal/>
    </border>
    <border>
      <left/>
      <right style="thin">
        <color indexed="64"/>
      </right>
      <top style="medium">
        <color indexed="64"/>
      </top>
      <bottom/>
      <diagonal/>
    </border>
    <border>
      <left/>
      <right/>
      <top/>
      <bottom style="thin">
        <color theme="9" tint="0.39997558519241921"/>
      </bottom>
      <diagonal/>
    </border>
    <border>
      <left/>
      <right/>
      <top style="medium">
        <color theme="4" tint="-0.249977111117893"/>
      </top>
      <bottom/>
      <diagonal/>
    </border>
    <border>
      <left/>
      <right/>
      <top style="thin">
        <color theme="4" tint="-0.249977111117893"/>
      </top>
      <bottom style="medium">
        <color theme="4" tint="-0.249977111117893"/>
      </bottom>
      <diagonal/>
    </border>
    <border>
      <left style="thin">
        <color indexed="64"/>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cellStyleXfs>
  <cellXfs count="201">
    <xf numFmtId="0" fontId="0" fillId="0" borderId="0" xfId="0"/>
    <xf numFmtId="164" fontId="0" fillId="0" borderId="0" xfId="2" applyNumberFormat="1" applyFont="1"/>
    <xf numFmtId="44" fontId="0" fillId="0" borderId="0" xfId="2" applyFont="1"/>
    <xf numFmtId="165" fontId="0" fillId="0" borderId="0" xfId="1" applyNumberFormat="1" applyFont="1"/>
    <xf numFmtId="6" fontId="0" fillId="0" borderId="0" xfId="0" applyNumberFormat="1"/>
    <xf numFmtId="44" fontId="0" fillId="0" borderId="0" xfId="0" applyNumberFormat="1"/>
    <xf numFmtId="1" fontId="0" fillId="0" borderId="0" xfId="0" applyNumberFormat="1"/>
    <xf numFmtId="165" fontId="0" fillId="0" borderId="0" xfId="0" applyNumberFormat="1"/>
    <xf numFmtId="0" fontId="0" fillId="0" borderId="1" xfId="0" applyBorder="1"/>
    <xf numFmtId="0" fontId="0" fillId="0" borderId="2" xfId="0" applyBorder="1"/>
    <xf numFmtId="0" fontId="0" fillId="0" borderId="3" xfId="0" applyBorder="1"/>
    <xf numFmtId="0" fontId="0" fillId="0" borderId="5" xfId="0" applyBorder="1"/>
    <xf numFmtId="0" fontId="0" fillId="0" borderId="4"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pivotButton="1"/>
    <xf numFmtId="0" fontId="0" fillId="0" borderId="0" xfId="0" applyAlignment="1">
      <alignment horizontal="left"/>
    </xf>
    <xf numFmtId="2" fontId="0" fillId="0" borderId="0" xfId="0" applyNumberFormat="1"/>
    <xf numFmtId="166" fontId="0" fillId="0" borderId="0" xfId="0" applyNumberFormat="1"/>
    <xf numFmtId="0" fontId="0" fillId="0" borderId="0" xfId="0" applyAlignment="1">
      <alignment horizontal="center" vertical="center" wrapText="1"/>
    </xf>
    <xf numFmtId="0" fontId="3" fillId="0" borderId="0" xfId="0" applyFont="1" applyAlignment="1">
      <alignment horizontal="center" vertical="center" wrapText="1"/>
    </xf>
    <xf numFmtId="0" fontId="0" fillId="0" borderId="0" xfId="0" applyAlignment="1">
      <alignment vertical="center" wrapText="1"/>
    </xf>
    <xf numFmtId="0" fontId="3" fillId="0" borderId="0" xfId="0" applyFont="1"/>
    <xf numFmtId="167" fontId="0" fillId="0" borderId="0" xfId="0" applyNumberFormat="1"/>
    <xf numFmtId="168" fontId="0" fillId="0" borderId="0" xfId="0" applyNumberFormat="1"/>
    <xf numFmtId="169" fontId="0" fillId="0" borderId="0" xfId="0" applyNumberFormat="1"/>
    <xf numFmtId="0" fontId="5" fillId="0" borderId="14" xfId="4" applyFont="1" applyBorder="1"/>
    <xf numFmtId="0" fontId="4" fillId="0" borderId="14" xfId="4" applyBorder="1"/>
    <xf numFmtId="0" fontId="4" fillId="0" borderId="14" xfId="4" applyBorder="1" applyAlignment="1">
      <alignment horizontal="right"/>
    </xf>
    <xf numFmtId="0" fontId="4" fillId="0" borderId="0" xfId="4"/>
    <xf numFmtId="0" fontId="5" fillId="5" borderId="16" xfId="4" applyFont="1" applyFill="1" applyBorder="1" applyAlignment="1">
      <alignment horizontal="center"/>
    </xf>
    <xf numFmtId="3" fontId="4" fillId="0" borderId="0" xfId="4" applyNumberFormat="1"/>
    <xf numFmtId="2" fontId="4" fillId="0" borderId="0" xfId="4" applyNumberFormat="1"/>
    <xf numFmtId="166" fontId="4" fillId="0" borderId="0" xfId="4" applyNumberFormat="1"/>
    <xf numFmtId="1" fontId="4" fillId="0" borderId="0" xfId="4" applyNumberFormat="1"/>
    <xf numFmtId="171" fontId="4" fillId="0" borderId="0" xfId="4" applyNumberFormat="1"/>
    <xf numFmtId="10" fontId="4" fillId="0" borderId="0" xfId="4" applyNumberFormat="1"/>
    <xf numFmtId="0" fontId="6" fillId="0" borderId="2" xfId="4" applyFont="1" applyBorder="1"/>
    <xf numFmtId="0" fontId="4" fillId="0" borderId="2" xfId="4" applyBorder="1"/>
    <xf numFmtId="0" fontId="4" fillId="0" borderId="0" xfId="4" applyAlignment="1">
      <alignment horizontal="center"/>
    </xf>
    <xf numFmtId="0" fontId="4" fillId="0" borderId="2" xfId="4" applyBorder="1" applyAlignment="1">
      <alignment horizontal="center"/>
    </xf>
    <xf numFmtId="0" fontId="4" fillId="0" borderId="0" xfId="4" applyAlignment="1">
      <alignment horizontal="right"/>
    </xf>
    <xf numFmtId="0" fontId="5" fillId="0" borderId="14" xfId="4" applyFont="1" applyBorder="1" applyAlignment="1">
      <alignment horizontal="left" vertical="center"/>
    </xf>
    <xf numFmtId="0" fontId="4" fillId="0" borderId="0" xfId="4" applyAlignment="1">
      <alignment horizontal="center" vertical="center"/>
    </xf>
    <xf numFmtId="0" fontId="4" fillId="0" borderId="0" xfId="4" applyAlignment="1">
      <alignment horizontal="left"/>
    </xf>
    <xf numFmtId="0" fontId="0" fillId="0" borderId="0" xfId="0" applyAlignment="1">
      <alignment wrapText="1"/>
    </xf>
    <xf numFmtId="0" fontId="7" fillId="0" borderId="0" xfId="0" applyFont="1"/>
    <xf numFmtId="44" fontId="3" fillId="0" borderId="0" xfId="2" applyFont="1"/>
    <xf numFmtId="0" fontId="3" fillId="0" borderId="17" xfId="0" applyFont="1" applyBorder="1"/>
    <xf numFmtId="2" fontId="3" fillId="0" borderId="0" xfId="0" applyNumberFormat="1" applyFont="1"/>
    <xf numFmtId="0" fontId="3" fillId="0" borderId="14" xfId="0" applyFont="1" applyBorder="1"/>
    <xf numFmtId="44" fontId="0" fillId="0" borderId="7" xfId="2" applyFont="1" applyBorder="1"/>
    <xf numFmtId="165" fontId="0" fillId="0" borderId="7" xfId="1" applyNumberFormat="1" applyFont="1" applyBorder="1"/>
    <xf numFmtId="2" fontId="0" fillId="0" borderId="7" xfId="0" applyNumberFormat="1" applyBorder="1"/>
    <xf numFmtId="167" fontId="0" fillId="0" borderId="7" xfId="0" applyNumberFormat="1" applyBorder="1"/>
    <xf numFmtId="44" fontId="0" fillId="0" borderId="0" xfId="2" applyFont="1" applyBorder="1"/>
    <xf numFmtId="165" fontId="0" fillId="0" borderId="0" xfId="1" applyNumberFormat="1" applyFont="1" applyBorder="1"/>
    <xf numFmtId="44" fontId="3" fillId="0" borderId="14" xfId="2" applyFont="1" applyBorder="1"/>
    <xf numFmtId="1" fontId="3" fillId="0" borderId="14" xfId="0" applyNumberFormat="1" applyFont="1" applyBorder="1"/>
    <xf numFmtId="168" fontId="3" fillId="0" borderId="14" xfId="0" applyNumberFormat="1" applyFont="1" applyBorder="1"/>
    <xf numFmtId="0" fontId="0" fillId="0" borderId="18" xfId="0" applyBorder="1"/>
    <xf numFmtId="0" fontId="8" fillId="0" borderId="0" xfId="0" applyFont="1"/>
    <xf numFmtId="0" fontId="0" fillId="0" borderId="0" xfId="0" applyAlignment="1">
      <alignment horizontal="center"/>
    </xf>
    <xf numFmtId="0" fontId="0" fillId="0" borderId="0" xfId="0" applyAlignment="1">
      <alignment horizontal="left" vertical="top"/>
    </xf>
    <xf numFmtId="10" fontId="0" fillId="0" borderId="0" xfId="0" applyNumberFormat="1"/>
    <xf numFmtId="0" fontId="3" fillId="3" borderId="13" xfId="0" applyFont="1" applyFill="1" applyBorder="1"/>
    <xf numFmtId="9" fontId="0" fillId="0" borderId="0" xfId="0" applyNumberFormat="1" applyAlignment="1">
      <alignment horizontal="left"/>
    </xf>
    <xf numFmtId="0" fontId="0" fillId="0" borderId="0" xfId="0" pivotButton="1" applyAlignment="1">
      <alignment horizontal="center" vertical="center" wrapText="1"/>
    </xf>
    <xf numFmtId="0" fontId="3" fillId="3" borderId="12" xfId="0" applyFont="1" applyFill="1" applyBorder="1" applyAlignment="1">
      <alignment horizontal="center" vertical="center" wrapText="1"/>
    </xf>
    <xf numFmtId="9" fontId="0" fillId="0" borderId="0" xfId="0" applyNumberFormat="1" applyAlignment="1">
      <alignment horizontal="right"/>
    </xf>
    <xf numFmtId="10" fontId="0" fillId="0" borderId="0" xfId="0" applyNumberFormat="1" applyAlignment="1">
      <alignment horizontal="right"/>
    </xf>
    <xf numFmtId="10" fontId="0" fillId="0" borderId="0" xfId="3" applyNumberFormat="1" applyFont="1"/>
    <xf numFmtId="10" fontId="0" fillId="0" borderId="0" xfId="3" applyNumberFormat="1" applyFont="1" applyAlignment="1">
      <alignment horizontal="left"/>
    </xf>
    <xf numFmtId="164" fontId="0" fillId="0" borderId="0" xfId="0" applyNumberFormat="1"/>
    <xf numFmtId="0" fontId="0" fillId="0" borderId="0" xfId="0" applyAlignment="1">
      <alignment vertical="center"/>
    </xf>
    <xf numFmtId="0" fontId="0" fillId="0" borderId="0" xfId="0" applyAlignment="1">
      <alignment horizontal="right"/>
    </xf>
    <xf numFmtId="0" fontId="0" fillId="0" borderId="0" xfId="0" pivotButton="1" applyAlignment="1">
      <alignment horizontal="center"/>
    </xf>
    <xf numFmtId="0" fontId="3" fillId="7" borderId="0" xfId="0" applyFont="1" applyFill="1" applyAlignment="1">
      <alignment horizontal="center" vertical="center" wrapText="1"/>
    </xf>
    <xf numFmtId="0" fontId="3" fillId="3" borderId="0" xfId="0" applyFont="1" applyFill="1" applyAlignment="1">
      <alignment horizontal="center" vertical="center" wrapText="1"/>
    </xf>
    <xf numFmtId="0" fontId="3" fillId="4" borderId="19" xfId="0" applyFont="1" applyFill="1" applyBorder="1" applyAlignment="1">
      <alignment horizontal="center" vertical="center" wrapText="1"/>
    </xf>
    <xf numFmtId="172" fontId="0" fillId="0" borderId="0" xfId="0" applyNumberFormat="1"/>
    <xf numFmtId="0" fontId="10" fillId="0" borderId="0" xfId="0" applyFont="1"/>
    <xf numFmtId="0" fontId="11" fillId="0" borderId="0" xfId="0" applyFont="1"/>
    <xf numFmtId="0" fontId="11" fillId="0" borderId="0" xfId="0" applyFont="1" applyAlignment="1">
      <alignment horizontal="left"/>
    </xf>
    <xf numFmtId="0" fontId="2" fillId="2" borderId="20" xfId="0" applyFont="1" applyFill="1" applyBorder="1" applyAlignment="1">
      <alignment horizontal="center" vertical="center" wrapText="1"/>
    </xf>
    <xf numFmtId="0" fontId="3" fillId="0" borderId="0" xfId="0" applyFont="1" applyAlignment="1">
      <alignment horizontal="left"/>
    </xf>
    <xf numFmtId="165" fontId="3" fillId="0" borderId="0" xfId="1" applyNumberFormat="1" applyFont="1" applyBorder="1"/>
    <xf numFmtId="165" fontId="3" fillId="0" borderId="0" xfId="0" applyNumberFormat="1" applyFont="1"/>
    <xf numFmtId="2" fontId="3" fillId="0" borderId="0" xfId="1" applyNumberFormat="1" applyFont="1" applyBorder="1"/>
    <xf numFmtId="9" fontId="3" fillId="0" borderId="0" xfId="3" applyFont="1" applyBorder="1" applyAlignment="1">
      <alignment horizontal="right"/>
    </xf>
    <xf numFmtId="10" fontId="3" fillId="0" borderId="0" xfId="3" applyNumberFormat="1" applyFont="1" applyBorder="1"/>
    <xf numFmtId="165" fontId="3" fillId="0" borderId="0" xfId="1" applyNumberFormat="1" applyFont="1" applyBorder="1" applyAlignment="1">
      <alignment horizontal="left"/>
    </xf>
    <xf numFmtId="164" fontId="3" fillId="0" borderId="0" xfId="2" applyNumberFormat="1" applyFont="1" applyBorder="1"/>
    <xf numFmtId="164" fontId="3" fillId="0" borderId="0" xfId="0" applyNumberFormat="1" applyFont="1"/>
    <xf numFmtId="0" fontId="0" fillId="0" borderId="0" xfId="0" applyAlignment="1">
      <alignment horizontal="left" vertical="center"/>
    </xf>
    <xf numFmtId="165" fontId="0" fillId="0" borderId="0" xfId="0" applyNumberFormat="1" applyAlignment="1">
      <alignment vertical="center"/>
    </xf>
    <xf numFmtId="164" fontId="0" fillId="0" borderId="0" xfId="0" applyNumberFormat="1" applyAlignment="1">
      <alignment vertical="center"/>
    </xf>
    <xf numFmtId="165" fontId="0" fillId="0" borderId="0" xfId="1" applyNumberFormat="1" applyFont="1" applyAlignment="1">
      <alignment vertical="center"/>
    </xf>
    <xf numFmtId="2" fontId="0" fillId="0" borderId="0" xfId="0" applyNumberFormat="1" applyAlignment="1">
      <alignment vertical="center"/>
    </xf>
    <xf numFmtId="9" fontId="0" fillId="0" borderId="0" xfId="0" applyNumberFormat="1" applyAlignment="1">
      <alignment horizontal="right" vertical="center"/>
    </xf>
    <xf numFmtId="10" fontId="0" fillId="0" borderId="0" xfId="3" applyNumberFormat="1" applyFont="1" applyAlignment="1">
      <alignment vertical="center"/>
    </xf>
    <xf numFmtId="165" fontId="0" fillId="0" borderId="0" xfId="0" applyNumberFormat="1" applyAlignment="1">
      <alignment horizontal="left" vertical="center"/>
    </xf>
    <xf numFmtId="164" fontId="0" fillId="0" borderId="0" xfId="2" applyNumberFormat="1" applyFont="1" applyAlignment="1">
      <alignment vertical="center"/>
    </xf>
    <xf numFmtId="43" fontId="0" fillId="0" borderId="0" xfId="0" applyNumberFormat="1" applyAlignment="1">
      <alignment vertical="center" wrapText="1"/>
    </xf>
    <xf numFmtId="0" fontId="3" fillId="0" borderId="21" xfId="0" applyFont="1" applyBorder="1" applyAlignment="1">
      <alignment horizontal="left" vertical="center"/>
    </xf>
    <xf numFmtId="165" fontId="3" fillId="0" borderId="21" xfId="1" applyNumberFormat="1" applyFont="1" applyBorder="1" applyAlignment="1">
      <alignment vertical="center"/>
    </xf>
    <xf numFmtId="2" fontId="3" fillId="0" borderId="21" xfId="1" applyNumberFormat="1" applyFont="1" applyBorder="1" applyAlignment="1">
      <alignment vertical="center"/>
    </xf>
    <xf numFmtId="9" fontId="3" fillId="0" borderId="21" xfId="3" applyFont="1" applyBorder="1" applyAlignment="1">
      <alignment horizontal="right" vertical="center"/>
    </xf>
    <xf numFmtId="10" fontId="3" fillId="0" borderId="21" xfId="3" applyNumberFormat="1" applyFont="1" applyBorder="1" applyAlignment="1">
      <alignment vertical="center"/>
    </xf>
    <xf numFmtId="164" fontId="3" fillId="0" borderId="21" xfId="2" applyNumberFormat="1" applyFont="1" applyBorder="1" applyAlignment="1">
      <alignment vertical="center"/>
    </xf>
    <xf numFmtId="164" fontId="3" fillId="0" borderId="21" xfId="0" applyNumberFormat="1" applyFont="1" applyBorder="1" applyAlignment="1">
      <alignment vertical="center" wrapText="1"/>
    </xf>
    <xf numFmtId="164" fontId="3" fillId="0" borderId="0" xfId="2" applyNumberFormat="1" applyFont="1"/>
    <xf numFmtId="0" fontId="13" fillId="0" borderId="0" xfId="4" applyFont="1"/>
    <xf numFmtId="0" fontId="14" fillId="0" borderId="0" xfId="0" applyFont="1"/>
    <xf numFmtId="0" fontId="16" fillId="0" borderId="0" xfId="0" applyFont="1"/>
    <xf numFmtId="0" fontId="17" fillId="0" borderId="0" xfId="0" applyFont="1"/>
    <xf numFmtId="0" fontId="18" fillId="8" borderId="0" xfId="4" applyFont="1" applyFill="1"/>
    <xf numFmtId="0" fontId="18" fillId="9" borderId="14" xfId="4" applyFont="1" applyFill="1" applyBorder="1" applyAlignment="1">
      <alignment horizontal="center" vertical="center"/>
    </xf>
    <xf numFmtId="0" fontId="16" fillId="0" borderId="0" xfId="4" applyFont="1" applyAlignment="1">
      <alignment horizontal="left" vertical="top"/>
    </xf>
    <xf numFmtId="170" fontId="19" fillId="0" borderId="0" xfId="4" applyNumberFormat="1" applyFont="1" applyAlignment="1">
      <alignment vertical="top"/>
    </xf>
    <xf numFmtId="3" fontId="16" fillId="0" borderId="0" xfId="4" applyNumberFormat="1" applyFont="1" applyAlignment="1">
      <alignment vertical="top"/>
    </xf>
    <xf numFmtId="0" fontId="16" fillId="0" borderId="0" xfId="4" applyFont="1" applyAlignment="1">
      <alignment horizontal="left" vertical="top" wrapText="1"/>
    </xf>
    <xf numFmtId="0" fontId="16" fillId="0" borderId="0" xfId="4" applyFont="1" applyAlignment="1">
      <alignment vertical="top"/>
    </xf>
    <xf numFmtId="3" fontId="19" fillId="0" borderId="0" xfId="4" applyNumberFormat="1" applyFont="1" applyAlignment="1">
      <alignment vertical="top"/>
    </xf>
    <xf numFmtId="0" fontId="14" fillId="8" borderId="0" xfId="0" applyFont="1" applyFill="1"/>
    <xf numFmtId="0" fontId="20" fillId="8" borderId="0" xfId="4" applyFont="1" applyFill="1"/>
    <xf numFmtId="0" fontId="14" fillId="0" borderId="0" xfId="4" applyFont="1" applyAlignment="1">
      <alignment horizontal="left" vertical="top"/>
    </xf>
    <xf numFmtId="0" fontId="14" fillId="0" borderId="0" xfId="4" applyFont="1"/>
    <xf numFmtId="0" fontId="14" fillId="0" borderId="0" xfId="4" applyFont="1" applyAlignment="1">
      <alignment horizontal="left" vertical="top" wrapText="1"/>
    </xf>
    <xf numFmtId="0" fontId="14" fillId="0" borderId="0" xfId="4" applyFont="1" applyAlignment="1">
      <alignment vertical="top"/>
    </xf>
    <xf numFmtId="0" fontId="18" fillId="9" borderId="14" xfId="4" applyFont="1" applyFill="1" applyBorder="1" applyAlignment="1">
      <alignment horizontal="center"/>
    </xf>
    <xf numFmtId="0" fontId="18" fillId="6" borderId="0" xfId="4" applyFont="1" applyFill="1" applyAlignment="1">
      <alignment horizontal="center"/>
    </xf>
    <xf numFmtId="0" fontId="16" fillId="0" borderId="0" xfId="4" applyFont="1" applyAlignment="1">
      <alignment vertical="center"/>
    </xf>
    <xf numFmtId="2" fontId="22" fillId="0" borderId="0" xfId="4" applyNumberFormat="1" applyFont="1" applyAlignment="1">
      <alignment horizontal="center" vertical="center"/>
    </xf>
    <xf numFmtId="0" fontId="16" fillId="0" borderId="0" xfId="4" applyFont="1"/>
    <xf numFmtId="2" fontId="20" fillId="0" borderId="0" xfId="4" applyNumberFormat="1" applyFont="1" applyAlignment="1">
      <alignment horizontal="center" vertical="center"/>
    </xf>
    <xf numFmtId="0" fontId="20" fillId="0" borderId="0" xfId="4" applyFont="1"/>
    <xf numFmtId="0" fontId="18" fillId="8" borderId="0" xfId="0" applyFont="1" applyFill="1"/>
    <xf numFmtId="0" fontId="10" fillId="0" borderId="14" xfId="0" applyFont="1" applyBorder="1"/>
    <xf numFmtId="0" fontId="10" fillId="0" borderId="14" xfId="0" applyFont="1" applyBorder="1" applyAlignment="1">
      <alignment horizontal="center"/>
    </xf>
    <xf numFmtId="0" fontId="23" fillId="8" borderId="0" xfId="4" applyFont="1" applyFill="1"/>
    <xf numFmtId="0" fontId="14" fillId="0" borderId="0" xfId="4" applyFont="1" applyAlignment="1">
      <alignment vertical="top" wrapText="1"/>
    </xf>
    <xf numFmtId="0" fontId="20" fillId="0" borderId="0" xfId="4" applyFont="1" applyAlignment="1">
      <alignment wrapText="1"/>
    </xf>
    <xf numFmtId="0" fontId="16" fillId="8" borderId="0" xfId="4" applyFont="1" applyFill="1"/>
    <xf numFmtId="0" fontId="14" fillId="9" borderId="14" xfId="0" applyFont="1" applyFill="1" applyBorder="1"/>
    <xf numFmtId="0" fontId="24" fillId="8" borderId="0" xfId="4" applyFont="1" applyFill="1"/>
    <xf numFmtId="0" fontId="16" fillId="8" borderId="0" xfId="0" applyFont="1" applyFill="1"/>
    <xf numFmtId="0" fontId="20" fillId="8" borderId="0" xfId="4" applyFont="1" applyFill="1" applyAlignment="1">
      <alignment horizontal="left" vertical="top" wrapText="1"/>
    </xf>
    <xf numFmtId="0" fontId="18" fillId="9" borderId="14" xfId="4" applyFont="1" applyFill="1" applyBorder="1"/>
    <xf numFmtId="171" fontId="0" fillId="0" borderId="0" xfId="0" applyNumberFormat="1"/>
    <xf numFmtId="2" fontId="22" fillId="0" borderId="0" xfId="4" applyNumberFormat="1" applyFont="1" applyAlignment="1">
      <alignment horizontal="center" vertical="top"/>
    </xf>
    <xf numFmtId="2" fontId="22" fillId="0" borderId="0" xfId="4" applyNumberFormat="1" applyFont="1" applyAlignment="1">
      <alignment horizontal="center"/>
    </xf>
    <xf numFmtId="2" fontId="3" fillId="0" borderId="21" xfId="1" applyNumberFormat="1" applyFont="1" applyBorder="1" applyAlignment="1">
      <alignment horizontal="right" vertical="center"/>
    </xf>
    <xf numFmtId="173" fontId="3" fillId="0" borderId="21" xfId="2" applyNumberFormat="1" applyFont="1" applyBorder="1" applyAlignment="1">
      <alignment vertical="center"/>
    </xf>
    <xf numFmtId="174" fontId="0" fillId="0" borderId="0" xfId="0" applyNumberFormat="1" applyAlignment="1">
      <alignment horizontal="right" vertical="center"/>
    </xf>
    <xf numFmtId="174" fontId="3" fillId="0" borderId="21" xfId="2" applyNumberFormat="1" applyFont="1" applyBorder="1" applyAlignment="1">
      <alignment horizontal="right" vertical="center"/>
    </xf>
    <xf numFmtId="175" fontId="0" fillId="0" borderId="0" xfId="1" applyNumberFormat="1" applyFont="1" applyAlignment="1">
      <alignment vertical="center"/>
    </xf>
    <xf numFmtId="175" fontId="3" fillId="0" borderId="21" xfId="2" applyNumberFormat="1" applyFont="1" applyBorder="1" applyAlignment="1">
      <alignment vertical="center"/>
    </xf>
    <xf numFmtId="173" fontId="0" fillId="0" borderId="0" xfId="2" applyNumberFormat="1" applyFont="1" applyAlignment="1">
      <alignment vertical="center"/>
    </xf>
    <xf numFmtId="175" fontId="0" fillId="0" borderId="0" xfId="0" applyNumberFormat="1"/>
    <xf numFmtId="0" fontId="0" fillId="9" borderId="0" xfId="0" applyFill="1"/>
    <xf numFmtId="0" fontId="25" fillId="0" borderId="0" xfId="0" applyFont="1"/>
    <xf numFmtId="175" fontId="0" fillId="0" borderId="0" xfId="1" applyNumberFormat="1" applyFont="1"/>
    <xf numFmtId="176" fontId="3" fillId="0" borderId="0" xfId="2" applyNumberFormat="1" applyFont="1"/>
    <xf numFmtId="0" fontId="27" fillId="0" borderId="0" xfId="0" applyFont="1"/>
    <xf numFmtId="10" fontId="3" fillId="0" borderId="0" xfId="3" applyNumberFormat="1" applyFont="1"/>
    <xf numFmtId="172" fontId="3" fillId="0" borderId="0" xfId="0" applyNumberFormat="1" applyFont="1"/>
    <xf numFmtId="0" fontId="28" fillId="0" borderId="0" xfId="0" applyFont="1" applyAlignment="1">
      <alignment vertical="center"/>
    </xf>
    <xf numFmtId="0" fontId="0" fillId="0" borderId="22" xfId="0" applyBorder="1" applyAlignment="1">
      <alignment horizontal="left" vertical="top"/>
    </xf>
    <xf numFmtId="0" fontId="0" fillId="0" borderId="22" xfId="0" applyBorder="1" applyAlignment="1">
      <alignment horizontal="left" vertical="top" wrapText="1"/>
    </xf>
    <xf numFmtId="0" fontId="3" fillId="0" borderId="22" xfId="0" applyFont="1" applyBorder="1"/>
    <xf numFmtId="0" fontId="3" fillId="0" borderId="22" xfId="0" applyFont="1" applyBorder="1" applyAlignment="1">
      <alignment horizontal="left" vertical="top"/>
    </xf>
    <xf numFmtId="0" fontId="3" fillId="0" borderId="22" xfId="0" applyFont="1" applyBorder="1" applyAlignment="1">
      <alignment horizontal="left" vertical="top" wrapText="1"/>
    </xf>
    <xf numFmtId="16" fontId="3" fillId="0" borderId="22" xfId="0" quotePrefix="1" applyNumberFormat="1" applyFont="1" applyBorder="1" applyAlignment="1">
      <alignment horizontal="left" vertical="top"/>
    </xf>
    <xf numFmtId="16" fontId="3" fillId="0" borderId="0" xfId="0" quotePrefix="1" applyNumberFormat="1" applyFont="1"/>
    <xf numFmtId="0" fontId="3" fillId="0" borderId="22" xfId="0" applyFont="1" applyBorder="1" applyAlignment="1">
      <alignment wrapText="1"/>
    </xf>
    <xf numFmtId="44" fontId="0" fillId="0" borderId="0" xfId="0" applyNumberFormat="1" applyAlignment="1">
      <alignment vertical="center"/>
    </xf>
    <xf numFmtId="44" fontId="0" fillId="0" borderId="0" xfId="0" applyNumberFormat="1" applyAlignment="1">
      <alignment horizontal="center" vertical="center" wrapText="1"/>
    </xf>
    <xf numFmtId="0" fontId="14" fillId="0" borderId="15" xfId="4" applyFont="1" applyBorder="1" applyAlignment="1">
      <alignment horizontal="left" vertical="top" wrapText="1"/>
    </xf>
    <xf numFmtId="0" fontId="14" fillId="0" borderId="0" xfId="4" applyFont="1" applyAlignment="1">
      <alignment horizontal="left" vertical="top" wrapText="1"/>
    </xf>
    <xf numFmtId="0" fontId="14" fillId="0" borderId="0" xfId="4" applyFont="1" applyAlignment="1">
      <alignment vertical="top" wrapText="1"/>
    </xf>
    <xf numFmtId="0" fontId="14" fillId="0" borderId="0" xfId="0" applyFont="1" applyAlignment="1">
      <alignment wrapText="1"/>
    </xf>
    <xf numFmtId="0" fontId="14" fillId="0" borderId="0" xfId="4" applyFont="1" applyAlignment="1">
      <alignment horizontal="left" vertical="center" wrapText="1"/>
    </xf>
    <xf numFmtId="0" fontId="15" fillId="8" borderId="0" xfId="4" applyFont="1" applyFill="1" applyAlignment="1">
      <alignment horizontal="left" vertical="center" wrapText="1"/>
    </xf>
    <xf numFmtId="0" fontId="16" fillId="0" borderId="15" xfId="4" applyFont="1" applyBorder="1" applyAlignment="1">
      <alignment vertical="top" wrapText="1"/>
    </xf>
    <xf numFmtId="0" fontId="16" fillId="0" borderId="0" xfId="4" applyFont="1" applyAlignment="1">
      <alignment vertical="top" wrapText="1"/>
    </xf>
    <xf numFmtId="0" fontId="14" fillId="0" borderId="15" xfId="4" applyFont="1"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0" xfId="0" applyAlignment="1">
      <alignment horizontal="left" vertical="top" wrapText="1"/>
    </xf>
    <xf numFmtId="0" fontId="26" fillId="3" borderId="0" xfId="0" applyFont="1" applyFill="1" applyAlignment="1">
      <alignment horizontal="left" vertical="top" wrapText="1"/>
    </xf>
    <xf numFmtId="0" fontId="12" fillId="3" borderId="0" xfId="0" applyFont="1" applyFill="1" applyAlignment="1">
      <alignment horizontal="left" vertical="top" wrapText="1"/>
    </xf>
    <xf numFmtId="0" fontId="12" fillId="3" borderId="0" xfId="0" applyFont="1" applyFill="1" applyAlignment="1">
      <alignment vertical="top" wrapText="1"/>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wrapText="1"/>
    </xf>
  </cellXfs>
  <cellStyles count="5">
    <cellStyle name="Comma" xfId="1" builtinId="3"/>
    <cellStyle name="Currency" xfId="2" builtinId="4"/>
    <cellStyle name="Normal" xfId="0" builtinId="0"/>
    <cellStyle name="Normal 2" xfId="4" xr:uid="{0C3BCB00-A591-4F40-BD73-6B6125CCB928}"/>
    <cellStyle name="Percent" xfId="3" builtinId="5"/>
  </cellStyles>
  <dxfs count="4275">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34" formatCode="_(&quot;$&quot;* #,##0.00_);_(&quot;$&quot;* \(#,##0.00\);_(&quot;$&quot;* &quot;-&quot;??_);_(@_)"/>
    </dxf>
    <dxf>
      <numFmt numFmtId="34" formatCode="_(&quot;$&quot;* #,##0.00_);_(&quot;$&quot;* \(#,##0.00\);_(&quot;$&quot;* &quot;-&quot;??_);_(@_)"/>
    </dxf>
    <dxf>
      <numFmt numFmtId="166" formatCode="&quot;$&quot;#,##0.00"/>
    </dxf>
    <dxf>
      <numFmt numFmtId="34" formatCode="_(&quot;$&quot;* #,##0.00_);_(&quot;$&quot;* \(#,##0.00\);_(&quot;$&quot;* &quot;-&quot;??_);_(@_)"/>
    </dxf>
    <dxf>
      <alignment horizontal="center"/>
    </dxf>
    <dxf>
      <alignment horizontal="center"/>
    </dxf>
    <dxf>
      <alignment horizontal="center"/>
    </dxf>
    <dxf>
      <alignment horizontal="center"/>
    </dxf>
    <dxf>
      <numFmt numFmtId="164" formatCode="_(&quot;$&quot;* #,##0_);_(&quot;$&quot;* \(#,##0\);_(&quot;$&quot;* &quot;-&quot;??_);_(@_)"/>
    </dxf>
    <dxf>
      <numFmt numFmtId="165" formatCode="_(* #,##0_);_(* \(#,##0\);_(*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164" formatCode="_(&quot;$&quot;* #,##0_);_(&quot;$&quot;* \(#,##0\);_(&quot;$&quot;* &quot;-&quot;??_);_(@_)"/>
    </dxf>
    <dxf>
      <numFmt numFmtId="165" formatCode="_(* #,##0_);_(* \(#,##0\);_(* &quot;-&quot;??_);_(@_)"/>
    </dxf>
    <dxf>
      <numFmt numFmtId="34" formatCode="_(&quot;$&quot;* #,##0.00_);_(&quot;$&quot;* \(#,##0.00\);_(&quot;$&quot;* &quot;-&quot;??_);_(@_)"/>
    </dxf>
    <dxf>
      <alignment vertical="center"/>
    </dxf>
    <dxf>
      <alignment vertical="center"/>
    </dxf>
    <dxf>
      <alignment vertical="center"/>
    </dxf>
    <dxf>
      <alignment vertical="center"/>
    </dxf>
    <dxf>
      <numFmt numFmtId="0" formatCode="General"/>
      <alignment horizontal="left"/>
    </dxf>
    <dxf>
      <numFmt numFmtId="165" formatCode="_(* #,##0_);_(* \(#,##0\);_(* &quot;-&quot;??_);_(@_)"/>
    </dxf>
    <dxf>
      <numFmt numFmtId="164" formatCode="_(&quot;$&quot;* #,##0_);_(&quot;$&quot;* \(#,##0\);_(&quot;$&quot;* &quot;-&quot;??_);_(@_)"/>
    </dxf>
    <dxf>
      <numFmt numFmtId="165" formatCode="_(* #,##0_);_(* \(#,##0\);_(* &quot;-&quot;??_);_(@_)"/>
    </dxf>
    <dxf>
      <numFmt numFmtId="165" formatCode="_(* #,##0_);_(* \(#,##0\);_(* &quot;-&quot;??_);_(@_)"/>
    </dxf>
    <dxf>
      <alignment horizontal="center"/>
    </dxf>
    <dxf>
      <alignment horizontal="center"/>
    </dxf>
    <dxf>
      <alignment vertical="center"/>
    </dxf>
    <dxf>
      <alignment vertical="center"/>
    </dxf>
    <dxf>
      <alignment wrapText="1"/>
    </dxf>
    <dxf>
      <alignment wrapText="1"/>
    </dxf>
    <dxf>
      <numFmt numFmtId="167" formatCode="0.000"/>
    </dxf>
    <dxf>
      <numFmt numFmtId="2" formatCode="0.00"/>
    </dxf>
    <dxf>
      <font>
        <b val="0"/>
        <i val="0"/>
        <strike val="0"/>
        <condense val="0"/>
        <extend val="0"/>
        <outline val="0"/>
        <shadow val="0"/>
        <u val="none"/>
        <vertAlign val="baseline"/>
        <sz val="11"/>
        <color theme="1"/>
        <name val="Aptos Narrow"/>
        <family val="2"/>
        <scheme val="minor"/>
      </font>
      <numFmt numFmtId="165" formatCode="_(* #,##0_);_(* \(#,##0\);_(* &quot;-&quot;??_);_(@_)"/>
    </dxf>
    <dxf>
      <font>
        <b val="0"/>
        <i val="0"/>
        <strike val="0"/>
        <condense val="0"/>
        <extend val="0"/>
        <outline val="0"/>
        <shadow val="0"/>
        <u val="none"/>
        <vertAlign val="baseline"/>
        <sz val="11"/>
        <color theme="1"/>
        <name val="Aptos Narrow"/>
        <family val="2"/>
        <scheme val="minor"/>
      </font>
    </dxf>
    <dxf>
      <border diagonalUp="0" diagonalDown="0">
        <left/>
        <right style="thin">
          <color indexed="64"/>
        </right>
        <top/>
        <bottom/>
        <vertical/>
        <horizontal/>
      </border>
    </dxf>
    <dxf>
      <border outline="0">
        <bottom style="medium">
          <color indexed="64"/>
        </bottom>
      </border>
    </dxf>
    <dxf>
      <font>
        <b/>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alignment horizontal="center"/>
    </dxf>
    <dxf>
      <alignment vertical="center"/>
    </dxf>
    <dxf>
      <alignment wrapText="1"/>
    </dxf>
    <dxf>
      <numFmt numFmtId="34" formatCode="_(&quot;$&quot;* #,##0.00_);_(&quot;$&quot;* \(#,##0.00\);_(&quot;$&quot;* &quot;-&quot;??_);_(@_)"/>
    </dxf>
    <dxf>
      <alignment vertical="center"/>
    </dxf>
    <dxf>
      <alignment vertical="center"/>
    </dxf>
    <dxf>
      <alignment vertical="center"/>
    </dxf>
    <dxf>
      <numFmt numFmtId="0" formatCode="General"/>
      <alignment horizontal="left"/>
    </dxf>
    <dxf>
      <numFmt numFmtId="165" formatCode="_(* #,##0_);_(* \(#,##0\);_(* &quot;-&quot;??_);_(@_)"/>
    </dxf>
    <dxf>
      <numFmt numFmtId="164" formatCode="_(&quot;$&quot;* #,##0_);_(&quot;$&quot;* \(#,##0\);_(&quot;$&quot;* &quot;-&quot;??_);_(@_)"/>
    </dxf>
    <dxf>
      <numFmt numFmtId="165" formatCode="_(* #,##0_);_(* \(#,##0\);_(* &quot;-&quot;??_);_(@_)"/>
    </dxf>
    <dxf>
      <numFmt numFmtId="165" formatCode="_(* #,##0_);_(* \(#,##0\);_(* &quot;-&quot;??_);_(@_)"/>
    </dxf>
    <dxf>
      <alignment horizontal="center"/>
    </dxf>
    <dxf>
      <alignment horizontal="center"/>
    </dxf>
    <dxf>
      <alignment vertical="center"/>
    </dxf>
    <dxf>
      <alignment vertical="center"/>
    </dxf>
    <dxf>
      <alignment wrapText="1"/>
    </dxf>
    <dxf>
      <alignment wrapText="1"/>
    </dxf>
    <dxf>
      <numFmt numFmtId="14" formatCode="0.00%"/>
    </dxf>
    <dxf>
      <numFmt numFmtId="164" formatCode="_(&quot;$&quot;* #,##0_);_(&quot;$&quot;* \(#,##0\);_(&quot;$&quot;* &quot;-&quot;??_);_(@_)"/>
    </dxf>
    <dxf>
      <numFmt numFmtId="171" formatCode="&quot;$&quot;#,##0"/>
    </dxf>
    <dxf>
      <numFmt numFmtId="171" formatCode="&quot;$&quot;#,##0"/>
    </dxf>
    <dxf>
      <numFmt numFmtId="0" formatCode="General"/>
    </dxf>
    <dxf>
      <numFmt numFmtId="0" formatCode="General"/>
    </dxf>
    <dxf>
      <numFmt numFmtId="0" formatCode="General"/>
    </dxf>
    <dxf>
      <numFmt numFmtId="0" formatCode="General"/>
    </dxf>
    <dxf>
      <numFmt numFmtId="0" formatCode="General"/>
    </dxf>
    <dxf>
      <numFmt numFmtId="169" formatCode="0.00000"/>
    </dxf>
    <dxf>
      <numFmt numFmtId="0" formatCode="General"/>
    </dxf>
    <dxf>
      <numFmt numFmtId="0" formatCode="General"/>
    </dxf>
    <dxf>
      <numFmt numFmtId="0" formatCode="General"/>
    </dxf>
    <dxf>
      <numFmt numFmtId="0" formatCode="General"/>
    </dxf>
    <dxf>
      <numFmt numFmtId="0" formatCode="General"/>
    </dxf>
    <dxf>
      <numFmt numFmtId="165" formatCode="_(* #,##0_);_(* \(#,##0\);_(* &quot;-&quot;??_);_(@_)"/>
    </dxf>
  </dxfs>
  <tableStyles count="0" defaultTableStyle="TableStyleMedium2" defaultPivotStyle="PivotStyleLight16"/>
  <colors>
    <mruColors>
      <color rgb="FF1A4480"/>
      <color rgb="FF565C65"/>
      <color rgb="FFEFF6FB"/>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9" Type="http://schemas.microsoft.com/office/2017/10/relationships/person" Target="persons/person.xml"/><Relationship Id="rId21" Type="http://schemas.openxmlformats.org/officeDocument/2006/relationships/worksheet" Target="worksheets/sheet21.xml"/><Relationship Id="rId34" Type="http://schemas.openxmlformats.org/officeDocument/2006/relationships/connections" Target="connections.xml"/><Relationship Id="rId42" Type="http://schemas.openxmlformats.org/officeDocument/2006/relationships/customXml" Target="../customXml/item2.xml"/><Relationship Id="rId47" Type="http://schemas.openxmlformats.org/officeDocument/2006/relationships/customXml" Target="../customXml/item7.xml"/><Relationship Id="rId50" Type="http://schemas.openxmlformats.org/officeDocument/2006/relationships/customXml" Target="../customXml/item10.xml"/><Relationship Id="rId55"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pivotCacheDefinition" Target="pivotCache/pivotCacheDefinition9.xml"/><Relationship Id="rId37" Type="http://schemas.openxmlformats.org/officeDocument/2006/relationships/sheetMetadata" Target="metadata.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4.xml"/><Relationship Id="rId30" Type="http://schemas.openxmlformats.org/officeDocument/2006/relationships/pivotCacheDefinition" Target="pivotCache/pivotCacheDefinition7.xml"/><Relationship Id="rId35" Type="http://schemas.openxmlformats.org/officeDocument/2006/relationships/styles" Target="styles.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openxmlformats.org/officeDocument/2006/relationships/theme" Target="theme/theme1.xml"/><Relationship Id="rId38" Type="http://schemas.openxmlformats.org/officeDocument/2006/relationships/powerPivotData" Target="model/item.data"/><Relationship Id="rId46" Type="http://schemas.openxmlformats.org/officeDocument/2006/relationships/customXml" Target="../customXml/item6.xml"/><Relationship Id="rId20" Type="http://schemas.openxmlformats.org/officeDocument/2006/relationships/worksheet" Target="worksheets/sheet20.xml"/><Relationship Id="rId41" Type="http://schemas.openxmlformats.org/officeDocument/2006/relationships/customXml" Target="../customXml/item1.xml"/><Relationship Id="rId54"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pivotCacheDefinition" Target="pivotCache/pivotCacheDefinition5.xml"/><Relationship Id="rId36" Type="http://schemas.openxmlformats.org/officeDocument/2006/relationships/sharedStrings" Target="sharedString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worksheet" Target="worksheets/sheet10.xml"/><Relationship Id="rId31" Type="http://schemas.openxmlformats.org/officeDocument/2006/relationships/pivotCacheDefinition" Target="pivotCache/pivotCacheDefinition8.xml"/><Relationship Id="rId44" Type="http://schemas.openxmlformats.org/officeDocument/2006/relationships/customXml" Target="../customXml/item4.xml"/><Relationship Id="rId52"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A4480"/>
                </a:solidFill>
                <a:latin typeface="+mn-lt"/>
                <a:ea typeface="+mn-ea"/>
                <a:cs typeface="+mn-cs"/>
              </a:defRPr>
            </a:pPr>
            <a:r>
              <a:rPr lang="en-US">
                <a:solidFill>
                  <a:srgbClr val="1A4480"/>
                </a:solidFill>
              </a:rPr>
              <a:t>Virginia</a:t>
            </a:r>
          </a:p>
        </c:rich>
      </c:tx>
      <c:overlay val="1"/>
      <c:spPr>
        <a:noFill/>
        <a:ln>
          <a:noFill/>
        </a:ln>
        <a:effectLst/>
      </c:spPr>
      <c:txPr>
        <a:bodyPr rot="0" spcFirstLastPara="1" vertOverflow="ellipsis" vert="horz" wrap="square" anchor="ctr" anchorCtr="1"/>
        <a:lstStyle/>
        <a:p>
          <a:pPr>
            <a:defRPr sz="1400" b="0" i="0" u="none" strike="noStrike" kern="1200" spc="0" baseline="0">
              <a:solidFill>
                <a:srgbClr val="1A448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2022</c:v>
          </c:tx>
          <c:spPr>
            <a:ln w="28575" cap="rnd">
              <a:solidFill>
                <a:schemeClr val="tx2">
                  <a:lumMod val="10000"/>
                  <a:lumOff val="9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136904.90909090909</c:v>
              </c:pt>
              <c:pt idx="1">
                <c:v>152323.63636363635</c:v>
              </c:pt>
              <c:pt idx="2">
                <c:v>177752.12121212122</c:v>
              </c:pt>
              <c:pt idx="3">
                <c:v>210283.0303030303</c:v>
              </c:pt>
              <c:pt idx="4">
                <c:v>228505.27272727274</c:v>
              </c:pt>
              <c:pt idx="5">
                <c:v>240146.21212121213</c:v>
              </c:pt>
              <c:pt idx="6">
                <c:v>247773.87878787878</c:v>
              </c:pt>
              <c:pt idx="7">
                <c:v>216690.51515151514</c:v>
              </c:pt>
              <c:pt idx="8">
                <c:v>205908.21212121213</c:v>
              </c:pt>
              <c:pt idx="9">
                <c:v>199570.27272727274</c:v>
              </c:pt>
              <c:pt idx="10">
                <c:v>187623.54545454544</c:v>
              </c:pt>
              <c:pt idx="11">
                <c:v>183371.9696969697</c:v>
              </c:pt>
            </c:numLit>
          </c:val>
          <c:smooth val="0"/>
          <c:extLst>
            <c:ext xmlns:c16="http://schemas.microsoft.com/office/drawing/2014/chart" uri="{C3380CC4-5D6E-409C-BE32-E72D297353CC}">
              <c16:uniqueId val="{00000000-E750-404A-A1F0-A1508C4C7E60}"/>
            </c:ext>
          </c:extLst>
        </c:ser>
        <c:ser>
          <c:idx val="1"/>
          <c:order val="1"/>
          <c:tx>
            <c:v>2023</c:v>
          </c:tx>
          <c:spPr>
            <a:ln w="28575" cap="rnd">
              <a:solidFill>
                <a:schemeClr val="tx2">
                  <a:lumMod val="50000"/>
                  <a:lumOff val="5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132930.81818181818</c:v>
              </c:pt>
              <c:pt idx="1">
                <c:v>151373.18181818182</c:v>
              </c:pt>
              <c:pt idx="2">
                <c:v>178027.39393939395</c:v>
              </c:pt>
              <c:pt idx="3">
                <c:v>207902.27272727274</c:v>
              </c:pt>
              <c:pt idx="4">
                <c:v>229421.57575757575</c:v>
              </c:pt>
              <c:pt idx="5">
                <c:v>239995.66666666666</c:v>
              </c:pt>
              <c:pt idx="6">
                <c:v>245897.81818181818</c:v>
              </c:pt>
              <c:pt idx="7">
                <c:v>216027.36363636365</c:v>
              </c:pt>
              <c:pt idx="8">
                <c:v>207530.78787878787</c:v>
              </c:pt>
              <c:pt idx="9">
                <c:v>198179.45454545456</c:v>
              </c:pt>
              <c:pt idx="10">
                <c:v>185564.75757575757</c:v>
              </c:pt>
              <c:pt idx="11">
                <c:v>183093.24242424243</c:v>
              </c:pt>
            </c:numLit>
          </c:val>
          <c:smooth val="0"/>
          <c:extLst>
            <c:ext xmlns:c16="http://schemas.microsoft.com/office/drawing/2014/chart" uri="{C3380CC4-5D6E-409C-BE32-E72D297353CC}">
              <c16:uniqueId val="{00000001-E750-404A-A1F0-A1508C4C7E60}"/>
            </c:ext>
          </c:extLst>
        </c:ser>
        <c:ser>
          <c:idx val="2"/>
          <c:order val="2"/>
          <c:tx>
            <c:v>2024</c:v>
          </c:tx>
          <c:spPr>
            <a:ln w="28575" cap="rnd">
              <a:solidFill>
                <a:schemeClr val="tx2">
                  <a:lumMod val="90000"/>
                  <a:lumOff val="1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133090.36363636365</c:v>
              </c:pt>
              <c:pt idx="1">
                <c:v>151313.54545454544</c:v>
              </c:pt>
              <c:pt idx="2">
                <c:v>176886.27272727274</c:v>
              </c:pt>
              <c:pt idx="3">
                <c:v>204313.33333333334</c:v>
              </c:pt>
              <c:pt idx="4">
                <c:v>229137.54545454544</c:v>
              </c:pt>
              <c:pt idx="5">
                <c:v>232572.06060606061</c:v>
              </c:pt>
              <c:pt idx="6">
                <c:v>241627.09090909091</c:v>
              </c:pt>
              <c:pt idx="7">
                <c:v>208293.51515151514</c:v>
              </c:pt>
              <c:pt idx="8">
                <c:v>202147.57575757575</c:v>
              </c:pt>
              <c:pt idx="9">
                <c:v>191543.06060606061</c:v>
              </c:pt>
              <c:pt idx="10">
                <c:v>179991.57575757575</c:v>
              </c:pt>
              <c:pt idx="11">
                <c:v>177363.12121212122</c:v>
              </c:pt>
            </c:numLit>
          </c:val>
          <c:smooth val="0"/>
          <c:extLst>
            <c:ext xmlns:c16="http://schemas.microsoft.com/office/drawing/2014/chart" uri="{C3380CC4-5D6E-409C-BE32-E72D297353CC}">
              <c16:uniqueId val="{00000002-E750-404A-A1F0-A1508C4C7E60}"/>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smooth val="0"/>
        <c:axId val="182933072"/>
        <c:axId val="182932592"/>
      </c:lineChart>
      <c:catAx>
        <c:axId val="18293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32592"/>
        <c:crosses val="autoZero"/>
        <c:auto val="1"/>
        <c:lblAlgn val="ctr"/>
        <c:lblOffset val="100"/>
        <c:noMultiLvlLbl val="0"/>
      </c:catAx>
      <c:valAx>
        <c:axId val="182932592"/>
        <c:scaling>
          <c:orientation val="minMax"/>
          <c:max val="300000"/>
          <c:min val="1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3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r>
              <a:rPr lang="en-US">
                <a:solidFill>
                  <a:schemeClr val="accent1">
                    <a:lumMod val="60000"/>
                    <a:lumOff val="40000"/>
                  </a:schemeClr>
                </a:solidFill>
              </a:rPr>
              <a:t>North Carolina</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2022</c:v>
          </c:tx>
          <c:spPr>
            <a:ln w="28575" cap="rnd">
              <a:solidFill>
                <a:schemeClr val="tx2">
                  <a:lumMod val="10000"/>
                  <a:lumOff val="9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144842.10526315789</c:v>
              </c:pt>
              <c:pt idx="1">
                <c:v>163990.31578947368</c:v>
              </c:pt>
              <c:pt idx="2">
                <c:v>192739.26315789475</c:v>
              </c:pt>
              <c:pt idx="3">
                <c:v>222592.84210526315</c:v>
              </c:pt>
              <c:pt idx="4">
                <c:v>244861.15789473685</c:v>
              </c:pt>
              <c:pt idx="5">
                <c:v>254536.47368421053</c:v>
              </c:pt>
              <c:pt idx="6">
                <c:v>261188.57894736843</c:v>
              </c:pt>
              <c:pt idx="7">
                <c:v>231121.26315789475</c:v>
              </c:pt>
              <c:pt idx="8">
                <c:v>221055.73684210525</c:v>
              </c:pt>
              <c:pt idx="9">
                <c:v>212461.89473684211</c:v>
              </c:pt>
              <c:pt idx="10">
                <c:v>201961.21052631579</c:v>
              </c:pt>
              <c:pt idx="11">
                <c:v>194432.31578947368</c:v>
              </c:pt>
            </c:numLit>
          </c:val>
          <c:smooth val="0"/>
          <c:extLst>
            <c:ext xmlns:c16="http://schemas.microsoft.com/office/drawing/2014/chart" uri="{C3380CC4-5D6E-409C-BE32-E72D297353CC}">
              <c16:uniqueId val="{00000000-BED3-4B8A-B4EB-27675FBC5605}"/>
            </c:ext>
          </c:extLst>
        </c:ser>
        <c:ser>
          <c:idx val="1"/>
          <c:order val="1"/>
          <c:tx>
            <c:v>2023</c:v>
          </c:tx>
          <c:spPr>
            <a:ln w="28575" cap="rnd">
              <a:solidFill>
                <a:schemeClr val="tx2">
                  <a:lumMod val="50000"/>
                  <a:lumOff val="5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141641.05263157896</c:v>
              </c:pt>
              <c:pt idx="1">
                <c:v>159844.73684210525</c:v>
              </c:pt>
              <c:pt idx="2">
                <c:v>187883.21052631579</c:v>
              </c:pt>
              <c:pt idx="3">
                <c:v>220540.15789473685</c:v>
              </c:pt>
              <c:pt idx="4">
                <c:v>245635.73684210525</c:v>
              </c:pt>
              <c:pt idx="5">
                <c:v>253381.42105263157</c:v>
              </c:pt>
              <c:pt idx="6">
                <c:v>243879.15789473685</c:v>
              </c:pt>
              <c:pt idx="7">
                <c:v>216821.21052631579</c:v>
              </c:pt>
              <c:pt idx="8">
                <c:v>205229.63157894736</c:v>
              </c:pt>
              <c:pt idx="9">
                <c:v>195871.78947368421</c:v>
              </c:pt>
              <c:pt idx="10">
                <c:v>188484.68421052632</c:v>
              </c:pt>
              <c:pt idx="11">
                <c:v>185339.68421052632</c:v>
              </c:pt>
            </c:numLit>
          </c:val>
          <c:smooth val="0"/>
          <c:extLst>
            <c:ext xmlns:c16="http://schemas.microsoft.com/office/drawing/2014/chart" uri="{C3380CC4-5D6E-409C-BE32-E72D297353CC}">
              <c16:uniqueId val="{00000001-BED3-4B8A-B4EB-27675FBC5605}"/>
            </c:ext>
          </c:extLst>
        </c:ser>
        <c:ser>
          <c:idx val="2"/>
          <c:order val="2"/>
          <c:tx>
            <c:v>2024</c:v>
          </c:tx>
          <c:spPr>
            <a:ln w="28575" cap="rnd">
              <a:solidFill>
                <a:schemeClr val="tx2">
                  <a:lumMod val="90000"/>
                  <a:lumOff val="1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131396.36842105264</c:v>
              </c:pt>
              <c:pt idx="1">
                <c:v>148658.31578947368</c:v>
              </c:pt>
              <c:pt idx="2">
                <c:v>176739.57894736843</c:v>
              </c:pt>
              <c:pt idx="3">
                <c:v>205258.78947368421</c:v>
              </c:pt>
              <c:pt idx="4">
                <c:v>228571</c:v>
              </c:pt>
              <c:pt idx="5">
                <c:v>233962.15789473685</c:v>
              </c:pt>
              <c:pt idx="6">
                <c:v>244013.26315789475</c:v>
              </c:pt>
              <c:pt idx="7">
                <c:v>210644.26315789475</c:v>
              </c:pt>
              <c:pt idx="8">
                <c:v>201301.15789473685</c:v>
              </c:pt>
              <c:pt idx="9">
                <c:v>193339.63157894736</c:v>
              </c:pt>
              <c:pt idx="10">
                <c:v>181636.68421052632</c:v>
              </c:pt>
              <c:pt idx="11">
                <c:v>177751.26315789475</c:v>
              </c:pt>
            </c:numLit>
          </c:val>
          <c:smooth val="0"/>
          <c:extLst>
            <c:ext xmlns:c16="http://schemas.microsoft.com/office/drawing/2014/chart" uri="{C3380CC4-5D6E-409C-BE32-E72D297353CC}">
              <c16:uniqueId val="{00000002-BED3-4B8A-B4EB-27675FBC5605}"/>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smooth val="0"/>
        <c:axId val="131776912"/>
        <c:axId val="131779312"/>
      </c:lineChart>
      <c:catAx>
        <c:axId val="13177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79312"/>
        <c:crosses val="autoZero"/>
        <c:auto val="1"/>
        <c:lblAlgn val="ctr"/>
        <c:lblOffset val="100"/>
        <c:noMultiLvlLbl val="0"/>
      </c:catAx>
      <c:valAx>
        <c:axId val="131779312"/>
        <c:scaling>
          <c:orientation val="minMax"/>
          <c:max val="300000"/>
          <c:min val="1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7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lumMod val="50000"/>
                  </a:schemeClr>
                </a:solidFill>
                <a:latin typeface="+mn-lt"/>
                <a:ea typeface="+mn-ea"/>
                <a:cs typeface="+mn-cs"/>
              </a:defRPr>
            </a:pPr>
            <a:r>
              <a:rPr lang="en-US">
                <a:solidFill>
                  <a:schemeClr val="bg1">
                    <a:lumMod val="50000"/>
                  </a:schemeClr>
                </a:solidFill>
              </a:rPr>
              <a:t>District of Columbia</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bg1">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2022</c:v>
          </c:tx>
          <c:spPr>
            <a:ln w="28575" cap="rnd">
              <a:solidFill>
                <a:schemeClr val="tx2">
                  <a:lumMod val="10000"/>
                  <a:lumOff val="9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142409.5</c:v>
              </c:pt>
              <c:pt idx="1">
                <c:v>158438</c:v>
              </c:pt>
              <c:pt idx="2">
                <c:v>188952.5</c:v>
              </c:pt>
              <c:pt idx="3">
                <c:v>214627.5</c:v>
              </c:pt>
              <c:pt idx="4">
                <c:v>233731</c:v>
              </c:pt>
              <c:pt idx="5">
                <c:v>249603</c:v>
              </c:pt>
              <c:pt idx="6">
                <c:v>252094</c:v>
              </c:pt>
              <c:pt idx="7">
                <c:v>223142</c:v>
              </c:pt>
              <c:pt idx="8">
                <c:v>220461</c:v>
              </c:pt>
              <c:pt idx="9">
                <c:v>207800</c:v>
              </c:pt>
              <c:pt idx="10">
                <c:v>196738.5</c:v>
              </c:pt>
              <c:pt idx="11">
                <c:v>191832.5</c:v>
              </c:pt>
            </c:numLit>
          </c:val>
          <c:smooth val="0"/>
          <c:extLst>
            <c:ext xmlns:c16="http://schemas.microsoft.com/office/drawing/2014/chart" uri="{C3380CC4-5D6E-409C-BE32-E72D297353CC}">
              <c16:uniqueId val="{00000000-450A-440F-B431-1A61EA54BD4F}"/>
            </c:ext>
          </c:extLst>
        </c:ser>
        <c:ser>
          <c:idx val="1"/>
          <c:order val="1"/>
          <c:tx>
            <c:v>2023</c:v>
          </c:tx>
          <c:spPr>
            <a:ln w="28575" cap="rnd">
              <a:solidFill>
                <a:schemeClr val="tx2">
                  <a:lumMod val="50000"/>
                  <a:lumOff val="5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134659.5</c:v>
              </c:pt>
              <c:pt idx="1">
                <c:v>159146</c:v>
              </c:pt>
              <c:pt idx="2">
                <c:v>186377</c:v>
              </c:pt>
              <c:pt idx="3">
                <c:v>222261</c:v>
              </c:pt>
              <c:pt idx="4">
                <c:v>241009.5</c:v>
              </c:pt>
              <c:pt idx="5">
                <c:v>242979.5</c:v>
              </c:pt>
              <c:pt idx="6">
                <c:v>249803.5</c:v>
              </c:pt>
              <c:pt idx="7">
                <c:v>220650</c:v>
              </c:pt>
              <c:pt idx="8">
                <c:v>220231</c:v>
              </c:pt>
              <c:pt idx="9">
                <c:v>202882</c:v>
              </c:pt>
              <c:pt idx="10">
                <c:v>193233.5</c:v>
              </c:pt>
              <c:pt idx="11">
                <c:v>190493</c:v>
              </c:pt>
            </c:numLit>
          </c:val>
          <c:smooth val="0"/>
          <c:extLst>
            <c:ext xmlns:c16="http://schemas.microsoft.com/office/drawing/2014/chart" uri="{C3380CC4-5D6E-409C-BE32-E72D297353CC}">
              <c16:uniqueId val="{00000001-450A-440F-B431-1A61EA54BD4F}"/>
            </c:ext>
          </c:extLst>
        </c:ser>
        <c:ser>
          <c:idx val="2"/>
          <c:order val="2"/>
          <c:tx>
            <c:v>2024</c:v>
          </c:tx>
          <c:spPr>
            <a:ln w="28575" cap="rnd">
              <a:solidFill>
                <a:schemeClr val="tx2">
                  <a:lumMod val="90000"/>
                  <a:lumOff val="1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140574</c:v>
              </c:pt>
              <c:pt idx="1">
                <c:v>154633</c:v>
              </c:pt>
              <c:pt idx="2">
                <c:v>180399</c:v>
              </c:pt>
              <c:pt idx="3">
                <c:v>214418</c:v>
              </c:pt>
              <c:pt idx="4">
                <c:v>240207</c:v>
              </c:pt>
              <c:pt idx="5">
                <c:v>240307</c:v>
              </c:pt>
              <c:pt idx="6">
                <c:v>252684.5</c:v>
              </c:pt>
              <c:pt idx="7">
                <c:v>219820</c:v>
              </c:pt>
              <c:pt idx="8">
                <c:v>208276</c:v>
              </c:pt>
              <c:pt idx="9">
                <c:v>196528</c:v>
              </c:pt>
              <c:pt idx="10">
                <c:v>185096.5</c:v>
              </c:pt>
              <c:pt idx="11">
                <c:v>182393</c:v>
              </c:pt>
            </c:numLit>
          </c:val>
          <c:smooth val="0"/>
          <c:extLst>
            <c:ext xmlns:c16="http://schemas.microsoft.com/office/drawing/2014/chart" uri="{C3380CC4-5D6E-409C-BE32-E72D297353CC}">
              <c16:uniqueId val="{00000002-450A-440F-B431-1A61EA54BD4F}"/>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smooth val="0"/>
        <c:axId val="130042336"/>
        <c:axId val="130042816"/>
      </c:lineChart>
      <c:catAx>
        <c:axId val="13004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42816"/>
        <c:crosses val="autoZero"/>
        <c:auto val="1"/>
        <c:lblAlgn val="ctr"/>
        <c:lblOffset val="100"/>
        <c:noMultiLvlLbl val="0"/>
      </c:catAx>
      <c:valAx>
        <c:axId val="130042816"/>
        <c:scaling>
          <c:orientation val="minMax"/>
          <c:max val="300000"/>
          <c:min val="1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4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solidFill>
                  <a:schemeClr val="accent6">
                    <a:lumMod val="75000"/>
                  </a:schemeClr>
                </a:solidFill>
              </a:rPr>
              <a:t>Maryland</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2022</c:v>
          </c:tx>
          <c:spPr>
            <a:ln w="28575" cap="rnd">
              <a:solidFill>
                <a:schemeClr val="tx2">
                  <a:lumMod val="10000"/>
                  <a:lumOff val="9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134524.6</c:v>
              </c:pt>
              <c:pt idx="1">
                <c:v>150425</c:v>
              </c:pt>
              <c:pt idx="2">
                <c:v>177356.53333333333</c:v>
              </c:pt>
              <c:pt idx="3">
                <c:v>206735.33333333334</c:v>
              </c:pt>
              <c:pt idx="4">
                <c:v>226853.26666666666</c:v>
              </c:pt>
              <c:pt idx="5">
                <c:v>234905.66666666666</c:v>
              </c:pt>
              <c:pt idx="6">
                <c:v>243014.26666666666</c:v>
              </c:pt>
              <c:pt idx="7">
                <c:v>212760.46666666667</c:v>
              </c:pt>
              <c:pt idx="8">
                <c:v>204970.86666666667</c:v>
              </c:pt>
              <c:pt idx="9">
                <c:v>193379.53333333333</c:v>
              </c:pt>
              <c:pt idx="10">
                <c:v>186938.8</c:v>
              </c:pt>
              <c:pt idx="11">
                <c:v>182250.33333333334</c:v>
              </c:pt>
            </c:numLit>
          </c:val>
          <c:smooth val="0"/>
          <c:extLst>
            <c:ext xmlns:c16="http://schemas.microsoft.com/office/drawing/2014/chart" uri="{C3380CC4-5D6E-409C-BE32-E72D297353CC}">
              <c16:uniqueId val="{00000000-2A54-4346-98C9-4BD61D0B0BFC}"/>
            </c:ext>
          </c:extLst>
        </c:ser>
        <c:ser>
          <c:idx val="1"/>
          <c:order val="1"/>
          <c:tx>
            <c:v>2023</c:v>
          </c:tx>
          <c:spPr>
            <a:ln w="28575" cap="rnd">
              <a:solidFill>
                <a:schemeClr val="tx2">
                  <a:lumMod val="50000"/>
                  <a:lumOff val="5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130427</c:v>
              </c:pt>
              <c:pt idx="1">
                <c:v>148543.53333333333</c:v>
              </c:pt>
              <c:pt idx="2">
                <c:v>173472.73333333334</c:v>
              </c:pt>
              <c:pt idx="3">
                <c:v>202568.93333333332</c:v>
              </c:pt>
              <c:pt idx="4">
                <c:v>226863</c:v>
              </c:pt>
              <c:pt idx="5">
                <c:v>233647.26666666666</c:v>
              </c:pt>
              <c:pt idx="6">
                <c:v>240871.6</c:v>
              </c:pt>
              <c:pt idx="7">
                <c:v>210560.86666666667</c:v>
              </c:pt>
              <c:pt idx="8">
                <c:v>203746.86666666667</c:v>
              </c:pt>
              <c:pt idx="9">
                <c:v>191384.53333333333</c:v>
              </c:pt>
              <c:pt idx="10">
                <c:v>181296.6</c:v>
              </c:pt>
              <c:pt idx="11">
                <c:v>178860.53333333333</c:v>
              </c:pt>
            </c:numLit>
          </c:val>
          <c:smooth val="0"/>
          <c:extLst>
            <c:ext xmlns:c16="http://schemas.microsoft.com/office/drawing/2014/chart" uri="{C3380CC4-5D6E-409C-BE32-E72D297353CC}">
              <c16:uniqueId val="{00000001-2A54-4346-98C9-4BD61D0B0BFC}"/>
            </c:ext>
          </c:extLst>
        </c:ser>
        <c:ser>
          <c:idx val="2"/>
          <c:order val="2"/>
          <c:tx>
            <c:v>2024</c:v>
          </c:tx>
          <c:spPr>
            <a:ln w="28575" cap="rnd">
              <a:solidFill>
                <a:schemeClr val="tx2">
                  <a:lumMod val="90000"/>
                  <a:lumOff val="1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129125.6</c:v>
              </c:pt>
              <c:pt idx="1">
                <c:v>146427.53333333333</c:v>
              </c:pt>
              <c:pt idx="2">
                <c:v>173362.2</c:v>
              </c:pt>
              <c:pt idx="3">
                <c:v>198929.73333333334</c:v>
              </c:pt>
              <c:pt idx="4">
                <c:v>220027</c:v>
              </c:pt>
              <c:pt idx="5">
                <c:v>226147.4</c:v>
              </c:pt>
              <c:pt idx="6">
                <c:v>234228.73333333334</c:v>
              </c:pt>
              <c:pt idx="7">
                <c:v>205366.26666666666</c:v>
              </c:pt>
              <c:pt idx="8">
                <c:v>196813.66666666666</c:v>
              </c:pt>
              <c:pt idx="9">
                <c:v>185404.4</c:v>
              </c:pt>
              <c:pt idx="10">
                <c:v>176393.60000000001</c:v>
              </c:pt>
              <c:pt idx="11">
                <c:v>172009.13333333333</c:v>
              </c:pt>
            </c:numLit>
          </c:val>
          <c:smooth val="0"/>
          <c:extLst>
            <c:ext xmlns:c16="http://schemas.microsoft.com/office/drawing/2014/chart" uri="{C3380CC4-5D6E-409C-BE32-E72D297353CC}">
              <c16:uniqueId val="{00000002-2A54-4346-98C9-4BD61D0B0BFC}"/>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smooth val="0"/>
        <c:axId val="1432789792"/>
        <c:axId val="174690480"/>
      </c:lineChart>
      <c:catAx>
        <c:axId val="143278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90480"/>
        <c:crosses val="autoZero"/>
        <c:auto val="1"/>
        <c:lblAlgn val="ctr"/>
        <c:lblOffset val="100"/>
        <c:noMultiLvlLbl val="0"/>
      </c:catAx>
      <c:valAx>
        <c:axId val="174690480"/>
        <c:scaling>
          <c:orientation val="minMax"/>
          <c:max val="300000"/>
          <c:min val="1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78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5">
                    <a:lumMod val="60000"/>
                    <a:lumOff val="40000"/>
                  </a:schemeClr>
                </a:solidFill>
              </a:rPr>
              <a:t>West Virginia</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2022</c:v>
          </c:tx>
          <c:spPr>
            <a:ln w="28575" cap="rnd">
              <a:solidFill>
                <a:schemeClr val="tx2">
                  <a:lumMod val="10000"/>
                  <a:lumOff val="9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141669.76923076922</c:v>
              </c:pt>
              <c:pt idx="1">
                <c:v>159860.46153846153</c:v>
              </c:pt>
              <c:pt idx="2">
                <c:v>184882.07692307694</c:v>
              </c:pt>
              <c:pt idx="3">
                <c:v>212046.53846153847</c:v>
              </c:pt>
              <c:pt idx="4">
                <c:v>237702.30769230769</c:v>
              </c:pt>
              <c:pt idx="5">
                <c:v>248474.92307692306</c:v>
              </c:pt>
              <c:pt idx="6">
                <c:v>252352.30769230769</c:v>
              </c:pt>
              <c:pt idx="7">
                <c:v>223136.76923076922</c:v>
              </c:pt>
              <c:pt idx="8">
                <c:v>215203.30769230769</c:v>
              </c:pt>
              <c:pt idx="9">
                <c:v>205520.38461538462</c:v>
              </c:pt>
              <c:pt idx="10">
                <c:v>195354.69230769231</c:v>
              </c:pt>
              <c:pt idx="11">
                <c:v>189904.07692307694</c:v>
              </c:pt>
            </c:numLit>
          </c:val>
          <c:smooth val="0"/>
          <c:extLst>
            <c:ext xmlns:c16="http://schemas.microsoft.com/office/drawing/2014/chart" uri="{C3380CC4-5D6E-409C-BE32-E72D297353CC}">
              <c16:uniqueId val="{00000000-B789-4F9D-B764-9F40849B3F70}"/>
            </c:ext>
          </c:extLst>
        </c:ser>
        <c:ser>
          <c:idx val="1"/>
          <c:order val="1"/>
          <c:tx>
            <c:v>2023</c:v>
          </c:tx>
          <c:spPr>
            <a:ln w="28575" cap="rnd">
              <a:solidFill>
                <a:schemeClr val="tx2">
                  <a:lumMod val="50000"/>
                  <a:lumOff val="5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137284.92307692306</c:v>
              </c:pt>
              <c:pt idx="1">
                <c:v>156409.76923076922</c:v>
              </c:pt>
              <c:pt idx="2">
                <c:v>179080</c:v>
              </c:pt>
              <c:pt idx="3">
                <c:v>216111.07692307694</c:v>
              </c:pt>
              <c:pt idx="4">
                <c:v>237945.84615384616</c:v>
              </c:pt>
              <c:pt idx="5">
                <c:v>246562.38461538462</c:v>
              </c:pt>
              <c:pt idx="6">
                <c:v>251218.38461538462</c:v>
              </c:pt>
              <c:pt idx="7">
                <c:v>223042.84615384616</c:v>
              </c:pt>
              <c:pt idx="8">
                <c:v>213657</c:v>
              </c:pt>
              <c:pt idx="9">
                <c:v>204067.61538461538</c:v>
              </c:pt>
              <c:pt idx="10">
                <c:v>191403.76923076922</c:v>
              </c:pt>
              <c:pt idx="11">
                <c:v>187462.38461538462</c:v>
              </c:pt>
            </c:numLit>
          </c:val>
          <c:smooth val="0"/>
          <c:extLst>
            <c:ext xmlns:c16="http://schemas.microsoft.com/office/drawing/2014/chart" uri="{C3380CC4-5D6E-409C-BE32-E72D297353CC}">
              <c16:uniqueId val="{00000001-B789-4F9D-B764-9F40849B3F70}"/>
            </c:ext>
          </c:extLst>
        </c:ser>
        <c:ser>
          <c:idx val="2"/>
          <c:order val="2"/>
          <c:tx>
            <c:v>2024</c:v>
          </c:tx>
          <c:spPr>
            <a:ln w="28575" cap="rnd">
              <a:solidFill>
                <a:schemeClr val="tx2">
                  <a:lumMod val="90000"/>
                  <a:lumOff val="1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136749.53846153847</c:v>
              </c:pt>
              <c:pt idx="1">
                <c:v>158140</c:v>
              </c:pt>
              <c:pt idx="2">
                <c:v>179630.15384615384</c:v>
              </c:pt>
              <c:pt idx="3">
                <c:v>212409</c:v>
              </c:pt>
              <c:pt idx="4">
                <c:v>233305.30769230769</c:v>
              </c:pt>
              <c:pt idx="5">
                <c:v>238995.53846153847</c:v>
              </c:pt>
              <c:pt idx="6">
                <c:v>246502.46153846153</c:v>
              </c:pt>
              <c:pt idx="7">
                <c:v>219599.30769230769</c:v>
              </c:pt>
              <c:pt idx="8">
                <c:v>207725.69230769231</c:v>
              </c:pt>
              <c:pt idx="9">
                <c:v>197690.46153846153</c:v>
              </c:pt>
              <c:pt idx="10">
                <c:v>188859</c:v>
              </c:pt>
              <c:pt idx="11">
                <c:v>180000.15384615384</c:v>
              </c:pt>
            </c:numLit>
          </c:val>
          <c:smooth val="0"/>
          <c:extLst>
            <c:ext xmlns:c16="http://schemas.microsoft.com/office/drawing/2014/chart" uri="{C3380CC4-5D6E-409C-BE32-E72D297353CC}">
              <c16:uniqueId val="{00000002-B789-4F9D-B764-9F40849B3F70}"/>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smooth val="0"/>
        <c:axId val="181649568"/>
        <c:axId val="181653408"/>
      </c:lineChart>
      <c:catAx>
        <c:axId val="18164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53408"/>
        <c:crosses val="autoZero"/>
        <c:auto val="1"/>
        <c:lblAlgn val="ctr"/>
        <c:lblOffset val="100"/>
        <c:noMultiLvlLbl val="0"/>
      </c:catAx>
      <c:valAx>
        <c:axId val="181653408"/>
        <c:scaling>
          <c:orientation val="minMax"/>
          <c:max val="300000"/>
          <c:min val="1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4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lumMod val="60000"/>
                    <a:lumOff val="40000"/>
                  </a:schemeClr>
                </a:solidFill>
                <a:latin typeface="+mn-lt"/>
                <a:ea typeface="+mn-ea"/>
                <a:cs typeface="+mn-cs"/>
              </a:defRPr>
            </a:pPr>
            <a:r>
              <a:rPr lang="en-US">
                <a:solidFill>
                  <a:schemeClr val="accent2">
                    <a:lumMod val="60000"/>
                    <a:lumOff val="40000"/>
                  </a:schemeClr>
                </a:solidFill>
              </a:rPr>
              <a:t>Georgia</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accent2">
                  <a:lumMod val="60000"/>
                  <a:lumOff val="4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2022</c:v>
          </c:tx>
          <c:spPr>
            <a:ln w="28575" cap="rnd">
              <a:solidFill>
                <a:schemeClr val="tx2">
                  <a:lumMod val="10000"/>
                  <a:lumOff val="90000"/>
                </a:schemeClr>
              </a:solidFill>
              <a:round/>
            </a:ln>
            <a:effectLst/>
          </c:spPr>
          <c:marker>
            <c:symbol val="none"/>
          </c:marker>
          <c:dLbls>
            <c:dLbl>
              <c:idx val="6"/>
              <c:layout>
                <c:manualLayout>
                  <c:x val="-0.11627108557826561"/>
                  <c:y val="0.33032978877620878"/>
                </c:manualLayout>
              </c:layout>
              <c:tx>
                <c:rich>
                  <a:bodyPr/>
                  <a:lstStyle/>
                  <a:p>
                    <a:fld id="{A80AF114-F378-42F1-B806-472908926336}"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4C4-4291-BFAC-C1654FAA11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156045.05555555556</c:v>
              </c:pt>
              <c:pt idx="1">
                <c:v>172986.66666666666</c:v>
              </c:pt>
              <c:pt idx="2">
                <c:v>205595.05555555556</c:v>
              </c:pt>
              <c:pt idx="3">
                <c:v>241856.44444444444</c:v>
              </c:pt>
              <c:pt idx="4">
                <c:v>262463.05555555556</c:v>
              </c:pt>
              <c:pt idx="5">
                <c:v>276801.94444444444</c:v>
              </c:pt>
              <c:pt idx="6">
                <c:v>286211.33333333331</c:v>
              </c:pt>
              <c:pt idx="7">
                <c:v>247867.66666666666</c:v>
              </c:pt>
              <c:pt idx="8">
                <c:v>235723.33333333334</c:v>
              </c:pt>
              <c:pt idx="9">
                <c:v>225749.11111111112</c:v>
              </c:pt>
              <c:pt idx="10">
                <c:v>215207.61111111112</c:v>
              </c:pt>
              <c:pt idx="11">
                <c:v>209831.55555555556</c:v>
              </c:pt>
            </c:numLit>
          </c:val>
          <c:smooth val="0"/>
          <c:extLst>
            <c:ext xmlns:c16="http://schemas.microsoft.com/office/drawing/2014/chart" uri="{C3380CC4-5D6E-409C-BE32-E72D297353CC}">
              <c16:uniqueId val="{00000000-94C4-4291-BFAC-C1654FAA11BD}"/>
            </c:ext>
          </c:extLst>
        </c:ser>
        <c:ser>
          <c:idx val="1"/>
          <c:order val="1"/>
          <c:tx>
            <c:v>2023</c:v>
          </c:tx>
          <c:spPr>
            <a:ln w="28575" cap="rnd">
              <a:solidFill>
                <a:schemeClr val="tx2">
                  <a:lumMod val="50000"/>
                  <a:lumOff val="5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152337.66666666666</c:v>
              </c:pt>
              <c:pt idx="1">
                <c:v>172892.61111111112</c:v>
              </c:pt>
              <c:pt idx="2">
                <c:v>201188.11111111112</c:v>
              </c:pt>
              <c:pt idx="3">
                <c:v>235795.27777777778</c:v>
              </c:pt>
              <c:pt idx="4">
                <c:v>265106.88888888888</c:v>
              </c:pt>
              <c:pt idx="5">
                <c:v>271171.5</c:v>
              </c:pt>
              <c:pt idx="6">
                <c:v>279404.27777777775</c:v>
              </c:pt>
              <c:pt idx="7">
                <c:v>246501.38888888888</c:v>
              </c:pt>
              <c:pt idx="8">
                <c:v>238431.88888888888</c:v>
              </c:pt>
              <c:pt idx="9">
                <c:v>223511.5</c:v>
              </c:pt>
              <c:pt idx="10">
                <c:v>211736.55555555556</c:v>
              </c:pt>
              <c:pt idx="11">
                <c:v>205409.94444444444</c:v>
              </c:pt>
            </c:numLit>
          </c:val>
          <c:smooth val="0"/>
          <c:extLst>
            <c:ext xmlns:c16="http://schemas.microsoft.com/office/drawing/2014/chart" uri="{C3380CC4-5D6E-409C-BE32-E72D297353CC}">
              <c16:uniqueId val="{00000001-94C4-4291-BFAC-C1654FAA11BD}"/>
            </c:ext>
          </c:extLst>
        </c:ser>
        <c:ser>
          <c:idx val="2"/>
          <c:order val="2"/>
          <c:tx>
            <c:v>2024</c:v>
          </c:tx>
          <c:spPr>
            <a:ln w="28575" cap="rnd">
              <a:solidFill>
                <a:schemeClr val="tx2">
                  <a:lumMod val="90000"/>
                  <a:lumOff val="10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152303.16666666666</c:v>
              </c:pt>
              <c:pt idx="1">
                <c:v>172340.05555555556</c:v>
              </c:pt>
              <c:pt idx="2">
                <c:v>202411.27777777778</c:v>
              </c:pt>
              <c:pt idx="3">
                <c:v>233167.66666666666</c:v>
              </c:pt>
              <c:pt idx="4">
                <c:v>260624.55555555556</c:v>
              </c:pt>
              <c:pt idx="5">
                <c:v>265961.88888888888</c:v>
              </c:pt>
              <c:pt idx="6">
                <c:v>274637.55555555556</c:v>
              </c:pt>
              <c:pt idx="7">
                <c:v>241573.16666666666</c:v>
              </c:pt>
              <c:pt idx="8">
                <c:v>230075.61111111112</c:v>
              </c:pt>
              <c:pt idx="9">
                <c:v>219314.5</c:v>
              </c:pt>
              <c:pt idx="10">
                <c:v>209212.11111111112</c:v>
              </c:pt>
              <c:pt idx="11">
                <c:v>202948.72222222222</c:v>
              </c:pt>
            </c:numLit>
          </c:val>
          <c:smooth val="0"/>
          <c:extLst>
            <c:ext xmlns:c16="http://schemas.microsoft.com/office/drawing/2014/chart" uri="{C3380CC4-5D6E-409C-BE32-E72D297353CC}">
              <c16:uniqueId val="{00000002-94C4-4291-BFAC-C1654FAA11BD}"/>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smooth val="0"/>
        <c:axId val="130340640"/>
        <c:axId val="130341120"/>
      </c:lineChart>
      <c:catAx>
        <c:axId val="13034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41120"/>
        <c:crosses val="autoZero"/>
        <c:auto val="1"/>
        <c:lblAlgn val="ctr"/>
        <c:lblOffset val="100"/>
        <c:noMultiLvlLbl val="0"/>
      </c:catAx>
      <c:valAx>
        <c:axId val="130341120"/>
        <c:scaling>
          <c:orientation val="minMax"/>
          <c:min val="1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4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MONTHLY</a:t>
            </a:r>
            <a:r>
              <a:rPr lang="en-US" baseline="0"/>
              <a:t> AVERAGE</a:t>
            </a:r>
            <a:r>
              <a:rPr lang="en-US"/>
              <a:t> PRICE OF SODA BY STATE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DC</c:v>
          </c:tx>
          <c:spPr>
            <a:ln w="38100" cap="flat" cmpd="dbl" algn="ctr">
              <a:solidFill>
                <a:schemeClr val="bg1">
                  <a:lumMod val="75000"/>
                </a:schemeClr>
              </a:solidFill>
              <a:miter lim="800000"/>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0.69993370377592101</c:v>
              </c:pt>
              <c:pt idx="1">
                <c:v>0.69956011088975556</c:v>
              </c:pt>
              <c:pt idx="2">
                <c:v>0.71439092032160101</c:v>
              </c:pt>
              <c:pt idx="3">
                <c:v>0.72484922515119898</c:v>
              </c:pt>
              <c:pt idx="4">
                <c:v>0.71396989816459744</c:v>
              </c:pt>
              <c:pt idx="5">
                <c:v>0.69784919403154699</c:v>
              </c:pt>
              <c:pt idx="6">
                <c:v>0.71510374888938855</c:v>
              </c:pt>
              <c:pt idx="7">
                <c:v>0.706505924558121</c:v>
              </c:pt>
              <c:pt idx="8">
                <c:v>0.68799798386135658</c:v>
              </c:pt>
              <c:pt idx="9">
                <c:v>0.70468971301275152</c:v>
              </c:pt>
              <c:pt idx="10">
                <c:v>0.69243006835291299</c:v>
              </c:pt>
              <c:pt idx="11">
                <c:v>0.70093398297339504</c:v>
              </c:pt>
              <c:pt idx="12">
                <c:v>0.74914067646244153</c:v>
              </c:pt>
              <c:pt idx="13">
                <c:v>0.72171590362176097</c:v>
              </c:pt>
              <c:pt idx="14">
                <c:v>0.70720371140695604</c:v>
              </c:pt>
              <c:pt idx="15">
                <c:v>0.69793751548557847</c:v>
              </c:pt>
              <c:pt idx="16">
                <c:v>0.70082381556250595</c:v>
              </c:pt>
              <c:pt idx="17">
                <c:v>0.71342897588205756</c:v>
              </c:pt>
              <c:pt idx="18">
                <c:v>0.74033527421941048</c:v>
              </c:pt>
              <c:pt idx="19">
                <c:v>0.7138396063382324</c:v>
              </c:pt>
              <c:pt idx="20">
                <c:v>0.70677369168724891</c:v>
              </c:pt>
              <c:pt idx="21">
                <c:v>0.70918400576975349</c:v>
              </c:pt>
              <c:pt idx="22">
                <c:v>0.71522125236585543</c:v>
              </c:pt>
              <c:pt idx="23">
                <c:v>0.72187270989971641</c:v>
              </c:pt>
              <c:pt idx="24">
                <c:v>0.72709308078642843</c:v>
              </c:pt>
              <c:pt idx="25">
                <c:v>0.71826305907780341</c:v>
              </c:pt>
              <c:pt idx="26">
                <c:v>0.73648839409389244</c:v>
              </c:pt>
              <c:pt idx="27">
                <c:v>0.73118487524326203</c:v>
              </c:pt>
              <c:pt idx="28">
                <c:v>0.7295566700614895</c:v>
              </c:pt>
              <c:pt idx="29">
                <c:v>0.75005610003128853</c:v>
              </c:pt>
              <c:pt idx="30">
                <c:v>0.74507045924159598</c:v>
              </c:pt>
              <c:pt idx="31">
                <c:v>0.7441614880009525</c:v>
              </c:pt>
              <c:pt idx="32">
                <c:v>0.76570735774840748</c:v>
              </c:pt>
              <c:pt idx="33">
                <c:v>0.76793497187620607</c:v>
              </c:pt>
              <c:pt idx="34">
                <c:v>0.75776901091289151</c:v>
              </c:pt>
              <c:pt idx="35">
                <c:v>0.74938335429980152</c:v>
              </c:pt>
            </c:numLit>
          </c:val>
          <c:smooth val="0"/>
          <c:extLst>
            <c:ext xmlns:c16="http://schemas.microsoft.com/office/drawing/2014/chart" uri="{C3380CC4-5D6E-409C-BE32-E72D297353CC}">
              <c16:uniqueId val="{00000000-4ECA-4E09-98F5-7EDC48160385}"/>
            </c:ext>
          </c:extLst>
        </c:ser>
        <c:ser>
          <c:idx val="1"/>
          <c:order val="1"/>
          <c:tx>
            <c:v>GA</c:v>
          </c:tx>
          <c:spPr>
            <a:ln w="38100" cap="flat" cmpd="dbl" algn="ctr">
              <a:solidFill>
                <a:schemeClr val="accent2"/>
              </a:solidFill>
              <a:miter lim="800000"/>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0.6525398567291586</c:v>
              </c:pt>
              <c:pt idx="1">
                <c:v>0.6664875915438907</c:v>
              </c:pt>
              <c:pt idx="2">
                <c:v>0.66151718606582688</c:v>
              </c:pt>
              <c:pt idx="3">
                <c:v>0.65429874730165005</c:v>
              </c:pt>
              <c:pt idx="4">
                <c:v>0.6599490695021607</c:v>
              </c:pt>
              <c:pt idx="5">
                <c:v>0.65849786710844982</c:v>
              </c:pt>
              <c:pt idx="6">
                <c:v>0.65798084533029455</c:v>
              </c:pt>
              <c:pt idx="7">
                <c:v>0.66170716674314456</c:v>
              </c:pt>
              <c:pt idx="8">
                <c:v>0.66263534050887918</c:v>
              </c:pt>
              <c:pt idx="9">
                <c:v>0.66457843818571494</c:v>
              </c:pt>
              <c:pt idx="10">
                <c:v>0.66168437747320885</c:v>
              </c:pt>
              <c:pt idx="11">
                <c:v>0.66212489956923337</c:v>
              </c:pt>
              <c:pt idx="12">
                <c:v>0.67659540757691417</c:v>
              </c:pt>
              <c:pt idx="13">
                <c:v>0.67804780123641795</c:v>
              </c:pt>
              <c:pt idx="14">
                <c:v>0.68105939949432115</c:v>
              </c:pt>
              <c:pt idx="15">
                <c:v>0.67808185480586403</c:v>
              </c:pt>
              <c:pt idx="16">
                <c:v>0.67114622219077047</c:v>
              </c:pt>
              <c:pt idx="17">
                <c:v>0.67395867353897976</c:v>
              </c:pt>
              <c:pt idx="18">
                <c:v>0.67717270892383663</c:v>
              </c:pt>
              <c:pt idx="19">
                <c:v>0.6758563296481942</c:v>
              </c:pt>
              <c:pt idx="20">
                <c:v>0.67049096653911566</c:v>
              </c:pt>
              <c:pt idx="21">
                <c:v>0.67856989130167644</c:v>
              </c:pt>
              <c:pt idx="22">
                <c:v>0.68266027802495544</c:v>
              </c:pt>
              <c:pt idx="23">
                <c:v>0.68293860481806867</c:v>
              </c:pt>
              <c:pt idx="24">
                <c:v>0.6915104713853415</c:v>
              </c:pt>
              <c:pt idx="25">
                <c:v>0.69245704887285053</c:v>
              </c:pt>
              <c:pt idx="26">
                <c:v>0.69557503202508164</c:v>
              </c:pt>
              <c:pt idx="27">
                <c:v>0.69489612393475031</c:v>
              </c:pt>
              <c:pt idx="28">
                <c:v>0.69223081391396246</c:v>
              </c:pt>
              <c:pt idx="29">
                <c:v>0.70904154009834852</c:v>
              </c:pt>
              <c:pt idx="30">
                <c:v>0.70224811611356164</c:v>
              </c:pt>
              <c:pt idx="31">
                <c:v>0.70355151699033502</c:v>
              </c:pt>
              <c:pt idx="32">
                <c:v>0.71198588994476308</c:v>
              </c:pt>
              <c:pt idx="33">
                <c:v>0.70742707764187984</c:v>
              </c:pt>
              <c:pt idx="34">
                <c:v>0.71126745964802007</c:v>
              </c:pt>
              <c:pt idx="35">
                <c:v>0.71190017694904295</c:v>
              </c:pt>
            </c:numLit>
          </c:val>
          <c:smooth val="0"/>
          <c:extLst>
            <c:ext xmlns:c16="http://schemas.microsoft.com/office/drawing/2014/chart" uri="{C3380CC4-5D6E-409C-BE32-E72D297353CC}">
              <c16:uniqueId val="{00000001-4ECA-4E09-98F5-7EDC48160385}"/>
            </c:ext>
          </c:extLst>
        </c:ser>
        <c:ser>
          <c:idx val="2"/>
          <c:order val="2"/>
          <c:tx>
            <c:v>MD</c:v>
          </c:tx>
          <c:spPr>
            <a:ln w="38100" cap="flat" cmpd="dbl" algn="ctr">
              <a:solidFill>
                <a:schemeClr val="accent3"/>
              </a:solidFill>
              <a:miter lim="800000"/>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0.69783088727074671</c:v>
              </c:pt>
              <c:pt idx="1">
                <c:v>0.70880740674171205</c:v>
              </c:pt>
              <c:pt idx="2">
                <c:v>0.70765072141869623</c:v>
              </c:pt>
              <c:pt idx="3">
                <c:v>0.70531234836322754</c:v>
              </c:pt>
              <c:pt idx="4">
                <c:v>0.70820759448183457</c:v>
              </c:pt>
              <c:pt idx="5">
                <c:v>0.70647670792026984</c:v>
              </c:pt>
              <c:pt idx="6">
                <c:v>0.70695623600558399</c:v>
              </c:pt>
              <c:pt idx="7">
                <c:v>0.70348664091427437</c:v>
              </c:pt>
              <c:pt idx="8">
                <c:v>0.70572366989992785</c:v>
              </c:pt>
              <c:pt idx="9">
                <c:v>0.71756959934771503</c:v>
              </c:pt>
              <c:pt idx="10">
                <c:v>0.70328696843390082</c:v>
              </c:pt>
              <c:pt idx="11">
                <c:v>0.7034618841990482</c:v>
              </c:pt>
              <c:pt idx="12">
                <c:v>0.7280954847540364</c:v>
              </c:pt>
              <c:pt idx="13">
                <c:v>0.73073487039967344</c:v>
              </c:pt>
              <c:pt idx="14">
                <c:v>0.73335677761087592</c:v>
              </c:pt>
              <c:pt idx="15">
                <c:v>0.72376349217774638</c:v>
              </c:pt>
              <c:pt idx="16">
                <c:v>0.72003684397258416</c:v>
              </c:pt>
              <c:pt idx="17">
                <c:v>0.72027486564815713</c:v>
              </c:pt>
              <c:pt idx="18">
                <c:v>0.72665701954216777</c:v>
              </c:pt>
              <c:pt idx="19">
                <c:v>0.72771813444145839</c:v>
              </c:pt>
              <c:pt idx="20">
                <c:v>0.71886533147073506</c:v>
              </c:pt>
              <c:pt idx="21">
                <c:v>0.73473966698448079</c:v>
              </c:pt>
              <c:pt idx="22">
                <c:v>0.7393738335782839</c:v>
              </c:pt>
              <c:pt idx="23">
                <c:v>0.72904001973029553</c:v>
              </c:pt>
              <c:pt idx="24">
                <c:v>0.74988057686851806</c:v>
              </c:pt>
              <c:pt idx="25">
                <c:v>0.74552472791514612</c:v>
              </c:pt>
              <c:pt idx="26">
                <c:v>0.75356721383652692</c:v>
              </c:pt>
              <c:pt idx="27">
                <c:v>0.75655354973742428</c:v>
              </c:pt>
              <c:pt idx="28">
                <c:v>0.75776979964554791</c:v>
              </c:pt>
              <c:pt idx="29">
                <c:v>0.76670540881755012</c:v>
              </c:pt>
              <c:pt idx="30">
                <c:v>0.7632335794753804</c:v>
              </c:pt>
              <c:pt idx="31">
                <c:v>0.76203933946305891</c:v>
              </c:pt>
              <c:pt idx="32">
                <c:v>0.76372346714399852</c:v>
              </c:pt>
              <c:pt idx="33">
                <c:v>0.77584125232699008</c:v>
              </c:pt>
              <c:pt idx="34">
                <c:v>0.77304993177242975</c:v>
              </c:pt>
              <c:pt idx="35">
                <c:v>0.77352310655443068</c:v>
              </c:pt>
            </c:numLit>
          </c:val>
          <c:smooth val="0"/>
          <c:extLst>
            <c:ext xmlns:c16="http://schemas.microsoft.com/office/drawing/2014/chart" uri="{C3380CC4-5D6E-409C-BE32-E72D297353CC}">
              <c16:uniqueId val="{00000002-4ECA-4E09-98F5-7EDC48160385}"/>
            </c:ext>
          </c:extLst>
        </c:ser>
        <c:ser>
          <c:idx val="3"/>
          <c:order val="3"/>
          <c:tx>
            <c:v>NC</c:v>
          </c:tx>
          <c:spPr>
            <a:ln w="38100" cap="flat" cmpd="dbl" algn="ctr">
              <a:solidFill>
                <a:schemeClr val="accent4"/>
              </a:solidFill>
              <a:miter lim="800000"/>
            </a:ln>
            <a:effectLst/>
          </c:spPr>
          <c:marker>
            <c:symbol val="none"/>
          </c:marker>
          <c:dLbls>
            <c:dLbl>
              <c:idx val="18"/>
              <c:layout>
                <c:manualLayout>
                  <c:x val="-5.7512580877067563E-3"/>
                  <c:y val="-9.2715231788079472E-2"/>
                </c:manualLayout>
              </c:layout>
              <c:tx>
                <c:rich>
                  <a:bodyPr/>
                  <a:lstStyle/>
                  <a:p>
                    <a:fld id="{FD7A873F-7E78-4CA4-8C16-CDC72822281D}" type="CATEGORYNAME">
                      <a:rPr lang="en-US"/>
                      <a:pPr/>
                      <a:t>[CATEGORY NAME]</a:t>
                    </a:fld>
                    <a:r>
                      <a:rPr lang="en-US"/>
                      <a:t>, 5%</a:t>
                    </a:r>
                    <a:r>
                      <a:rPr lang="en-US" baseline="0"/>
                      <a:t> soda tax for NC</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4ECA-4E09-98F5-7EDC481603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0.70816545076317117</c:v>
              </c:pt>
              <c:pt idx="1">
                <c:v>0.71083870509762004</c:v>
              </c:pt>
              <c:pt idx="2">
                <c:v>0.71234468668573259</c:v>
              </c:pt>
              <c:pt idx="3">
                <c:v>0.71455896349057468</c:v>
              </c:pt>
              <c:pt idx="4">
                <c:v>0.71209589811472274</c:v>
              </c:pt>
              <c:pt idx="5">
                <c:v>0.71335737249479025</c:v>
              </c:pt>
              <c:pt idx="6">
                <c:v>0.71832156953024395</c:v>
              </c:pt>
              <c:pt idx="7">
                <c:v>0.71535815371367706</c:v>
              </c:pt>
              <c:pt idx="8">
                <c:v>0.71083782151901043</c:v>
              </c:pt>
              <c:pt idx="9">
                <c:v>0.71470789187126016</c:v>
              </c:pt>
              <c:pt idx="10">
                <c:v>0.71219049986708283</c:v>
              </c:pt>
              <c:pt idx="11">
                <c:v>0.71491176539027135</c:v>
              </c:pt>
              <c:pt idx="12">
                <c:v>0.72726510147796741</c:v>
              </c:pt>
              <c:pt idx="13">
                <c:v>0.73512482943427193</c:v>
              </c:pt>
              <c:pt idx="14">
                <c:v>0.73369035445743702</c:v>
              </c:pt>
              <c:pt idx="15">
                <c:v>0.73075375213820648</c:v>
              </c:pt>
              <c:pt idx="16">
                <c:v>0.71973539442122425</c:v>
              </c:pt>
              <c:pt idx="17">
                <c:v>0.72374063072221217</c:v>
              </c:pt>
              <c:pt idx="18">
                <c:v>0.76438619319249146</c:v>
              </c:pt>
              <c:pt idx="19">
                <c:v>0.75993563951907028</c:v>
              </c:pt>
              <c:pt idx="20">
                <c:v>0.76345161633759229</c:v>
              </c:pt>
              <c:pt idx="21">
                <c:v>0.76940298159292531</c:v>
              </c:pt>
              <c:pt idx="22">
                <c:v>0.7648219994959381</c:v>
              </c:pt>
              <c:pt idx="23">
                <c:v>0.75910234150184952</c:v>
              </c:pt>
              <c:pt idx="24">
                <c:v>0.785345103845693</c:v>
              </c:pt>
              <c:pt idx="25">
                <c:v>0.78718382345506388</c:v>
              </c:pt>
              <c:pt idx="26">
                <c:v>0.78981961818097512</c:v>
              </c:pt>
              <c:pt idx="27">
                <c:v>0.79097759906745591</c:v>
              </c:pt>
              <c:pt idx="28">
                <c:v>0.78555179953924525</c:v>
              </c:pt>
              <c:pt idx="29">
                <c:v>0.79144454723900226</c:v>
              </c:pt>
              <c:pt idx="30">
                <c:v>0.78646437545068737</c:v>
              </c:pt>
              <c:pt idx="31">
                <c:v>0.79830408402949216</c:v>
              </c:pt>
              <c:pt idx="32">
                <c:v>0.8019020120390834</c:v>
              </c:pt>
              <c:pt idx="33">
                <c:v>0.79870809990187841</c:v>
              </c:pt>
              <c:pt idx="34">
                <c:v>0.80254510272236312</c:v>
              </c:pt>
              <c:pt idx="35">
                <c:v>0.80258644211696806</c:v>
              </c:pt>
            </c:numLit>
          </c:val>
          <c:smooth val="0"/>
          <c:extLst>
            <c:ext xmlns:c16="http://schemas.microsoft.com/office/drawing/2014/chart" uri="{C3380CC4-5D6E-409C-BE32-E72D297353CC}">
              <c16:uniqueId val="{00000003-4ECA-4E09-98F5-7EDC48160385}"/>
            </c:ext>
          </c:extLst>
        </c:ser>
        <c:ser>
          <c:idx val="4"/>
          <c:order val="4"/>
          <c:tx>
            <c:v>VA</c:v>
          </c:tx>
          <c:spPr>
            <a:ln w="38100" cap="flat" cmpd="sng" algn="ctr">
              <a:solidFill>
                <a:srgbClr val="1A4480"/>
              </a:solidFill>
              <a:miter lim="800000"/>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0.70044462788648998</c:v>
              </c:pt>
              <c:pt idx="1">
                <c:v>0.71001910303103166</c:v>
              </c:pt>
              <c:pt idx="2">
                <c:v>0.71637503241379241</c:v>
              </c:pt>
              <c:pt idx="3">
                <c:v>0.71024753666340934</c:v>
              </c:pt>
              <c:pt idx="4">
                <c:v>0.71357000355669187</c:v>
              </c:pt>
              <c:pt idx="5">
                <c:v>0.71058610519639143</c:v>
              </c:pt>
              <c:pt idx="6">
                <c:v>0.7075442097754352</c:v>
              </c:pt>
              <c:pt idx="7">
                <c:v>0.7124524288232319</c:v>
              </c:pt>
              <c:pt idx="8">
                <c:v>0.71225438947561992</c:v>
              </c:pt>
              <c:pt idx="9">
                <c:v>0.71017007113370223</c:v>
              </c:pt>
              <c:pt idx="10">
                <c:v>0.71286734640063698</c:v>
              </c:pt>
              <c:pt idx="11">
                <c:v>0.70702393849360257</c:v>
              </c:pt>
              <c:pt idx="12">
                <c:v>0.72811864475811283</c:v>
              </c:pt>
              <c:pt idx="13">
                <c:v>0.7239114326749192</c:v>
              </c:pt>
              <c:pt idx="14">
                <c:v>0.72791865116936871</c:v>
              </c:pt>
              <c:pt idx="15">
                <c:v>0.72839351932946406</c:v>
              </c:pt>
              <c:pt idx="16">
                <c:v>0.71950149193162238</c:v>
              </c:pt>
              <c:pt idx="17">
                <c:v>0.71818945359794428</c:v>
              </c:pt>
              <c:pt idx="18">
                <c:v>0.72388842827734878</c:v>
              </c:pt>
              <c:pt idx="19">
                <c:v>0.72000053424429578</c:v>
              </c:pt>
              <c:pt idx="20">
                <c:v>0.72253589390413242</c:v>
              </c:pt>
              <c:pt idx="21">
                <c:v>0.72533536263267451</c:v>
              </c:pt>
              <c:pt idx="22">
                <c:v>0.72760397394027565</c:v>
              </c:pt>
              <c:pt idx="23">
                <c:v>0.72404524792093572</c:v>
              </c:pt>
              <c:pt idx="24">
                <c:v>0.73801166385761341</c:v>
              </c:pt>
              <c:pt idx="25">
                <c:v>0.73913097363068769</c:v>
              </c:pt>
              <c:pt idx="26">
                <c:v>0.74747223742875757</c:v>
              </c:pt>
              <c:pt idx="27">
                <c:v>0.75153553115885785</c:v>
              </c:pt>
              <c:pt idx="28">
                <c:v>0.74002741173593556</c:v>
              </c:pt>
              <c:pt idx="29">
                <c:v>0.75609583800967939</c:v>
              </c:pt>
              <c:pt idx="30">
                <c:v>0.75010731284596943</c:v>
              </c:pt>
              <c:pt idx="31">
                <c:v>0.76242277594650543</c:v>
              </c:pt>
              <c:pt idx="32">
                <c:v>0.76096371938769369</c:v>
              </c:pt>
              <c:pt idx="33">
                <c:v>0.76337152072405534</c:v>
              </c:pt>
              <c:pt idx="34">
                <c:v>0.76877002349109858</c:v>
              </c:pt>
              <c:pt idx="35">
                <c:v>0.76590358825309357</c:v>
              </c:pt>
            </c:numLit>
          </c:val>
          <c:smooth val="0"/>
          <c:extLst>
            <c:ext xmlns:c16="http://schemas.microsoft.com/office/drawing/2014/chart" uri="{C3380CC4-5D6E-409C-BE32-E72D297353CC}">
              <c16:uniqueId val="{00000004-4ECA-4E09-98F5-7EDC48160385}"/>
            </c:ext>
          </c:extLst>
        </c:ser>
        <c:ser>
          <c:idx val="5"/>
          <c:order val="5"/>
          <c:tx>
            <c:v>WV</c:v>
          </c:tx>
          <c:spPr>
            <a:ln w="38100" cap="flat" cmpd="dbl" algn="ctr">
              <a:solidFill>
                <a:schemeClr val="accent5">
                  <a:lumMod val="40000"/>
                  <a:lumOff val="60000"/>
                </a:schemeClr>
              </a:solidFill>
              <a:miter lim="800000"/>
            </a:ln>
            <a:effectLst/>
          </c:spPr>
          <c:marker>
            <c:symbol val="none"/>
          </c:marker>
          <c:dLbls>
            <c:dLbl>
              <c:idx val="12"/>
              <c:layout>
                <c:manualLayout>
                  <c:x val="1.2461059190031083E-2"/>
                  <c:y val="-0.13245033112582777"/>
                </c:manualLayout>
              </c:layout>
              <c:tx>
                <c:rich>
                  <a:bodyPr/>
                  <a:lstStyle/>
                  <a:p>
                    <a:fld id="{B2B3B91A-4A6D-48DE-8096-32F2A1DE60D0}" type="CATEGORYNAME">
                      <a:rPr lang="en-US"/>
                      <a:pPr/>
                      <a:t>[CATEGORY NAME]</a:t>
                    </a:fld>
                    <a:r>
                      <a:rPr lang="en-US"/>
                      <a:t>, 1% soda tax for MD</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4ECA-4E09-98F5-7EDC48160385}"/>
                </c:ext>
              </c:extLst>
            </c:dLbl>
            <c:dLbl>
              <c:idx val="24"/>
              <c:layout>
                <c:manualLayout>
                  <c:x val="2.875629043853343E-3"/>
                  <c:y val="-0.17660044150110379"/>
                </c:manualLayout>
              </c:layout>
              <c:tx>
                <c:rich>
                  <a:bodyPr/>
                  <a:lstStyle/>
                  <a:p>
                    <a:fld id="{020C069E-8D7B-430B-8ACB-FE528444E2E2}" type="CATEGORYNAME">
                      <a:rPr lang="en-US"/>
                      <a:pPr/>
                      <a:t>[CATEGORY NAME]</a:t>
                    </a:fld>
                    <a:r>
                      <a:rPr lang="en-US"/>
                      <a:t>, 2% soda tax for MD</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4ECA-4E09-98F5-7EDC481603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0.69985999827750733</c:v>
              </c:pt>
              <c:pt idx="1">
                <c:v>0.7076137783621218</c:v>
              </c:pt>
              <c:pt idx="2">
                <c:v>0.71172193801754713</c:v>
              </c:pt>
              <c:pt idx="3">
                <c:v>0.71924789875468997</c:v>
              </c:pt>
              <c:pt idx="4">
                <c:v>0.71381345892828363</c:v>
              </c:pt>
              <c:pt idx="5">
                <c:v>0.7093730247628014</c:v>
              </c:pt>
              <c:pt idx="6">
                <c:v>0.71790214098482263</c:v>
              </c:pt>
              <c:pt idx="7">
                <c:v>0.71417260824724882</c:v>
              </c:pt>
              <c:pt idx="8">
                <c:v>0.70871307859658073</c:v>
              </c:pt>
              <c:pt idx="9">
                <c:v>0.70972340328027406</c:v>
              </c:pt>
              <c:pt idx="10">
                <c:v>0.71034237346957829</c:v>
              </c:pt>
              <c:pt idx="11">
                <c:v>0.70837131310259593</c:v>
              </c:pt>
              <c:pt idx="12">
                <c:v>0.72986431628657411</c:v>
              </c:pt>
              <c:pt idx="13">
                <c:v>0.72763582581079034</c:v>
              </c:pt>
              <c:pt idx="14">
                <c:v>0.736003234469776</c:v>
              </c:pt>
              <c:pt idx="15">
                <c:v>0.72074640484661545</c:v>
              </c:pt>
              <c:pt idx="16">
                <c:v>0.71985062112070675</c:v>
              </c:pt>
              <c:pt idx="17">
                <c:v>0.72346641693536162</c:v>
              </c:pt>
              <c:pt idx="18">
                <c:v>0.72997758429131909</c:v>
              </c:pt>
              <c:pt idx="19">
                <c:v>0.72147813330277399</c:v>
              </c:pt>
              <c:pt idx="20">
                <c:v>0.72187559181697503</c:v>
              </c:pt>
              <c:pt idx="21">
                <c:v>0.72594096352155379</c:v>
              </c:pt>
              <c:pt idx="22">
                <c:v>0.73721144160528262</c:v>
              </c:pt>
              <c:pt idx="23">
                <c:v>0.73179260913588295</c:v>
              </c:pt>
              <c:pt idx="24">
                <c:v>0.74640436071342608</c:v>
              </c:pt>
              <c:pt idx="25">
                <c:v>0.73755728618564664</c:v>
              </c:pt>
              <c:pt idx="26">
                <c:v>0.75585488267414458</c:v>
              </c:pt>
              <c:pt idx="27">
                <c:v>0.75241294891070454</c:v>
              </c:pt>
              <c:pt idx="28">
                <c:v>0.74870753716878746</c:v>
              </c:pt>
              <c:pt idx="29">
                <c:v>0.76060772393972131</c:v>
              </c:pt>
              <c:pt idx="30">
                <c:v>0.75697011787702606</c:v>
              </c:pt>
              <c:pt idx="31">
                <c:v>0.75420647529190643</c:v>
              </c:pt>
              <c:pt idx="32">
                <c:v>0.76500582135754669</c:v>
              </c:pt>
              <c:pt idx="33">
                <c:v>0.76728638226325552</c:v>
              </c:pt>
              <c:pt idx="34">
                <c:v>0.75927729251243847</c:v>
              </c:pt>
              <c:pt idx="35">
                <c:v>0.77026082027247766</c:v>
              </c:pt>
            </c:numLit>
          </c:val>
          <c:smooth val="0"/>
          <c:extLst>
            <c:ext xmlns:c16="http://schemas.microsoft.com/office/drawing/2014/chart" uri="{C3380CC4-5D6E-409C-BE32-E72D297353CC}">
              <c16:uniqueId val="{00000005-4ECA-4E09-98F5-7EDC48160385}"/>
            </c:ext>
          </c:extLst>
        </c:ser>
        <c:dLbls>
          <c:showLegendKey val="0"/>
          <c:showVal val="0"/>
          <c:showCatName val="0"/>
          <c:showSerName val="0"/>
          <c:showPercent val="0"/>
          <c:showBubbleSize val="0"/>
        </c:dLbls>
        <c:smooth val="0"/>
        <c:axId val="178187568"/>
        <c:axId val="178187088"/>
      </c:lineChart>
      <c:catAx>
        <c:axId val="178187568"/>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87088"/>
        <c:crosses val="autoZero"/>
        <c:auto val="1"/>
        <c:lblAlgn val="ctr"/>
        <c:lblOffset val="100"/>
        <c:noMultiLvlLbl val="0"/>
      </c:catAx>
      <c:valAx>
        <c:axId val="178187088"/>
        <c:scaling>
          <c:orientation val="minMax"/>
          <c:min val="0.60000000000000009"/>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87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baseline="0"/>
              <a:t>MONTHLY AVERAGE SODA UNITS SOLD BY STATE</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DC</c:v>
          </c:tx>
          <c:spPr>
            <a:ln w="38100" cap="flat" cmpd="dbl" algn="ctr">
              <a:solidFill>
                <a:schemeClr val="bg1">
                  <a:lumMod val="75000"/>
                </a:schemeClr>
              </a:solidFill>
              <a:miter lim="800000"/>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142409.5</c:v>
              </c:pt>
              <c:pt idx="1">
                <c:v>158438</c:v>
              </c:pt>
              <c:pt idx="2">
                <c:v>188952.5</c:v>
              </c:pt>
              <c:pt idx="3">
                <c:v>214627.5</c:v>
              </c:pt>
              <c:pt idx="4">
                <c:v>233731</c:v>
              </c:pt>
              <c:pt idx="5">
                <c:v>249603</c:v>
              </c:pt>
              <c:pt idx="6">
                <c:v>252094</c:v>
              </c:pt>
              <c:pt idx="7">
                <c:v>223142</c:v>
              </c:pt>
              <c:pt idx="8">
                <c:v>220461</c:v>
              </c:pt>
              <c:pt idx="9">
                <c:v>207800</c:v>
              </c:pt>
              <c:pt idx="10">
                <c:v>196738.5</c:v>
              </c:pt>
              <c:pt idx="11">
                <c:v>191832.5</c:v>
              </c:pt>
              <c:pt idx="12">
                <c:v>134659.5</c:v>
              </c:pt>
              <c:pt idx="13">
                <c:v>159146</c:v>
              </c:pt>
              <c:pt idx="14">
                <c:v>186377</c:v>
              </c:pt>
              <c:pt idx="15">
                <c:v>222261</c:v>
              </c:pt>
              <c:pt idx="16">
                <c:v>241009.5</c:v>
              </c:pt>
              <c:pt idx="17">
                <c:v>242979.5</c:v>
              </c:pt>
              <c:pt idx="18">
                <c:v>249803.5</c:v>
              </c:pt>
              <c:pt idx="19">
                <c:v>220650</c:v>
              </c:pt>
              <c:pt idx="20">
                <c:v>220231</c:v>
              </c:pt>
              <c:pt idx="21">
                <c:v>202882</c:v>
              </c:pt>
              <c:pt idx="22">
                <c:v>193233.5</c:v>
              </c:pt>
              <c:pt idx="23">
                <c:v>190493</c:v>
              </c:pt>
              <c:pt idx="24">
                <c:v>140574</c:v>
              </c:pt>
              <c:pt idx="25">
                <c:v>154633</c:v>
              </c:pt>
              <c:pt idx="26">
                <c:v>180399</c:v>
              </c:pt>
              <c:pt idx="27">
                <c:v>214418</c:v>
              </c:pt>
              <c:pt idx="28">
                <c:v>240207</c:v>
              </c:pt>
              <c:pt idx="29">
                <c:v>240307</c:v>
              </c:pt>
              <c:pt idx="30">
                <c:v>252684.5</c:v>
              </c:pt>
              <c:pt idx="31">
                <c:v>219820</c:v>
              </c:pt>
              <c:pt idx="32">
                <c:v>208276</c:v>
              </c:pt>
              <c:pt idx="33">
                <c:v>196528</c:v>
              </c:pt>
              <c:pt idx="34">
                <c:v>185096.5</c:v>
              </c:pt>
              <c:pt idx="35">
                <c:v>182393</c:v>
              </c:pt>
            </c:numLit>
          </c:val>
          <c:smooth val="0"/>
          <c:extLst>
            <c:ext xmlns:c16="http://schemas.microsoft.com/office/drawing/2014/chart" uri="{C3380CC4-5D6E-409C-BE32-E72D297353CC}">
              <c16:uniqueId val="{00000000-B549-4CC9-811E-55ABBAA71D96}"/>
            </c:ext>
          </c:extLst>
        </c:ser>
        <c:ser>
          <c:idx val="1"/>
          <c:order val="1"/>
          <c:tx>
            <c:v>GA</c:v>
          </c:tx>
          <c:spPr>
            <a:ln w="38100" cap="flat" cmpd="dbl" algn="ctr">
              <a:solidFill>
                <a:schemeClr val="accent2"/>
              </a:solidFill>
              <a:miter lim="800000"/>
            </a:ln>
            <a:effectLst/>
          </c:spPr>
          <c:marker>
            <c:symbol val="none"/>
          </c:marker>
          <c:dLbls>
            <c:dLbl>
              <c:idx val="6"/>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75000"/>
                            <a:lumOff val="25000"/>
                          </a:sysClr>
                        </a:solidFill>
                        <a:latin typeface="+mn-lt"/>
                        <a:ea typeface="+mn-ea"/>
                        <a:cs typeface="+mn-cs"/>
                      </a:defRPr>
                    </a:pPr>
                    <a:fld id="{CF3E6EED-FF89-4735-BBA6-1B4BA8081C40}" type="CATEGORYNAME">
                      <a:rPr lang="en-US"/>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t>[CATEGORY NAME]</a:t>
                    </a:fld>
                    <a:r>
                      <a:rPr lang="en-US"/>
                      <a:t>,</a:t>
                    </a:r>
                    <a:r>
                      <a:rPr lang="en-US" sz="900" kern="1200"/>
                      <a:t>Summer sales peak</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endParaRPr lang="en-US"/>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549-4CC9-811E-55ABBAA71D96}"/>
                </c:ext>
              </c:extLst>
            </c:dLbl>
            <c:dLbl>
              <c:idx val="18"/>
              <c:layout>
                <c:manualLayout>
                  <c:x val="9.5923261390887292E-4"/>
                  <c:y val="-3.0735455543358946E-2"/>
                </c:manualLayout>
              </c:layout>
              <c:tx>
                <c:rich>
                  <a:bodyPr/>
                  <a:lstStyle/>
                  <a:p>
                    <a:fld id="{234BB0A2-594D-4CD0-85E5-06A9CCB3AF6A}"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{234BB0A2-594D-4CD0-85E5-06A9CCB3AF6A}</c15:txfldGUID>
                      <c15:f>"July 2023"</c15:f>
                      <c15:dlblFieldTableCache>
                        <c:ptCount val="1"/>
                        <c:pt idx="0">
                          <c:v>July 2023</c:v>
                        </c:pt>
                      </c15:dlblFieldTableCache>
                    </c15:dlblFTEntry>
                  </c15:dlblFieldTable>
                  <c15:showDataLabelsRange val="0"/>
                </c:ext>
                <c:ext xmlns:c16="http://schemas.microsoft.com/office/drawing/2014/chart" uri="{C3380CC4-5D6E-409C-BE32-E72D297353CC}">
                  <c16:uniqueId val="{00000002-B549-4CC9-811E-55ABBAA71D96}"/>
                </c:ext>
              </c:extLst>
            </c:dLbl>
            <c:dLbl>
              <c:idx val="30"/>
              <c:layout>
                <c:manualLayout>
                  <c:x val="5.755395683453097E-3"/>
                  <c:y val="-6.5861690450054883E-2"/>
                </c:manualLayout>
              </c:layout>
              <c:tx>
                <c:rich>
                  <a:bodyPr/>
                  <a:lstStyle/>
                  <a:p>
                    <a:fld id="{FFAB8A16-DAD3-49F3-BBC0-65D16674CEDE}"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{FFAB8A16-DAD3-49F3-BBC0-65D16674CEDE}</c15:txfldGUID>
                      <c15:f>"July 2024"</c15:f>
                      <c15:dlblFieldTableCache>
                        <c:ptCount val="1"/>
                        <c:pt idx="0">
                          <c:v>July 2024</c:v>
                        </c:pt>
                      </c15:dlblFieldTableCache>
                    </c15:dlblFTEntry>
                  </c15:dlblFieldTable>
                  <c15:showDataLabelsRange val="0"/>
                </c:ext>
                <c:ext xmlns:c16="http://schemas.microsoft.com/office/drawing/2014/chart" uri="{C3380CC4-5D6E-409C-BE32-E72D297353CC}">
                  <c16:uniqueId val="{00000003-B549-4CC9-811E-55ABBAA71D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156045.05555555556</c:v>
              </c:pt>
              <c:pt idx="1">
                <c:v>172986.66666666666</c:v>
              </c:pt>
              <c:pt idx="2">
                <c:v>205595.05555555556</c:v>
              </c:pt>
              <c:pt idx="3">
                <c:v>241856.44444444444</c:v>
              </c:pt>
              <c:pt idx="4">
                <c:v>262463.05555555556</c:v>
              </c:pt>
              <c:pt idx="5">
                <c:v>276801.94444444444</c:v>
              </c:pt>
              <c:pt idx="6">
                <c:v>286211.33333333331</c:v>
              </c:pt>
              <c:pt idx="7">
                <c:v>247867.66666666666</c:v>
              </c:pt>
              <c:pt idx="8">
                <c:v>235723.33333333334</c:v>
              </c:pt>
              <c:pt idx="9">
                <c:v>225749.11111111112</c:v>
              </c:pt>
              <c:pt idx="10">
                <c:v>215207.61111111112</c:v>
              </c:pt>
              <c:pt idx="11">
                <c:v>209831.55555555556</c:v>
              </c:pt>
              <c:pt idx="12">
                <c:v>152337.66666666666</c:v>
              </c:pt>
              <c:pt idx="13">
                <c:v>172892.61111111112</c:v>
              </c:pt>
              <c:pt idx="14">
                <c:v>201188.11111111112</c:v>
              </c:pt>
              <c:pt idx="15">
                <c:v>235795.27777777778</c:v>
              </c:pt>
              <c:pt idx="16">
                <c:v>265106.88888888888</c:v>
              </c:pt>
              <c:pt idx="17">
                <c:v>271171.5</c:v>
              </c:pt>
              <c:pt idx="18">
                <c:v>279404.27777777775</c:v>
              </c:pt>
              <c:pt idx="19">
                <c:v>246501.38888888888</c:v>
              </c:pt>
              <c:pt idx="20">
                <c:v>238431.88888888888</c:v>
              </c:pt>
              <c:pt idx="21">
                <c:v>223511.5</c:v>
              </c:pt>
              <c:pt idx="22">
                <c:v>211736.55555555556</c:v>
              </c:pt>
              <c:pt idx="23">
                <c:v>205409.94444444444</c:v>
              </c:pt>
              <c:pt idx="24">
                <c:v>152303.16666666666</c:v>
              </c:pt>
              <c:pt idx="25">
                <c:v>172340.05555555556</c:v>
              </c:pt>
              <c:pt idx="26">
                <c:v>202411.27777777778</c:v>
              </c:pt>
              <c:pt idx="27">
                <c:v>233167.66666666666</c:v>
              </c:pt>
              <c:pt idx="28">
                <c:v>260624.55555555556</c:v>
              </c:pt>
              <c:pt idx="29">
                <c:v>265961.88888888888</c:v>
              </c:pt>
              <c:pt idx="30">
                <c:v>274637.55555555556</c:v>
              </c:pt>
              <c:pt idx="31">
                <c:v>241573.16666666666</c:v>
              </c:pt>
              <c:pt idx="32">
                <c:v>230075.61111111112</c:v>
              </c:pt>
              <c:pt idx="33">
                <c:v>219314.5</c:v>
              </c:pt>
              <c:pt idx="34">
                <c:v>209212.11111111112</c:v>
              </c:pt>
              <c:pt idx="35">
                <c:v>202948.72222222222</c:v>
              </c:pt>
            </c:numLit>
          </c:val>
          <c:smooth val="0"/>
          <c:extLst>
            <c:ext xmlns:c16="http://schemas.microsoft.com/office/drawing/2014/chart" uri="{C3380CC4-5D6E-409C-BE32-E72D297353CC}">
              <c16:uniqueId val="{00000004-B549-4CC9-811E-55ABBAA71D96}"/>
            </c:ext>
          </c:extLst>
        </c:ser>
        <c:ser>
          <c:idx val="2"/>
          <c:order val="2"/>
          <c:tx>
            <c:v>MD</c:v>
          </c:tx>
          <c:spPr>
            <a:ln w="38100" cap="flat" cmpd="dbl" algn="ctr">
              <a:solidFill>
                <a:schemeClr val="accent3"/>
              </a:solidFill>
              <a:miter lim="800000"/>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134524.6</c:v>
              </c:pt>
              <c:pt idx="1">
                <c:v>150425</c:v>
              </c:pt>
              <c:pt idx="2">
                <c:v>177356.53333333333</c:v>
              </c:pt>
              <c:pt idx="3">
                <c:v>206735.33333333334</c:v>
              </c:pt>
              <c:pt idx="4">
                <c:v>226853.26666666666</c:v>
              </c:pt>
              <c:pt idx="5">
                <c:v>234905.66666666666</c:v>
              </c:pt>
              <c:pt idx="6">
                <c:v>243014.26666666666</c:v>
              </c:pt>
              <c:pt idx="7">
                <c:v>212760.46666666667</c:v>
              </c:pt>
              <c:pt idx="8">
                <c:v>204970.86666666667</c:v>
              </c:pt>
              <c:pt idx="9">
                <c:v>193379.53333333333</c:v>
              </c:pt>
              <c:pt idx="10">
                <c:v>186938.8</c:v>
              </c:pt>
              <c:pt idx="11">
                <c:v>182250.33333333334</c:v>
              </c:pt>
              <c:pt idx="12">
                <c:v>130427</c:v>
              </c:pt>
              <c:pt idx="13">
                <c:v>148543.53333333333</c:v>
              </c:pt>
              <c:pt idx="14">
                <c:v>173472.73333333334</c:v>
              </c:pt>
              <c:pt idx="15">
                <c:v>202568.93333333332</c:v>
              </c:pt>
              <c:pt idx="16">
                <c:v>226863</c:v>
              </c:pt>
              <c:pt idx="17">
                <c:v>233647.26666666666</c:v>
              </c:pt>
              <c:pt idx="18">
                <c:v>240871.6</c:v>
              </c:pt>
              <c:pt idx="19">
                <c:v>210560.86666666667</c:v>
              </c:pt>
              <c:pt idx="20">
                <c:v>203746.86666666667</c:v>
              </c:pt>
              <c:pt idx="21">
                <c:v>191384.53333333333</c:v>
              </c:pt>
              <c:pt idx="22">
                <c:v>181296.6</c:v>
              </c:pt>
              <c:pt idx="23">
                <c:v>178860.53333333333</c:v>
              </c:pt>
              <c:pt idx="24">
                <c:v>129125.6</c:v>
              </c:pt>
              <c:pt idx="25">
                <c:v>146427.53333333333</c:v>
              </c:pt>
              <c:pt idx="26">
                <c:v>173362.2</c:v>
              </c:pt>
              <c:pt idx="27">
                <c:v>198929.73333333334</c:v>
              </c:pt>
              <c:pt idx="28">
                <c:v>220027</c:v>
              </c:pt>
              <c:pt idx="29">
                <c:v>226147.4</c:v>
              </c:pt>
              <c:pt idx="30">
                <c:v>234228.73333333334</c:v>
              </c:pt>
              <c:pt idx="31">
                <c:v>205366.26666666666</c:v>
              </c:pt>
              <c:pt idx="32">
                <c:v>196813.66666666666</c:v>
              </c:pt>
              <c:pt idx="33">
                <c:v>185404.4</c:v>
              </c:pt>
              <c:pt idx="34">
                <c:v>176393.60000000001</c:v>
              </c:pt>
              <c:pt idx="35">
                <c:v>172009.13333333333</c:v>
              </c:pt>
            </c:numLit>
          </c:val>
          <c:smooth val="0"/>
          <c:extLst>
            <c:ext xmlns:c16="http://schemas.microsoft.com/office/drawing/2014/chart" uri="{C3380CC4-5D6E-409C-BE32-E72D297353CC}">
              <c16:uniqueId val="{00000005-B549-4CC9-811E-55ABBAA71D96}"/>
            </c:ext>
          </c:extLst>
        </c:ser>
        <c:ser>
          <c:idx val="3"/>
          <c:order val="3"/>
          <c:tx>
            <c:v>NC</c:v>
          </c:tx>
          <c:spPr>
            <a:ln w="38100" cap="flat" cmpd="dbl" algn="ctr">
              <a:solidFill>
                <a:schemeClr val="accent4"/>
              </a:solidFill>
              <a:miter lim="800000"/>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144842.10526315789</c:v>
              </c:pt>
              <c:pt idx="1">
                <c:v>163990.31578947368</c:v>
              </c:pt>
              <c:pt idx="2">
                <c:v>192739.26315789475</c:v>
              </c:pt>
              <c:pt idx="3">
                <c:v>222592.84210526315</c:v>
              </c:pt>
              <c:pt idx="4">
                <c:v>244861.15789473685</c:v>
              </c:pt>
              <c:pt idx="5">
                <c:v>254536.47368421053</c:v>
              </c:pt>
              <c:pt idx="6">
                <c:v>261188.57894736843</c:v>
              </c:pt>
              <c:pt idx="7">
                <c:v>231121.26315789475</c:v>
              </c:pt>
              <c:pt idx="8">
                <c:v>221055.73684210525</c:v>
              </c:pt>
              <c:pt idx="9">
                <c:v>212461.89473684211</c:v>
              </c:pt>
              <c:pt idx="10">
                <c:v>201961.21052631579</c:v>
              </c:pt>
              <c:pt idx="11">
                <c:v>194432.31578947368</c:v>
              </c:pt>
              <c:pt idx="12">
                <c:v>141641.05263157896</c:v>
              </c:pt>
              <c:pt idx="13">
                <c:v>159844.73684210525</c:v>
              </c:pt>
              <c:pt idx="14">
                <c:v>187883.21052631579</c:v>
              </c:pt>
              <c:pt idx="15">
                <c:v>220540.15789473685</c:v>
              </c:pt>
              <c:pt idx="16">
                <c:v>245635.73684210525</c:v>
              </c:pt>
              <c:pt idx="17">
                <c:v>253381.42105263157</c:v>
              </c:pt>
              <c:pt idx="18">
                <c:v>243879.15789473685</c:v>
              </c:pt>
              <c:pt idx="19">
                <c:v>216821.21052631579</c:v>
              </c:pt>
              <c:pt idx="20">
                <c:v>205229.63157894736</c:v>
              </c:pt>
              <c:pt idx="21">
                <c:v>195871.78947368421</c:v>
              </c:pt>
              <c:pt idx="22">
                <c:v>188484.68421052632</c:v>
              </c:pt>
              <c:pt idx="23">
                <c:v>185339.68421052632</c:v>
              </c:pt>
              <c:pt idx="24">
                <c:v>131396.36842105264</c:v>
              </c:pt>
              <c:pt idx="25">
                <c:v>148658.31578947368</c:v>
              </c:pt>
              <c:pt idx="26">
                <c:v>176739.57894736843</c:v>
              </c:pt>
              <c:pt idx="27">
                <c:v>205258.78947368421</c:v>
              </c:pt>
              <c:pt idx="28">
                <c:v>228571</c:v>
              </c:pt>
              <c:pt idx="29">
                <c:v>233962.15789473685</c:v>
              </c:pt>
              <c:pt idx="30">
                <c:v>244013.26315789475</c:v>
              </c:pt>
              <c:pt idx="31">
                <c:v>210644.26315789475</c:v>
              </c:pt>
              <c:pt idx="32">
                <c:v>201301.15789473685</c:v>
              </c:pt>
              <c:pt idx="33">
                <c:v>193339.63157894736</c:v>
              </c:pt>
              <c:pt idx="34">
                <c:v>181636.68421052632</c:v>
              </c:pt>
              <c:pt idx="35">
                <c:v>177751.26315789475</c:v>
              </c:pt>
            </c:numLit>
          </c:val>
          <c:smooth val="0"/>
          <c:extLst>
            <c:ext xmlns:c16="http://schemas.microsoft.com/office/drawing/2014/chart" uri="{C3380CC4-5D6E-409C-BE32-E72D297353CC}">
              <c16:uniqueId val="{00000006-B549-4CC9-811E-55ABBAA71D96}"/>
            </c:ext>
          </c:extLst>
        </c:ser>
        <c:ser>
          <c:idx val="4"/>
          <c:order val="4"/>
          <c:tx>
            <c:v>VA</c:v>
          </c:tx>
          <c:spPr>
            <a:ln w="38100" cap="flat" cmpd="sng" algn="ctr">
              <a:solidFill>
                <a:srgbClr val="1A4480"/>
              </a:solidFill>
              <a:miter lim="800000"/>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136904.90909090909</c:v>
              </c:pt>
              <c:pt idx="1">
                <c:v>152323.63636363635</c:v>
              </c:pt>
              <c:pt idx="2">
                <c:v>177752.12121212122</c:v>
              </c:pt>
              <c:pt idx="3">
                <c:v>210283.0303030303</c:v>
              </c:pt>
              <c:pt idx="4">
                <c:v>228505.27272727274</c:v>
              </c:pt>
              <c:pt idx="5">
                <c:v>240146.21212121213</c:v>
              </c:pt>
              <c:pt idx="6">
                <c:v>247773.87878787878</c:v>
              </c:pt>
              <c:pt idx="7">
                <c:v>216690.51515151514</c:v>
              </c:pt>
              <c:pt idx="8">
                <c:v>205908.21212121213</c:v>
              </c:pt>
              <c:pt idx="9">
                <c:v>199570.27272727274</c:v>
              </c:pt>
              <c:pt idx="10">
                <c:v>187623.54545454544</c:v>
              </c:pt>
              <c:pt idx="11">
                <c:v>183371.9696969697</c:v>
              </c:pt>
              <c:pt idx="12">
                <c:v>132930.81818181818</c:v>
              </c:pt>
              <c:pt idx="13">
                <c:v>151373.18181818182</c:v>
              </c:pt>
              <c:pt idx="14">
                <c:v>178027.39393939395</c:v>
              </c:pt>
              <c:pt idx="15">
                <c:v>207902.27272727274</c:v>
              </c:pt>
              <c:pt idx="16">
                <c:v>229421.57575757575</c:v>
              </c:pt>
              <c:pt idx="17">
                <c:v>239995.66666666666</c:v>
              </c:pt>
              <c:pt idx="18">
                <c:v>245897.81818181818</c:v>
              </c:pt>
              <c:pt idx="19">
                <c:v>216027.36363636365</c:v>
              </c:pt>
              <c:pt idx="20">
                <c:v>207530.78787878787</c:v>
              </c:pt>
              <c:pt idx="21">
                <c:v>198179.45454545456</c:v>
              </c:pt>
              <c:pt idx="22">
                <c:v>185564.75757575757</c:v>
              </c:pt>
              <c:pt idx="23">
                <c:v>183093.24242424243</c:v>
              </c:pt>
              <c:pt idx="24">
                <c:v>133090.36363636365</c:v>
              </c:pt>
              <c:pt idx="25">
                <c:v>151313.54545454544</c:v>
              </c:pt>
              <c:pt idx="26">
                <c:v>176886.27272727274</c:v>
              </c:pt>
              <c:pt idx="27">
                <c:v>204313.33333333334</c:v>
              </c:pt>
              <c:pt idx="28">
                <c:v>229137.54545454544</c:v>
              </c:pt>
              <c:pt idx="29">
                <c:v>232572.06060606061</c:v>
              </c:pt>
              <c:pt idx="30">
                <c:v>241627.09090909091</c:v>
              </c:pt>
              <c:pt idx="31">
                <c:v>208293.51515151514</c:v>
              </c:pt>
              <c:pt idx="32">
                <c:v>202147.57575757575</c:v>
              </c:pt>
              <c:pt idx="33">
                <c:v>191543.06060606061</c:v>
              </c:pt>
              <c:pt idx="34">
                <c:v>179991.57575757575</c:v>
              </c:pt>
              <c:pt idx="35">
                <c:v>177363.12121212122</c:v>
              </c:pt>
            </c:numLit>
          </c:val>
          <c:smooth val="0"/>
          <c:extLst>
            <c:ext xmlns:c16="http://schemas.microsoft.com/office/drawing/2014/chart" uri="{C3380CC4-5D6E-409C-BE32-E72D297353CC}">
              <c16:uniqueId val="{00000007-B549-4CC9-811E-55ABBAA71D96}"/>
            </c:ext>
          </c:extLst>
        </c:ser>
        <c:ser>
          <c:idx val="5"/>
          <c:order val="5"/>
          <c:tx>
            <c:v>WV</c:v>
          </c:tx>
          <c:spPr>
            <a:ln w="38100" cap="flat" cmpd="dbl" algn="ctr">
              <a:solidFill>
                <a:schemeClr val="accent5">
                  <a:lumMod val="40000"/>
                  <a:lumOff val="60000"/>
                </a:schemeClr>
              </a:solidFill>
              <a:miter lim="800000"/>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141669.76923076922</c:v>
              </c:pt>
              <c:pt idx="1">
                <c:v>159860.46153846153</c:v>
              </c:pt>
              <c:pt idx="2">
                <c:v>184882.07692307694</c:v>
              </c:pt>
              <c:pt idx="3">
                <c:v>212046.53846153847</c:v>
              </c:pt>
              <c:pt idx="4">
                <c:v>237702.30769230769</c:v>
              </c:pt>
              <c:pt idx="5">
                <c:v>248474.92307692306</c:v>
              </c:pt>
              <c:pt idx="6">
                <c:v>252352.30769230769</c:v>
              </c:pt>
              <c:pt idx="7">
                <c:v>223136.76923076922</c:v>
              </c:pt>
              <c:pt idx="8">
                <c:v>215203.30769230769</c:v>
              </c:pt>
              <c:pt idx="9">
                <c:v>205520.38461538462</c:v>
              </c:pt>
              <c:pt idx="10">
                <c:v>195354.69230769231</c:v>
              </c:pt>
              <c:pt idx="11">
                <c:v>189904.07692307694</c:v>
              </c:pt>
              <c:pt idx="12">
                <c:v>137284.92307692306</c:v>
              </c:pt>
              <c:pt idx="13">
                <c:v>156409.76923076922</c:v>
              </c:pt>
              <c:pt idx="14">
                <c:v>179080</c:v>
              </c:pt>
              <c:pt idx="15">
                <c:v>216111.07692307694</c:v>
              </c:pt>
              <c:pt idx="16">
                <c:v>237945.84615384616</c:v>
              </c:pt>
              <c:pt idx="17">
                <c:v>246562.38461538462</c:v>
              </c:pt>
              <c:pt idx="18">
                <c:v>251218.38461538462</c:v>
              </c:pt>
              <c:pt idx="19">
                <c:v>223042.84615384616</c:v>
              </c:pt>
              <c:pt idx="20">
                <c:v>213657</c:v>
              </c:pt>
              <c:pt idx="21">
                <c:v>204067.61538461538</c:v>
              </c:pt>
              <c:pt idx="22">
                <c:v>191403.76923076922</c:v>
              </c:pt>
              <c:pt idx="23">
                <c:v>187462.38461538462</c:v>
              </c:pt>
              <c:pt idx="24">
                <c:v>136749.53846153847</c:v>
              </c:pt>
              <c:pt idx="25">
                <c:v>158140</c:v>
              </c:pt>
              <c:pt idx="26">
                <c:v>179630.15384615384</c:v>
              </c:pt>
              <c:pt idx="27">
                <c:v>212409</c:v>
              </c:pt>
              <c:pt idx="28">
                <c:v>233305.30769230769</c:v>
              </c:pt>
              <c:pt idx="29">
                <c:v>238995.53846153847</c:v>
              </c:pt>
              <c:pt idx="30">
                <c:v>246502.46153846153</c:v>
              </c:pt>
              <c:pt idx="31">
                <c:v>219599.30769230769</c:v>
              </c:pt>
              <c:pt idx="32">
                <c:v>207725.69230769231</c:v>
              </c:pt>
              <c:pt idx="33">
                <c:v>197690.46153846153</c:v>
              </c:pt>
              <c:pt idx="34">
                <c:v>188859</c:v>
              </c:pt>
              <c:pt idx="35">
                <c:v>180000.15384615384</c:v>
              </c:pt>
            </c:numLit>
          </c:val>
          <c:smooth val="0"/>
          <c:extLst>
            <c:ext xmlns:c16="http://schemas.microsoft.com/office/drawing/2014/chart" uri="{C3380CC4-5D6E-409C-BE32-E72D297353CC}">
              <c16:uniqueId val="{00000008-B549-4CC9-811E-55ABBAA71D96}"/>
            </c:ext>
          </c:extLst>
        </c:ser>
        <c:dLbls>
          <c:showLegendKey val="0"/>
          <c:showVal val="0"/>
          <c:showCatName val="0"/>
          <c:showSerName val="0"/>
          <c:showPercent val="0"/>
          <c:showBubbleSize val="0"/>
        </c:dLbls>
        <c:smooth val="0"/>
        <c:axId val="181651008"/>
        <c:axId val="181647168"/>
      </c:lineChart>
      <c:catAx>
        <c:axId val="181651008"/>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low"/>
        <c:spPr>
          <a:noFill/>
          <a:ln w="3175" cap="flat" cmpd="sng" algn="ctr">
            <a:solidFill>
              <a:schemeClr val="tx1">
                <a:lumMod val="15000"/>
                <a:lumOff val="85000"/>
              </a:schemeClr>
            </a:solidFill>
            <a:round/>
            <a:tailEnd type="none" w="med" len="lg"/>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47168"/>
        <c:crosses val="autoZero"/>
        <c:auto val="1"/>
        <c:lblAlgn val="ctr"/>
        <c:lblOffset val="100"/>
        <c:noMultiLvlLbl val="0"/>
      </c:catAx>
      <c:valAx>
        <c:axId val="18164716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51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3"/>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Elasticity of Soda Demand by Income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5803501877955238E-2"/>
          <c:y val="0.14934101913709788"/>
          <c:w val="0.80355597655556232"/>
          <c:h val="0.68513379793043117"/>
        </c:manualLayout>
      </c:layout>
      <c:barChart>
        <c:barDir val="bar"/>
        <c:grouping val="clustered"/>
        <c:varyColors val="0"/>
        <c:ser>
          <c:idx val="0"/>
          <c:order val="0"/>
          <c:tx>
            <c:strRef>
              <c:f>'Elasticity and Sales'!$B$15</c:f>
              <c:strCache>
                <c:ptCount val="1"/>
                <c:pt idx="0">
                  <c:v>Elasticity</c:v>
                </c:pt>
              </c:strCache>
            </c:strRef>
          </c:tx>
          <c:spPr>
            <a:solidFill>
              <a:schemeClr val="accent1"/>
            </a:solidFill>
            <a:ln>
              <a:noFill/>
            </a:ln>
            <a:effectLst/>
          </c:spPr>
          <c:invertIfNegative val="0"/>
          <c:dPt>
            <c:idx val="0"/>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B-ECDA-4E0E-915B-6168112C8850}"/>
              </c:ext>
            </c:extLst>
          </c:dPt>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9-ECDA-4E0E-915B-6168112C8850}"/>
              </c:ext>
            </c:extLst>
          </c:dPt>
          <c:dPt>
            <c:idx val="2"/>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A-ECDA-4E0E-915B-6168112C8850}"/>
              </c:ext>
            </c:extLst>
          </c:dPt>
          <c:dLbls>
            <c:dLbl>
              <c:idx val="1"/>
              <c:layout>
                <c:manualLayout>
                  <c:x val="3.780718336483941E-2"/>
                  <c:y val="-2.3304687048766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CDA-4E0E-915B-6168112C8850}"/>
                </c:ext>
              </c:extLst>
            </c:dLbl>
            <c:dLbl>
              <c:idx val="2"/>
              <c:layout>
                <c:manualLayout>
                  <c:x val="3.5286704473850052E-2"/>
                  <c:y val="-3.820440499797847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CDA-4E0E-915B-6168112C88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'Elasticity and Sales'!$A$16:$A$18</c:f>
              <c:strCache>
                <c:ptCount val="3"/>
                <c:pt idx="0">
                  <c:v>High</c:v>
                </c:pt>
                <c:pt idx="1">
                  <c:v>Medium</c:v>
                </c:pt>
                <c:pt idx="2">
                  <c:v>Low</c:v>
                </c:pt>
              </c:strCache>
            </c:strRef>
          </c:cat>
          <c:val>
            <c:numRef>
              <c:f>'Elasticity and Sales'!$B$16:$B$18</c:f>
              <c:numCache>
                <c:formatCode>General</c:formatCode>
                <c:ptCount val="3"/>
                <c:pt idx="0">
                  <c:v>-0.71</c:v>
                </c:pt>
                <c:pt idx="1">
                  <c:v>-0.93</c:v>
                </c:pt>
                <c:pt idx="2">
                  <c:v>-1.94</c:v>
                </c:pt>
              </c:numCache>
            </c:numRef>
          </c:val>
          <c:extLst>
            <c:ext xmlns:c16="http://schemas.microsoft.com/office/drawing/2014/chart" uri="{C3380CC4-5D6E-409C-BE32-E72D297353CC}">
              <c16:uniqueId val="{00000000-ECDA-4E0E-915B-6168112C8850}"/>
            </c:ext>
          </c:extLst>
        </c:ser>
        <c:dLbls>
          <c:dLblPos val="outEnd"/>
          <c:showLegendKey val="0"/>
          <c:showVal val="1"/>
          <c:showCatName val="0"/>
          <c:showSerName val="0"/>
          <c:showPercent val="0"/>
          <c:showBubbleSize val="0"/>
        </c:dLbls>
        <c:gapWidth val="182"/>
        <c:axId val="674631999"/>
        <c:axId val="674633919"/>
      </c:barChart>
      <c:catAx>
        <c:axId val="6746319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Tiers</a:t>
                </a:r>
              </a:p>
            </c:rich>
          </c:tx>
          <c:layout>
            <c:manualLayout>
              <c:xMode val="edge"/>
              <c:yMode val="edge"/>
              <c:x val="0.93114455429913368"/>
              <c:y val="0.366107038344344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74633919"/>
        <c:crosses val="autoZero"/>
        <c:auto val="1"/>
        <c:lblAlgn val="ctr"/>
        <c:lblOffset val="0"/>
        <c:noMultiLvlLbl val="0"/>
      </c:catAx>
      <c:valAx>
        <c:axId val="6746339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Elasticity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63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[Assignment_WH_06292026.xlsx]Elasticity and Sales!PivotTable12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2024 VA Soda Sales by Income Tier, with Share of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pivotFmt>
      <c:pivotFmt>
        <c:idx val="3"/>
        <c:spPr>
          <a:solidFill>
            <a:schemeClr val="accent1"/>
          </a:solidFill>
          <a:ln>
            <a:noFill/>
          </a:ln>
          <a:effectLst/>
        </c:spPr>
        <c:dLbl>
          <c:idx val="0"/>
          <c:layout>
            <c:manualLayout>
              <c:x val="4.0825101394830234E-2"/>
              <c:y val="6.89255778511557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60155488094108722"/>
              <c:y val="6.0493387231705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30666382063687825"/>
              <c:y val="5.44600902989314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25000"/>
              <a:lumOff val="75000"/>
            </a:schemeClr>
          </a:solidFill>
          <a:ln>
            <a:noFill/>
          </a:ln>
          <a:effectLst/>
        </c:spPr>
      </c:pivotFmt>
      <c:pivotFmt>
        <c:idx val="7"/>
        <c:spPr>
          <a:solidFill>
            <a:schemeClr val="tx2">
              <a:lumMod val="75000"/>
              <a:lumOff val="25000"/>
            </a:schemeClr>
          </a:solidFill>
          <a:ln>
            <a:noFill/>
          </a:ln>
          <a:effectLst/>
        </c:spPr>
      </c:pivotFmt>
    </c:pivotFmts>
    <c:plotArea>
      <c:layout>
        <c:manualLayout>
          <c:layoutTarget val="inner"/>
          <c:xMode val="edge"/>
          <c:yMode val="edge"/>
          <c:x val="0.13241815361315129"/>
          <c:y val="0.11829763215081986"/>
          <c:w val="0.75883408490852589"/>
          <c:h val="0.71736018574601257"/>
        </c:manualLayout>
      </c:layout>
      <c:barChart>
        <c:barDir val="bar"/>
        <c:grouping val="clustered"/>
        <c:varyColors val="0"/>
        <c:ser>
          <c:idx val="0"/>
          <c:order val="0"/>
          <c:tx>
            <c:strRef>
              <c:f>'Elasticity and Sales'!$B$7</c:f>
              <c:strCache>
                <c:ptCount val="1"/>
                <c:pt idx="0">
                  <c:v>Sum of soda_sales</c:v>
                </c:pt>
              </c:strCache>
            </c:strRef>
          </c:tx>
          <c:spPr>
            <a:solidFill>
              <a:schemeClr val="accent1"/>
            </a:solidFill>
            <a:ln>
              <a:noFill/>
            </a:ln>
            <a:effectLst/>
          </c:spPr>
          <c:invertIfNegative val="0"/>
          <c:dPt>
            <c:idx val="0"/>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E-FB7C-4ECD-8C95-97A151D48C86}"/>
              </c:ext>
            </c:extLst>
          </c:dPt>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FB7C-4ECD-8C95-97A151D48C86}"/>
              </c:ext>
            </c:extLst>
          </c:dPt>
          <c:dPt>
            <c:idx val="2"/>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7-FB7C-4ECD-8C95-97A151D48C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'Elasticity and Sales'!$A$8:$A$11</c:f>
              <c:strCache>
                <c:ptCount val="3"/>
                <c:pt idx="0">
                  <c:v>High</c:v>
                </c:pt>
                <c:pt idx="1">
                  <c:v>Med</c:v>
                </c:pt>
                <c:pt idx="2">
                  <c:v>Low</c:v>
                </c:pt>
              </c:strCache>
            </c:strRef>
          </c:cat>
          <c:val>
            <c:numRef>
              <c:f>'Elasticity and Sales'!$B$8:$B$11</c:f>
              <c:numCache>
                <c:formatCode>_("$"* #,##0_);_("$"* \(#,##0\);_("$"* "-"??_);_(@_)</c:formatCode>
                <c:ptCount val="3"/>
                <c:pt idx="0">
                  <c:v>17472270.675000001</c:v>
                </c:pt>
                <c:pt idx="1">
                  <c:v>38908750.256300002</c:v>
                </c:pt>
                <c:pt idx="2">
                  <c:v>1512895.2368999999</c:v>
                </c:pt>
              </c:numCache>
            </c:numRef>
          </c:val>
          <c:extLst>
            <c:ext xmlns:c16="http://schemas.microsoft.com/office/drawing/2014/chart" uri="{C3380CC4-5D6E-409C-BE32-E72D297353CC}">
              <c16:uniqueId val="{00000000-FB7C-4ECD-8C95-97A151D48C86}"/>
            </c:ext>
          </c:extLst>
        </c:ser>
        <c:ser>
          <c:idx val="1"/>
          <c:order val="1"/>
          <c:tx>
            <c:strRef>
              <c:f>'Elasticity and Sales'!$C$7</c:f>
              <c:strCache>
                <c:ptCount val="1"/>
                <c:pt idx="0">
                  <c:v>Sum of soda_sales2</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6-FB7C-4ECD-8C95-97A151D48C86}"/>
              </c:ext>
            </c:extLst>
          </c:dPt>
          <c:dPt>
            <c:idx val="1"/>
            <c:invertIfNegative val="0"/>
            <c:bubble3D val="0"/>
            <c:extLst>
              <c:ext xmlns:c16="http://schemas.microsoft.com/office/drawing/2014/chart" uri="{C3380CC4-5D6E-409C-BE32-E72D297353CC}">
                <c16:uniqueId val="{00000005-FB7C-4ECD-8C95-97A151D48C86}"/>
              </c:ext>
            </c:extLst>
          </c:dPt>
          <c:dPt>
            <c:idx val="2"/>
            <c:invertIfNegative val="0"/>
            <c:bubble3D val="0"/>
            <c:extLst>
              <c:ext xmlns:c16="http://schemas.microsoft.com/office/drawing/2014/chart" uri="{C3380CC4-5D6E-409C-BE32-E72D297353CC}">
                <c16:uniqueId val="{00000004-FB7C-4ECD-8C95-97A151D48C86}"/>
              </c:ext>
            </c:extLst>
          </c:dPt>
          <c:dLbls>
            <c:dLbl>
              <c:idx val="0"/>
              <c:layout>
                <c:manualLayout>
                  <c:x val="0.30666382063687825"/>
                  <c:y val="5.44600902989314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B7C-4ECD-8C95-97A151D48C86}"/>
                </c:ext>
              </c:extLst>
            </c:dLbl>
            <c:dLbl>
              <c:idx val="1"/>
              <c:layout>
                <c:manualLayout>
                  <c:x val="0.60155488094108722"/>
                  <c:y val="6.04933872317055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7C-4ECD-8C95-97A151D48C86}"/>
                </c:ext>
              </c:extLst>
            </c:dLbl>
            <c:dLbl>
              <c:idx val="2"/>
              <c:layout>
                <c:manualLayout>
                  <c:x val="4.0825101394830234E-2"/>
                  <c:y val="6.892557785115570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B7C-4ECD-8C95-97A151D48C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'Elasticity and Sales'!$A$8:$A$11</c:f>
              <c:strCache>
                <c:ptCount val="3"/>
                <c:pt idx="0">
                  <c:v>High</c:v>
                </c:pt>
                <c:pt idx="1">
                  <c:v>Med</c:v>
                </c:pt>
                <c:pt idx="2">
                  <c:v>Low</c:v>
                </c:pt>
              </c:strCache>
            </c:strRef>
          </c:cat>
          <c:val>
            <c:numRef>
              <c:f>'Elasticity and Sales'!$C$8:$C$11</c:f>
              <c:numCache>
                <c:formatCode>0.00%</c:formatCode>
                <c:ptCount val="3"/>
                <c:pt idx="0">
                  <c:v>0.30179804427528395</c:v>
                </c:pt>
                <c:pt idx="1">
                  <c:v>0.67206975847441153</c:v>
                </c:pt>
                <c:pt idx="2">
                  <c:v>2.6132197250304579E-2</c:v>
                </c:pt>
              </c:numCache>
            </c:numRef>
          </c:val>
          <c:extLst>
            <c:ext xmlns:c16="http://schemas.microsoft.com/office/drawing/2014/chart" uri="{C3380CC4-5D6E-409C-BE32-E72D297353CC}">
              <c16:uniqueId val="{00000001-FB7C-4ECD-8C95-97A151D48C86}"/>
            </c:ext>
          </c:extLst>
        </c:ser>
        <c:dLbls>
          <c:dLblPos val="outEnd"/>
          <c:showLegendKey val="0"/>
          <c:showVal val="1"/>
          <c:showCatName val="0"/>
          <c:showSerName val="0"/>
          <c:showPercent val="0"/>
          <c:showBubbleSize val="0"/>
        </c:dLbls>
        <c:gapWidth val="182"/>
        <c:axId val="1304316287"/>
        <c:axId val="1304309087"/>
      </c:barChart>
      <c:catAx>
        <c:axId val="13043162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Tiers</a:t>
                </a:r>
              </a:p>
            </c:rich>
          </c:tx>
          <c:layout>
            <c:manualLayout>
              <c:xMode val="edge"/>
              <c:yMode val="edge"/>
              <c:x val="4.294734745450722E-2"/>
              <c:y val="0.405481895408235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304309087"/>
        <c:crosses val="autoZero"/>
        <c:auto val="1"/>
        <c:lblAlgn val="ctr"/>
        <c:lblOffset val="100"/>
        <c:noMultiLvlLbl val="0"/>
      </c:catAx>
      <c:valAx>
        <c:axId val="1304309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 Soda Sales</a:t>
                </a:r>
              </a:p>
            </c:rich>
          </c:tx>
          <c:layout>
            <c:manualLayout>
              <c:xMode val="edge"/>
              <c:yMode val="edge"/>
              <c:x val="0.46335575700096321"/>
              <c:y val="0.900139561881687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31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DC</c:v>
          </c:tx>
          <c:spPr>
            <a:ln w="28575" cap="rnd">
              <a:solidFill>
                <a:schemeClr val="accent1"/>
              </a:solidFill>
              <a:round/>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0.69993370377592101</c:v>
              </c:pt>
              <c:pt idx="1">
                <c:v>0.69956011088975556</c:v>
              </c:pt>
              <c:pt idx="2">
                <c:v>0.71439092032160101</c:v>
              </c:pt>
              <c:pt idx="3">
                <c:v>0.72484922515119898</c:v>
              </c:pt>
              <c:pt idx="4">
                <c:v>0.71396989816459744</c:v>
              </c:pt>
              <c:pt idx="5">
                <c:v>0.69784919403154699</c:v>
              </c:pt>
              <c:pt idx="6">
                <c:v>0.71510374888938855</c:v>
              </c:pt>
              <c:pt idx="7">
                <c:v>0.706505924558121</c:v>
              </c:pt>
              <c:pt idx="8">
                <c:v>0.68799798386135658</c:v>
              </c:pt>
              <c:pt idx="9">
                <c:v>0.70468971301275152</c:v>
              </c:pt>
              <c:pt idx="10">
                <c:v>0.69243006835291299</c:v>
              </c:pt>
              <c:pt idx="11">
                <c:v>0.70093398297339504</c:v>
              </c:pt>
              <c:pt idx="12">
                <c:v>0.74914067646244153</c:v>
              </c:pt>
              <c:pt idx="13">
                <c:v>0.72171590362176097</c:v>
              </c:pt>
              <c:pt idx="14">
                <c:v>0.70720371140695604</c:v>
              </c:pt>
              <c:pt idx="15">
                <c:v>0.69793751548557847</c:v>
              </c:pt>
              <c:pt idx="16">
                <c:v>0.70082381556250595</c:v>
              </c:pt>
              <c:pt idx="17">
                <c:v>0.71342897588205756</c:v>
              </c:pt>
              <c:pt idx="18">
                <c:v>0.74033527421941048</c:v>
              </c:pt>
              <c:pt idx="19">
                <c:v>0.7138396063382324</c:v>
              </c:pt>
              <c:pt idx="20">
                <c:v>0.70677369168724891</c:v>
              </c:pt>
              <c:pt idx="21">
                <c:v>0.70918400576975349</c:v>
              </c:pt>
              <c:pt idx="22">
                <c:v>0.71522125236585543</c:v>
              </c:pt>
              <c:pt idx="23">
                <c:v>0.72187270989971641</c:v>
              </c:pt>
              <c:pt idx="24">
                <c:v>0.72709308078642843</c:v>
              </c:pt>
              <c:pt idx="25">
                <c:v>0.71826305907780341</c:v>
              </c:pt>
              <c:pt idx="26">
                <c:v>0.73648839409389244</c:v>
              </c:pt>
              <c:pt idx="27">
                <c:v>0.73118487524326203</c:v>
              </c:pt>
              <c:pt idx="28">
                <c:v>0.7295566700614895</c:v>
              </c:pt>
              <c:pt idx="29">
                <c:v>0.75005610003128853</c:v>
              </c:pt>
              <c:pt idx="30">
                <c:v>0.74507045924159598</c:v>
              </c:pt>
              <c:pt idx="31">
                <c:v>0.7441614880009525</c:v>
              </c:pt>
              <c:pt idx="32">
                <c:v>0.76570735774840748</c:v>
              </c:pt>
              <c:pt idx="33">
                <c:v>0.76793497187620607</c:v>
              </c:pt>
              <c:pt idx="34">
                <c:v>0.75776901091289151</c:v>
              </c:pt>
              <c:pt idx="35">
                <c:v>0.74938335429980152</c:v>
              </c:pt>
            </c:numLit>
          </c:val>
          <c:smooth val="0"/>
          <c:extLst>
            <c:ext xmlns:c16="http://schemas.microsoft.com/office/drawing/2014/chart" uri="{C3380CC4-5D6E-409C-BE32-E72D297353CC}">
              <c16:uniqueId val="{00000000-4FC4-46E4-827A-FBE2572B266C}"/>
            </c:ext>
          </c:extLst>
        </c:ser>
        <c:ser>
          <c:idx val="1"/>
          <c:order val="1"/>
          <c:tx>
            <c:v>GA</c:v>
          </c:tx>
          <c:spPr>
            <a:ln w="28575" cap="rnd">
              <a:solidFill>
                <a:schemeClr val="accent2"/>
              </a:solidFill>
              <a:round/>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0.6525398567291586</c:v>
              </c:pt>
              <c:pt idx="1">
                <c:v>0.6664875915438907</c:v>
              </c:pt>
              <c:pt idx="2">
                <c:v>0.66151718606582688</c:v>
              </c:pt>
              <c:pt idx="3">
                <c:v>0.65429874730165005</c:v>
              </c:pt>
              <c:pt idx="4">
                <c:v>0.6599490695021607</c:v>
              </c:pt>
              <c:pt idx="5">
                <c:v>0.65849786710844982</c:v>
              </c:pt>
              <c:pt idx="6">
                <c:v>0.65798084533029455</c:v>
              </c:pt>
              <c:pt idx="7">
                <c:v>0.66170716674314456</c:v>
              </c:pt>
              <c:pt idx="8">
                <c:v>0.66263534050887918</c:v>
              </c:pt>
              <c:pt idx="9">
                <c:v>0.66457843818571494</c:v>
              </c:pt>
              <c:pt idx="10">
                <c:v>0.66168437747320885</c:v>
              </c:pt>
              <c:pt idx="11">
                <c:v>0.66212489956923337</c:v>
              </c:pt>
              <c:pt idx="12">
                <c:v>0.67659540757691417</c:v>
              </c:pt>
              <c:pt idx="13">
                <c:v>0.67804780123641795</c:v>
              </c:pt>
              <c:pt idx="14">
                <c:v>0.68105939949432115</c:v>
              </c:pt>
              <c:pt idx="15">
                <c:v>0.67808185480586403</c:v>
              </c:pt>
              <c:pt idx="16">
                <c:v>0.67114622219077047</c:v>
              </c:pt>
              <c:pt idx="17">
                <c:v>0.67395867353897976</c:v>
              </c:pt>
              <c:pt idx="18">
                <c:v>0.67717270892383663</c:v>
              </c:pt>
              <c:pt idx="19">
                <c:v>0.6758563296481942</c:v>
              </c:pt>
              <c:pt idx="20">
                <c:v>0.67049096653911566</c:v>
              </c:pt>
              <c:pt idx="21">
                <c:v>0.67856989130167644</c:v>
              </c:pt>
              <c:pt idx="22">
                <c:v>0.68266027802495544</c:v>
              </c:pt>
              <c:pt idx="23">
                <c:v>0.68293860481806867</c:v>
              </c:pt>
              <c:pt idx="24">
                <c:v>0.6915104713853415</c:v>
              </c:pt>
              <c:pt idx="25">
                <c:v>0.69245704887285053</c:v>
              </c:pt>
              <c:pt idx="26">
                <c:v>0.69557503202508164</c:v>
              </c:pt>
              <c:pt idx="27">
                <c:v>0.69489612393475031</c:v>
              </c:pt>
              <c:pt idx="28">
                <c:v>0.69223081391396246</c:v>
              </c:pt>
              <c:pt idx="29">
                <c:v>0.70904154009834852</c:v>
              </c:pt>
              <c:pt idx="30">
                <c:v>0.70224811611356164</c:v>
              </c:pt>
              <c:pt idx="31">
                <c:v>0.70355151699033502</c:v>
              </c:pt>
              <c:pt idx="32">
                <c:v>0.71198588994476308</c:v>
              </c:pt>
              <c:pt idx="33">
                <c:v>0.70742707764187984</c:v>
              </c:pt>
              <c:pt idx="34">
                <c:v>0.71126745964802007</c:v>
              </c:pt>
              <c:pt idx="35">
                <c:v>0.71190017694904295</c:v>
              </c:pt>
            </c:numLit>
          </c:val>
          <c:smooth val="0"/>
          <c:extLst>
            <c:ext xmlns:c16="http://schemas.microsoft.com/office/drawing/2014/chart" uri="{C3380CC4-5D6E-409C-BE32-E72D297353CC}">
              <c16:uniqueId val="{00000001-4FC4-46E4-827A-FBE2572B266C}"/>
            </c:ext>
          </c:extLst>
        </c:ser>
        <c:ser>
          <c:idx val="2"/>
          <c:order val="2"/>
          <c:tx>
            <c:v>MD</c:v>
          </c:tx>
          <c:spPr>
            <a:ln w="28575" cap="rnd">
              <a:solidFill>
                <a:schemeClr val="accent3"/>
              </a:solidFill>
              <a:round/>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0.69783088727074671</c:v>
              </c:pt>
              <c:pt idx="1">
                <c:v>0.70880740674171205</c:v>
              </c:pt>
              <c:pt idx="2">
                <c:v>0.70765072141869623</c:v>
              </c:pt>
              <c:pt idx="3">
                <c:v>0.70531234836322754</c:v>
              </c:pt>
              <c:pt idx="4">
                <c:v>0.70820759448183457</c:v>
              </c:pt>
              <c:pt idx="5">
                <c:v>0.70647670792026984</c:v>
              </c:pt>
              <c:pt idx="6">
                <c:v>0.70695623600558399</c:v>
              </c:pt>
              <c:pt idx="7">
                <c:v>0.70348664091427437</c:v>
              </c:pt>
              <c:pt idx="8">
                <c:v>0.70572366989992785</c:v>
              </c:pt>
              <c:pt idx="9">
                <c:v>0.71756959934771503</c:v>
              </c:pt>
              <c:pt idx="10">
                <c:v>0.70328696843390082</c:v>
              </c:pt>
              <c:pt idx="11">
                <c:v>0.7034618841990482</c:v>
              </c:pt>
              <c:pt idx="12">
                <c:v>0.7280954847540364</c:v>
              </c:pt>
              <c:pt idx="13">
                <c:v>0.73073487039967344</c:v>
              </c:pt>
              <c:pt idx="14">
                <c:v>0.73335677761087592</c:v>
              </c:pt>
              <c:pt idx="15">
                <c:v>0.72376349217774638</c:v>
              </c:pt>
              <c:pt idx="16">
                <c:v>0.72003684397258416</c:v>
              </c:pt>
              <c:pt idx="17">
                <c:v>0.72027486564815713</c:v>
              </c:pt>
              <c:pt idx="18">
                <c:v>0.72665701954216777</c:v>
              </c:pt>
              <c:pt idx="19">
                <c:v>0.72771813444145839</c:v>
              </c:pt>
              <c:pt idx="20">
                <c:v>0.71886533147073506</c:v>
              </c:pt>
              <c:pt idx="21">
                <c:v>0.73473966698448079</c:v>
              </c:pt>
              <c:pt idx="22">
                <c:v>0.7393738335782839</c:v>
              </c:pt>
              <c:pt idx="23">
                <c:v>0.72904001973029553</c:v>
              </c:pt>
              <c:pt idx="24">
                <c:v>0.74988057686851806</c:v>
              </c:pt>
              <c:pt idx="25">
                <c:v>0.74552472791514612</c:v>
              </c:pt>
              <c:pt idx="26">
                <c:v>0.75356721383652692</c:v>
              </c:pt>
              <c:pt idx="27">
                <c:v>0.75655354973742428</c:v>
              </c:pt>
              <c:pt idx="28">
                <c:v>0.75776979964554791</c:v>
              </c:pt>
              <c:pt idx="29">
                <c:v>0.76670540881755012</c:v>
              </c:pt>
              <c:pt idx="30">
                <c:v>0.7632335794753804</c:v>
              </c:pt>
              <c:pt idx="31">
                <c:v>0.76203933946305891</c:v>
              </c:pt>
              <c:pt idx="32">
                <c:v>0.76372346714399852</c:v>
              </c:pt>
              <c:pt idx="33">
                <c:v>0.77584125232699008</c:v>
              </c:pt>
              <c:pt idx="34">
                <c:v>0.77304993177242975</c:v>
              </c:pt>
              <c:pt idx="35">
                <c:v>0.77352310655443068</c:v>
              </c:pt>
            </c:numLit>
          </c:val>
          <c:smooth val="0"/>
          <c:extLst>
            <c:ext xmlns:c16="http://schemas.microsoft.com/office/drawing/2014/chart" uri="{C3380CC4-5D6E-409C-BE32-E72D297353CC}">
              <c16:uniqueId val="{00000002-4FC4-46E4-827A-FBE2572B266C}"/>
            </c:ext>
          </c:extLst>
        </c:ser>
        <c:ser>
          <c:idx val="3"/>
          <c:order val="3"/>
          <c:tx>
            <c:v>NC</c:v>
          </c:tx>
          <c:spPr>
            <a:ln w="28575" cap="rnd">
              <a:solidFill>
                <a:schemeClr val="accent4"/>
              </a:solidFill>
              <a:round/>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0.70816545076317117</c:v>
              </c:pt>
              <c:pt idx="1">
                <c:v>0.71083870509762004</c:v>
              </c:pt>
              <c:pt idx="2">
                <c:v>0.71234468668573259</c:v>
              </c:pt>
              <c:pt idx="3">
                <c:v>0.71455896349057468</c:v>
              </c:pt>
              <c:pt idx="4">
                <c:v>0.71209589811472274</c:v>
              </c:pt>
              <c:pt idx="5">
                <c:v>0.71335737249479025</c:v>
              </c:pt>
              <c:pt idx="6">
                <c:v>0.71832156953024395</c:v>
              </c:pt>
              <c:pt idx="7">
                <c:v>0.71535815371367706</c:v>
              </c:pt>
              <c:pt idx="8">
                <c:v>0.71083782151901043</c:v>
              </c:pt>
              <c:pt idx="9">
                <c:v>0.71470789187126016</c:v>
              </c:pt>
              <c:pt idx="10">
                <c:v>0.71219049986708283</c:v>
              </c:pt>
              <c:pt idx="11">
                <c:v>0.71491176539027135</c:v>
              </c:pt>
              <c:pt idx="12">
                <c:v>0.72726510147796741</c:v>
              </c:pt>
              <c:pt idx="13">
                <c:v>0.73512482943427193</c:v>
              </c:pt>
              <c:pt idx="14">
                <c:v>0.73369035445743702</c:v>
              </c:pt>
              <c:pt idx="15">
                <c:v>0.73075375213820648</c:v>
              </c:pt>
              <c:pt idx="16">
                <c:v>0.71973539442122425</c:v>
              </c:pt>
              <c:pt idx="17">
                <c:v>0.72374063072221217</c:v>
              </c:pt>
              <c:pt idx="18">
                <c:v>0.76438619319249146</c:v>
              </c:pt>
              <c:pt idx="19">
                <c:v>0.75993563951907028</c:v>
              </c:pt>
              <c:pt idx="20">
                <c:v>0.76345161633759229</c:v>
              </c:pt>
              <c:pt idx="21">
                <c:v>0.76940298159292531</c:v>
              </c:pt>
              <c:pt idx="22">
                <c:v>0.7648219994959381</c:v>
              </c:pt>
              <c:pt idx="23">
                <c:v>0.75910234150184952</c:v>
              </c:pt>
              <c:pt idx="24">
                <c:v>0.785345103845693</c:v>
              </c:pt>
              <c:pt idx="25">
                <c:v>0.78718382345506388</c:v>
              </c:pt>
              <c:pt idx="26">
                <c:v>0.78981961818097512</c:v>
              </c:pt>
              <c:pt idx="27">
                <c:v>0.79097759906745591</c:v>
              </c:pt>
              <c:pt idx="28">
                <c:v>0.78555179953924525</c:v>
              </c:pt>
              <c:pt idx="29">
                <c:v>0.79144454723900226</c:v>
              </c:pt>
              <c:pt idx="30">
                <c:v>0.78646437545068737</c:v>
              </c:pt>
              <c:pt idx="31">
                <c:v>0.79830408402949216</c:v>
              </c:pt>
              <c:pt idx="32">
                <c:v>0.8019020120390834</c:v>
              </c:pt>
              <c:pt idx="33">
                <c:v>0.79870809990187841</c:v>
              </c:pt>
              <c:pt idx="34">
                <c:v>0.80254510272236312</c:v>
              </c:pt>
              <c:pt idx="35">
                <c:v>0.80258644211696806</c:v>
              </c:pt>
            </c:numLit>
          </c:val>
          <c:smooth val="0"/>
          <c:extLst>
            <c:ext xmlns:c16="http://schemas.microsoft.com/office/drawing/2014/chart" uri="{C3380CC4-5D6E-409C-BE32-E72D297353CC}">
              <c16:uniqueId val="{00000003-4FC4-46E4-827A-FBE2572B266C}"/>
            </c:ext>
          </c:extLst>
        </c:ser>
        <c:ser>
          <c:idx val="4"/>
          <c:order val="4"/>
          <c:tx>
            <c:v>VA</c:v>
          </c:tx>
          <c:spPr>
            <a:ln w="28575" cap="rnd">
              <a:solidFill>
                <a:schemeClr val="accent5"/>
              </a:solidFill>
              <a:round/>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0.70044462788648998</c:v>
              </c:pt>
              <c:pt idx="1">
                <c:v>0.71001910303103166</c:v>
              </c:pt>
              <c:pt idx="2">
                <c:v>0.71637503241379241</c:v>
              </c:pt>
              <c:pt idx="3">
                <c:v>0.71024753666340934</c:v>
              </c:pt>
              <c:pt idx="4">
                <c:v>0.71357000355669187</c:v>
              </c:pt>
              <c:pt idx="5">
                <c:v>0.71058610519639143</c:v>
              </c:pt>
              <c:pt idx="6">
                <c:v>0.7075442097754352</c:v>
              </c:pt>
              <c:pt idx="7">
                <c:v>0.7124524288232319</c:v>
              </c:pt>
              <c:pt idx="8">
                <c:v>0.71225438947561992</c:v>
              </c:pt>
              <c:pt idx="9">
                <c:v>0.71017007113370223</c:v>
              </c:pt>
              <c:pt idx="10">
                <c:v>0.71286734640063698</c:v>
              </c:pt>
              <c:pt idx="11">
                <c:v>0.70702393849360257</c:v>
              </c:pt>
              <c:pt idx="12">
                <c:v>0.72811864475811283</c:v>
              </c:pt>
              <c:pt idx="13">
                <c:v>0.7239114326749192</c:v>
              </c:pt>
              <c:pt idx="14">
                <c:v>0.72791865116936871</c:v>
              </c:pt>
              <c:pt idx="15">
                <c:v>0.72839351932946406</c:v>
              </c:pt>
              <c:pt idx="16">
                <c:v>0.71950149193162238</c:v>
              </c:pt>
              <c:pt idx="17">
                <c:v>0.71818945359794428</c:v>
              </c:pt>
              <c:pt idx="18">
                <c:v>0.72388842827734878</c:v>
              </c:pt>
              <c:pt idx="19">
                <c:v>0.72000053424429578</c:v>
              </c:pt>
              <c:pt idx="20">
                <c:v>0.72253589390413242</c:v>
              </c:pt>
              <c:pt idx="21">
                <c:v>0.72533536263267451</c:v>
              </c:pt>
              <c:pt idx="22">
                <c:v>0.72760397394027565</c:v>
              </c:pt>
              <c:pt idx="23">
                <c:v>0.72404524792093572</c:v>
              </c:pt>
              <c:pt idx="24">
                <c:v>0.73801166385761341</c:v>
              </c:pt>
              <c:pt idx="25">
                <c:v>0.73913097363068769</c:v>
              </c:pt>
              <c:pt idx="26">
                <c:v>0.74747223742875757</c:v>
              </c:pt>
              <c:pt idx="27">
                <c:v>0.75153553115885785</c:v>
              </c:pt>
              <c:pt idx="28">
                <c:v>0.74002741173593556</c:v>
              </c:pt>
              <c:pt idx="29">
                <c:v>0.75609583800967939</c:v>
              </c:pt>
              <c:pt idx="30">
                <c:v>0.75010731284596943</c:v>
              </c:pt>
              <c:pt idx="31">
                <c:v>0.76242277594650543</c:v>
              </c:pt>
              <c:pt idx="32">
                <c:v>0.76096371938769369</c:v>
              </c:pt>
              <c:pt idx="33">
                <c:v>0.76337152072405534</c:v>
              </c:pt>
              <c:pt idx="34">
                <c:v>0.76877002349109858</c:v>
              </c:pt>
              <c:pt idx="35">
                <c:v>0.76590358825309357</c:v>
              </c:pt>
            </c:numLit>
          </c:val>
          <c:smooth val="0"/>
          <c:extLst>
            <c:ext xmlns:c16="http://schemas.microsoft.com/office/drawing/2014/chart" uri="{C3380CC4-5D6E-409C-BE32-E72D297353CC}">
              <c16:uniqueId val="{00000004-4FC4-46E4-827A-FBE2572B266C}"/>
            </c:ext>
          </c:extLst>
        </c:ser>
        <c:ser>
          <c:idx val="5"/>
          <c:order val="5"/>
          <c:tx>
            <c:v>WV</c:v>
          </c:tx>
          <c:spPr>
            <a:ln w="28575" cap="rnd">
              <a:solidFill>
                <a:schemeClr val="accent6"/>
              </a:solidFill>
              <a:round/>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0.69985999827750733</c:v>
              </c:pt>
              <c:pt idx="1">
                <c:v>0.7076137783621218</c:v>
              </c:pt>
              <c:pt idx="2">
                <c:v>0.71172193801754713</c:v>
              </c:pt>
              <c:pt idx="3">
                <c:v>0.71924789875468997</c:v>
              </c:pt>
              <c:pt idx="4">
                <c:v>0.71381345892828363</c:v>
              </c:pt>
              <c:pt idx="5">
                <c:v>0.7093730247628014</c:v>
              </c:pt>
              <c:pt idx="6">
                <c:v>0.71790214098482263</c:v>
              </c:pt>
              <c:pt idx="7">
                <c:v>0.71417260824724882</c:v>
              </c:pt>
              <c:pt idx="8">
                <c:v>0.70871307859658073</c:v>
              </c:pt>
              <c:pt idx="9">
                <c:v>0.70972340328027406</c:v>
              </c:pt>
              <c:pt idx="10">
                <c:v>0.71034237346957829</c:v>
              </c:pt>
              <c:pt idx="11">
                <c:v>0.70837131310259593</c:v>
              </c:pt>
              <c:pt idx="12">
                <c:v>0.72986431628657411</c:v>
              </c:pt>
              <c:pt idx="13">
                <c:v>0.72763582581079034</c:v>
              </c:pt>
              <c:pt idx="14">
                <c:v>0.736003234469776</c:v>
              </c:pt>
              <c:pt idx="15">
                <c:v>0.72074640484661545</c:v>
              </c:pt>
              <c:pt idx="16">
                <c:v>0.71985062112070675</c:v>
              </c:pt>
              <c:pt idx="17">
                <c:v>0.72346641693536162</c:v>
              </c:pt>
              <c:pt idx="18">
                <c:v>0.72997758429131909</c:v>
              </c:pt>
              <c:pt idx="19">
                <c:v>0.72147813330277399</c:v>
              </c:pt>
              <c:pt idx="20">
                <c:v>0.72187559181697503</c:v>
              </c:pt>
              <c:pt idx="21">
                <c:v>0.72594096352155379</c:v>
              </c:pt>
              <c:pt idx="22">
                <c:v>0.73721144160528262</c:v>
              </c:pt>
              <c:pt idx="23">
                <c:v>0.73179260913588295</c:v>
              </c:pt>
              <c:pt idx="24">
                <c:v>0.74640436071342608</c:v>
              </c:pt>
              <c:pt idx="25">
                <c:v>0.73755728618564664</c:v>
              </c:pt>
              <c:pt idx="26">
                <c:v>0.75585488267414458</c:v>
              </c:pt>
              <c:pt idx="27">
                <c:v>0.75241294891070454</c:v>
              </c:pt>
              <c:pt idx="28">
                <c:v>0.74870753716878746</c:v>
              </c:pt>
              <c:pt idx="29">
                <c:v>0.76060772393972131</c:v>
              </c:pt>
              <c:pt idx="30">
                <c:v>0.75697011787702606</c:v>
              </c:pt>
              <c:pt idx="31">
                <c:v>0.75420647529190643</c:v>
              </c:pt>
              <c:pt idx="32">
                <c:v>0.76500582135754669</c:v>
              </c:pt>
              <c:pt idx="33">
                <c:v>0.76728638226325552</c:v>
              </c:pt>
              <c:pt idx="34">
                <c:v>0.75927729251243847</c:v>
              </c:pt>
              <c:pt idx="35">
                <c:v>0.77026082027247766</c:v>
              </c:pt>
            </c:numLit>
          </c:val>
          <c:smooth val="0"/>
          <c:extLst>
            <c:ext xmlns:c16="http://schemas.microsoft.com/office/drawing/2014/chart" uri="{C3380CC4-5D6E-409C-BE32-E72D297353CC}">
              <c16:uniqueId val="{00000005-4FC4-46E4-827A-FBE2572B266C}"/>
            </c:ext>
          </c:extLst>
        </c:ser>
        <c:dLbls>
          <c:showLegendKey val="0"/>
          <c:showVal val="0"/>
          <c:showCatName val="0"/>
          <c:showSerName val="0"/>
          <c:showPercent val="0"/>
          <c:showBubbleSize val="0"/>
        </c:dLbls>
        <c:smooth val="0"/>
        <c:axId val="178187568"/>
        <c:axId val="178187088"/>
      </c:lineChart>
      <c:catAx>
        <c:axId val="178187568"/>
        <c:scaling>
          <c:orientation val="minMax"/>
        </c:scaling>
        <c:delete val="0"/>
        <c:axPos val="b"/>
        <c:numFmt formatCode="General" sourceLinked="1"/>
        <c:majorTickMark val="in"/>
        <c:minorTickMark val="cross"/>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87088"/>
        <c:crosses val="autoZero"/>
        <c:auto val="1"/>
        <c:lblAlgn val="ctr"/>
        <c:lblOffset val="100"/>
        <c:noMultiLvlLbl val="0"/>
      </c:catAx>
      <c:valAx>
        <c:axId val="178187088"/>
        <c:scaling>
          <c:orientation val="minMax"/>
          <c:min val="0.6000000000000000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8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DC</c:v>
          </c:tx>
          <c:spPr>
            <a:ln w="28575" cap="rnd">
              <a:solidFill>
                <a:schemeClr val="accent1"/>
              </a:solidFill>
              <a:round/>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142409.5</c:v>
              </c:pt>
              <c:pt idx="1">
                <c:v>158438</c:v>
              </c:pt>
              <c:pt idx="2">
                <c:v>188952.5</c:v>
              </c:pt>
              <c:pt idx="3">
                <c:v>214627.5</c:v>
              </c:pt>
              <c:pt idx="4">
                <c:v>233731</c:v>
              </c:pt>
              <c:pt idx="5">
                <c:v>249603</c:v>
              </c:pt>
              <c:pt idx="6">
                <c:v>252094</c:v>
              </c:pt>
              <c:pt idx="7">
                <c:v>223142</c:v>
              </c:pt>
              <c:pt idx="8">
                <c:v>220461</c:v>
              </c:pt>
              <c:pt idx="9">
                <c:v>207800</c:v>
              </c:pt>
              <c:pt idx="10">
                <c:v>196738.5</c:v>
              </c:pt>
              <c:pt idx="11">
                <c:v>191832.5</c:v>
              </c:pt>
              <c:pt idx="12">
                <c:v>134659.5</c:v>
              </c:pt>
              <c:pt idx="13">
                <c:v>159146</c:v>
              </c:pt>
              <c:pt idx="14">
                <c:v>186377</c:v>
              </c:pt>
              <c:pt idx="15">
                <c:v>222261</c:v>
              </c:pt>
              <c:pt idx="16">
                <c:v>241009.5</c:v>
              </c:pt>
              <c:pt idx="17">
                <c:v>242979.5</c:v>
              </c:pt>
              <c:pt idx="18">
                <c:v>249803.5</c:v>
              </c:pt>
              <c:pt idx="19">
                <c:v>220650</c:v>
              </c:pt>
              <c:pt idx="20">
                <c:v>220231</c:v>
              </c:pt>
              <c:pt idx="21">
                <c:v>202882</c:v>
              </c:pt>
              <c:pt idx="22">
                <c:v>193233.5</c:v>
              </c:pt>
              <c:pt idx="23">
                <c:v>190493</c:v>
              </c:pt>
              <c:pt idx="24">
                <c:v>140574</c:v>
              </c:pt>
              <c:pt idx="25">
                <c:v>154633</c:v>
              </c:pt>
              <c:pt idx="26">
                <c:v>180399</c:v>
              </c:pt>
              <c:pt idx="27">
                <c:v>214418</c:v>
              </c:pt>
              <c:pt idx="28">
                <c:v>240207</c:v>
              </c:pt>
              <c:pt idx="29">
                <c:v>240307</c:v>
              </c:pt>
              <c:pt idx="30">
                <c:v>252684.5</c:v>
              </c:pt>
              <c:pt idx="31">
                <c:v>219820</c:v>
              </c:pt>
              <c:pt idx="32">
                <c:v>208276</c:v>
              </c:pt>
              <c:pt idx="33">
                <c:v>196528</c:v>
              </c:pt>
              <c:pt idx="34">
                <c:v>185096.5</c:v>
              </c:pt>
              <c:pt idx="35">
                <c:v>182393</c:v>
              </c:pt>
            </c:numLit>
          </c:val>
          <c:smooth val="0"/>
          <c:extLst>
            <c:ext xmlns:c16="http://schemas.microsoft.com/office/drawing/2014/chart" uri="{C3380CC4-5D6E-409C-BE32-E72D297353CC}">
              <c16:uniqueId val="{00000000-C44B-49D2-9780-5BED482B9EB0}"/>
            </c:ext>
          </c:extLst>
        </c:ser>
        <c:ser>
          <c:idx val="1"/>
          <c:order val="1"/>
          <c:tx>
            <c:v>GA</c:v>
          </c:tx>
          <c:spPr>
            <a:ln w="28575" cap="rnd">
              <a:solidFill>
                <a:schemeClr val="accent2"/>
              </a:solidFill>
              <a:round/>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156045.05555555556</c:v>
              </c:pt>
              <c:pt idx="1">
                <c:v>172986.66666666666</c:v>
              </c:pt>
              <c:pt idx="2">
                <c:v>205595.05555555556</c:v>
              </c:pt>
              <c:pt idx="3">
                <c:v>241856.44444444444</c:v>
              </c:pt>
              <c:pt idx="4">
                <c:v>262463.05555555556</c:v>
              </c:pt>
              <c:pt idx="5">
                <c:v>276801.94444444444</c:v>
              </c:pt>
              <c:pt idx="6">
                <c:v>286211.33333333331</c:v>
              </c:pt>
              <c:pt idx="7">
                <c:v>247867.66666666666</c:v>
              </c:pt>
              <c:pt idx="8">
                <c:v>235723.33333333334</c:v>
              </c:pt>
              <c:pt idx="9">
                <c:v>225749.11111111112</c:v>
              </c:pt>
              <c:pt idx="10">
                <c:v>215207.61111111112</c:v>
              </c:pt>
              <c:pt idx="11">
                <c:v>209831.55555555556</c:v>
              </c:pt>
              <c:pt idx="12">
                <c:v>152337.66666666666</c:v>
              </c:pt>
              <c:pt idx="13">
                <c:v>172892.61111111112</c:v>
              </c:pt>
              <c:pt idx="14">
                <c:v>201188.11111111112</c:v>
              </c:pt>
              <c:pt idx="15">
                <c:v>235795.27777777778</c:v>
              </c:pt>
              <c:pt idx="16">
                <c:v>265106.88888888888</c:v>
              </c:pt>
              <c:pt idx="17">
                <c:v>271171.5</c:v>
              </c:pt>
              <c:pt idx="18">
                <c:v>279404.27777777775</c:v>
              </c:pt>
              <c:pt idx="19">
                <c:v>246501.38888888888</c:v>
              </c:pt>
              <c:pt idx="20">
                <c:v>238431.88888888888</c:v>
              </c:pt>
              <c:pt idx="21">
                <c:v>223511.5</c:v>
              </c:pt>
              <c:pt idx="22">
                <c:v>211736.55555555556</c:v>
              </c:pt>
              <c:pt idx="23">
                <c:v>205409.94444444444</c:v>
              </c:pt>
              <c:pt idx="24">
                <c:v>152303.16666666666</c:v>
              </c:pt>
              <c:pt idx="25">
                <c:v>172340.05555555556</c:v>
              </c:pt>
              <c:pt idx="26">
                <c:v>202411.27777777778</c:v>
              </c:pt>
              <c:pt idx="27">
                <c:v>233167.66666666666</c:v>
              </c:pt>
              <c:pt idx="28">
                <c:v>260624.55555555556</c:v>
              </c:pt>
              <c:pt idx="29">
                <c:v>265961.88888888888</c:v>
              </c:pt>
              <c:pt idx="30">
                <c:v>274637.55555555556</c:v>
              </c:pt>
              <c:pt idx="31">
                <c:v>241573.16666666666</c:v>
              </c:pt>
              <c:pt idx="32">
                <c:v>230075.61111111112</c:v>
              </c:pt>
              <c:pt idx="33">
                <c:v>219314.5</c:v>
              </c:pt>
              <c:pt idx="34">
                <c:v>209212.11111111112</c:v>
              </c:pt>
              <c:pt idx="35">
                <c:v>202948.72222222222</c:v>
              </c:pt>
            </c:numLit>
          </c:val>
          <c:smooth val="0"/>
          <c:extLst>
            <c:ext xmlns:c16="http://schemas.microsoft.com/office/drawing/2014/chart" uri="{C3380CC4-5D6E-409C-BE32-E72D297353CC}">
              <c16:uniqueId val="{00000001-C44B-49D2-9780-5BED482B9EB0}"/>
            </c:ext>
          </c:extLst>
        </c:ser>
        <c:ser>
          <c:idx val="2"/>
          <c:order val="2"/>
          <c:tx>
            <c:v>MD</c:v>
          </c:tx>
          <c:spPr>
            <a:ln w="28575" cap="rnd">
              <a:solidFill>
                <a:schemeClr val="accent3"/>
              </a:solidFill>
              <a:round/>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134524.6</c:v>
              </c:pt>
              <c:pt idx="1">
                <c:v>150425</c:v>
              </c:pt>
              <c:pt idx="2">
                <c:v>177356.53333333333</c:v>
              </c:pt>
              <c:pt idx="3">
                <c:v>206735.33333333334</c:v>
              </c:pt>
              <c:pt idx="4">
                <c:v>226853.26666666666</c:v>
              </c:pt>
              <c:pt idx="5">
                <c:v>234905.66666666666</c:v>
              </c:pt>
              <c:pt idx="6">
                <c:v>243014.26666666666</c:v>
              </c:pt>
              <c:pt idx="7">
                <c:v>212760.46666666667</c:v>
              </c:pt>
              <c:pt idx="8">
                <c:v>204970.86666666667</c:v>
              </c:pt>
              <c:pt idx="9">
                <c:v>193379.53333333333</c:v>
              </c:pt>
              <c:pt idx="10">
                <c:v>186938.8</c:v>
              </c:pt>
              <c:pt idx="11">
                <c:v>182250.33333333334</c:v>
              </c:pt>
              <c:pt idx="12">
                <c:v>130427</c:v>
              </c:pt>
              <c:pt idx="13">
                <c:v>148543.53333333333</c:v>
              </c:pt>
              <c:pt idx="14">
                <c:v>173472.73333333334</c:v>
              </c:pt>
              <c:pt idx="15">
                <c:v>202568.93333333332</c:v>
              </c:pt>
              <c:pt idx="16">
                <c:v>226863</c:v>
              </c:pt>
              <c:pt idx="17">
                <c:v>233647.26666666666</c:v>
              </c:pt>
              <c:pt idx="18">
                <c:v>240871.6</c:v>
              </c:pt>
              <c:pt idx="19">
                <c:v>210560.86666666667</c:v>
              </c:pt>
              <c:pt idx="20">
                <c:v>203746.86666666667</c:v>
              </c:pt>
              <c:pt idx="21">
                <c:v>191384.53333333333</c:v>
              </c:pt>
              <c:pt idx="22">
                <c:v>181296.6</c:v>
              </c:pt>
              <c:pt idx="23">
                <c:v>178860.53333333333</c:v>
              </c:pt>
              <c:pt idx="24">
                <c:v>129125.6</c:v>
              </c:pt>
              <c:pt idx="25">
                <c:v>146427.53333333333</c:v>
              </c:pt>
              <c:pt idx="26">
                <c:v>173362.2</c:v>
              </c:pt>
              <c:pt idx="27">
                <c:v>198929.73333333334</c:v>
              </c:pt>
              <c:pt idx="28">
                <c:v>220027</c:v>
              </c:pt>
              <c:pt idx="29">
                <c:v>226147.4</c:v>
              </c:pt>
              <c:pt idx="30">
                <c:v>234228.73333333334</c:v>
              </c:pt>
              <c:pt idx="31">
                <c:v>205366.26666666666</c:v>
              </c:pt>
              <c:pt idx="32">
                <c:v>196813.66666666666</c:v>
              </c:pt>
              <c:pt idx="33">
                <c:v>185404.4</c:v>
              </c:pt>
              <c:pt idx="34">
                <c:v>176393.60000000001</c:v>
              </c:pt>
              <c:pt idx="35">
                <c:v>172009.13333333333</c:v>
              </c:pt>
            </c:numLit>
          </c:val>
          <c:smooth val="0"/>
          <c:extLst>
            <c:ext xmlns:c16="http://schemas.microsoft.com/office/drawing/2014/chart" uri="{C3380CC4-5D6E-409C-BE32-E72D297353CC}">
              <c16:uniqueId val="{00000002-C44B-49D2-9780-5BED482B9EB0}"/>
            </c:ext>
          </c:extLst>
        </c:ser>
        <c:ser>
          <c:idx val="3"/>
          <c:order val="3"/>
          <c:tx>
            <c:v>NC</c:v>
          </c:tx>
          <c:spPr>
            <a:ln w="28575" cap="rnd">
              <a:solidFill>
                <a:schemeClr val="accent4"/>
              </a:solidFill>
              <a:round/>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144842.10526315789</c:v>
              </c:pt>
              <c:pt idx="1">
                <c:v>163990.31578947368</c:v>
              </c:pt>
              <c:pt idx="2">
                <c:v>192739.26315789475</c:v>
              </c:pt>
              <c:pt idx="3">
                <c:v>222592.84210526315</c:v>
              </c:pt>
              <c:pt idx="4">
                <c:v>244861.15789473685</c:v>
              </c:pt>
              <c:pt idx="5">
                <c:v>254536.47368421053</c:v>
              </c:pt>
              <c:pt idx="6">
                <c:v>261188.57894736843</c:v>
              </c:pt>
              <c:pt idx="7">
                <c:v>231121.26315789475</c:v>
              </c:pt>
              <c:pt idx="8">
                <c:v>221055.73684210525</c:v>
              </c:pt>
              <c:pt idx="9">
                <c:v>212461.89473684211</c:v>
              </c:pt>
              <c:pt idx="10">
                <c:v>201961.21052631579</c:v>
              </c:pt>
              <c:pt idx="11">
                <c:v>194432.31578947368</c:v>
              </c:pt>
              <c:pt idx="12">
                <c:v>141641.05263157896</c:v>
              </c:pt>
              <c:pt idx="13">
                <c:v>159844.73684210525</c:v>
              </c:pt>
              <c:pt idx="14">
                <c:v>187883.21052631579</c:v>
              </c:pt>
              <c:pt idx="15">
                <c:v>220540.15789473685</c:v>
              </c:pt>
              <c:pt idx="16">
                <c:v>245635.73684210525</c:v>
              </c:pt>
              <c:pt idx="17">
                <c:v>253381.42105263157</c:v>
              </c:pt>
              <c:pt idx="18">
                <c:v>243879.15789473685</c:v>
              </c:pt>
              <c:pt idx="19">
                <c:v>216821.21052631579</c:v>
              </c:pt>
              <c:pt idx="20">
                <c:v>205229.63157894736</c:v>
              </c:pt>
              <c:pt idx="21">
                <c:v>195871.78947368421</c:v>
              </c:pt>
              <c:pt idx="22">
                <c:v>188484.68421052632</c:v>
              </c:pt>
              <c:pt idx="23">
                <c:v>185339.68421052632</c:v>
              </c:pt>
              <c:pt idx="24">
                <c:v>131396.36842105264</c:v>
              </c:pt>
              <c:pt idx="25">
                <c:v>148658.31578947368</c:v>
              </c:pt>
              <c:pt idx="26">
                <c:v>176739.57894736843</c:v>
              </c:pt>
              <c:pt idx="27">
                <c:v>205258.78947368421</c:v>
              </c:pt>
              <c:pt idx="28">
                <c:v>228571</c:v>
              </c:pt>
              <c:pt idx="29">
                <c:v>233962.15789473685</c:v>
              </c:pt>
              <c:pt idx="30">
                <c:v>244013.26315789475</c:v>
              </c:pt>
              <c:pt idx="31">
                <c:v>210644.26315789475</c:v>
              </c:pt>
              <c:pt idx="32">
                <c:v>201301.15789473685</c:v>
              </c:pt>
              <c:pt idx="33">
                <c:v>193339.63157894736</c:v>
              </c:pt>
              <c:pt idx="34">
                <c:v>181636.68421052632</c:v>
              </c:pt>
              <c:pt idx="35">
                <c:v>177751.26315789475</c:v>
              </c:pt>
            </c:numLit>
          </c:val>
          <c:smooth val="0"/>
          <c:extLst>
            <c:ext xmlns:c16="http://schemas.microsoft.com/office/drawing/2014/chart" uri="{C3380CC4-5D6E-409C-BE32-E72D297353CC}">
              <c16:uniqueId val="{00000003-C44B-49D2-9780-5BED482B9EB0}"/>
            </c:ext>
          </c:extLst>
        </c:ser>
        <c:ser>
          <c:idx val="4"/>
          <c:order val="4"/>
          <c:tx>
            <c:v>VA</c:v>
          </c:tx>
          <c:spPr>
            <a:ln w="28575" cap="rnd">
              <a:solidFill>
                <a:schemeClr val="accent5"/>
              </a:solidFill>
              <a:round/>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136904.90909090909</c:v>
              </c:pt>
              <c:pt idx="1">
                <c:v>152323.63636363635</c:v>
              </c:pt>
              <c:pt idx="2">
                <c:v>177752.12121212122</c:v>
              </c:pt>
              <c:pt idx="3">
                <c:v>210283.0303030303</c:v>
              </c:pt>
              <c:pt idx="4">
                <c:v>228505.27272727274</c:v>
              </c:pt>
              <c:pt idx="5">
                <c:v>240146.21212121213</c:v>
              </c:pt>
              <c:pt idx="6">
                <c:v>247773.87878787878</c:v>
              </c:pt>
              <c:pt idx="7">
                <c:v>216690.51515151514</c:v>
              </c:pt>
              <c:pt idx="8">
                <c:v>205908.21212121213</c:v>
              </c:pt>
              <c:pt idx="9">
                <c:v>199570.27272727274</c:v>
              </c:pt>
              <c:pt idx="10">
                <c:v>187623.54545454544</c:v>
              </c:pt>
              <c:pt idx="11">
                <c:v>183371.9696969697</c:v>
              </c:pt>
              <c:pt idx="12">
                <c:v>132930.81818181818</c:v>
              </c:pt>
              <c:pt idx="13">
                <c:v>151373.18181818182</c:v>
              </c:pt>
              <c:pt idx="14">
                <c:v>178027.39393939395</c:v>
              </c:pt>
              <c:pt idx="15">
                <c:v>207902.27272727274</c:v>
              </c:pt>
              <c:pt idx="16">
                <c:v>229421.57575757575</c:v>
              </c:pt>
              <c:pt idx="17">
                <c:v>239995.66666666666</c:v>
              </c:pt>
              <c:pt idx="18">
                <c:v>245897.81818181818</c:v>
              </c:pt>
              <c:pt idx="19">
                <c:v>216027.36363636365</c:v>
              </c:pt>
              <c:pt idx="20">
                <c:v>207530.78787878787</c:v>
              </c:pt>
              <c:pt idx="21">
                <c:v>198179.45454545456</c:v>
              </c:pt>
              <c:pt idx="22">
                <c:v>185564.75757575757</c:v>
              </c:pt>
              <c:pt idx="23">
                <c:v>183093.24242424243</c:v>
              </c:pt>
              <c:pt idx="24">
                <c:v>133090.36363636365</c:v>
              </c:pt>
              <c:pt idx="25">
                <c:v>151313.54545454544</c:v>
              </c:pt>
              <c:pt idx="26">
                <c:v>176886.27272727274</c:v>
              </c:pt>
              <c:pt idx="27">
                <c:v>204313.33333333334</c:v>
              </c:pt>
              <c:pt idx="28">
                <c:v>229137.54545454544</c:v>
              </c:pt>
              <c:pt idx="29">
                <c:v>232572.06060606061</c:v>
              </c:pt>
              <c:pt idx="30">
                <c:v>241627.09090909091</c:v>
              </c:pt>
              <c:pt idx="31">
                <c:v>208293.51515151514</c:v>
              </c:pt>
              <c:pt idx="32">
                <c:v>202147.57575757575</c:v>
              </c:pt>
              <c:pt idx="33">
                <c:v>191543.06060606061</c:v>
              </c:pt>
              <c:pt idx="34">
                <c:v>179991.57575757575</c:v>
              </c:pt>
              <c:pt idx="35">
                <c:v>177363.12121212122</c:v>
              </c:pt>
            </c:numLit>
          </c:val>
          <c:smooth val="0"/>
          <c:extLst>
            <c:ext xmlns:c16="http://schemas.microsoft.com/office/drawing/2014/chart" uri="{C3380CC4-5D6E-409C-BE32-E72D297353CC}">
              <c16:uniqueId val="{00000004-C44B-49D2-9780-5BED482B9EB0}"/>
            </c:ext>
          </c:extLst>
        </c:ser>
        <c:ser>
          <c:idx val="5"/>
          <c:order val="5"/>
          <c:tx>
            <c:v>WV</c:v>
          </c:tx>
          <c:spPr>
            <a:ln w="28575" cap="rnd">
              <a:solidFill>
                <a:schemeClr val="accent6"/>
              </a:solidFill>
              <a:round/>
            </a:ln>
            <a:effectLst/>
          </c:spPr>
          <c:marker>
            <c:symbol val="none"/>
          </c:marker>
          <c:cat>
            <c:strLit>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Lit>
          </c:cat>
          <c:val>
            <c:numLit>
              <c:formatCode>General</c:formatCode>
              <c:ptCount val="36"/>
              <c:pt idx="0">
                <c:v>141669.76923076922</c:v>
              </c:pt>
              <c:pt idx="1">
                <c:v>159860.46153846153</c:v>
              </c:pt>
              <c:pt idx="2">
                <c:v>184882.07692307694</c:v>
              </c:pt>
              <c:pt idx="3">
                <c:v>212046.53846153847</c:v>
              </c:pt>
              <c:pt idx="4">
                <c:v>237702.30769230769</c:v>
              </c:pt>
              <c:pt idx="5">
                <c:v>248474.92307692306</c:v>
              </c:pt>
              <c:pt idx="6">
                <c:v>252352.30769230769</c:v>
              </c:pt>
              <c:pt idx="7">
                <c:v>223136.76923076922</c:v>
              </c:pt>
              <c:pt idx="8">
                <c:v>215203.30769230769</c:v>
              </c:pt>
              <c:pt idx="9">
                <c:v>205520.38461538462</c:v>
              </c:pt>
              <c:pt idx="10">
                <c:v>195354.69230769231</c:v>
              </c:pt>
              <c:pt idx="11">
                <c:v>189904.07692307694</c:v>
              </c:pt>
              <c:pt idx="12">
                <c:v>137284.92307692306</c:v>
              </c:pt>
              <c:pt idx="13">
                <c:v>156409.76923076922</c:v>
              </c:pt>
              <c:pt idx="14">
                <c:v>179080</c:v>
              </c:pt>
              <c:pt idx="15">
                <c:v>216111.07692307694</c:v>
              </c:pt>
              <c:pt idx="16">
                <c:v>237945.84615384616</c:v>
              </c:pt>
              <c:pt idx="17">
                <c:v>246562.38461538462</c:v>
              </c:pt>
              <c:pt idx="18">
                <c:v>251218.38461538462</c:v>
              </c:pt>
              <c:pt idx="19">
                <c:v>223042.84615384616</c:v>
              </c:pt>
              <c:pt idx="20">
                <c:v>213657</c:v>
              </c:pt>
              <c:pt idx="21">
                <c:v>204067.61538461538</c:v>
              </c:pt>
              <c:pt idx="22">
                <c:v>191403.76923076922</c:v>
              </c:pt>
              <c:pt idx="23">
                <c:v>187462.38461538462</c:v>
              </c:pt>
              <c:pt idx="24">
                <c:v>136749.53846153847</c:v>
              </c:pt>
              <c:pt idx="25">
                <c:v>158140</c:v>
              </c:pt>
              <c:pt idx="26">
                <c:v>179630.15384615384</c:v>
              </c:pt>
              <c:pt idx="27">
                <c:v>212409</c:v>
              </c:pt>
              <c:pt idx="28">
                <c:v>233305.30769230769</c:v>
              </c:pt>
              <c:pt idx="29">
                <c:v>238995.53846153847</c:v>
              </c:pt>
              <c:pt idx="30">
                <c:v>246502.46153846153</c:v>
              </c:pt>
              <c:pt idx="31">
                <c:v>219599.30769230769</c:v>
              </c:pt>
              <c:pt idx="32">
                <c:v>207725.69230769231</c:v>
              </c:pt>
              <c:pt idx="33">
                <c:v>197690.46153846153</c:v>
              </c:pt>
              <c:pt idx="34">
                <c:v>188859</c:v>
              </c:pt>
              <c:pt idx="35">
                <c:v>180000.15384615384</c:v>
              </c:pt>
            </c:numLit>
          </c:val>
          <c:smooth val="0"/>
          <c:extLst>
            <c:ext xmlns:c16="http://schemas.microsoft.com/office/drawing/2014/chart" uri="{C3380CC4-5D6E-409C-BE32-E72D297353CC}">
              <c16:uniqueId val="{00000005-C44B-49D2-9780-5BED482B9EB0}"/>
            </c:ext>
          </c:extLst>
        </c:ser>
        <c:dLbls>
          <c:showLegendKey val="0"/>
          <c:showVal val="0"/>
          <c:showCatName val="0"/>
          <c:showSerName val="0"/>
          <c:showPercent val="0"/>
          <c:showBubbleSize val="0"/>
        </c:dLbls>
        <c:smooth val="0"/>
        <c:axId val="181651008"/>
        <c:axId val="181647168"/>
      </c:lineChart>
      <c:catAx>
        <c:axId val="181651008"/>
        <c:scaling>
          <c:orientation val="minMax"/>
        </c:scaling>
        <c:delete val="0"/>
        <c:axPos val="b"/>
        <c:numFmt formatCode="General" sourceLinked="1"/>
        <c:majorTickMark val="in"/>
        <c:minorTickMark val="cross"/>
        <c:tickLblPos val="low"/>
        <c:spPr>
          <a:noFill/>
          <a:ln w="9525" cap="flat" cmpd="sng" algn="ctr">
            <a:solidFill>
              <a:schemeClr val="tx1">
                <a:lumMod val="15000"/>
                <a:lumOff val="85000"/>
              </a:schemeClr>
            </a:solidFill>
            <a:round/>
          </a:ln>
          <a:effectLst/>
        </c:spPr>
        <c:txPr>
          <a:bodyPr rot="-2700000" spcFirstLastPara="1" vertOverflow="ellipsis" wrap="square" anchor="t" anchorCtr="0"/>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81647168"/>
        <c:crosses val="autoZero"/>
        <c:auto val="1"/>
        <c:lblAlgn val="ctr"/>
        <c:lblOffset val="100"/>
        <c:noMultiLvlLbl val="0"/>
      </c:catAx>
      <c:valAx>
        <c:axId val="18164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8165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900" b="0"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1.emf"/><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19050</xdr:colOff>
      <xdr:row>36</xdr:row>
      <xdr:rowOff>19050</xdr:rowOff>
    </xdr:from>
    <xdr:to>
      <xdr:col>12</xdr:col>
      <xdr:colOff>266700</xdr:colOff>
      <xdr:row>70</xdr:row>
      <xdr:rowOff>19050</xdr:rowOff>
    </xdr:to>
    <xdr:sp macro="" textlink="">
      <xdr:nvSpPr>
        <xdr:cNvPr id="12" name="Rectangle 11">
          <a:extLst>
            <a:ext uri="{FF2B5EF4-FFF2-40B4-BE49-F238E27FC236}">
              <a16:creationId xmlns:a16="http://schemas.microsoft.com/office/drawing/2014/main" id="{2E1041AC-2983-EAAA-ACB9-54803658FEB8}"/>
            </a:ext>
          </a:extLst>
        </xdr:cNvPr>
        <xdr:cNvSpPr/>
      </xdr:nvSpPr>
      <xdr:spPr>
        <a:xfrm>
          <a:off x="19050" y="6305550"/>
          <a:ext cx="11668125" cy="6477000"/>
        </a:xfrm>
        <a:prstGeom prst="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lumMod val="50000"/>
                </a:schemeClr>
              </a:solidFill>
            </a:rPr>
            <a:t>SEASONALITY IN EACH STATE</a:t>
          </a:r>
        </a:p>
      </xdr:txBody>
    </xdr:sp>
    <xdr:clientData/>
  </xdr:twoCellAnchor>
  <xdr:twoCellAnchor>
    <xdr:from>
      <xdr:col>0</xdr:col>
      <xdr:colOff>0</xdr:colOff>
      <xdr:row>39</xdr:row>
      <xdr:rowOff>76200</xdr:rowOff>
    </xdr:from>
    <xdr:to>
      <xdr:col>12</xdr:col>
      <xdr:colOff>247650</xdr:colOff>
      <xdr:row>69</xdr:row>
      <xdr:rowOff>114300</xdr:rowOff>
    </xdr:to>
    <xdr:grpSp>
      <xdr:nvGrpSpPr>
        <xdr:cNvPr id="2" name="Group 1">
          <a:extLst>
            <a:ext uri="{FF2B5EF4-FFF2-40B4-BE49-F238E27FC236}">
              <a16:creationId xmlns:a16="http://schemas.microsoft.com/office/drawing/2014/main" id="{AF5EBD35-5F67-4FC9-9D5A-0C2D85064A3A}"/>
            </a:ext>
          </a:extLst>
        </xdr:cNvPr>
        <xdr:cNvGrpSpPr/>
      </xdr:nvGrpSpPr>
      <xdr:grpSpPr>
        <a:xfrm>
          <a:off x="0" y="9340850"/>
          <a:ext cx="11976100" cy="5562600"/>
          <a:chOff x="0" y="-9051"/>
          <a:chExt cx="13280482" cy="5466876"/>
        </a:xfrm>
      </xdr:grpSpPr>
      <xdr:graphicFrame macro="">
        <xdr:nvGraphicFramePr>
          <xdr:cNvPr id="3" name="Chart 2">
            <a:extLst>
              <a:ext uri="{FF2B5EF4-FFF2-40B4-BE49-F238E27FC236}">
                <a16:creationId xmlns:a16="http://schemas.microsoft.com/office/drawing/2014/main" id="{8C8B2910-105D-F652-94CC-DC5FFCB16ADF}"/>
              </a:ext>
            </a:extLst>
          </xdr:cNvPr>
          <xdr:cNvGraphicFramePr>
            <a:graphicFrameLocks/>
          </xdr:cNvGraphicFramePr>
        </xdr:nvGraphicFramePr>
        <xdr:xfrm>
          <a:off x="1" y="0"/>
          <a:ext cx="3990974" cy="271462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7DE31A8A-52ED-2AF5-5466-28E688E2EDDE}"/>
              </a:ext>
            </a:extLst>
          </xdr:cNvPr>
          <xdr:cNvGraphicFramePr>
            <a:graphicFrameLocks/>
          </xdr:cNvGraphicFramePr>
        </xdr:nvGraphicFramePr>
        <xdr:xfrm>
          <a:off x="8022682" y="-9051"/>
          <a:ext cx="5257800" cy="274002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C91CD526-4AF5-EE7F-4FB9-C974C4A024CB}"/>
              </a:ext>
            </a:extLst>
          </xdr:cNvPr>
          <xdr:cNvGraphicFramePr>
            <a:graphicFrameLocks/>
          </xdr:cNvGraphicFramePr>
        </xdr:nvGraphicFramePr>
        <xdr:xfrm>
          <a:off x="4000500" y="0"/>
          <a:ext cx="4000500" cy="273367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42B3FDB7-CD0E-68B7-7B44-25DE60DB7E6C}"/>
              </a:ext>
            </a:extLst>
          </xdr:cNvPr>
          <xdr:cNvGraphicFramePr>
            <a:graphicFrameLocks/>
          </xdr:cNvGraphicFramePr>
        </xdr:nvGraphicFramePr>
        <xdr:xfrm>
          <a:off x="0" y="2714625"/>
          <a:ext cx="3997458" cy="27432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D0C3E98B-FE6F-0E24-EAD9-8EB9A5D6A740}"/>
              </a:ext>
            </a:extLst>
          </xdr:cNvPr>
          <xdr:cNvGraphicFramePr>
            <a:graphicFrameLocks/>
          </xdr:cNvGraphicFramePr>
        </xdr:nvGraphicFramePr>
        <xdr:xfrm>
          <a:off x="4000500" y="2714625"/>
          <a:ext cx="3990975" cy="27432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8" name="Chart 7">
            <a:extLst>
              <a:ext uri="{FF2B5EF4-FFF2-40B4-BE49-F238E27FC236}">
                <a16:creationId xmlns:a16="http://schemas.microsoft.com/office/drawing/2014/main" id="{D8EFE22E-97D9-0CE7-205E-60A9ECEA95F6}"/>
              </a:ext>
            </a:extLst>
          </xdr:cNvPr>
          <xdr:cNvGraphicFramePr>
            <a:graphicFrameLocks/>
          </xdr:cNvGraphicFramePr>
        </xdr:nvGraphicFramePr>
        <xdr:xfrm>
          <a:off x="8001000" y="2714625"/>
          <a:ext cx="3978275" cy="274002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0</xdr:colOff>
      <xdr:row>3</xdr:row>
      <xdr:rowOff>38099</xdr:rowOff>
    </xdr:from>
    <xdr:to>
      <xdr:col>14</xdr:col>
      <xdr:colOff>560294</xdr:colOff>
      <xdr:row>19</xdr:row>
      <xdr:rowOff>145676</xdr:rowOff>
    </xdr:to>
    <xdr:graphicFrame macro="">
      <xdr:nvGraphicFramePr>
        <xdr:cNvPr id="10" name="Chart 9">
          <a:extLst>
            <a:ext uri="{FF2B5EF4-FFF2-40B4-BE49-F238E27FC236}">
              <a16:creationId xmlns:a16="http://schemas.microsoft.com/office/drawing/2014/main" id="{CE8B7A8B-933C-4FDD-97EC-8C4AADD2C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20</xdr:row>
      <xdr:rowOff>9525</xdr:rowOff>
    </xdr:from>
    <xdr:to>
      <xdr:col>14</xdr:col>
      <xdr:colOff>600075</xdr:colOff>
      <xdr:row>35</xdr:row>
      <xdr:rowOff>44450</xdr:rowOff>
    </xdr:to>
    <xdr:graphicFrame macro="">
      <xdr:nvGraphicFramePr>
        <xdr:cNvPr id="11" name="Chart 10">
          <a:extLst>
            <a:ext uri="{FF2B5EF4-FFF2-40B4-BE49-F238E27FC236}">
              <a16:creationId xmlns:a16="http://schemas.microsoft.com/office/drawing/2014/main" id="{25C06805-BF01-47D7-95E9-A12FFBB2F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0</xdr:row>
      <xdr:rowOff>0</xdr:rowOff>
    </xdr:from>
    <xdr:to>
      <xdr:col>17</xdr:col>
      <xdr:colOff>187974</xdr:colOff>
      <xdr:row>3</xdr:row>
      <xdr:rowOff>33618</xdr:rowOff>
    </xdr:to>
    <xdr:pic>
      <xdr:nvPicPr>
        <xdr:cNvPr id="13" name="Picture 12">
          <a:extLst>
            <a:ext uri="{FF2B5EF4-FFF2-40B4-BE49-F238E27FC236}">
              <a16:creationId xmlns:a16="http://schemas.microsoft.com/office/drawing/2014/main" id="{FD2E6BE1-D85F-CDDA-E174-705134BB5D7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0"/>
          <a:ext cx="16727856"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c:userShapes xmlns:c="http://schemas.openxmlformats.org/drawingml/2006/chart">
  <cdr:relSizeAnchor xmlns:cdr="http://schemas.openxmlformats.org/drawingml/2006/chartDrawing">
    <cdr:from>
      <cdr:x>0.21007</cdr:x>
      <cdr:y>0.25686</cdr:y>
    </cdr:from>
    <cdr:to>
      <cdr:x>0.21151</cdr:x>
      <cdr:y>0.81998</cdr:y>
    </cdr:to>
    <cdr:cxnSp macro="">
      <cdr:nvCxnSpPr>
        <cdr:cNvPr id="4" name="Straight Connector 3">
          <a:extLst xmlns:a="http://schemas.openxmlformats.org/drawingml/2006/main">
            <a:ext uri="{FF2B5EF4-FFF2-40B4-BE49-F238E27FC236}">
              <a16:creationId xmlns:a16="http://schemas.microsoft.com/office/drawing/2014/main" id="{A48131B9-A66F-7085-0E09-8079C6503155}"/>
            </a:ext>
          </a:extLst>
        </cdr:cNvPr>
        <cdr:cNvCxnSpPr/>
      </cdr:nvCxnSpPr>
      <cdr:spPr>
        <a:xfrm xmlns:a="http://schemas.openxmlformats.org/drawingml/2006/main" flipV="1">
          <a:off x="2781300" y="742950"/>
          <a:ext cx="19050" cy="1628775"/>
        </a:xfrm>
        <a:prstGeom xmlns:a="http://schemas.openxmlformats.org/drawingml/2006/main" prst="line">
          <a:avLst/>
        </a:prstGeom>
        <a:ln xmlns:a="http://schemas.openxmlformats.org/drawingml/2006/main" w="3175">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3</xdr:row>
      <xdr:rowOff>0</xdr:rowOff>
    </xdr:from>
    <xdr:to>
      <xdr:col>5</xdr:col>
      <xdr:colOff>476250</xdr:colOff>
      <xdr:row>33</xdr:row>
      <xdr:rowOff>171450</xdr:rowOff>
    </xdr:to>
    <xdr:graphicFrame macro="">
      <xdr:nvGraphicFramePr>
        <xdr:cNvPr id="5" name="Chart 4">
          <a:extLst>
            <a:ext uri="{FF2B5EF4-FFF2-40B4-BE49-F238E27FC236}">
              <a16:creationId xmlns:a16="http://schemas.microsoft.com/office/drawing/2014/main" id="{15CB1C4C-3059-D234-EAF2-127CA79DAC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0</xdr:rowOff>
    </xdr:from>
    <xdr:to>
      <xdr:col>5</xdr:col>
      <xdr:colOff>504825</xdr:colOff>
      <xdr:row>59</xdr:row>
      <xdr:rowOff>161925</xdr:rowOff>
    </xdr:to>
    <xdr:graphicFrame macro="">
      <xdr:nvGraphicFramePr>
        <xdr:cNvPr id="7" name="Chart 6">
          <a:extLst>
            <a:ext uri="{FF2B5EF4-FFF2-40B4-BE49-F238E27FC236}">
              <a16:creationId xmlns:a16="http://schemas.microsoft.com/office/drawing/2014/main" id="{29B4ADA6-199E-3E91-7145-363DF0D9D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1</xdr:rowOff>
    </xdr:from>
    <xdr:to>
      <xdr:col>5</xdr:col>
      <xdr:colOff>1200150</xdr:colOff>
      <xdr:row>2</xdr:row>
      <xdr:rowOff>152868</xdr:rowOff>
    </xdr:to>
    <xdr:pic>
      <xdr:nvPicPr>
        <xdr:cNvPr id="8" name="Picture 7">
          <a:extLst>
            <a:ext uri="{FF2B5EF4-FFF2-40B4-BE49-F238E27FC236}">
              <a16:creationId xmlns:a16="http://schemas.microsoft.com/office/drawing/2014/main" id="{A5678304-B1EE-448D-AF26-87CEC470C38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
          <a:ext cx="7058025" cy="705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14</xdr:row>
      <xdr:rowOff>117231</xdr:rowOff>
    </xdr:from>
    <xdr:to>
      <xdr:col>5</xdr:col>
      <xdr:colOff>447675</xdr:colOff>
      <xdr:row>25</xdr:row>
      <xdr:rowOff>12456</xdr:rowOff>
    </xdr:to>
    <xdr:pic>
      <xdr:nvPicPr>
        <xdr:cNvPr id="11" name="Picture 10">
          <a:extLst>
            <a:ext uri="{FF2B5EF4-FFF2-40B4-BE49-F238E27FC236}">
              <a16:creationId xmlns:a16="http://schemas.microsoft.com/office/drawing/2014/main" id="{7F2E6674-4C12-9F4B-472F-60A8832EE2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97519"/>
          <a:ext cx="4983040" cy="1990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16</xdr:col>
      <xdr:colOff>438150</xdr:colOff>
      <xdr:row>3</xdr:row>
      <xdr:rowOff>7237</xdr:rowOff>
    </xdr:to>
    <xdr:pic>
      <xdr:nvPicPr>
        <xdr:cNvPr id="15" name="Picture 14">
          <a:extLst>
            <a:ext uri="{FF2B5EF4-FFF2-40B4-BE49-F238E27FC236}">
              <a16:creationId xmlns:a16="http://schemas.microsoft.com/office/drawing/2014/main" id="{E1119D5F-5E6B-4E5C-9E9B-688ED72D2D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1687175" cy="11978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14655</xdr:rowOff>
    </xdr:from>
    <xdr:to>
      <xdr:col>16</xdr:col>
      <xdr:colOff>432289</xdr:colOff>
      <xdr:row>13</xdr:row>
      <xdr:rowOff>63279</xdr:rowOff>
    </xdr:to>
    <xdr:pic>
      <xdr:nvPicPr>
        <xdr:cNvPr id="18" name="Picture 17">
          <a:extLst>
            <a:ext uri="{FF2B5EF4-FFF2-40B4-BE49-F238E27FC236}">
              <a16:creationId xmlns:a16="http://schemas.microsoft.com/office/drawing/2014/main" id="{8A298E39-A7D3-6ACA-2A21-B20CF62C865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208943"/>
          <a:ext cx="11657135" cy="21441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2</xdr:row>
      <xdr:rowOff>17261</xdr:rowOff>
    </xdr:to>
    <xdr:pic>
      <xdr:nvPicPr>
        <xdr:cNvPr id="2" name="Picture 1">
          <a:extLst>
            <a:ext uri="{FF2B5EF4-FFF2-40B4-BE49-F238E27FC236}">
              <a16:creationId xmlns:a16="http://schemas.microsoft.com/office/drawing/2014/main" id="{8D6AAE96-6C9B-44BA-A8AD-81A308AFEC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067675" cy="8268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47</xdr:row>
      <xdr:rowOff>0</xdr:rowOff>
    </xdr:from>
    <xdr:to>
      <xdr:col>20</xdr:col>
      <xdr:colOff>628649</xdr:colOff>
      <xdr:row>62</xdr:row>
      <xdr:rowOff>19050</xdr:rowOff>
    </xdr:to>
    <xdr:graphicFrame macro="">
      <xdr:nvGraphicFramePr>
        <xdr:cNvPr id="2" name="Chart 1">
          <a:extLst>
            <a:ext uri="{FF2B5EF4-FFF2-40B4-BE49-F238E27FC236}">
              <a16:creationId xmlns:a16="http://schemas.microsoft.com/office/drawing/2014/main" id="{50AECD71-0404-428D-A40F-1077D9311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0</xdr:rowOff>
    </xdr:from>
    <xdr:to>
      <xdr:col>21</xdr:col>
      <xdr:colOff>9525</xdr:colOff>
      <xdr:row>46</xdr:row>
      <xdr:rowOff>34925</xdr:rowOff>
    </xdr:to>
    <xdr:graphicFrame macro="">
      <xdr:nvGraphicFramePr>
        <xdr:cNvPr id="3" name="Chart 2">
          <a:extLst>
            <a:ext uri="{FF2B5EF4-FFF2-40B4-BE49-F238E27FC236}">
              <a16:creationId xmlns:a16="http://schemas.microsoft.com/office/drawing/2014/main" id="{09833AB0-4BF4-488A-9954-DB6EB9546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63</xdr:row>
      <xdr:rowOff>0</xdr:rowOff>
    </xdr:from>
    <xdr:to>
      <xdr:col>17</xdr:col>
      <xdr:colOff>197746</xdr:colOff>
      <xdr:row>93</xdr:row>
      <xdr:rowOff>39336</xdr:rowOff>
    </xdr:to>
    <xdr:pic>
      <xdr:nvPicPr>
        <xdr:cNvPr id="4" name="Picture 3">
          <a:extLst>
            <a:ext uri="{FF2B5EF4-FFF2-40B4-BE49-F238E27FC236}">
              <a16:creationId xmlns:a16="http://schemas.microsoft.com/office/drawing/2014/main" id="{7978EABD-FDBF-472A-9FD4-0E446086484A}"/>
            </a:ext>
          </a:extLst>
        </xdr:cNvPr>
        <xdr:cNvPicPr>
          <a:picLocks noChangeAspect="1"/>
        </xdr:cNvPicPr>
      </xdr:nvPicPr>
      <xdr:blipFill>
        <a:blip xmlns:r="http://schemas.openxmlformats.org/officeDocument/2006/relationships" r:embed="rId3"/>
        <a:stretch>
          <a:fillRect/>
        </a:stretch>
      </xdr:blipFill>
      <xdr:spPr>
        <a:xfrm>
          <a:off x="0" y="12030075"/>
          <a:ext cx="12018271" cy="57543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9fa495188f170a6f/Sample%20Works/VA%20Dept%20of%20Tax/Assignment_WH_completed.xlsx" TargetMode="External"/><Relationship Id="rId1" Type="http://schemas.openxmlformats.org/officeDocument/2006/relationships/externalLinkPath" Target="Assignment_WH_comple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printable)"/>
      <sheetName val="Visuals"/>
      <sheetName val="Visuals2"/>
      <sheetName val="Revenue Estimate table"/>
      <sheetName val="Elasticity"/>
      <sheetName val="PivotTables"/>
      <sheetName val="Flat Data"/>
      <sheetName val="Data Dictionary"/>
      <sheetName val="stores"/>
      <sheetName val="total_sales"/>
      <sheetName val="soda_ppu"/>
      <sheetName val="soda_units_sold"/>
      <sheetName val="soda_sales"/>
      <sheetName val="zip_med_income"/>
      <sheetName val="zip_med_income_updated"/>
      <sheetName val="zip_tiers"/>
    </sheetNames>
    <sheetDataSet>
      <sheetData sheetId="0"/>
      <sheetData sheetId="1"/>
      <sheetData sheetId="2"/>
      <sheetData sheetId="3"/>
      <sheetData sheetId="4"/>
      <sheetData sheetId="5"/>
      <sheetData sheetId="6">
        <row r="1">
          <cell r="C1" t="str">
            <v>total_sales</v>
          </cell>
          <cell r="D1" t="str">
            <v>soda_ppu</v>
          </cell>
          <cell r="E1" t="str">
            <v>soda_units_sold</v>
          </cell>
          <cell r="F1" t="str">
            <v>soda_sales</v>
          </cell>
          <cell r="G1" t="str">
            <v>soda_sales_shares</v>
          </cell>
          <cell r="I1" t="str">
            <v>state</v>
          </cell>
          <cell r="J1" t="str">
            <v>income_tier</v>
          </cell>
          <cell r="K1" t="str">
            <v>med_income_avg</v>
          </cell>
        </row>
        <row r="2">
          <cell r="C2">
            <v>1918181.5015408001</v>
          </cell>
          <cell r="D2">
            <v>0.72128611065770398</v>
          </cell>
          <cell r="E2">
            <v>141066</v>
          </cell>
          <cell r="F2">
            <v>101748.94648604</v>
          </cell>
          <cell r="G2">
            <v>5.3044483227634644E-2</v>
          </cell>
          <cell r="I2" t="str">
            <v>VA</v>
          </cell>
          <cell r="J2" t="str">
            <v>Med</v>
          </cell>
          <cell r="K2">
            <v>72992</v>
          </cell>
        </row>
        <row r="3">
          <cell r="C3">
            <v>2518868.49658556</v>
          </cell>
          <cell r="D3">
            <v>0.72449255175586502</v>
          </cell>
          <cell r="E3">
            <v>122288</v>
          </cell>
          <cell r="F3">
            <v>88596.745169121306</v>
          </cell>
          <cell r="G3">
            <v>3.5173231667003736E-2</v>
          </cell>
          <cell r="I3" t="str">
            <v>VA</v>
          </cell>
          <cell r="J3" t="str">
            <v>High</v>
          </cell>
          <cell r="K3">
            <v>119878</v>
          </cell>
        </row>
        <row r="4">
          <cell r="C4">
            <v>1631645.2009523001</v>
          </cell>
          <cell r="D4">
            <v>0.68822752899756301</v>
          </cell>
          <cell r="E4">
            <v>145954</v>
          </cell>
          <cell r="F4">
            <v>100449.56076731</v>
          </cell>
          <cell r="G4">
            <v>6.156335991959723E-2</v>
          </cell>
          <cell r="I4" t="str">
            <v>VA</v>
          </cell>
          <cell r="J4" t="str">
            <v>Med</v>
          </cell>
          <cell r="K4">
            <v>55273.333333333336</v>
          </cell>
        </row>
        <row r="5">
          <cell r="C5">
            <v>2328416.85394389</v>
          </cell>
          <cell r="D5">
            <v>0.69643679969685102</v>
          </cell>
          <cell r="E5">
            <v>132240</v>
          </cell>
          <cell r="F5">
            <v>92096.802391911595</v>
          </cell>
          <cell r="G5">
            <v>3.9553399656903077E-2</v>
          </cell>
          <cell r="I5" t="str">
            <v>VA</v>
          </cell>
          <cell r="J5" t="str">
            <v>High</v>
          </cell>
          <cell r="K5">
            <v>108975.66666666667</v>
          </cell>
        </row>
        <row r="6">
          <cell r="C6">
            <v>1898096.7231525399</v>
          </cell>
          <cell r="D6">
            <v>0.72933884524436399</v>
          </cell>
          <cell r="E6">
            <v>132471</v>
          </cell>
          <cell r="F6">
            <v>96616.246168366095</v>
          </cell>
          <cell r="G6">
            <v>5.0901645311255066E-2</v>
          </cell>
          <cell r="I6" t="str">
            <v>VA</v>
          </cell>
          <cell r="J6" t="str">
            <v>Med</v>
          </cell>
          <cell r="K6">
            <v>70133</v>
          </cell>
        </row>
        <row r="7">
          <cell r="C7">
            <v>1929317.99917874</v>
          </cell>
          <cell r="D7">
            <v>0.72600414197894803</v>
          </cell>
          <cell r="E7">
            <v>131566</v>
          </cell>
          <cell r="F7">
            <v>95517.4609436022</v>
          </cell>
          <cell r="G7">
            <v>4.950840710772484E-2</v>
          </cell>
          <cell r="I7" t="str">
            <v>VA</v>
          </cell>
          <cell r="J7" t="str">
            <v>Med</v>
          </cell>
          <cell r="K7">
            <v>73769</v>
          </cell>
        </row>
        <row r="8">
          <cell r="C8">
            <v>2379214.11757157</v>
          </cell>
          <cell r="D8">
            <v>0.697265205410601</v>
          </cell>
          <cell r="E8">
            <v>123796</v>
          </cell>
          <cell r="F8">
            <v>86318.643369010693</v>
          </cell>
          <cell r="G8">
            <v>3.628031740880678E-2</v>
          </cell>
          <cell r="I8" t="str">
            <v>VA</v>
          </cell>
          <cell r="J8" t="str">
            <v>High</v>
          </cell>
          <cell r="K8">
            <v>117573.33333333333</v>
          </cell>
        </row>
        <row r="9">
          <cell r="C9">
            <v>1467281.6213171801</v>
          </cell>
          <cell r="D9">
            <v>0.67360000455064994</v>
          </cell>
          <cell r="E9">
            <v>136442</v>
          </cell>
          <cell r="F9">
            <v>91907.331820899795</v>
          </cell>
          <cell r="G9">
            <v>6.2637826635076707E-2</v>
          </cell>
          <cell r="I9" t="str">
            <v>VA</v>
          </cell>
          <cell r="J9" t="str">
            <v>Med</v>
          </cell>
          <cell r="K9">
            <v>43634.333333333336</v>
          </cell>
        </row>
        <row r="10">
          <cell r="C10">
            <v>1818445.2986977301</v>
          </cell>
          <cell r="D10">
            <v>0.69720490773384602</v>
          </cell>
          <cell r="E10">
            <v>151104</v>
          </cell>
          <cell r="F10">
            <v>105350.450378215</v>
          </cell>
          <cell r="G10">
            <v>5.7934352192865614E-2</v>
          </cell>
          <cell r="I10" t="str">
            <v>VA</v>
          </cell>
          <cell r="J10" t="str">
            <v>Med</v>
          </cell>
          <cell r="K10">
            <v>68834</v>
          </cell>
        </row>
        <row r="11">
          <cell r="C11">
            <v>2098174.9139402201</v>
          </cell>
          <cell r="D11">
            <v>0.65950437572299003</v>
          </cell>
          <cell r="E11">
            <v>162824</v>
          </cell>
          <cell r="F11">
            <v>107383.14047272</v>
          </cell>
          <cell r="G11">
            <v>5.1179308149796841E-2</v>
          </cell>
          <cell r="I11" t="str">
            <v>VA</v>
          </cell>
          <cell r="J11" t="str">
            <v>Med</v>
          </cell>
          <cell r="K11">
            <v>90147.333333333328</v>
          </cell>
        </row>
        <row r="12">
          <cell r="C12">
            <v>1932495.5879837601</v>
          </cell>
          <cell r="D12">
            <v>0.72037088895050105</v>
          </cell>
          <cell r="E12">
            <v>132524</v>
          </cell>
          <cell r="F12">
            <v>95466.431687276097</v>
          </cell>
          <cell r="G12">
            <v>4.9400594899613487E-2</v>
          </cell>
          <cell r="I12" t="str">
            <v>VA</v>
          </cell>
          <cell r="J12" t="str">
            <v>Med</v>
          </cell>
          <cell r="K12">
            <v>75389.666666666672</v>
          </cell>
        </row>
        <row r="13">
          <cell r="C13">
            <v>2116639.8861179999</v>
          </cell>
          <cell r="D13">
            <v>0.70088984094159101</v>
          </cell>
          <cell r="E13">
            <v>143419</v>
          </cell>
          <cell r="F13">
            <v>100520.920098002</v>
          </cell>
          <cell r="G13">
            <v>4.7490799335904645E-2</v>
          </cell>
          <cell r="I13" t="str">
            <v>VA</v>
          </cell>
          <cell r="J13" t="str">
            <v>Med</v>
          </cell>
          <cell r="K13">
            <v>90636.666666666672</v>
          </cell>
        </row>
        <row r="14">
          <cell r="C14">
            <v>2249461.4499804601</v>
          </cell>
          <cell r="D14">
            <v>0.65077106258461803</v>
          </cell>
          <cell r="E14">
            <v>134578</v>
          </cell>
          <cell r="F14">
            <v>87579.468060512707</v>
          </cell>
          <cell r="G14">
            <v>3.8933526983213458E-2</v>
          </cell>
          <cell r="I14" t="str">
            <v>VA</v>
          </cell>
          <cell r="J14" t="str">
            <v>High</v>
          </cell>
          <cell r="K14">
            <v>104337.66666666667</v>
          </cell>
        </row>
        <row r="15">
          <cell r="C15">
            <v>1874357.3820869599</v>
          </cell>
          <cell r="D15">
            <v>0.73747279492950402</v>
          </cell>
          <cell r="E15">
            <v>143527</v>
          </cell>
          <cell r="F15">
            <v>105847.25783784701</v>
          </cell>
          <cell r="G15">
            <v>5.6471225204658582E-2</v>
          </cell>
          <cell r="I15" t="str">
            <v>VA</v>
          </cell>
          <cell r="J15" t="str">
            <v>Med</v>
          </cell>
          <cell r="K15">
            <v>74166.666666666672</v>
          </cell>
        </row>
        <row r="16">
          <cell r="C16">
            <v>1856748.0760641401</v>
          </cell>
          <cell r="D16">
            <v>0.65315014307694896</v>
          </cell>
          <cell r="E16">
            <v>165778</v>
          </cell>
          <cell r="F16">
            <v>108277.92441901</v>
          </cell>
          <cell r="G16">
            <v>5.8315894231883728E-2</v>
          </cell>
          <cell r="I16" t="str">
            <v>VA</v>
          </cell>
          <cell r="J16" t="str">
            <v>Med</v>
          </cell>
          <cell r="K16">
            <v>46839.666666666664</v>
          </cell>
        </row>
        <row r="17">
          <cell r="C17">
            <v>1895261.3928898301</v>
          </cell>
          <cell r="D17">
            <v>0.69968360530322604</v>
          </cell>
          <cell r="E17">
            <v>131620</v>
          </cell>
          <cell r="F17">
            <v>92092.356130010696</v>
          </cell>
          <cell r="G17">
            <v>4.8590846875000926E-2</v>
          </cell>
          <cell r="I17" t="str">
            <v>VA</v>
          </cell>
          <cell r="J17" t="str">
            <v>Med</v>
          </cell>
          <cell r="K17">
            <v>76752</v>
          </cell>
        </row>
        <row r="18">
          <cell r="C18">
            <v>3277567.3301117001</v>
          </cell>
          <cell r="D18">
            <v>0.67994309795613395</v>
          </cell>
          <cell r="E18">
            <v>71344</v>
          </cell>
          <cell r="F18">
            <v>48509.860380582402</v>
          </cell>
          <cell r="G18">
            <v>1.4800568682422514E-2</v>
          </cell>
          <cell r="I18" t="str">
            <v>VA</v>
          </cell>
          <cell r="J18" t="str">
            <v>High</v>
          </cell>
          <cell r="K18">
            <v>176011.66666666666</v>
          </cell>
        </row>
        <row r="19">
          <cell r="C19">
            <v>2225321.1791133201</v>
          </cell>
          <cell r="D19">
            <v>0.73397640151750798</v>
          </cell>
          <cell r="E19">
            <v>138675</v>
          </cell>
          <cell r="F19">
            <v>101784.17748044</v>
          </cell>
          <cell r="G19">
            <v>4.5739095298142962E-2</v>
          </cell>
          <cell r="I19" t="str">
            <v>VA</v>
          </cell>
          <cell r="J19" t="str">
            <v>High</v>
          </cell>
          <cell r="K19">
            <v>101048.66666666667</v>
          </cell>
        </row>
        <row r="20">
          <cell r="C20">
            <v>1768734.2565132999</v>
          </cell>
          <cell r="D20">
            <v>0.67368748433938996</v>
          </cell>
          <cell r="E20">
            <v>155168</v>
          </cell>
          <cell r="F20">
            <v>104534.739569974</v>
          </cell>
          <cell r="G20">
            <v>5.9101438887740547E-2</v>
          </cell>
          <cell r="I20" t="str">
            <v>VA</v>
          </cell>
          <cell r="J20" t="str">
            <v>Med</v>
          </cell>
          <cell r="K20">
            <v>66000</v>
          </cell>
        </row>
        <row r="21">
          <cell r="C21">
            <v>1858919.2934385301</v>
          </cell>
          <cell r="D21">
            <v>0.68854686529714604</v>
          </cell>
          <cell r="E21">
            <v>154898</v>
          </cell>
          <cell r="F21">
            <v>106654.532340797</v>
          </cell>
          <cell r="G21">
            <v>5.7374482430333551E-2</v>
          </cell>
          <cell r="I21" t="str">
            <v>VA</v>
          </cell>
          <cell r="J21" t="str">
            <v>Med</v>
          </cell>
          <cell r="K21">
            <v>70332.333333333328</v>
          </cell>
        </row>
        <row r="22">
          <cell r="C22">
            <v>2007257.05626219</v>
          </cell>
          <cell r="D22">
            <v>0.70469418273441897</v>
          </cell>
          <cell r="E22">
            <v>133592</v>
          </cell>
          <cell r="F22">
            <v>94141.505259856494</v>
          </cell>
          <cell r="G22">
            <v>4.6900572582946561E-2</v>
          </cell>
          <cell r="I22" t="str">
            <v>VA</v>
          </cell>
          <cell r="J22" t="str">
            <v>Med</v>
          </cell>
          <cell r="K22">
            <v>86125.666666666672</v>
          </cell>
        </row>
        <row r="23">
          <cell r="C23">
            <v>2045027.63255554</v>
          </cell>
          <cell r="D23">
            <v>0.67282467155915604</v>
          </cell>
          <cell r="E23">
            <v>137700</v>
          </cell>
          <cell r="F23">
            <v>92647.957273695807</v>
          </cell>
          <cell r="G23">
            <v>4.5304012424477409E-2</v>
          </cell>
          <cell r="I23" t="str">
            <v>VA</v>
          </cell>
          <cell r="J23" t="str">
            <v>Med</v>
          </cell>
          <cell r="K23">
            <v>66868.333333333328</v>
          </cell>
        </row>
        <row r="24">
          <cell r="C24">
            <v>2085999.8512521</v>
          </cell>
          <cell r="D24">
            <v>0.70524101104234704</v>
          </cell>
          <cell r="E24">
            <v>151399</v>
          </cell>
          <cell r="F24">
            <v>106772.78383080001</v>
          </cell>
          <cell r="G24">
            <v>5.1185422552504377E-2</v>
          </cell>
          <cell r="I24" t="str">
            <v>VA</v>
          </cell>
          <cell r="J24" t="str">
            <v>Med</v>
          </cell>
          <cell r="K24">
            <v>82692.666666666672</v>
          </cell>
        </row>
        <row r="25">
          <cell r="C25">
            <v>1912596.3636596</v>
          </cell>
          <cell r="D25">
            <v>0.68341806158499496</v>
          </cell>
          <cell r="E25">
            <v>152334</v>
          </cell>
          <cell r="F25">
            <v>104107.80699348899</v>
          </cell>
          <cell r="G25">
            <v>5.4432711978123306E-2</v>
          </cell>
          <cell r="I25" t="str">
            <v>VA</v>
          </cell>
          <cell r="J25" t="str">
            <v>Med</v>
          </cell>
          <cell r="K25">
            <v>75777.666666666672</v>
          </cell>
        </row>
        <row r="26">
          <cell r="C26">
            <v>2432408.54465255</v>
          </cell>
          <cell r="D26">
            <v>0.74298175741086903</v>
          </cell>
          <cell r="E26">
            <v>116580</v>
          </cell>
          <cell r="F26">
            <v>86616.813278959104</v>
          </cell>
          <cell r="G26">
            <v>3.5609484052084521E-2</v>
          </cell>
          <cell r="I26" t="str">
            <v>VA</v>
          </cell>
          <cell r="J26" t="str">
            <v>High</v>
          </cell>
          <cell r="K26">
            <v>123264</v>
          </cell>
        </row>
        <row r="27">
          <cell r="C27">
            <v>2575808.7816414698</v>
          </cell>
          <cell r="D27">
            <v>0.69666026710123097</v>
          </cell>
          <cell r="E27">
            <v>123292</v>
          </cell>
          <cell r="F27">
            <v>85892.637651444995</v>
          </cell>
          <cell r="G27">
            <v>3.3345890527133278E-2</v>
          </cell>
          <cell r="I27" t="str">
            <v>VA</v>
          </cell>
          <cell r="J27" t="str">
            <v>High</v>
          </cell>
          <cell r="K27">
            <v>130123</v>
          </cell>
        </row>
        <row r="28">
          <cell r="C28">
            <v>1817862.29417232</v>
          </cell>
          <cell r="D28">
            <v>0.71521073988083905</v>
          </cell>
          <cell r="E28">
            <v>136525</v>
          </cell>
          <cell r="F28">
            <v>97644.146262231501</v>
          </cell>
          <cell r="G28">
            <v>5.3713719996975495E-2</v>
          </cell>
          <cell r="I28" t="str">
            <v>VA</v>
          </cell>
          <cell r="J28" t="str">
            <v>Med</v>
          </cell>
          <cell r="K28">
            <v>64149.333333333336</v>
          </cell>
        </row>
        <row r="29">
          <cell r="C29">
            <v>1721795.5365086801</v>
          </cell>
          <cell r="D29">
            <v>0.71880856971393603</v>
          </cell>
          <cell r="E29">
            <v>148225</v>
          </cell>
          <cell r="F29">
            <v>106545.400245848</v>
          </cell>
          <cell r="G29">
            <v>6.1880402165458204E-2</v>
          </cell>
          <cell r="I29" t="str">
            <v>VA</v>
          </cell>
          <cell r="J29" t="str">
            <v>Med</v>
          </cell>
          <cell r="K29">
            <v>57821.333333333336</v>
          </cell>
        </row>
        <row r="30">
          <cell r="C30">
            <v>1508480.18589052</v>
          </cell>
          <cell r="D30">
            <v>0.64551325155170403</v>
          </cell>
          <cell r="E30">
            <v>163332</v>
          </cell>
          <cell r="F30">
            <v>105432.970402443</v>
          </cell>
          <cell r="G30">
            <v>6.9893506980472156E-2</v>
          </cell>
          <cell r="I30" t="str">
            <v>VA</v>
          </cell>
          <cell r="J30" t="str">
            <v>Med</v>
          </cell>
          <cell r="K30">
            <v>47096</v>
          </cell>
        </row>
        <row r="31">
          <cell r="C31">
            <v>2417628.1832804</v>
          </cell>
          <cell r="D31">
            <v>0.71745183098789</v>
          </cell>
          <cell r="E31">
            <v>131655</v>
          </cell>
          <cell r="F31">
            <v>94456.120808710693</v>
          </cell>
          <cell r="G31">
            <v>3.9069746730262839E-2</v>
          </cell>
          <cell r="I31" t="str">
            <v>VA</v>
          </cell>
          <cell r="J31" t="str">
            <v>High</v>
          </cell>
          <cell r="K31">
            <v>111399</v>
          </cell>
        </row>
        <row r="32">
          <cell r="C32">
            <v>2594737.9461482498</v>
          </cell>
          <cell r="D32">
            <v>0.744643893158212</v>
          </cell>
          <cell r="E32">
            <v>119732</v>
          </cell>
          <cell r="F32">
            <v>89157.702615618997</v>
          </cell>
          <cell r="G32">
            <v>3.4360966103713426E-2</v>
          </cell>
          <cell r="I32" t="str">
            <v>VA</v>
          </cell>
          <cell r="J32" t="str">
            <v>High</v>
          </cell>
          <cell r="K32">
            <v>126832.33333333333</v>
          </cell>
        </row>
        <row r="33">
          <cell r="C33">
            <v>1288201.0482824901</v>
          </cell>
          <cell r="D33">
            <v>0.71593659270295795</v>
          </cell>
          <cell r="E33">
            <v>115092</v>
          </cell>
          <cell r="F33">
            <v>82398.574327368799</v>
          </cell>
          <cell r="G33">
            <v>6.3964064023412898E-2</v>
          </cell>
          <cell r="I33" t="str">
            <v>VA</v>
          </cell>
          <cell r="J33" t="str">
            <v>Low</v>
          </cell>
          <cell r="K33">
            <v>25878</v>
          </cell>
        </row>
        <row r="34">
          <cell r="C34">
            <v>1930571.5001499101</v>
          </cell>
          <cell r="D34">
            <v>0.69943523417966602</v>
          </cell>
          <cell r="E34">
            <v>137122</v>
          </cell>
          <cell r="F34">
            <v>95907.958181184207</v>
          </cell>
          <cell r="G34">
            <v>4.9678532068735549E-2</v>
          </cell>
          <cell r="I34" t="str">
            <v>VA</v>
          </cell>
          <cell r="J34" t="str">
            <v>Med</v>
          </cell>
          <cell r="K34">
            <v>78901.666666666672</v>
          </cell>
        </row>
        <row r="35">
          <cell r="C35">
            <v>2127771.7314868402</v>
          </cell>
          <cell r="D35">
            <v>0.73254690507710896</v>
          </cell>
          <cell r="E35">
            <v>149265</v>
          </cell>
          <cell r="F35">
            <v>109343.613786335</v>
          </cell>
          <cell r="G35">
            <v>5.1388789581262126E-2</v>
          </cell>
          <cell r="I35" t="str">
            <v>VA</v>
          </cell>
          <cell r="J35" t="str">
            <v>Med</v>
          </cell>
          <cell r="K35">
            <v>72992</v>
          </cell>
        </row>
        <row r="36">
          <cell r="C36">
            <v>2828153.7705114102</v>
          </cell>
          <cell r="D36">
            <v>0.71479793876299302</v>
          </cell>
          <cell r="E36">
            <v>135320</v>
          </cell>
          <cell r="F36">
            <v>96726.457073408295</v>
          </cell>
          <cell r="G36">
            <v>3.4201272251161013E-2</v>
          </cell>
          <cell r="I36" t="str">
            <v>VA</v>
          </cell>
          <cell r="J36" t="str">
            <v>High</v>
          </cell>
          <cell r="K36">
            <v>119878</v>
          </cell>
        </row>
        <row r="37">
          <cell r="C37">
            <v>1870481.1783143401</v>
          </cell>
          <cell r="D37">
            <v>0.68232565144977997</v>
          </cell>
          <cell r="E37">
            <v>170661</v>
          </cell>
          <cell r="F37">
            <v>116446.378002071</v>
          </cell>
          <cell r="G37">
            <v>6.2254771313449607E-2</v>
          </cell>
          <cell r="I37" t="str">
            <v>VA</v>
          </cell>
          <cell r="J37" t="str">
            <v>Med</v>
          </cell>
          <cell r="K37">
            <v>55273.333333333336</v>
          </cell>
        </row>
        <row r="38">
          <cell r="C38">
            <v>2741429.0291946698</v>
          </cell>
          <cell r="D38">
            <v>0.69549083452569105</v>
          </cell>
          <cell r="E38">
            <v>152800</v>
          </cell>
          <cell r="F38">
            <v>106270.999515526</v>
          </cell>
          <cell r="G38">
            <v>3.8764818780205476E-2</v>
          </cell>
          <cell r="I38" t="str">
            <v>VA</v>
          </cell>
          <cell r="J38" t="str">
            <v>High</v>
          </cell>
          <cell r="K38">
            <v>108975.66666666667</v>
          </cell>
        </row>
        <row r="39">
          <cell r="C39">
            <v>2124992.0811454998</v>
          </cell>
          <cell r="D39">
            <v>0.69634329225862202</v>
          </cell>
          <cell r="E39">
            <v>155614</v>
          </cell>
          <cell r="F39">
            <v>108360.765081533</v>
          </cell>
          <cell r="G39">
            <v>5.0993491243092048E-2</v>
          </cell>
          <cell r="I39" t="str">
            <v>VA</v>
          </cell>
          <cell r="J39" t="str">
            <v>Med</v>
          </cell>
          <cell r="K39">
            <v>70133</v>
          </cell>
        </row>
        <row r="40">
          <cell r="C40">
            <v>2191313.5288780401</v>
          </cell>
          <cell r="D40">
            <v>0.733883752812309</v>
          </cell>
          <cell r="E40">
            <v>147301</v>
          </cell>
          <cell r="F40">
            <v>108101.810673006</v>
          </cell>
          <cell r="G40">
            <v>4.9331968816144024E-2</v>
          </cell>
          <cell r="I40" t="str">
            <v>VA</v>
          </cell>
          <cell r="J40" t="str">
            <v>Med</v>
          </cell>
          <cell r="K40">
            <v>73769</v>
          </cell>
        </row>
        <row r="41">
          <cell r="C41">
            <v>2709671.4966549999</v>
          </cell>
          <cell r="D41">
            <v>0.70663094928373205</v>
          </cell>
          <cell r="E41">
            <v>138911</v>
          </cell>
          <cell r="F41">
            <v>98158.811795952395</v>
          </cell>
          <cell r="G41">
            <v>3.6225354961708908E-2</v>
          </cell>
          <cell r="I41" t="str">
            <v>VA</v>
          </cell>
          <cell r="J41" t="str">
            <v>High</v>
          </cell>
          <cell r="K41">
            <v>117573.33333333333</v>
          </cell>
        </row>
        <row r="42">
          <cell r="C42">
            <v>1679203.90923406</v>
          </cell>
          <cell r="D42">
            <v>0.70273752146985602</v>
          </cell>
          <cell r="E42">
            <v>144371</v>
          </cell>
          <cell r="F42">
            <v>101454.918712125</v>
          </cell>
          <cell r="G42">
            <v>6.0418462674019097E-2</v>
          </cell>
          <cell r="I42" t="str">
            <v>VA</v>
          </cell>
          <cell r="J42" t="str">
            <v>Med</v>
          </cell>
          <cell r="K42">
            <v>43634.333333333336</v>
          </cell>
        </row>
        <row r="43">
          <cell r="C43">
            <v>2060995.7554526699</v>
          </cell>
          <cell r="D43">
            <v>0.70451929090104404</v>
          </cell>
          <cell r="E43">
            <v>169064</v>
          </cell>
          <cell r="F43">
            <v>119108.849396894</v>
          </cell>
          <cell r="G43">
            <v>5.7791894564447249E-2</v>
          </cell>
          <cell r="I43" t="str">
            <v>VA</v>
          </cell>
          <cell r="J43" t="str">
            <v>Med</v>
          </cell>
          <cell r="K43">
            <v>68834</v>
          </cell>
        </row>
        <row r="44">
          <cell r="C44">
            <v>2418069.0196038899</v>
          </cell>
          <cell r="D44">
            <v>0.68376157197617105</v>
          </cell>
          <cell r="E44">
            <v>178654</v>
          </cell>
          <cell r="F44">
            <v>122156.739879831</v>
          </cell>
          <cell r="G44">
            <v>5.0518301541219786E-2</v>
          </cell>
          <cell r="I44" t="str">
            <v>VA</v>
          </cell>
          <cell r="J44" t="str">
            <v>Med</v>
          </cell>
          <cell r="K44">
            <v>90147.333333333328</v>
          </cell>
        </row>
        <row r="45">
          <cell r="C45">
            <v>2210465.1987837302</v>
          </cell>
          <cell r="D45">
            <v>0.74015560946660697</v>
          </cell>
          <cell r="E45">
            <v>145388</v>
          </cell>
          <cell r="F45">
            <v>107609.743749131</v>
          </cell>
          <cell r="G45">
            <v>4.8681944329339082E-2</v>
          </cell>
          <cell r="I45" t="str">
            <v>VA</v>
          </cell>
          <cell r="J45" t="str">
            <v>Med</v>
          </cell>
          <cell r="K45">
            <v>75389.666666666672</v>
          </cell>
        </row>
        <row r="46">
          <cell r="C46">
            <v>2408147.0320267999</v>
          </cell>
          <cell r="D46">
            <v>0.70862590231484202</v>
          </cell>
          <cell r="E46">
            <v>164681</v>
          </cell>
          <cell r="F46">
            <v>116697.22221911</v>
          </cell>
          <cell r="G46">
            <v>4.8459342667666189E-2</v>
          </cell>
          <cell r="I46" t="str">
            <v>VA</v>
          </cell>
          <cell r="J46" t="str">
            <v>Med</v>
          </cell>
          <cell r="K46">
            <v>90636.666666666672</v>
          </cell>
        </row>
        <row r="47">
          <cell r="C47">
            <v>2525011.2003839202</v>
          </cell>
          <cell r="D47">
            <v>0.69018374126227999</v>
          </cell>
          <cell r="E47">
            <v>141343</v>
          </cell>
          <cell r="F47">
            <v>97552.640541234505</v>
          </cell>
          <cell r="G47">
            <v>3.8634537750328365E-2</v>
          </cell>
          <cell r="I47" t="str">
            <v>VA</v>
          </cell>
          <cell r="J47" t="str">
            <v>High</v>
          </cell>
          <cell r="K47">
            <v>104337.66666666667</v>
          </cell>
        </row>
        <row r="48">
          <cell r="C48">
            <v>2154861.2237874898</v>
          </cell>
          <cell r="D48">
            <v>0.72252427182146695</v>
          </cell>
          <cell r="E48">
            <v>167529</v>
          </cell>
          <cell r="F48">
            <v>121043.768733979</v>
          </cell>
          <cell r="G48">
            <v>5.6172419549703777E-2</v>
          </cell>
          <cell r="I48" t="str">
            <v>VA</v>
          </cell>
          <cell r="J48" t="str">
            <v>Med</v>
          </cell>
          <cell r="K48">
            <v>74166.666666666672</v>
          </cell>
        </row>
        <row r="49">
          <cell r="C49">
            <v>2107375.10341461</v>
          </cell>
          <cell r="D49">
            <v>0.709245814431959</v>
          </cell>
          <cell r="E49">
            <v>169447</v>
          </cell>
          <cell r="F49">
            <v>120179.57551805201</v>
          </cell>
          <cell r="G49">
            <v>5.7028089267697681E-2</v>
          </cell>
          <cell r="I49" t="str">
            <v>VA</v>
          </cell>
          <cell r="J49" t="str">
            <v>Med</v>
          </cell>
          <cell r="K49">
            <v>46839.666666666664</v>
          </cell>
        </row>
        <row r="50">
          <cell r="C50">
            <v>2173191.4092770498</v>
          </cell>
          <cell r="D50">
            <v>0.70135165586797399</v>
          </cell>
          <cell r="E50">
            <v>148871</v>
          </cell>
          <cell r="F50">
            <v>104410.922360721</v>
          </cell>
          <cell r="G50">
            <v>4.8044972897925788E-2</v>
          </cell>
          <cell r="I50" t="str">
            <v>VA</v>
          </cell>
          <cell r="J50" t="str">
            <v>Med</v>
          </cell>
          <cell r="K50">
            <v>76752</v>
          </cell>
        </row>
        <row r="51">
          <cell r="C51">
            <v>3661260.1922327899</v>
          </cell>
          <cell r="D51">
            <v>0.68683924393711104</v>
          </cell>
          <cell r="E51">
            <v>80078</v>
          </cell>
          <cell r="F51">
            <v>55000.712975996001</v>
          </cell>
          <cell r="G51">
            <v>1.5022344790648233E-2</v>
          </cell>
          <cell r="I51" t="str">
            <v>VA</v>
          </cell>
          <cell r="J51" t="str">
            <v>High</v>
          </cell>
          <cell r="K51">
            <v>176011.66666666666</v>
          </cell>
        </row>
        <row r="52">
          <cell r="C52">
            <v>2535279.4390984699</v>
          </cell>
          <cell r="D52">
            <v>0.72408997887397297</v>
          </cell>
          <cell r="E52">
            <v>158561</v>
          </cell>
          <cell r="F52">
            <v>114812.431140236</v>
          </cell>
          <cell r="G52">
            <v>4.5285907884403703E-2</v>
          </cell>
          <cell r="I52" t="str">
            <v>VA</v>
          </cell>
          <cell r="J52" t="str">
            <v>High</v>
          </cell>
          <cell r="K52">
            <v>101048.66666666667</v>
          </cell>
        </row>
        <row r="53">
          <cell r="C53">
            <v>2043084.20538921</v>
          </cell>
          <cell r="D53">
            <v>0.65644233770782801</v>
          </cell>
          <cell r="E53">
            <v>179636</v>
          </cell>
          <cell r="F53">
            <v>117920.675776483</v>
          </cell>
          <cell r="G53">
            <v>5.771699250840176E-2</v>
          </cell>
          <cell r="I53" t="str">
            <v>VA</v>
          </cell>
          <cell r="J53" t="str">
            <v>Med</v>
          </cell>
          <cell r="K53">
            <v>66000</v>
          </cell>
        </row>
        <row r="54">
          <cell r="C54">
            <v>2120710.3279014099</v>
          </cell>
          <cell r="D54">
            <v>0.69724215509098497</v>
          </cell>
          <cell r="E54">
            <v>172237</v>
          </cell>
          <cell r="F54">
            <v>120090.897066406</v>
          </cell>
          <cell r="G54">
            <v>5.6627675871812388E-2</v>
          </cell>
          <cell r="I54" t="str">
            <v>VA</v>
          </cell>
          <cell r="J54" t="str">
            <v>Med</v>
          </cell>
          <cell r="K54">
            <v>70332.333333333328</v>
          </cell>
        </row>
        <row r="55">
          <cell r="C55">
            <v>2282062.3874047399</v>
          </cell>
          <cell r="D55">
            <v>0.70685442132070897</v>
          </cell>
          <cell r="E55">
            <v>153077</v>
          </cell>
          <cell r="F55">
            <v>108203.15425250999</v>
          </cell>
          <cell r="G55">
            <v>4.741463460846191E-2</v>
          </cell>
          <cell r="I55" t="str">
            <v>VA</v>
          </cell>
          <cell r="J55" t="str">
            <v>Med</v>
          </cell>
          <cell r="K55">
            <v>86125.666666666672</v>
          </cell>
        </row>
        <row r="56">
          <cell r="C56">
            <v>2335708.7718216698</v>
          </cell>
          <cell r="D56">
            <v>0.69252736169359097</v>
          </cell>
          <cell r="E56">
            <v>149675</v>
          </cell>
          <cell r="F56">
            <v>103654.032861488</v>
          </cell>
          <cell r="G56">
            <v>4.4377978158914894E-2</v>
          </cell>
          <cell r="I56" t="str">
            <v>VA</v>
          </cell>
          <cell r="J56" t="str">
            <v>Med</v>
          </cell>
          <cell r="K56">
            <v>66868.333333333328</v>
          </cell>
        </row>
        <row r="57">
          <cell r="C57">
            <v>2337107.53466383</v>
          </cell>
          <cell r="D57">
            <v>0.71420841954846703</v>
          </cell>
          <cell r="E57">
            <v>169981</v>
          </cell>
          <cell r="F57">
            <v>121401.86136326801</v>
          </cell>
          <cell r="G57">
            <v>5.1945346785564353E-2</v>
          </cell>
          <cell r="I57" t="str">
            <v>VA</v>
          </cell>
          <cell r="J57" t="str">
            <v>Med</v>
          </cell>
          <cell r="K57">
            <v>82692.666666666672</v>
          </cell>
        </row>
        <row r="58">
          <cell r="C58">
            <v>2174073.9392173402</v>
          </cell>
          <cell r="D58">
            <v>0.67794404601418801</v>
          </cell>
          <cell r="E58">
            <v>173953</v>
          </cell>
          <cell r="F58">
            <v>117930.400636306</v>
          </cell>
          <cell r="G58">
            <v>5.4243969585855291E-2</v>
          </cell>
          <cell r="I58" t="str">
            <v>VA</v>
          </cell>
          <cell r="J58" t="str">
            <v>Med</v>
          </cell>
          <cell r="K58">
            <v>75777.666666666672</v>
          </cell>
        </row>
        <row r="59">
          <cell r="C59">
            <v>2792798.3730764901</v>
          </cell>
          <cell r="D59">
            <v>0.71876533196838899</v>
          </cell>
          <cell r="E59">
            <v>137198</v>
          </cell>
          <cell r="F59">
            <v>98613.166015398994</v>
          </cell>
          <cell r="G59">
            <v>3.53098050206785E-2</v>
          </cell>
          <cell r="I59" t="str">
            <v>VA</v>
          </cell>
          <cell r="J59" t="str">
            <v>High</v>
          </cell>
          <cell r="K59">
            <v>123264</v>
          </cell>
        </row>
        <row r="60">
          <cell r="C60">
            <v>2981536.9537628</v>
          </cell>
          <cell r="D60">
            <v>0.70609348139988903</v>
          </cell>
          <cell r="E60">
            <v>139817</v>
          </cell>
          <cell r="F60">
            <v>98723.872288888306</v>
          </cell>
          <cell r="G60">
            <v>3.3111738616653889E-2</v>
          </cell>
          <cell r="I60" t="str">
            <v>VA</v>
          </cell>
          <cell r="J60" t="str">
            <v>High</v>
          </cell>
          <cell r="K60">
            <v>130123</v>
          </cell>
        </row>
        <row r="61">
          <cell r="C61">
            <v>2035259.3109152601</v>
          </cell>
          <cell r="D61">
            <v>0.75106954716669505</v>
          </cell>
          <cell r="E61">
            <v>140408</v>
          </cell>
          <cell r="F61">
            <v>105456.172978581</v>
          </cell>
          <cell r="G61">
            <v>5.1814612719377345E-2</v>
          </cell>
          <cell r="I61" t="str">
            <v>VA</v>
          </cell>
          <cell r="J61" t="str">
            <v>Med</v>
          </cell>
          <cell r="K61">
            <v>64149.333333333336</v>
          </cell>
        </row>
        <row r="62">
          <cell r="C62">
            <v>1934469.67981565</v>
          </cell>
          <cell r="D62">
            <v>0.75181947948133998</v>
          </cell>
          <cell r="E62">
            <v>157192</v>
          </cell>
          <cell r="F62">
            <v>118180.007618631</v>
          </cell>
          <cell r="G62">
            <v>6.1091682568988753E-2</v>
          </cell>
          <cell r="I62" t="str">
            <v>VA</v>
          </cell>
          <cell r="J62" t="str">
            <v>Med</v>
          </cell>
          <cell r="K62">
            <v>57821.333333333336</v>
          </cell>
        </row>
        <row r="63">
          <cell r="C63">
            <v>1733024.4957538301</v>
          </cell>
          <cell r="D63">
            <v>0.68381474602421399</v>
          </cell>
          <cell r="E63">
            <v>177507</v>
          </cell>
          <cell r="F63">
            <v>121381.90412252001</v>
          </cell>
          <cell r="G63">
            <v>7.004050111231773E-2</v>
          </cell>
          <cell r="I63" t="str">
            <v>VA</v>
          </cell>
          <cell r="J63" t="str">
            <v>Med</v>
          </cell>
          <cell r="K63">
            <v>47096</v>
          </cell>
        </row>
        <row r="64">
          <cell r="C64">
            <v>2721628.49692852</v>
          </cell>
          <cell r="D64">
            <v>0.75477344332745899</v>
          </cell>
          <cell r="E64">
            <v>141898</v>
          </cell>
          <cell r="F64">
            <v>107100.84206128</v>
          </cell>
          <cell r="G64">
            <v>3.9351749212704124E-2</v>
          </cell>
          <cell r="I64" t="str">
            <v>VA</v>
          </cell>
          <cell r="J64" t="str">
            <v>High</v>
          </cell>
          <cell r="K64">
            <v>111399</v>
          </cell>
        </row>
        <row r="65">
          <cell r="C65">
            <v>2959620.0365857002</v>
          </cell>
          <cell r="D65">
            <v>0.76608373701570298</v>
          </cell>
          <cell r="E65">
            <v>132370</v>
          </cell>
          <cell r="F65">
            <v>101406.504268769</v>
          </cell>
          <cell r="G65">
            <v>3.4263352394976472E-2</v>
          </cell>
          <cell r="I65" t="str">
            <v>VA</v>
          </cell>
          <cell r="J65" t="str">
            <v>High</v>
          </cell>
          <cell r="K65">
            <v>126832.33333333333</v>
          </cell>
        </row>
        <row r="66">
          <cell r="C66">
            <v>1447274.8813213799</v>
          </cell>
          <cell r="D66">
            <v>0.71741888893619699</v>
          </cell>
          <cell r="E66">
            <v>131754</v>
          </cell>
          <cell r="F66">
            <v>94522.808292899703</v>
          </cell>
          <cell r="G66">
            <v>6.5310888424042299E-2</v>
          </cell>
          <cell r="I66" t="str">
            <v>VA</v>
          </cell>
          <cell r="J66" t="str">
            <v>Low</v>
          </cell>
          <cell r="K66">
            <v>25878</v>
          </cell>
        </row>
        <row r="67">
          <cell r="C67">
            <v>2172634.1064537298</v>
          </cell>
          <cell r="D67">
            <v>0.69951907683487502</v>
          </cell>
          <cell r="E67">
            <v>152118</v>
          </cell>
          <cell r="F67">
            <v>106409.44292996801</v>
          </cell>
          <cell r="G67">
            <v>4.8977157549852809E-2</v>
          </cell>
          <cell r="I67" t="str">
            <v>VA</v>
          </cell>
          <cell r="J67" t="str">
            <v>Med</v>
          </cell>
          <cell r="K67">
            <v>78901.666666666672</v>
          </cell>
        </row>
        <row r="68">
          <cell r="C68">
            <v>2380487.1593129602</v>
          </cell>
          <cell r="D68">
            <v>0.74708596827226803</v>
          </cell>
          <cell r="E68">
            <v>169964</v>
          </cell>
          <cell r="F68">
            <v>126977.719511428</v>
          </cell>
          <cell r="G68">
            <v>5.3341064670172571E-2</v>
          </cell>
          <cell r="I68" t="str">
            <v>VA</v>
          </cell>
          <cell r="J68" t="str">
            <v>Med</v>
          </cell>
          <cell r="K68">
            <v>72992</v>
          </cell>
        </row>
        <row r="69">
          <cell r="C69">
            <v>3156156.6044493299</v>
          </cell>
          <cell r="D69">
            <v>0.72108545043637395</v>
          </cell>
          <cell r="E69">
            <v>159115</v>
          </cell>
          <cell r="F69">
            <v>114735.511446184</v>
          </cell>
          <cell r="G69">
            <v>3.6352920917941102E-2</v>
          </cell>
          <cell r="I69" t="str">
            <v>VA</v>
          </cell>
          <cell r="J69" t="str">
            <v>High</v>
          </cell>
          <cell r="K69">
            <v>119878</v>
          </cell>
        </row>
        <row r="70">
          <cell r="C70">
            <v>2105437.2258834601</v>
          </cell>
          <cell r="D70">
            <v>0.70581702549818703</v>
          </cell>
          <cell r="E70">
            <v>194983</v>
          </cell>
          <cell r="F70">
            <v>137622.321082713</v>
          </cell>
          <cell r="G70">
            <v>6.5365197969730698E-2</v>
          </cell>
          <cell r="I70" t="str">
            <v>VA</v>
          </cell>
          <cell r="J70" t="str">
            <v>Med</v>
          </cell>
          <cell r="K70">
            <v>55273.333333333336</v>
          </cell>
        </row>
        <row r="71">
          <cell r="C71">
            <v>2954968.17414551</v>
          </cell>
          <cell r="D71">
            <v>0.70756469935958199</v>
          </cell>
          <cell r="E71">
            <v>171791</v>
          </cell>
          <cell r="F71">
            <v>121553.247267682</v>
          </cell>
          <cell r="G71">
            <v>4.1135213682235897E-2</v>
          </cell>
          <cell r="I71" t="str">
            <v>VA</v>
          </cell>
          <cell r="J71" t="str">
            <v>High</v>
          </cell>
          <cell r="K71">
            <v>108975.66666666667</v>
          </cell>
        </row>
        <row r="72">
          <cell r="C72">
            <v>2364557.3777693198</v>
          </cell>
          <cell r="D72">
            <v>0.73885608890904397</v>
          </cell>
          <cell r="E72">
            <v>176192</v>
          </cell>
          <cell r="F72">
            <v>130180.532017062</v>
          </cell>
          <cell r="G72">
            <v>5.5054926237345918E-2</v>
          </cell>
          <cell r="I72" t="str">
            <v>VA</v>
          </cell>
          <cell r="J72" t="str">
            <v>Med</v>
          </cell>
          <cell r="K72">
            <v>70133</v>
          </cell>
        </row>
        <row r="73">
          <cell r="C73">
            <v>2436382.8866816098</v>
          </cell>
          <cell r="D73">
            <v>0.74183799942605899</v>
          </cell>
          <cell r="E73">
            <v>173419</v>
          </cell>
          <cell r="F73">
            <v>128648.804022468</v>
          </cell>
          <cell r="G73">
            <v>5.2803196380060612E-2</v>
          </cell>
          <cell r="I73" t="str">
            <v>VA</v>
          </cell>
          <cell r="J73" t="str">
            <v>Med</v>
          </cell>
          <cell r="K73">
            <v>73769</v>
          </cell>
        </row>
        <row r="74">
          <cell r="C74">
            <v>2993379.39238965</v>
          </cell>
          <cell r="D74">
            <v>0.69716588597193396</v>
          </cell>
          <cell r="E74">
            <v>167458</v>
          </cell>
          <cell r="F74">
            <v>116746.004933088</v>
          </cell>
          <cell r="G74">
            <v>3.9001405979443286E-2</v>
          </cell>
          <cell r="I74" t="str">
            <v>VA</v>
          </cell>
          <cell r="J74" t="str">
            <v>High</v>
          </cell>
          <cell r="K74">
            <v>117573.33333333333</v>
          </cell>
        </row>
        <row r="75">
          <cell r="C75">
            <v>1897726.11306486</v>
          </cell>
          <cell r="D75">
            <v>0.69889062844213801</v>
          </cell>
          <cell r="E75">
            <v>173269</v>
          </cell>
          <cell r="F75">
            <v>121096.080299541</v>
          </cell>
          <cell r="G75">
            <v>6.3811147175484015E-2</v>
          </cell>
          <cell r="I75" t="str">
            <v>VA</v>
          </cell>
          <cell r="J75" t="str">
            <v>Med</v>
          </cell>
          <cell r="K75">
            <v>43634.333333333336</v>
          </cell>
        </row>
        <row r="76">
          <cell r="C76">
            <v>2309362.2588042901</v>
          </cell>
          <cell r="D76">
            <v>0.71693953520419096</v>
          </cell>
          <cell r="E76">
            <v>196968</v>
          </cell>
          <cell r="F76">
            <v>141214.14637009901</v>
          </cell>
          <cell r="G76">
            <v>6.1148546890696542E-2</v>
          </cell>
          <cell r="I76" t="str">
            <v>VA</v>
          </cell>
          <cell r="J76" t="str">
            <v>Med</v>
          </cell>
          <cell r="K76">
            <v>68834</v>
          </cell>
        </row>
        <row r="77">
          <cell r="C77">
            <v>2706212.0264033</v>
          </cell>
          <cell r="D77">
            <v>0.70039395580542996</v>
          </cell>
          <cell r="E77">
            <v>203241</v>
          </cell>
          <cell r="F77">
            <v>142348.76797185099</v>
          </cell>
          <cell r="G77">
            <v>5.2600744724736179E-2</v>
          </cell>
          <cell r="I77" t="str">
            <v>VA</v>
          </cell>
          <cell r="J77" t="str">
            <v>Med</v>
          </cell>
          <cell r="K77">
            <v>90147.333333333328</v>
          </cell>
        </row>
        <row r="78">
          <cell r="C78">
            <v>2498221.8630496599</v>
          </cell>
          <cell r="D78">
            <v>0.73480683604056396</v>
          </cell>
          <cell r="E78">
            <v>178156</v>
          </cell>
          <cell r="F78">
            <v>130910.246681643</v>
          </cell>
          <cell r="G78">
            <v>5.2401369397126578E-2</v>
          </cell>
          <cell r="I78" t="str">
            <v>VA</v>
          </cell>
          <cell r="J78" t="str">
            <v>Med</v>
          </cell>
          <cell r="K78">
            <v>75389.666666666672</v>
          </cell>
        </row>
        <row r="79">
          <cell r="C79">
            <v>2662483.6141361501</v>
          </cell>
          <cell r="D79">
            <v>0.71983255011113201</v>
          </cell>
          <cell r="E79">
            <v>188330</v>
          </cell>
          <cell r="F79">
            <v>135566.06416242899</v>
          </cell>
          <cell r="G79">
            <v>5.0917144970454124E-2</v>
          </cell>
          <cell r="I79" t="str">
            <v>VA</v>
          </cell>
          <cell r="J79" t="str">
            <v>Med</v>
          </cell>
          <cell r="K79">
            <v>90636.666666666672</v>
          </cell>
        </row>
        <row r="80">
          <cell r="C80">
            <v>2774744.4760177098</v>
          </cell>
          <cell r="D80">
            <v>0.69116997851962403</v>
          </cell>
          <cell r="E80">
            <v>164759</v>
          </cell>
          <cell r="F80">
            <v>113876.474490915</v>
          </cell>
          <cell r="G80">
            <v>4.1040346408527523E-2</v>
          </cell>
          <cell r="I80" t="str">
            <v>VA</v>
          </cell>
          <cell r="J80" t="str">
            <v>High</v>
          </cell>
          <cell r="K80">
            <v>104337.66666666667</v>
          </cell>
        </row>
        <row r="81">
          <cell r="C81">
            <v>2365561.1480862801</v>
          </cell>
          <cell r="D81">
            <v>0.73925233516551803</v>
          </cell>
          <cell r="E81">
            <v>190861</v>
          </cell>
          <cell r="F81">
            <v>141094.43994202599</v>
          </cell>
          <cell r="G81">
            <v>5.9645230501088609E-2</v>
          </cell>
          <cell r="I81" t="str">
            <v>VA</v>
          </cell>
          <cell r="J81" t="str">
            <v>Med</v>
          </cell>
          <cell r="K81">
            <v>74166.666666666672</v>
          </cell>
        </row>
        <row r="82">
          <cell r="C82">
            <v>2346322.8925158</v>
          </cell>
          <cell r="D82">
            <v>0.72136372753185096</v>
          </cell>
          <cell r="E82">
            <v>200143</v>
          </cell>
          <cell r="F82">
            <v>144375.90051940701</v>
          </cell>
          <cell r="G82">
            <v>6.1532835476281231E-2</v>
          </cell>
          <cell r="I82" t="str">
            <v>VA</v>
          </cell>
          <cell r="J82" t="str">
            <v>Med</v>
          </cell>
          <cell r="K82">
            <v>46839.666666666664</v>
          </cell>
        </row>
        <row r="83">
          <cell r="C83">
            <v>2417236.6717491802</v>
          </cell>
          <cell r="D83">
            <v>0.72972007494765601</v>
          </cell>
          <cell r="E83">
            <v>171569</v>
          </cell>
          <cell r="F83">
            <v>125197.343538694</v>
          </cell>
          <cell r="G83">
            <v>5.1793581076236814E-2</v>
          </cell>
          <cell r="I83" t="str">
            <v>VA</v>
          </cell>
          <cell r="J83" t="str">
            <v>Med</v>
          </cell>
          <cell r="K83">
            <v>76752</v>
          </cell>
        </row>
        <row r="84">
          <cell r="C84">
            <v>4097025.6835816498</v>
          </cell>
          <cell r="D84">
            <v>0.67950941806963605</v>
          </cell>
          <cell r="E84">
            <v>93158</v>
          </cell>
          <cell r="F84">
            <v>63301.7383685311</v>
          </cell>
          <cell r="G84">
            <v>1.5450656953947201E-2</v>
          </cell>
          <cell r="I84" t="str">
            <v>VA</v>
          </cell>
          <cell r="J84" t="str">
            <v>High</v>
          </cell>
          <cell r="K84">
            <v>176011.66666666666</v>
          </cell>
        </row>
        <row r="85">
          <cell r="C85">
            <v>2912657.2498797001</v>
          </cell>
          <cell r="D85">
            <v>0.72007189129808002</v>
          </cell>
          <cell r="E85">
            <v>192179</v>
          </cell>
          <cell r="F85">
            <v>138382.69599777399</v>
          </cell>
          <cell r="G85">
            <v>4.7510806842614085E-2</v>
          </cell>
          <cell r="I85" t="str">
            <v>VA</v>
          </cell>
          <cell r="J85" t="str">
            <v>High</v>
          </cell>
          <cell r="K85">
            <v>101048.66666666667</v>
          </cell>
        </row>
        <row r="86">
          <cell r="C86">
            <v>2280571.7842971501</v>
          </cell>
          <cell r="D86">
            <v>0.69276572397413705</v>
          </cell>
          <cell r="E86">
            <v>200587</v>
          </cell>
          <cell r="F86">
            <v>138959.79827480001</v>
          </cell>
          <cell r="G86">
            <v>6.0931999260714374E-2</v>
          </cell>
          <cell r="I86" t="str">
            <v>VA</v>
          </cell>
          <cell r="J86" t="str">
            <v>Med</v>
          </cell>
          <cell r="K86">
            <v>66000</v>
          </cell>
        </row>
        <row r="87">
          <cell r="C87">
            <v>2399861.8449020898</v>
          </cell>
          <cell r="D87">
            <v>0.68529072291742699</v>
          </cell>
          <cell r="E87">
            <v>209385</v>
          </cell>
          <cell r="F87">
            <v>143489.598018066</v>
          </cell>
          <cell r="G87">
            <v>5.9790774340978833E-2</v>
          </cell>
          <cell r="I87" t="str">
            <v>VA</v>
          </cell>
          <cell r="J87" t="str">
            <v>Med</v>
          </cell>
          <cell r="K87">
            <v>70332.333333333328</v>
          </cell>
        </row>
        <row r="88">
          <cell r="C88">
            <v>2523944.9984851498</v>
          </cell>
          <cell r="D88">
            <v>0.70926017936641395</v>
          </cell>
          <cell r="E88">
            <v>178109</v>
          </cell>
          <cell r="F88">
            <v>126325.62128677301</v>
          </cell>
          <cell r="G88">
            <v>5.005086139459955E-2</v>
          </cell>
          <cell r="I88" t="str">
            <v>VA</v>
          </cell>
          <cell r="J88" t="str">
            <v>Med</v>
          </cell>
          <cell r="K88">
            <v>86125.666666666672</v>
          </cell>
        </row>
        <row r="89">
          <cell r="C89">
            <v>2592544.9712072802</v>
          </cell>
          <cell r="D89">
            <v>0.64755705598258195</v>
          </cell>
          <cell r="E89">
            <v>184026</v>
          </cell>
          <cell r="F89">
            <v>119167.334784251</v>
          </cell>
          <cell r="G89">
            <v>4.5965387720452118E-2</v>
          </cell>
          <cell r="I89" t="str">
            <v>VA</v>
          </cell>
          <cell r="J89" t="str">
            <v>Med</v>
          </cell>
          <cell r="K89">
            <v>66868.333333333328</v>
          </cell>
        </row>
        <row r="90">
          <cell r="C90">
            <v>2641795.4903598698</v>
          </cell>
          <cell r="D90">
            <v>0.74762651162155003</v>
          </cell>
          <cell r="E90">
            <v>193948</v>
          </cell>
          <cell r="F90">
            <v>145000.66667597601</v>
          </cell>
          <cell r="G90">
            <v>5.4887165643629658E-2</v>
          </cell>
          <cell r="I90" t="str">
            <v>VA</v>
          </cell>
          <cell r="J90" t="str">
            <v>Med</v>
          </cell>
          <cell r="K90">
            <v>82692.666666666672</v>
          </cell>
        </row>
        <row r="91">
          <cell r="C91">
            <v>2429229.7171707898</v>
          </cell>
          <cell r="D91">
            <v>0.73480484697954995</v>
          </cell>
          <cell r="E91">
            <v>189343</v>
          </cell>
          <cell r="F91">
            <v>139130.15414164899</v>
          </cell>
          <cell r="G91">
            <v>5.7273362481209629E-2</v>
          </cell>
          <cell r="I91" t="str">
            <v>VA</v>
          </cell>
          <cell r="J91" t="str">
            <v>Med</v>
          </cell>
          <cell r="K91">
            <v>75777.666666666672</v>
          </cell>
        </row>
        <row r="92">
          <cell r="C92">
            <v>3143504.7172433902</v>
          </cell>
          <cell r="D92">
            <v>0.74190868378182395</v>
          </cell>
          <cell r="E92">
            <v>159311</v>
          </cell>
          <cell r="F92">
            <v>118194.21432196601</v>
          </cell>
          <cell r="G92">
            <v>3.7599502769511718E-2</v>
          </cell>
          <cell r="I92" t="str">
            <v>VA</v>
          </cell>
          <cell r="J92" t="str">
            <v>High</v>
          </cell>
          <cell r="K92">
            <v>123264</v>
          </cell>
        </row>
        <row r="93">
          <cell r="C93">
            <v>3361366.8152031298</v>
          </cell>
          <cell r="D93">
            <v>0.727614220959239</v>
          </cell>
          <cell r="E93">
            <v>165419</v>
          </cell>
          <cell r="F93">
            <v>120361.216816856</v>
          </cell>
          <cell r="G93">
            <v>3.5807224689811928E-2</v>
          </cell>
          <cell r="I93" t="str">
            <v>VA</v>
          </cell>
          <cell r="J93" t="str">
            <v>High</v>
          </cell>
          <cell r="K93">
            <v>130123</v>
          </cell>
        </row>
        <row r="94">
          <cell r="C94">
            <v>2225275.7724585598</v>
          </cell>
          <cell r="D94">
            <v>0.71123533250461002</v>
          </cell>
          <cell r="E94">
            <v>174495</v>
          </cell>
          <cell r="F94">
            <v>124107.009345392</v>
          </cell>
          <cell r="G94">
            <v>5.5771518695084871E-2</v>
          </cell>
          <cell r="I94" t="str">
            <v>VA</v>
          </cell>
          <cell r="J94" t="str">
            <v>Med</v>
          </cell>
          <cell r="K94">
            <v>64149.333333333336</v>
          </cell>
        </row>
        <row r="95">
          <cell r="C95">
            <v>2198714.6519364198</v>
          </cell>
          <cell r="D95">
            <v>0.74380132050302095</v>
          </cell>
          <cell r="E95">
            <v>194078</v>
          </cell>
          <cell r="F95">
            <v>144355.47268058499</v>
          </cell>
          <cell r="G95">
            <v>6.5654482519343901E-2</v>
          </cell>
          <cell r="I95" t="str">
            <v>VA</v>
          </cell>
          <cell r="J95" t="str">
            <v>Med</v>
          </cell>
          <cell r="K95">
            <v>57821.333333333336</v>
          </cell>
        </row>
        <row r="96">
          <cell r="C96">
            <v>1932290.5677797799</v>
          </cell>
          <cell r="D96">
            <v>0.68573047060090497</v>
          </cell>
          <cell r="E96">
            <v>202894</v>
          </cell>
          <cell r="F96">
            <v>139130.59810209999</v>
          </cell>
          <cell r="G96">
            <v>7.2002938078801662E-2</v>
          </cell>
          <cell r="I96" t="str">
            <v>VA</v>
          </cell>
          <cell r="J96" t="str">
            <v>Med</v>
          </cell>
          <cell r="K96">
            <v>47096</v>
          </cell>
        </row>
        <row r="97">
          <cell r="C97">
            <v>2970174.35258083</v>
          </cell>
          <cell r="D97">
            <v>0.75093473347584605</v>
          </cell>
          <cell r="E97">
            <v>165077</v>
          </cell>
          <cell r="F97">
            <v>123962.052997992</v>
          </cell>
          <cell r="G97">
            <v>4.1735614911050413E-2</v>
          </cell>
          <cell r="I97" t="str">
            <v>VA</v>
          </cell>
          <cell r="J97" t="str">
            <v>High</v>
          </cell>
          <cell r="K97">
            <v>111399</v>
          </cell>
        </row>
        <row r="98">
          <cell r="C98">
            <v>3313481.22729117</v>
          </cell>
          <cell r="D98">
            <v>0.71507128975888501</v>
          </cell>
          <cell r="E98">
            <v>162724</v>
          </cell>
          <cell r="F98">
            <v>116359.260554725</v>
          </cell>
          <cell r="G98">
            <v>3.5116921621991731E-2</v>
          </cell>
          <cell r="I98" t="str">
            <v>VA</v>
          </cell>
          <cell r="J98" t="str">
            <v>High</v>
          </cell>
          <cell r="K98">
            <v>126832.33333333333</v>
          </cell>
        </row>
        <row r="99">
          <cell r="C99">
            <v>1587708.56611576</v>
          </cell>
          <cell r="D99">
            <v>0.73426067337809897</v>
          </cell>
          <cell r="E99">
            <v>144939</v>
          </cell>
          <cell r="F99">
            <v>106423.007738748</v>
          </cell>
          <cell r="G99">
            <v>6.7029308784990638E-2</v>
          </cell>
          <cell r="I99" t="str">
            <v>VA</v>
          </cell>
          <cell r="J99" t="str">
            <v>Low</v>
          </cell>
          <cell r="K99">
            <v>25878</v>
          </cell>
        </row>
        <row r="100">
          <cell r="C100">
            <v>2399906.65305033</v>
          </cell>
          <cell r="D100">
            <v>0.70115025484179705</v>
          </cell>
          <cell r="E100">
            <v>175930</v>
          </cell>
          <cell r="F100">
            <v>123353.364334317</v>
          </cell>
          <cell r="G100">
            <v>5.1399234290022223E-2</v>
          </cell>
          <cell r="I100" t="str">
            <v>VA</v>
          </cell>
          <cell r="J100" t="str">
            <v>Med</v>
          </cell>
          <cell r="K100">
            <v>78901.666666666672</v>
          </cell>
        </row>
        <row r="101">
          <cell r="C101">
            <v>2497642.6581190098</v>
          </cell>
          <cell r="D101">
            <v>0.719415804678458</v>
          </cell>
          <cell r="E101">
            <v>209250</v>
          </cell>
          <cell r="F101">
            <v>150537.757128967</v>
          </cell>
          <cell r="G101">
            <v>6.0271935474683923E-2</v>
          </cell>
          <cell r="I101" t="str">
            <v>VA</v>
          </cell>
          <cell r="J101" t="str">
            <v>Med</v>
          </cell>
          <cell r="K101">
            <v>72992</v>
          </cell>
        </row>
        <row r="102">
          <cell r="C102">
            <v>3338951.2273310502</v>
          </cell>
          <cell r="D102">
            <v>0.72193947595261598</v>
          </cell>
          <cell r="E102">
            <v>186966</v>
          </cell>
          <cell r="F102">
            <v>134978.13606095701</v>
          </cell>
          <cell r="G102">
            <v>4.0425309287566366E-2</v>
          </cell>
          <cell r="I102" t="str">
            <v>VA</v>
          </cell>
          <cell r="J102" t="str">
            <v>High</v>
          </cell>
          <cell r="K102">
            <v>119878</v>
          </cell>
        </row>
        <row r="103">
          <cell r="C103">
            <v>2197263.75552289</v>
          </cell>
          <cell r="D103">
            <v>0.70795050357089695</v>
          </cell>
          <cell r="E103">
            <v>227966</v>
          </cell>
          <cell r="F103">
            <v>161388.64449704299</v>
          </cell>
          <cell r="G103">
            <v>7.344982781033349E-2</v>
          </cell>
          <cell r="I103" t="str">
            <v>VA</v>
          </cell>
          <cell r="J103" t="str">
            <v>Med</v>
          </cell>
          <cell r="K103">
            <v>55273.333333333336</v>
          </cell>
        </row>
        <row r="104">
          <cell r="C104">
            <v>3134744.8235663599</v>
          </cell>
          <cell r="D104">
            <v>0.71576436336503002</v>
          </cell>
          <cell r="E104">
            <v>195869</v>
          </cell>
          <cell r="F104">
            <v>140196.05008794501</v>
          </cell>
          <cell r="G104">
            <v>4.4723273497089856E-2</v>
          </cell>
          <cell r="I104" t="str">
            <v>VA</v>
          </cell>
          <cell r="J104" t="str">
            <v>High</v>
          </cell>
          <cell r="K104">
            <v>108975.66666666667</v>
          </cell>
        </row>
        <row r="105">
          <cell r="C105">
            <v>2501616.2219022601</v>
          </cell>
          <cell r="D105">
            <v>0.73536894273352504</v>
          </cell>
          <cell r="E105">
            <v>206802</v>
          </cell>
          <cell r="F105">
            <v>152075.76809517801</v>
          </cell>
          <cell r="G105">
            <v>6.0791006535581907E-2</v>
          </cell>
          <cell r="I105" t="str">
            <v>VA</v>
          </cell>
          <cell r="J105" t="str">
            <v>Med</v>
          </cell>
          <cell r="K105">
            <v>70133</v>
          </cell>
        </row>
        <row r="106">
          <cell r="C106">
            <v>2603263.8646464902</v>
          </cell>
          <cell r="D106">
            <v>0.694155491856986</v>
          </cell>
          <cell r="E106">
            <v>220296</v>
          </cell>
          <cell r="F106">
            <v>152919.678234127</v>
          </cell>
          <cell r="G106">
            <v>5.8741520715915867E-2</v>
          </cell>
          <cell r="I106" t="str">
            <v>VA</v>
          </cell>
          <cell r="J106" t="str">
            <v>Med</v>
          </cell>
          <cell r="K106">
            <v>73769</v>
          </cell>
        </row>
        <row r="107">
          <cell r="C107">
            <v>3172039.4819246698</v>
          </cell>
          <cell r="D107">
            <v>0.70956587675069904</v>
          </cell>
          <cell r="E107">
            <v>190987</v>
          </cell>
          <cell r="F107">
            <v>135517.85810298601</v>
          </cell>
          <cell r="G107">
            <v>4.2722626523160126E-2</v>
          </cell>
          <cell r="I107" t="str">
            <v>VA</v>
          </cell>
          <cell r="J107" t="str">
            <v>High</v>
          </cell>
          <cell r="K107">
            <v>117573.33333333333</v>
          </cell>
        </row>
        <row r="108">
          <cell r="C108">
            <v>1978169.2551181</v>
          </cell>
          <cell r="D108">
            <v>0.68651489605957094</v>
          </cell>
          <cell r="E108">
            <v>209693</v>
          </cell>
          <cell r="F108">
            <v>143957.36809942001</v>
          </cell>
          <cell r="G108">
            <v>7.2773028762306555E-2</v>
          </cell>
          <cell r="I108" t="str">
            <v>VA</v>
          </cell>
          <cell r="J108" t="str">
            <v>Med</v>
          </cell>
          <cell r="K108">
            <v>43634.333333333336</v>
          </cell>
        </row>
        <row r="109">
          <cell r="C109">
            <v>2383293.5958322701</v>
          </cell>
          <cell r="D109">
            <v>0.71616116035895105</v>
          </cell>
          <cell r="E109">
            <v>224474</v>
          </cell>
          <cell r="F109">
            <v>160759.56031041499</v>
          </cell>
          <cell r="G109">
            <v>6.7452688410500311E-2</v>
          </cell>
          <cell r="I109" t="str">
            <v>VA</v>
          </cell>
          <cell r="J109" t="str">
            <v>Med</v>
          </cell>
          <cell r="K109">
            <v>68834</v>
          </cell>
        </row>
        <row r="110">
          <cell r="C110">
            <v>2828674.7393950899</v>
          </cell>
          <cell r="D110">
            <v>0.67649311612515595</v>
          </cell>
          <cell r="E110">
            <v>243011</v>
          </cell>
          <cell r="F110">
            <v>164395.26864269</v>
          </cell>
          <cell r="G110">
            <v>5.8117416736943678E-2</v>
          </cell>
          <cell r="I110" t="str">
            <v>VA</v>
          </cell>
          <cell r="J110" t="str">
            <v>Med</v>
          </cell>
          <cell r="K110">
            <v>90147.333333333328</v>
          </cell>
        </row>
        <row r="111">
          <cell r="C111">
            <v>2589052.8076236402</v>
          </cell>
          <cell r="D111">
            <v>0.69540271205638504</v>
          </cell>
          <cell r="E111">
            <v>214565</v>
          </cell>
          <cell r="F111">
            <v>149209.08291237801</v>
          </cell>
          <cell r="G111">
            <v>5.7630760745019119E-2</v>
          </cell>
          <cell r="I111" t="str">
            <v>VA</v>
          </cell>
          <cell r="J111" t="str">
            <v>Med</v>
          </cell>
          <cell r="K111">
            <v>75389.666666666672</v>
          </cell>
        </row>
        <row r="112">
          <cell r="C112">
            <v>2858293.3250687099</v>
          </cell>
          <cell r="D112">
            <v>0.72465736024884997</v>
          </cell>
          <cell r="E112">
            <v>217719</v>
          </cell>
          <cell r="F112">
            <v>157771.67581601901</v>
          </cell>
          <cell r="G112">
            <v>5.5197860356835972E-2</v>
          </cell>
          <cell r="I112" t="str">
            <v>VA</v>
          </cell>
          <cell r="J112" t="str">
            <v>Med</v>
          </cell>
          <cell r="K112">
            <v>90636.666666666672</v>
          </cell>
        </row>
        <row r="113">
          <cell r="C113">
            <v>2955976.42383614</v>
          </cell>
          <cell r="D113">
            <v>0.68546106623291403</v>
          </cell>
          <cell r="E113">
            <v>196792</v>
          </cell>
          <cell r="F113">
            <v>134893.254146108</v>
          </cell>
          <cell r="G113">
            <v>4.5634076462304558E-2</v>
          </cell>
          <cell r="I113" t="str">
            <v>VA</v>
          </cell>
          <cell r="J113" t="str">
            <v>High</v>
          </cell>
          <cell r="K113">
            <v>104337.66666666667</v>
          </cell>
        </row>
        <row r="114">
          <cell r="C114">
            <v>2518456.2766563599</v>
          </cell>
          <cell r="D114">
            <v>0.72286587533967095</v>
          </cell>
          <cell r="E114">
            <v>229063</v>
          </cell>
          <cell r="F114">
            <v>165581.82600293099</v>
          </cell>
          <cell r="G114">
            <v>6.5747349889578574E-2</v>
          </cell>
          <cell r="I114" t="str">
            <v>VA</v>
          </cell>
          <cell r="J114" t="str">
            <v>Med</v>
          </cell>
          <cell r="K114">
            <v>74166.666666666672</v>
          </cell>
        </row>
        <row r="115">
          <cell r="C115">
            <v>2476520.1240591002</v>
          </cell>
          <cell r="D115">
            <v>0.69540451043162199</v>
          </cell>
          <cell r="E115">
            <v>241508</v>
          </cell>
          <cell r="F115">
            <v>167945.75250532001</v>
          </cell>
          <cell r="G115">
            <v>6.7815218165904204E-2</v>
          </cell>
          <cell r="I115" t="str">
            <v>VA</v>
          </cell>
          <cell r="J115" t="str">
            <v>Med</v>
          </cell>
          <cell r="K115">
            <v>46839.666666666664</v>
          </cell>
        </row>
        <row r="116">
          <cell r="C116">
            <v>2573284.2677372699</v>
          </cell>
          <cell r="D116">
            <v>0.72367836933902796</v>
          </cell>
          <cell r="E116">
            <v>203762</v>
          </cell>
          <cell r="F116">
            <v>147458.151893259</v>
          </cell>
          <cell r="G116">
            <v>5.730348323425663E-2</v>
          </cell>
          <cell r="I116" t="str">
            <v>VA</v>
          </cell>
          <cell r="J116" t="str">
            <v>Med</v>
          </cell>
          <cell r="K116">
            <v>76752</v>
          </cell>
        </row>
        <row r="117">
          <cell r="C117">
            <v>4430923.5315740705</v>
          </cell>
          <cell r="D117">
            <v>0.68772573230630896</v>
          </cell>
          <cell r="E117">
            <v>112601</v>
          </cell>
          <cell r="F117">
            <v>77438.605183422696</v>
          </cell>
          <cell r="G117">
            <v>1.7476854346866352E-2</v>
          </cell>
          <cell r="I117" t="str">
            <v>VA</v>
          </cell>
          <cell r="J117" t="str">
            <v>High</v>
          </cell>
          <cell r="K117">
            <v>176011.66666666666</v>
          </cell>
        </row>
        <row r="118">
          <cell r="C118">
            <v>2990920.2985298201</v>
          </cell>
          <cell r="D118">
            <v>0.72670597599778697</v>
          </cell>
          <cell r="E118">
            <v>219664</v>
          </cell>
          <cell r="F118">
            <v>159631.141511578</v>
          </cell>
          <cell r="G118">
            <v>5.3371914186427609E-2</v>
          </cell>
          <cell r="I118" t="str">
            <v>VA</v>
          </cell>
          <cell r="J118" t="str">
            <v>High</v>
          </cell>
          <cell r="K118">
            <v>101048.66666666667</v>
          </cell>
        </row>
        <row r="119">
          <cell r="C119">
            <v>2404126.1520839999</v>
          </cell>
          <cell r="D119">
            <v>0.69019491103305797</v>
          </cell>
          <cell r="E119">
            <v>240592</v>
          </cell>
          <cell r="F119">
            <v>166055.37403526501</v>
          </cell>
          <cell r="G119">
            <v>6.9070990260357623E-2</v>
          </cell>
          <cell r="I119" t="str">
            <v>VA</v>
          </cell>
          <cell r="J119" t="str">
            <v>Med</v>
          </cell>
          <cell r="K119">
            <v>66000</v>
          </cell>
        </row>
        <row r="120">
          <cell r="C120">
            <v>2496029.8588620299</v>
          </cell>
          <cell r="D120">
            <v>0.69037250083921997</v>
          </cell>
          <cell r="E120">
            <v>238717</v>
          </cell>
          <cell r="F120">
            <v>164803.652282836</v>
          </cell>
          <cell r="G120">
            <v>6.602631442797402E-2</v>
          </cell>
          <cell r="I120" t="str">
            <v>VA</v>
          </cell>
          <cell r="J120" t="str">
            <v>Med</v>
          </cell>
          <cell r="K120">
            <v>70332.333333333328</v>
          </cell>
        </row>
        <row r="121">
          <cell r="C121">
            <v>2718372.5529364399</v>
          </cell>
          <cell r="D121">
            <v>0.76383390348215197</v>
          </cell>
          <cell r="E121">
            <v>198591</v>
          </cell>
          <cell r="F121">
            <v>151690.53872642401</v>
          </cell>
          <cell r="G121">
            <v>5.5801968189593765E-2</v>
          </cell>
          <cell r="I121" t="str">
            <v>VA</v>
          </cell>
          <cell r="J121" t="str">
            <v>Med</v>
          </cell>
          <cell r="K121">
            <v>86125.666666666672</v>
          </cell>
        </row>
        <row r="122">
          <cell r="C122">
            <v>2675481.5389747899</v>
          </cell>
          <cell r="D122">
            <v>0.64563385182714095</v>
          </cell>
          <cell r="E122">
            <v>212527</v>
          </cell>
          <cell r="F122">
            <v>137214.625627267</v>
          </cell>
          <cell r="G122">
            <v>5.1285954931255436E-2</v>
          </cell>
          <cell r="I122" t="str">
            <v>VA</v>
          </cell>
          <cell r="J122" t="str">
            <v>Med</v>
          </cell>
          <cell r="K122">
            <v>66868.333333333328</v>
          </cell>
        </row>
        <row r="123">
          <cell r="C123">
            <v>2791036.9079642398</v>
          </cell>
          <cell r="D123">
            <v>0.75710378220306096</v>
          </cell>
          <cell r="E123">
            <v>224886</v>
          </cell>
          <cell r="F123">
            <v>170262.04116451801</v>
          </cell>
          <cell r="G123">
            <v>6.1003149287877312E-2</v>
          </cell>
          <cell r="I123" t="str">
            <v>VA</v>
          </cell>
          <cell r="J123" t="str">
            <v>Med</v>
          </cell>
          <cell r="K123">
            <v>82692.666666666672</v>
          </cell>
        </row>
        <row r="124">
          <cell r="C124">
            <v>2573532.8253533999</v>
          </cell>
          <cell r="D124">
            <v>0.71905809067807402</v>
          </cell>
          <cell r="E124">
            <v>227506</v>
          </cell>
          <cell r="F124">
            <v>163590.029977806</v>
          </cell>
          <cell r="G124">
            <v>6.3566327332678058E-2</v>
          </cell>
          <cell r="I124" t="str">
            <v>VA</v>
          </cell>
          <cell r="J124" t="str">
            <v>Med</v>
          </cell>
          <cell r="K124">
            <v>75777.666666666672</v>
          </cell>
        </row>
        <row r="125">
          <cell r="C125">
            <v>3329712.6663412899</v>
          </cell>
          <cell r="D125">
            <v>0.72616164894038104</v>
          </cell>
          <cell r="E125">
            <v>190078</v>
          </cell>
          <cell r="F125">
            <v>138027.35390729</v>
          </cell>
          <cell r="G125">
            <v>4.1453232677567751E-2</v>
          </cell>
          <cell r="I125" t="str">
            <v>VA</v>
          </cell>
          <cell r="J125" t="str">
            <v>High</v>
          </cell>
          <cell r="K125">
            <v>123264</v>
          </cell>
        </row>
        <row r="126">
          <cell r="C126">
            <v>3495226.87905253</v>
          </cell>
          <cell r="D126">
            <v>0.70572389040705497</v>
          </cell>
          <cell r="E126">
            <v>189653</v>
          </cell>
          <cell r="F126">
            <v>133842.65298736899</v>
          </cell>
          <cell r="G126">
            <v>3.8292980003532831E-2</v>
          </cell>
          <cell r="I126" t="str">
            <v>VA</v>
          </cell>
          <cell r="J126" t="str">
            <v>High</v>
          </cell>
          <cell r="K126">
            <v>130123</v>
          </cell>
        </row>
        <row r="127">
          <cell r="C127">
            <v>2408953.57759391</v>
          </cell>
          <cell r="D127">
            <v>0.71310648777214103</v>
          </cell>
          <cell r="E127">
            <v>212211</v>
          </cell>
          <cell r="F127">
            <v>151329.04087661399</v>
          </cell>
          <cell r="G127">
            <v>6.2819409341944701E-2</v>
          </cell>
          <cell r="I127" t="str">
            <v>VA</v>
          </cell>
          <cell r="J127" t="str">
            <v>Med</v>
          </cell>
          <cell r="K127">
            <v>64149.333333333336</v>
          </cell>
        </row>
        <row r="128">
          <cell r="C128">
            <v>2293471.0894324598</v>
          </cell>
          <cell r="D128">
            <v>0.73748601678338699</v>
          </cell>
          <cell r="E128">
            <v>224587</v>
          </cell>
          <cell r="F128">
            <v>165629.77205132999</v>
          </cell>
          <cell r="G128">
            <v>7.2217946332306535E-2</v>
          </cell>
          <cell r="I128" t="str">
            <v>VA</v>
          </cell>
          <cell r="J128" t="str">
            <v>Med</v>
          </cell>
          <cell r="K128">
            <v>57821.333333333336</v>
          </cell>
        </row>
        <row r="129">
          <cell r="C129">
            <v>2017267.8083406801</v>
          </cell>
          <cell r="D129">
            <v>0.65606754192839201</v>
          </cell>
          <cell r="E129">
            <v>251009</v>
          </cell>
          <cell r="F129">
            <v>164678.85763190399</v>
          </cell>
          <cell r="G129">
            <v>8.163460347258597E-2</v>
          </cell>
          <cell r="I129" t="str">
            <v>VA</v>
          </cell>
          <cell r="J129" t="str">
            <v>Med</v>
          </cell>
          <cell r="K129">
            <v>47096</v>
          </cell>
        </row>
        <row r="130">
          <cell r="C130">
            <v>3138722.0408466598</v>
          </cell>
          <cell r="D130">
            <v>0.73761175798039702</v>
          </cell>
          <cell r="E130">
            <v>190438</v>
          </cell>
          <cell r="F130">
            <v>140469.30796627101</v>
          </cell>
          <cell r="G130">
            <v>4.4753662840555285E-2</v>
          </cell>
          <cell r="I130" t="str">
            <v>VA</v>
          </cell>
          <cell r="J130" t="str">
            <v>High</v>
          </cell>
          <cell r="K130">
            <v>111399</v>
          </cell>
        </row>
        <row r="131">
          <cell r="C131">
            <v>3476663.0054721502</v>
          </cell>
          <cell r="D131">
            <v>0.75584797047409003</v>
          </cell>
          <cell r="E131">
            <v>186604</v>
          </cell>
          <cell r="F131">
            <v>141044.254682347</v>
          </cell>
          <cell r="G131">
            <v>4.0568859984516217E-2</v>
          </cell>
          <cell r="I131" t="str">
            <v>VA</v>
          </cell>
          <cell r="J131" t="str">
            <v>High</v>
          </cell>
          <cell r="K131">
            <v>126832.33333333333</v>
          </cell>
        </row>
        <row r="132">
          <cell r="C132">
            <v>1666788.7207966801</v>
          </cell>
          <cell r="D132">
            <v>0.70034102506474105</v>
          </cell>
          <cell r="E132">
            <v>188763</v>
          </cell>
          <cell r="F132">
            <v>132198.472914296</v>
          </cell>
          <cell r="G132">
            <v>7.9313275440878128E-2</v>
          </cell>
          <cell r="I132" t="str">
            <v>VA</v>
          </cell>
          <cell r="J132" t="str">
            <v>Low</v>
          </cell>
          <cell r="K132">
            <v>25878</v>
          </cell>
        </row>
        <row r="133">
          <cell r="C133">
            <v>2528771.7452068198</v>
          </cell>
          <cell r="D133">
            <v>0.69439409707476696</v>
          </cell>
          <cell r="E133">
            <v>212190</v>
          </cell>
          <cell r="F133">
            <v>147343.483458295</v>
          </cell>
          <cell r="G133">
            <v>5.82668181648179E-2</v>
          </cell>
          <cell r="I133" t="str">
            <v>VA</v>
          </cell>
          <cell r="J133" t="str">
            <v>Med</v>
          </cell>
          <cell r="K133">
            <v>78901.666666666672</v>
          </cell>
        </row>
        <row r="134">
          <cell r="C134">
            <v>2665976.4077970302</v>
          </cell>
          <cell r="D134">
            <v>0.74669867689524305</v>
          </cell>
          <cell r="E134">
            <v>230459</v>
          </cell>
          <cell r="F134">
            <v>172083.43037860101</v>
          </cell>
          <cell r="G134">
            <v>6.4547994451608179E-2</v>
          </cell>
          <cell r="I134" t="str">
            <v>VA</v>
          </cell>
          <cell r="J134" t="str">
            <v>Med</v>
          </cell>
          <cell r="K134">
            <v>72992</v>
          </cell>
        </row>
        <row r="135">
          <cell r="C135">
            <v>3498835.9320390299</v>
          </cell>
          <cell r="D135">
            <v>0.69776568225387803</v>
          </cell>
          <cell r="E135">
            <v>213921</v>
          </cell>
          <cell r="F135">
            <v>149266.73251343201</v>
          </cell>
          <cell r="G135">
            <v>4.2661826794045545E-2</v>
          </cell>
          <cell r="I135" t="str">
            <v>VA</v>
          </cell>
          <cell r="J135" t="str">
            <v>High</v>
          </cell>
          <cell r="K135">
            <v>119878</v>
          </cell>
        </row>
        <row r="136">
          <cell r="C136">
            <v>2307180.76499337</v>
          </cell>
          <cell r="D136">
            <v>0.711186579447601</v>
          </cell>
          <cell r="E136">
            <v>243313</v>
          </cell>
          <cell r="F136">
            <v>173040.94020513399</v>
          </cell>
          <cell r="G136">
            <v>7.5001032788876959E-2</v>
          </cell>
          <cell r="I136" t="str">
            <v>VA</v>
          </cell>
          <cell r="J136" t="str">
            <v>Med</v>
          </cell>
          <cell r="K136">
            <v>55273.333333333336</v>
          </cell>
        </row>
        <row r="137">
          <cell r="C137">
            <v>3262760.89034604</v>
          </cell>
          <cell r="D137">
            <v>0.70608197664343098</v>
          </cell>
          <cell r="E137">
            <v>223736</v>
          </cell>
          <cell r="F137">
            <v>157975.95712629499</v>
          </cell>
          <cell r="G137">
            <v>4.8417877507885801E-2</v>
          </cell>
          <cell r="I137" t="str">
            <v>VA</v>
          </cell>
          <cell r="J137" t="str">
            <v>High</v>
          </cell>
          <cell r="K137">
            <v>108975.66666666667</v>
          </cell>
        </row>
        <row r="138">
          <cell r="C138">
            <v>2590016.5944505399</v>
          </cell>
          <cell r="D138">
            <v>0.73970483936647602</v>
          </cell>
          <cell r="E138">
            <v>219453</v>
          </cell>
          <cell r="F138">
            <v>162330.44611349099</v>
          </cell>
          <cell r="G138">
            <v>6.2675446350925271E-2</v>
          </cell>
          <cell r="I138" t="str">
            <v>VA</v>
          </cell>
          <cell r="J138" t="str">
            <v>Med</v>
          </cell>
          <cell r="K138">
            <v>70133</v>
          </cell>
        </row>
        <row r="139">
          <cell r="C139">
            <v>2721310.87617118</v>
          </cell>
          <cell r="D139">
            <v>0.71873139753715898</v>
          </cell>
          <cell r="E139">
            <v>230199</v>
          </cell>
          <cell r="F139">
            <v>165451.24898165601</v>
          </cell>
          <cell r="G139">
            <v>6.0798363917334577E-2</v>
          </cell>
          <cell r="I139" t="str">
            <v>VA</v>
          </cell>
          <cell r="J139" t="str">
            <v>Med</v>
          </cell>
          <cell r="K139">
            <v>73769</v>
          </cell>
        </row>
        <row r="140">
          <cell r="C140">
            <v>3354540.19532263</v>
          </cell>
          <cell r="D140">
            <v>0.70228519875261297</v>
          </cell>
          <cell r="E140">
            <v>213290</v>
          </cell>
          <cell r="F140">
            <v>149790.410041945</v>
          </cell>
          <cell r="G140">
            <v>4.4653037769767603E-2</v>
          </cell>
          <cell r="I140" t="str">
            <v>VA</v>
          </cell>
          <cell r="J140" t="str">
            <v>High</v>
          </cell>
          <cell r="K140">
            <v>117573.33333333333</v>
          </cell>
        </row>
        <row r="141">
          <cell r="C141">
            <v>2051330.5084937499</v>
          </cell>
          <cell r="D141">
            <v>0.72135034211975702</v>
          </cell>
          <cell r="E141">
            <v>208668</v>
          </cell>
          <cell r="F141">
            <v>150522.73318944499</v>
          </cell>
          <cell r="G141">
            <v>7.3378099027041122E-2</v>
          </cell>
          <cell r="I141" t="str">
            <v>VA</v>
          </cell>
          <cell r="J141" t="str">
            <v>Med</v>
          </cell>
          <cell r="K141">
            <v>43634.333333333336</v>
          </cell>
        </row>
        <row r="142">
          <cell r="C142">
            <v>2507198.0614366499</v>
          </cell>
          <cell r="D142">
            <v>0.74200327504337205</v>
          </cell>
          <cell r="E142">
            <v>237587</v>
          </cell>
          <cell r="F142">
            <v>176290.33210773001</v>
          </cell>
          <cell r="G142">
            <v>7.0313683956310116E-2</v>
          </cell>
          <cell r="I142" t="str">
            <v>VA</v>
          </cell>
          <cell r="J142" t="str">
            <v>Med</v>
          </cell>
          <cell r="K142">
            <v>68834</v>
          </cell>
        </row>
        <row r="143">
          <cell r="C143">
            <v>2980395.5095717302</v>
          </cell>
          <cell r="D143">
            <v>0.67013058796817404</v>
          </cell>
          <cell r="E143">
            <v>267165</v>
          </cell>
          <cell r="F143">
            <v>179035.43853451699</v>
          </cell>
          <cell r="G143">
            <v>6.0071033512006468E-2</v>
          </cell>
          <cell r="I143" t="str">
            <v>VA</v>
          </cell>
          <cell r="J143" t="str">
            <v>Med</v>
          </cell>
          <cell r="K143">
            <v>90147.333333333328</v>
          </cell>
        </row>
        <row r="144">
          <cell r="C144">
            <v>2730707.8812751798</v>
          </cell>
          <cell r="D144">
            <v>0.71806435862533502</v>
          </cell>
          <cell r="E144">
            <v>230624</v>
          </cell>
          <cell r="F144">
            <v>165602.87464360899</v>
          </cell>
          <cell r="G144">
            <v>6.0644668651366737E-2</v>
          </cell>
          <cell r="I144" t="str">
            <v>VA</v>
          </cell>
          <cell r="J144" t="str">
            <v>Med</v>
          </cell>
          <cell r="K144">
            <v>75389.666666666672</v>
          </cell>
        </row>
        <row r="145">
          <cell r="C145">
            <v>2956801.5615109201</v>
          </cell>
          <cell r="D145">
            <v>0.71602538867516297</v>
          </cell>
          <cell r="E145">
            <v>241890</v>
          </cell>
          <cell r="F145">
            <v>173199.381266635</v>
          </cell>
          <cell r="G145">
            <v>5.8576599634278616E-2</v>
          </cell>
          <cell r="I145" t="str">
            <v>VA</v>
          </cell>
          <cell r="J145" t="str">
            <v>Med</v>
          </cell>
          <cell r="K145">
            <v>90636.666666666672</v>
          </cell>
        </row>
        <row r="146">
          <cell r="C146">
            <v>3129299.5212757899</v>
          </cell>
          <cell r="D146">
            <v>0.69557875512337097</v>
          </cell>
          <cell r="E146">
            <v>216492</v>
          </cell>
          <cell r="F146">
            <v>150587.235854169</v>
          </cell>
          <cell r="G146">
            <v>4.8121707375833364E-2</v>
          </cell>
          <cell r="I146" t="str">
            <v>VA</v>
          </cell>
          <cell r="J146" t="str">
            <v>High</v>
          </cell>
          <cell r="K146">
            <v>104337.66666666667</v>
          </cell>
        </row>
        <row r="147">
          <cell r="C147">
            <v>2637191.7276185998</v>
          </cell>
          <cell r="D147">
            <v>0.76108954884531199</v>
          </cell>
          <cell r="E147">
            <v>233768</v>
          </cell>
          <cell r="F147">
            <v>177918.38165447101</v>
          </cell>
          <cell r="G147">
            <v>6.7465091669740823E-2</v>
          </cell>
          <cell r="I147" t="str">
            <v>VA</v>
          </cell>
          <cell r="J147" t="str">
            <v>Med</v>
          </cell>
          <cell r="K147">
            <v>74166.666666666672</v>
          </cell>
        </row>
        <row r="148">
          <cell r="C148">
            <v>2597556.75250461</v>
          </cell>
          <cell r="D148">
            <v>0.70777012280924501</v>
          </cell>
          <cell r="E148">
            <v>260504</v>
          </cell>
          <cell r="F148">
            <v>184376.9480723</v>
          </cell>
          <cell r="G148">
            <v>7.0980912310970881E-2</v>
          </cell>
          <cell r="I148" t="str">
            <v>VA</v>
          </cell>
          <cell r="J148" t="str">
            <v>Med</v>
          </cell>
          <cell r="K148">
            <v>46839.666666666664</v>
          </cell>
        </row>
        <row r="149">
          <cell r="C149">
            <v>2611680.9855425502</v>
          </cell>
          <cell r="D149">
            <v>0.70594507068030898</v>
          </cell>
          <cell r="E149">
            <v>222157</v>
          </cell>
          <cell r="F149">
            <v>156830.63906712501</v>
          </cell>
          <cell r="G149">
            <v>6.0049692108374041E-2</v>
          </cell>
          <cell r="I149" t="str">
            <v>VA</v>
          </cell>
          <cell r="J149" t="str">
            <v>Med</v>
          </cell>
          <cell r="K149">
            <v>76752</v>
          </cell>
        </row>
        <row r="150">
          <cell r="C150">
            <v>4552418.0899195503</v>
          </cell>
          <cell r="D150">
            <v>0.68042929822695497</v>
          </cell>
          <cell r="E150">
            <v>121360</v>
          </cell>
          <cell r="F150">
            <v>82576.899632823202</v>
          </cell>
          <cell r="G150">
            <v>1.8139129140109907E-2</v>
          </cell>
          <cell r="I150" t="str">
            <v>VA</v>
          </cell>
          <cell r="J150" t="str">
            <v>High</v>
          </cell>
          <cell r="K150">
            <v>176011.66666666666</v>
          </cell>
        </row>
        <row r="151">
          <cell r="C151">
            <v>3163228.9083568901</v>
          </cell>
          <cell r="D151">
            <v>0.723460568822757</v>
          </cell>
          <cell r="E151">
            <v>238646</v>
          </cell>
          <cell r="F151">
            <v>172650.970907276</v>
          </cell>
          <cell r="G151">
            <v>5.4580612377166833E-2</v>
          </cell>
          <cell r="I151" t="str">
            <v>VA</v>
          </cell>
          <cell r="J151" t="str">
            <v>High</v>
          </cell>
          <cell r="K151">
            <v>101048.66666666667</v>
          </cell>
        </row>
        <row r="152">
          <cell r="C152">
            <v>2477636.55702934</v>
          </cell>
          <cell r="D152">
            <v>0.67077213745980702</v>
          </cell>
          <cell r="E152">
            <v>266141</v>
          </cell>
          <cell r="F152">
            <v>178519.96743569101</v>
          </cell>
          <cell r="G152">
            <v>7.2052523978631697E-2</v>
          </cell>
          <cell r="I152" t="str">
            <v>VA</v>
          </cell>
          <cell r="J152" t="str">
            <v>Med</v>
          </cell>
          <cell r="K152">
            <v>66000</v>
          </cell>
        </row>
        <row r="153">
          <cell r="C153">
            <v>2581323.5273656398</v>
          </cell>
          <cell r="D153">
            <v>0.68924634045076405</v>
          </cell>
          <cell r="E153">
            <v>263836</v>
          </cell>
          <cell r="F153">
            <v>181847.997479168</v>
          </cell>
          <cell r="G153">
            <v>7.0447580689256842E-2</v>
          </cell>
          <cell r="I153" t="str">
            <v>VA</v>
          </cell>
          <cell r="J153" t="str">
            <v>Med</v>
          </cell>
          <cell r="K153">
            <v>70332.333333333328</v>
          </cell>
        </row>
        <row r="154">
          <cell r="C154">
            <v>2748332.4395997501</v>
          </cell>
          <cell r="D154">
            <v>0.71223846802037905</v>
          </cell>
          <cell r="E154">
            <v>222346</v>
          </cell>
          <cell r="F154">
            <v>158363.37441045899</v>
          </cell>
          <cell r="G154">
            <v>5.762162252595688E-2</v>
          </cell>
          <cell r="I154" t="str">
            <v>VA</v>
          </cell>
          <cell r="J154" t="str">
            <v>Med</v>
          </cell>
          <cell r="K154">
            <v>86125.666666666672</v>
          </cell>
        </row>
        <row r="155">
          <cell r="C155">
            <v>2889431.4537221901</v>
          </cell>
          <cell r="D155">
            <v>0.67976361414687803</v>
          </cell>
          <cell r="E155">
            <v>231758</v>
          </cell>
          <cell r="F155">
            <v>157540.655687452</v>
          </cell>
          <cell r="G155">
            <v>5.4523063865905795E-2</v>
          </cell>
          <cell r="I155" t="str">
            <v>VA</v>
          </cell>
          <cell r="J155" t="str">
            <v>Med</v>
          </cell>
          <cell r="K155">
            <v>66868.333333333328</v>
          </cell>
        </row>
        <row r="156">
          <cell r="C156">
            <v>2928177.2825527899</v>
          </cell>
          <cell r="D156">
            <v>0.726615021731427</v>
          </cell>
          <cell r="E156">
            <v>257397</v>
          </cell>
          <cell r="F156">
            <v>187028.526748604</v>
          </cell>
          <cell r="G156">
            <v>6.387199568243089E-2</v>
          </cell>
          <cell r="I156" t="str">
            <v>VA</v>
          </cell>
          <cell r="J156" t="str">
            <v>Med</v>
          </cell>
          <cell r="K156">
            <v>82692.666666666672</v>
          </cell>
        </row>
        <row r="157">
          <cell r="C157">
            <v>2698462.5436635902</v>
          </cell>
          <cell r="D157">
            <v>0.70600709452412502</v>
          </cell>
          <cell r="E157">
            <v>248944</v>
          </cell>
          <cell r="F157">
            <v>175756.23013921399</v>
          </cell>
          <cell r="G157">
            <v>6.5131988047014755E-2</v>
          </cell>
          <cell r="I157" t="str">
            <v>VA</v>
          </cell>
          <cell r="J157" t="str">
            <v>Med</v>
          </cell>
          <cell r="K157">
            <v>75777.666666666672</v>
          </cell>
        </row>
        <row r="158">
          <cell r="C158">
            <v>3439333.1412099102</v>
          </cell>
          <cell r="D158">
            <v>0.75896432701254801</v>
          </cell>
          <cell r="E158">
            <v>200496</v>
          </cell>
          <cell r="F158">
            <v>152169.311708708</v>
          </cell>
          <cell r="G158">
            <v>4.4243841890575605E-2</v>
          </cell>
          <cell r="I158" t="str">
            <v>VA</v>
          </cell>
          <cell r="J158" t="str">
            <v>High</v>
          </cell>
          <cell r="K158">
            <v>123264</v>
          </cell>
        </row>
        <row r="159">
          <cell r="C159">
            <v>3622417.2530702702</v>
          </cell>
          <cell r="D159">
            <v>0.71290095860647495</v>
          </cell>
          <cell r="E159">
            <v>209089</v>
          </cell>
          <cell r="F159">
            <v>149059.74853406899</v>
          </cell>
          <cell r="G159">
            <v>4.1149248725482875E-2</v>
          </cell>
          <cell r="I159" t="str">
            <v>VA</v>
          </cell>
          <cell r="J159" t="str">
            <v>High</v>
          </cell>
          <cell r="K159">
            <v>130123</v>
          </cell>
        </row>
        <row r="160">
          <cell r="C160">
            <v>2500724.0778836301</v>
          </cell>
          <cell r="D160">
            <v>0.70761126997417201</v>
          </cell>
          <cell r="E160">
            <v>229077</v>
          </cell>
          <cell r="F160">
            <v>162097.46689187299</v>
          </cell>
          <cell r="G160">
            <v>6.4820212803747834E-2</v>
          </cell>
          <cell r="I160" t="str">
            <v>VA</v>
          </cell>
          <cell r="J160" t="str">
            <v>Med</v>
          </cell>
          <cell r="K160">
            <v>64149.333333333336</v>
          </cell>
        </row>
        <row r="161">
          <cell r="C161">
            <v>2363051.7571707801</v>
          </cell>
          <cell r="D161">
            <v>0.72926839646518005</v>
          </cell>
          <cell r="E161">
            <v>246261</v>
          </cell>
          <cell r="F161">
            <v>179590.364581912</v>
          </cell>
          <cell r="G161">
            <v>7.5999336043714436E-2</v>
          </cell>
          <cell r="I161" t="str">
            <v>VA</v>
          </cell>
          <cell r="J161" t="str">
            <v>Med</v>
          </cell>
          <cell r="K161">
            <v>57821.333333333336</v>
          </cell>
        </row>
        <row r="162">
          <cell r="C162">
            <v>2127923.93401457</v>
          </cell>
          <cell r="D162">
            <v>0.687160434140905</v>
          </cell>
          <cell r="E162">
            <v>263179</v>
          </cell>
          <cell r="F162">
            <v>180846.195896769</v>
          </cell>
          <cell r="G162">
            <v>8.4987152503887733E-2</v>
          </cell>
          <cell r="I162" t="str">
            <v>VA</v>
          </cell>
          <cell r="J162" t="str">
            <v>Med</v>
          </cell>
          <cell r="K162">
            <v>47096</v>
          </cell>
        </row>
        <row r="163">
          <cell r="C163">
            <v>3369078.8610835401</v>
          </cell>
          <cell r="D163">
            <v>0.75405785864792696</v>
          </cell>
          <cell r="E163">
            <v>215542</v>
          </cell>
          <cell r="F163">
            <v>162531.138968691</v>
          </cell>
          <cell r="G163">
            <v>4.8242010849344985E-2</v>
          </cell>
          <cell r="I163" t="str">
            <v>VA</v>
          </cell>
          <cell r="J163" t="str">
            <v>High</v>
          </cell>
          <cell r="K163">
            <v>111399</v>
          </cell>
        </row>
        <row r="164">
          <cell r="C164">
            <v>3633499.3173108702</v>
          </cell>
          <cell r="D164">
            <v>0.75063231569200295</v>
          </cell>
          <cell r="E164">
            <v>200539</v>
          </cell>
          <cell r="F164">
            <v>150531.05395655899</v>
          </cell>
          <cell r="G164">
            <v>4.1428672695600251E-2</v>
          </cell>
          <cell r="I164" t="str">
            <v>VA</v>
          </cell>
          <cell r="J164" t="str">
            <v>High</v>
          </cell>
          <cell r="K164">
            <v>126832.33333333333</v>
          </cell>
        </row>
        <row r="165">
          <cell r="C165">
            <v>1783878.28254813</v>
          </cell>
          <cell r="D165">
            <v>0.72033379627003802</v>
          </cell>
          <cell r="E165">
            <v>197345</v>
          </cell>
          <cell r="F165">
            <v>142154.273024911</v>
          </cell>
          <cell r="G165">
            <v>7.9688325383867997E-2</v>
          </cell>
          <cell r="I165" t="str">
            <v>VA</v>
          </cell>
          <cell r="J165" t="str">
            <v>Low</v>
          </cell>
          <cell r="K165">
            <v>25878</v>
          </cell>
        </row>
        <row r="166">
          <cell r="C166">
            <v>2709608.4716644702</v>
          </cell>
          <cell r="D166">
            <v>0.67793641639205804</v>
          </cell>
          <cell r="E166">
            <v>235492</v>
          </cell>
          <cell r="F166">
            <v>159648.60256899899</v>
          </cell>
          <cell r="G166">
            <v>5.8919435866293016E-2</v>
          </cell>
          <cell r="I166" t="str">
            <v>VA</v>
          </cell>
          <cell r="J166" t="str">
            <v>Med</v>
          </cell>
          <cell r="K166">
            <v>78901.666666666672</v>
          </cell>
        </row>
        <row r="167">
          <cell r="C167">
            <v>2481630.6474402999</v>
          </cell>
          <cell r="D167">
            <v>0.72526561666428901</v>
          </cell>
          <cell r="E167">
            <v>240831</v>
          </cell>
          <cell r="F167">
            <v>174666.44372687701</v>
          </cell>
          <cell r="G167">
            <v>7.0383738977046514E-2</v>
          </cell>
          <cell r="I167" t="str">
            <v>VA</v>
          </cell>
          <cell r="J167" t="str">
            <v>Med</v>
          </cell>
          <cell r="K167">
            <v>72992</v>
          </cell>
        </row>
        <row r="168">
          <cell r="C168">
            <v>3305643.1316802399</v>
          </cell>
          <cell r="D168">
            <v>0.72215573327889504</v>
          </cell>
          <cell r="E168">
            <v>214291</v>
          </cell>
          <cell r="F168">
            <v>154751.474240068</v>
          </cell>
          <cell r="G168">
            <v>4.6814331758010641E-2</v>
          </cell>
          <cell r="I168" t="str">
            <v>VA</v>
          </cell>
          <cell r="J168" t="str">
            <v>High</v>
          </cell>
          <cell r="K168">
            <v>119878</v>
          </cell>
        </row>
        <row r="169">
          <cell r="C169">
            <v>2199562.4786689202</v>
          </cell>
          <cell r="D169">
            <v>0.69721614472619398</v>
          </cell>
          <cell r="E169">
            <v>263046</v>
          </cell>
          <cell r="F169">
            <v>183399.91800564699</v>
          </cell>
          <cell r="G169">
            <v>8.3380181187957286E-2</v>
          </cell>
          <cell r="I169" t="str">
            <v>VA</v>
          </cell>
          <cell r="J169" t="str">
            <v>Med</v>
          </cell>
          <cell r="K169">
            <v>55273.333333333336</v>
          </cell>
        </row>
        <row r="170">
          <cell r="C170">
            <v>3101837.4207679401</v>
          </cell>
          <cell r="D170">
            <v>0.71111518041733301</v>
          </cell>
          <cell r="E170">
            <v>231901</v>
          </cell>
          <cell r="F170">
            <v>164908.32145396</v>
          </cell>
          <cell r="G170">
            <v>5.3164721126206765E-2</v>
          </cell>
          <cell r="I170" t="str">
            <v>VA</v>
          </cell>
          <cell r="J170" t="str">
            <v>High</v>
          </cell>
          <cell r="K170">
            <v>108975.66666666667</v>
          </cell>
        </row>
        <row r="171">
          <cell r="C171">
            <v>2502722.1164833601</v>
          </cell>
          <cell r="D171">
            <v>0.73102171088072898</v>
          </cell>
          <cell r="E171">
            <v>233961</v>
          </cell>
          <cell r="F171">
            <v>171030.570499366</v>
          </cell>
          <cell r="G171">
            <v>6.8337818798551039E-2</v>
          </cell>
          <cell r="I171" t="str">
            <v>VA</v>
          </cell>
          <cell r="J171" t="str">
            <v>Med</v>
          </cell>
          <cell r="K171">
            <v>70133</v>
          </cell>
        </row>
        <row r="172">
          <cell r="C172">
            <v>2561316.05764018</v>
          </cell>
          <cell r="D172">
            <v>0.71464276161260298</v>
          </cell>
          <cell r="E172">
            <v>242542</v>
          </cell>
          <cell r="F172">
            <v>173330.88468704399</v>
          </cell>
          <cell r="G172">
            <v>6.7672587367737472E-2</v>
          </cell>
          <cell r="I172" t="str">
            <v>VA</v>
          </cell>
          <cell r="J172" t="str">
            <v>Med</v>
          </cell>
          <cell r="K172">
            <v>73769</v>
          </cell>
        </row>
        <row r="173">
          <cell r="C173">
            <v>3196073.9588993299</v>
          </cell>
          <cell r="D173">
            <v>0.68671329282162197</v>
          </cell>
          <cell r="E173">
            <v>224673</v>
          </cell>
          <cell r="F173">
            <v>154285.93563811199</v>
          </cell>
          <cell r="G173">
            <v>4.8273581156815681E-2</v>
          </cell>
          <cell r="I173" t="str">
            <v>VA</v>
          </cell>
          <cell r="J173" t="str">
            <v>High</v>
          </cell>
          <cell r="K173">
            <v>117573.33333333333</v>
          </cell>
        </row>
        <row r="174">
          <cell r="C174">
            <v>1944100.14082467</v>
          </cell>
          <cell r="D174">
            <v>0.69759735902860798</v>
          </cell>
          <cell r="E174">
            <v>224257</v>
          </cell>
          <cell r="F174">
            <v>156441.09094367901</v>
          </cell>
          <cell r="G174">
            <v>8.0469666998387285E-2</v>
          </cell>
          <cell r="I174" t="str">
            <v>VA</v>
          </cell>
          <cell r="J174" t="str">
            <v>Med</v>
          </cell>
          <cell r="K174">
            <v>43634.333333333336</v>
          </cell>
        </row>
        <row r="175">
          <cell r="C175">
            <v>2417197.6747699301</v>
          </cell>
          <cell r="D175">
            <v>0.73525604303261005</v>
          </cell>
          <cell r="E175">
            <v>251051</v>
          </cell>
          <cell r="F175">
            <v>184586.76485938</v>
          </cell>
          <cell r="G175">
            <v>7.6363951027277499E-2</v>
          </cell>
          <cell r="I175" t="str">
            <v>VA</v>
          </cell>
          <cell r="J175" t="str">
            <v>Med</v>
          </cell>
          <cell r="K175">
            <v>68834</v>
          </cell>
        </row>
        <row r="176">
          <cell r="C176">
            <v>2785764.8777563302</v>
          </cell>
          <cell r="D176">
            <v>0.67546117820120399</v>
          </cell>
          <cell r="E176">
            <v>273893</v>
          </cell>
          <cell r="F176">
            <v>185004.08848106299</v>
          </cell>
          <cell r="G176">
            <v>6.6410517972380456E-2</v>
          </cell>
          <cell r="I176" t="str">
            <v>VA</v>
          </cell>
          <cell r="J176" t="str">
            <v>Med</v>
          </cell>
          <cell r="K176">
            <v>90147.333333333328</v>
          </cell>
        </row>
        <row r="177">
          <cell r="C177">
            <v>2588096.64996527</v>
          </cell>
          <cell r="D177">
            <v>0.73893164479822604</v>
          </cell>
          <cell r="E177">
            <v>228378</v>
          </cell>
          <cell r="F177">
            <v>168755.73117572899</v>
          </cell>
          <cell r="G177">
            <v>6.5204570771340217E-2</v>
          </cell>
          <cell r="I177" t="str">
            <v>VA</v>
          </cell>
          <cell r="J177" t="str">
            <v>Med</v>
          </cell>
          <cell r="K177">
            <v>75389.666666666672</v>
          </cell>
        </row>
        <row r="178">
          <cell r="C178">
            <v>2805620.1857921798</v>
          </cell>
          <cell r="D178">
            <v>0.71943332327948495</v>
          </cell>
          <cell r="E178">
            <v>248329</v>
          </cell>
          <cell r="F178">
            <v>178656.15773667101</v>
          </cell>
          <cell r="G178">
            <v>6.3677955641107786E-2</v>
          </cell>
          <cell r="I178" t="str">
            <v>VA</v>
          </cell>
          <cell r="J178" t="str">
            <v>Med</v>
          </cell>
          <cell r="K178">
            <v>90636.666666666672</v>
          </cell>
        </row>
        <row r="179">
          <cell r="C179">
            <v>3014636.3256736998</v>
          </cell>
          <cell r="D179">
            <v>0.65810309533830103</v>
          </cell>
          <cell r="E179">
            <v>232788</v>
          </cell>
          <cell r="F179">
            <v>153198.503357612</v>
          </cell>
          <cell r="G179">
            <v>5.0818237030092098E-2</v>
          </cell>
          <cell r="I179" t="str">
            <v>VA</v>
          </cell>
          <cell r="J179" t="str">
            <v>High</v>
          </cell>
          <cell r="K179">
            <v>104337.66666666667</v>
          </cell>
        </row>
        <row r="180">
          <cell r="C180">
            <v>2513102.7866417998</v>
          </cell>
          <cell r="D180">
            <v>0.72719549347749401</v>
          </cell>
          <cell r="E180">
            <v>260323</v>
          </cell>
          <cell r="F180">
            <v>189305.71244854201</v>
          </cell>
          <cell r="G180">
            <v>7.5327484993762142E-2</v>
          </cell>
          <cell r="I180" t="str">
            <v>VA</v>
          </cell>
          <cell r="J180" t="str">
            <v>Med</v>
          </cell>
          <cell r="K180">
            <v>74166.666666666672</v>
          </cell>
        </row>
        <row r="181">
          <cell r="C181">
            <v>2473837.9350008098</v>
          </cell>
          <cell r="D181">
            <v>0.69153130369530202</v>
          </cell>
          <cell r="E181">
            <v>279096</v>
          </cell>
          <cell r="F181">
            <v>193003.62073614399</v>
          </cell>
          <cell r="G181">
            <v>7.8017891958666569E-2</v>
          </cell>
          <cell r="I181" t="str">
            <v>VA</v>
          </cell>
          <cell r="J181" t="str">
            <v>Med</v>
          </cell>
          <cell r="K181">
            <v>46839.666666666664</v>
          </cell>
        </row>
        <row r="182">
          <cell r="C182">
            <v>2544098.4767177599</v>
          </cell>
          <cell r="D182">
            <v>0.70656597514889496</v>
          </cell>
          <cell r="E182">
            <v>233122</v>
          </cell>
          <cell r="F182">
            <v>164716.073258661</v>
          </cell>
          <cell r="G182">
            <v>6.4744377926426649E-2</v>
          </cell>
          <cell r="I182" t="str">
            <v>VA</v>
          </cell>
          <cell r="J182" t="str">
            <v>Med</v>
          </cell>
          <cell r="K182">
            <v>76752</v>
          </cell>
        </row>
        <row r="183">
          <cell r="C183">
            <v>4371921.5670227502</v>
          </cell>
          <cell r="D183">
            <v>0.69302444310949296</v>
          </cell>
          <cell r="E183">
            <v>126835</v>
          </cell>
          <cell r="F183">
            <v>87899.755241792504</v>
          </cell>
          <cell r="G183">
            <v>2.0105519711244878E-2</v>
          </cell>
          <cell r="I183" t="str">
            <v>VA</v>
          </cell>
          <cell r="J183" t="str">
            <v>High</v>
          </cell>
          <cell r="K183">
            <v>176011.66666666666</v>
          </cell>
        </row>
        <row r="184">
          <cell r="C184">
            <v>2968917.81316383</v>
          </cell>
          <cell r="D184">
            <v>0.72005139357520098</v>
          </cell>
          <cell r="E184">
            <v>244324</v>
          </cell>
          <cell r="F184">
            <v>175925.836683867</v>
          </cell>
          <cell r="G184">
            <v>5.9255879668959739E-2</v>
          </cell>
          <cell r="I184" t="str">
            <v>VA</v>
          </cell>
          <cell r="J184" t="str">
            <v>High</v>
          </cell>
          <cell r="K184">
            <v>101048.66666666667</v>
          </cell>
        </row>
        <row r="185">
          <cell r="C185">
            <v>2388951.4088368798</v>
          </cell>
          <cell r="D185">
            <v>0.68989953024089201</v>
          </cell>
          <cell r="E185">
            <v>274705</v>
          </cell>
          <cell r="F185">
            <v>189518.85045482399</v>
          </cell>
          <cell r="G185">
            <v>7.9331396090260339E-2</v>
          </cell>
          <cell r="I185" t="str">
            <v>VA</v>
          </cell>
          <cell r="J185" t="str">
            <v>Med</v>
          </cell>
          <cell r="K185">
            <v>66000</v>
          </cell>
        </row>
        <row r="186">
          <cell r="C186">
            <v>2521286.1740405299</v>
          </cell>
          <cell r="D186">
            <v>0.69651622620973697</v>
          </cell>
          <cell r="E186">
            <v>277162</v>
          </cell>
          <cell r="F186">
            <v>193047.83028874299</v>
          </cell>
          <cell r="G186">
            <v>7.6567202992023284E-2</v>
          </cell>
          <cell r="I186" t="str">
            <v>VA</v>
          </cell>
          <cell r="J186" t="str">
            <v>Med</v>
          </cell>
          <cell r="K186">
            <v>70332.333333333328</v>
          </cell>
        </row>
        <row r="187">
          <cell r="C187">
            <v>2702669.68544881</v>
          </cell>
          <cell r="D187">
            <v>0.71412302446823195</v>
          </cell>
          <cell r="E187">
            <v>241849</v>
          </cell>
          <cell r="F187">
            <v>172709.939344618</v>
          </cell>
          <cell r="G187">
            <v>6.3903458226689469E-2</v>
          </cell>
          <cell r="I187" t="str">
            <v>VA</v>
          </cell>
          <cell r="J187" t="str">
            <v>Med</v>
          </cell>
          <cell r="K187">
            <v>86125.666666666672</v>
          </cell>
        </row>
        <row r="188">
          <cell r="C188">
            <v>2801880.5075352499</v>
          </cell>
          <cell r="D188">
            <v>0.65340957763086804</v>
          </cell>
          <cell r="E188">
            <v>252793</v>
          </cell>
          <cell r="F188">
            <v>165177.36735804001</v>
          </cell>
          <cell r="G188">
            <v>5.8952323953080622E-2</v>
          </cell>
          <cell r="I188" t="str">
            <v>VA</v>
          </cell>
          <cell r="J188" t="str">
            <v>Med</v>
          </cell>
          <cell r="K188">
            <v>66868.333333333328</v>
          </cell>
        </row>
        <row r="189">
          <cell r="C189">
            <v>2793018.3491167598</v>
          </cell>
          <cell r="D189">
            <v>0.74913899005592399</v>
          </cell>
          <cell r="E189">
            <v>261834</v>
          </cell>
          <cell r="F189">
            <v>196150.058322303</v>
          </cell>
          <cell r="G189">
            <v>7.0228703790768801E-2</v>
          </cell>
          <cell r="I189" t="str">
            <v>VA</v>
          </cell>
          <cell r="J189" t="str">
            <v>Med</v>
          </cell>
          <cell r="K189">
            <v>82692.666666666672</v>
          </cell>
        </row>
        <row r="190">
          <cell r="C190">
            <v>2585788.5777652301</v>
          </cell>
          <cell r="D190">
            <v>0.70682098483995204</v>
          </cell>
          <cell r="E190">
            <v>267556</v>
          </cell>
          <cell r="F190">
            <v>189114.19541983801</v>
          </cell>
          <cell r="G190">
            <v>7.3135985302897472E-2</v>
          </cell>
          <cell r="I190" t="str">
            <v>VA</v>
          </cell>
          <cell r="J190" t="str">
            <v>Med</v>
          </cell>
          <cell r="K190">
            <v>75777.666666666672</v>
          </cell>
        </row>
        <row r="191">
          <cell r="C191">
            <v>3332450.3330342998</v>
          </cell>
          <cell r="D191">
            <v>0.75180391391868895</v>
          </cell>
          <cell r="E191">
            <v>212203</v>
          </cell>
          <cell r="F191">
            <v>159535.045945288</v>
          </cell>
          <cell r="G191">
            <v>4.7873195397341861E-2</v>
          </cell>
          <cell r="I191" t="str">
            <v>VA</v>
          </cell>
          <cell r="J191" t="str">
            <v>High</v>
          </cell>
          <cell r="K191">
            <v>123264</v>
          </cell>
        </row>
        <row r="192">
          <cell r="C192">
            <v>3508922.3628745601</v>
          </cell>
          <cell r="D192">
            <v>0.71544788566569195</v>
          </cell>
          <cell r="E192">
            <v>221161</v>
          </cell>
          <cell r="F192">
            <v>158229.16984171001</v>
          </cell>
          <cell r="G192">
            <v>4.5093380097497054E-2</v>
          </cell>
          <cell r="I192" t="str">
            <v>VA</v>
          </cell>
          <cell r="J192" t="str">
            <v>High</v>
          </cell>
          <cell r="K192">
            <v>130123</v>
          </cell>
        </row>
        <row r="193">
          <cell r="C193">
            <v>2407838.6509622601</v>
          </cell>
          <cell r="D193">
            <v>0.70483904104704598</v>
          </cell>
          <cell r="E193">
            <v>240174</v>
          </cell>
          <cell r="F193">
            <v>169284.011844433</v>
          </cell>
          <cell r="G193">
            <v>7.0305380211743401E-2</v>
          </cell>
          <cell r="I193" t="str">
            <v>VA</v>
          </cell>
          <cell r="J193" t="str">
            <v>Med</v>
          </cell>
          <cell r="K193">
            <v>64149.333333333336</v>
          </cell>
        </row>
        <row r="194">
          <cell r="C194">
            <v>2303837.9698716002</v>
          </cell>
          <cell r="D194">
            <v>0.73651027264767999</v>
          </cell>
          <cell r="E194">
            <v>260838</v>
          </cell>
          <cell r="F194">
            <v>192109.86649687501</v>
          </cell>
          <cell r="G194">
            <v>8.3386882675426113E-2</v>
          </cell>
          <cell r="I194" t="str">
            <v>VA</v>
          </cell>
          <cell r="J194" t="str">
            <v>Med</v>
          </cell>
          <cell r="K194">
            <v>57821.333333333336</v>
          </cell>
        </row>
        <row r="195">
          <cell r="C195">
            <v>2046418.62950612</v>
          </cell>
          <cell r="D195">
            <v>0.65727043888848602</v>
          </cell>
          <cell r="E195">
            <v>287528</v>
          </cell>
          <cell r="F195">
            <v>188983.65475272801</v>
          </cell>
          <cell r="G195">
            <v>9.234848238179745E-2</v>
          </cell>
          <cell r="I195" t="str">
            <v>VA</v>
          </cell>
          <cell r="J195" t="str">
            <v>Med</v>
          </cell>
          <cell r="K195">
            <v>47096</v>
          </cell>
        </row>
        <row r="196">
          <cell r="C196">
            <v>3212977.5388343302</v>
          </cell>
          <cell r="D196">
            <v>0.73656194021167398</v>
          </cell>
          <cell r="E196">
            <v>229708</v>
          </cell>
          <cell r="F196">
            <v>169194.17016214301</v>
          </cell>
          <cell r="G196">
            <v>5.2659618101011295E-2</v>
          </cell>
          <cell r="I196" t="str">
            <v>VA</v>
          </cell>
          <cell r="J196" t="str">
            <v>High</v>
          </cell>
          <cell r="K196">
            <v>111399</v>
          </cell>
        </row>
        <row r="197">
          <cell r="C197">
            <v>3526593.4003791101</v>
          </cell>
          <cell r="D197">
            <v>0.73356401536945204</v>
          </cell>
          <cell r="E197">
            <v>210074</v>
          </cell>
          <cell r="F197">
            <v>154102.72696472201</v>
          </cell>
          <cell r="G197">
            <v>4.3697333224793057E-2</v>
          </cell>
          <cell r="I197" t="str">
            <v>VA</v>
          </cell>
          <cell r="J197" t="str">
            <v>High</v>
          </cell>
          <cell r="K197">
            <v>126832.33333333333</v>
          </cell>
        </row>
        <row r="198">
          <cell r="C198">
            <v>1675554.2275305199</v>
          </cell>
          <cell r="D198">
            <v>0.72359716454199097</v>
          </cell>
          <cell r="E198">
            <v>201187</v>
          </cell>
          <cell r="F198">
            <v>145578.34274271</v>
          </cell>
          <cell r="G198">
            <v>8.688369516829518E-2</v>
          </cell>
          <cell r="I198" t="str">
            <v>VA</v>
          </cell>
          <cell r="J198" t="str">
            <v>Low</v>
          </cell>
          <cell r="K198">
            <v>25878</v>
          </cell>
        </row>
        <row r="199">
          <cell r="C199">
            <v>2539007.5666727698</v>
          </cell>
          <cell r="D199">
            <v>0.72855677265811603</v>
          </cell>
          <cell r="E199">
            <v>232412</v>
          </cell>
          <cell r="F199">
            <v>169325.336647018</v>
          </cell>
          <cell r="G199">
            <v>6.668957543474735E-2</v>
          </cell>
          <cell r="I199" t="str">
            <v>VA</v>
          </cell>
          <cell r="J199" t="str">
            <v>Med</v>
          </cell>
          <cell r="K199">
            <v>78901.666666666672</v>
          </cell>
        </row>
        <row r="200">
          <cell r="C200">
            <v>2434362.54682848</v>
          </cell>
          <cell r="D200">
            <v>0.742983207917843</v>
          </cell>
          <cell r="E200">
            <v>242066</v>
          </cell>
          <cell r="F200">
            <v>179850.97320784099</v>
          </cell>
          <cell r="G200">
            <v>7.3880110192359488E-2</v>
          </cell>
          <cell r="I200" t="str">
            <v>VA</v>
          </cell>
          <cell r="J200" t="str">
            <v>Med</v>
          </cell>
          <cell r="K200">
            <v>72992</v>
          </cell>
        </row>
        <row r="201">
          <cell r="C201">
            <v>3167383.82199352</v>
          </cell>
          <cell r="D201">
            <v>0.71146391147592403</v>
          </cell>
          <cell r="E201">
            <v>220984</v>
          </cell>
          <cell r="F201">
            <v>157222.141013596</v>
          </cell>
          <cell r="G201">
            <v>4.9637855671890732E-2</v>
          </cell>
          <cell r="I201" t="str">
            <v>VA</v>
          </cell>
          <cell r="J201" t="str">
            <v>High</v>
          </cell>
          <cell r="K201">
            <v>119878</v>
          </cell>
        </row>
        <row r="202">
          <cell r="C202">
            <v>2092135.4678127901</v>
          </cell>
          <cell r="D202">
            <v>0.69192325437567703</v>
          </cell>
          <cell r="E202">
            <v>274265</v>
          </cell>
          <cell r="F202">
            <v>189770.33136134499</v>
          </cell>
          <cell r="G202">
            <v>9.0706521772100729E-2</v>
          </cell>
          <cell r="I202" t="str">
            <v>VA</v>
          </cell>
          <cell r="J202" t="str">
            <v>Med</v>
          </cell>
          <cell r="K202">
            <v>55273.333333333336</v>
          </cell>
        </row>
        <row r="203">
          <cell r="C203">
            <v>3008019.88123225</v>
          </cell>
          <cell r="D203">
            <v>0.71791075864708498</v>
          </cell>
          <cell r="E203">
            <v>232450</v>
          </cell>
          <cell r="F203">
            <v>166878.35584751499</v>
          </cell>
          <cell r="G203">
            <v>5.5477810133074137E-2</v>
          </cell>
          <cell r="I203" t="str">
            <v>VA</v>
          </cell>
          <cell r="J203" t="str">
            <v>High</v>
          </cell>
          <cell r="K203">
            <v>108975.66666666667</v>
          </cell>
        </row>
        <row r="204">
          <cell r="C204">
            <v>2378917.6442183298</v>
          </cell>
          <cell r="D204">
            <v>0.719552164994402</v>
          </cell>
          <cell r="E204">
            <v>250017</v>
          </cell>
          <cell r="F204">
            <v>179900.273635405</v>
          </cell>
          <cell r="G204">
            <v>7.562274132214318E-2</v>
          </cell>
          <cell r="I204" t="str">
            <v>VA</v>
          </cell>
          <cell r="J204" t="str">
            <v>Med</v>
          </cell>
          <cell r="K204">
            <v>70133</v>
          </cell>
        </row>
        <row r="205">
          <cell r="C205">
            <v>2440781.5210178699</v>
          </cell>
          <cell r="D205">
            <v>0.68821620752108004</v>
          </cell>
          <cell r="E205">
            <v>251124</v>
          </cell>
          <cell r="F205">
            <v>172827.60689752401</v>
          </cell>
          <cell r="G205">
            <v>7.0808306851426167E-2</v>
          </cell>
          <cell r="I205" t="str">
            <v>VA</v>
          </cell>
          <cell r="J205" t="str">
            <v>Med</v>
          </cell>
          <cell r="K205">
            <v>73769</v>
          </cell>
        </row>
        <row r="206">
          <cell r="C206">
            <v>3051336.6951856902</v>
          </cell>
          <cell r="D206">
            <v>0.70081095543483496</v>
          </cell>
          <cell r="E206">
            <v>230341</v>
          </cell>
          <cell r="F206">
            <v>161425.496285815</v>
          </cell>
          <cell r="G206">
            <v>5.2903206827521664E-2</v>
          </cell>
          <cell r="I206" t="str">
            <v>VA</v>
          </cell>
          <cell r="J206" t="str">
            <v>High</v>
          </cell>
          <cell r="K206">
            <v>117573.33333333333</v>
          </cell>
        </row>
        <row r="207">
          <cell r="C207">
            <v>1886236.0097026201</v>
          </cell>
          <cell r="D207">
            <v>0.70948454445157305</v>
          </cell>
          <cell r="E207">
            <v>232481</v>
          </cell>
          <cell r="F207">
            <v>164941.67637864599</v>
          </cell>
          <cell r="G207">
            <v>8.7444877274212546E-2</v>
          </cell>
          <cell r="I207" t="str">
            <v>VA</v>
          </cell>
          <cell r="J207" t="str">
            <v>Med</v>
          </cell>
          <cell r="K207">
            <v>43634.333333333336</v>
          </cell>
        </row>
        <row r="208">
          <cell r="C208">
            <v>2321468.2389075598</v>
          </cell>
          <cell r="D208">
            <v>0.73072095997929998</v>
          </cell>
          <cell r="E208">
            <v>265634</v>
          </cell>
          <cell r="F208">
            <v>194104.331483141</v>
          </cell>
          <cell r="G208">
            <v>8.3612744826732116E-2</v>
          </cell>
          <cell r="I208" t="str">
            <v>VA</v>
          </cell>
          <cell r="J208" t="str">
            <v>Med</v>
          </cell>
          <cell r="K208">
            <v>68834</v>
          </cell>
        </row>
        <row r="209">
          <cell r="C209">
            <v>2669473.1988698002</v>
          </cell>
          <cell r="D209">
            <v>0.64275694009884299</v>
          </cell>
          <cell r="E209">
            <v>298333</v>
          </cell>
          <cell r="F209">
            <v>191755.60621050801</v>
          </cell>
          <cell r="G209">
            <v>7.1832751979564125E-2</v>
          </cell>
          <cell r="I209" t="str">
            <v>VA</v>
          </cell>
          <cell r="J209" t="str">
            <v>Med</v>
          </cell>
          <cell r="K209">
            <v>90147.333333333328</v>
          </cell>
        </row>
        <row r="210">
          <cell r="C210">
            <v>2474594.5730740302</v>
          </cell>
          <cell r="D210">
            <v>0.713414378163438</v>
          </cell>
          <cell r="E210">
            <v>245871</v>
          </cell>
          <cell r="F210">
            <v>175407.90657342301</v>
          </cell>
          <cell r="G210">
            <v>7.0883492787881211E-2</v>
          </cell>
          <cell r="I210" t="str">
            <v>VA</v>
          </cell>
          <cell r="J210" t="str">
            <v>Med</v>
          </cell>
          <cell r="K210">
            <v>75389.666666666672</v>
          </cell>
        </row>
        <row r="211">
          <cell r="C211">
            <v>2680006.9083321602</v>
          </cell>
          <cell r="D211">
            <v>0.66262607822399699</v>
          </cell>
          <cell r="E211">
            <v>273107</v>
          </cell>
          <cell r="F211">
            <v>180967.820345521</v>
          </cell>
          <cell r="G211">
            <v>6.7525132037119295E-2</v>
          </cell>
          <cell r="I211" t="str">
            <v>VA</v>
          </cell>
          <cell r="J211" t="str">
            <v>Med</v>
          </cell>
          <cell r="K211">
            <v>90636.666666666672</v>
          </cell>
        </row>
        <row r="212">
          <cell r="C212">
            <v>2836238.4390464202</v>
          </cell>
          <cell r="D212">
            <v>0.68490212680906704</v>
          </cell>
          <cell r="E212">
            <v>231768</v>
          </cell>
          <cell r="F212">
            <v>158738.396126284</v>
          </cell>
          <cell r="G212">
            <v>5.5967930601650645E-2</v>
          </cell>
          <cell r="I212" t="str">
            <v>VA</v>
          </cell>
          <cell r="J212" t="str">
            <v>High</v>
          </cell>
          <cell r="K212">
            <v>104337.66666666667</v>
          </cell>
        </row>
        <row r="213">
          <cell r="C213">
            <v>2364057.4342868999</v>
          </cell>
          <cell r="D213">
            <v>0.72364413518148596</v>
          </cell>
          <cell r="E213">
            <v>263948</v>
          </cell>
          <cell r="F213">
            <v>191004.42219288301</v>
          </cell>
          <cell r="G213">
            <v>8.0795169957661395E-2</v>
          </cell>
          <cell r="I213" t="str">
            <v>VA</v>
          </cell>
          <cell r="J213" t="str">
            <v>Med</v>
          </cell>
          <cell r="K213">
            <v>74166.666666666672</v>
          </cell>
        </row>
        <row r="214">
          <cell r="C214">
            <v>2380326.1909330701</v>
          </cell>
          <cell r="D214">
            <v>0.70031883761811198</v>
          </cell>
          <cell r="E214">
            <v>287335</v>
          </cell>
          <cell r="F214">
            <v>201226.11320699999</v>
          </cell>
          <cell r="G214">
            <v>8.4537200814532421E-2</v>
          </cell>
          <cell r="I214" t="str">
            <v>VA</v>
          </cell>
          <cell r="J214" t="str">
            <v>Med</v>
          </cell>
          <cell r="K214">
            <v>46839.666666666664</v>
          </cell>
        </row>
        <row r="215">
          <cell r="C215">
            <v>2399526.4612651202</v>
          </cell>
          <cell r="D215">
            <v>0.69258442618437999</v>
          </cell>
          <cell r="E215">
            <v>242902</v>
          </cell>
          <cell r="F215">
            <v>168230.14228903799</v>
          </cell>
          <cell r="G215">
            <v>7.0109725816626653E-2</v>
          </cell>
          <cell r="I215" t="str">
            <v>VA</v>
          </cell>
          <cell r="J215" t="str">
            <v>Med</v>
          </cell>
          <cell r="K215">
            <v>76752</v>
          </cell>
        </row>
        <row r="216">
          <cell r="C216">
            <v>4086873.5507650701</v>
          </cell>
          <cell r="D216">
            <v>0.670082941571849</v>
          </cell>
          <cell r="E216">
            <v>128099</v>
          </cell>
          <cell r="F216">
            <v>85836.954732412298</v>
          </cell>
          <cell r="G216">
            <v>2.1003085528874137E-2</v>
          </cell>
          <cell r="I216" t="str">
            <v>VA</v>
          </cell>
          <cell r="J216" t="str">
            <v>High</v>
          </cell>
          <cell r="K216">
            <v>176011.66666666666</v>
          </cell>
        </row>
        <row r="217">
          <cell r="C217">
            <v>2891666.11776372</v>
          </cell>
          <cell r="D217">
            <v>0.73814038090255996</v>
          </cell>
          <cell r="E217">
            <v>257362</v>
          </cell>
          <cell r="F217">
            <v>189969.284709845</v>
          </cell>
          <cell r="G217">
            <v>6.5695442341302673E-2</v>
          </cell>
          <cell r="I217" t="str">
            <v>VA</v>
          </cell>
          <cell r="J217" t="str">
            <v>High</v>
          </cell>
          <cell r="K217">
            <v>101048.66666666667</v>
          </cell>
        </row>
        <row r="218">
          <cell r="C218">
            <v>2279025.56900664</v>
          </cell>
          <cell r="D218">
            <v>0.69679932177829995</v>
          </cell>
          <cell r="E218">
            <v>273178</v>
          </cell>
          <cell r="F218">
            <v>190350.24512475199</v>
          </cell>
          <cell r="G218">
            <v>8.3522645692702804E-2</v>
          </cell>
          <cell r="I218" t="str">
            <v>VA</v>
          </cell>
          <cell r="J218" t="str">
            <v>Med</v>
          </cell>
          <cell r="K218">
            <v>66000</v>
          </cell>
        </row>
        <row r="219">
          <cell r="C219">
            <v>2334270.0534827099</v>
          </cell>
          <cell r="D219">
            <v>0.68163784785479997</v>
          </cell>
          <cell r="E219">
            <v>287778</v>
          </cell>
          <cell r="F219">
            <v>196160.376579959</v>
          </cell>
          <cell r="G219">
            <v>8.4034996845069182E-2</v>
          </cell>
          <cell r="I219" t="str">
            <v>VA</v>
          </cell>
          <cell r="J219" t="str">
            <v>Med</v>
          </cell>
          <cell r="K219">
            <v>70332.333333333328</v>
          </cell>
        </row>
        <row r="220">
          <cell r="C220">
            <v>2523068.7301747301</v>
          </cell>
          <cell r="D220">
            <v>0.71426100026773798</v>
          </cell>
          <cell r="E220">
            <v>243962</v>
          </cell>
          <cell r="F220">
            <v>174252.54214731799</v>
          </cell>
          <cell r="G220">
            <v>6.9063731821229643E-2</v>
          </cell>
          <cell r="I220" t="str">
            <v>VA</v>
          </cell>
          <cell r="J220" t="str">
            <v>Med</v>
          </cell>
          <cell r="K220">
            <v>86125.666666666672</v>
          </cell>
        </row>
        <row r="221">
          <cell r="C221">
            <v>2617407.98752379</v>
          </cell>
          <cell r="D221">
            <v>0.69541446150517605</v>
          </cell>
          <cell r="E221">
            <v>247415</v>
          </cell>
          <cell r="F221">
            <v>172055.96899330299</v>
          </cell>
          <cell r="G221">
            <v>6.5735250222139524E-2</v>
          </cell>
          <cell r="I221" t="str">
            <v>VA</v>
          </cell>
          <cell r="J221" t="str">
            <v>Med</v>
          </cell>
          <cell r="K221">
            <v>66868.333333333328</v>
          </cell>
        </row>
        <row r="222">
          <cell r="C222">
            <v>2737645.7788176299</v>
          </cell>
          <cell r="D222">
            <v>0.72463033811959399</v>
          </cell>
          <cell r="E222">
            <v>280832</v>
          </cell>
          <cell r="F222">
            <v>203499.387114802</v>
          </cell>
          <cell r="G222">
            <v>7.433371719941502E-2</v>
          </cell>
          <cell r="I222" t="str">
            <v>VA</v>
          </cell>
          <cell r="J222" t="str">
            <v>Med</v>
          </cell>
          <cell r="K222">
            <v>82692.666666666672</v>
          </cell>
        </row>
        <row r="223">
          <cell r="C223">
            <v>2482666.4457408702</v>
          </cell>
          <cell r="D223">
            <v>0.68109097501431404</v>
          </cell>
          <cell r="E223">
            <v>289911</v>
          </cell>
          <cell r="F223">
            <v>197455.76565737501</v>
          </cell>
          <cell r="G223">
            <v>7.9533747272461652E-2</v>
          </cell>
          <cell r="I223" t="str">
            <v>VA</v>
          </cell>
          <cell r="J223" t="str">
            <v>Med</v>
          </cell>
          <cell r="K223">
            <v>75777.666666666672</v>
          </cell>
        </row>
        <row r="224">
          <cell r="C224">
            <v>3157170.7074136902</v>
          </cell>
          <cell r="D224">
            <v>0.75030077694353003</v>
          </cell>
          <cell r="E224">
            <v>218113</v>
          </cell>
          <cell r="F224">
            <v>163650.35336148401</v>
          </cell>
          <cell r="G224">
            <v>5.1834496303034584E-2</v>
          </cell>
          <cell r="I224" t="str">
            <v>VA</v>
          </cell>
          <cell r="J224" t="str">
            <v>High</v>
          </cell>
          <cell r="K224">
            <v>123264</v>
          </cell>
        </row>
        <row r="225">
          <cell r="C225">
            <v>3263849.8292561402</v>
          </cell>
          <cell r="D225">
            <v>0.70763398735390903</v>
          </cell>
          <cell r="E225">
            <v>219830</v>
          </cell>
          <cell r="F225">
            <v>155559.17944000999</v>
          </cell>
          <cell r="G225">
            <v>4.7661255136687244E-2</v>
          </cell>
          <cell r="I225" t="str">
            <v>VA</v>
          </cell>
          <cell r="J225" t="str">
            <v>High</v>
          </cell>
          <cell r="K225">
            <v>130123</v>
          </cell>
        </row>
        <row r="226">
          <cell r="C226">
            <v>2257882.0652862</v>
          </cell>
          <cell r="D226">
            <v>0.71892010314489696</v>
          </cell>
          <cell r="E226">
            <v>243410</v>
          </cell>
          <cell r="F226">
            <v>174992.34230649899</v>
          </cell>
          <cell r="G226">
            <v>7.7502870941276406E-2</v>
          </cell>
          <cell r="I226" t="str">
            <v>VA</v>
          </cell>
          <cell r="J226" t="str">
            <v>Med</v>
          </cell>
          <cell r="K226">
            <v>64149.333333333336</v>
          </cell>
        </row>
        <row r="227">
          <cell r="C227">
            <v>2143951.2980702599</v>
          </cell>
          <cell r="D227">
            <v>0.75805490978048995</v>
          </cell>
          <cell r="E227">
            <v>248474</v>
          </cell>
          <cell r="F227">
            <v>188356.93565279699</v>
          </cell>
          <cell r="G227">
            <v>8.7855044012582928E-2</v>
          </cell>
          <cell r="I227" t="str">
            <v>VA</v>
          </cell>
          <cell r="J227" t="str">
            <v>Med</v>
          </cell>
          <cell r="K227">
            <v>57821.333333333336</v>
          </cell>
        </row>
        <row r="228">
          <cell r="C228">
            <v>1912217.7298182601</v>
          </cell>
          <cell r="D228">
            <v>0.67008716901801002</v>
          </cell>
          <cell r="E228">
            <v>286643</v>
          </cell>
          <cell r="F228">
            <v>192075.79638882901</v>
          </cell>
          <cell r="G228">
            <v>0.10044661410344949</v>
          </cell>
          <cell r="I228" t="str">
            <v>VA</v>
          </cell>
          <cell r="J228" t="str">
            <v>Med</v>
          </cell>
          <cell r="K228">
            <v>47096</v>
          </cell>
        </row>
        <row r="229">
          <cell r="C229">
            <v>3040788.2744846102</v>
          </cell>
          <cell r="D229">
            <v>0.74994913350002601</v>
          </cell>
          <cell r="E229">
            <v>233284</v>
          </cell>
          <cell r="F229">
            <v>174951.13365942001</v>
          </cell>
          <cell r="G229">
            <v>5.7534796199867899E-2</v>
          </cell>
          <cell r="I229" t="str">
            <v>VA</v>
          </cell>
          <cell r="J229" t="str">
            <v>High</v>
          </cell>
          <cell r="K229">
            <v>111399</v>
          </cell>
        </row>
        <row r="230">
          <cell r="C230">
            <v>3316682.7073932802</v>
          </cell>
          <cell r="D230">
            <v>0.74925953105326304</v>
          </cell>
          <cell r="E230">
            <v>220547</v>
          </cell>
          <cell r="F230">
            <v>165246.94179520401</v>
          </cell>
          <cell r="G230">
            <v>4.982295756746611E-2</v>
          </cell>
          <cell r="I230" t="str">
            <v>VA</v>
          </cell>
          <cell r="J230" t="str">
            <v>High</v>
          </cell>
          <cell r="K230">
            <v>126832.33333333333</v>
          </cell>
        </row>
        <row r="231">
          <cell r="C231">
            <v>1603185.9052031999</v>
          </cell>
          <cell r="D231">
            <v>0.73075080641984602</v>
          </cell>
          <cell r="E231">
            <v>202171</v>
          </cell>
          <cell r="F231">
            <v>147736.62128470701</v>
          </cell>
          <cell r="G231">
            <v>9.2151896299251551E-2</v>
          </cell>
          <cell r="I231" t="str">
            <v>VA</v>
          </cell>
          <cell r="J231" t="str">
            <v>Low</v>
          </cell>
          <cell r="K231">
            <v>25878</v>
          </cell>
        </row>
        <row r="232">
          <cell r="C232">
            <v>2435526.0785855898</v>
          </cell>
          <cell r="D232">
            <v>0.678632351284018</v>
          </cell>
          <cell r="E232">
            <v>252903</v>
          </cell>
          <cell r="F232">
            <v>171628.157536782</v>
          </cell>
          <cell r="G232">
            <v>7.0468618277515438E-2</v>
          </cell>
          <cell r="I232" t="str">
            <v>VA</v>
          </cell>
          <cell r="J232" t="str">
            <v>Med</v>
          </cell>
          <cell r="K232">
            <v>78901.666666666672</v>
          </cell>
        </row>
        <row r="233">
          <cell r="C233">
            <v>2301597.34670051</v>
          </cell>
          <cell r="D233">
            <v>0.69986065714422596</v>
          </cell>
          <cell r="E233">
            <v>229065</v>
          </cell>
          <cell r="F233">
            <v>160313.58142874201</v>
          </cell>
          <cell r="G233">
            <v>6.9653183107185102E-2</v>
          </cell>
          <cell r="I233" t="str">
            <v>VA</v>
          </cell>
          <cell r="J233" t="str">
            <v>Med</v>
          </cell>
          <cell r="K233">
            <v>72992</v>
          </cell>
        </row>
        <row r="234">
          <cell r="C234">
            <v>3030108.9612180898</v>
          </cell>
          <cell r="D234">
            <v>0.74189062445971599</v>
          </cell>
          <cell r="E234">
            <v>192797</v>
          </cell>
          <cell r="F234">
            <v>143034.28672395999</v>
          </cell>
          <cell r="G234">
            <v>4.7204337716773348E-2</v>
          </cell>
          <cell r="I234" t="str">
            <v>VA</v>
          </cell>
          <cell r="J234" t="str">
            <v>High</v>
          </cell>
          <cell r="K234">
            <v>119878</v>
          </cell>
        </row>
        <row r="235">
          <cell r="C235">
            <v>2019802.66188377</v>
          </cell>
          <cell r="D235">
            <v>0.696267661383138</v>
          </cell>
          <cell r="E235">
            <v>241683</v>
          </cell>
          <cell r="F235">
            <v>168276.057206061</v>
          </cell>
          <cell r="G235">
            <v>8.3313117851383678E-2</v>
          </cell>
          <cell r="I235" t="str">
            <v>VA</v>
          </cell>
          <cell r="J235" t="str">
            <v>Med</v>
          </cell>
          <cell r="K235">
            <v>55273.333333333336</v>
          </cell>
        </row>
        <row r="236">
          <cell r="C236">
            <v>2805308.5161434198</v>
          </cell>
          <cell r="D236">
            <v>0.73390340976380197</v>
          </cell>
          <cell r="E236">
            <v>198575</v>
          </cell>
          <cell r="F236">
            <v>145734.86959384699</v>
          </cell>
          <cell r="G236">
            <v>5.1949676392169186E-2</v>
          </cell>
          <cell r="I236" t="str">
            <v>VA</v>
          </cell>
          <cell r="J236" t="str">
            <v>High</v>
          </cell>
          <cell r="K236">
            <v>108975.66666666667</v>
          </cell>
        </row>
        <row r="237">
          <cell r="C237">
            <v>2228302.1594434101</v>
          </cell>
          <cell r="D237">
            <v>0.74812753234098595</v>
          </cell>
          <cell r="E237">
            <v>204873</v>
          </cell>
          <cell r="F237">
            <v>153271.13193329499</v>
          </cell>
          <cell r="G237">
            <v>6.8783818784961981E-2</v>
          </cell>
          <cell r="I237" t="str">
            <v>VA</v>
          </cell>
          <cell r="J237" t="str">
            <v>Med</v>
          </cell>
          <cell r="K237">
            <v>70133</v>
          </cell>
        </row>
        <row r="238">
          <cell r="C238">
            <v>2350994.79117902</v>
          </cell>
          <cell r="D238">
            <v>0.72870067397556104</v>
          </cell>
          <cell r="E238">
            <v>212507</v>
          </cell>
          <cell r="F238">
            <v>154853.99412452499</v>
          </cell>
          <cell r="G238">
            <v>6.5867433949892321E-2</v>
          </cell>
          <cell r="I238" t="str">
            <v>VA</v>
          </cell>
          <cell r="J238" t="str">
            <v>Med</v>
          </cell>
          <cell r="K238">
            <v>73769</v>
          </cell>
        </row>
        <row r="239">
          <cell r="C239">
            <v>2871065.1871912698</v>
          </cell>
          <cell r="D239">
            <v>0.65607282750419804</v>
          </cell>
          <cell r="E239">
            <v>207763</v>
          </cell>
          <cell r="F239">
            <v>136307.65886075501</v>
          </cell>
          <cell r="G239">
            <v>4.747633716882034E-2</v>
          </cell>
          <cell r="I239" t="str">
            <v>VA</v>
          </cell>
          <cell r="J239" t="str">
            <v>High</v>
          </cell>
          <cell r="K239">
            <v>117573.33333333333</v>
          </cell>
        </row>
        <row r="240">
          <cell r="C240">
            <v>1815487.35761172</v>
          </cell>
          <cell r="D240">
            <v>0.70496495765746203</v>
          </cell>
          <cell r="E240">
            <v>208682</v>
          </cell>
          <cell r="F240">
            <v>147113.497293875</v>
          </cell>
          <cell r="G240">
            <v>8.1032509908195299E-2</v>
          </cell>
          <cell r="I240" t="str">
            <v>VA</v>
          </cell>
          <cell r="J240" t="str">
            <v>Med</v>
          </cell>
          <cell r="K240">
            <v>43634.333333333336</v>
          </cell>
        </row>
        <row r="241">
          <cell r="C241">
            <v>2203809.0726996101</v>
          </cell>
          <cell r="D241">
            <v>0.73412920716410401</v>
          </cell>
          <cell r="E241">
            <v>225646</v>
          </cell>
          <cell r="F241">
            <v>165653.31907975199</v>
          </cell>
          <cell r="G241">
            <v>7.5166819635981846E-2</v>
          </cell>
          <cell r="I241" t="str">
            <v>VA</v>
          </cell>
          <cell r="J241" t="str">
            <v>Med</v>
          </cell>
          <cell r="K241">
            <v>68834</v>
          </cell>
        </row>
        <row r="242">
          <cell r="C242">
            <v>2560974.1329834601</v>
          </cell>
          <cell r="D242">
            <v>0.67706278026477895</v>
          </cell>
          <cell r="E242">
            <v>251013</v>
          </cell>
          <cell r="F242">
            <v>169951.55966260299</v>
          </cell>
          <cell r="G242">
            <v>6.636207584986982E-2</v>
          </cell>
          <cell r="I242" t="str">
            <v>VA</v>
          </cell>
          <cell r="J242" t="str">
            <v>Med</v>
          </cell>
          <cell r="K242">
            <v>90147.333333333328</v>
          </cell>
        </row>
        <row r="243">
          <cell r="C243">
            <v>2366787.5268030399</v>
          </cell>
          <cell r="D243">
            <v>0.71513485146168299</v>
          </cell>
          <cell r="E243">
            <v>213512</v>
          </cell>
          <cell r="F243">
            <v>152689.87240528699</v>
          </cell>
          <cell r="G243">
            <v>6.4513552938794738E-2</v>
          </cell>
          <cell r="I243" t="str">
            <v>VA</v>
          </cell>
          <cell r="J243" t="str">
            <v>Med</v>
          </cell>
          <cell r="K243">
            <v>75389.666666666672</v>
          </cell>
        </row>
        <row r="244">
          <cell r="C244">
            <v>2551668.8399964902</v>
          </cell>
          <cell r="D244">
            <v>0.70767628601326604</v>
          </cell>
          <cell r="E244">
            <v>228605</v>
          </cell>
          <cell r="F244">
            <v>161778.33736406299</v>
          </cell>
          <cell r="G244">
            <v>6.3400992647731483E-2</v>
          </cell>
          <cell r="I244" t="str">
            <v>VA</v>
          </cell>
          <cell r="J244" t="str">
            <v>Med</v>
          </cell>
          <cell r="K244">
            <v>90636.666666666672</v>
          </cell>
        </row>
        <row r="245">
          <cell r="C245">
            <v>2688312.2381454501</v>
          </cell>
          <cell r="D245">
            <v>0.65150084218950699</v>
          </cell>
          <cell r="E245">
            <v>210189</v>
          </cell>
          <cell r="F245">
            <v>136938.31051897001</v>
          </cell>
          <cell r="G245">
            <v>5.0938394943824607E-2</v>
          </cell>
          <cell r="I245" t="str">
            <v>VA</v>
          </cell>
          <cell r="J245" t="str">
            <v>High</v>
          </cell>
          <cell r="K245">
            <v>104337.66666666667</v>
          </cell>
        </row>
        <row r="246">
          <cell r="C246">
            <v>2267123.0318567101</v>
          </cell>
          <cell r="D246">
            <v>0.77279624540518299</v>
          </cell>
          <cell r="E246">
            <v>220221</v>
          </cell>
          <cell r="F246">
            <v>170185.96195937501</v>
          </cell>
          <cell r="G246">
            <v>7.5066928246941014E-2</v>
          </cell>
          <cell r="I246" t="str">
            <v>VA</v>
          </cell>
          <cell r="J246" t="str">
            <v>Med</v>
          </cell>
          <cell r="K246">
            <v>74166.666666666672</v>
          </cell>
        </row>
        <row r="247">
          <cell r="C247">
            <v>2253239.0356281102</v>
          </cell>
          <cell r="D247">
            <v>0.72452206180387202</v>
          </cell>
          <cell r="E247">
            <v>242182</v>
          </cell>
          <cell r="F247">
            <v>175466.20197178499</v>
          </cell>
          <cell r="G247">
            <v>7.7872875091067398E-2</v>
          </cell>
          <cell r="I247" t="str">
            <v>VA</v>
          </cell>
          <cell r="J247" t="str">
            <v>Med</v>
          </cell>
          <cell r="K247">
            <v>46839.666666666664</v>
          </cell>
        </row>
        <row r="248">
          <cell r="C248">
            <v>2295590.5392946</v>
          </cell>
          <cell r="D248">
            <v>0.72435113278753405</v>
          </cell>
          <cell r="E248">
            <v>212766</v>
          </cell>
          <cell r="F248">
            <v>154117.29311867201</v>
          </cell>
          <cell r="G248">
            <v>6.7136229427931821E-2</v>
          </cell>
          <cell r="I248" t="str">
            <v>VA</v>
          </cell>
          <cell r="J248" t="str">
            <v>Med</v>
          </cell>
          <cell r="K248">
            <v>76752</v>
          </cell>
        </row>
        <row r="249">
          <cell r="C249">
            <v>3893975.1582985902</v>
          </cell>
          <cell r="D249">
            <v>0.68565077134681296</v>
          </cell>
          <cell r="E249">
            <v>111778</v>
          </cell>
          <cell r="F249">
            <v>76640.671919604007</v>
          </cell>
          <cell r="G249">
            <v>1.9681859489080796E-2</v>
          </cell>
          <cell r="I249" t="str">
            <v>VA</v>
          </cell>
          <cell r="J249" t="str">
            <v>High</v>
          </cell>
          <cell r="K249">
            <v>176011.66666666666</v>
          </cell>
        </row>
        <row r="250">
          <cell r="C250">
            <v>2705138.0941010001</v>
          </cell>
          <cell r="D250">
            <v>0.75581442119139297</v>
          </cell>
          <cell r="E250">
            <v>217010</v>
          </cell>
          <cell r="F250">
            <v>164019.28754274399</v>
          </cell>
          <cell r="G250">
            <v>6.0632500758617501E-2</v>
          </cell>
          <cell r="I250" t="str">
            <v>VA</v>
          </cell>
          <cell r="J250" t="str">
            <v>High</v>
          </cell>
          <cell r="K250">
            <v>101048.66666666667</v>
          </cell>
        </row>
        <row r="251">
          <cell r="C251">
            <v>2163130.68215578</v>
          </cell>
          <cell r="D251">
            <v>0.68691449009041505</v>
          </cell>
          <cell r="E251">
            <v>249588</v>
          </cell>
          <cell r="F251">
            <v>171445.613752687</v>
          </cell>
          <cell r="G251">
            <v>7.9258093450842268E-2</v>
          </cell>
          <cell r="I251" t="str">
            <v>VA</v>
          </cell>
          <cell r="J251" t="str">
            <v>Med</v>
          </cell>
          <cell r="K251">
            <v>66000</v>
          </cell>
        </row>
        <row r="252">
          <cell r="C252">
            <v>2282291.5447840202</v>
          </cell>
          <cell r="D252">
            <v>0.70131564115368605</v>
          </cell>
          <cell r="E252">
            <v>245822</v>
          </cell>
          <cell r="F252">
            <v>172398.813539681</v>
          </cell>
          <cell r="G252">
            <v>7.5537594631011784E-2</v>
          </cell>
          <cell r="I252" t="str">
            <v>VA</v>
          </cell>
          <cell r="J252" t="str">
            <v>Med</v>
          </cell>
          <cell r="K252">
            <v>70332.333333333328</v>
          </cell>
        </row>
        <row r="253">
          <cell r="C253">
            <v>2425861.3230495001</v>
          </cell>
          <cell r="D253">
            <v>0.71455289433164504</v>
          </cell>
          <cell r="E253">
            <v>213159</v>
          </cell>
          <cell r="F253">
            <v>152313.38040283899</v>
          </cell>
          <cell r="G253">
            <v>6.2787340296669963E-2</v>
          </cell>
          <cell r="I253" t="str">
            <v>VA</v>
          </cell>
          <cell r="J253" t="str">
            <v>Med</v>
          </cell>
          <cell r="K253">
            <v>86125.666666666672</v>
          </cell>
        </row>
        <row r="254">
          <cell r="C254">
            <v>2532792.25091166</v>
          </cell>
          <cell r="D254">
            <v>0.67585439331328701</v>
          </cell>
          <cell r="E254">
            <v>221376</v>
          </cell>
          <cell r="F254">
            <v>149617.942174122</v>
          </cell>
          <cell r="G254">
            <v>5.9072330989747825E-2</v>
          </cell>
          <cell r="I254" t="str">
            <v>VA</v>
          </cell>
          <cell r="J254" t="str">
            <v>Med</v>
          </cell>
          <cell r="K254">
            <v>66868.333333333328</v>
          </cell>
        </row>
        <row r="255">
          <cell r="C255">
            <v>2556841.4255789998</v>
          </cell>
          <cell r="D255">
            <v>0.71855988264120196</v>
          </cell>
          <cell r="E255">
            <v>246090</v>
          </cell>
          <cell r="F255">
            <v>176830.401519173</v>
          </cell>
          <cell r="G255">
            <v>6.9159706092891363E-2</v>
          </cell>
          <cell r="I255" t="str">
            <v>VA</v>
          </cell>
          <cell r="J255" t="str">
            <v>Med</v>
          </cell>
          <cell r="K255">
            <v>82692.666666666672</v>
          </cell>
        </row>
        <row r="256">
          <cell r="C256">
            <v>2360139.6385421199</v>
          </cell>
          <cell r="D256">
            <v>0.73490197036830296</v>
          </cell>
          <cell r="E256">
            <v>231699</v>
          </cell>
          <cell r="F256">
            <v>170276.051632366</v>
          </cell>
          <cell r="G256">
            <v>7.2146600502649538E-2</v>
          </cell>
          <cell r="I256" t="str">
            <v>VA</v>
          </cell>
          <cell r="J256" t="str">
            <v>Med</v>
          </cell>
          <cell r="K256">
            <v>75777.666666666672</v>
          </cell>
        </row>
        <row r="257">
          <cell r="C257">
            <v>2971093.1534675299</v>
          </cell>
          <cell r="D257">
            <v>0.74388276351473603</v>
          </cell>
          <cell r="E257">
            <v>187358</v>
          </cell>
          <cell r="F257">
            <v>139372.386806594</v>
          </cell>
          <cell r="G257">
            <v>4.6909463826111962E-2</v>
          </cell>
          <cell r="I257" t="str">
            <v>VA</v>
          </cell>
          <cell r="J257" t="str">
            <v>High</v>
          </cell>
          <cell r="K257">
            <v>123264</v>
          </cell>
        </row>
        <row r="258">
          <cell r="C258">
            <v>3174431.37264517</v>
          </cell>
          <cell r="D258">
            <v>0.69467591574283105</v>
          </cell>
          <cell r="E258">
            <v>197979</v>
          </cell>
          <cell r="F258">
            <v>137531.24312284999</v>
          </cell>
          <cell r="G258">
            <v>4.3324686212462937E-2</v>
          </cell>
          <cell r="I258" t="str">
            <v>VA</v>
          </cell>
          <cell r="J258" t="str">
            <v>High</v>
          </cell>
          <cell r="K258">
            <v>130123</v>
          </cell>
        </row>
        <row r="259">
          <cell r="C259">
            <v>2162087.3514138502</v>
          </cell>
          <cell r="D259">
            <v>0.71625854034861902</v>
          </cell>
          <cell r="E259">
            <v>214351</v>
          </cell>
          <cell r="F259">
            <v>153530.73438226699</v>
          </cell>
          <cell r="G259">
            <v>7.1010421610333593E-2</v>
          </cell>
          <cell r="I259" t="str">
            <v>VA</v>
          </cell>
          <cell r="J259" t="str">
            <v>Med</v>
          </cell>
          <cell r="K259">
            <v>64149.333333333336</v>
          </cell>
        </row>
        <row r="260">
          <cell r="C260">
            <v>2086500.16204489</v>
          </cell>
          <cell r="D260">
            <v>0.73899510408436297</v>
          </cell>
          <cell r="E260">
            <v>235364</v>
          </cell>
          <cell r="F260">
            <v>173932.84367771199</v>
          </cell>
          <cell r="G260">
            <v>8.3361049685827873E-2</v>
          </cell>
          <cell r="I260" t="str">
            <v>VA</v>
          </cell>
          <cell r="J260" t="str">
            <v>Med</v>
          </cell>
          <cell r="K260">
            <v>57821.333333333336</v>
          </cell>
        </row>
        <row r="261">
          <cell r="C261">
            <v>1868304.42378906</v>
          </cell>
          <cell r="D261">
            <v>0.645637190866023</v>
          </cell>
          <cell r="E261">
            <v>275631</v>
          </cell>
          <cell r="F261">
            <v>177957.62455559301</v>
          </cell>
          <cell r="G261">
            <v>9.5250871479863941E-2</v>
          </cell>
          <cell r="I261" t="str">
            <v>VA</v>
          </cell>
          <cell r="J261" t="str">
            <v>Med</v>
          </cell>
          <cell r="K261">
            <v>47096</v>
          </cell>
        </row>
        <row r="262">
          <cell r="C262">
            <v>2878627.83913641</v>
          </cell>
          <cell r="D262">
            <v>0.74073821688822195</v>
          </cell>
          <cell r="E262">
            <v>203084</v>
          </cell>
          <cell r="F262">
            <v>150432.08003852799</v>
          </cell>
          <cell r="G262">
            <v>5.2258259297477544E-2</v>
          </cell>
          <cell r="I262" t="str">
            <v>VA</v>
          </cell>
          <cell r="J262" t="str">
            <v>High</v>
          </cell>
          <cell r="K262">
            <v>111399</v>
          </cell>
        </row>
        <row r="263">
          <cell r="C263">
            <v>3196693.1492790701</v>
          </cell>
          <cell r="D263">
            <v>0.73550042973591001</v>
          </cell>
          <cell r="E263">
            <v>195236</v>
          </cell>
          <cell r="F263">
            <v>143596.16189992</v>
          </cell>
          <cell r="G263">
            <v>4.4920220738829543E-2</v>
          </cell>
          <cell r="I263" t="str">
            <v>VA</v>
          </cell>
          <cell r="J263" t="str">
            <v>High</v>
          </cell>
          <cell r="K263">
            <v>126832.33333333333</v>
          </cell>
        </row>
        <row r="264">
          <cell r="C264">
            <v>1540260.4575066599</v>
          </cell>
          <cell r="D264">
            <v>0.71360837344934103</v>
          </cell>
          <cell r="E264">
            <v>190502</v>
          </cell>
          <cell r="F264">
            <v>135943.822358846</v>
          </cell>
          <cell r="G264">
            <v>8.826028201678883E-2</v>
          </cell>
          <cell r="I264" t="str">
            <v>VA</v>
          </cell>
          <cell r="J264" t="str">
            <v>Low</v>
          </cell>
          <cell r="K264">
            <v>25878</v>
          </cell>
        </row>
        <row r="265">
          <cell r="C265">
            <v>2292327.3580296799</v>
          </cell>
          <cell r="D265">
            <v>0.69110740078084898</v>
          </cell>
          <cell r="E265">
            <v>214681</v>
          </cell>
          <cell r="F265">
            <v>148367.62790703299</v>
          </cell>
          <cell r="G265">
            <v>6.4723577715601305E-2</v>
          </cell>
          <cell r="I265" t="str">
            <v>VA</v>
          </cell>
          <cell r="J265" t="str">
            <v>Med</v>
          </cell>
          <cell r="K265">
            <v>78901.666666666672</v>
          </cell>
        </row>
        <row r="266">
          <cell r="C266">
            <v>2291536.8814269202</v>
          </cell>
          <cell r="D266">
            <v>0.71712570337349102</v>
          </cell>
          <cell r="E266">
            <v>212133</v>
          </cell>
          <cell r="F266">
            <v>152126.026833729</v>
          </cell>
          <cell r="G266">
            <v>6.6386025931645248E-2</v>
          </cell>
          <cell r="I266" t="str">
            <v>VA</v>
          </cell>
          <cell r="J266" t="str">
            <v>Med</v>
          </cell>
          <cell r="K266">
            <v>72992</v>
          </cell>
        </row>
        <row r="267">
          <cell r="C267">
            <v>3034079.7419119999</v>
          </cell>
          <cell r="D267">
            <v>0.71072955629776102</v>
          </cell>
          <cell r="E267">
            <v>186116</v>
          </cell>
          <cell r="F267">
            <v>132278.142099914</v>
          </cell>
          <cell r="G267">
            <v>4.3597450743517924E-2</v>
          </cell>
          <cell r="I267" t="str">
            <v>VA</v>
          </cell>
          <cell r="J267" t="str">
            <v>High</v>
          </cell>
          <cell r="K267">
            <v>119878</v>
          </cell>
        </row>
        <row r="268">
          <cell r="C268">
            <v>1986349.5581421501</v>
          </cell>
          <cell r="D268">
            <v>0.69915038452881395</v>
          </cell>
          <cell r="E268">
            <v>227440</v>
          </cell>
          <cell r="F268">
            <v>159014.76345723399</v>
          </cell>
          <cell r="G268">
            <v>8.0053766370286744E-2</v>
          </cell>
          <cell r="I268" t="str">
            <v>VA</v>
          </cell>
          <cell r="J268" t="str">
            <v>Med</v>
          </cell>
          <cell r="K268">
            <v>55273.333333333336</v>
          </cell>
        </row>
        <row r="269">
          <cell r="C269">
            <v>2829185.9729461898</v>
          </cell>
          <cell r="D269">
            <v>0.71535858829226895</v>
          </cell>
          <cell r="E269">
            <v>199923</v>
          </cell>
          <cell r="F269">
            <v>143016.635047155</v>
          </cell>
          <cell r="G269">
            <v>5.055045388134162E-2</v>
          </cell>
          <cell r="I269" t="str">
            <v>VA</v>
          </cell>
          <cell r="J269" t="str">
            <v>High</v>
          </cell>
          <cell r="K269">
            <v>108975.66666666667</v>
          </cell>
        </row>
        <row r="270">
          <cell r="C270">
            <v>2223770.0836042198</v>
          </cell>
          <cell r="D270">
            <v>0.72606071399321803</v>
          </cell>
          <cell r="E270">
            <v>201743</v>
          </cell>
          <cell r="F270">
            <v>146477.66662313399</v>
          </cell>
          <cell r="G270">
            <v>6.586906969524807E-2</v>
          </cell>
          <cell r="I270" t="str">
            <v>VA</v>
          </cell>
          <cell r="J270" t="str">
            <v>Med</v>
          </cell>
          <cell r="K270">
            <v>70133</v>
          </cell>
        </row>
        <row r="271">
          <cell r="C271">
            <v>2336864.3666957398</v>
          </cell>
          <cell r="D271">
            <v>0.71484750359683402</v>
          </cell>
          <cell r="E271">
            <v>207630</v>
          </cell>
          <cell r="F271">
            <v>148423.78717181101</v>
          </cell>
          <cell r="G271">
            <v>6.3514078646198041E-2</v>
          </cell>
          <cell r="I271" t="str">
            <v>VA</v>
          </cell>
          <cell r="J271" t="str">
            <v>Med</v>
          </cell>
          <cell r="K271">
            <v>73769</v>
          </cell>
        </row>
        <row r="272">
          <cell r="C272">
            <v>2891853.2061040201</v>
          </cell>
          <cell r="D272">
            <v>0.70262301138529404</v>
          </cell>
          <cell r="E272">
            <v>193170</v>
          </cell>
          <cell r="F272">
            <v>135725.687109297</v>
          </cell>
          <cell r="G272">
            <v>4.6933809372762106E-2</v>
          </cell>
          <cell r="I272" t="str">
            <v>VA</v>
          </cell>
          <cell r="J272" t="str">
            <v>High</v>
          </cell>
          <cell r="K272">
            <v>117573.33333333333</v>
          </cell>
        </row>
        <row r="273">
          <cell r="C273">
            <v>1827930.2351388601</v>
          </cell>
          <cell r="D273">
            <v>0.69753976488797398</v>
          </cell>
          <cell r="E273">
            <v>201522</v>
          </cell>
          <cell r="F273">
            <v>140569.60849975399</v>
          </cell>
          <cell r="G273">
            <v>7.6900970177932154E-2</v>
          </cell>
          <cell r="I273" t="str">
            <v>VA</v>
          </cell>
          <cell r="J273" t="str">
            <v>Med</v>
          </cell>
          <cell r="K273">
            <v>43634.333333333336</v>
          </cell>
        </row>
        <row r="274">
          <cell r="C274">
            <v>2185902.98842254</v>
          </cell>
          <cell r="D274">
            <v>0.716286063212213</v>
          </cell>
          <cell r="E274">
            <v>226415</v>
          </cell>
          <cell r="F274">
            <v>162177.90900219299</v>
          </cell>
          <cell r="G274">
            <v>7.4192637944664186E-2</v>
          </cell>
          <cell r="I274" t="str">
            <v>VA</v>
          </cell>
          <cell r="J274" t="str">
            <v>Med</v>
          </cell>
          <cell r="K274">
            <v>68834</v>
          </cell>
        </row>
        <row r="275">
          <cell r="C275">
            <v>2540600.1062934999</v>
          </cell>
          <cell r="D275">
            <v>0.66091285389148802</v>
          </cell>
          <cell r="E275">
            <v>242067</v>
          </cell>
          <cell r="F275">
            <v>159985.19180295101</v>
          </cell>
          <cell r="G275">
            <v>6.2971418212035959E-2</v>
          </cell>
          <cell r="I275" t="str">
            <v>VA</v>
          </cell>
          <cell r="J275" t="str">
            <v>Med</v>
          </cell>
          <cell r="K275">
            <v>90147.333333333328</v>
          </cell>
        </row>
        <row r="276">
          <cell r="C276">
            <v>2336129.77052275</v>
          </cell>
          <cell r="D276">
            <v>0.73720711620777202</v>
          </cell>
          <cell r="E276">
            <v>196808</v>
          </cell>
          <cell r="F276">
            <v>145088.25812661901</v>
          </cell>
          <cell r="G276">
            <v>6.2106249386202961E-2</v>
          </cell>
          <cell r="I276" t="str">
            <v>VA</v>
          </cell>
          <cell r="J276" t="str">
            <v>Med</v>
          </cell>
          <cell r="K276">
            <v>75389.666666666672</v>
          </cell>
        </row>
        <row r="277">
          <cell r="C277">
            <v>2535794.5764796301</v>
          </cell>
          <cell r="D277">
            <v>0.70900154715439201</v>
          </cell>
          <cell r="E277">
            <v>220232</v>
          </cell>
          <cell r="F277">
            <v>156144.828732906</v>
          </cell>
          <cell r="G277">
            <v>6.1576292567703701E-2</v>
          </cell>
          <cell r="I277" t="str">
            <v>VA</v>
          </cell>
          <cell r="J277" t="str">
            <v>Med</v>
          </cell>
          <cell r="K277">
            <v>90636.666666666672</v>
          </cell>
        </row>
        <row r="278">
          <cell r="C278">
            <v>2707958.7785934298</v>
          </cell>
          <cell r="D278">
            <v>0.680924852461393</v>
          </cell>
          <cell r="E278">
            <v>199983</v>
          </cell>
          <cell r="F278">
            <v>136173.394769787</v>
          </cell>
          <cell r="G278">
            <v>5.0286361759361159E-2</v>
          </cell>
          <cell r="I278" t="str">
            <v>VA</v>
          </cell>
          <cell r="J278" t="str">
            <v>High</v>
          </cell>
          <cell r="K278">
            <v>104337.66666666667</v>
          </cell>
        </row>
        <row r="279">
          <cell r="C279">
            <v>2270777.3006843901</v>
          </cell>
          <cell r="D279">
            <v>0.72759212845612098</v>
          </cell>
          <cell r="E279">
            <v>223732</v>
          </cell>
          <cell r="F279">
            <v>162785.64208374501</v>
          </cell>
          <cell r="G279">
            <v>7.1687189243385074E-2</v>
          </cell>
          <cell r="I279" t="str">
            <v>VA</v>
          </cell>
          <cell r="J279" t="str">
            <v>Med</v>
          </cell>
          <cell r="K279">
            <v>74166.666666666672</v>
          </cell>
        </row>
        <row r="280">
          <cell r="C280">
            <v>2223585.6144827399</v>
          </cell>
          <cell r="D280">
            <v>0.692410832306664</v>
          </cell>
          <cell r="E280">
            <v>237459</v>
          </cell>
          <cell r="F280">
            <v>164419.18382870799</v>
          </cell>
          <cell r="G280">
            <v>7.3943266568108235E-2</v>
          </cell>
          <cell r="I280" t="str">
            <v>VA</v>
          </cell>
          <cell r="J280" t="str">
            <v>Med</v>
          </cell>
          <cell r="K280">
            <v>46839.666666666664</v>
          </cell>
        </row>
        <row r="281">
          <cell r="C281">
            <v>2270680.9336067401</v>
          </cell>
          <cell r="D281">
            <v>0.71723613102488504</v>
          </cell>
          <cell r="E281">
            <v>197053</v>
          </cell>
          <cell r="F281">
            <v>141333.53132684701</v>
          </cell>
          <cell r="G281">
            <v>6.224279652639414E-2</v>
          </cell>
          <cell r="I281" t="str">
            <v>VA</v>
          </cell>
          <cell r="J281" t="str">
            <v>Med</v>
          </cell>
          <cell r="K281">
            <v>76752</v>
          </cell>
        </row>
        <row r="282">
          <cell r="C282">
            <v>3924208.5860613198</v>
          </cell>
          <cell r="D282">
            <v>0.6621072616607</v>
          </cell>
          <cell r="E282">
            <v>109790</v>
          </cell>
          <cell r="F282">
            <v>72692.756257728193</v>
          </cell>
          <cell r="G282">
            <v>1.8524182561531221E-2</v>
          </cell>
          <cell r="I282" t="str">
            <v>VA</v>
          </cell>
          <cell r="J282" t="str">
            <v>High</v>
          </cell>
          <cell r="K282">
            <v>176011.66666666666</v>
          </cell>
        </row>
        <row r="283">
          <cell r="C283">
            <v>2715737.8364914199</v>
          </cell>
          <cell r="D283">
            <v>0.72273121691306896</v>
          </cell>
          <cell r="E283">
            <v>219018</v>
          </cell>
          <cell r="F283">
            <v>158291.145665866</v>
          </cell>
          <cell r="G283">
            <v>5.8286607616871162E-2</v>
          </cell>
          <cell r="I283" t="str">
            <v>VA</v>
          </cell>
          <cell r="J283" t="str">
            <v>High</v>
          </cell>
          <cell r="K283">
            <v>101048.66666666667</v>
          </cell>
        </row>
        <row r="284">
          <cell r="C284">
            <v>2137450.5548953</v>
          </cell>
          <cell r="D284">
            <v>0.70475502448220495</v>
          </cell>
          <cell r="E284">
            <v>224745</v>
          </cell>
          <cell r="F284">
            <v>158390.167977253</v>
          </cell>
          <cell r="G284">
            <v>7.4102377533131536E-2</v>
          </cell>
          <cell r="I284" t="str">
            <v>VA</v>
          </cell>
          <cell r="J284" t="str">
            <v>Med</v>
          </cell>
          <cell r="K284">
            <v>66000</v>
          </cell>
        </row>
        <row r="285">
          <cell r="C285">
            <v>2217399.0174687901</v>
          </cell>
          <cell r="D285">
            <v>0.69676413904974899</v>
          </cell>
          <cell r="E285">
            <v>234002</v>
          </cell>
          <cell r="F285">
            <v>163044.202065919</v>
          </cell>
          <cell r="G285">
            <v>7.352948241676302E-2</v>
          </cell>
          <cell r="I285" t="str">
            <v>VA</v>
          </cell>
          <cell r="J285" t="str">
            <v>Med</v>
          </cell>
          <cell r="K285">
            <v>70332.333333333328</v>
          </cell>
        </row>
        <row r="286">
          <cell r="C286">
            <v>2451469.9171551298</v>
          </cell>
          <cell r="D286">
            <v>0.72251370759944</v>
          </cell>
          <cell r="E286">
            <v>202325</v>
          </cell>
          <cell r="F286">
            <v>146182.585890057</v>
          </cell>
          <cell r="G286">
            <v>5.963058525298906E-2</v>
          </cell>
          <cell r="I286" t="str">
            <v>VA</v>
          </cell>
          <cell r="J286" t="str">
            <v>Med</v>
          </cell>
          <cell r="K286">
            <v>86125.666666666672</v>
          </cell>
        </row>
        <row r="287">
          <cell r="C287">
            <v>2490969.3881836399</v>
          </cell>
          <cell r="D287">
            <v>0.658497145257257</v>
          </cell>
          <cell r="E287">
            <v>212635</v>
          </cell>
          <cell r="F287">
            <v>140019.54048177699</v>
          </cell>
          <cell r="G287">
            <v>5.6210863588282055E-2</v>
          </cell>
          <cell r="I287" t="str">
            <v>VA</v>
          </cell>
          <cell r="J287" t="str">
            <v>Med</v>
          </cell>
          <cell r="K287">
            <v>66868.333333333328</v>
          </cell>
        </row>
        <row r="288">
          <cell r="C288">
            <v>2477062.7234239699</v>
          </cell>
          <cell r="D288">
            <v>0.73051761686953598</v>
          </cell>
          <cell r="E288">
            <v>227945</v>
          </cell>
          <cell r="F288">
            <v>166517.83817732599</v>
          </cell>
          <cell r="G288">
            <v>6.722390862478983E-2</v>
          </cell>
          <cell r="I288" t="str">
            <v>VA</v>
          </cell>
          <cell r="J288" t="str">
            <v>Med</v>
          </cell>
          <cell r="K288">
            <v>82692.666666666672</v>
          </cell>
        </row>
        <row r="289">
          <cell r="C289">
            <v>2307982.33587849</v>
          </cell>
          <cell r="D289">
            <v>0.72852449078346704</v>
          </cell>
          <cell r="E289">
            <v>221325</v>
          </cell>
          <cell r="F289">
            <v>161240.682922651</v>
          </cell>
          <cell r="G289">
            <v>6.9862182398929745E-2</v>
          </cell>
          <cell r="I289" t="str">
            <v>VA</v>
          </cell>
          <cell r="J289" t="str">
            <v>Med</v>
          </cell>
          <cell r="K289">
            <v>75777.666666666672</v>
          </cell>
        </row>
        <row r="290">
          <cell r="C290">
            <v>3048565.9315943299</v>
          </cell>
          <cell r="D290">
            <v>0.74920216533180195</v>
          </cell>
          <cell r="E290">
            <v>185454</v>
          </cell>
          <cell r="F290">
            <v>138942.538369444</v>
          </cell>
          <cell r="G290">
            <v>4.5576359995855575E-2</v>
          </cell>
          <cell r="I290" t="str">
            <v>VA</v>
          </cell>
          <cell r="J290" t="str">
            <v>High</v>
          </cell>
          <cell r="K290">
            <v>123264</v>
          </cell>
        </row>
        <row r="291">
          <cell r="C291">
            <v>3119136.6336731198</v>
          </cell>
          <cell r="D291">
            <v>0.69391137109737899</v>
          </cell>
          <cell r="E291">
            <v>189985</v>
          </cell>
          <cell r="F291">
            <v>131832.751837936</v>
          </cell>
          <cell r="G291">
            <v>4.2265782914001016E-2</v>
          </cell>
          <cell r="I291" t="str">
            <v>VA</v>
          </cell>
          <cell r="J291" t="str">
            <v>High</v>
          </cell>
          <cell r="K291">
            <v>130123</v>
          </cell>
        </row>
        <row r="292">
          <cell r="C292">
            <v>2189849.9753861199</v>
          </cell>
          <cell r="D292">
            <v>0.73615086370068605</v>
          </cell>
          <cell r="E292">
            <v>200494</v>
          </cell>
          <cell r="F292">
            <v>147593.83126680501</v>
          </cell>
          <cell r="G292">
            <v>6.7399060632352625E-2</v>
          </cell>
          <cell r="I292" t="str">
            <v>VA</v>
          </cell>
          <cell r="J292" t="str">
            <v>Med</v>
          </cell>
          <cell r="K292">
            <v>64149.333333333336</v>
          </cell>
        </row>
        <row r="293">
          <cell r="C293">
            <v>2071367.89836041</v>
          </cell>
          <cell r="D293">
            <v>0.74009578909709195</v>
          </cell>
          <cell r="E293">
            <v>218894</v>
          </cell>
          <cell r="F293">
            <v>162002.52765861899</v>
          </cell>
          <cell r="G293">
            <v>7.8210407618488242E-2</v>
          </cell>
          <cell r="I293" t="str">
            <v>VA</v>
          </cell>
          <cell r="J293" t="str">
            <v>Med</v>
          </cell>
          <cell r="K293">
            <v>57821.333333333336</v>
          </cell>
        </row>
        <row r="294">
          <cell r="C294">
            <v>1810517.6256476501</v>
          </cell>
          <cell r="D294">
            <v>0.66679021207264</v>
          </cell>
          <cell r="E294">
            <v>242449</v>
          </cell>
          <cell r="F294">
            <v>161662.62012679901</v>
          </cell>
          <cell r="G294">
            <v>8.9290829228447749E-2</v>
          </cell>
          <cell r="I294" t="str">
            <v>VA</v>
          </cell>
          <cell r="J294" t="str">
            <v>Med</v>
          </cell>
          <cell r="K294">
            <v>47096</v>
          </cell>
        </row>
        <row r="295">
          <cell r="C295">
            <v>2848690.44736308</v>
          </cell>
          <cell r="D295">
            <v>0.77380940055331504</v>
          </cell>
          <cell r="E295">
            <v>183413</v>
          </cell>
          <cell r="F295">
            <v>141926.70358368501</v>
          </cell>
          <cell r="G295">
            <v>4.9821736059479871E-2</v>
          </cell>
          <cell r="I295" t="str">
            <v>VA</v>
          </cell>
          <cell r="J295" t="str">
            <v>High</v>
          </cell>
          <cell r="K295">
            <v>111399</v>
          </cell>
        </row>
        <row r="296">
          <cell r="C296">
            <v>3171616.3049275498</v>
          </cell>
          <cell r="D296">
            <v>0.74085825780997905</v>
          </cell>
          <cell r="E296">
            <v>182378</v>
          </cell>
          <cell r="F296">
            <v>135116.24734286801</v>
          </cell>
          <cell r="G296">
            <v>4.2601700316947551E-2</v>
          </cell>
          <cell r="I296" t="str">
            <v>VA</v>
          </cell>
          <cell r="J296" t="str">
            <v>High</v>
          </cell>
          <cell r="K296">
            <v>126832.33333333333</v>
          </cell>
        </row>
        <row r="297">
          <cell r="C297">
            <v>1523257.30485497</v>
          </cell>
          <cell r="D297">
            <v>0.73455658500121401</v>
          </cell>
          <cell r="E297">
            <v>167682</v>
          </cell>
          <cell r="F297">
            <v>123171.91728617399</v>
          </cell>
          <cell r="G297">
            <v>8.0860874189539009E-2</v>
          </cell>
          <cell r="I297" t="str">
            <v>VA</v>
          </cell>
          <cell r="J297" t="str">
            <v>Low</v>
          </cell>
          <cell r="K297">
            <v>25878</v>
          </cell>
        </row>
        <row r="298">
          <cell r="C298">
            <v>2293456.4211670598</v>
          </cell>
          <cell r="D298">
            <v>0.71760285434533999</v>
          </cell>
          <cell r="E298">
            <v>199011</v>
          </cell>
          <cell r="F298">
            <v>142810.86164612099</v>
          </cell>
          <cell r="G298">
            <v>6.2268835949125877E-2</v>
          </cell>
          <cell r="I298" t="str">
            <v>VA</v>
          </cell>
          <cell r="J298" t="str">
            <v>Med</v>
          </cell>
          <cell r="K298">
            <v>78901.666666666672</v>
          </cell>
        </row>
        <row r="299">
          <cell r="C299">
            <v>2803750.49592586</v>
          </cell>
          <cell r="D299">
            <v>0.72732501151027595</v>
          </cell>
          <cell r="E299">
            <v>202011</v>
          </cell>
          <cell r="F299">
            <v>146927.652900202</v>
          </cell>
          <cell r="G299">
            <v>5.2403968581977281E-2</v>
          </cell>
          <cell r="I299" t="str">
            <v>VA</v>
          </cell>
          <cell r="J299" t="str">
            <v>Med</v>
          </cell>
          <cell r="K299">
            <v>72992</v>
          </cell>
        </row>
        <row r="300">
          <cell r="C300">
            <v>3742261.6992945001</v>
          </cell>
          <cell r="D300">
            <v>0.72331328923891303</v>
          </cell>
          <cell r="E300">
            <v>180259</v>
          </cell>
          <cell r="F300">
            <v>130383.730204917</v>
          </cell>
          <cell r="G300">
            <v>3.4840890531385671E-2</v>
          </cell>
          <cell r="I300" t="str">
            <v>VA</v>
          </cell>
          <cell r="J300" t="str">
            <v>High</v>
          </cell>
          <cell r="K300">
            <v>119878</v>
          </cell>
        </row>
        <row r="301">
          <cell r="C301">
            <v>2433664.37482689</v>
          </cell>
          <cell r="D301">
            <v>0.67703503139420995</v>
          </cell>
          <cell r="E301">
            <v>227404</v>
          </cell>
          <cell r="F301">
            <v>153960.47427916899</v>
          </cell>
          <cell r="G301">
            <v>6.3262821230277669E-2</v>
          </cell>
          <cell r="I301" t="str">
            <v>VA</v>
          </cell>
          <cell r="J301" t="str">
            <v>Med</v>
          </cell>
          <cell r="K301">
            <v>55273.333333333336</v>
          </cell>
        </row>
        <row r="302">
          <cell r="C302">
            <v>3397741.6061231899</v>
          </cell>
          <cell r="D302">
            <v>0.69416783957495498</v>
          </cell>
          <cell r="E302">
            <v>190913</v>
          </cell>
          <cell r="F302">
            <v>132525.66475677301</v>
          </cell>
          <cell r="G302">
            <v>3.9004044485885521E-2</v>
          </cell>
          <cell r="I302" t="str">
            <v>VA</v>
          </cell>
          <cell r="J302" t="str">
            <v>High</v>
          </cell>
          <cell r="K302">
            <v>108975.66666666667</v>
          </cell>
        </row>
        <row r="303">
          <cell r="C303">
            <v>2770171.7386998101</v>
          </cell>
          <cell r="D303">
            <v>0.73916219658379001</v>
          </cell>
          <cell r="E303">
            <v>190810</v>
          </cell>
          <cell r="F303">
            <v>141039.538730153</v>
          </cell>
          <cell r="G303">
            <v>5.0913644363562244E-2</v>
          </cell>
          <cell r="I303" t="str">
            <v>VA</v>
          </cell>
          <cell r="J303" t="str">
            <v>Med</v>
          </cell>
          <cell r="K303">
            <v>70133</v>
          </cell>
        </row>
        <row r="304">
          <cell r="C304">
            <v>2854208.7382783098</v>
          </cell>
          <cell r="D304">
            <v>0.71931310555824102</v>
          </cell>
          <cell r="E304">
            <v>197995</v>
          </cell>
          <cell r="F304">
            <v>142420.39833500399</v>
          </cell>
          <cell r="G304">
            <v>4.9898382141774798E-2</v>
          </cell>
          <cell r="I304" t="str">
            <v>VA</v>
          </cell>
          <cell r="J304" t="str">
            <v>Med</v>
          </cell>
          <cell r="K304">
            <v>73769</v>
          </cell>
        </row>
        <row r="305">
          <cell r="C305">
            <v>3561940.61709791</v>
          </cell>
          <cell r="D305">
            <v>0.68746061532363401</v>
          </cell>
          <cell r="E305">
            <v>189020</v>
          </cell>
          <cell r="F305">
            <v>129943.805508473</v>
          </cell>
          <cell r="G305">
            <v>3.6481182444401523E-2</v>
          </cell>
          <cell r="I305" t="str">
            <v>VA</v>
          </cell>
          <cell r="J305" t="str">
            <v>High</v>
          </cell>
          <cell r="K305">
            <v>117573.33333333333</v>
          </cell>
        </row>
        <row r="306">
          <cell r="C306">
            <v>2182373.0626461301</v>
          </cell>
          <cell r="D306">
            <v>0.72934705945193301</v>
          </cell>
          <cell r="E306">
            <v>178744</v>
          </cell>
          <cell r="F306">
            <v>130366.41079467601</v>
          </cell>
          <cell r="G306">
            <v>5.9736079511816628E-2</v>
          </cell>
          <cell r="I306" t="str">
            <v>VA</v>
          </cell>
          <cell r="J306" t="str">
            <v>Med</v>
          </cell>
          <cell r="K306">
            <v>43634.333333333336</v>
          </cell>
        </row>
        <row r="307">
          <cell r="C307">
            <v>2697729.6641696901</v>
          </cell>
          <cell r="D307">
            <v>0.69362564104196101</v>
          </cell>
          <cell r="E307">
            <v>222847</v>
          </cell>
          <cell r="F307">
            <v>154572.39322927801</v>
          </cell>
          <cell r="G307">
            <v>5.7297213758018432E-2</v>
          </cell>
          <cell r="I307" t="str">
            <v>VA</v>
          </cell>
          <cell r="J307" t="str">
            <v>Med</v>
          </cell>
          <cell r="K307">
            <v>68834</v>
          </cell>
        </row>
        <row r="308">
          <cell r="C308">
            <v>3140087.9807897499</v>
          </cell>
          <cell r="D308">
            <v>0.68475029539837096</v>
          </cell>
          <cell r="E308">
            <v>229294</v>
          </cell>
          <cell r="F308">
            <v>157009.134233074</v>
          </cell>
          <cell r="G308">
            <v>5.0001507981182525E-2</v>
          </cell>
          <cell r="I308" t="str">
            <v>VA</v>
          </cell>
          <cell r="J308" t="str">
            <v>Med</v>
          </cell>
          <cell r="K308">
            <v>90147.333333333328</v>
          </cell>
        </row>
        <row r="309">
          <cell r="C309">
            <v>2847143.1311792098</v>
          </cell>
          <cell r="D309">
            <v>0.73061502411002699</v>
          </cell>
          <cell r="E309">
            <v>192227</v>
          </cell>
          <cell r="F309">
            <v>140443.93423959799</v>
          </cell>
          <cell r="G309">
            <v>4.9328020323807856E-2</v>
          </cell>
          <cell r="I309" t="str">
            <v>VA</v>
          </cell>
          <cell r="J309" t="str">
            <v>Med</v>
          </cell>
          <cell r="K309">
            <v>75389.666666666672</v>
          </cell>
        </row>
        <row r="310">
          <cell r="C310">
            <v>3127588.5720390701</v>
          </cell>
          <cell r="D310">
            <v>0.69809827979931904</v>
          </cell>
          <cell r="E310">
            <v>211453</v>
          </cell>
          <cell r="F310">
            <v>147614.97555840501</v>
          </cell>
          <cell r="G310">
            <v>4.7197696294869633E-2</v>
          </cell>
          <cell r="I310" t="str">
            <v>VA</v>
          </cell>
          <cell r="J310" t="str">
            <v>Med</v>
          </cell>
          <cell r="K310">
            <v>90636.666666666672</v>
          </cell>
        </row>
        <row r="311">
          <cell r="C311">
            <v>3261367.2595224101</v>
          </cell>
          <cell r="D311">
            <v>0.68531785966120395</v>
          </cell>
          <cell r="E311">
            <v>183489</v>
          </cell>
          <cell r="F311">
            <v>125748.288751375</v>
          </cell>
          <cell r="G311">
            <v>3.8556923751601468E-2</v>
          </cell>
          <cell r="I311" t="str">
            <v>VA</v>
          </cell>
          <cell r="J311" t="str">
            <v>High</v>
          </cell>
          <cell r="K311">
            <v>104337.66666666667</v>
          </cell>
        </row>
        <row r="312">
          <cell r="C312">
            <v>2796748.8903503302</v>
          </cell>
          <cell r="D312">
            <v>0.72012971510699197</v>
          </cell>
          <cell r="E312">
            <v>219431</v>
          </cell>
          <cell r="F312">
            <v>158018.78351564199</v>
          </cell>
          <cell r="G312">
            <v>5.6500883601261757E-2</v>
          </cell>
          <cell r="I312" t="str">
            <v>VA</v>
          </cell>
          <cell r="J312" t="str">
            <v>Med</v>
          </cell>
          <cell r="K312">
            <v>74166.666666666672</v>
          </cell>
        </row>
        <row r="313">
          <cell r="C313">
            <v>2753714.7859514798</v>
          </cell>
          <cell r="D313">
            <v>0.70045170268604295</v>
          </cell>
          <cell r="E313">
            <v>229461</v>
          </cell>
          <cell r="F313">
            <v>160726.348150042</v>
          </cell>
          <cell r="G313">
            <v>5.8367100677969047E-2</v>
          </cell>
          <cell r="I313" t="str">
            <v>VA</v>
          </cell>
          <cell r="J313" t="str">
            <v>Med</v>
          </cell>
          <cell r="K313">
            <v>46839.666666666664</v>
          </cell>
        </row>
        <row r="314">
          <cell r="C314">
            <v>2800577.86682365</v>
          </cell>
          <cell r="D314">
            <v>0.72469399330520301</v>
          </cell>
          <cell r="E314">
            <v>189130</v>
          </cell>
          <cell r="F314">
            <v>137061.37495381301</v>
          </cell>
          <cell r="G314">
            <v>4.8940390687749316E-2</v>
          </cell>
          <cell r="I314" t="str">
            <v>VA</v>
          </cell>
          <cell r="J314" t="str">
            <v>Med</v>
          </cell>
          <cell r="K314">
            <v>76752</v>
          </cell>
        </row>
        <row r="315">
          <cell r="C315">
            <v>4734713.5082343305</v>
          </cell>
          <cell r="D315">
            <v>0.68249640569910197</v>
          </cell>
          <cell r="E315">
            <v>102675</v>
          </cell>
          <cell r="F315">
            <v>70075.318455155299</v>
          </cell>
          <cell r="G315">
            <v>1.4800329171613974E-2</v>
          </cell>
          <cell r="I315" t="str">
            <v>VA</v>
          </cell>
          <cell r="J315" t="str">
            <v>High</v>
          </cell>
          <cell r="K315">
            <v>176011.66666666666</v>
          </cell>
        </row>
        <row r="316">
          <cell r="C316">
            <v>3271134.9975651102</v>
          </cell>
          <cell r="D316">
            <v>0.72562445559958899</v>
          </cell>
          <cell r="E316">
            <v>204008</v>
          </cell>
          <cell r="F316">
            <v>148033.19393796101</v>
          </cell>
          <cell r="G316">
            <v>4.5254382362131321E-2</v>
          </cell>
          <cell r="I316" t="str">
            <v>VA</v>
          </cell>
          <cell r="J316" t="str">
            <v>High</v>
          </cell>
          <cell r="K316">
            <v>101048.66666666667</v>
          </cell>
        </row>
        <row r="317">
          <cell r="C317">
            <v>2658237.0964225102</v>
          </cell>
          <cell r="D317">
            <v>0.66417755814995205</v>
          </cell>
          <cell r="E317">
            <v>237151</v>
          </cell>
          <cell r="F317">
            <v>157510.37209281899</v>
          </cell>
          <cell r="G317">
            <v>5.9253695731204141E-2</v>
          </cell>
          <cell r="I317" t="str">
            <v>VA</v>
          </cell>
          <cell r="J317" t="str">
            <v>Med</v>
          </cell>
          <cell r="K317">
            <v>66000</v>
          </cell>
        </row>
        <row r="318">
          <cell r="C318">
            <v>2769147.7529946398</v>
          </cell>
          <cell r="D318">
            <v>0.68319770205997099</v>
          </cell>
          <cell r="E318">
            <v>232255</v>
          </cell>
          <cell r="F318">
            <v>158676.08229193799</v>
          </cell>
          <cell r="G318">
            <v>5.7301414169879848E-2</v>
          </cell>
          <cell r="I318" t="str">
            <v>VA</v>
          </cell>
          <cell r="J318" t="str">
            <v>Med</v>
          </cell>
          <cell r="K318">
            <v>70332.333333333328</v>
          </cell>
        </row>
        <row r="319">
          <cell r="C319">
            <v>2966027.1277177501</v>
          </cell>
          <cell r="D319">
            <v>0.71982144102549095</v>
          </cell>
          <cell r="E319">
            <v>198258</v>
          </cell>
          <cell r="F319">
            <v>142710.359254832</v>
          </cell>
          <cell r="G319">
            <v>4.8114987864134075E-2</v>
          </cell>
          <cell r="I319" t="str">
            <v>VA</v>
          </cell>
          <cell r="J319" t="str">
            <v>Med</v>
          </cell>
          <cell r="K319">
            <v>86125.666666666672</v>
          </cell>
        </row>
        <row r="320">
          <cell r="C320">
            <v>3007764.8840437098</v>
          </cell>
          <cell r="D320">
            <v>0.69773142315255399</v>
          </cell>
          <cell r="E320">
            <v>195372</v>
          </cell>
          <cell r="F320">
            <v>136317.18360416099</v>
          </cell>
          <cell r="G320">
            <v>4.5321755143604495E-2</v>
          </cell>
          <cell r="I320" t="str">
            <v>VA</v>
          </cell>
          <cell r="J320" t="str">
            <v>Med</v>
          </cell>
          <cell r="K320">
            <v>66868.333333333328</v>
          </cell>
        </row>
        <row r="321">
          <cell r="C321">
            <v>3088715.8050926798</v>
          </cell>
          <cell r="D321">
            <v>0.74590219079307596</v>
          </cell>
          <cell r="E321">
            <v>215801</v>
          </cell>
          <cell r="F321">
            <v>160966.43867533701</v>
          </cell>
          <cell r="G321">
            <v>5.211435717392169E-2</v>
          </cell>
          <cell r="I321" t="str">
            <v>VA</v>
          </cell>
          <cell r="J321" t="str">
            <v>Med</v>
          </cell>
          <cell r="K321">
            <v>82692.666666666672</v>
          </cell>
        </row>
        <row r="322">
          <cell r="C322">
            <v>2819862.9962744401</v>
          </cell>
          <cell r="D322">
            <v>0.70232647426523198</v>
          </cell>
          <cell r="E322">
            <v>219577</v>
          </cell>
          <cell r="F322">
            <v>154214.740239737</v>
          </cell>
          <cell r="G322">
            <v>5.4688735035525897E-2</v>
          </cell>
          <cell r="I322" t="str">
            <v>VA</v>
          </cell>
          <cell r="J322" t="str">
            <v>Med</v>
          </cell>
          <cell r="K322">
            <v>75777.666666666672</v>
          </cell>
        </row>
        <row r="323">
          <cell r="C323">
            <v>3609758.6272042599</v>
          </cell>
          <cell r="D323">
            <v>0.72919160540212302</v>
          </cell>
          <cell r="E323">
            <v>172574</v>
          </cell>
          <cell r="F323">
            <v>125839.51211066599</v>
          </cell>
          <cell r="G323">
            <v>3.4860921492728195E-2</v>
          </cell>
          <cell r="I323" t="str">
            <v>VA</v>
          </cell>
          <cell r="J323" t="str">
            <v>High</v>
          </cell>
          <cell r="K323">
            <v>123264</v>
          </cell>
        </row>
        <row r="324">
          <cell r="C324">
            <v>3904504.2381533398</v>
          </cell>
          <cell r="D324">
            <v>0.73413484071810997</v>
          </cell>
          <cell r="E324">
            <v>179531</v>
          </cell>
          <cell r="F324">
            <v>131799.96208896299</v>
          </cell>
          <cell r="G324">
            <v>3.375587630333797E-2</v>
          </cell>
          <cell r="I324" t="str">
            <v>VA</v>
          </cell>
          <cell r="J324" t="str">
            <v>High</v>
          </cell>
          <cell r="K324">
            <v>130123</v>
          </cell>
        </row>
        <row r="325">
          <cell r="C325">
            <v>2708915.2767956601</v>
          </cell>
          <cell r="D325">
            <v>0.70301087836175202</v>
          </cell>
          <cell r="E325">
            <v>205658</v>
          </cell>
          <cell r="F325">
            <v>144579.811222121</v>
          </cell>
          <cell r="G325">
            <v>5.3371846827613798E-2</v>
          </cell>
          <cell r="I325" t="str">
            <v>VA</v>
          </cell>
          <cell r="J325" t="str">
            <v>Med</v>
          </cell>
          <cell r="K325">
            <v>64149.333333333336</v>
          </cell>
        </row>
        <row r="326">
          <cell r="C326">
            <v>2542382.83240146</v>
          </cell>
          <cell r="D326">
            <v>0.72224266147259997</v>
          </cell>
          <cell r="E326">
            <v>223377</v>
          </cell>
          <cell r="F326">
            <v>161332.39899176499</v>
          </cell>
          <cell r="G326">
            <v>6.3457161893818781E-2</v>
          </cell>
          <cell r="I326" t="str">
            <v>VA</v>
          </cell>
          <cell r="J326" t="str">
            <v>Med</v>
          </cell>
          <cell r="K326">
            <v>57821.333333333336</v>
          </cell>
        </row>
        <row r="327">
          <cell r="C327">
            <v>2222226.6702346699</v>
          </cell>
          <cell r="D327">
            <v>0.67834101919885403</v>
          </cell>
          <cell r="E327">
            <v>227666</v>
          </cell>
          <cell r="F327">
            <v>154435.186476926</v>
          </cell>
          <cell r="G327">
            <v>6.9495694811644693E-2</v>
          </cell>
          <cell r="I327" t="str">
            <v>VA</v>
          </cell>
          <cell r="J327" t="str">
            <v>Med</v>
          </cell>
          <cell r="K327">
            <v>47096</v>
          </cell>
        </row>
        <row r="328">
          <cell r="C328">
            <v>3517492.7502015601</v>
          </cell>
          <cell r="D328">
            <v>0.75783457247105201</v>
          </cell>
          <cell r="E328">
            <v>182159</v>
          </cell>
          <cell r="F328">
            <v>138046.387886754</v>
          </cell>
          <cell r="G328">
            <v>3.9245678012795805E-2</v>
          </cell>
          <cell r="I328" t="str">
            <v>VA</v>
          </cell>
          <cell r="J328" t="str">
            <v>High</v>
          </cell>
          <cell r="K328">
            <v>111399</v>
          </cell>
        </row>
        <row r="329">
          <cell r="C329">
            <v>3934784.77633934</v>
          </cell>
          <cell r="D329">
            <v>0.76043167882573304</v>
          </cell>
          <cell r="E329">
            <v>178349</v>
          </cell>
          <cell r="F329">
            <v>135622.22948689101</v>
          </cell>
          <cell r="G329">
            <v>3.4467508947989993E-2</v>
          </cell>
          <cell r="I329" t="str">
            <v>VA</v>
          </cell>
          <cell r="J329" t="str">
            <v>High</v>
          </cell>
          <cell r="K329">
            <v>126832.33333333333</v>
          </cell>
        </row>
        <row r="330">
          <cell r="C330">
            <v>1875158.18453499</v>
          </cell>
          <cell r="D330">
            <v>0.71379178586737602</v>
          </cell>
          <cell r="E330">
            <v>174777</v>
          </cell>
          <cell r="F330">
            <v>124754.386958542</v>
          </cell>
          <cell r="G330">
            <v>6.6530060230347521E-2</v>
          </cell>
          <cell r="I330" t="str">
            <v>VA</v>
          </cell>
          <cell r="J330" t="str">
            <v>Low</v>
          </cell>
          <cell r="K330">
            <v>25878</v>
          </cell>
        </row>
        <row r="331">
          <cell r="C331">
            <v>2827578.9192119199</v>
          </cell>
          <cell r="D331">
            <v>0.68054899460454099</v>
          </cell>
          <cell r="E331">
            <v>202143</v>
          </cell>
          <cell r="F331">
            <v>137568.21541634601</v>
          </cell>
          <cell r="G331">
            <v>4.8652299138900047E-2</v>
          </cell>
          <cell r="I331" t="str">
            <v>VA</v>
          </cell>
          <cell r="J331" t="str">
            <v>Med</v>
          </cell>
          <cell r="K331">
            <v>78901.666666666672</v>
          </cell>
        </row>
        <row r="332">
          <cell r="C332">
            <v>3106804.7428800799</v>
          </cell>
          <cell r="D332">
            <v>0.70306026136895505</v>
          </cell>
          <cell r="E332">
            <v>191296</v>
          </cell>
          <cell r="F332">
            <v>134492.61575883601</v>
          </cell>
          <cell r="G332">
            <v>4.3289690498591889E-2</v>
          </cell>
          <cell r="I332" t="str">
            <v>VA</v>
          </cell>
          <cell r="J332" t="str">
            <v>Med</v>
          </cell>
          <cell r="K332">
            <v>72992</v>
          </cell>
        </row>
        <row r="333">
          <cell r="C333">
            <v>4244388.6340435296</v>
          </cell>
          <cell r="D333">
            <v>0.69920908051736297</v>
          </cell>
          <cell r="E333">
            <v>174650</v>
          </cell>
          <cell r="F333">
            <v>122116.865912357</v>
          </cell>
          <cell r="G333">
            <v>2.8771367667154248E-2</v>
          </cell>
          <cell r="I333" t="str">
            <v>VA</v>
          </cell>
          <cell r="J333" t="str">
            <v>High</v>
          </cell>
          <cell r="K333">
            <v>119878</v>
          </cell>
        </row>
        <row r="334">
          <cell r="C334">
            <v>2800698.8772058901</v>
          </cell>
          <cell r="D334">
            <v>0.70146409900089401</v>
          </cell>
          <cell r="E334">
            <v>207363</v>
          </cell>
          <cell r="F334">
            <v>145457.69996112201</v>
          </cell>
          <cell r="G334">
            <v>5.1936215330024162E-2</v>
          </cell>
          <cell r="I334" t="str">
            <v>VA</v>
          </cell>
          <cell r="J334" t="str">
            <v>Med</v>
          </cell>
          <cell r="K334">
            <v>55273.333333333336</v>
          </cell>
        </row>
        <row r="335">
          <cell r="C335">
            <v>3941102.80774963</v>
          </cell>
          <cell r="D335">
            <v>0.73032170923364204</v>
          </cell>
          <cell r="E335">
            <v>174808</v>
          </cell>
          <cell r="F335">
            <v>127666.077347714</v>
          </cell>
          <cell r="G335">
            <v>3.239349075001962E-2</v>
          </cell>
          <cell r="I335" t="str">
            <v>VA</v>
          </cell>
          <cell r="J335" t="str">
            <v>High</v>
          </cell>
          <cell r="K335">
            <v>108975.66666666667</v>
          </cell>
        </row>
        <row r="336">
          <cell r="C336">
            <v>3127944.0011569201</v>
          </cell>
          <cell r="D336">
            <v>0.73601357079778296</v>
          </cell>
          <cell r="E336">
            <v>182927</v>
          </cell>
          <cell r="F336">
            <v>134636.754465326</v>
          </cell>
          <cell r="G336">
            <v>4.3043211264501037E-2</v>
          </cell>
          <cell r="I336" t="str">
            <v>VA</v>
          </cell>
          <cell r="J336" t="str">
            <v>Med</v>
          </cell>
          <cell r="K336">
            <v>70133</v>
          </cell>
        </row>
        <row r="337">
          <cell r="C337">
            <v>3209905.1078926702</v>
          </cell>
          <cell r="D337">
            <v>0.70932329642096403</v>
          </cell>
          <cell r="E337">
            <v>186050</v>
          </cell>
          <cell r="F337">
            <v>131969.59929911999</v>
          </cell>
          <cell r="G337">
            <v>4.1113240068881396E-2</v>
          </cell>
          <cell r="I337" t="str">
            <v>VA</v>
          </cell>
          <cell r="J337" t="str">
            <v>Med</v>
          </cell>
          <cell r="K337">
            <v>73769</v>
          </cell>
        </row>
        <row r="338">
          <cell r="C338">
            <v>3979871.3033701801</v>
          </cell>
          <cell r="D338">
            <v>0.71004806160401801</v>
          </cell>
          <cell r="E338">
            <v>170349</v>
          </cell>
          <cell r="F338">
            <v>120955.977246183</v>
          </cell>
          <cell r="G338">
            <v>3.0391931805371877E-2</v>
          </cell>
          <cell r="I338" t="str">
            <v>VA</v>
          </cell>
          <cell r="J338" t="str">
            <v>High</v>
          </cell>
          <cell r="K338">
            <v>117573.33333333333</v>
          </cell>
        </row>
        <row r="339">
          <cell r="C339">
            <v>2495461.53721083</v>
          </cell>
          <cell r="D339">
            <v>0.70608659877726299</v>
          </cell>
          <cell r="E339">
            <v>179560</v>
          </cell>
          <cell r="F339">
            <v>126784.90967644499</v>
          </cell>
          <cell r="G339">
            <v>5.0806196683821504E-2</v>
          </cell>
          <cell r="I339" t="str">
            <v>VA</v>
          </cell>
          <cell r="J339" t="str">
            <v>Med</v>
          </cell>
          <cell r="K339">
            <v>43634.333333333336</v>
          </cell>
        </row>
        <row r="340">
          <cell r="C340">
            <v>3052203.3441313198</v>
          </cell>
          <cell r="D340">
            <v>0.74066369425822998</v>
          </cell>
          <cell r="E340">
            <v>196867</v>
          </cell>
          <cell r="F340">
            <v>145812.23949753499</v>
          </cell>
          <cell r="G340">
            <v>4.7772780204142738E-2</v>
          </cell>
          <cell r="I340" t="str">
            <v>VA</v>
          </cell>
          <cell r="J340" t="str">
            <v>Med</v>
          </cell>
          <cell r="K340">
            <v>68834</v>
          </cell>
        </row>
        <row r="341">
          <cell r="C341">
            <v>3484987.2299150098</v>
          </cell>
          <cell r="D341">
            <v>0.68785509162118996</v>
          </cell>
          <cell r="E341">
            <v>208558</v>
          </cell>
          <cell r="F341">
            <v>143457.68219833201</v>
          </cell>
          <cell r="G341">
            <v>4.1164478586003479E-2</v>
          </cell>
          <cell r="I341" t="str">
            <v>VA</v>
          </cell>
          <cell r="J341" t="str">
            <v>Med</v>
          </cell>
          <cell r="K341">
            <v>90147.333333333328</v>
          </cell>
        </row>
        <row r="342">
          <cell r="C342">
            <v>3228395.55170641</v>
          </cell>
          <cell r="D342">
            <v>0.709808250257003</v>
          </cell>
          <cell r="E342">
            <v>184442</v>
          </cell>
          <cell r="F342">
            <v>130918.453293902</v>
          </cell>
          <cell r="G342">
            <v>4.0552172494694269E-2</v>
          </cell>
          <cell r="I342" t="str">
            <v>VA</v>
          </cell>
          <cell r="J342" t="str">
            <v>Med</v>
          </cell>
          <cell r="K342">
            <v>75389.666666666672</v>
          </cell>
        </row>
        <row r="343">
          <cell r="C343">
            <v>3506286.4143476398</v>
          </cell>
          <cell r="D343">
            <v>0.690858448895178</v>
          </cell>
          <cell r="E343">
            <v>200237</v>
          </cell>
          <cell r="F343">
            <v>138335.42323142401</v>
          </cell>
          <cell r="G343">
            <v>3.9453543402888813E-2</v>
          </cell>
          <cell r="I343" t="str">
            <v>VA</v>
          </cell>
          <cell r="J343" t="str">
            <v>Med</v>
          </cell>
          <cell r="K343">
            <v>90636.666666666672</v>
          </cell>
        </row>
        <row r="344">
          <cell r="C344">
            <v>3741727.74954555</v>
          </cell>
          <cell r="D344">
            <v>0.68921521802554997</v>
          </cell>
          <cell r="E344">
            <v>177804</v>
          </cell>
          <cell r="F344">
            <v>122545.222625815</v>
          </cell>
          <cell r="G344">
            <v>3.2750972499455279E-2</v>
          </cell>
          <cell r="I344" t="str">
            <v>VA</v>
          </cell>
          <cell r="J344" t="str">
            <v>High</v>
          </cell>
          <cell r="K344">
            <v>104337.66666666667</v>
          </cell>
        </row>
        <row r="345">
          <cell r="C345">
            <v>3113385.27646968</v>
          </cell>
          <cell r="D345">
            <v>0.74682625651975298</v>
          </cell>
          <cell r="E345">
            <v>194964</v>
          </cell>
          <cell r="F345">
            <v>145604.234276117</v>
          </cell>
          <cell r="G345">
            <v>4.6767175067141092E-2</v>
          </cell>
          <cell r="I345" t="str">
            <v>VA</v>
          </cell>
          <cell r="J345" t="str">
            <v>Med</v>
          </cell>
          <cell r="K345">
            <v>74166.666666666672</v>
          </cell>
        </row>
        <row r="346">
          <cell r="C346">
            <v>3155995.6078172601</v>
          </cell>
          <cell r="D346">
            <v>0.688172931719228</v>
          </cell>
          <cell r="E346">
            <v>221124</v>
          </cell>
          <cell r="F346">
            <v>152171.551353483</v>
          </cell>
          <cell r="G346">
            <v>4.8216654984107349E-2</v>
          </cell>
          <cell r="I346" t="str">
            <v>VA</v>
          </cell>
          <cell r="J346" t="str">
            <v>Med</v>
          </cell>
          <cell r="K346">
            <v>46839.666666666664</v>
          </cell>
        </row>
        <row r="347">
          <cell r="C347">
            <v>3188125.2342024501</v>
          </cell>
          <cell r="D347">
            <v>0.72380507630389801</v>
          </cell>
          <cell r="E347">
            <v>180592</v>
          </cell>
          <cell r="F347">
            <v>130713.40633987301</v>
          </cell>
          <cell r="G347">
            <v>4.1000085234284285E-2</v>
          </cell>
          <cell r="I347" t="str">
            <v>VA</v>
          </cell>
          <cell r="J347" t="str">
            <v>Med</v>
          </cell>
          <cell r="K347">
            <v>76752</v>
          </cell>
        </row>
        <row r="348">
          <cell r="C348">
            <v>5356260.3360998202</v>
          </cell>
          <cell r="D348">
            <v>0.664487504967471</v>
          </cell>
          <cell r="E348">
            <v>98025</v>
          </cell>
          <cell r="F348">
            <v>65136.387674436301</v>
          </cell>
          <cell r="G348">
            <v>1.2160795702074779E-2</v>
          </cell>
          <cell r="I348" t="str">
            <v>VA</v>
          </cell>
          <cell r="J348" t="str">
            <v>High</v>
          </cell>
          <cell r="K348">
            <v>176011.66666666666</v>
          </cell>
        </row>
        <row r="349">
          <cell r="C349">
            <v>3826217.4504894</v>
          </cell>
          <cell r="D349">
            <v>0.75143417955367997</v>
          </cell>
          <cell r="E349">
            <v>196520</v>
          </cell>
          <cell r="F349">
            <v>147671.844965889</v>
          </cell>
          <cell r="G349">
            <v>3.8594734062226584E-2</v>
          </cell>
          <cell r="I349" t="str">
            <v>VA</v>
          </cell>
          <cell r="J349" t="str">
            <v>High</v>
          </cell>
          <cell r="K349">
            <v>101048.66666666667</v>
          </cell>
        </row>
        <row r="350">
          <cell r="C350">
            <v>3010198.6316305599</v>
          </cell>
          <cell r="D350">
            <v>0.65980793355185996</v>
          </cell>
          <cell r="E350">
            <v>224828</v>
          </cell>
          <cell r="F350">
            <v>148343.29808459801</v>
          </cell>
          <cell r="G350">
            <v>4.928023570465967E-2</v>
          </cell>
          <cell r="I350" t="str">
            <v>VA</v>
          </cell>
          <cell r="J350" t="str">
            <v>Med</v>
          </cell>
          <cell r="K350">
            <v>66000</v>
          </cell>
        </row>
        <row r="351">
          <cell r="C351">
            <v>3082069.4302712199</v>
          </cell>
          <cell r="D351">
            <v>0.69048070298178099</v>
          </cell>
          <cell r="E351">
            <v>213120</v>
          </cell>
          <cell r="F351">
            <v>147155.247419477</v>
          </cell>
          <cell r="G351">
            <v>4.7745597803267995E-2</v>
          </cell>
          <cell r="I351" t="str">
            <v>VA</v>
          </cell>
          <cell r="J351" t="str">
            <v>Med</v>
          </cell>
          <cell r="K351">
            <v>70332.333333333328</v>
          </cell>
        </row>
        <row r="352">
          <cell r="C352">
            <v>3364905.0418212302</v>
          </cell>
          <cell r="D352">
            <v>0.729261309272771</v>
          </cell>
          <cell r="E352">
            <v>184079</v>
          </cell>
          <cell r="F352">
            <v>134241.692549623</v>
          </cell>
          <cell r="G352">
            <v>3.9894645132976969E-2</v>
          </cell>
          <cell r="I352" t="str">
            <v>VA</v>
          </cell>
          <cell r="J352" t="str">
            <v>Med</v>
          </cell>
          <cell r="K352">
            <v>86125.666666666672</v>
          </cell>
        </row>
        <row r="353">
          <cell r="C353">
            <v>3461705.26746298</v>
          </cell>
          <cell r="D353">
            <v>0.66780496474025597</v>
          </cell>
          <cell r="E353">
            <v>190699</v>
          </cell>
          <cell r="F353">
            <v>127349.73897100201</v>
          </cell>
          <cell r="G353">
            <v>3.678815183024934E-2</v>
          </cell>
          <cell r="I353" t="str">
            <v>VA</v>
          </cell>
          <cell r="J353" t="str">
            <v>Med</v>
          </cell>
          <cell r="K353">
            <v>66868.333333333328</v>
          </cell>
        </row>
        <row r="354">
          <cell r="C354">
            <v>3531947.27543324</v>
          </cell>
          <cell r="D354">
            <v>0.72001843370224405</v>
          </cell>
          <cell r="E354">
            <v>210668</v>
          </cell>
          <cell r="F354">
            <v>151684.843391184</v>
          </cell>
          <cell r="G354">
            <v>4.2946519741741573E-2</v>
          </cell>
          <cell r="I354" t="str">
            <v>VA</v>
          </cell>
          <cell r="J354" t="str">
            <v>Med</v>
          </cell>
          <cell r="K354">
            <v>82692.666666666672</v>
          </cell>
        </row>
        <row r="355">
          <cell r="C355">
            <v>3254620.9095522999</v>
          </cell>
          <cell r="D355">
            <v>0.73413924654277996</v>
          </cell>
          <cell r="E355">
            <v>202683</v>
          </cell>
          <cell r="F355">
            <v>148797.54490703001</v>
          </cell>
          <cell r="G355">
            <v>4.5718856064099443E-2</v>
          </cell>
          <cell r="I355" t="str">
            <v>VA</v>
          </cell>
          <cell r="J355" t="str">
            <v>Med</v>
          </cell>
          <cell r="K355">
            <v>75777.666666666672</v>
          </cell>
        </row>
        <row r="356">
          <cell r="C356">
            <v>4232167.2528574402</v>
          </cell>
          <cell r="D356">
            <v>0.75743256971098105</v>
          </cell>
          <cell r="E356">
            <v>169341</v>
          </cell>
          <cell r="F356">
            <v>128264.388787427</v>
          </cell>
          <cell r="G356">
            <v>3.0307022649170231E-2</v>
          </cell>
          <cell r="I356" t="str">
            <v>VA</v>
          </cell>
          <cell r="J356" t="str">
            <v>High</v>
          </cell>
          <cell r="K356">
            <v>123264</v>
          </cell>
        </row>
        <row r="357">
          <cell r="C357">
            <v>4320577.0913273497</v>
          </cell>
          <cell r="D357">
            <v>0.71253874289227603</v>
          </cell>
          <cell r="E357">
            <v>168090</v>
          </cell>
          <cell r="F357">
            <v>119770.637292763</v>
          </cell>
          <cell r="G357">
            <v>2.7720981424721569E-2</v>
          </cell>
          <cell r="I357" t="str">
            <v>VA</v>
          </cell>
          <cell r="J357" t="str">
            <v>High</v>
          </cell>
          <cell r="K357">
            <v>130123</v>
          </cell>
        </row>
        <row r="358">
          <cell r="C358">
            <v>3039701.6577584501</v>
          </cell>
          <cell r="D358">
            <v>0.73536555304155604</v>
          </cell>
          <cell r="E358">
            <v>183314</v>
          </cell>
          <cell r="F358">
            <v>134802.80099026</v>
          </cell>
          <cell r="G358">
            <v>4.4347378844299762E-2</v>
          </cell>
          <cell r="I358" t="str">
            <v>VA</v>
          </cell>
          <cell r="J358" t="str">
            <v>Med</v>
          </cell>
          <cell r="K358">
            <v>64149.333333333336</v>
          </cell>
        </row>
        <row r="359">
          <cell r="C359">
            <v>2896143.3187966598</v>
          </cell>
          <cell r="D359">
            <v>0.75381059404199502</v>
          </cell>
          <cell r="E359">
            <v>197469</v>
          </cell>
          <cell r="F359">
            <v>148854.224194879</v>
          </cell>
          <cell r="G359">
            <v>5.1397395712007632E-2</v>
          </cell>
          <cell r="I359" t="str">
            <v>VA</v>
          </cell>
          <cell r="J359" t="str">
            <v>Med</v>
          </cell>
          <cell r="K359">
            <v>57821.333333333336</v>
          </cell>
        </row>
        <row r="360">
          <cell r="C360">
            <v>2543462.9721854199</v>
          </cell>
          <cell r="D360">
            <v>0.67255227360415704</v>
          </cell>
          <cell r="E360">
            <v>215747</v>
          </cell>
          <cell r="F360">
            <v>145101.13537327599</v>
          </cell>
          <cell r="G360">
            <v>5.7048652549716784E-2</v>
          </cell>
          <cell r="I360" t="str">
            <v>VA</v>
          </cell>
          <cell r="J360" t="str">
            <v>Med</v>
          </cell>
          <cell r="K360">
            <v>47096</v>
          </cell>
        </row>
        <row r="361">
          <cell r="C361">
            <v>4092424.2391076698</v>
          </cell>
          <cell r="D361">
            <v>0.74718989412356096</v>
          </cell>
          <cell r="E361">
            <v>176721</v>
          </cell>
          <cell r="F361">
            <v>132044.14527941</v>
          </cell>
          <cell r="G361">
            <v>3.2265507573135059E-2</v>
          </cell>
          <cell r="I361" t="str">
            <v>VA</v>
          </cell>
          <cell r="J361" t="str">
            <v>High</v>
          </cell>
          <cell r="K361">
            <v>111399</v>
          </cell>
        </row>
        <row r="362">
          <cell r="C362">
            <v>4420544.3013568297</v>
          </cell>
          <cell r="D362">
            <v>0.76558519595684305</v>
          </cell>
          <cell r="E362">
            <v>166527</v>
          </cell>
          <cell r="F362">
            <v>127490.605927105</v>
          </cell>
          <cell r="G362">
            <v>2.8840476926783289E-2</v>
          </cell>
          <cell r="I362" t="str">
            <v>VA</v>
          </cell>
          <cell r="J362" t="str">
            <v>High</v>
          </cell>
          <cell r="K362">
            <v>126832.33333333333</v>
          </cell>
        </row>
        <row r="363">
          <cell r="C363">
            <v>2114784.28836866</v>
          </cell>
          <cell r="D363">
            <v>0.70347071009542705</v>
          </cell>
          <cell r="E363">
            <v>171027</v>
          </cell>
          <cell r="F363">
            <v>120312.48513549101</v>
          </cell>
          <cell r="G363">
            <v>5.68911381634577E-2</v>
          </cell>
          <cell r="I363" t="str">
            <v>VA</v>
          </cell>
          <cell r="J363" t="str">
            <v>Low</v>
          </cell>
          <cell r="K363">
            <v>25878</v>
          </cell>
        </row>
        <row r="364">
          <cell r="C364">
            <v>3196069.9646702898</v>
          </cell>
          <cell r="D364">
            <v>0.68651097712045905</v>
          </cell>
          <cell r="E364">
            <v>191128</v>
          </cell>
          <cell r="F364">
            <v>131211.47003507899</v>
          </cell>
          <cell r="G364">
            <v>4.1054004288236821E-2</v>
          </cell>
          <cell r="I364" t="str">
            <v>VA</v>
          </cell>
          <cell r="J364" t="str">
            <v>Med</v>
          </cell>
          <cell r="K364">
            <v>78901.666666666672</v>
          </cell>
        </row>
        <row r="365">
          <cell r="C365">
            <v>3346291.9105398799</v>
          </cell>
          <cell r="D365">
            <v>0.73028385933289097</v>
          </cell>
          <cell r="E365">
            <v>183842</v>
          </cell>
          <cell r="F365">
            <v>134256.84526747701</v>
          </cell>
          <cell r="G365">
            <v>4.0121079946613639E-2</v>
          </cell>
          <cell r="I365" t="str">
            <v>VA</v>
          </cell>
          <cell r="J365" t="str">
            <v>Med</v>
          </cell>
          <cell r="K365">
            <v>72992</v>
          </cell>
        </row>
        <row r="366">
          <cell r="C366">
            <v>4311191.0171468901</v>
          </cell>
          <cell r="D366">
            <v>0.72311291956116497</v>
          </cell>
          <cell r="E366">
            <v>161085</v>
          </cell>
          <cell r="F366">
            <v>116482.64464750999</v>
          </cell>
          <cell r="G366">
            <v>2.7018669361720194E-2</v>
          </cell>
          <cell r="I366" t="str">
            <v>VA</v>
          </cell>
          <cell r="J366" t="str">
            <v>High</v>
          </cell>
          <cell r="K366">
            <v>119878</v>
          </cell>
        </row>
        <row r="367">
          <cell r="C367">
            <v>2901192.1087754602</v>
          </cell>
          <cell r="D367">
            <v>0.70900389617773796</v>
          </cell>
          <cell r="E367">
            <v>197005</v>
          </cell>
          <cell r="F367">
            <v>139677.31256649501</v>
          </cell>
          <cell r="G367">
            <v>4.8144799561532732E-2</v>
          </cell>
          <cell r="I367" t="str">
            <v>VA</v>
          </cell>
          <cell r="J367" t="str">
            <v>Med</v>
          </cell>
          <cell r="K367">
            <v>55273.333333333336</v>
          </cell>
        </row>
        <row r="368">
          <cell r="C368">
            <v>4065767.2288482399</v>
          </cell>
          <cell r="D368">
            <v>0.68789066491887396</v>
          </cell>
          <cell r="E368">
            <v>178840</v>
          </cell>
          <cell r="F368">
            <v>123022.366514091</v>
          </cell>
          <cell r="G368">
            <v>3.0258093882305472E-2</v>
          </cell>
          <cell r="I368" t="str">
            <v>VA</v>
          </cell>
          <cell r="J368" t="str">
            <v>High</v>
          </cell>
          <cell r="K368">
            <v>108975.66666666667</v>
          </cell>
        </row>
        <row r="369">
          <cell r="C369">
            <v>3253358.37328838</v>
          </cell>
          <cell r="D369">
            <v>0.73209569183469803</v>
          </cell>
          <cell r="E369">
            <v>179254</v>
          </cell>
          <cell r="F369">
            <v>131231.08114413699</v>
          </cell>
          <cell r="G369">
            <v>4.0337112019876629E-2</v>
          </cell>
          <cell r="I369" t="str">
            <v>VA</v>
          </cell>
          <cell r="J369" t="str">
            <v>Med</v>
          </cell>
          <cell r="K369">
            <v>70133</v>
          </cell>
        </row>
        <row r="370">
          <cell r="C370">
            <v>3395911.25945035</v>
          </cell>
          <cell r="D370">
            <v>0.70772566188855102</v>
          </cell>
          <cell r="E370">
            <v>185460</v>
          </cell>
          <cell r="F370">
            <v>131254.80125385101</v>
          </cell>
          <cell r="G370">
            <v>3.8650833671989251E-2</v>
          </cell>
          <cell r="I370" t="str">
            <v>VA</v>
          </cell>
          <cell r="J370" t="str">
            <v>Med</v>
          </cell>
          <cell r="K370">
            <v>73769</v>
          </cell>
        </row>
        <row r="371">
          <cell r="C371">
            <v>4166351.3262937502</v>
          </cell>
          <cell r="D371">
            <v>0.68831103698314799</v>
          </cell>
          <cell r="E371">
            <v>170253</v>
          </cell>
          <cell r="F371">
            <v>117187.018979492</v>
          </cell>
          <cell r="G371">
            <v>2.8127013254961804E-2</v>
          </cell>
          <cell r="I371" t="str">
            <v>VA</v>
          </cell>
          <cell r="J371" t="str">
            <v>High</v>
          </cell>
          <cell r="K371">
            <v>117573.33333333333</v>
          </cell>
        </row>
        <row r="372">
          <cell r="C372">
            <v>2603242.9103335598</v>
          </cell>
          <cell r="D372">
            <v>0.70738005223715905</v>
          </cell>
          <cell r="E372">
            <v>173386</v>
          </cell>
          <cell r="F372">
            <v>122649.797737192</v>
          </cell>
          <cell r="G372">
            <v>4.7114234807030198E-2</v>
          </cell>
          <cell r="I372" t="str">
            <v>VA</v>
          </cell>
          <cell r="J372" t="str">
            <v>Med</v>
          </cell>
          <cell r="K372">
            <v>43634.333333333336</v>
          </cell>
        </row>
        <row r="373">
          <cell r="C373">
            <v>3176039.1179326</v>
          </cell>
          <cell r="D373">
            <v>0.72489749759842304</v>
          </cell>
          <cell r="E373">
            <v>194255</v>
          </cell>
          <cell r="F373">
            <v>140814.96339598199</v>
          </cell>
          <cell r="G373">
            <v>4.4336659016858584E-2</v>
          </cell>
          <cell r="I373" t="str">
            <v>VA</v>
          </cell>
          <cell r="J373" t="str">
            <v>Med</v>
          </cell>
          <cell r="K373">
            <v>68834</v>
          </cell>
        </row>
        <row r="374">
          <cell r="C374">
            <v>3692082.3963456601</v>
          </cell>
          <cell r="D374">
            <v>0.67233536948620098</v>
          </cell>
          <cell r="E374">
            <v>212688</v>
          </cell>
          <cell r="F374">
            <v>142997.66506528101</v>
          </cell>
          <cell r="G374">
            <v>3.8730897557112176E-2</v>
          </cell>
          <cell r="I374" t="str">
            <v>VA</v>
          </cell>
          <cell r="J374" t="str">
            <v>Med</v>
          </cell>
          <cell r="K374">
            <v>90147.333333333328</v>
          </cell>
        </row>
        <row r="375">
          <cell r="C375">
            <v>3334988.0041001998</v>
          </cell>
          <cell r="D375">
            <v>0.69469782489693699</v>
          </cell>
          <cell r="E375">
            <v>182853</v>
          </cell>
          <cell r="F375">
            <v>127027.58137588001</v>
          </cell>
          <cell r="G375">
            <v>3.8089366804230175E-2</v>
          </cell>
          <cell r="I375" t="str">
            <v>VA</v>
          </cell>
          <cell r="J375" t="str">
            <v>Med</v>
          </cell>
          <cell r="K375">
            <v>75389.666666666672</v>
          </cell>
        </row>
        <row r="376">
          <cell r="C376">
            <v>3681114.8128068498</v>
          </cell>
          <cell r="D376">
            <v>0.71623871531170902</v>
          </cell>
          <cell r="E376">
            <v>192814</v>
          </cell>
          <cell r="F376">
            <v>138100.85165411199</v>
          </cell>
          <cell r="G376">
            <v>3.7516040296719268E-2</v>
          </cell>
          <cell r="I376" t="str">
            <v>VA</v>
          </cell>
          <cell r="J376" t="str">
            <v>Med</v>
          </cell>
          <cell r="K376">
            <v>90636.666666666672</v>
          </cell>
        </row>
        <row r="377">
          <cell r="C377">
            <v>3963587.9369483599</v>
          </cell>
          <cell r="D377">
            <v>0.68028561869852699</v>
          </cell>
          <cell r="E377">
            <v>178059</v>
          </cell>
          <cell r="F377">
            <v>121130.976979841</v>
          </cell>
          <cell r="G377">
            <v>3.0560940972361013E-2</v>
          </cell>
          <cell r="I377" t="str">
            <v>VA</v>
          </cell>
          <cell r="J377" t="str">
            <v>High</v>
          </cell>
          <cell r="K377">
            <v>104337.66666666667</v>
          </cell>
        </row>
        <row r="378">
          <cell r="C378">
            <v>3249791.0355925201</v>
          </cell>
          <cell r="D378">
            <v>0.750840534237177</v>
          </cell>
          <cell r="E378">
            <v>188224</v>
          </cell>
          <cell r="F378">
            <v>141326.208716258</v>
          </cell>
          <cell r="G378">
            <v>4.3487783420047069E-2</v>
          </cell>
          <cell r="I378" t="str">
            <v>VA</v>
          </cell>
          <cell r="J378" t="str">
            <v>Med</v>
          </cell>
          <cell r="K378">
            <v>74166.666666666672</v>
          </cell>
        </row>
        <row r="379">
          <cell r="C379">
            <v>3256602.1088358802</v>
          </cell>
          <cell r="D379">
            <v>0.70165840244119104</v>
          </cell>
          <cell r="E379">
            <v>208590</v>
          </cell>
          <cell r="F379">
            <v>146358.92616520799</v>
          </cell>
          <cell r="G379">
            <v>4.4942219305239631E-2</v>
          </cell>
          <cell r="I379" t="str">
            <v>VA</v>
          </cell>
          <cell r="J379" t="str">
            <v>Med</v>
          </cell>
          <cell r="K379">
            <v>46839.666666666664</v>
          </cell>
        </row>
        <row r="380">
          <cell r="C380">
            <v>3338465.8467069701</v>
          </cell>
          <cell r="D380">
            <v>0.69967931578077702</v>
          </cell>
          <cell r="E380">
            <v>179907</v>
          </cell>
          <cell r="F380">
            <v>125877.206664172</v>
          </cell>
          <cell r="G380">
            <v>3.7705105411917288E-2</v>
          </cell>
          <cell r="I380" t="str">
            <v>VA</v>
          </cell>
          <cell r="J380" t="str">
            <v>Med</v>
          </cell>
          <cell r="K380">
            <v>76752</v>
          </cell>
        </row>
        <row r="381">
          <cell r="C381">
            <v>5670784.5684398003</v>
          </cell>
          <cell r="D381">
            <v>0.68689977080619702</v>
          </cell>
          <cell r="E381">
            <v>96220</v>
          </cell>
          <cell r="F381">
            <v>66093.495946972194</v>
          </cell>
          <cell r="G381">
            <v>1.1655088488956028E-2</v>
          </cell>
          <cell r="I381" t="str">
            <v>VA</v>
          </cell>
          <cell r="J381" t="str">
            <v>High</v>
          </cell>
          <cell r="K381">
            <v>176011.66666666666</v>
          </cell>
        </row>
        <row r="382">
          <cell r="C382">
            <v>3854433.4448359902</v>
          </cell>
          <cell r="D382">
            <v>0.69307152026207397</v>
          </cell>
          <cell r="E382">
            <v>194261</v>
          </cell>
          <cell r="F382">
            <v>134636.76659763101</v>
          </cell>
          <cell r="G382">
            <v>3.4930364870617174E-2</v>
          </cell>
          <cell r="I382" t="str">
            <v>VA</v>
          </cell>
          <cell r="J382" t="str">
            <v>High</v>
          </cell>
          <cell r="K382">
            <v>101048.66666666667</v>
          </cell>
        </row>
        <row r="383">
          <cell r="C383">
            <v>3133357.7831051601</v>
          </cell>
          <cell r="D383">
            <v>0.65956493693029805</v>
          </cell>
          <cell r="E383">
            <v>213346</v>
          </cell>
          <cell r="F383">
            <v>140715.54103433099</v>
          </cell>
          <cell r="G383">
            <v>4.4908864794521414E-2</v>
          </cell>
          <cell r="I383" t="str">
            <v>VA</v>
          </cell>
          <cell r="J383" t="str">
            <v>Med</v>
          </cell>
          <cell r="K383">
            <v>66000</v>
          </cell>
        </row>
        <row r="384">
          <cell r="C384">
            <v>3258063.1648262301</v>
          </cell>
          <cell r="D384">
            <v>0.68834792803577705</v>
          </cell>
          <cell r="E384">
            <v>213054</v>
          </cell>
          <cell r="F384">
            <v>146655.279459735</v>
          </cell>
          <cell r="G384">
            <v>4.5013025236285406E-2</v>
          </cell>
          <cell r="I384" t="str">
            <v>VA</v>
          </cell>
          <cell r="J384" t="str">
            <v>Med</v>
          </cell>
          <cell r="K384">
            <v>70332.333333333328</v>
          </cell>
        </row>
        <row r="385">
          <cell r="C385">
            <v>3431612.19186628</v>
          </cell>
          <cell r="D385">
            <v>0.71230400403207095</v>
          </cell>
          <cell r="E385">
            <v>177568</v>
          </cell>
          <cell r="F385">
            <v>126482.39738796699</v>
          </cell>
          <cell r="G385">
            <v>3.6858010263444027E-2</v>
          </cell>
          <cell r="I385" t="str">
            <v>VA</v>
          </cell>
          <cell r="J385" t="str">
            <v>Med</v>
          </cell>
          <cell r="K385">
            <v>86125.666666666672</v>
          </cell>
        </row>
        <row r="386">
          <cell r="C386">
            <v>3592403.49234511</v>
          </cell>
          <cell r="D386">
            <v>0.66587805281172596</v>
          </cell>
          <cell r="E386">
            <v>188448</v>
          </cell>
          <cell r="F386">
            <v>125483.387296264</v>
          </cell>
          <cell r="G386">
            <v>3.4930204127585018E-2</v>
          </cell>
          <cell r="I386" t="str">
            <v>VA</v>
          </cell>
          <cell r="J386" t="str">
            <v>Med</v>
          </cell>
          <cell r="K386">
            <v>66868.333333333328</v>
          </cell>
        </row>
        <row r="387">
          <cell r="C387">
            <v>3648852.5726999398</v>
          </cell>
          <cell r="D387">
            <v>0.73872237401573104</v>
          </cell>
          <cell r="E387">
            <v>202026</v>
          </cell>
          <cell r="F387">
            <v>149241.126332902</v>
          </cell>
          <cell r="G387">
            <v>4.0900837553563364E-2</v>
          </cell>
          <cell r="I387" t="str">
            <v>VA</v>
          </cell>
          <cell r="J387" t="str">
            <v>Med</v>
          </cell>
          <cell r="K387">
            <v>82692.666666666672</v>
          </cell>
        </row>
        <row r="388">
          <cell r="C388">
            <v>3361885.0103109502</v>
          </cell>
          <cell r="D388">
            <v>0.70077535661785495</v>
          </cell>
          <cell r="E388">
            <v>202567</v>
          </cell>
          <cell r="F388">
            <v>141953.961664009</v>
          </cell>
          <cell r="G388">
            <v>4.2224514291427019E-2</v>
          </cell>
          <cell r="I388" t="str">
            <v>VA</v>
          </cell>
          <cell r="J388" t="str">
            <v>Med</v>
          </cell>
          <cell r="K388">
            <v>75777.666666666672</v>
          </cell>
        </row>
        <row r="389">
          <cell r="C389">
            <v>4409538.8168132296</v>
          </cell>
          <cell r="D389">
            <v>0.75684590988308698</v>
          </cell>
          <cell r="E389">
            <v>161466</v>
          </cell>
          <cell r="F389">
            <v>122204.881685182</v>
          </cell>
          <cell r="G389">
            <v>2.7713755737725738E-2</v>
          </cell>
          <cell r="I389" t="str">
            <v>VA</v>
          </cell>
          <cell r="J389" t="str">
            <v>High</v>
          </cell>
          <cell r="K389">
            <v>123264</v>
          </cell>
        </row>
        <row r="390">
          <cell r="C390">
            <v>4653332.9349507699</v>
          </cell>
          <cell r="D390">
            <v>0.71622401849802497</v>
          </cell>
          <cell r="E390">
            <v>169196</v>
          </cell>
          <cell r="F390">
            <v>121182.23903379199</v>
          </cell>
          <cell r="G390">
            <v>2.6042030675175416E-2</v>
          </cell>
          <cell r="I390" t="str">
            <v>VA</v>
          </cell>
          <cell r="J390" t="str">
            <v>High</v>
          </cell>
          <cell r="K390">
            <v>130123</v>
          </cell>
        </row>
        <row r="391">
          <cell r="C391">
            <v>3143865.7892811</v>
          </cell>
          <cell r="D391">
            <v>0.72628162480014602</v>
          </cell>
          <cell r="E391">
            <v>180621</v>
          </cell>
          <cell r="F391">
            <v>131181.71335302701</v>
          </cell>
          <cell r="G391">
            <v>4.1726244739927018E-2</v>
          </cell>
          <cell r="I391" t="str">
            <v>VA</v>
          </cell>
          <cell r="J391" t="str">
            <v>Med</v>
          </cell>
          <cell r="K391">
            <v>64149.333333333336</v>
          </cell>
        </row>
        <row r="392">
          <cell r="C392">
            <v>3031303.5041682199</v>
          </cell>
          <cell r="D392">
            <v>0.70119540612155096</v>
          </cell>
          <cell r="E392">
            <v>213002</v>
          </cell>
          <cell r="F392">
            <v>149356.02389470299</v>
          </cell>
          <cell r="G392">
            <v>4.9271220677615982E-2</v>
          </cell>
          <cell r="I392" t="str">
            <v>VA</v>
          </cell>
          <cell r="J392" t="str">
            <v>Med</v>
          </cell>
          <cell r="K392">
            <v>57821.333333333336</v>
          </cell>
        </row>
        <row r="393">
          <cell r="C393">
            <v>2640902.2106376099</v>
          </cell>
          <cell r="D393">
            <v>0.65464000320306304</v>
          </cell>
          <cell r="E393">
            <v>214857</v>
          </cell>
          <cell r="F393">
            <v>140653.98716819999</v>
          </cell>
          <cell r="G393">
            <v>5.3259824086496939E-2</v>
          </cell>
          <cell r="I393" t="str">
            <v>VA</v>
          </cell>
          <cell r="J393" t="str">
            <v>Med</v>
          </cell>
          <cell r="K393">
            <v>47096</v>
          </cell>
        </row>
        <row r="394">
          <cell r="C394">
            <v>4175282.0412865099</v>
          </cell>
          <cell r="D394">
            <v>0.74804873197777599</v>
          </cell>
          <cell r="E394">
            <v>170278</v>
          </cell>
          <cell r="F394">
            <v>127376.241983712</v>
          </cell>
          <cell r="G394">
            <v>3.0507218608030646E-2</v>
          </cell>
          <cell r="I394" t="str">
            <v>VA</v>
          </cell>
          <cell r="J394" t="str">
            <v>High</v>
          </cell>
          <cell r="K394">
            <v>111399</v>
          </cell>
        </row>
        <row r="395">
          <cell r="C395">
            <v>4622768.5823622998</v>
          </cell>
          <cell r="D395">
            <v>0.72457271279059099</v>
          </cell>
          <cell r="E395">
            <v>166017</v>
          </cell>
          <cell r="F395">
            <v>120291.388059356</v>
          </cell>
          <cell r="G395">
            <v>2.6021503329912616E-2</v>
          </cell>
          <cell r="I395" t="str">
            <v>VA</v>
          </cell>
          <cell r="J395" t="str">
            <v>High</v>
          </cell>
          <cell r="K395">
            <v>126832.33333333333</v>
          </cell>
        </row>
        <row r="396">
          <cell r="C396">
            <v>2195118.9134739302</v>
          </cell>
          <cell r="D396">
            <v>0.747326801063396</v>
          </cell>
          <cell r="E396">
            <v>136816</v>
          </cell>
          <cell r="F396">
            <v>102246.26361429</v>
          </cell>
          <cell r="G396">
            <v>4.6578917883076359E-2</v>
          </cell>
          <cell r="I396" t="str">
            <v>VA</v>
          </cell>
          <cell r="J396" t="str">
            <v>Low</v>
          </cell>
          <cell r="K396">
            <v>25878</v>
          </cell>
        </row>
        <row r="397">
          <cell r="C397">
            <v>3349501.12961226</v>
          </cell>
          <cell r="D397">
            <v>0.68465375705436204</v>
          </cell>
          <cell r="E397">
            <v>185017</v>
          </cell>
          <cell r="F397">
            <v>126672.584168927</v>
          </cell>
          <cell r="G397">
            <v>3.781834346883492E-2</v>
          </cell>
          <cell r="I397" t="str">
            <v>VA</v>
          </cell>
          <cell r="J397" t="str">
            <v>Med</v>
          </cell>
          <cell r="K397">
            <v>78901.666666666672</v>
          </cell>
        </row>
        <row r="398">
          <cell r="C398">
            <v>1915508.6209028601</v>
          </cell>
          <cell r="D398">
            <v>0.73048597891828904</v>
          </cell>
          <cell r="E398">
            <v>137437</v>
          </cell>
          <cell r="F398">
            <v>100395.801484593</v>
          </cell>
          <cell r="G398">
            <v>5.24120854320521E-2</v>
          </cell>
          <cell r="I398" t="str">
            <v>VA</v>
          </cell>
          <cell r="J398" t="str">
            <v>Med</v>
          </cell>
          <cell r="K398">
            <v>72992</v>
          </cell>
        </row>
        <row r="399">
          <cell r="C399">
            <v>2561490.6226507002</v>
          </cell>
          <cell r="D399">
            <v>0.71294268809072203</v>
          </cell>
          <cell r="E399">
            <v>125065</v>
          </cell>
          <cell r="F399">
            <v>89164.177286066202</v>
          </cell>
          <cell r="G399">
            <v>3.4809488076047175E-2</v>
          </cell>
          <cell r="I399" t="str">
            <v>VA</v>
          </cell>
          <cell r="J399" t="str">
            <v>High</v>
          </cell>
          <cell r="K399">
            <v>119878</v>
          </cell>
        </row>
        <row r="400">
          <cell r="C400">
            <v>1653387.2247721299</v>
          </cell>
          <cell r="D400">
            <v>0.73035611151132496</v>
          </cell>
          <cell r="E400">
            <v>139572</v>
          </cell>
          <cell r="F400">
            <v>101937.26319585901</v>
          </cell>
          <cell r="G400">
            <v>6.1653593101826477E-2</v>
          </cell>
          <cell r="I400" t="str">
            <v>VA</v>
          </cell>
          <cell r="J400" t="str">
            <v>Med</v>
          </cell>
          <cell r="K400">
            <v>55273.333333333336</v>
          </cell>
        </row>
        <row r="401">
          <cell r="C401">
            <v>2400766.4931470798</v>
          </cell>
          <cell r="D401">
            <v>0.73464996290487194</v>
          </cell>
          <cell r="E401">
            <v>126664</v>
          </cell>
          <cell r="F401">
            <v>93053.702901382698</v>
          </cell>
          <cell r="G401">
            <v>3.8759997345431917E-2</v>
          </cell>
          <cell r="I401" t="str">
            <v>VA</v>
          </cell>
          <cell r="J401" t="str">
            <v>High</v>
          </cell>
          <cell r="K401">
            <v>108975.66666666667</v>
          </cell>
        </row>
        <row r="402">
          <cell r="C402">
            <v>1868456.5796366599</v>
          </cell>
          <cell r="D402">
            <v>0.75758826580198102</v>
          </cell>
          <cell r="E402">
            <v>127246</v>
          </cell>
          <cell r="F402">
            <v>96400.076470238797</v>
          </cell>
          <cell r="G402">
            <v>5.159342610411892E-2</v>
          </cell>
          <cell r="I402" t="str">
            <v>VA</v>
          </cell>
          <cell r="J402" t="str">
            <v>Med</v>
          </cell>
          <cell r="K402">
            <v>70133</v>
          </cell>
        </row>
        <row r="403">
          <cell r="C403">
            <v>1941307.26613211</v>
          </cell>
          <cell r="D403">
            <v>0.73311555307735199</v>
          </cell>
          <cell r="E403">
            <v>134212</v>
          </cell>
          <cell r="F403">
            <v>98392.904609617501</v>
          </cell>
          <cell r="G403">
            <v>5.0683838836938479E-2</v>
          </cell>
          <cell r="I403" t="str">
            <v>VA</v>
          </cell>
          <cell r="J403" t="str">
            <v>Med</v>
          </cell>
          <cell r="K403">
            <v>73769</v>
          </cell>
        </row>
        <row r="404">
          <cell r="C404">
            <v>2376399.4194470602</v>
          </cell>
          <cell r="D404">
            <v>0.71581186311733502</v>
          </cell>
          <cell r="E404">
            <v>121442</v>
          </cell>
          <cell r="F404">
            <v>86929.624280695396</v>
          </cell>
          <cell r="G404">
            <v>3.6580392828459013E-2</v>
          </cell>
          <cell r="I404" t="str">
            <v>VA</v>
          </cell>
          <cell r="J404" t="str">
            <v>High</v>
          </cell>
          <cell r="K404">
            <v>117573.33333333333</v>
          </cell>
        </row>
        <row r="405">
          <cell r="C405">
            <v>1509358.8633613801</v>
          </cell>
          <cell r="D405">
            <v>0.72473222002274995</v>
          </cell>
          <cell r="E405">
            <v>126065</v>
          </cell>
          <cell r="F405">
            <v>91363.367317167897</v>
          </cell>
          <cell r="G405">
            <v>6.0531242459927248E-2</v>
          </cell>
          <cell r="I405" t="str">
            <v>VA</v>
          </cell>
          <cell r="J405" t="str">
            <v>Med</v>
          </cell>
          <cell r="K405">
            <v>43634.333333333336</v>
          </cell>
        </row>
        <row r="406">
          <cell r="C406">
            <v>1850732.96287161</v>
          </cell>
          <cell r="D406">
            <v>0.74472251493408204</v>
          </cell>
          <cell r="E406">
            <v>142881</v>
          </cell>
          <cell r="F406">
            <v>106406.69765629699</v>
          </cell>
          <cell r="G406">
            <v>5.7494354826422733E-2</v>
          </cell>
          <cell r="I406" t="str">
            <v>VA</v>
          </cell>
          <cell r="J406" t="str">
            <v>Med</v>
          </cell>
          <cell r="K406">
            <v>68834</v>
          </cell>
        </row>
        <row r="407">
          <cell r="C407">
            <v>2110231.7116913698</v>
          </cell>
          <cell r="D407">
            <v>0.70279519773322696</v>
          </cell>
          <cell r="E407">
            <v>150252</v>
          </cell>
          <cell r="F407">
            <v>105596.384049813</v>
          </cell>
          <cell r="G407">
            <v>5.0040184433195037E-2</v>
          </cell>
          <cell r="I407" t="str">
            <v>VA</v>
          </cell>
          <cell r="J407" t="str">
            <v>Med</v>
          </cell>
          <cell r="K407">
            <v>90147.333333333328</v>
          </cell>
        </row>
        <row r="408">
          <cell r="C408">
            <v>1967083.6512154699</v>
          </cell>
          <cell r="D408">
            <v>0.713996458241004</v>
          </cell>
          <cell r="E408">
            <v>136108</v>
          </cell>
          <cell r="F408">
            <v>97180.629938266604</v>
          </cell>
          <cell r="G408">
            <v>4.9403404821253154E-2</v>
          </cell>
          <cell r="I408" t="str">
            <v>VA</v>
          </cell>
          <cell r="J408" t="str">
            <v>Med</v>
          </cell>
          <cell r="K408">
            <v>75389.666666666672</v>
          </cell>
        </row>
        <row r="409">
          <cell r="C409">
            <v>2171880.9475992499</v>
          </cell>
          <cell r="D409">
            <v>0.754844860540963</v>
          </cell>
          <cell r="E409">
            <v>140562</v>
          </cell>
          <cell r="F409">
            <v>106102.503287359</v>
          </cell>
          <cell r="G409">
            <v>4.8852817372260854E-2</v>
          </cell>
          <cell r="I409" t="str">
            <v>VA</v>
          </cell>
          <cell r="J409" t="str">
            <v>Med</v>
          </cell>
          <cell r="K409">
            <v>90636.666666666672</v>
          </cell>
        </row>
        <row r="410">
          <cell r="C410">
            <v>2228414.0839966298</v>
          </cell>
          <cell r="D410">
            <v>0.69630338225524202</v>
          </cell>
          <cell r="E410">
            <v>125439</v>
          </cell>
          <cell r="F410">
            <v>87343.599966715294</v>
          </cell>
          <cell r="G410">
            <v>3.9195408337244823E-2</v>
          </cell>
          <cell r="I410" t="str">
            <v>VA</v>
          </cell>
          <cell r="J410" t="str">
            <v>High</v>
          </cell>
          <cell r="K410">
            <v>104337.66666666667</v>
          </cell>
        </row>
        <row r="411">
          <cell r="C411">
            <v>1909819.82384085</v>
          </cell>
          <cell r="D411">
            <v>0.74428893009824904</v>
          </cell>
          <cell r="E411">
            <v>142618</v>
          </cell>
          <cell r="F411">
            <v>106148.998632752</v>
          </cell>
          <cell r="G411">
            <v>5.5580635046124469E-2</v>
          </cell>
          <cell r="I411" t="str">
            <v>VA</v>
          </cell>
          <cell r="J411" t="str">
            <v>Med</v>
          </cell>
          <cell r="K411">
            <v>74166.666666666672</v>
          </cell>
        </row>
        <row r="412">
          <cell r="C412">
            <v>1877085.1099185499</v>
          </cell>
          <cell r="D412">
            <v>0.72509351616136997</v>
          </cell>
          <cell r="E412">
            <v>148375</v>
          </cell>
          <cell r="F412">
            <v>107585.750460443</v>
          </cell>
          <cell r="G412">
            <v>5.7315328906482742E-2</v>
          </cell>
          <cell r="I412" t="str">
            <v>VA</v>
          </cell>
          <cell r="J412" t="str">
            <v>Med</v>
          </cell>
          <cell r="K412">
            <v>46839.666666666664</v>
          </cell>
        </row>
        <row r="413">
          <cell r="C413">
            <v>1924133.9596043001</v>
          </cell>
          <cell r="D413">
            <v>0.72962784829927596</v>
          </cell>
          <cell r="E413">
            <v>129891</v>
          </cell>
          <cell r="F413">
            <v>94772.0908434413</v>
          </cell>
          <cell r="G413">
            <v>4.9254414106869808E-2</v>
          </cell>
          <cell r="I413" t="str">
            <v>VA</v>
          </cell>
          <cell r="J413" t="str">
            <v>Med</v>
          </cell>
          <cell r="K413">
            <v>76752</v>
          </cell>
        </row>
        <row r="414">
          <cell r="C414">
            <v>3267449.32578866</v>
          </cell>
          <cell r="D414">
            <v>0.70246343331482897</v>
          </cell>
          <cell r="E414">
            <v>69424</v>
          </cell>
          <cell r="F414">
            <v>48767.8213944487</v>
          </cell>
          <cell r="G414">
            <v>1.4925348959368383E-2</v>
          </cell>
          <cell r="I414" t="str">
            <v>VA</v>
          </cell>
          <cell r="J414" t="str">
            <v>High</v>
          </cell>
          <cell r="K414">
            <v>176011.66666666666</v>
          </cell>
        </row>
        <row r="415">
          <cell r="C415">
            <v>2243113.4915228598</v>
          </cell>
          <cell r="D415">
            <v>0.73822277256887403</v>
          </cell>
          <cell r="E415">
            <v>139701</v>
          </cell>
          <cell r="F415">
            <v>103130.45955064399</v>
          </cell>
          <cell r="G415">
            <v>4.597647864916022E-2</v>
          </cell>
          <cell r="I415" t="str">
            <v>VA</v>
          </cell>
          <cell r="J415" t="str">
            <v>High</v>
          </cell>
          <cell r="K415">
            <v>101048.66666666667</v>
          </cell>
        </row>
        <row r="416">
          <cell r="C416">
            <v>1815363.6555131599</v>
          </cell>
          <cell r="D416">
            <v>0.69195761346889095</v>
          </cell>
          <cell r="E416">
            <v>154068</v>
          </cell>
          <cell r="F416">
            <v>106608.525591925</v>
          </cell>
          <cell r="G416">
            <v>5.8725713312680221E-2</v>
          </cell>
          <cell r="I416" t="str">
            <v>VA</v>
          </cell>
          <cell r="J416" t="str">
            <v>Med</v>
          </cell>
          <cell r="K416">
            <v>66000</v>
          </cell>
        </row>
        <row r="417">
          <cell r="C417">
            <v>1842223.2397246701</v>
          </cell>
          <cell r="D417">
            <v>0.72208720980082897</v>
          </cell>
          <cell r="E417">
            <v>147769</v>
          </cell>
          <cell r="F417">
            <v>106702.10490505899</v>
          </cell>
          <cell r="G417">
            <v>5.7920290334089033E-2</v>
          </cell>
          <cell r="I417" t="str">
            <v>VA</v>
          </cell>
          <cell r="J417" t="str">
            <v>Med</v>
          </cell>
          <cell r="K417">
            <v>70332.333333333328</v>
          </cell>
        </row>
        <row r="418">
          <cell r="C418">
            <v>2002611.87109197</v>
          </cell>
          <cell r="D418">
            <v>0.726313782044685</v>
          </cell>
          <cell r="E418">
            <v>131899</v>
          </cell>
          <cell r="F418">
            <v>95800.061537911999</v>
          </cell>
          <cell r="G418">
            <v>4.7837558001528682E-2</v>
          </cell>
          <cell r="I418" t="str">
            <v>VA</v>
          </cell>
          <cell r="J418" t="str">
            <v>Med</v>
          </cell>
          <cell r="K418">
            <v>86125.666666666672</v>
          </cell>
        </row>
        <row r="419">
          <cell r="C419">
            <v>2091928.16416445</v>
          </cell>
          <cell r="D419">
            <v>0.69355521762366101</v>
          </cell>
          <cell r="E419">
            <v>134296</v>
          </cell>
          <cell r="F419">
            <v>93141.691505987197</v>
          </cell>
          <cell r="G419">
            <v>4.4524325979037382E-2</v>
          </cell>
          <cell r="I419" t="str">
            <v>VA</v>
          </cell>
          <cell r="J419" t="str">
            <v>Med</v>
          </cell>
          <cell r="K419">
            <v>66868.333333333328</v>
          </cell>
        </row>
        <row r="420">
          <cell r="C420">
            <v>2113243.65048732</v>
          </cell>
          <cell r="D420">
            <v>0.72128177229853496</v>
          </cell>
          <cell r="E420">
            <v>150677</v>
          </cell>
          <cell r="F420">
            <v>108680.573604626</v>
          </cell>
          <cell r="G420">
            <v>5.1428321376744204E-2</v>
          </cell>
          <cell r="I420" t="str">
            <v>VA</v>
          </cell>
          <cell r="J420" t="str">
            <v>Med</v>
          </cell>
          <cell r="K420">
            <v>82692.666666666672</v>
          </cell>
        </row>
        <row r="421">
          <cell r="C421">
            <v>1987761.6399896001</v>
          </cell>
          <cell r="D421">
            <v>0.69202505813853299</v>
          </cell>
          <cell r="E421">
            <v>154005</v>
          </cell>
          <cell r="F421">
            <v>106575.31907862501</v>
          </cell>
          <cell r="G421">
            <v>5.3615743927517688E-2</v>
          </cell>
          <cell r="I421" t="str">
            <v>VA</v>
          </cell>
          <cell r="J421" t="str">
            <v>Med</v>
          </cell>
          <cell r="K421">
            <v>75777.666666666672</v>
          </cell>
        </row>
        <row r="422">
          <cell r="C422">
            <v>2564246.05210602</v>
          </cell>
          <cell r="D422">
            <v>0.74107910399793497</v>
          </cell>
          <cell r="E422">
            <v>122430</v>
          </cell>
          <cell r="F422">
            <v>90730.314702467207</v>
          </cell>
          <cell r="G422">
            <v>3.5382842698714591E-2</v>
          </cell>
          <cell r="I422" t="str">
            <v>VA</v>
          </cell>
          <cell r="J422" t="str">
            <v>High</v>
          </cell>
          <cell r="K422">
            <v>123264</v>
          </cell>
        </row>
        <row r="423">
          <cell r="C423">
            <v>2665746.3988011498</v>
          </cell>
          <cell r="D423">
            <v>0.74240951563862601</v>
          </cell>
          <cell r="E423">
            <v>119200</v>
          </cell>
          <cell r="F423">
            <v>88495.214264124195</v>
          </cell>
          <cell r="G423">
            <v>3.3197161704475196E-2</v>
          </cell>
          <cell r="I423" t="str">
            <v>VA</v>
          </cell>
          <cell r="J423" t="str">
            <v>High</v>
          </cell>
          <cell r="K423">
            <v>130123</v>
          </cell>
        </row>
        <row r="424">
          <cell r="C424">
            <v>1798632.4899297</v>
          </cell>
          <cell r="D424">
            <v>0.73877281475087897</v>
          </cell>
          <cell r="E424">
            <v>130476</v>
          </cell>
          <cell r="F424">
            <v>96392.121777435706</v>
          </cell>
          <cell r="G424">
            <v>5.359189401788423E-2</v>
          </cell>
          <cell r="I424" t="str">
            <v>VA</v>
          </cell>
          <cell r="J424" t="str">
            <v>Med</v>
          </cell>
          <cell r="K424">
            <v>64149.333333333336</v>
          </cell>
        </row>
        <row r="425">
          <cell r="C425">
            <v>1707903.07190565</v>
          </cell>
          <cell r="D425">
            <v>0.77600505267832198</v>
          </cell>
          <cell r="E425">
            <v>134020</v>
          </cell>
          <cell r="F425">
            <v>104000.19715994901</v>
          </cell>
          <cell r="G425">
            <v>6.089350084949921E-2</v>
          </cell>
          <cell r="I425" t="str">
            <v>VA</v>
          </cell>
          <cell r="J425" t="str">
            <v>Med</v>
          </cell>
          <cell r="K425">
            <v>57821.333333333336</v>
          </cell>
        </row>
        <row r="426">
          <cell r="C426">
            <v>1553242.00080059</v>
          </cell>
          <cell r="D426">
            <v>0.696255710352085</v>
          </cell>
          <cell r="E426">
            <v>153683</v>
          </cell>
          <cell r="F426">
            <v>107002.66633404</v>
          </cell>
          <cell r="G426">
            <v>6.8889887267333388E-2</v>
          </cell>
          <cell r="I426" t="str">
            <v>VA</v>
          </cell>
          <cell r="J426" t="str">
            <v>Med</v>
          </cell>
          <cell r="K426">
            <v>47096</v>
          </cell>
        </row>
        <row r="427">
          <cell r="C427">
            <v>2420425.8605470201</v>
          </cell>
          <cell r="D427">
            <v>0.77509772997533499</v>
          </cell>
          <cell r="E427">
            <v>120713</v>
          </cell>
          <cell r="F427">
            <v>93564.372278512601</v>
          </cell>
          <cell r="G427">
            <v>3.865616121675667E-2</v>
          </cell>
          <cell r="I427" t="str">
            <v>VA</v>
          </cell>
          <cell r="J427" t="str">
            <v>High</v>
          </cell>
          <cell r="K427">
            <v>111399</v>
          </cell>
        </row>
        <row r="428">
          <cell r="C428">
            <v>2660449.8685615901</v>
          </cell>
          <cell r="D428">
            <v>0.80449344111227605</v>
          </cell>
          <cell r="E428">
            <v>113796</v>
          </cell>
          <cell r="F428">
            <v>91548.135624812596</v>
          </cell>
          <cell r="G428">
            <v>3.4410772669176207E-2</v>
          </cell>
          <cell r="I428" t="str">
            <v>VA</v>
          </cell>
          <cell r="J428" t="str">
            <v>High</v>
          </cell>
          <cell r="K428">
            <v>126832.33333333333</v>
          </cell>
        </row>
        <row r="429">
          <cell r="C429">
            <v>1286240.95987362</v>
          </cell>
          <cell r="D429">
            <v>0.71975045096830004</v>
          </cell>
          <cell r="E429">
            <v>120057</v>
          </cell>
          <cell r="F429">
            <v>86411.079891901201</v>
          </cell>
          <cell r="G429">
            <v>6.718109793392954E-2</v>
          </cell>
          <cell r="I429" t="str">
            <v>VA</v>
          </cell>
          <cell r="J429" t="str">
            <v>Low</v>
          </cell>
          <cell r="K429">
            <v>25878</v>
          </cell>
        </row>
        <row r="430">
          <cell r="C430">
            <v>1966149.5774328001</v>
          </cell>
          <cell r="D430">
            <v>0.69478924657709196</v>
          </cell>
          <cell r="E430">
            <v>136674</v>
          </cell>
          <cell r="F430">
            <v>94959.625486677498</v>
          </cell>
          <cell r="G430">
            <v>4.8297253971219326E-2</v>
          </cell>
          <cell r="I430" t="str">
            <v>VA</v>
          </cell>
          <cell r="J430" t="str">
            <v>Med</v>
          </cell>
          <cell r="K430">
            <v>78901.666666666672</v>
          </cell>
        </row>
        <row r="431">
          <cell r="C431">
            <v>2135282.1798350299</v>
          </cell>
          <cell r="D431">
            <v>0.70229923081603196</v>
          </cell>
          <cell r="E431">
            <v>156622</v>
          </cell>
          <cell r="F431">
            <v>109995.51012886901</v>
          </cell>
          <cell r="G431">
            <v>5.1513336816854417E-2</v>
          </cell>
          <cell r="I431" t="str">
            <v>VA</v>
          </cell>
          <cell r="J431" t="str">
            <v>Med</v>
          </cell>
          <cell r="K431">
            <v>72992</v>
          </cell>
        </row>
        <row r="432">
          <cell r="C432">
            <v>2873916.7281144899</v>
          </cell>
          <cell r="D432">
            <v>0.72261409959052803</v>
          </cell>
          <cell r="E432">
            <v>135878</v>
          </cell>
          <cell r="F432">
            <v>98187.358624161701</v>
          </cell>
          <cell r="G432">
            <v>3.4164997775902907E-2</v>
          </cell>
          <cell r="I432" t="str">
            <v>VA</v>
          </cell>
          <cell r="J432" t="str">
            <v>High</v>
          </cell>
          <cell r="K432">
            <v>119878</v>
          </cell>
        </row>
        <row r="433">
          <cell r="C433">
            <v>1906617.4718388701</v>
          </cell>
          <cell r="D433">
            <v>0.72619918061187605</v>
          </cell>
          <cell r="E433">
            <v>166420</v>
          </cell>
          <cell r="F433">
            <v>120854.067637428</v>
          </cell>
          <cell r="G433">
            <v>6.3386635978358155E-2</v>
          </cell>
          <cell r="I433" t="str">
            <v>VA</v>
          </cell>
          <cell r="J433" t="str">
            <v>Med</v>
          </cell>
          <cell r="K433">
            <v>55273.333333333336</v>
          </cell>
        </row>
        <row r="434">
          <cell r="C434">
            <v>2683243.3470644099</v>
          </cell>
          <cell r="D434">
            <v>0.74006187144167201</v>
          </cell>
          <cell r="E434">
            <v>142997</v>
          </cell>
          <cell r="F434">
            <v>105826.62743054501</v>
          </cell>
          <cell r="G434">
            <v>3.9439817318963691E-2</v>
          </cell>
          <cell r="I434" t="str">
            <v>VA</v>
          </cell>
          <cell r="J434" t="str">
            <v>High</v>
          </cell>
          <cell r="K434">
            <v>108975.66666666667</v>
          </cell>
        </row>
        <row r="435">
          <cell r="C435">
            <v>2137368.2070062798</v>
          </cell>
          <cell r="D435">
            <v>0.76110750232910096</v>
          </cell>
          <cell r="E435">
            <v>147154</v>
          </cell>
          <cell r="F435">
            <v>112000.013397737</v>
          </cell>
          <cell r="G435">
            <v>5.2400897997173179E-2</v>
          </cell>
          <cell r="I435" t="str">
            <v>VA</v>
          </cell>
          <cell r="J435" t="str">
            <v>Med</v>
          </cell>
          <cell r="K435">
            <v>70133</v>
          </cell>
        </row>
        <row r="436">
          <cell r="C436">
            <v>2238505.4115096899</v>
          </cell>
          <cell r="D436">
            <v>0.72656536321459397</v>
          </cell>
          <cell r="E436">
            <v>155920</v>
          </cell>
          <cell r="F436">
            <v>113286.07143241999</v>
          </cell>
          <cell r="G436">
            <v>5.0607905993855853E-2</v>
          </cell>
          <cell r="I436" t="str">
            <v>VA</v>
          </cell>
          <cell r="J436" t="str">
            <v>Med</v>
          </cell>
          <cell r="K436">
            <v>73769</v>
          </cell>
        </row>
        <row r="437">
          <cell r="C437">
            <v>2739010.6445315098</v>
          </cell>
          <cell r="D437">
            <v>0.70711017040287005</v>
          </cell>
          <cell r="E437">
            <v>142546</v>
          </cell>
          <cell r="F437">
            <v>100795.72635024801</v>
          </cell>
          <cell r="G437">
            <v>3.6800049153327942E-2</v>
          </cell>
          <cell r="I437" t="str">
            <v>VA</v>
          </cell>
          <cell r="J437" t="str">
            <v>High</v>
          </cell>
          <cell r="K437">
            <v>117573.33333333333</v>
          </cell>
        </row>
        <row r="438">
          <cell r="C438">
            <v>1700907.93743857</v>
          </cell>
          <cell r="D438">
            <v>0.71399553005573202</v>
          </cell>
          <cell r="E438">
            <v>143069</v>
          </cell>
          <cell r="F438">
            <v>102150.626489544</v>
          </cell>
          <cell r="G438">
            <v>6.0056528775669415E-2</v>
          </cell>
          <cell r="I438" t="str">
            <v>VA</v>
          </cell>
          <cell r="J438" t="str">
            <v>Med</v>
          </cell>
          <cell r="K438">
            <v>43634.333333333336</v>
          </cell>
        </row>
        <row r="439">
          <cell r="C439">
            <v>2059361.95116068</v>
          </cell>
          <cell r="D439">
            <v>0.73344194862465895</v>
          </cell>
          <cell r="E439">
            <v>161535</v>
          </cell>
          <cell r="F439">
            <v>118476.545171084</v>
          </cell>
          <cell r="G439">
            <v>5.7530705131416678E-2</v>
          </cell>
          <cell r="I439" t="str">
            <v>VA</v>
          </cell>
          <cell r="J439" t="str">
            <v>Med</v>
          </cell>
          <cell r="K439">
            <v>68834</v>
          </cell>
        </row>
        <row r="440">
          <cell r="C440">
            <v>2417308.6921870601</v>
          </cell>
          <cell r="D440">
            <v>0.68747138037465905</v>
          </cell>
          <cell r="E440">
            <v>174267</v>
          </cell>
          <cell r="F440">
            <v>119803.575043751</v>
          </cell>
          <cell r="G440">
            <v>4.9560726534830235E-2</v>
          </cell>
          <cell r="I440" t="str">
            <v>VA</v>
          </cell>
          <cell r="J440" t="str">
            <v>Med</v>
          </cell>
          <cell r="K440">
            <v>90147.333333333328</v>
          </cell>
        </row>
        <row r="441">
          <cell r="C441">
            <v>2197514.73008643</v>
          </cell>
          <cell r="D441">
            <v>0.74232838001064705</v>
          </cell>
          <cell r="E441">
            <v>145368</v>
          </cell>
          <cell r="F441">
            <v>107910.791945388</v>
          </cell>
          <cell r="G441">
            <v>4.9105833270634683E-2</v>
          </cell>
          <cell r="I441" t="str">
            <v>VA</v>
          </cell>
          <cell r="J441" t="str">
            <v>Med</v>
          </cell>
          <cell r="K441">
            <v>75389.666666666672</v>
          </cell>
        </row>
        <row r="442">
          <cell r="C442">
            <v>2409328.1873528901</v>
          </cell>
          <cell r="D442">
            <v>0.70464582235044804</v>
          </cell>
          <cell r="E442">
            <v>160689</v>
          </cell>
          <cell r="F442">
            <v>113228.832547671</v>
          </cell>
          <cell r="G442">
            <v>4.6996018700164975E-2</v>
          </cell>
          <cell r="I442" t="str">
            <v>VA</v>
          </cell>
          <cell r="J442" t="str">
            <v>Med</v>
          </cell>
          <cell r="K442">
            <v>90636.666666666672</v>
          </cell>
        </row>
        <row r="443">
          <cell r="C443">
            <v>2561639.6009600898</v>
          </cell>
          <cell r="D443">
            <v>0.690431947878696</v>
          </cell>
          <cell r="E443">
            <v>143514</v>
          </cell>
          <cell r="F443">
            <v>99086.650567863195</v>
          </cell>
          <cell r="G443">
            <v>3.8680948924558319E-2</v>
          </cell>
          <cell r="I443" t="str">
            <v>VA</v>
          </cell>
          <cell r="J443" t="str">
            <v>High</v>
          </cell>
          <cell r="K443">
            <v>104337.66666666667</v>
          </cell>
        </row>
        <row r="444">
          <cell r="C444">
            <v>2142319.3925106502</v>
          </cell>
          <cell r="D444">
            <v>0.74929399042553602</v>
          </cell>
          <cell r="E444">
            <v>159563</v>
          </cell>
          <cell r="F444">
            <v>119559.59699427</v>
          </cell>
          <cell r="G444">
            <v>5.5808483745345937E-2</v>
          </cell>
          <cell r="I444" t="str">
            <v>VA</v>
          </cell>
          <cell r="J444" t="str">
            <v>Med</v>
          </cell>
          <cell r="K444">
            <v>74166.666666666672</v>
          </cell>
        </row>
        <row r="445">
          <cell r="C445">
            <v>2159488.1135297501</v>
          </cell>
          <cell r="D445">
            <v>0.73764664173904804</v>
          </cell>
          <cell r="E445">
            <v>167669</v>
          </cell>
          <cell r="F445">
            <v>123680.474773744</v>
          </cell>
          <cell r="G445">
            <v>5.7273051886164099E-2</v>
          </cell>
          <cell r="I445" t="str">
            <v>VA</v>
          </cell>
          <cell r="J445" t="str">
            <v>Med</v>
          </cell>
          <cell r="K445">
            <v>46839.666666666664</v>
          </cell>
        </row>
        <row r="446">
          <cell r="C446">
            <v>2153428.2519848198</v>
          </cell>
          <cell r="D446">
            <v>0.710738193439721</v>
          </cell>
          <cell r="E446">
            <v>148855</v>
          </cell>
          <cell r="F446">
            <v>105796.93378447001</v>
          </cell>
          <cell r="G446">
            <v>4.9129537372307033E-2</v>
          </cell>
          <cell r="I446" t="str">
            <v>VA</v>
          </cell>
          <cell r="J446" t="str">
            <v>Med</v>
          </cell>
          <cell r="K446">
            <v>76752</v>
          </cell>
        </row>
        <row r="447">
          <cell r="C447">
            <v>3757676.1646472602</v>
          </cell>
          <cell r="D447">
            <v>0.69580527741972797</v>
          </cell>
          <cell r="E447">
            <v>81630</v>
          </cell>
          <cell r="F447">
            <v>56798.584795772404</v>
          </cell>
          <cell r="G447">
            <v>1.5115348504520263E-2</v>
          </cell>
          <cell r="I447" t="str">
            <v>VA</v>
          </cell>
          <cell r="J447" t="str">
            <v>High</v>
          </cell>
          <cell r="K447">
            <v>176011.66666666666</v>
          </cell>
        </row>
        <row r="448">
          <cell r="C448">
            <v>2604067.1167722498</v>
          </cell>
          <cell r="D448">
            <v>0.72669163300323403</v>
          </cell>
          <cell r="E448">
            <v>161748</v>
          </cell>
          <cell r="F448">
            <v>117540.918255007</v>
          </cell>
          <cell r="G448">
            <v>4.5137438085965841E-2</v>
          </cell>
          <cell r="I448" t="str">
            <v>VA</v>
          </cell>
          <cell r="J448" t="str">
            <v>High</v>
          </cell>
          <cell r="K448">
            <v>101048.66666666667</v>
          </cell>
        </row>
        <row r="449">
          <cell r="C449">
            <v>2067165.96157234</v>
          </cell>
          <cell r="D449">
            <v>0.68698250860580701</v>
          </cell>
          <cell r="E449">
            <v>175870</v>
          </cell>
          <cell r="F449">
            <v>120819.613788503</v>
          </cell>
          <cell r="G449">
            <v>5.8446982987570326E-2</v>
          </cell>
          <cell r="I449" t="str">
            <v>VA</v>
          </cell>
          <cell r="J449" t="str">
            <v>Med</v>
          </cell>
          <cell r="K449">
            <v>66000</v>
          </cell>
        </row>
        <row r="450">
          <cell r="C450">
            <v>2150605.5481686699</v>
          </cell>
          <cell r="D450">
            <v>0.72161615500262299</v>
          </cell>
          <cell r="E450">
            <v>171905</v>
          </cell>
          <cell r="F450">
            <v>124049.425125726</v>
          </cell>
          <cell r="G450">
            <v>5.7681161118253069E-2</v>
          </cell>
          <cell r="I450" t="str">
            <v>VA</v>
          </cell>
          <cell r="J450" t="str">
            <v>Med</v>
          </cell>
          <cell r="K450">
            <v>70332.333333333328</v>
          </cell>
        </row>
        <row r="451">
          <cell r="C451">
            <v>2279237.0127804498</v>
          </cell>
          <cell r="D451">
            <v>0.75185602049823497</v>
          </cell>
          <cell r="E451">
            <v>143647</v>
          </cell>
          <cell r="F451">
            <v>108001.86177651001</v>
          </cell>
          <cell r="G451">
            <v>4.7385094736048593E-2</v>
          </cell>
          <cell r="I451" t="str">
            <v>VA</v>
          </cell>
          <cell r="J451" t="str">
            <v>Med</v>
          </cell>
          <cell r="K451">
            <v>86125.666666666672</v>
          </cell>
        </row>
        <row r="452">
          <cell r="C452">
            <v>2412187.4617193402</v>
          </cell>
          <cell r="D452">
            <v>0.68907747528279295</v>
          </cell>
          <cell r="E452">
            <v>158448</v>
          </cell>
          <cell r="F452">
            <v>109182.947803608</v>
          </cell>
          <cell r="G452">
            <v>4.5263044243578576E-2</v>
          </cell>
          <cell r="I452" t="str">
            <v>VA</v>
          </cell>
          <cell r="J452" t="str">
            <v>Med</v>
          </cell>
          <cell r="K452">
            <v>66868.333333333328</v>
          </cell>
        </row>
        <row r="453">
          <cell r="C453">
            <v>2380587.8952442901</v>
          </cell>
          <cell r="D453">
            <v>0.75137902280333202</v>
          </cell>
          <cell r="E453">
            <v>166012</v>
          </cell>
          <cell r="F453">
            <v>124737.934333627</v>
          </cell>
          <cell r="G453">
            <v>5.2397953708332494E-2</v>
          </cell>
          <cell r="I453" t="str">
            <v>VA</v>
          </cell>
          <cell r="J453" t="str">
            <v>Med</v>
          </cell>
          <cell r="K453">
            <v>82692.666666666672</v>
          </cell>
        </row>
        <row r="454">
          <cell r="C454">
            <v>2221437.7236460201</v>
          </cell>
          <cell r="D454">
            <v>0.69769166911602298</v>
          </cell>
          <cell r="E454">
            <v>173463</v>
          </cell>
          <cell r="F454">
            <v>121023.68999987299</v>
          </cell>
          <cell r="G454">
            <v>5.4479893229344378E-2</v>
          </cell>
          <cell r="I454" t="str">
            <v>VA</v>
          </cell>
          <cell r="J454" t="str">
            <v>Med</v>
          </cell>
          <cell r="K454">
            <v>75777.666666666672</v>
          </cell>
        </row>
        <row r="455">
          <cell r="C455">
            <v>2791912.1958223898</v>
          </cell>
          <cell r="D455">
            <v>0.75283230059946604</v>
          </cell>
          <cell r="E455">
            <v>132011</v>
          </cell>
          <cell r="F455">
            <v>99382.144834436098</v>
          </cell>
          <cell r="G455">
            <v>3.5596443535417827E-2</v>
          </cell>
          <cell r="I455" t="str">
            <v>VA</v>
          </cell>
          <cell r="J455" t="str">
            <v>High</v>
          </cell>
          <cell r="K455">
            <v>123264</v>
          </cell>
        </row>
        <row r="456">
          <cell r="C456">
            <v>2993216.6675462699</v>
          </cell>
          <cell r="D456">
            <v>0.72923479220513998</v>
          </cell>
          <cell r="E456">
            <v>137761</v>
          </cell>
          <cell r="F456">
            <v>100460.11420897199</v>
          </cell>
          <cell r="G456">
            <v>3.3562593479517649E-2</v>
          </cell>
          <cell r="I456" t="str">
            <v>VA</v>
          </cell>
          <cell r="J456" t="str">
            <v>High</v>
          </cell>
          <cell r="K456">
            <v>130123</v>
          </cell>
        </row>
        <row r="457">
          <cell r="C457">
            <v>2054178.92656336</v>
          </cell>
          <cell r="D457">
            <v>0.75352477925979799</v>
          </cell>
          <cell r="E457">
            <v>141756</v>
          </cell>
          <cell r="F457">
            <v>106816.658608752</v>
          </cell>
          <cell r="G457">
            <v>5.1999685727209845E-2</v>
          </cell>
          <cell r="I457" t="str">
            <v>VA</v>
          </cell>
          <cell r="J457" t="str">
            <v>Med</v>
          </cell>
          <cell r="K457">
            <v>64149.333333333336</v>
          </cell>
        </row>
        <row r="458">
          <cell r="C458">
            <v>1982869.91186086</v>
          </cell>
          <cell r="D458">
            <v>0.74088793357757798</v>
          </cell>
          <cell r="E458">
            <v>165509</v>
          </cell>
          <cell r="F458">
            <v>122623.62099849099</v>
          </cell>
          <cell r="G458">
            <v>6.1841485548294314E-2</v>
          </cell>
          <cell r="I458" t="str">
            <v>VA</v>
          </cell>
          <cell r="J458" t="str">
            <v>Med</v>
          </cell>
          <cell r="K458">
            <v>57821.333333333336</v>
          </cell>
        </row>
        <row r="459">
          <cell r="C459">
            <v>1772261.33877258</v>
          </cell>
          <cell r="D459">
            <v>0.70469078315190403</v>
          </cell>
          <cell r="E459">
            <v>171823</v>
          </cell>
          <cell r="F459">
            <v>121082.08443351</v>
          </cell>
          <cell r="G459">
            <v>6.8320671327947696E-2</v>
          </cell>
          <cell r="I459" t="str">
            <v>VA</v>
          </cell>
          <cell r="J459" t="str">
            <v>Med</v>
          </cell>
          <cell r="K459">
            <v>47096</v>
          </cell>
        </row>
        <row r="460">
          <cell r="C460">
            <v>2782363.7576380302</v>
          </cell>
          <cell r="D460">
            <v>0.73753014658687199</v>
          </cell>
          <cell r="E460">
            <v>142867</v>
          </cell>
          <cell r="F460">
            <v>105368.719452427</v>
          </cell>
          <cell r="G460">
            <v>3.7870217063880718E-2</v>
          </cell>
          <cell r="I460" t="str">
            <v>VA</v>
          </cell>
          <cell r="J460" t="str">
            <v>High</v>
          </cell>
          <cell r="K460">
            <v>111399</v>
          </cell>
        </row>
        <row r="461">
          <cell r="C461">
            <v>2990606.3657433898</v>
          </cell>
          <cell r="D461">
            <v>0.75463455412246805</v>
          </cell>
          <cell r="E461">
            <v>133908</v>
          </cell>
          <cell r="F461">
            <v>101051.603873431</v>
          </cell>
          <cell r="G461">
            <v>3.3789670560108002E-2</v>
          </cell>
          <cell r="I461" t="str">
            <v>VA</v>
          </cell>
          <cell r="J461" t="str">
            <v>High</v>
          </cell>
          <cell r="K461">
            <v>126832.33333333333</v>
          </cell>
        </row>
        <row r="462">
          <cell r="C462">
            <v>1453964.0499392999</v>
          </cell>
          <cell r="D462">
            <v>0.71254947928661305</v>
          </cell>
          <cell r="E462">
            <v>139955</v>
          </cell>
          <cell r="F462">
            <v>99724.862373557902</v>
          </cell>
          <cell r="G462">
            <v>6.8588258683370623E-2</v>
          </cell>
          <cell r="I462" t="str">
            <v>VA</v>
          </cell>
          <cell r="J462" t="str">
            <v>Low</v>
          </cell>
          <cell r="K462">
            <v>25878</v>
          </cell>
        </row>
        <row r="463">
          <cell r="C463">
            <v>2211210.0779631101</v>
          </cell>
          <cell r="D463">
            <v>0.72614149444489995</v>
          </cell>
          <cell r="E463">
            <v>144936</v>
          </cell>
          <cell r="F463">
            <v>105244.043638866</v>
          </cell>
          <cell r="G463">
            <v>4.7595678351743567E-2</v>
          </cell>
          <cell r="I463" t="str">
            <v>VA</v>
          </cell>
          <cell r="J463" t="str">
            <v>Med</v>
          </cell>
          <cell r="K463">
            <v>78901.666666666672</v>
          </cell>
        </row>
        <row r="464">
          <cell r="C464">
            <v>2423268.0383395702</v>
          </cell>
          <cell r="D464">
            <v>0.77304554992886498</v>
          </cell>
          <cell r="E464">
            <v>168201</v>
          </cell>
          <cell r="F464">
            <v>130027.034543585</v>
          </cell>
          <cell r="G464">
            <v>5.3657718620627654E-2</v>
          </cell>
          <cell r="I464" t="str">
            <v>VA</v>
          </cell>
          <cell r="J464" t="str">
            <v>Med</v>
          </cell>
          <cell r="K464">
            <v>72992</v>
          </cell>
        </row>
        <row r="465">
          <cell r="C465">
            <v>3179558.83565534</v>
          </cell>
          <cell r="D465">
            <v>0.73020987072324495</v>
          </cell>
          <cell r="E465">
            <v>157080</v>
          </cell>
          <cell r="F465">
            <v>114701.366493207</v>
          </cell>
          <cell r="G465">
            <v>3.607461676977141E-2</v>
          </cell>
          <cell r="I465" t="str">
            <v>VA</v>
          </cell>
          <cell r="J465" t="str">
            <v>High</v>
          </cell>
          <cell r="K465">
            <v>119878</v>
          </cell>
        </row>
        <row r="466">
          <cell r="C466">
            <v>2123198.8571734698</v>
          </cell>
          <cell r="D466">
            <v>0.70544186283690902</v>
          </cell>
          <cell r="E466">
            <v>196652</v>
          </cell>
          <cell r="F466">
            <v>138726.553210604</v>
          </cell>
          <cell r="G466">
            <v>6.5338464525779349E-2</v>
          </cell>
          <cell r="I466" t="str">
            <v>VA</v>
          </cell>
          <cell r="J466" t="str">
            <v>Med</v>
          </cell>
          <cell r="K466">
            <v>55273.333333333336</v>
          </cell>
        </row>
        <row r="467">
          <cell r="C467">
            <v>2986763.61925634</v>
          </cell>
          <cell r="D467">
            <v>0.71559835382358095</v>
          </cell>
          <cell r="E467">
            <v>173116</v>
          </cell>
          <cell r="F467">
            <v>123881.52462052301</v>
          </cell>
          <cell r="G467">
            <v>4.1476842633890017E-2</v>
          </cell>
          <cell r="I467" t="str">
            <v>VA</v>
          </cell>
          <cell r="J467" t="str">
            <v>High</v>
          </cell>
          <cell r="K467">
            <v>108975.66666666667</v>
          </cell>
        </row>
        <row r="468">
          <cell r="C468">
            <v>2391044.2270802301</v>
          </cell>
          <cell r="D468">
            <v>0.724465567352233</v>
          </cell>
          <cell r="E468">
            <v>182905</v>
          </cell>
          <cell r="F468">
            <v>132508.37459656</v>
          </cell>
          <cell r="G468">
            <v>5.5418621326954548E-2</v>
          </cell>
          <cell r="I468" t="str">
            <v>VA</v>
          </cell>
          <cell r="J468" t="str">
            <v>Med</v>
          </cell>
          <cell r="K468">
            <v>70133</v>
          </cell>
        </row>
        <row r="469">
          <cell r="C469">
            <v>2464245.3420022898</v>
          </cell>
          <cell r="D469">
            <v>0.738000695848404</v>
          </cell>
          <cell r="E469">
            <v>176453</v>
          </cell>
          <cell r="F469">
            <v>130222.436784538</v>
          </cell>
          <cell r="G469">
            <v>5.2844753144071076E-2</v>
          </cell>
          <cell r="I469" t="str">
            <v>VA</v>
          </cell>
          <cell r="J469" t="str">
            <v>Med</v>
          </cell>
          <cell r="K469">
            <v>73769</v>
          </cell>
        </row>
        <row r="470">
          <cell r="C470">
            <v>3076601.9399975799</v>
          </cell>
          <cell r="D470">
            <v>0.72318028563313397</v>
          </cell>
          <cell r="E470">
            <v>164195</v>
          </cell>
          <cell r="F470">
            <v>118742.586999532</v>
          </cell>
          <cell r="G470">
            <v>3.8595368954238325E-2</v>
          </cell>
          <cell r="I470" t="str">
            <v>VA</v>
          </cell>
          <cell r="J470" t="str">
            <v>High</v>
          </cell>
          <cell r="K470">
            <v>117573.33333333333</v>
          </cell>
        </row>
        <row r="471">
          <cell r="C471">
            <v>1889755.8340451799</v>
          </cell>
          <cell r="D471">
            <v>0.71695984359590703</v>
          </cell>
          <cell r="E471">
            <v>170991</v>
          </cell>
          <cell r="F471">
            <v>122593.680616308</v>
          </cell>
          <cell r="G471">
            <v>6.4872762082647473E-2</v>
          </cell>
          <cell r="I471" t="str">
            <v>VA</v>
          </cell>
          <cell r="J471" t="str">
            <v>Med</v>
          </cell>
          <cell r="K471">
            <v>43634.333333333336</v>
          </cell>
        </row>
        <row r="472">
          <cell r="C472">
            <v>2345883.86335818</v>
          </cell>
          <cell r="D472">
            <v>0.75178871442289397</v>
          </cell>
          <cell r="E472">
            <v>192623</v>
          </cell>
          <cell r="F472">
            <v>144811.79753828101</v>
          </cell>
          <cell r="G472">
            <v>6.1730164821961815E-2</v>
          </cell>
          <cell r="I472" t="str">
            <v>VA</v>
          </cell>
          <cell r="J472" t="str">
            <v>Med</v>
          </cell>
          <cell r="K472">
            <v>68834</v>
          </cell>
        </row>
        <row r="473">
          <cell r="C473">
            <v>2710582.7871681699</v>
          </cell>
          <cell r="D473">
            <v>0.69250165084482895</v>
          </cell>
          <cell r="E473">
            <v>210355</v>
          </cell>
          <cell r="F473">
            <v>145671.184763464</v>
          </cell>
          <cell r="G473">
            <v>5.3741647535381576E-2</v>
          </cell>
          <cell r="I473" t="str">
            <v>VA</v>
          </cell>
          <cell r="J473" t="str">
            <v>Med</v>
          </cell>
          <cell r="K473">
            <v>90147.333333333328</v>
          </cell>
        </row>
        <row r="474">
          <cell r="C474">
            <v>2441268.23285357</v>
          </cell>
          <cell r="D474">
            <v>0.74326259243048798</v>
          </cell>
          <cell r="E474">
            <v>171405</v>
          </cell>
          <cell r="F474">
            <v>127398.92465554801</v>
          </cell>
          <cell r="G474">
            <v>5.2185549683179587E-2</v>
          </cell>
          <cell r="I474" t="str">
            <v>VA</v>
          </cell>
          <cell r="J474" t="str">
            <v>Med</v>
          </cell>
          <cell r="K474">
            <v>75389.666666666672</v>
          </cell>
        </row>
        <row r="475">
          <cell r="C475">
            <v>2677945.18378948</v>
          </cell>
          <cell r="D475">
            <v>0.72453792542239503</v>
          </cell>
          <cell r="E475">
            <v>187416</v>
          </cell>
          <cell r="F475">
            <v>135789.99983096399</v>
          </cell>
          <cell r="G475">
            <v>5.070678841857832E-2</v>
          </cell>
          <cell r="I475" t="str">
            <v>VA</v>
          </cell>
          <cell r="J475" t="str">
            <v>Med</v>
          </cell>
          <cell r="K475">
            <v>90636.666666666672</v>
          </cell>
        </row>
        <row r="476">
          <cell r="C476">
            <v>2864842.3625029698</v>
          </cell>
          <cell r="D476">
            <v>0.70521809047290296</v>
          </cell>
          <cell r="E476">
            <v>166786</v>
          </cell>
          <cell r="F476">
            <v>117620.504437614</v>
          </cell>
          <cell r="G476">
            <v>4.1056536295718107E-2</v>
          </cell>
          <cell r="I476" t="str">
            <v>VA</v>
          </cell>
          <cell r="J476" t="str">
            <v>High</v>
          </cell>
          <cell r="K476">
            <v>104337.66666666667</v>
          </cell>
        </row>
        <row r="477">
          <cell r="C477">
            <v>2411817.9805035801</v>
          </cell>
          <cell r="D477">
            <v>0.76532715164952503</v>
          </cell>
          <cell r="E477">
            <v>187433</v>
          </cell>
          <cell r="F477">
            <v>143447.56401512501</v>
          </cell>
          <cell r="G477">
            <v>5.9476944435572048E-2</v>
          </cell>
          <cell r="I477" t="str">
            <v>VA</v>
          </cell>
          <cell r="J477" t="str">
            <v>Med</v>
          </cell>
          <cell r="K477">
            <v>74166.666666666672</v>
          </cell>
        </row>
        <row r="478">
          <cell r="C478">
            <v>2386857.0375947398</v>
          </cell>
          <cell r="D478">
            <v>0.721883616630286</v>
          </cell>
          <cell r="E478">
            <v>205318</v>
          </cell>
          <cell r="F478">
            <v>148215.700399297</v>
          </cell>
          <cell r="G478">
            <v>6.2096597351576396E-2</v>
          </cell>
          <cell r="I478" t="str">
            <v>VA</v>
          </cell>
          <cell r="J478" t="str">
            <v>Med</v>
          </cell>
          <cell r="K478">
            <v>46839.666666666664</v>
          </cell>
        </row>
        <row r="479">
          <cell r="C479">
            <v>2457875.6085324502</v>
          </cell>
          <cell r="D479">
            <v>0.71949708281809799</v>
          </cell>
          <cell r="E479">
            <v>176686</v>
          </cell>
          <cell r="F479">
            <v>127125.061574798</v>
          </cell>
          <cell r="G479">
            <v>5.1721519646269615E-2</v>
          </cell>
          <cell r="I479" t="str">
            <v>VA</v>
          </cell>
          <cell r="J479" t="str">
            <v>Med</v>
          </cell>
          <cell r="K479">
            <v>76752</v>
          </cell>
        </row>
        <row r="480">
          <cell r="C480">
            <v>4171600.5210720901</v>
          </cell>
          <cell r="D480">
            <v>0.68874402821700598</v>
          </cell>
          <cell r="E480">
            <v>94852</v>
          </cell>
          <cell r="F480">
            <v>65328.748564439498</v>
          </cell>
          <cell r="G480">
            <v>1.5660355835714151E-2</v>
          </cell>
          <cell r="I480" t="str">
            <v>VA</v>
          </cell>
          <cell r="J480" t="str">
            <v>High</v>
          </cell>
          <cell r="K480">
            <v>176011.66666666666</v>
          </cell>
        </row>
        <row r="481">
          <cell r="C481">
            <v>2947357.4334965502</v>
          </cell>
          <cell r="D481">
            <v>0.77520217971390204</v>
          </cell>
          <cell r="E481">
            <v>182403</v>
          </cell>
          <cell r="F481">
            <v>141399.20318635501</v>
          </cell>
          <cell r="G481">
            <v>4.797490849917322E-2</v>
          </cell>
          <cell r="I481" t="str">
            <v>VA</v>
          </cell>
          <cell r="J481" t="str">
            <v>High</v>
          </cell>
          <cell r="K481">
            <v>101048.66666666667</v>
          </cell>
        </row>
        <row r="482">
          <cell r="C482">
            <v>2267010.0913144802</v>
          </cell>
          <cell r="D482">
            <v>0.69669750739122105</v>
          </cell>
          <cell r="E482">
            <v>200107</v>
          </cell>
          <cell r="F482">
            <v>139414.048111535</v>
          </cell>
          <cell r="G482">
            <v>6.1496880250188284E-2</v>
          </cell>
          <cell r="I482" t="str">
            <v>VA</v>
          </cell>
          <cell r="J482" t="str">
            <v>Med</v>
          </cell>
          <cell r="K482">
            <v>66000</v>
          </cell>
        </row>
        <row r="483">
          <cell r="C483">
            <v>2380241.1002373798</v>
          </cell>
          <cell r="D483">
            <v>0.70579510303987103</v>
          </cell>
          <cell r="E483">
            <v>205461</v>
          </cell>
          <cell r="F483">
            <v>145013.367665675</v>
          </cell>
          <cell r="G483">
            <v>6.0923814672056931E-2</v>
          </cell>
          <cell r="I483" t="str">
            <v>VA</v>
          </cell>
          <cell r="J483" t="str">
            <v>Med</v>
          </cell>
          <cell r="K483">
            <v>70332.333333333328</v>
          </cell>
        </row>
        <row r="484">
          <cell r="C484">
            <v>2587593.6163574602</v>
          </cell>
          <cell r="D484">
            <v>0.73868183525649</v>
          </cell>
          <cell r="E484">
            <v>177455</v>
          </cell>
          <cell r="F484">
            <v>131082.78507544001</v>
          </cell>
          <cell r="G484">
            <v>5.0658180730853888E-2</v>
          </cell>
          <cell r="I484" t="str">
            <v>VA</v>
          </cell>
          <cell r="J484" t="str">
            <v>Med</v>
          </cell>
          <cell r="K484">
            <v>86125.666666666672</v>
          </cell>
        </row>
        <row r="485">
          <cell r="C485">
            <v>2636020.1578926202</v>
          </cell>
          <cell r="D485">
            <v>0.66860680215107104</v>
          </cell>
          <cell r="E485">
            <v>182478</v>
          </cell>
          <cell r="F485">
            <v>122006.03204292301</v>
          </cell>
          <cell r="G485">
            <v>4.6284180216763345E-2</v>
          </cell>
          <cell r="I485" t="str">
            <v>VA</v>
          </cell>
          <cell r="J485" t="str">
            <v>Med</v>
          </cell>
          <cell r="K485">
            <v>66868.333333333328</v>
          </cell>
        </row>
        <row r="486">
          <cell r="C486">
            <v>2699778.0547778402</v>
          </cell>
          <cell r="D486">
            <v>0.75422741043698904</v>
          </cell>
          <cell r="E486">
            <v>197245</v>
          </cell>
          <cell r="F486">
            <v>148767.58557164401</v>
          </cell>
          <cell r="G486">
            <v>5.5103635392682614E-2</v>
          </cell>
          <cell r="I486" t="str">
            <v>VA</v>
          </cell>
          <cell r="J486" t="str">
            <v>Med</v>
          </cell>
          <cell r="K486">
            <v>82692.666666666672</v>
          </cell>
        </row>
        <row r="487">
          <cell r="C487">
            <v>2484152.2801047</v>
          </cell>
          <cell r="D487">
            <v>0.70679703689949203</v>
          </cell>
          <cell r="E487">
            <v>198174</v>
          </cell>
          <cell r="F487">
            <v>140068.79599052001</v>
          </cell>
          <cell r="G487">
            <v>5.6384947538166426E-2</v>
          </cell>
          <cell r="I487" t="str">
            <v>VA</v>
          </cell>
          <cell r="J487" t="str">
            <v>Med</v>
          </cell>
          <cell r="K487">
            <v>75777.666666666672</v>
          </cell>
        </row>
        <row r="488">
          <cell r="C488">
            <v>3215202.34241154</v>
          </cell>
          <cell r="D488">
            <v>0.73523960133659405</v>
          </cell>
          <cell r="E488">
            <v>161392</v>
          </cell>
          <cell r="F488">
            <v>118661.78973891601</v>
          </cell>
          <cell r="G488">
            <v>3.6906476514294448E-2</v>
          </cell>
          <cell r="I488" t="str">
            <v>VA</v>
          </cell>
          <cell r="J488" t="str">
            <v>High</v>
          </cell>
          <cell r="K488">
            <v>123264</v>
          </cell>
        </row>
        <row r="489">
          <cell r="C489">
            <v>3272192.1678597699</v>
          </cell>
          <cell r="D489">
            <v>0.74483956277728502</v>
          </cell>
          <cell r="E489">
            <v>156614</v>
          </cell>
          <cell r="F489">
            <v>116652.30328480199</v>
          </cell>
          <cell r="G489">
            <v>3.5649588196741001E-2</v>
          </cell>
          <cell r="I489" t="str">
            <v>VA</v>
          </cell>
          <cell r="J489" t="str">
            <v>High</v>
          </cell>
          <cell r="K489">
            <v>130123</v>
          </cell>
        </row>
        <row r="490">
          <cell r="C490">
            <v>2316577.04618967</v>
          </cell>
          <cell r="D490">
            <v>0.73969177115836404</v>
          </cell>
          <cell r="E490">
            <v>177515</v>
          </cell>
          <cell r="F490">
            <v>131306.384757177</v>
          </cell>
          <cell r="G490">
            <v>5.6681207721172543E-2</v>
          </cell>
          <cell r="I490" t="str">
            <v>VA</v>
          </cell>
          <cell r="J490" t="str">
            <v>Med</v>
          </cell>
          <cell r="K490">
            <v>64149.333333333336</v>
          </cell>
        </row>
        <row r="491">
          <cell r="C491">
            <v>2204674.9010073999</v>
          </cell>
          <cell r="D491">
            <v>0.75367438555580102</v>
          </cell>
          <cell r="E491">
            <v>188520</v>
          </cell>
          <cell r="F491">
            <v>142082.69516497999</v>
          </cell>
          <cell r="G491">
            <v>6.4446098197995988E-2</v>
          </cell>
          <cell r="I491" t="str">
            <v>VA</v>
          </cell>
          <cell r="J491" t="str">
            <v>Med</v>
          </cell>
          <cell r="K491">
            <v>57821.333333333336</v>
          </cell>
        </row>
        <row r="492">
          <cell r="C492">
            <v>1946391.82822792</v>
          </cell>
          <cell r="D492">
            <v>0.68987261990970805</v>
          </cell>
          <cell r="E492">
            <v>204962</v>
          </cell>
          <cell r="F492">
            <v>141397.671921934</v>
          </cell>
          <cell r="G492">
            <v>7.2646046839740699E-2</v>
          </cell>
          <cell r="I492" t="str">
            <v>VA</v>
          </cell>
          <cell r="J492" t="str">
            <v>Med</v>
          </cell>
          <cell r="K492">
            <v>47096</v>
          </cell>
        </row>
        <row r="493">
          <cell r="C493">
            <v>2992899.9573975601</v>
          </cell>
          <cell r="D493">
            <v>0.76284672051484503</v>
          </cell>
          <cell r="E493">
            <v>161958</v>
          </cell>
          <cell r="F493">
            <v>123549.12916114301</v>
          </cell>
          <cell r="G493">
            <v>4.1280741394568249E-2</v>
          </cell>
          <cell r="I493" t="str">
            <v>VA</v>
          </cell>
          <cell r="J493" t="str">
            <v>High</v>
          </cell>
          <cell r="K493">
            <v>111399</v>
          </cell>
        </row>
        <row r="494">
          <cell r="C494">
            <v>3342028.2460846598</v>
          </cell>
          <cell r="D494">
            <v>0.75867770219833097</v>
          </cell>
          <cell r="E494">
            <v>157836</v>
          </cell>
          <cell r="F494">
            <v>119746.65380417601</v>
          </cell>
          <cell r="G494">
            <v>3.5830533133424214E-2</v>
          </cell>
          <cell r="I494" t="str">
            <v>VA</v>
          </cell>
          <cell r="J494" t="str">
            <v>High</v>
          </cell>
          <cell r="K494">
            <v>126832.33333333333</v>
          </cell>
        </row>
        <row r="495">
          <cell r="C495">
            <v>1648633.70905643</v>
          </cell>
          <cell r="D495">
            <v>0.72497679090079203</v>
          </cell>
          <cell r="E495">
            <v>161850</v>
          </cell>
          <cell r="F495">
            <v>117337.493607293</v>
          </cell>
          <cell r="G495">
            <v>7.1172567297831904E-2</v>
          </cell>
          <cell r="I495" t="str">
            <v>VA</v>
          </cell>
          <cell r="J495" t="str">
            <v>Low</v>
          </cell>
          <cell r="K495">
            <v>25878</v>
          </cell>
        </row>
        <row r="496">
          <cell r="C496">
            <v>2489862.2197923702</v>
          </cell>
          <cell r="D496">
            <v>0.72582557669771397</v>
          </cell>
          <cell r="E496">
            <v>178467</v>
          </cell>
          <cell r="F496">
            <v>129535.913196511</v>
          </cell>
          <cell r="G496">
            <v>5.2025333838477621E-2</v>
          </cell>
          <cell r="I496" t="str">
            <v>VA</v>
          </cell>
          <cell r="J496" t="str">
            <v>Med</v>
          </cell>
          <cell r="K496">
            <v>78901.666666666672</v>
          </cell>
        </row>
        <row r="497">
          <cell r="C497">
            <v>2580266.5737167299</v>
          </cell>
          <cell r="D497">
            <v>0.74091905969920302</v>
          </cell>
          <cell r="E497">
            <v>209465</v>
          </cell>
          <cell r="F497">
            <v>155196.61083989299</v>
          </cell>
          <cell r="G497">
            <v>6.01475105017312E-2</v>
          </cell>
          <cell r="I497" t="str">
            <v>VA</v>
          </cell>
          <cell r="J497" t="str">
            <v>Med</v>
          </cell>
          <cell r="K497">
            <v>72992</v>
          </cell>
        </row>
        <row r="498">
          <cell r="C498">
            <v>3346800.8136046599</v>
          </cell>
          <cell r="D498">
            <v>0.74234916446569699</v>
          </cell>
          <cell r="E498">
            <v>185734</v>
          </cell>
          <cell r="F498">
            <v>137879.47971287201</v>
          </cell>
          <cell r="G498">
            <v>4.11973963769805E-2</v>
          </cell>
          <cell r="I498" t="str">
            <v>VA</v>
          </cell>
          <cell r="J498" t="str">
            <v>High</v>
          </cell>
          <cell r="K498">
            <v>119878</v>
          </cell>
        </row>
        <row r="499">
          <cell r="C499">
            <v>2244533.7655823901</v>
          </cell>
          <cell r="D499">
            <v>0.70587152498505801</v>
          </cell>
          <cell r="E499">
            <v>233372</v>
          </cell>
          <cell r="F499">
            <v>164730.649528813</v>
          </cell>
          <cell r="G499">
            <v>7.3391923104382556E-2</v>
          </cell>
          <cell r="I499" t="str">
            <v>VA</v>
          </cell>
          <cell r="J499" t="str">
            <v>Med</v>
          </cell>
          <cell r="K499">
            <v>55273.333333333336</v>
          </cell>
        </row>
        <row r="500">
          <cell r="C500">
            <v>3064450.7656208598</v>
          </cell>
          <cell r="D500">
            <v>0.74039130676240805</v>
          </cell>
          <cell r="E500">
            <v>190790</v>
          </cell>
          <cell r="F500">
            <v>141259.25741719999</v>
          </cell>
          <cell r="G500">
            <v>4.6096109293692886E-2</v>
          </cell>
          <cell r="I500" t="str">
            <v>VA</v>
          </cell>
          <cell r="J500" t="str">
            <v>High</v>
          </cell>
          <cell r="K500">
            <v>108975.66666666667</v>
          </cell>
        </row>
        <row r="501">
          <cell r="C501">
            <v>2540140.0732726702</v>
          </cell>
          <cell r="D501">
            <v>0.74178469033012995</v>
          </cell>
          <cell r="E501">
            <v>209710</v>
          </cell>
          <cell r="F501">
            <v>155559.66740913101</v>
          </cell>
          <cell r="G501">
            <v>6.1240586314876243E-2</v>
          </cell>
          <cell r="I501" t="str">
            <v>VA</v>
          </cell>
          <cell r="J501" t="str">
            <v>Med</v>
          </cell>
          <cell r="K501">
            <v>70133</v>
          </cell>
        </row>
        <row r="502">
          <cell r="C502">
            <v>2611601.3508776398</v>
          </cell>
          <cell r="D502">
            <v>0.76119724665810495</v>
          </cell>
          <cell r="E502">
            <v>198716</v>
          </cell>
          <cell r="F502">
            <v>151262.07206691199</v>
          </cell>
          <cell r="G502">
            <v>5.7919280833607978E-2</v>
          </cell>
          <cell r="I502" t="str">
            <v>VA</v>
          </cell>
          <cell r="J502" t="str">
            <v>Med</v>
          </cell>
          <cell r="K502">
            <v>73769</v>
          </cell>
        </row>
        <row r="503">
          <cell r="C503">
            <v>3169512.3966069799</v>
          </cell>
          <cell r="D503">
            <v>0.71789696006002501</v>
          </cell>
          <cell r="E503">
            <v>186354</v>
          </cell>
          <cell r="F503">
            <v>133782.97009502599</v>
          </cell>
          <cell r="G503">
            <v>4.2209322240936195E-2</v>
          </cell>
          <cell r="I503" t="str">
            <v>VA</v>
          </cell>
          <cell r="J503" t="str">
            <v>High</v>
          </cell>
          <cell r="K503">
            <v>117573.33333333333</v>
          </cell>
        </row>
        <row r="504">
          <cell r="C504">
            <v>1993543.2197626601</v>
          </cell>
          <cell r="D504">
            <v>0.73397324186978397</v>
          </cell>
          <cell r="E504">
            <v>190772</v>
          </cell>
          <cell r="F504">
            <v>140021.54329798301</v>
          </cell>
          <cell r="G504">
            <v>7.0237525783189786E-2</v>
          </cell>
          <cell r="I504" t="str">
            <v>VA</v>
          </cell>
          <cell r="J504" t="str">
            <v>Med</v>
          </cell>
          <cell r="K504">
            <v>43634.333333333336</v>
          </cell>
        </row>
        <row r="505">
          <cell r="C505">
            <v>2461254.0660113702</v>
          </cell>
          <cell r="D505">
            <v>0.72133950061468399</v>
          </cell>
          <cell r="E505">
            <v>227129</v>
          </cell>
          <cell r="F505">
            <v>163837.11943511301</v>
          </cell>
          <cell r="G505">
            <v>6.6566520578926744E-2</v>
          </cell>
          <cell r="I505" t="str">
            <v>VA</v>
          </cell>
          <cell r="J505" t="str">
            <v>Med</v>
          </cell>
          <cell r="K505">
            <v>68834</v>
          </cell>
        </row>
        <row r="506">
          <cell r="C506">
            <v>2885887.5272561898</v>
          </cell>
          <cell r="D506">
            <v>0.69412757996049301</v>
          </cell>
          <cell r="E506">
            <v>241658</v>
          </cell>
          <cell r="F506">
            <v>167741.482718093</v>
          </cell>
          <cell r="G506">
            <v>5.8124747112918942E-2</v>
          </cell>
          <cell r="I506" t="str">
            <v>VA</v>
          </cell>
          <cell r="J506" t="str">
            <v>Med</v>
          </cell>
          <cell r="K506">
            <v>90147.333333333328</v>
          </cell>
        </row>
        <row r="507">
          <cell r="C507">
            <v>2616778.3694430399</v>
          </cell>
          <cell r="D507">
            <v>0.74071446684612596</v>
          </cell>
          <cell r="E507">
            <v>201737</v>
          </cell>
          <cell r="F507">
            <v>149429.51439813699</v>
          </cell>
          <cell r="G507">
            <v>5.710438306242261E-2</v>
          </cell>
          <cell r="I507" t="str">
            <v>VA</v>
          </cell>
          <cell r="J507" t="str">
            <v>Med</v>
          </cell>
          <cell r="K507">
            <v>75389.666666666672</v>
          </cell>
        </row>
        <row r="508">
          <cell r="C508">
            <v>2863163.2199685699</v>
          </cell>
          <cell r="D508">
            <v>0.693384136598031</v>
          </cell>
          <cell r="E508">
            <v>227468</v>
          </cell>
          <cell r="F508">
            <v>157722.70278368099</v>
          </cell>
          <cell r="G508">
            <v>5.5086870941787373E-2</v>
          </cell>
          <cell r="I508" t="str">
            <v>VA</v>
          </cell>
          <cell r="J508" t="str">
            <v>Med</v>
          </cell>
          <cell r="K508">
            <v>90636.666666666672</v>
          </cell>
        </row>
        <row r="509">
          <cell r="C509">
            <v>3035881.5173536199</v>
          </cell>
          <cell r="D509">
            <v>0.68160625720280799</v>
          </cell>
          <cell r="E509">
            <v>204720</v>
          </cell>
          <cell r="F509">
            <v>139538.43297455899</v>
          </cell>
          <cell r="G509">
            <v>4.596306943368289E-2</v>
          </cell>
          <cell r="I509" t="str">
            <v>VA</v>
          </cell>
          <cell r="J509" t="str">
            <v>High</v>
          </cell>
          <cell r="K509">
            <v>104337.66666666667</v>
          </cell>
        </row>
        <row r="510">
          <cell r="C510">
            <v>2502673.9692120501</v>
          </cell>
          <cell r="D510">
            <v>0.76987820387778705</v>
          </cell>
          <cell r="E510">
            <v>215917</v>
          </cell>
          <cell r="F510">
            <v>166229.79214668</v>
          </cell>
          <cell r="G510">
            <v>6.6420873909922962E-2</v>
          </cell>
          <cell r="I510" t="str">
            <v>VA</v>
          </cell>
          <cell r="J510" t="str">
            <v>Med</v>
          </cell>
          <cell r="K510">
            <v>74166.666666666672</v>
          </cell>
        </row>
        <row r="511">
          <cell r="C511">
            <v>2533560.1819116999</v>
          </cell>
          <cell r="D511">
            <v>0.73230290911337304</v>
          </cell>
          <cell r="E511">
            <v>235234</v>
          </cell>
          <cell r="F511">
            <v>172262.54252237501</v>
          </cell>
          <cell r="G511">
            <v>6.7992283645851331E-2</v>
          </cell>
          <cell r="I511" t="str">
            <v>VA</v>
          </cell>
          <cell r="J511" t="str">
            <v>Med</v>
          </cell>
          <cell r="K511">
            <v>46839.666666666664</v>
          </cell>
        </row>
        <row r="512">
          <cell r="C512">
            <v>2568948.1476286901</v>
          </cell>
          <cell r="D512">
            <v>0.72345037883866303</v>
          </cell>
          <cell r="E512">
            <v>206242</v>
          </cell>
          <cell r="F512">
            <v>149205.85303244399</v>
          </cell>
          <cell r="G512">
            <v>5.8080523411954001E-2</v>
          </cell>
          <cell r="I512" t="str">
            <v>VA</v>
          </cell>
          <cell r="J512" t="str">
            <v>Med</v>
          </cell>
          <cell r="K512">
            <v>76752</v>
          </cell>
        </row>
        <row r="513">
          <cell r="C513">
            <v>4395383.4612804595</v>
          </cell>
          <cell r="D513">
            <v>0.71844596266452099</v>
          </cell>
          <cell r="E513">
            <v>106252</v>
          </cell>
          <cell r="F513">
            <v>76336.320425030703</v>
          </cell>
          <cell r="G513">
            <v>1.7367385825943948E-2</v>
          </cell>
          <cell r="I513" t="str">
            <v>VA</v>
          </cell>
          <cell r="J513" t="str">
            <v>High</v>
          </cell>
          <cell r="K513">
            <v>176011.66666666666</v>
          </cell>
        </row>
        <row r="514">
          <cell r="C514">
            <v>3089843.3836356699</v>
          </cell>
          <cell r="D514">
            <v>0.75194602286774004</v>
          </cell>
          <cell r="E514">
            <v>217798</v>
          </cell>
          <cell r="F514">
            <v>163772.33988854801</v>
          </cell>
          <cell r="G514">
            <v>5.3003443720129592E-2</v>
          </cell>
          <cell r="I514" t="str">
            <v>VA</v>
          </cell>
          <cell r="J514" t="str">
            <v>High</v>
          </cell>
          <cell r="K514">
            <v>101048.66666666667</v>
          </cell>
        </row>
        <row r="515">
          <cell r="C515">
            <v>2463536.49780019</v>
          </cell>
          <cell r="D515">
            <v>0.67577785123906398</v>
          </cell>
          <cell r="E515">
            <v>249463</v>
          </cell>
          <cell r="F515">
            <v>168581.570103651</v>
          </cell>
          <cell r="G515">
            <v>6.8430717488531453E-2</v>
          </cell>
          <cell r="I515" t="str">
            <v>VA</v>
          </cell>
          <cell r="J515" t="str">
            <v>Med</v>
          </cell>
          <cell r="K515">
            <v>66000</v>
          </cell>
        </row>
        <row r="516">
          <cell r="C516">
            <v>2524625.97620244</v>
          </cell>
          <cell r="D516">
            <v>0.71849210959297205</v>
          </cell>
          <cell r="E516">
            <v>235281</v>
          </cell>
          <cell r="F516">
            <v>169047.54203714401</v>
          </cell>
          <cell r="G516">
            <v>6.6959440182670749E-2</v>
          </cell>
          <cell r="I516" t="str">
            <v>VA</v>
          </cell>
          <cell r="J516" t="str">
            <v>Med</v>
          </cell>
          <cell r="K516">
            <v>70332.333333333328</v>
          </cell>
        </row>
        <row r="517">
          <cell r="C517">
            <v>2687411.6805686001</v>
          </cell>
          <cell r="D517">
            <v>0.70958086977130996</v>
          </cell>
          <cell r="E517">
            <v>209512</v>
          </cell>
          <cell r="F517">
            <v>148665.707187527</v>
          </cell>
          <cell r="G517">
            <v>5.5319290402158425E-2</v>
          </cell>
          <cell r="I517" t="str">
            <v>VA</v>
          </cell>
          <cell r="J517" t="str">
            <v>Med</v>
          </cell>
          <cell r="K517">
            <v>86125.666666666672</v>
          </cell>
        </row>
        <row r="518">
          <cell r="C518">
            <v>2799107.0663312501</v>
          </cell>
          <cell r="D518">
            <v>0.69491071107682401</v>
          </cell>
          <cell r="E518">
            <v>209511</v>
          </cell>
          <cell r="F518">
            <v>145591.43798841699</v>
          </cell>
          <cell r="G518">
            <v>5.2013529507194456E-2</v>
          </cell>
          <cell r="I518" t="str">
            <v>VA</v>
          </cell>
          <cell r="J518" t="str">
            <v>Med</v>
          </cell>
          <cell r="K518">
            <v>66868.333333333328</v>
          </cell>
        </row>
        <row r="519">
          <cell r="C519">
            <v>2817418.9681844502</v>
          </cell>
          <cell r="D519">
            <v>0.73294763136279095</v>
          </cell>
          <cell r="E519">
            <v>234747</v>
          </cell>
          <cell r="F519">
            <v>172057.257619521</v>
          </cell>
          <cell r="G519">
            <v>6.1069106001793903E-2</v>
          </cell>
          <cell r="I519" t="str">
            <v>VA</v>
          </cell>
          <cell r="J519" t="str">
            <v>Med</v>
          </cell>
          <cell r="K519">
            <v>82692.666666666672</v>
          </cell>
        </row>
        <row r="520">
          <cell r="C520">
            <v>2603934.5956300902</v>
          </cell>
          <cell r="D520">
            <v>0.73873760723005799</v>
          </cell>
          <cell r="E520">
            <v>221827</v>
          </cell>
          <cell r="F520">
            <v>163871.94719902199</v>
          </cell>
          <cell r="G520">
            <v>6.2932435965953618E-2</v>
          </cell>
          <cell r="I520" t="str">
            <v>VA</v>
          </cell>
          <cell r="J520" t="str">
            <v>Med</v>
          </cell>
          <cell r="K520">
            <v>75777.666666666672</v>
          </cell>
        </row>
        <row r="521">
          <cell r="C521">
            <v>3375491.8171759602</v>
          </cell>
          <cell r="D521">
            <v>0.77249191045119203</v>
          </cell>
          <cell r="E521">
            <v>177805</v>
          </cell>
          <cell r="F521">
            <v>137352.92413777401</v>
          </cell>
          <cell r="G521">
            <v>4.069123303420942E-2</v>
          </cell>
          <cell r="I521" t="str">
            <v>VA</v>
          </cell>
          <cell r="J521" t="str">
            <v>High</v>
          </cell>
          <cell r="K521">
            <v>123264</v>
          </cell>
        </row>
        <row r="522">
          <cell r="C522">
            <v>3537129.4106425298</v>
          </cell>
          <cell r="D522">
            <v>0.73039286510838697</v>
          </cell>
          <cell r="E522">
            <v>189431</v>
          </cell>
          <cell r="F522">
            <v>138359.050830347</v>
          </cell>
          <cell r="G522">
            <v>3.9116196996935339E-2</v>
          </cell>
          <cell r="I522" t="str">
            <v>VA</v>
          </cell>
          <cell r="J522" t="str">
            <v>High</v>
          </cell>
          <cell r="K522">
            <v>130123</v>
          </cell>
        </row>
        <row r="523">
          <cell r="C523">
            <v>2397394.0289221299</v>
          </cell>
          <cell r="D523">
            <v>0.74430923712849195</v>
          </cell>
          <cell r="E523">
            <v>204600</v>
          </cell>
          <cell r="F523">
            <v>152285.66991648899</v>
          </cell>
          <cell r="G523">
            <v>6.3521335282943348E-2</v>
          </cell>
          <cell r="I523" t="str">
            <v>VA</v>
          </cell>
          <cell r="J523" t="str">
            <v>Med</v>
          </cell>
          <cell r="K523">
            <v>64149.333333333336</v>
          </cell>
        </row>
        <row r="524">
          <cell r="C524">
            <v>2290480.5114643299</v>
          </cell>
          <cell r="D524">
            <v>0.74369487476678597</v>
          </cell>
          <cell r="E524">
            <v>226745</v>
          </cell>
          <cell r="F524">
            <v>168629.09437899501</v>
          </cell>
          <cell r="G524">
            <v>7.3621711049262989E-2</v>
          </cell>
          <cell r="I524" t="str">
            <v>VA</v>
          </cell>
          <cell r="J524" t="str">
            <v>Med</v>
          </cell>
          <cell r="K524">
            <v>57821.333333333336</v>
          </cell>
        </row>
        <row r="525">
          <cell r="C525">
            <v>2048419.9368424399</v>
          </cell>
          <cell r="D525">
            <v>0.69653692560850999</v>
          </cell>
          <cell r="E525">
            <v>237453</v>
          </cell>
          <cell r="F525">
            <v>165394.78259651701</v>
          </cell>
          <cell r="G525">
            <v>8.0742615135579412E-2</v>
          </cell>
          <cell r="I525" t="str">
            <v>VA</v>
          </cell>
          <cell r="J525" t="str">
            <v>Med</v>
          </cell>
          <cell r="K525">
            <v>47096</v>
          </cell>
        </row>
        <row r="526">
          <cell r="C526">
            <v>3194469.44717114</v>
          </cell>
          <cell r="D526">
            <v>0.77628595205746398</v>
          </cell>
          <cell r="E526">
            <v>186549</v>
          </cell>
          <cell r="F526">
            <v>144815.36807036799</v>
          </cell>
          <cell r="G526">
            <v>4.5333151706493588E-2</v>
          </cell>
          <cell r="I526" t="str">
            <v>VA</v>
          </cell>
          <cell r="J526" t="str">
            <v>High</v>
          </cell>
          <cell r="K526">
            <v>111399</v>
          </cell>
        </row>
        <row r="527">
          <cell r="C527">
            <v>3560384.3451896599</v>
          </cell>
          <cell r="D527">
            <v>0.76336133200186296</v>
          </cell>
          <cell r="E527">
            <v>187536</v>
          </cell>
          <cell r="F527">
            <v>143157.73075830101</v>
          </cell>
          <cell r="G527">
            <v>4.0208504722732422E-2</v>
          </cell>
          <cell r="I527" t="str">
            <v>VA</v>
          </cell>
          <cell r="J527" t="str">
            <v>High</v>
          </cell>
          <cell r="K527">
            <v>126832.33333333333</v>
          </cell>
        </row>
        <row r="528">
          <cell r="C528">
            <v>1712913.01274784</v>
          </cell>
          <cell r="D528">
            <v>0.72106945297514102</v>
          </cell>
          <cell r="E528">
            <v>189493</v>
          </cell>
          <cell r="F528">
            <v>136637.613852618</v>
          </cell>
          <cell r="G528">
            <v>7.9769149300480319E-2</v>
          </cell>
          <cell r="I528" t="str">
            <v>VA</v>
          </cell>
          <cell r="J528" t="str">
            <v>Low</v>
          </cell>
          <cell r="K528">
            <v>25878</v>
          </cell>
        </row>
        <row r="529">
          <cell r="C529">
            <v>2592058.4675021502</v>
          </cell>
          <cell r="D529">
            <v>0.706818194086828</v>
          </cell>
          <cell r="E529">
            <v>211754</v>
          </cell>
          <cell r="F529">
            <v>149671.57987066201</v>
          </cell>
          <cell r="G529">
            <v>5.7742362584472781E-2</v>
          </cell>
          <cell r="I529" t="str">
            <v>VA</v>
          </cell>
          <cell r="J529" t="str">
            <v>Med</v>
          </cell>
          <cell r="K529">
            <v>78901.666666666672</v>
          </cell>
        </row>
        <row r="530">
          <cell r="C530">
            <v>2691863.0350921499</v>
          </cell>
          <cell r="D530">
            <v>0.72779124757256197</v>
          </cell>
          <cell r="E530">
            <v>233849</v>
          </cell>
          <cell r="F530">
            <v>170193.25545359601</v>
          </cell>
          <cell r="G530">
            <v>6.322507989258444E-2</v>
          </cell>
          <cell r="I530" t="str">
            <v>VA</v>
          </cell>
          <cell r="J530" t="str">
            <v>Med</v>
          </cell>
          <cell r="K530">
            <v>72992</v>
          </cell>
        </row>
        <row r="531">
          <cell r="C531">
            <v>3623217.6423888002</v>
          </cell>
          <cell r="D531">
            <v>0.71524565914915195</v>
          </cell>
          <cell r="E531">
            <v>215344</v>
          </cell>
          <cell r="F531">
            <v>154023.86122381501</v>
          </cell>
          <cell r="G531">
            <v>4.2510242669901145E-2</v>
          </cell>
          <cell r="I531" t="str">
            <v>VA</v>
          </cell>
          <cell r="J531" t="str">
            <v>High</v>
          </cell>
          <cell r="K531">
            <v>119878</v>
          </cell>
        </row>
        <row r="532">
          <cell r="C532">
            <v>2358619.5186951999</v>
          </cell>
          <cell r="D532">
            <v>0.72166642478552301</v>
          </cell>
          <cell r="E532">
            <v>250167</v>
          </cell>
          <cell r="F532">
            <v>180537.12448932001</v>
          </cell>
          <cell r="G532">
            <v>7.6543555693626267E-2</v>
          </cell>
          <cell r="I532" t="str">
            <v>VA</v>
          </cell>
          <cell r="J532" t="str">
            <v>Med</v>
          </cell>
          <cell r="K532">
            <v>55273.333333333336</v>
          </cell>
        </row>
        <row r="533">
          <cell r="C533">
            <v>3332050.5023636301</v>
          </cell>
          <cell r="D533">
            <v>0.72476540329744299</v>
          </cell>
          <cell r="E533">
            <v>219644</v>
          </cell>
          <cell r="F533">
            <v>159190.37224186401</v>
          </cell>
          <cell r="G533">
            <v>4.7775498039102471E-2</v>
          </cell>
          <cell r="I533" t="str">
            <v>VA</v>
          </cell>
          <cell r="J533" t="str">
            <v>High</v>
          </cell>
          <cell r="K533">
            <v>108975.66666666667</v>
          </cell>
        </row>
        <row r="534">
          <cell r="C534">
            <v>2666490.4864103901</v>
          </cell>
          <cell r="D534">
            <v>0.74757290886704297</v>
          </cell>
          <cell r="E534">
            <v>229913</v>
          </cell>
          <cell r="F534">
            <v>171876.73019634801</v>
          </cell>
          <cell r="G534">
            <v>6.4458032410881466E-2</v>
          </cell>
          <cell r="I534" t="str">
            <v>VA</v>
          </cell>
          <cell r="J534" t="str">
            <v>Med</v>
          </cell>
          <cell r="K534">
            <v>70133</v>
          </cell>
        </row>
        <row r="535">
          <cell r="C535">
            <v>2728762.3793152701</v>
          </cell>
          <cell r="D535">
            <v>0.74872388376719201</v>
          </cell>
          <cell r="E535">
            <v>219266</v>
          </cell>
          <cell r="F535">
            <v>164169.69109809701</v>
          </cell>
          <cell r="G535">
            <v>6.0162692194287805E-2</v>
          </cell>
          <cell r="I535" t="str">
            <v>VA</v>
          </cell>
          <cell r="J535" t="str">
            <v>Med</v>
          </cell>
          <cell r="K535">
            <v>73769</v>
          </cell>
        </row>
        <row r="536">
          <cell r="C536">
            <v>3343420.4151179702</v>
          </cell>
          <cell r="D536">
            <v>0.69189492392623797</v>
          </cell>
          <cell r="E536">
            <v>213840</v>
          </cell>
          <cell r="F536">
            <v>147954.810532387</v>
          </cell>
          <cell r="G536">
            <v>4.4252529494459798E-2</v>
          </cell>
          <cell r="I536" t="str">
            <v>VA</v>
          </cell>
          <cell r="J536" t="str">
            <v>High</v>
          </cell>
          <cell r="K536">
            <v>117573.33333333333</v>
          </cell>
        </row>
        <row r="537">
          <cell r="C537">
            <v>2119263.6796911298</v>
          </cell>
          <cell r="D537">
            <v>0.74314153538647598</v>
          </cell>
          <cell r="E537">
            <v>201096</v>
          </cell>
          <cell r="F537">
            <v>149442.79020007901</v>
          </cell>
          <cell r="G537">
            <v>7.0516373980353125E-2</v>
          </cell>
          <cell r="I537" t="str">
            <v>VA</v>
          </cell>
          <cell r="J537" t="str">
            <v>Med</v>
          </cell>
          <cell r="K537">
            <v>43634.333333333336</v>
          </cell>
        </row>
        <row r="538">
          <cell r="C538">
            <v>2496293.9068022398</v>
          </cell>
          <cell r="D538">
            <v>0.734665773218802</v>
          </cell>
          <cell r="E538">
            <v>233142</v>
          </cell>
          <cell r="F538">
            <v>171281.44769977799</v>
          </cell>
          <cell r="G538">
            <v>6.8614295469394487E-2</v>
          </cell>
          <cell r="I538" t="str">
            <v>VA</v>
          </cell>
          <cell r="J538" t="str">
            <v>Med</v>
          </cell>
          <cell r="K538">
            <v>68834</v>
          </cell>
        </row>
        <row r="539">
          <cell r="C539">
            <v>2958712.8060870301</v>
          </cell>
          <cell r="D539">
            <v>0.69929320828027997</v>
          </cell>
          <cell r="E539">
            <v>257018</v>
          </cell>
          <cell r="F539">
            <v>179730.94180578101</v>
          </cell>
          <cell r="G539">
            <v>6.0746329091494203E-2</v>
          </cell>
          <cell r="I539" t="str">
            <v>VA</v>
          </cell>
          <cell r="J539" t="str">
            <v>Med</v>
          </cell>
          <cell r="K539">
            <v>90147.333333333328</v>
          </cell>
        </row>
        <row r="540">
          <cell r="C540">
            <v>2750439.8381230799</v>
          </cell>
          <cell r="D540">
            <v>0.73198976295731999</v>
          </cell>
          <cell r="E540">
            <v>224435</v>
          </cell>
          <cell r="F540">
            <v>164284.12244932601</v>
          </cell>
          <cell r="G540">
            <v>5.9730127586224424E-2</v>
          </cell>
          <cell r="I540" t="str">
            <v>VA</v>
          </cell>
          <cell r="J540" t="str">
            <v>Med</v>
          </cell>
          <cell r="K540">
            <v>75389.666666666672</v>
          </cell>
        </row>
        <row r="541">
          <cell r="C541">
            <v>2988876.4563421598</v>
          </cell>
          <cell r="D541">
            <v>0.67738621255046705</v>
          </cell>
          <cell r="E541">
            <v>253974</v>
          </cell>
          <cell r="F541">
            <v>172038.485946292</v>
          </cell>
          <cell r="G541">
            <v>5.7559584164557864E-2</v>
          </cell>
          <cell r="I541" t="str">
            <v>VA</v>
          </cell>
          <cell r="J541" t="str">
            <v>Med</v>
          </cell>
          <cell r="K541">
            <v>90636.666666666672</v>
          </cell>
        </row>
        <row r="542">
          <cell r="C542">
            <v>3191886.86169559</v>
          </cell>
          <cell r="D542">
            <v>0.71136248094090204</v>
          </cell>
          <cell r="E542">
            <v>216527</v>
          </cell>
          <cell r="F542">
            <v>154029.183910691</v>
          </cell>
          <cell r="G542">
            <v>4.8256467282448673E-2</v>
          </cell>
          <cell r="I542" t="str">
            <v>VA</v>
          </cell>
          <cell r="J542" t="str">
            <v>High</v>
          </cell>
          <cell r="K542">
            <v>104337.66666666667</v>
          </cell>
        </row>
        <row r="543">
          <cell r="C543">
            <v>2632921.41185755</v>
          </cell>
          <cell r="D543">
            <v>0.73461213065849396</v>
          </cell>
          <cell r="E543">
            <v>242695</v>
          </cell>
          <cell r="F543">
            <v>178286.691050163</v>
          </cell>
          <cell r="G543">
            <v>6.7714399012152857E-2</v>
          </cell>
          <cell r="I543" t="str">
            <v>VA</v>
          </cell>
          <cell r="J543" t="str">
            <v>Med</v>
          </cell>
          <cell r="K543">
            <v>74166.666666666672</v>
          </cell>
        </row>
        <row r="544">
          <cell r="C544">
            <v>2646885.4742340399</v>
          </cell>
          <cell r="D544">
            <v>0.70048563764813698</v>
          </cell>
          <cell r="E544">
            <v>266859</v>
          </cell>
          <cell r="F544">
            <v>186930.89677714399</v>
          </cell>
          <cell r="G544">
            <v>7.0622963704630393E-2</v>
          </cell>
          <cell r="I544" t="str">
            <v>VA</v>
          </cell>
          <cell r="J544" t="str">
            <v>Med</v>
          </cell>
          <cell r="K544">
            <v>46839.666666666664</v>
          </cell>
        </row>
        <row r="545">
          <cell r="C545">
            <v>2684019.9705249402</v>
          </cell>
          <cell r="D545">
            <v>0.689988451796544</v>
          </cell>
          <cell r="E545">
            <v>230305</v>
          </cell>
          <cell r="F545">
            <v>158907.79039100301</v>
          </cell>
          <cell r="G545">
            <v>5.9205144572722329E-2</v>
          </cell>
          <cell r="I545" t="str">
            <v>VA</v>
          </cell>
          <cell r="J545" t="str">
            <v>Med</v>
          </cell>
          <cell r="K545">
            <v>76752</v>
          </cell>
        </row>
        <row r="546">
          <cell r="C546">
            <v>4610790.7384955296</v>
          </cell>
          <cell r="D546">
            <v>0.71737160883699902</v>
          </cell>
          <cell r="E546">
            <v>117634</v>
          </cell>
          <cell r="F546">
            <v>84387.291833931493</v>
          </cell>
          <cell r="G546">
            <v>1.8302130072696925E-2</v>
          </cell>
          <cell r="I546" t="str">
            <v>VA</v>
          </cell>
          <cell r="J546" t="str">
            <v>High</v>
          </cell>
          <cell r="K546">
            <v>176011.66666666666</v>
          </cell>
        </row>
        <row r="547">
          <cell r="C547">
            <v>3209283.1839060299</v>
          </cell>
          <cell r="D547">
            <v>0.71515510776832003</v>
          </cell>
          <cell r="E547">
            <v>248267</v>
          </cell>
          <cell r="F547">
            <v>177549.41314031801</v>
          </cell>
          <cell r="G547">
            <v>5.5323697837166862E-2</v>
          </cell>
          <cell r="I547" t="str">
            <v>VA</v>
          </cell>
          <cell r="J547" t="str">
            <v>High</v>
          </cell>
          <cell r="K547">
            <v>101048.66666666667</v>
          </cell>
        </row>
        <row r="548">
          <cell r="C548">
            <v>2532288.2395969098</v>
          </cell>
          <cell r="D548">
            <v>0.68727598325774497</v>
          </cell>
          <cell r="E548">
            <v>263904</v>
          </cell>
          <cell r="F548">
            <v>181374.88108565201</v>
          </cell>
          <cell r="G548">
            <v>7.1624895716659531E-2</v>
          </cell>
          <cell r="I548" t="str">
            <v>VA</v>
          </cell>
          <cell r="J548" t="str">
            <v>Med</v>
          </cell>
          <cell r="K548">
            <v>66000</v>
          </cell>
        </row>
        <row r="549">
          <cell r="C549">
            <v>2640973.7354029398</v>
          </cell>
          <cell r="D549">
            <v>0.70087655928368198</v>
          </cell>
          <cell r="E549">
            <v>261367</v>
          </cell>
          <cell r="F549">
            <v>183186.003670298</v>
          </cell>
          <cell r="G549">
            <v>6.9363053942809796E-2</v>
          </cell>
          <cell r="I549" t="str">
            <v>VA</v>
          </cell>
          <cell r="J549" t="str">
            <v>Med</v>
          </cell>
          <cell r="K549">
            <v>70332.333333333328</v>
          </cell>
        </row>
        <row r="550">
          <cell r="C550">
            <v>2756711.5343708899</v>
          </cell>
          <cell r="D550">
            <v>0.75633295571608905</v>
          </cell>
          <cell r="E550">
            <v>215923</v>
          </cell>
          <cell r="F550">
            <v>163309.68079708499</v>
          </cell>
          <cell r="G550">
            <v>5.9240757968662093E-2</v>
          </cell>
          <cell r="I550" t="str">
            <v>VA</v>
          </cell>
          <cell r="J550" t="str">
            <v>Med</v>
          </cell>
          <cell r="K550">
            <v>86125.666666666672</v>
          </cell>
        </row>
        <row r="551">
          <cell r="C551">
            <v>2930482.5994199598</v>
          </cell>
          <cell r="D551">
            <v>0.706633901945947</v>
          </cell>
          <cell r="E551">
            <v>225593</v>
          </cell>
          <cell r="F551">
            <v>159411.661841692</v>
          </cell>
          <cell r="G551">
            <v>5.4397750688997396E-2</v>
          </cell>
          <cell r="I551" t="str">
            <v>VA</v>
          </cell>
          <cell r="J551" t="str">
            <v>Med</v>
          </cell>
          <cell r="K551">
            <v>66868.333333333328</v>
          </cell>
        </row>
        <row r="552">
          <cell r="C552">
            <v>2968225.2663619602</v>
          </cell>
          <cell r="D552">
            <v>0.73761758813443501</v>
          </cell>
          <cell r="E552">
            <v>255353</v>
          </cell>
          <cell r="F552">
            <v>188352.86398289201</v>
          </cell>
          <cell r="G552">
            <v>6.3456391304743828E-2</v>
          </cell>
          <cell r="I552" t="str">
            <v>VA</v>
          </cell>
          <cell r="J552" t="str">
            <v>Med</v>
          </cell>
          <cell r="K552">
            <v>82692.666666666672</v>
          </cell>
        </row>
        <row r="553">
          <cell r="C553">
            <v>2704007.5602954901</v>
          </cell>
          <cell r="D553">
            <v>0.72882409720831598</v>
          </cell>
          <cell r="E553">
            <v>247617</v>
          </cell>
          <cell r="F553">
            <v>180469.23647843199</v>
          </cell>
          <cell r="G553">
            <v>6.6741394931126075E-2</v>
          </cell>
          <cell r="I553" t="str">
            <v>VA</v>
          </cell>
          <cell r="J553" t="str">
            <v>Med</v>
          </cell>
          <cell r="K553">
            <v>75777.666666666672</v>
          </cell>
        </row>
        <row r="554">
          <cell r="C554">
            <v>3516007.6958033601</v>
          </cell>
          <cell r="D554">
            <v>0.73899032440887502</v>
          </cell>
          <cell r="E554">
            <v>202317</v>
          </cell>
          <cell r="F554">
            <v>149510.30546343001</v>
          </cell>
          <cell r="G554">
            <v>4.2522746933086254E-2</v>
          </cell>
          <cell r="I554" t="str">
            <v>VA</v>
          </cell>
          <cell r="J554" t="str">
            <v>High</v>
          </cell>
          <cell r="K554">
            <v>123264</v>
          </cell>
        </row>
        <row r="555">
          <cell r="C555">
            <v>3666069.1853872999</v>
          </cell>
          <cell r="D555">
            <v>0.72449303999590897</v>
          </cell>
          <cell r="E555">
            <v>208304</v>
          </cell>
          <cell r="F555">
            <v>150914.79820330799</v>
          </cell>
          <cell r="G555">
            <v>4.1165289188988582E-2</v>
          </cell>
          <cell r="I555" t="str">
            <v>VA</v>
          </cell>
          <cell r="J555" t="str">
            <v>High</v>
          </cell>
          <cell r="K555">
            <v>130123</v>
          </cell>
        </row>
        <row r="556">
          <cell r="C556">
            <v>2555388.8171097599</v>
          </cell>
          <cell r="D556">
            <v>0.74722940504547297</v>
          </cell>
          <cell r="E556">
            <v>221158</v>
          </cell>
          <cell r="F556">
            <v>165255.76076104699</v>
          </cell>
          <cell r="G556">
            <v>6.4669517082710501E-2</v>
          </cell>
          <cell r="I556" t="str">
            <v>VA</v>
          </cell>
          <cell r="J556" t="str">
            <v>Med</v>
          </cell>
          <cell r="K556">
            <v>64149.333333333336</v>
          </cell>
        </row>
        <row r="557">
          <cell r="C557">
            <v>2447919.9154153802</v>
          </cell>
          <cell r="D557">
            <v>0.73226949732673596</v>
          </cell>
          <cell r="E557">
            <v>254867</v>
          </cell>
          <cell r="F557">
            <v>186631.32997517299</v>
          </cell>
          <cell r="G557">
            <v>7.6240782551705369E-2</v>
          </cell>
          <cell r="I557" t="str">
            <v>VA</v>
          </cell>
          <cell r="J557" t="str">
            <v>Med</v>
          </cell>
          <cell r="K557">
            <v>57821.333333333336</v>
          </cell>
        </row>
        <row r="558">
          <cell r="C558">
            <v>2127744.5895493999</v>
          </cell>
          <cell r="D558">
            <v>0.68035618166676004</v>
          </cell>
          <cell r="E558">
            <v>262650</v>
          </cell>
          <cell r="F558">
            <v>178695.55111477501</v>
          </cell>
          <cell r="G558">
            <v>8.398355328569676E-2</v>
          </cell>
          <cell r="I558" t="str">
            <v>VA</v>
          </cell>
          <cell r="J558" t="str">
            <v>Med</v>
          </cell>
          <cell r="K558">
            <v>47096</v>
          </cell>
        </row>
        <row r="559">
          <cell r="C559">
            <v>3415414.5415101</v>
          </cell>
          <cell r="D559">
            <v>0.72401845293540701</v>
          </cell>
          <cell r="E559">
            <v>220826</v>
          </cell>
          <cell r="F559">
            <v>159882.09888791401</v>
          </cell>
          <cell r="G559">
            <v>4.6811916077754749E-2</v>
          </cell>
          <cell r="I559" t="str">
            <v>VA</v>
          </cell>
          <cell r="J559" t="str">
            <v>High</v>
          </cell>
          <cell r="K559">
            <v>111399</v>
          </cell>
        </row>
        <row r="560">
          <cell r="C560">
            <v>3780778.1198168602</v>
          </cell>
          <cell r="D560">
            <v>0.74377132756501996</v>
          </cell>
          <cell r="E560">
            <v>206669</v>
          </cell>
          <cell r="F560">
            <v>153714.476496535</v>
          </cell>
          <cell r="G560">
            <v>4.0656836139323853E-2</v>
          </cell>
          <cell r="I560" t="str">
            <v>VA</v>
          </cell>
          <cell r="J560" t="str">
            <v>High</v>
          </cell>
          <cell r="K560">
            <v>126832.33333333333</v>
          </cell>
        </row>
        <row r="561">
          <cell r="C561">
            <v>1793703.67626691</v>
          </cell>
          <cell r="D561">
            <v>0.71496856362575001</v>
          </cell>
          <cell r="E561">
            <v>210357</v>
          </cell>
          <cell r="F561">
            <v>150398.642138622</v>
          </cell>
          <cell r="G561">
            <v>8.3848098283231767E-2</v>
          </cell>
          <cell r="I561" t="str">
            <v>VA</v>
          </cell>
          <cell r="J561" t="str">
            <v>Low</v>
          </cell>
          <cell r="K561">
            <v>25878</v>
          </cell>
        </row>
        <row r="562">
          <cell r="C562">
            <v>2746433.9299603701</v>
          </cell>
          <cell r="D562">
            <v>0.68677899421949695</v>
          </cell>
          <cell r="E562">
            <v>240032</v>
          </cell>
          <cell r="F562">
            <v>164848.93554049401</v>
          </cell>
          <cell r="G562">
            <v>6.0022902332433944E-2</v>
          </cell>
          <cell r="I562" t="str">
            <v>VA</v>
          </cell>
          <cell r="J562" t="str">
            <v>Med</v>
          </cell>
          <cell r="K562">
            <v>78901.666666666672</v>
          </cell>
        </row>
        <row r="563">
          <cell r="C563">
            <v>2579720.5376365501</v>
          </cell>
          <cell r="D563">
            <v>0.714946326375831</v>
          </cell>
          <cell r="E563">
            <v>248819</v>
          </cell>
          <cell r="F563">
            <v>177892.229982508</v>
          </cell>
          <cell r="G563">
            <v>6.8957946175629795E-2</v>
          </cell>
          <cell r="I563" t="str">
            <v>VA</v>
          </cell>
          <cell r="J563" t="str">
            <v>Med</v>
          </cell>
          <cell r="K563">
            <v>72992</v>
          </cell>
        </row>
        <row r="564">
          <cell r="C564">
            <v>3411960.4330822998</v>
          </cell>
          <cell r="D564">
            <v>0.73375005077051703</v>
          </cell>
          <cell r="E564">
            <v>216957</v>
          </cell>
          <cell r="F564">
            <v>159192.20976501901</v>
          </cell>
          <cell r="G564">
            <v>4.6657108980952579E-2</v>
          </cell>
          <cell r="I564" t="str">
            <v>VA</v>
          </cell>
          <cell r="J564" t="str">
            <v>High</v>
          </cell>
          <cell r="K564">
            <v>119878</v>
          </cell>
        </row>
        <row r="565">
          <cell r="C565">
            <v>2237694.2590513099</v>
          </cell>
          <cell r="D565">
            <v>0.72022959364947203</v>
          </cell>
          <cell r="E565">
            <v>255200</v>
          </cell>
          <cell r="F565">
            <v>183802.59229934501</v>
          </cell>
          <cell r="G565">
            <v>8.2139278659663598E-2</v>
          </cell>
          <cell r="I565" t="str">
            <v>VA</v>
          </cell>
          <cell r="J565" t="str">
            <v>Med</v>
          </cell>
          <cell r="K565">
            <v>55273.333333333336</v>
          </cell>
        </row>
        <row r="566">
          <cell r="C566">
            <v>3153015.1440397701</v>
          </cell>
          <cell r="D566">
            <v>0.69444092131228796</v>
          </cell>
          <cell r="E566">
            <v>229500</v>
          </cell>
          <cell r="F566">
            <v>159374.19144117</v>
          </cell>
          <cell r="G566">
            <v>5.0546598782577799E-2</v>
          </cell>
          <cell r="I566" t="str">
            <v>VA</v>
          </cell>
          <cell r="J566" t="str">
            <v>High</v>
          </cell>
          <cell r="K566">
            <v>108975.66666666667</v>
          </cell>
        </row>
        <row r="567">
          <cell r="C567">
            <v>2497680.34676725</v>
          </cell>
          <cell r="D567">
            <v>0.73284068992905205</v>
          </cell>
          <cell r="E567">
            <v>235031</v>
          </cell>
          <cell r="F567">
            <v>172240.28019471499</v>
          </cell>
          <cell r="G567">
            <v>6.8960097483108967E-2</v>
          </cell>
          <cell r="I567" t="str">
            <v>VA</v>
          </cell>
          <cell r="J567" t="str">
            <v>Med</v>
          </cell>
          <cell r="K567">
            <v>70133</v>
          </cell>
        </row>
        <row r="568">
          <cell r="C568">
            <v>2600784.06323562</v>
          </cell>
          <cell r="D568">
            <v>0.71645122042405995</v>
          </cell>
          <cell r="E568">
            <v>239157</v>
          </cell>
          <cell r="F568">
            <v>171344.324522957</v>
          </cell>
          <cell r="G568">
            <v>6.5881795780380378E-2</v>
          </cell>
          <cell r="I568" t="str">
            <v>VA</v>
          </cell>
          <cell r="J568" t="str">
            <v>Med</v>
          </cell>
          <cell r="K568">
            <v>73769</v>
          </cell>
        </row>
        <row r="569">
          <cell r="C569">
            <v>3202065.3410798102</v>
          </cell>
          <cell r="D569">
            <v>0.73252912860243202</v>
          </cell>
          <cell r="E569">
            <v>216526</v>
          </cell>
          <cell r="F569">
            <v>158611.60209977001</v>
          </cell>
          <cell r="G569">
            <v>4.953415536682413E-2</v>
          </cell>
          <cell r="I569" t="str">
            <v>VA</v>
          </cell>
          <cell r="J569" t="str">
            <v>High</v>
          </cell>
          <cell r="K569">
            <v>117573.33333333333</v>
          </cell>
        </row>
        <row r="570">
          <cell r="C570">
            <v>2012931.9350028301</v>
          </cell>
          <cell r="D570">
            <v>0.71162418430345598</v>
          </cell>
          <cell r="E570">
            <v>232153</v>
          </cell>
          <cell r="F570">
            <v>165205.6892586</v>
          </cell>
          <cell r="G570">
            <v>8.2072168654012498E-2</v>
          </cell>
          <cell r="I570" t="str">
            <v>VA</v>
          </cell>
          <cell r="J570" t="str">
            <v>Med</v>
          </cell>
          <cell r="K570">
            <v>43634.333333333336</v>
          </cell>
        </row>
        <row r="571">
          <cell r="C571">
            <v>2485403.0549539202</v>
          </cell>
          <cell r="D571">
            <v>0.69541449216158502</v>
          </cell>
          <cell r="E571">
            <v>271968</v>
          </cell>
          <cell r="F571">
            <v>189130.48860420199</v>
          </cell>
          <cell r="G571">
            <v>7.6096506048476106E-2</v>
          </cell>
          <cell r="I571" t="str">
            <v>VA</v>
          </cell>
          <cell r="J571" t="str">
            <v>Med</v>
          </cell>
          <cell r="K571">
            <v>68834</v>
          </cell>
        </row>
        <row r="572">
          <cell r="C572">
            <v>2911478.9635771401</v>
          </cell>
          <cell r="D572">
            <v>0.69830898260102203</v>
          </cell>
          <cell r="E572">
            <v>274782</v>
          </cell>
          <cell r="F572">
            <v>191882.738857074</v>
          </cell>
          <cell r="G572">
            <v>6.5905589996542668E-2</v>
          </cell>
          <cell r="I572" t="str">
            <v>VA</v>
          </cell>
          <cell r="J572" t="str">
            <v>Med</v>
          </cell>
          <cell r="K572">
            <v>90147.333333333328</v>
          </cell>
        </row>
        <row r="573">
          <cell r="C573">
            <v>2590137.4150702702</v>
          </cell>
          <cell r="D573">
            <v>0.69632333847939998</v>
          </cell>
          <cell r="E573">
            <v>241152</v>
          </cell>
          <cell r="F573">
            <v>167919.765720984</v>
          </cell>
          <cell r="G573">
            <v>6.48304467338187E-2</v>
          </cell>
          <cell r="I573" t="str">
            <v>VA</v>
          </cell>
          <cell r="J573" t="str">
            <v>Med</v>
          </cell>
          <cell r="K573">
            <v>75389.666666666672</v>
          </cell>
        </row>
        <row r="574">
          <cell r="C574">
            <v>2890553.8624003199</v>
          </cell>
          <cell r="D574">
            <v>0.72328918693819799</v>
          </cell>
          <cell r="E574">
            <v>252403</v>
          </cell>
          <cell r="F574">
            <v>182560.36065076201</v>
          </cell>
          <cell r="G574">
            <v>6.3157570950490308E-2</v>
          </cell>
          <cell r="I574" t="str">
            <v>VA</v>
          </cell>
          <cell r="J574" t="str">
            <v>Med</v>
          </cell>
          <cell r="K574">
            <v>90636.666666666672</v>
          </cell>
        </row>
        <row r="575">
          <cell r="C575">
            <v>3010372.8084560502</v>
          </cell>
          <cell r="D575">
            <v>0.68672140932286696</v>
          </cell>
          <cell r="E575">
            <v>230564</v>
          </cell>
          <cell r="F575">
            <v>158333.23501911701</v>
          </cell>
          <cell r="G575">
            <v>5.2595889311238639E-2</v>
          </cell>
          <cell r="I575" t="str">
            <v>VA</v>
          </cell>
          <cell r="J575" t="str">
            <v>High</v>
          </cell>
          <cell r="K575">
            <v>104337.66666666667</v>
          </cell>
        </row>
        <row r="576">
          <cell r="C576">
            <v>2501657.8585733101</v>
          </cell>
          <cell r="D576">
            <v>0.75639471666592895</v>
          </cell>
          <cell r="E576">
            <v>247507</v>
          </cell>
          <cell r="F576">
            <v>187212.98713783399</v>
          </cell>
          <cell r="G576">
            <v>7.4835568139841935E-2</v>
          </cell>
          <cell r="I576" t="str">
            <v>VA</v>
          </cell>
          <cell r="J576" t="str">
            <v>Med</v>
          </cell>
          <cell r="K576">
            <v>74166.666666666672</v>
          </cell>
        </row>
        <row r="577">
          <cell r="C577">
            <v>2468951.0394100798</v>
          </cell>
          <cell r="D577">
            <v>0.70532095908911296</v>
          </cell>
          <cell r="E577">
            <v>269755</v>
          </cell>
          <cell r="F577">
            <v>190263.85531908399</v>
          </cell>
          <cell r="G577">
            <v>7.7062627926613239E-2</v>
          </cell>
          <cell r="I577" t="str">
            <v>VA</v>
          </cell>
          <cell r="J577" t="str">
            <v>Med</v>
          </cell>
          <cell r="K577">
            <v>46839.666666666664</v>
          </cell>
        </row>
        <row r="578">
          <cell r="C578">
            <v>2528790.15398958</v>
          </cell>
          <cell r="D578">
            <v>0.70850401988540002</v>
          </cell>
          <cell r="E578">
            <v>235208</v>
          </cell>
          <cell r="F578">
            <v>166645.81350920501</v>
          </cell>
          <cell r="G578">
            <v>6.5899423582575237E-2</v>
          </cell>
          <cell r="I578" t="str">
            <v>VA</v>
          </cell>
          <cell r="J578" t="str">
            <v>Med</v>
          </cell>
          <cell r="K578">
            <v>76752</v>
          </cell>
        </row>
        <row r="579">
          <cell r="C579">
            <v>4323312.2416847404</v>
          </cell>
          <cell r="D579">
            <v>0.691004354136315</v>
          </cell>
          <cell r="E579">
            <v>122511</v>
          </cell>
          <cell r="F579">
            <v>84655.634429594094</v>
          </cell>
          <cell r="G579">
            <v>1.9581198325986478E-2</v>
          </cell>
          <cell r="I579" t="str">
            <v>VA</v>
          </cell>
          <cell r="J579" t="str">
            <v>High</v>
          </cell>
          <cell r="K579">
            <v>176011.66666666666</v>
          </cell>
        </row>
        <row r="580">
          <cell r="C580">
            <v>3083184.0034456602</v>
          </cell>
          <cell r="D580">
            <v>0.74497665213954301</v>
          </cell>
          <cell r="E580">
            <v>254284</v>
          </cell>
          <cell r="F580">
            <v>189435.643012652</v>
          </cell>
          <cell r="G580">
            <v>6.1441562618690694E-2</v>
          </cell>
          <cell r="I580" t="str">
            <v>VA</v>
          </cell>
          <cell r="J580" t="str">
            <v>High</v>
          </cell>
          <cell r="K580">
            <v>101048.66666666667</v>
          </cell>
        </row>
        <row r="581">
          <cell r="C581">
            <v>2420472.5306346701</v>
          </cell>
          <cell r="D581">
            <v>0.68890797392382497</v>
          </cell>
          <cell r="E581">
            <v>278098</v>
          </cell>
          <cell r="F581">
            <v>191583.92973226801</v>
          </cell>
          <cell r="G581">
            <v>7.9151457951903689E-2</v>
          </cell>
          <cell r="I581" t="str">
            <v>VA</v>
          </cell>
          <cell r="J581" t="str">
            <v>Med</v>
          </cell>
          <cell r="K581">
            <v>66000</v>
          </cell>
        </row>
        <row r="582">
          <cell r="C582">
            <v>2544421.4326177998</v>
          </cell>
          <cell r="D582">
            <v>0.71302425200480901</v>
          </cell>
          <cell r="E582">
            <v>267278</v>
          </cell>
          <cell r="F582">
            <v>190575.69602734101</v>
          </cell>
          <cell r="G582">
            <v>7.4899422550166669E-2</v>
          </cell>
          <cell r="I582" t="str">
            <v>VA</v>
          </cell>
          <cell r="J582" t="str">
            <v>Med</v>
          </cell>
          <cell r="K582">
            <v>70332.333333333328</v>
          </cell>
        </row>
        <row r="583">
          <cell r="C583">
            <v>2728183.7197300401</v>
          </cell>
          <cell r="D583">
            <v>0.74854191495392597</v>
          </cell>
          <cell r="E583">
            <v>229261</v>
          </cell>
          <cell r="F583">
            <v>171611.46796425199</v>
          </cell>
          <cell r="G583">
            <v>6.2903193330848456E-2</v>
          </cell>
          <cell r="I583" t="str">
            <v>VA</v>
          </cell>
          <cell r="J583" t="str">
            <v>Med</v>
          </cell>
          <cell r="K583">
            <v>86125.666666666672</v>
          </cell>
        </row>
        <row r="584">
          <cell r="C584">
            <v>2789608.0186862298</v>
          </cell>
          <cell r="D584">
            <v>0.69869317594755398</v>
          </cell>
          <cell r="E584">
            <v>241605</v>
          </cell>
          <cell r="F584">
            <v>168807.76477480901</v>
          </cell>
          <cell r="G584">
            <v>6.0513076978574679E-2</v>
          </cell>
          <cell r="I584" t="str">
            <v>VA</v>
          </cell>
          <cell r="J584" t="str">
            <v>Med</v>
          </cell>
          <cell r="K584">
            <v>66868.333333333328</v>
          </cell>
        </row>
        <row r="585">
          <cell r="C585">
            <v>2807961.18661523</v>
          </cell>
          <cell r="D585">
            <v>0.74737372342830199</v>
          </cell>
          <cell r="E585">
            <v>256375</v>
          </cell>
          <cell r="F585">
            <v>191607.93834393099</v>
          </cell>
          <cell r="G585">
            <v>6.8237388485735753E-2</v>
          </cell>
          <cell r="I585" t="str">
            <v>VA</v>
          </cell>
          <cell r="J585" t="str">
            <v>Med</v>
          </cell>
          <cell r="K585">
            <v>82692.666666666672</v>
          </cell>
        </row>
        <row r="586">
          <cell r="C586">
            <v>2603686.4688875899</v>
          </cell>
          <cell r="D586">
            <v>0.726014916050018</v>
          </cell>
          <cell r="E586">
            <v>261566</v>
          </cell>
          <cell r="F586">
            <v>189900.81753153901</v>
          </cell>
          <cell r="G586">
            <v>7.2935362917438004E-2</v>
          </cell>
          <cell r="I586" t="str">
            <v>VA</v>
          </cell>
          <cell r="J586" t="str">
            <v>Med</v>
          </cell>
          <cell r="K586">
            <v>75777.666666666672</v>
          </cell>
        </row>
        <row r="587">
          <cell r="C587">
            <v>3271874.6593033602</v>
          </cell>
          <cell r="D587">
            <v>0.75185080802589899</v>
          </cell>
          <cell r="E587">
            <v>203795</v>
          </cell>
          <cell r="F587">
            <v>153223.43542163799</v>
          </cell>
          <cell r="G587">
            <v>4.6830472245004022E-2</v>
          </cell>
          <cell r="I587" t="str">
            <v>VA</v>
          </cell>
          <cell r="J587" t="str">
            <v>High</v>
          </cell>
          <cell r="K587">
            <v>123264</v>
          </cell>
        </row>
        <row r="588">
          <cell r="C588">
            <v>3555748.2652818598</v>
          </cell>
          <cell r="D588">
            <v>0.72545439002402001</v>
          </cell>
          <cell r="E588">
            <v>217124</v>
          </cell>
          <cell r="F588">
            <v>157513.558979575</v>
          </cell>
          <cell r="G588">
            <v>4.4298287513075421E-2</v>
          </cell>
          <cell r="I588" t="str">
            <v>VA</v>
          </cell>
          <cell r="J588" t="str">
            <v>High</v>
          </cell>
          <cell r="K588">
            <v>130123</v>
          </cell>
        </row>
        <row r="589">
          <cell r="C589">
            <v>2452483.0609266502</v>
          </cell>
          <cell r="D589">
            <v>0.74391954564026996</v>
          </cell>
          <cell r="E589">
            <v>231800</v>
          </cell>
          <cell r="F589">
            <v>172440.550679415</v>
          </cell>
          <cell r="G589">
            <v>7.0312636783007906E-2</v>
          </cell>
          <cell r="I589" t="str">
            <v>VA</v>
          </cell>
          <cell r="J589" t="str">
            <v>Med</v>
          </cell>
          <cell r="K589">
            <v>64149.333333333336</v>
          </cell>
        </row>
        <row r="590">
          <cell r="C590">
            <v>2273763.4376031398</v>
          </cell>
          <cell r="D590">
            <v>0.74726181884242204</v>
          </cell>
          <cell r="E590">
            <v>253810</v>
          </cell>
          <cell r="F590">
            <v>189662.52224039499</v>
          </cell>
          <cell r="G590">
            <v>8.3413480533544609E-2</v>
          </cell>
          <cell r="I590" t="str">
            <v>VA</v>
          </cell>
          <cell r="J590" t="str">
            <v>Med</v>
          </cell>
          <cell r="K590">
            <v>57821.333333333336</v>
          </cell>
        </row>
        <row r="591">
          <cell r="C591">
            <v>2069321.2807761601</v>
          </cell>
          <cell r="D591">
            <v>0.65068129773182304</v>
          </cell>
          <cell r="E591">
            <v>295672</v>
          </cell>
          <cell r="F591">
            <v>192388.24066296301</v>
          </cell>
          <cell r="G591">
            <v>9.2971662955499162E-2</v>
          </cell>
          <cell r="I591" t="str">
            <v>VA</v>
          </cell>
          <cell r="J591" t="str">
            <v>Med</v>
          </cell>
          <cell r="K591">
            <v>47096</v>
          </cell>
        </row>
        <row r="592">
          <cell r="C592">
            <v>3222537.6205898402</v>
          </cell>
          <cell r="D592">
            <v>0.72170434027538699</v>
          </cell>
          <cell r="E592">
            <v>226131</v>
          </cell>
          <cell r="F592">
            <v>163199.72417081401</v>
          </cell>
          <cell r="G592">
            <v>5.0643233186193987E-2</v>
          </cell>
          <cell r="I592" t="str">
            <v>VA</v>
          </cell>
          <cell r="J592" t="str">
            <v>High</v>
          </cell>
          <cell r="K592">
            <v>111399</v>
          </cell>
        </row>
        <row r="593">
          <cell r="C593">
            <v>3493482.1342201298</v>
          </cell>
          <cell r="D593">
            <v>0.76611326839294003</v>
          </cell>
          <cell r="E593">
            <v>207604</v>
          </cell>
          <cell r="F593">
            <v>159048.17897144801</v>
          </cell>
          <cell r="G593">
            <v>4.5527119607541161E-2</v>
          </cell>
          <cell r="I593" t="str">
            <v>VA</v>
          </cell>
          <cell r="J593" t="str">
            <v>High</v>
          </cell>
          <cell r="K593">
            <v>126832.33333333333</v>
          </cell>
        </row>
        <row r="594">
          <cell r="C594">
            <v>1719761.10076787</v>
          </cell>
          <cell r="D594">
            <v>0.69794904128247004</v>
          </cell>
          <cell r="E594">
            <v>229789</v>
          </cell>
          <cell r="F594">
            <v>160381.01224725801</v>
          </cell>
          <cell r="G594">
            <v>9.3257727585330435E-2</v>
          </cell>
          <cell r="I594" t="str">
            <v>VA</v>
          </cell>
          <cell r="J594" t="str">
            <v>Low</v>
          </cell>
          <cell r="K594">
            <v>25878</v>
          </cell>
        </row>
        <row r="595">
          <cell r="C595">
            <v>2649793.2054563402</v>
          </cell>
          <cell r="D595">
            <v>0.70969127542201704</v>
          </cell>
          <cell r="E595">
            <v>246472</v>
          </cell>
          <cell r="F595">
            <v>174919.02803581499</v>
          </cell>
          <cell r="G595">
            <v>6.6012331707859029E-2</v>
          </cell>
          <cell r="I595" t="str">
            <v>VA</v>
          </cell>
          <cell r="J595" t="str">
            <v>Med</v>
          </cell>
          <cell r="K595">
            <v>78901.666666666672</v>
          </cell>
        </row>
        <row r="596">
          <cell r="C596">
            <v>2435618.8288883101</v>
          </cell>
          <cell r="D596">
            <v>0.74849323110475596</v>
          </cell>
          <cell r="E596">
            <v>243801</v>
          </cell>
          <cell r="F596">
            <v>182483.398236571</v>
          </cell>
          <cell r="G596">
            <v>7.4922806504933256E-2</v>
          </cell>
          <cell r="I596" t="str">
            <v>VA</v>
          </cell>
          <cell r="J596" t="str">
            <v>Med</v>
          </cell>
          <cell r="K596">
            <v>72992</v>
          </cell>
        </row>
        <row r="597">
          <cell r="C597">
            <v>3212495.7519219802</v>
          </cell>
          <cell r="D597">
            <v>0.75354849368268695</v>
          </cell>
          <cell r="E597">
            <v>212348</v>
          </cell>
          <cell r="F597">
            <v>160014.51553653099</v>
          </cell>
          <cell r="G597">
            <v>4.9810031792508085E-2</v>
          </cell>
          <cell r="I597" t="str">
            <v>VA</v>
          </cell>
          <cell r="J597" t="str">
            <v>High</v>
          </cell>
          <cell r="K597">
            <v>119878</v>
          </cell>
        </row>
        <row r="598">
          <cell r="C598">
            <v>2117119.3036147999</v>
          </cell>
          <cell r="D598">
            <v>0.72913949873109796</v>
          </cell>
          <cell r="E598">
            <v>260842</v>
          </cell>
          <cell r="F598">
            <v>190190.205128017</v>
          </cell>
          <cell r="G598">
            <v>8.9834429643753905E-2</v>
          </cell>
          <cell r="I598" t="str">
            <v>VA</v>
          </cell>
          <cell r="J598" t="str">
            <v>Med</v>
          </cell>
          <cell r="K598">
            <v>55273.333333333336</v>
          </cell>
        </row>
        <row r="599">
          <cell r="C599">
            <v>3024641.3191493</v>
          </cell>
          <cell r="D599">
            <v>0.72788469569097702</v>
          </cell>
          <cell r="E599">
            <v>236916</v>
          </cell>
          <cell r="F599">
            <v>172447.53056432301</v>
          </cell>
          <cell r="G599">
            <v>5.7014208419537492E-2</v>
          </cell>
          <cell r="I599" t="str">
            <v>VA</v>
          </cell>
          <cell r="J599" t="str">
            <v>High</v>
          </cell>
          <cell r="K599">
            <v>108975.66666666667</v>
          </cell>
        </row>
        <row r="600">
          <cell r="C600">
            <v>2418123.3314901702</v>
          </cell>
          <cell r="D600">
            <v>0.77476210460578199</v>
          </cell>
          <cell r="E600">
            <v>227868</v>
          </cell>
          <cell r="F600">
            <v>176543.49125230999</v>
          </cell>
          <cell r="G600">
            <v>7.3008472708261302E-2</v>
          </cell>
          <cell r="I600" t="str">
            <v>VA</v>
          </cell>
          <cell r="J600" t="str">
            <v>Med</v>
          </cell>
          <cell r="K600">
            <v>70133</v>
          </cell>
        </row>
        <row r="601">
          <cell r="C601">
            <v>2473191.3984473902</v>
          </cell>
          <cell r="D601">
            <v>0.75768749430722504</v>
          </cell>
          <cell r="E601">
            <v>233024</v>
          </cell>
          <cell r="F601">
            <v>176559.370673447</v>
          </cell>
          <cell r="G601">
            <v>7.1389287050038552E-2</v>
          </cell>
          <cell r="I601" t="str">
            <v>VA</v>
          </cell>
          <cell r="J601" t="str">
            <v>Med</v>
          </cell>
          <cell r="K601">
            <v>73769</v>
          </cell>
        </row>
        <row r="602">
          <cell r="C602">
            <v>3086810.1598269502</v>
          </cell>
          <cell r="D602">
            <v>0.708808937628015</v>
          </cell>
          <cell r="E602">
            <v>229653</v>
          </cell>
          <cell r="F602">
            <v>162780.098953087</v>
          </cell>
          <cell r="G602">
            <v>5.2734081632740452E-2</v>
          </cell>
          <cell r="I602" t="str">
            <v>VA</v>
          </cell>
          <cell r="J602" t="str">
            <v>High</v>
          </cell>
          <cell r="K602">
            <v>117573.33333333333</v>
          </cell>
        </row>
        <row r="603">
          <cell r="C603">
            <v>1910945.89499165</v>
          </cell>
          <cell r="D603">
            <v>0.73189862658168503</v>
          </cell>
          <cell r="E603">
            <v>225221</v>
          </cell>
          <cell r="F603">
            <v>164838.94057735399</v>
          </cell>
          <cell r="G603">
            <v>8.6260391259311009E-2</v>
          </cell>
          <cell r="I603" t="str">
            <v>VA</v>
          </cell>
          <cell r="J603" t="str">
            <v>Med</v>
          </cell>
          <cell r="K603">
            <v>43634.333333333336</v>
          </cell>
        </row>
        <row r="604">
          <cell r="C604">
            <v>2341073.50576076</v>
          </cell>
          <cell r="D604">
            <v>0.74294706226995799</v>
          </cell>
          <cell r="E604">
            <v>264239</v>
          </cell>
          <cell r="F604">
            <v>196315.58878715101</v>
          </cell>
          <cell r="G604">
            <v>8.3857080225832506E-2</v>
          </cell>
          <cell r="I604" t="str">
            <v>VA</v>
          </cell>
          <cell r="J604" t="str">
            <v>Med</v>
          </cell>
          <cell r="K604">
            <v>68834</v>
          </cell>
        </row>
        <row r="605">
          <cell r="C605">
            <v>2689639.9418426701</v>
          </cell>
          <cell r="D605">
            <v>0.68728089114552604</v>
          </cell>
          <cell r="E605">
            <v>282437</v>
          </cell>
          <cell r="F605">
            <v>194113.55305246901</v>
          </cell>
          <cell r="G605">
            <v>7.2170832248825839E-2</v>
          </cell>
          <cell r="I605" t="str">
            <v>VA</v>
          </cell>
          <cell r="J605" t="str">
            <v>Med</v>
          </cell>
          <cell r="K605">
            <v>90147.333333333328</v>
          </cell>
        </row>
        <row r="606">
          <cell r="C606">
            <v>2452196.13570775</v>
          </cell>
          <cell r="D606">
            <v>0.73277384945115198</v>
          </cell>
          <cell r="E606">
            <v>237828</v>
          </cell>
          <cell r="F606">
            <v>174274.13906726899</v>
          </cell>
          <cell r="G606">
            <v>7.1068597054521579E-2</v>
          </cell>
          <cell r="I606" t="str">
            <v>VA</v>
          </cell>
          <cell r="J606" t="str">
            <v>Med</v>
          </cell>
          <cell r="K606">
            <v>75389.666666666672</v>
          </cell>
        </row>
        <row r="607">
          <cell r="C607">
            <v>2716601.4471341302</v>
          </cell>
          <cell r="D607">
            <v>0.69685994873535895</v>
          </cell>
          <cell r="E607">
            <v>265865</v>
          </cell>
          <cell r="F607">
            <v>185270.670270526</v>
          </cell>
          <cell r="G607">
            <v>6.8199430014283718E-2</v>
          </cell>
          <cell r="I607" t="str">
            <v>VA</v>
          </cell>
          <cell r="J607" t="str">
            <v>Med</v>
          </cell>
          <cell r="K607">
            <v>90636.666666666672</v>
          </cell>
        </row>
        <row r="608">
          <cell r="C608">
            <v>2850101.23236197</v>
          </cell>
          <cell r="D608">
            <v>0.66937374636598301</v>
          </cell>
          <cell r="E608">
            <v>239652</v>
          </cell>
          <cell r="F608">
            <v>160416.75706410001</v>
          </cell>
          <cell r="G608">
            <v>5.6284582190492059E-2</v>
          </cell>
          <cell r="I608" t="str">
            <v>VA</v>
          </cell>
          <cell r="J608" t="str">
            <v>High</v>
          </cell>
          <cell r="K608">
            <v>104337.66666666667</v>
          </cell>
        </row>
        <row r="609">
          <cell r="C609">
            <v>2407539.7660660199</v>
          </cell>
          <cell r="D609">
            <v>0.72694876546820897</v>
          </cell>
          <cell r="E609">
            <v>267894</v>
          </cell>
          <cell r="F609">
            <v>194745.212576341</v>
          </cell>
          <cell r="G609">
            <v>8.0889717927508847E-2</v>
          </cell>
          <cell r="I609" t="str">
            <v>VA</v>
          </cell>
          <cell r="J609" t="str">
            <v>Med</v>
          </cell>
          <cell r="K609">
            <v>74166.666666666672</v>
          </cell>
        </row>
        <row r="610">
          <cell r="C610">
            <v>2401125.33443216</v>
          </cell>
          <cell r="D610">
            <v>0.69202637004017398</v>
          </cell>
          <cell r="E610">
            <v>289624</v>
          </cell>
          <cell r="F610">
            <v>200427.44539651499</v>
          </cell>
          <cell r="G610">
            <v>8.3472296311393468E-2</v>
          </cell>
          <cell r="I610" t="str">
            <v>VA</v>
          </cell>
          <cell r="J610" t="str">
            <v>Med</v>
          </cell>
          <cell r="K610">
            <v>46839.666666666664</v>
          </cell>
        </row>
        <row r="611">
          <cell r="C611">
            <v>2470628.3019141098</v>
          </cell>
          <cell r="D611">
            <v>0.74597593889406499</v>
          </cell>
          <cell r="E611">
            <v>236652</v>
          </cell>
          <cell r="F611">
            <v>176536.69789115799</v>
          </cell>
          <cell r="G611">
            <v>7.1454171294964466E-2</v>
          </cell>
          <cell r="I611" t="str">
            <v>VA</v>
          </cell>
          <cell r="J611" t="str">
            <v>Med</v>
          </cell>
          <cell r="K611">
            <v>76752</v>
          </cell>
        </row>
        <row r="612">
          <cell r="C612">
            <v>4178988.0125807002</v>
          </cell>
          <cell r="D612">
            <v>0.68055401739966903</v>
          </cell>
          <cell r="E612">
            <v>129215</v>
          </cell>
          <cell r="F612">
            <v>87937.787358298199</v>
          </cell>
          <cell r="G612">
            <v>2.1042842691475664E-2</v>
          </cell>
          <cell r="I612" t="str">
            <v>VA</v>
          </cell>
          <cell r="J612" t="str">
            <v>High</v>
          </cell>
          <cell r="K612">
            <v>176011.66666666666</v>
          </cell>
        </row>
        <row r="613">
          <cell r="C613">
            <v>2849459.4070743499</v>
          </cell>
          <cell r="D613">
            <v>0.72746899121883501</v>
          </cell>
          <cell r="E613">
            <v>258301</v>
          </cell>
          <cell r="F613">
            <v>187905.967900816</v>
          </cell>
          <cell r="G613">
            <v>6.5944427014577589E-2</v>
          </cell>
          <cell r="I613" t="str">
            <v>VA</v>
          </cell>
          <cell r="J613" t="str">
            <v>High</v>
          </cell>
          <cell r="K613">
            <v>101048.66666666667</v>
          </cell>
        </row>
        <row r="614">
          <cell r="C614">
            <v>2311847.29296995</v>
          </cell>
          <cell r="D614">
            <v>0.68634620251709899</v>
          </cell>
          <cell r="E614">
            <v>288309</v>
          </cell>
          <cell r="F614">
            <v>197879.78730150199</v>
          </cell>
          <cell r="G614">
            <v>8.5593796745672024E-2</v>
          </cell>
          <cell r="I614" t="str">
            <v>VA</v>
          </cell>
          <cell r="J614" t="str">
            <v>Med</v>
          </cell>
          <cell r="K614">
            <v>66000</v>
          </cell>
        </row>
        <row r="615">
          <cell r="C615">
            <v>2378464.5839118902</v>
          </cell>
          <cell r="D615">
            <v>0.70380327527152298</v>
          </cell>
          <cell r="E615">
            <v>276972</v>
          </cell>
          <cell r="F615">
            <v>194933.80075850399</v>
          </cell>
          <cell r="G615">
            <v>8.1957831988355254E-2</v>
          </cell>
          <cell r="I615" t="str">
            <v>VA</v>
          </cell>
          <cell r="J615" t="str">
            <v>Med</v>
          </cell>
          <cell r="K615">
            <v>70332.333333333328</v>
          </cell>
        </row>
        <row r="616">
          <cell r="C616">
            <v>2658787.5941872098</v>
          </cell>
          <cell r="D616">
            <v>0.72712696539636301</v>
          </cell>
          <cell r="E616">
            <v>249426</v>
          </cell>
          <cell r="F616">
            <v>181364.370470953</v>
          </cell>
          <cell r="G616">
            <v>6.8213185162839612E-2</v>
          </cell>
          <cell r="I616" t="str">
            <v>VA</v>
          </cell>
          <cell r="J616" t="str">
            <v>Med</v>
          </cell>
          <cell r="K616">
            <v>86125.666666666672</v>
          </cell>
        </row>
        <row r="617">
          <cell r="C617">
            <v>2679926.0175383198</v>
          </cell>
          <cell r="D617">
            <v>0.68315545119120702</v>
          </cell>
          <cell r="E617">
            <v>251650</v>
          </cell>
          <cell r="F617">
            <v>171916.069292267</v>
          </cell>
          <cell r="G617">
            <v>6.4149557923312631E-2</v>
          </cell>
          <cell r="I617" t="str">
            <v>VA</v>
          </cell>
          <cell r="J617" t="str">
            <v>Med</v>
          </cell>
          <cell r="K617">
            <v>66868.333333333328</v>
          </cell>
        </row>
        <row r="618">
          <cell r="C618">
            <v>2721647.4219556702</v>
          </cell>
          <cell r="D618">
            <v>0.74153176751663397</v>
          </cell>
          <cell r="E618">
            <v>274137</v>
          </cell>
          <cell r="F618">
            <v>203281.294151707</v>
          </cell>
          <cell r="G618">
            <v>7.4690532106336152E-2</v>
          </cell>
          <cell r="I618" t="str">
            <v>VA</v>
          </cell>
          <cell r="J618" t="str">
            <v>Med</v>
          </cell>
          <cell r="K618">
            <v>82692.666666666672</v>
          </cell>
        </row>
        <row r="619">
          <cell r="C619">
            <v>2557855.56083313</v>
          </cell>
          <cell r="D619">
            <v>0.71881746299557803</v>
          </cell>
          <cell r="E619">
            <v>282971</v>
          </cell>
          <cell r="F619">
            <v>203404.49632132199</v>
          </cell>
          <cell r="G619">
            <v>7.9521494268843793E-2</v>
          </cell>
          <cell r="I619" t="str">
            <v>VA</v>
          </cell>
          <cell r="J619" t="str">
            <v>Med</v>
          </cell>
          <cell r="K619">
            <v>75777.666666666672</v>
          </cell>
        </row>
        <row r="620">
          <cell r="C620">
            <v>3193177.2687823102</v>
          </cell>
          <cell r="D620">
            <v>0.73145072688882795</v>
          </cell>
          <cell r="E620">
            <v>221036</v>
          </cell>
          <cell r="F620">
            <v>161676.942868599</v>
          </cell>
          <cell r="G620">
            <v>5.0631997305383883E-2</v>
          </cell>
          <cell r="I620" t="str">
            <v>VA</v>
          </cell>
          <cell r="J620" t="str">
            <v>High</v>
          </cell>
          <cell r="K620">
            <v>123264</v>
          </cell>
        </row>
        <row r="621">
          <cell r="C621">
            <v>3353580.06169823</v>
          </cell>
          <cell r="D621">
            <v>0.74527212221813699</v>
          </cell>
          <cell r="E621">
            <v>221808</v>
          </cell>
          <cell r="F621">
            <v>165307.31888496</v>
          </cell>
          <cell r="G621">
            <v>4.9292790344551814E-2</v>
          </cell>
          <cell r="I621" t="str">
            <v>VA</v>
          </cell>
          <cell r="J621" t="str">
            <v>High</v>
          </cell>
          <cell r="K621">
            <v>130123</v>
          </cell>
        </row>
        <row r="622">
          <cell r="C622">
            <v>2271139.6476810998</v>
          </cell>
          <cell r="D622">
            <v>0.72127685700237498</v>
          </cell>
          <cell r="E622">
            <v>240967</v>
          </cell>
          <cell r="F622">
            <v>173803.92040129099</v>
          </cell>
          <cell r="G622">
            <v>7.6527183424740033E-2</v>
          </cell>
          <cell r="I622" t="str">
            <v>VA</v>
          </cell>
          <cell r="J622" t="str">
            <v>Med</v>
          </cell>
          <cell r="K622">
            <v>64149.333333333336</v>
          </cell>
        </row>
        <row r="623">
          <cell r="C623">
            <v>2207828.2238953402</v>
          </cell>
          <cell r="D623">
            <v>0.75651509125715299</v>
          </cell>
          <cell r="E623">
            <v>264056</v>
          </cell>
          <cell r="F623">
            <v>199762.34893699901</v>
          </cell>
          <cell r="G623">
            <v>9.0479117340275722E-2</v>
          </cell>
          <cell r="I623" t="str">
            <v>VA</v>
          </cell>
          <cell r="J623" t="str">
            <v>Med</v>
          </cell>
          <cell r="K623">
            <v>57821.333333333336</v>
          </cell>
        </row>
        <row r="624">
          <cell r="C624">
            <v>1985391.54836567</v>
          </cell>
          <cell r="D624">
            <v>0.67563101496952904</v>
          </cell>
          <cell r="E624">
            <v>295419</v>
          </cell>
          <cell r="F624">
            <v>199594.23881128299</v>
          </cell>
          <cell r="G624">
            <v>0.10053142362552339</v>
          </cell>
          <cell r="I624" t="str">
            <v>VA</v>
          </cell>
          <cell r="J624" t="str">
            <v>Med</v>
          </cell>
          <cell r="K624">
            <v>47096</v>
          </cell>
        </row>
        <row r="625">
          <cell r="C625">
            <v>3070635.39391466</v>
          </cell>
          <cell r="D625">
            <v>0.75664762028703503</v>
          </cell>
          <cell r="E625">
            <v>228713</v>
          </cell>
          <cell r="F625">
            <v>173055.14717870901</v>
          </cell>
          <cell r="G625">
            <v>5.6358090420525718E-2</v>
          </cell>
          <cell r="I625" t="str">
            <v>VA</v>
          </cell>
          <cell r="J625" t="str">
            <v>High</v>
          </cell>
          <cell r="K625">
            <v>111399</v>
          </cell>
        </row>
        <row r="626">
          <cell r="C626">
            <v>3389845.6945686899</v>
          </cell>
          <cell r="D626">
            <v>0.75471749810244504</v>
          </cell>
          <cell r="E626">
            <v>224943</v>
          </cell>
          <cell r="F626">
            <v>169768.41817565801</v>
          </cell>
          <cell r="G626">
            <v>5.0081459002002934E-2</v>
          </cell>
          <cell r="I626" t="str">
            <v>VA</v>
          </cell>
          <cell r="J626" t="str">
            <v>High</v>
          </cell>
          <cell r="K626">
            <v>126832.33333333333</v>
          </cell>
        </row>
        <row r="627">
          <cell r="C627">
            <v>1652366.5626520501</v>
          </cell>
          <cell r="D627">
            <v>0.734409845418169</v>
          </cell>
          <cell r="E627">
            <v>208745</v>
          </cell>
          <cell r="F627">
            <v>153304.383181816</v>
          </cell>
          <cell r="G627">
            <v>9.2778676745771407E-2</v>
          </cell>
          <cell r="I627" t="str">
            <v>VA</v>
          </cell>
          <cell r="J627" t="str">
            <v>Low</v>
          </cell>
          <cell r="K627">
            <v>25878</v>
          </cell>
        </row>
        <row r="628">
          <cell r="C628">
            <v>2489896.4371577702</v>
          </cell>
          <cell r="D628">
            <v>0.71718356879928102</v>
          </cell>
          <cell r="E628">
            <v>244096</v>
          </cell>
          <cell r="F628">
            <v>175061.64040962901</v>
          </cell>
          <cell r="G628">
            <v>7.030880393140479E-2</v>
          </cell>
          <cell r="I628" t="str">
            <v>VA</v>
          </cell>
          <cell r="J628" t="str">
            <v>Med</v>
          </cell>
          <cell r="K628">
            <v>78901.666666666672</v>
          </cell>
        </row>
        <row r="629">
          <cell r="C629">
            <v>2285156.1385562401</v>
          </cell>
          <cell r="D629">
            <v>0.75869287017195897</v>
          </cell>
          <cell r="E629">
            <v>209185</v>
          </cell>
          <cell r="F629">
            <v>158707.168046921</v>
          </cell>
          <cell r="G629">
            <v>6.9451345301591541E-2</v>
          </cell>
          <cell r="I629" t="str">
            <v>VA</v>
          </cell>
          <cell r="J629" t="str">
            <v>Med</v>
          </cell>
          <cell r="K629">
            <v>72992</v>
          </cell>
        </row>
        <row r="630">
          <cell r="C630">
            <v>3067400.0749599901</v>
          </cell>
          <cell r="D630">
            <v>0.721783632345392</v>
          </cell>
          <cell r="E630">
            <v>198302</v>
          </cell>
          <cell r="F630">
            <v>143131.13786135599</v>
          </cell>
          <cell r="G630">
            <v>4.6662037674763679E-2</v>
          </cell>
          <cell r="I630" t="str">
            <v>VA</v>
          </cell>
          <cell r="J630" t="str">
            <v>High</v>
          </cell>
          <cell r="K630">
            <v>119878</v>
          </cell>
        </row>
        <row r="631">
          <cell r="C631">
            <v>2058324.57196287</v>
          </cell>
          <cell r="D631">
            <v>0.73802897229327402</v>
          </cell>
          <cell r="E631">
            <v>228754</v>
          </cell>
          <cell r="F631">
            <v>168827.07952797599</v>
          </cell>
          <cell r="G631">
            <v>8.2021602339896402E-2</v>
          </cell>
          <cell r="I631" t="str">
            <v>VA</v>
          </cell>
          <cell r="J631" t="str">
            <v>Med</v>
          </cell>
          <cell r="K631">
            <v>55273.333333333336</v>
          </cell>
        </row>
        <row r="632">
          <cell r="C632">
            <v>2853083.5104866298</v>
          </cell>
          <cell r="D632">
            <v>0.70485522510033705</v>
          </cell>
          <cell r="E632">
            <v>211694</v>
          </cell>
          <cell r="F632">
            <v>149213.62202239101</v>
          </cell>
          <cell r="G632">
            <v>5.2299072730941802E-2</v>
          </cell>
          <cell r="I632" t="str">
            <v>VA</v>
          </cell>
          <cell r="J632" t="str">
            <v>High</v>
          </cell>
          <cell r="K632">
            <v>108975.66666666667</v>
          </cell>
        </row>
        <row r="633">
          <cell r="C633">
            <v>2309685.3367480901</v>
          </cell>
          <cell r="D633">
            <v>0.72112509055565299</v>
          </cell>
          <cell r="E633">
            <v>222435</v>
          </cell>
          <cell r="F633">
            <v>160403.45951774699</v>
          </cell>
          <cell r="G633">
            <v>6.9448187147252816E-2</v>
          </cell>
          <cell r="I633" t="str">
            <v>VA</v>
          </cell>
          <cell r="J633" t="str">
            <v>Med</v>
          </cell>
          <cell r="K633">
            <v>70133</v>
          </cell>
        </row>
        <row r="634">
          <cell r="C634">
            <v>2346914.1347898701</v>
          </cell>
          <cell r="D634">
            <v>0.73295568821743895</v>
          </cell>
          <cell r="E634">
            <v>212514</v>
          </cell>
          <cell r="F634">
            <v>155763.34512584101</v>
          </cell>
          <cell r="G634">
            <v>6.6369426480865773E-2</v>
          </cell>
          <cell r="I634" t="str">
            <v>VA</v>
          </cell>
          <cell r="J634" t="str">
            <v>Med</v>
          </cell>
          <cell r="K634">
            <v>73769</v>
          </cell>
        </row>
        <row r="635">
          <cell r="C635">
            <v>2917539.2425076002</v>
          </cell>
          <cell r="D635">
            <v>0.72075376373148303</v>
          </cell>
          <cell r="E635">
            <v>196654</v>
          </cell>
          <cell r="F635">
            <v>141739.110652851</v>
          </cell>
          <cell r="G635">
            <v>4.8581732368071742E-2</v>
          </cell>
          <cell r="I635" t="str">
            <v>VA</v>
          </cell>
          <cell r="J635" t="str">
            <v>High</v>
          </cell>
          <cell r="K635">
            <v>117573.33333333333</v>
          </cell>
        </row>
        <row r="636">
          <cell r="C636">
            <v>1790952.91461208</v>
          </cell>
          <cell r="D636">
            <v>0.71513599407343098</v>
          </cell>
          <cell r="E636">
            <v>203054</v>
          </cell>
          <cell r="F636">
            <v>145211.22414058601</v>
          </cell>
          <cell r="G636">
            <v>8.108042537346033E-2</v>
          </cell>
          <cell r="I636" t="str">
            <v>VA</v>
          </cell>
          <cell r="J636" t="str">
            <v>Med</v>
          </cell>
          <cell r="K636">
            <v>43634.333333333336</v>
          </cell>
        </row>
        <row r="637">
          <cell r="C637">
            <v>2225298.65857457</v>
          </cell>
          <cell r="D637">
            <v>0.75277509826792399</v>
          </cell>
          <cell r="E637">
            <v>228657</v>
          </cell>
          <cell r="F637">
            <v>172127.29564464901</v>
          </cell>
          <cell r="G637">
            <v>7.7350199705286435E-2</v>
          </cell>
          <cell r="I637" t="str">
            <v>VA</v>
          </cell>
          <cell r="J637" t="str">
            <v>Med</v>
          </cell>
          <cell r="K637">
            <v>68834</v>
          </cell>
        </row>
        <row r="638">
          <cell r="C638">
            <v>2540046.4447018802</v>
          </cell>
          <cell r="D638">
            <v>0.70445760620583298</v>
          </cell>
          <cell r="E638">
            <v>242638</v>
          </cell>
          <cell r="F638">
            <v>170928.184654571</v>
          </cell>
          <cell r="G638">
            <v>6.7293330407835306E-2</v>
          </cell>
          <cell r="I638" t="str">
            <v>VA</v>
          </cell>
          <cell r="J638" t="str">
            <v>Med</v>
          </cell>
          <cell r="K638">
            <v>90147.333333333328</v>
          </cell>
        </row>
        <row r="639">
          <cell r="C639">
            <v>2370166.8476529601</v>
          </cell>
          <cell r="D639">
            <v>0.74159608690784895</v>
          </cell>
          <cell r="E639">
            <v>212872</v>
          </cell>
          <cell r="F639">
            <v>157865.04221224799</v>
          </cell>
          <cell r="G639">
            <v>6.6605033467822178E-2</v>
          </cell>
          <cell r="I639" t="str">
            <v>VA</v>
          </cell>
          <cell r="J639" t="str">
            <v>Med</v>
          </cell>
          <cell r="K639">
            <v>75389.666666666672</v>
          </cell>
        </row>
        <row r="640">
          <cell r="C640">
            <v>2612480.5675860499</v>
          </cell>
          <cell r="D640">
            <v>0.70003082979669795</v>
          </cell>
          <cell r="E640">
            <v>235491</v>
          </cell>
          <cell r="F640">
            <v>164850.96013965399</v>
          </cell>
          <cell r="G640">
            <v>6.3101315349486958E-2</v>
          </cell>
          <cell r="I640" t="str">
            <v>VA</v>
          </cell>
          <cell r="J640" t="str">
            <v>Med</v>
          </cell>
          <cell r="K640">
            <v>90636.666666666672</v>
          </cell>
        </row>
        <row r="641">
          <cell r="C641">
            <v>2721087.6962658698</v>
          </cell>
          <cell r="D641">
            <v>0.66968765333259705</v>
          </cell>
          <cell r="E641">
            <v>209485</v>
          </cell>
          <cell r="F641">
            <v>140289.51805837901</v>
          </cell>
          <cell r="G641">
            <v>5.1556411890325095E-2</v>
          </cell>
          <cell r="I641" t="str">
            <v>VA</v>
          </cell>
          <cell r="J641" t="str">
            <v>High</v>
          </cell>
          <cell r="K641">
            <v>104337.66666666667</v>
          </cell>
        </row>
        <row r="642">
          <cell r="C642">
            <v>2273659.4863621099</v>
          </cell>
          <cell r="D642">
            <v>0.76332415677912302</v>
          </cell>
          <cell r="E642">
            <v>223215</v>
          </cell>
          <cell r="F642">
            <v>170385.40165545201</v>
          </cell>
          <cell r="G642">
            <v>7.4938838765197538E-2</v>
          </cell>
          <cell r="I642" t="str">
            <v>VA</v>
          </cell>
          <cell r="J642" t="str">
            <v>Med</v>
          </cell>
          <cell r="K642">
            <v>74166.666666666672</v>
          </cell>
        </row>
        <row r="643">
          <cell r="C643">
            <v>2313212.2231288701</v>
          </cell>
          <cell r="D643">
            <v>0.68274059878444304</v>
          </cell>
          <cell r="E643">
            <v>257080</v>
          </cell>
          <cell r="F643">
            <v>175518.953135505</v>
          </cell>
          <cell r="G643">
            <v>7.5876718694706094E-2</v>
          </cell>
          <cell r="I643" t="str">
            <v>VA</v>
          </cell>
          <cell r="J643" t="str">
            <v>Med</v>
          </cell>
          <cell r="K643">
            <v>46839.666666666664</v>
          </cell>
        </row>
        <row r="644">
          <cell r="C644">
            <v>2291544.1715829601</v>
          </cell>
          <cell r="D644">
            <v>0.70476903858081996</v>
          </cell>
          <cell r="E644">
            <v>208223</v>
          </cell>
          <cell r="F644">
            <v>146749.123520414</v>
          </cell>
          <cell r="G644">
            <v>6.4039404232405506E-2</v>
          </cell>
          <cell r="I644" t="str">
            <v>VA</v>
          </cell>
          <cell r="J644" t="str">
            <v>Med</v>
          </cell>
          <cell r="K644">
            <v>76752</v>
          </cell>
        </row>
        <row r="645">
          <cell r="C645">
            <v>3955650.0843443801</v>
          </cell>
          <cell r="D645">
            <v>0.70047148944813897</v>
          </cell>
          <cell r="E645">
            <v>111824</v>
          </cell>
          <cell r="F645">
            <v>78329.523836048698</v>
          </cell>
          <cell r="G645">
            <v>1.9801934490125975E-2</v>
          </cell>
          <cell r="I645" t="str">
            <v>VA</v>
          </cell>
          <cell r="J645" t="str">
            <v>High</v>
          </cell>
          <cell r="K645">
            <v>176011.66666666666</v>
          </cell>
        </row>
        <row r="646">
          <cell r="C646">
            <v>2736487.2498969999</v>
          </cell>
          <cell r="D646">
            <v>0.73618070410509995</v>
          </cell>
          <cell r="E646">
            <v>226993</v>
          </cell>
          <cell r="F646">
            <v>167107.86656692901</v>
          </cell>
          <cell r="G646">
            <v>6.106656136374064E-2</v>
          </cell>
          <cell r="I646" t="str">
            <v>VA</v>
          </cell>
          <cell r="J646" t="str">
            <v>High</v>
          </cell>
          <cell r="K646">
            <v>101048.66666666667</v>
          </cell>
        </row>
        <row r="647">
          <cell r="C647">
            <v>2144683.6157380799</v>
          </cell>
          <cell r="D647">
            <v>0.68182343168352999</v>
          </cell>
          <cell r="E647">
            <v>246968</v>
          </cell>
          <cell r="F647">
            <v>168388.56927601801</v>
          </cell>
          <cell r="G647">
            <v>7.851441025629699E-2</v>
          </cell>
          <cell r="I647" t="str">
            <v>VA</v>
          </cell>
          <cell r="J647" t="str">
            <v>Med</v>
          </cell>
          <cell r="K647">
            <v>66000</v>
          </cell>
        </row>
        <row r="648">
          <cell r="C648">
            <v>2243343.3871204699</v>
          </cell>
          <cell r="D648">
            <v>0.70198558789209697</v>
          </cell>
          <cell r="E648">
            <v>241944</v>
          </cell>
          <cell r="F648">
            <v>169841.20107696601</v>
          </cell>
          <cell r="G648">
            <v>7.5708962815083006E-2</v>
          </cell>
          <cell r="I648" t="str">
            <v>VA</v>
          </cell>
          <cell r="J648" t="str">
            <v>Med</v>
          </cell>
          <cell r="K648">
            <v>70332.333333333328</v>
          </cell>
        </row>
        <row r="649">
          <cell r="C649">
            <v>2410681.1017825399</v>
          </cell>
          <cell r="D649">
            <v>0.72110112543954996</v>
          </cell>
          <cell r="E649">
            <v>214803</v>
          </cell>
          <cell r="F649">
            <v>154894.68504779201</v>
          </cell>
          <cell r="G649">
            <v>6.4253494555234866E-2</v>
          </cell>
          <cell r="I649" t="str">
            <v>VA</v>
          </cell>
          <cell r="J649" t="str">
            <v>Med</v>
          </cell>
          <cell r="K649">
            <v>86125.666666666672</v>
          </cell>
        </row>
        <row r="650">
          <cell r="C650">
            <v>2543939.9102090499</v>
          </cell>
          <cell r="D650">
            <v>0.67327643485183197</v>
          </cell>
          <cell r="E650">
            <v>224562</v>
          </cell>
          <cell r="F650">
            <v>151192.30276319699</v>
          </cell>
          <cell r="G650">
            <v>5.9432340424571059E-2</v>
          </cell>
          <cell r="I650" t="str">
            <v>VA</v>
          </cell>
          <cell r="J650" t="str">
            <v>Med</v>
          </cell>
          <cell r="K650">
            <v>66868.333333333328</v>
          </cell>
        </row>
        <row r="651">
          <cell r="C651">
            <v>2562991.4734263401</v>
          </cell>
          <cell r="D651">
            <v>0.713363073665784</v>
          </cell>
          <cell r="E651">
            <v>246777</v>
          </cell>
          <cell r="F651">
            <v>176041.59923002101</v>
          </cell>
          <cell r="G651">
            <v>6.8685987080042629E-2</v>
          </cell>
          <cell r="I651" t="str">
            <v>VA</v>
          </cell>
          <cell r="J651" t="str">
            <v>Med</v>
          </cell>
          <cell r="K651">
            <v>82692.666666666672</v>
          </cell>
        </row>
        <row r="652">
          <cell r="C652">
            <v>2358826.7984644198</v>
          </cell>
          <cell r="D652">
            <v>0.72966252377513396</v>
          </cell>
          <cell r="E652">
            <v>237968</v>
          </cell>
          <cell r="F652">
            <v>173636.33145772101</v>
          </cell>
          <cell r="G652">
            <v>7.3611310322045292E-2</v>
          </cell>
          <cell r="I652" t="str">
            <v>VA</v>
          </cell>
          <cell r="J652" t="str">
            <v>Med</v>
          </cell>
          <cell r="K652">
            <v>75777.666666666672</v>
          </cell>
        </row>
        <row r="653">
          <cell r="C653">
            <v>3079005.2801244198</v>
          </cell>
          <cell r="D653">
            <v>0.76172095204679102</v>
          </cell>
          <cell r="E653">
            <v>194174</v>
          </cell>
          <cell r="F653">
            <v>147906.40414273401</v>
          </cell>
          <cell r="G653">
            <v>4.8037073887952947E-2</v>
          </cell>
          <cell r="I653" t="str">
            <v>VA</v>
          </cell>
          <cell r="J653" t="str">
            <v>High</v>
          </cell>
          <cell r="K653">
            <v>123264</v>
          </cell>
        </row>
        <row r="654">
          <cell r="C654">
            <v>3175124.4672367298</v>
          </cell>
          <cell r="D654">
            <v>0.72883755178419096</v>
          </cell>
          <cell r="E654">
            <v>194209</v>
          </cell>
          <cell r="F654">
            <v>141546.81209445599</v>
          </cell>
          <cell r="G654">
            <v>4.4579925465927442E-2</v>
          </cell>
          <cell r="I654" t="str">
            <v>VA</v>
          </cell>
          <cell r="J654" t="str">
            <v>High</v>
          </cell>
          <cell r="K654">
            <v>130123</v>
          </cell>
        </row>
        <row r="655">
          <cell r="C655">
            <v>2204043.0549621098</v>
          </cell>
          <cell r="D655">
            <v>0.741168953385691</v>
          </cell>
          <cell r="E655">
            <v>204756</v>
          </cell>
          <cell r="F655">
            <v>151758.790219441</v>
          </cell>
          <cell r="G655">
            <v>6.8854730345569368E-2</v>
          </cell>
          <cell r="I655" t="str">
            <v>VA</v>
          </cell>
          <cell r="J655" t="str">
            <v>Med</v>
          </cell>
          <cell r="K655">
            <v>64149.333333333336</v>
          </cell>
        </row>
        <row r="656">
          <cell r="C656">
            <v>2089835.2783475199</v>
          </cell>
          <cell r="D656">
            <v>0.73481863080577703</v>
          </cell>
          <cell r="E656">
            <v>237333</v>
          </cell>
          <cell r="F656">
            <v>174396.71010502701</v>
          </cell>
          <cell r="G656">
            <v>8.34499790064442E-2</v>
          </cell>
          <cell r="I656" t="str">
            <v>VA</v>
          </cell>
          <cell r="J656" t="str">
            <v>Med</v>
          </cell>
          <cell r="K656">
            <v>57821.333333333336</v>
          </cell>
        </row>
        <row r="657">
          <cell r="C657">
            <v>1823590.2617800899</v>
          </cell>
          <cell r="D657">
            <v>0.66892962223117303</v>
          </cell>
          <cell r="E657">
            <v>254096</v>
          </cell>
          <cell r="F657">
            <v>169972.34129045199</v>
          </cell>
          <cell r="G657">
            <v>9.3207528496304981E-2</v>
          </cell>
          <cell r="I657" t="str">
            <v>VA</v>
          </cell>
          <cell r="J657" t="str">
            <v>Med</v>
          </cell>
          <cell r="K657">
            <v>47096</v>
          </cell>
        </row>
        <row r="658">
          <cell r="C658">
            <v>2852002.7964613</v>
          </cell>
          <cell r="D658">
            <v>0.741588593048223</v>
          </cell>
          <cell r="E658">
            <v>198899</v>
          </cell>
          <cell r="F658">
            <v>147501.22956869801</v>
          </cell>
          <cell r="G658">
            <v>5.1718472980361085E-2</v>
          </cell>
          <cell r="I658" t="str">
            <v>VA</v>
          </cell>
          <cell r="J658" t="str">
            <v>High</v>
          </cell>
          <cell r="K658">
            <v>111399</v>
          </cell>
        </row>
        <row r="659">
          <cell r="C659">
            <v>3199934.2478849599</v>
          </cell>
          <cell r="D659">
            <v>0.74669591062491303</v>
          </cell>
          <cell r="E659">
            <v>191548</v>
          </cell>
          <cell r="F659">
            <v>143028.10828838099</v>
          </cell>
          <cell r="G659">
            <v>4.4697202257489313E-2</v>
          </cell>
          <cell r="I659" t="str">
            <v>VA</v>
          </cell>
          <cell r="J659" t="str">
            <v>High</v>
          </cell>
          <cell r="K659">
            <v>126832.33333333333</v>
          </cell>
        </row>
        <row r="660">
          <cell r="C660">
            <v>1553764.1861533199</v>
          </cell>
          <cell r="D660">
            <v>0.71451536935508497</v>
          </cell>
          <cell r="E660">
            <v>194505</v>
          </cell>
          <cell r="F660">
            <v>138976.81191641101</v>
          </cell>
          <cell r="G660">
            <v>8.9445240889789224E-2</v>
          </cell>
          <cell r="I660" t="str">
            <v>VA</v>
          </cell>
          <cell r="J660" t="str">
            <v>Low</v>
          </cell>
          <cell r="K660">
            <v>25878</v>
          </cell>
        </row>
        <row r="661">
          <cell r="C661">
            <v>2391428.18202201</v>
          </cell>
          <cell r="D661">
            <v>0.73116537077450305</v>
          </cell>
          <cell r="E661">
            <v>207291</v>
          </cell>
          <cell r="F661">
            <v>151564.00087321701</v>
          </cell>
          <cell r="G661">
            <v>6.3378027411664109E-2</v>
          </cell>
          <cell r="I661" t="str">
            <v>VA</v>
          </cell>
          <cell r="J661" t="str">
            <v>Med</v>
          </cell>
          <cell r="K661">
            <v>78901.666666666672</v>
          </cell>
        </row>
        <row r="662">
          <cell r="C662">
            <v>2308893.5975526399</v>
          </cell>
          <cell r="D662">
            <v>0.747565411409019</v>
          </cell>
          <cell r="E662">
            <v>203123</v>
          </cell>
          <cell r="F662">
            <v>151847.72906163399</v>
          </cell>
          <cell r="G662">
            <v>6.5766447281324775E-2</v>
          </cell>
          <cell r="I662" t="str">
            <v>VA</v>
          </cell>
          <cell r="J662" t="str">
            <v>Med</v>
          </cell>
          <cell r="K662">
            <v>72992</v>
          </cell>
        </row>
        <row r="663">
          <cell r="C663">
            <v>3138213.6112355799</v>
          </cell>
          <cell r="D663">
            <v>0.74981870299099396</v>
          </cell>
          <cell r="E663">
            <v>185162</v>
          </cell>
          <cell r="F663">
            <v>138837.930683218</v>
          </cell>
          <cell r="G663">
            <v>4.4241070839200973E-2</v>
          </cell>
          <cell r="I663" t="str">
            <v>VA</v>
          </cell>
          <cell r="J663" t="str">
            <v>High</v>
          </cell>
          <cell r="K663">
            <v>119878</v>
          </cell>
        </row>
        <row r="664">
          <cell r="C664">
            <v>2032746.2362150699</v>
          </cell>
          <cell r="D664">
            <v>0.70694719665974304</v>
          </cell>
          <cell r="E664">
            <v>228667</v>
          </cell>
          <cell r="F664">
            <v>161655.49461859299</v>
          </cell>
          <cell r="G664">
            <v>7.9525664216499578E-2</v>
          </cell>
          <cell r="I664" t="str">
            <v>VA</v>
          </cell>
          <cell r="J664" t="str">
            <v>Med</v>
          </cell>
          <cell r="K664">
            <v>55273.333333333336</v>
          </cell>
        </row>
        <row r="665">
          <cell r="C665">
            <v>2845564.8299921402</v>
          </cell>
          <cell r="D665">
            <v>0.75910381288316997</v>
          </cell>
          <cell r="E665">
            <v>188527</v>
          </cell>
          <cell r="F665">
            <v>143111.56453142501</v>
          </cell>
          <cell r="G665">
            <v>5.0292849779078941E-2</v>
          </cell>
          <cell r="I665" t="str">
            <v>VA</v>
          </cell>
          <cell r="J665" t="str">
            <v>High</v>
          </cell>
          <cell r="K665">
            <v>108975.66666666667</v>
          </cell>
        </row>
        <row r="666">
          <cell r="C666">
            <v>2283042.7033133199</v>
          </cell>
          <cell r="D666">
            <v>0.72435175656402295</v>
          </cell>
          <cell r="E666">
            <v>209235</v>
          </cell>
          <cell r="F666">
            <v>151559.739784673</v>
          </cell>
          <cell r="G666">
            <v>6.6384978066646907E-2</v>
          </cell>
          <cell r="I666" t="str">
            <v>VA</v>
          </cell>
          <cell r="J666" t="str">
            <v>Med</v>
          </cell>
          <cell r="K666">
            <v>70133</v>
          </cell>
        </row>
        <row r="667">
          <cell r="C667">
            <v>2327676.0967035801</v>
          </cell>
          <cell r="D667">
            <v>0.74723652860368805</v>
          </cell>
          <cell r="E667">
            <v>195404</v>
          </cell>
          <cell r="F667">
            <v>146013.006635275</v>
          </cell>
          <cell r="G667">
            <v>6.2729091406685158E-2</v>
          </cell>
          <cell r="I667" t="str">
            <v>VA</v>
          </cell>
          <cell r="J667" t="str">
            <v>Med</v>
          </cell>
          <cell r="K667">
            <v>73769</v>
          </cell>
        </row>
        <row r="668">
          <cell r="C668">
            <v>2916758.7538197599</v>
          </cell>
          <cell r="D668">
            <v>0.71153117838448499</v>
          </cell>
          <cell r="E668">
            <v>190854</v>
          </cell>
          <cell r="F668">
            <v>135798.57151939301</v>
          </cell>
          <cell r="G668">
            <v>4.6558040270403736E-2</v>
          </cell>
          <cell r="I668" t="str">
            <v>VA</v>
          </cell>
          <cell r="J668" t="str">
            <v>High</v>
          </cell>
          <cell r="K668">
            <v>117573.33333333333</v>
          </cell>
        </row>
        <row r="669">
          <cell r="C669">
            <v>1816474.63180426</v>
          </cell>
          <cell r="D669">
            <v>0.69946149545080805</v>
          </cell>
          <cell r="E669">
            <v>208668</v>
          </cell>
          <cell r="F669">
            <v>145955.23133272899</v>
          </cell>
          <cell r="G669">
            <v>8.035082283959849E-2</v>
          </cell>
          <cell r="I669" t="str">
            <v>VA</v>
          </cell>
          <cell r="J669" t="str">
            <v>Med</v>
          </cell>
          <cell r="K669">
            <v>43634.333333333336</v>
          </cell>
        </row>
        <row r="670">
          <cell r="C670">
            <v>2224122.5438757199</v>
          </cell>
          <cell r="D670">
            <v>0.72936825320313303</v>
          </cell>
          <cell r="E670">
            <v>223862</v>
          </cell>
          <cell r="F670">
            <v>163277.83589856001</v>
          </cell>
          <cell r="G670">
            <v>7.3412248056276025E-2</v>
          </cell>
          <cell r="I670" t="str">
            <v>VA</v>
          </cell>
          <cell r="J670" t="str">
            <v>Med</v>
          </cell>
          <cell r="K670">
            <v>68834</v>
          </cell>
        </row>
        <row r="671">
          <cell r="C671">
            <v>2605039.1772557101</v>
          </cell>
          <cell r="D671">
            <v>0.69034023534849298</v>
          </cell>
          <cell r="E671">
            <v>240623</v>
          </cell>
          <cell r="F671">
            <v>166111.73845025999</v>
          </cell>
          <cell r="G671">
            <v>6.3765543297990293E-2</v>
          </cell>
          <cell r="I671" t="str">
            <v>VA</v>
          </cell>
          <cell r="J671" t="str">
            <v>Med</v>
          </cell>
          <cell r="K671">
            <v>90147.333333333328</v>
          </cell>
        </row>
        <row r="672">
          <cell r="C672">
            <v>2402364.5093853599</v>
          </cell>
          <cell r="D672">
            <v>0.72434169898253498</v>
          </cell>
          <cell r="E672">
            <v>209515</v>
          </cell>
          <cell r="F672">
            <v>151760.451062326</v>
          </cell>
          <cell r="G672">
            <v>6.317128415335839E-2</v>
          </cell>
          <cell r="I672" t="str">
            <v>VA</v>
          </cell>
          <cell r="J672" t="str">
            <v>Med</v>
          </cell>
          <cell r="K672">
            <v>75389.666666666672</v>
          </cell>
        </row>
        <row r="673">
          <cell r="C673">
            <v>2586989.21582908</v>
          </cell>
          <cell r="D673">
            <v>0.73464131229690999</v>
          </cell>
          <cell r="E673">
            <v>217694</v>
          </cell>
          <cell r="F673">
            <v>159927.00583916399</v>
          </cell>
          <cell r="G673">
            <v>6.1819741984471502E-2</v>
          </cell>
          <cell r="I673" t="str">
            <v>VA</v>
          </cell>
          <cell r="J673" t="str">
            <v>Med</v>
          </cell>
          <cell r="K673">
            <v>90636.666666666672</v>
          </cell>
        </row>
        <row r="674">
          <cell r="C674">
            <v>2721469.8253540401</v>
          </cell>
          <cell r="D674">
            <v>0.68182271638050496</v>
          </cell>
          <cell r="E674">
            <v>198747</v>
          </cell>
          <cell r="F674">
            <v>135510.219412476</v>
          </cell>
          <cell r="G674">
            <v>4.9793026602765023E-2</v>
          </cell>
          <cell r="I674" t="str">
            <v>VA</v>
          </cell>
          <cell r="J674" t="str">
            <v>High</v>
          </cell>
          <cell r="K674">
            <v>104337.66666666667</v>
          </cell>
        </row>
        <row r="675">
          <cell r="C675">
            <v>2308822.5052913302</v>
          </cell>
          <cell r="D675">
            <v>0.77787095492724001</v>
          </cell>
          <cell r="E675">
            <v>212963</v>
          </cell>
          <cell r="F675">
            <v>165657.73217417</v>
          </cell>
          <cell r="G675">
            <v>7.174987760839896E-2</v>
          </cell>
          <cell r="I675" t="str">
            <v>VA</v>
          </cell>
          <cell r="J675" t="str">
            <v>Med</v>
          </cell>
          <cell r="K675">
            <v>74166.666666666672</v>
          </cell>
        </row>
        <row r="676">
          <cell r="C676">
            <v>2312506.1866346798</v>
          </cell>
          <cell r="D676">
            <v>0.69976202776793195</v>
          </cell>
          <cell r="E676">
            <v>246347</v>
          </cell>
          <cell r="F676">
            <v>172384.276254547</v>
          </cell>
          <cell r="G676">
            <v>7.4544352465241451E-2</v>
          </cell>
          <cell r="I676" t="str">
            <v>VA</v>
          </cell>
          <cell r="J676" t="str">
            <v>Med</v>
          </cell>
          <cell r="K676">
            <v>46839.666666666664</v>
          </cell>
        </row>
        <row r="677">
          <cell r="C677">
            <v>2284717.8428104101</v>
          </cell>
          <cell r="D677">
            <v>0.70268860378347597</v>
          </cell>
          <cell r="E677">
            <v>202895</v>
          </cell>
          <cell r="F677">
            <v>142572.00426464801</v>
          </cell>
          <cell r="G677">
            <v>6.240245582766208E-2</v>
          </cell>
          <cell r="I677" t="str">
            <v>VA</v>
          </cell>
          <cell r="J677" t="str">
            <v>Med</v>
          </cell>
          <cell r="K677">
            <v>76752</v>
          </cell>
        </row>
        <row r="678">
          <cell r="C678">
            <v>3990307.5892971102</v>
          </cell>
          <cell r="D678">
            <v>0.68778229733874896</v>
          </cell>
          <cell r="E678">
            <v>110827</v>
          </cell>
          <cell r="F678">
            <v>76224.848667161496</v>
          </cell>
          <cell r="G678">
            <v>1.9102499484404019E-2</v>
          </cell>
          <cell r="I678" t="str">
            <v>VA</v>
          </cell>
          <cell r="J678" t="str">
            <v>High</v>
          </cell>
          <cell r="K678">
            <v>176011.66666666666</v>
          </cell>
        </row>
        <row r="679">
          <cell r="C679">
            <v>2720462.40028003</v>
          </cell>
          <cell r="D679">
            <v>0.70353676836974299</v>
          </cell>
          <cell r="E679">
            <v>222667</v>
          </cell>
          <cell r="F679">
            <v>156654.421602585</v>
          </cell>
          <cell r="G679">
            <v>5.7583748110784337E-2</v>
          </cell>
          <cell r="I679" t="str">
            <v>VA</v>
          </cell>
          <cell r="J679" t="str">
            <v>High</v>
          </cell>
          <cell r="K679">
            <v>101048.66666666667</v>
          </cell>
        </row>
        <row r="680">
          <cell r="C680">
            <v>2168825.0003609699</v>
          </cell>
          <cell r="D680">
            <v>0.69071842949738604</v>
          </cell>
          <cell r="E680">
            <v>234995</v>
          </cell>
          <cell r="F680">
            <v>162315.37733973801</v>
          </cell>
          <cell r="G680">
            <v>7.4840237138876095E-2</v>
          </cell>
          <cell r="I680" t="str">
            <v>VA</v>
          </cell>
          <cell r="J680" t="str">
            <v>Med</v>
          </cell>
          <cell r="K680">
            <v>66000</v>
          </cell>
        </row>
        <row r="681">
          <cell r="C681">
            <v>2300377.9874936002</v>
          </cell>
          <cell r="D681">
            <v>0.71316472871548298</v>
          </cell>
          <cell r="E681">
            <v>235464</v>
          </cell>
          <cell r="F681">
            <v>167924.619682263</v>
          </cell>
          <cell r="G681">
            <v>7.299870742774188E-2</v>
          </cell>
          <cell r="I681" t="str">
            <v>VA</v>
          </cell>
          <cell r="J681" t="str">
            <v>Med</v>
          </cell>
          <cell r="K681">
            <v>70332.333333333328</v>
          </cell>
        </row>
        <row r="682">
          <cell r="C682">
            <v>2476025.43867748</v>
          </cell>
          <cell r="D682">
            <v>0.73732336649074304</v>
          </cell>
          <cell r="E682">
            <v>207305</v>
          </cell>
          <cell r="F682">
            <v>152850.82049036401</v>
          </cell>
          <cell r="G682">
            <v>6.1732330412568884E-2</v>
          </cell>
          <cell r="I682" t="str">
            <v>VA</v>
          </cell>
          <cell r="J682" t="str">
            <v>Med</v>
          </cell>
          <cell r="K682">
            <v>86125.666666666672</v>
          </cell>
        </row>
        <row r="683">
          <cell r="C683">
            <v>2520529.6604551501</v>
          </cell>
          <cell r="D683">
            <v>0.67139736737130995</v>
          </cell>
          <cell r="E683">
            <v>211916</v>
          </cell>
          <cell r="F683">
            <v>142279.844503859</v>
          </cell>
          <cell r="G683">
            <v>5.644839127906414E-2</v>
          </cell>
          <cell r="I683" t="str">
            <v>VA</v>
          </cell>
          <cell r="J683" t="str">
            <v>Med</v>
          </cell>
          <cell r="K683">
            <v>66868.333333333328</v>
          </cell>
        </row>
        <row r="684">
          <cell r="C684">
            <v>2556092.3073692899</v>
          </cell>
          <cell r="D684">
            <v>0.74427734225449105</v>
          </cell>
          <cell r="E684">
            <v>230170</v>
          </cell>
          <cell r="F684">
            <v>171310.315866716</v>
          </cell>
          <cell r="G684">
            <v>6.702039491016161E-2</v>
          </cell>
          <cell r="I684" t="str">
            <v>VA</v>
          </cell>
          <cell r="J684" t="str">
            <v>Med</v>
          </cell>
          <cell r="K684">
            <v>82692.666666666672</v>
          </cell>
        </row>
        <row r="685">
          <cell r="C685">
            <v>2376596.5751658599</v>
          </cell>
          <cell r="D685">
            <v>0.73557670515190299</v>
          </cell>
          <cell r="E685">
            <v>223802</v>
          </cell>
          <cell r="F685">
            <v>164623.53776640599</v>
          </cell>
          <cell r="G685">
            <v>6.926860851632638E-2</v>
          </cell>
          <cell r="I685" t="str">
            <v>VA</v>
          </cell>
          <cell r="J685" t="str">
            <v>Med</v>
          </cell>
          <cell r="K685">
            <v>75777.666666666672</v>
          </cell>
        </row>
        <row r="686">
          <cell r="C686">
            <v>2987011.8979687402</v>
          </cell>
          <cell r="D686">
            <v>0.75093876003606896</v>
          </cell>
          <cell r="E686">
            <v>176605</v>
          </cell>
          <cell r="F686">
            <v>132619.53971616999</v>
          </cell>
          <cell r="G686">
            <v>4.4398731657666092E-2</v>
          </cell>
          <cell r="I686" t="str">
            <v>VA</v>
          </cell>
          <cell r="J686" t="str">
            <v>High</v>
          </cell>
          <cell r="K686">
            <v>123264</v>
          </cell>
        </row>
        <row r="687">
          <cell r="C687">
            <v>3161139.5429255902</v>
          </cell>
          <cell r="D687">
            <v>0.71839366381613301</v>
          </cell>
          <cell r="E687">
            <v>188562</v>
          </cell>
          <cell r="F687">
            <v>135461.74603649799</v>
          </cell>
          <cell r="G687">
            <v>4.2852188015442702E-2</v>
          </cell>
          <cell r="I687" t="str">
            <v>VA</v>
          </cell>
          <cell r="J687" t="str">
            <v>High</v>
          </cell>
          <cell r="K687">
            <v>130123</v>
          </cell>
        </row>
        <row r="688">
          <cell r="C688">
            <v>2237257.3432733398</v>
          </cell>
          <cell r="D688">
            <v>0.73254667841453802</v>
          </cell>
          <cell r="E688">
            <v>208667</v>
          </cell>
          <cell r="F688">
            <v>152858.31774472599</v>
          </cell>
          <cell r="G688">
            <v>6.8323976320523949E-2</v>
          </cell>
          <cell r="I688" t="str">
            <v>VA</v>
          </cell>
          <cell r="J688" t="str">
            <v>Med</v>
          </cell>
          <cell r="K688">
            <v>64149.333333333336</v>
          </cell>
        </row>
        <row r="689">
          <cell r="C689">
            <v>2094673.87843157</v>
          </cell>
          <cell r="D689">
            <v>0.75598050721325405</v>
          </cell>
          <cell r="E689">
            <v>222465</v>
          </cell>
          <cell r="F689">
            <v>168179.20353719601</v>
          </cell>
          <cell r="G689">
            <v>8.0288967781048395E-2</v>
          </cell>
          <cell r="I689" t="str">
            <v>VA</v>
          </cell>
          <cell r="J689" t="str">
            <v>Med</v>
          </cell>
          <cell r="K689">
            <v>57821.333333333336</v>
          </cell>
        </row>
        <row r="690">
          <cell r="C690">
            <v>1873721.2040890499</v>
          </cell>
          <cell r="D690">
            <v>0.69517945708544904</v>
          </cell>
          <cell r="E690">
            <v>239498</v>
          </cell>
          <cell r="F690">
            <v>166494.08961305101</v>
          </cell>
          <cell r="G690">
            <v>8.8857450750788561E-2</v>
          </cell>
          <cell r="I690" t="str">
            <v>VA</v>
          </cell>
          <cell r="J690" t="str">
            <v>Med</v>
          </cell>
          <cell r="K690">
            <v>47096</v>
          </cell>
        </row>
        <row r="691">
          <cell r="C691">
            <v>2901564.9658669899</v>
          </cell>
          <cell r="D691">
            <v>0.76436814156330601</v>
          </cell>
          <cell r="E691">
            <v>191768</v>
          </cell>
          <cell r="F691">
            <v>146581.349771312</v>
          </cell>
          <cell r="G691">
            <v>5.0518031302295305E-2</v>
          </cell>
          <cell r="I691" t="str">
            <v>VA</v>
          </cell>
          <cell r="J691" t="str">
            <v>High</v>
          </cell>
          <cell r="K691">
            <v>111399</v>
          </cell>
        </row>
        <row r="692">
          <cell r="C692">
            <v>3193416.2633776199</v>
          </cell>
          <cell r="D692">
            <v>0.73213567893723397</v>
          </cell>
          <cell r="E692">
            <v>187341</v>
          </cell>
          <cell r="F692">
            <v>137159.03022777999</v>
          </cell>
          <cell r="G692">
            <v>4.2950564196948537E-2</v>
          </cell>
          <cell r="I692" t="str">
            <v>VA</v>
          </cell>
          <cell r="J692" t="str">
            <v>High</v>
          </cell>
          <cell r="K692">
            <v>126832.33333333333</v>
          </cell>
        </row>
        <row r="693">
          <cell r="C693">
            <v>1563494.2010583701</v>
          </cell>
          <cell r="D693">
            <v>0.736846934540066</v>
          </cell>
          <cell r="E693">
            <v>173666</v>
          </cell>
          <cell r="F693">
            <v>127965.259733835</v>
          </cell>
          <cell r="G693">
            <v>8.184568874461573E-2</v>
          </cell>
          <cell r="I693" t="str">
            <v>VA</v>
          </cell>
          <cell r="J693" t="str">
            <v>Low</v>
          </cell>
          <cell r="K693">
            <v>25878</v>
          </cell>
        </row>
        <row r="694">
          <cell r="C694">
            <v>2396483.5860761502</v>
          </cell>
          <cell r="D694">
            <v>0.68666578640436604</v>
          </cell>
          <cell r="E694">
            <v>220512</v>
          </cell>
          <cell r="F694">
            <v>151418.04589159999</v>
          </cell>
          <cell r="G694">
            <v>6.3183427072631138E-2</v>
          </cell>
          <cell r="I694" t="str">
            <v>VA</v>
          </cell>
          <cell r="J694" t="str">
            <v>Med</v>
          </cell>
          <cell r="K694">
            <v>78901.666666666672</v>
          </cell>
        </row>
        <row r="695">
          <cell r="C695">
            <v>2779055.9231247501</v>
          </cell>
          <cell r="D695">
            <v>0.72726017274000498</v>
          </cell>
          <cell r="E695">
            <v>198150</v>
          </cell>
          <cell r="F695">
            <v>144106.60322843201</v>
          </cell>
          <cell r="G695">
            <v>5.1854517222668768E-2</v>
          </cell>
          <cell r="I695" t="str">
            <v>VA</v>
          </cell>
          <cell r="J695" t="str">
            <v>Med</v>
          </cell>
          <cell r="K695">
            <v>72992</v>
          </cell>
        </row>
        <row r="696">
          <cell r="C696">
            <v>3742664.9129977799</v>
          </cell>
          <cell r="D696">
            <v>0.73822275230074097</v>
          </cell>
          <cell r="E696">
            <v>175913</v>
          </cell>
          <cell r="F696">
            <v>129862.97902548</v>
          </cell>
          <cell r="G696">
            <v>3.4697997828895412E-2</v>
          </cell>
          <cell r="I696" t="str">
            <v>VA</v>
          </cell>
          <cell r="J696" t="str">
            <v>High</v>
          </cell>
          <cell r="K696">
            <v>119878</v>
          </cell>
        </row>
        <row r="697">
          <cell r="C697">
            <v>2436211.3739185901</v>
          </cell>
          <cell r="D697">
            <v>0.73499655184563395</v>
          </cell>
          <cell r="E697">
            <v>200364</v>
          </cell>
          <cell r="F697">
            <v>147266.84911399899</v>
          </cell>
          <cell r="G697">
            <v>6.044912633222118E-2</v>
          </cell>
          <cell r="I697" t="str">
            <v>VA</v>
          </cell>
          <cell r="J697" t="str">
            <v>Med</v>
          </cell>
          <cell r="K697">
            <v>55273.333333333336</v>
          </cell>
        </row>
        <row r="698">
          <cell r="C698">
            <v>3510381.9565852699</v>
          </cell>
          <cell r="D698">
            <v>0.71977516670737296</v>
          </cell>
          <cell r="E698">
            <v>190972</v>
          </cell>
          <cell r="F698">
            <v>137456.90313644</v>
          </cell>
          <cell r="G698">
            <v>3.9157249791174131E-2</v>
          </cell>
          <cell r="I698" t="str">
            <v>VA</v>
          </cell>
          <cell r="J698" t="str">
            <v>High</v>
          </cell>
          <cell r="K698">
            <v>108975.66666666667</v>
          </cell>
        </row>
        <row r="699">
          <cell r="C699">
            <v>2808356.5004665302</v>
          </cell>
          <cell r="D699">
            <v>0.69728256071272299</v>
          </cell>
          <cell r="E699">
            <v>206990</v>
          </cell>
          <cell r="F699">
            <v>144330.51724192599</v>
          </cell>
          <cell r="G699">
            <v>5.1393232026613965E-2</v>
          </cell>
          <cell r="I699" t="str">
            <v>VA</v>
          </cell>
          <cell r="J699" t="str">
            <v>Med</v>
          </cell>
          <cell r="K699">
            <v>70133</v>
          </cell>
        </row>
        <row r="700">
          <cell r="C700">
            <v>2900553.7688404</v>
          </cell>
          <cell r="D700">
            <v>0.71764583142923299</v>
          </cell>
          <cell r="E700">
            <v>195928</v>
          </cell>
          <cell r="F700">
            <v>140606.91246026699</v>
          </cell>
          <cell r="G700">
            <v>4.8475885525983413E-2</v>
          </cell>
          <cell r="I700" t="str">
            <v>VA</v>
          </cell>
          <cell r="J700" t="str">
            <v>Med</v>
          </cell>
          <cell r="K700">
            <v>73769</v>
          </cell>
        </row>
        <row r="701">
          <cell r="C701">
            <v>3572256.1753665302</v>
          </cell>
          <cell r="D701">
            <v>0.72270727570113402</v>
          </cell>
          <cell r="E701">
            <v>183488</v>
          </cell>
          <cell r="F701">
            <v>132608.11260384999</v>
          </cell>
          <cell r="G701">
            <v>3.712166935794961E-2</v>
          </cell>
          <cell r="I701" t="str">
            <v>VA</v>
          </cell>
          <cell r="J701" t="str">
            <v>High</v>
          </cell>
          <cell r="K701">
            <v>117573.33333333333</v>
          </cell>
        </row>
        <row r="702">
          <cell r="C702">
            <v>2262100.6976896599</v>
          </cell>
          <cell r="D702">
            <v>0.72479269900975196</v>
          </cell>
          <cell r="E702">
            <v>190249</v>
          </cell>
          <cell r="F702">
            <v>137891.086193906</v>
          </cell>
          <cell r="G702">
            <v>6.0957094586787233E-2</v>
          </cell>
          <cell r="I702" t="str">
            <v>VA</v>
          </cell>
          <cell r="J702" t="str">
            <v>Med</v>
          </cell>
          <cell r="K702">
            <v>43634.333333333336</v>
          </cell>
        </row>
        <row r="703">
          <cell r="C703">
            <v>2720493.6241882402</v>
          </cell>
          <cell r="D703">
            <v>0.72959150109599202</v>
          </cell>
          <cell r="E703">
            <v>213537</v>
          </cell>
          <cell r="F703">
            <v>155794.780369535</v>
          </cell>
          <cell r="G703">
            <v>5.7267099979336336E-2</v>
          </cell>
          <cell r="I703" t="str">
            <v>VA</v>
          </cell>
          <cell r="J703" t="str">
            <v>Med</v>
          </cell>
          <cell r="K703">
            <v>68834</v>
          </cell>
        </row>
        <row r="704">
          <cell r="C704">
            <v>3149184.1625172002</v>
          </cell>
          <cell r="D704">
            <v>0.69820624359233796</v>
          </cell>
          <cell r="E704">
            <v>225499</v>
          </cell>
          <cell r="F704">
            <v>157444.80972382901</v>
          </cell>
          <cell r="G704">
            <v>4.9995427894563176E-2</v>
          </cell>
          <cell r="I704" t="str">
            <v>VA</v>
          </cell>
          <cell r="J704" t="str">
            <v>Med</v>
          </cell>
          <cell r="K704">
            <v>90147.333333333328</v>
          </cell>
        </row>
        <row r="705">
          <cell r="C705">
            <v>2870393.08941611</v>
          </cell>
          <cell r="D705">
            <v>0.70553394448736295</v>
          </cell>
          <cell r="E705">
            <v>200731</v>
          </cell>
          <cell r="F705">
            <v>141622.53421089301</v>
          </cell>
          <cell r="G705">
            <v>4.9339073011669489E-2</v>
          </cell>
          <cell r="I705" t="str">
            <v>VA</v>
          </cell>
          <cell r="J705" t="str">
            <v>Med</v>
          </cell>
          <cell r="K705">
            <v>75389.666666666672</v>
          </cell>
        </row>
        <row r="706">
          <cell r="C706">
            <v>3167255.6317868698</v>
          </cell>
          <cell r="D706">
            <v>0.70743927424807296</v>
          </cell>
          <cell r="E706">
            <v>214818</v>
          </cell>
          <cell r="F706">
            <v>151970.69001542201</v>
          </cell>
          <cell r="G706">
            <v>4.798182012535715E-2</v>
          </cell>
          <cell r="I706" t="str">
            <v>VA</v>
          </cell>
          <cell r="J706" t="str">
            <v>Med</v>
          </cell>
          <cell r="K706">
            <v>90636.666666666672</v>
          </cell>
        </row>
        <row r="707">
          <cell r="C707">
            <v>3382306.16092041</v>
          </cell>
          <cell r="D707">
            <v>0.71626217904863598</v>
          </cell>
          <cell r="E707">
            <v>193005</v>
          </cell>
          <cell r="F707">
            <v>138242.18186728199</v>
          </cell>
          <cell r="G707">
            <v>4.0872166885585204E-2</v>
          </cell>
          <cell r="I707" t="str">
            <v>VA</v>
          </cell>
          <cell r="J707" t="str">
            <v>High</v>
          </cell>
          <cell r="K707">
            <v>104337.66666666667</v>
          </cell>
        </row>
        <row r="708">
          <cell r="C708">
            <v>2827339.3562314701</v>
          </cell>
          <cell r="D708">
            <v>0.74402845824409103</v>
          </cell>
          <cell r="E708">
            <v>217021</v>
          </cell>
          <cell r="F708">
            <v>161469.80003659101</v>
          </cell>
          <cell r="G708">
            <v>5.7110158948804911E-2</v>
          </cell>
          <cell r="I708" t="str">
            <v>VA</v>
          </cell>
          <cell r="J708" t="str">
            <v>Med</v>
          </cell>
          <cell r="K708">
            <v>74166.666666666672</v>
          </cell>
        </row>
        <row r="709">
          <cell r="C709">
            <v>2793503.4822104201</v>
          </cell>
          <cell r="D709">
            <v>0.70485829534071498</v>
          </cell>
          <cell r="E709">
            <v>227831</v>
          </cell>
          <cell r="F709">
            <v>160588.57028577101</v>
          </cell>
          <cell r="G709">
            <v>5.7486439987789753E-2</v>
          </cell>
          <cell r="I709" t="str">
            <v>VA</v>
          </cell>
          <cell r="J709" t="str">
            <v>Med</v>
          </cell>
          <cell r="K709">
            <v>46839.666666666664</v>
          </cell>
        </row>
        <row r="710">
          <cell r="C710">
            <v>2876584.7095177602</v>
          </cell>
          <cell r="D710">
            <v>0.71950674008294602</v>
          </cell>
          <cell r="E710">
            <v>198172</v>
          </cell>
          <cell r="F710">
            <v>142586.08969571799</v>
          </cell>
          <cell r="G710">
            <v>4.9567839675968235E-2</v>
          </cell>
          <cell r="I710" t="str">
            <v>VA</v>
          </cell>
          <cell r="J710" t="str">
            <v>Med</v>
          </cell>
          <cell r="K710">
            <v>76752</v>
          </cell>
        </row>
        <row r="711">
          <cell r="C711">
            <v>4877802.2559198998</v>
          </cell>
          <cell r="D711">
            <v>0.69604248856485795</v>
          </cell>
          <cell r="E711">
            <v>104386</v>
          </cell>
          <cell r="F711">
            <v>72657.091211331295</v>
          </cell>
          <cell r="G711">
            <v>1.4895456477997173E-2</v>
          </cell>
          <cell r="I711" t="str">
            <v>VA</v>
          </cell>
          <cell r="J711" t="str">
            <v>High</v>
          </cell>
          <cell r="K711">
            <v>176011.66666666666</v>
          </cell>
        </row>
        <row r="712">
          <cell r="C712">
            <v>3352293.8857837799</v>
          </cell>
          <cell r="D712">
            <v>0.76373935562191397</v>
          </cell>
          <cell r="E712">
            <v>201745</v>
          </cell>
          <cell r="F712">
            <v>154080.59629994299</v>
          </cell>
          <cell r="G712">
            <v>4.5962735234329949E-2</v>
          </cell>
          <cell r="I712" t="str">
            <v>VA</v>
          </cell>
          <cell r="J712" t="str">
            <v>High</v>
          </cell>
          <cell r="K712">
            <v>101048.66666666667</v>
          </cell>
        </row>
        <row r="713">
          <cell r="C713">
            <v>2709419.04264487</v>
          </cell>
          <cell r="D713">
            <v>0.70525713830488301</v>
          </cell>
          <cell r="E713">
            <v>227729</v>
          </cell>
          <cell r="F713">
            <v>160607.50284903299</v>
          </cell>
          <cell r="G713">
            <v>5.9277468830458868E-2</v>
          </cell>
          <cell r="I713" t="str">
            <v>VA</v>
          </cell>
          <cell r="J713" t="str">
            <v>Med</v>
          </cell>
          <cell r="K713">
            <v>66000</v>
          </cell>
        </row>
        <row r="714">
          <cell r="C714">
            <v>2839179.2654119302</v>
          </cell>
          <cell r="D714">
            <v>0.70562068634935105</v>
          </cell>
          <cell r="E714">
            <v>226494</v>
          </cell>
          <cell r="F714">
            <v>159818.85173401001</v>
          </cell>
          <cell r="G714">
            <v>5.6290511022319065E-2</v>
          </cell>
          <cell r="I714" t="str">
            <v>VA</v>
          </cell>
          <cell r="J714" t="str">
            <v>Med</v>
          </cell>
          <cell r="K714">
            <v>70332.333333333328</v>
          </cell>
        </row>
        <row r="715">
          <cell r="C715">
            <v>3000457.2998563698</v>
          </cell>
          <cell r="D715">
            <v>0.73903059435012897</v>
          </cell>
          <cell r="E715">
            <v>197484</v>
          </cell>
          <cell r="F715">
            <v>145946.71789464101</v>
          </cell>
          <cell r="G715">
            <v>4.8641491382539384E-2</v>
          </cell>
          <cell r="I715" t="str">
            <v>VA</v>
          </cell>
          <cell r="J715" t="str">
            <v>Med</v>
          </cell>
          <cell r="K715">
            <v>86125.666666666672</v>
          </cell>
        </row>
        <row r="716">
          <cell r="C716">
            <v>3090146.22840762</v>
          </cell>
          <cell r="D716">
            <v>0.70495525295846895</v>
          </cell>
          <cell r="E716">
            <v>197779</v>
          </cell>
          <cell r="F716">
            <v>139425.34497487301</v>
          </cell>
          <cell r="G716">
            <v>4.5119335678402553E-2</v>
          </cell>
          <cell r="I716" t="str">
            <v>VA</v>
          </cell>
          <cell r="J716" t="str">
            <v>Med</v>
          </cell>
          <cell r="K716">
            <v>66868.333333333328</v>
          </cell>
        </row>
        <row r="717">
          <cell r="C717">
            <v>3093099.3026181399</v>
          </cell>
          <cell r="D717">
            <v>0.76374686285170201</v>
          </cell>
          <cell r="E717">
            <v>210335</v>
          </cell>
          <cell r="F717">
            <v>160642.69639791301</v>
          </cell>
          <cell r="G717">
            <v>5.1935835445676683E-2</v>
          </cell>
          <cell r="I717" t="str">
            <v>VA</v>
          </cell>
          <cell r="J717" t="str">
            <v>Med</v>
          </cell>
          <cell r="K717">
            <v>82692.666666666672</v>
          </cell>
        </row>
        <row r="718">
          <cell r="C718">
            <v>2927661.4305482898</v>
          </cell>
          <cell r="D718">
            <v>0.71885260270892304</v>
          </cell>
          <cell r="E718">
            <v>223356</v>
          </cell>
          <cell r="F718">
            <v>160560.041930654</v>
          </cell>
          <cell r="G718">
            <v>5.4842421413662051E-2</v>
          </cell>
          <cell r="I718" t="str">
            <v>VA</v>
          </cell>
          <cell r="J718" t="str">
            <v>Med</v>
          </cell>
          <cell r="K718">
            <v>75777.666666666672</v>
          </cell>
        </row>
        <row r="719">
          <cell r="C719">
            <v>3686185.3565914501</v>
          </cell>
          <cell r="D719">
            <v>0.77530042007644895</v>
          </cell>
          <cell r="E719">
            <v>168352</v>
          </cell>
          <cell r="F719">
            <v>130523.37632071</v>
          </cell>
          <cell r="G719">
            <v>3.5408793561429217E-2</v>
          </cell>
          <cell r="I719" t="str">
            <v>VA</v>
          </cell>
          <cell r="J719" t="str">
            <v>High</v>
          </cell>
          <cell r="K719">
            <v>123264</v>
          </cell>
        </row>
        <row r="720">
          <cell r="C720">
            <v>3907120.6102634901</v>
          </cell>
          <cell r="D720">
            <v>0.72550985357449504</v>
          </cell>
          <cell r="E720">
            <v>183105</v>
          </cell>
          <cell r="F720">
            <v>132844.48173875801</v>
          </cell>
          <cell r="G720">
            <v>3.4000609397568403E-2</v>
          </cell>
          <cell r="I720" t="str">
            <v>VA</v>
          </cell>
          <cell r="J720" t="str">
            <v>High</v>
          </cell>
          <cell r="K720">
            <v>130123</v>
          </cell>
        </row>
        <row r="721">
          <cell r="C721">
            <v>2654041.4652696</v>
          </cell>
          <cell r="D721">
            <v>0.74820334620290296</v>
          </cell>
          <cell r="E721">
            <v>185710</v>
          </cell>
          <cell r="F721">
            <v>138948.84342334099</v>
          </cell>
          <cell r="G721">
            <v>5.2353682201881663E-2</v>
          </cell>
          <cell r="I721" t="str">
            <v>VA</v>
          </cell>
          <cell r="J721" t="str">
            <v>Med</v>
          </cell>
          <cell r="K721">
            <v>64149.333333333336</v>
          </cell>
        </row>
        <row r="722">
          <cell r="C722">
            <v>2510069.7287080502</v>
          </cell>
          <cell r="D722">
            <v>0.73270725756597899</v>
          </cell>
          <cell r="E722">
            <v>215699</v>
          </cell>
          <cell r="F722">
            <v>158044.22274972399</v>
          </cell>
          <cell r="G722">
            <v>6.2964076631875254E-2</v>
          </cell>
          <cell r="I722" t="str">
            <v>VA</v>
          </cell>
          <cell r="J722" t="str">
            <v>Med</v>
          </cell>
          <cell r="K722">
            <v>57821.333333333336</v>
          </cell>
        </row>
        <row r="723">
          <cell r="C723">
            <v>2275125.0906299702</v>
          </cell>
          <cell r="D723">
            <v>0.68983269052946405</v>
          </cell>
          <cell r="E723">
            <v>237817</v>
          </cell>
          <cell r="F723">
            <v>164053.94096364599</v>
          </cell>
          <cell r="G723">
            <v>7.2107657569817546E-2</v>
          </cell>
          <cell r="I723" t="str">
            <v>VA</v>
          </cell>
          <cell r="J723" t="str">
            <v>Med</v>
          </cell>
          <cell r="K723">
            <v>47096</v>
          </cell>
        </row>
        <row r="724">
          <cell r="C724">
            <v>3578696.4762302898</v>
          </cell>
          <cell r="D724">
            <v>0.73965861659090104</v>
          </cell>
          <cell r="E724">
            <v>188252</v>
          </cell>
          <cell r="F724">
            <v>139242.21389047001</v>
          </cell>
          <cell r="G724">
            <v>3.8908640287131674E-2</v>
          </cell>
          <cell r="I724" t="str">
            <v>VA</v>
          </cell>
          <cell r="J724" t="str">
            <v>High</v>
          </cell>
          <cell r="K724">
            <v>111399</v>
          </cell>
        </row>
        <row r="725">
          <cell r="C725">
            <v>3921242.0257930602</v>
          </cell>
          <cell r="D725">
            <v>0.75472668741273996</v>
          </cell>
          <cell r="E725">
            <v>174991</v>
          </cell>
          <cell r="F725">
            <v>132070.377757043</v>
          </cell>
          <cell r="G725">
            <v>3.3680751376302033E-2</v>
          </cell>
          <cell r="I725" t="str">
            <v>VA</v>
          </cell>
          <cell r="J725" t="str">
            <v>High</v>
          </cell>
          <cell r="K725">
            <v>126832.33333333333</v>
          </cell>
        </row>
        <row r="726">
          <cell r="C726">
            <v>1904260.45957955</v>
          </cell>
          <cell r="D726">
            <v>0.73148400848278305</v>
          </cell>
          <cell r="E726">
            <v>169975</v>
          </cell>
          <cell r="F726">
            <v>124333.99434186101</v>
          </cell>
          <cell r="G726">
            <v>6.5292535858940876E-2</v>
          </cell>
          <cell r="I726" t="str">
            <v>VA</v>
          </cell>
          <cell r="J726" t="str">
            <v>Low</v>
          </cell>
          <cell r="K726">
            <v>25878</v>
          </cell>
        </row>
        <row r="727">
          <cell r="C727">
            <v>2889575.9743480799</v>
          </cell>
          <cell r="D727">
            <v>0.73328945814556501</v>
          </cell>
          <cell r="E727">
            <v>194045</v>
          </cell>
          <cell r="F727">
            <v>142291.152905856</v>
          </cell>
          <cell r="G727">
            <v>4.9242918050617597E-2</v>
          </cell>
          <cell r="I727" t="str">
            <v>VA</v>
          </cell>
          <cell r="J727" t="str">
            <v>Med</v>
          </cell>
          <cell r="K727">
            <v>78901.666666666672</v>
          </cell>
        </row>
        <row r="728">
          <cell r="C728">
            <v>3217423.7880224702</v>
          </cell>
          <cell r="D728">
            <v>0.76086986504438103</v>
          </cell>
          <cell r="E728">
            <v>182964</v>
          </cell>
          <cell r="F728">
            <v>139211.79398798</v>
          </cell>
          <cell r="G728">
            <v>4.3268093717161192E-2</v>
          </cell>
          <cell r="I728" t="str">
            <v>VA</v>
          </cell>
          <cell r="J728" t="str">
            <v>Med</v>
          </cell>
          <cell r="K728">
            <v>72992</v>
          </cell>
        </row>
        <row r="729">
          <cell r="C729">
            <v>4230614.8214884903</v>
          </cell>
          <cell r="D729">
            <v>0.74079636152475603</v>
          </cell>
          <cell r="E729">
            <v>165867</v>
          </cell>
          <cell r="F729">
            <v>122873.670097027</v>
          </cell>
          <cell r="G729">
            <v>2.9043927486122549E-2</v>
          </cell>
          <cell r="I729" t="str">
            <v>VA</v>
          </cell>
          <cell r="J729" t="str">
            <v>High</v>
          </cell>
          <cell r="K729">
            <v>119878</v>
          </cell>
        </row>
        <row r="730">
          <cell r="C730">
            <v>2778849.6163195898</v>
          </cell>
          <cell r="D730">
            <v>0.71595522681366597</v>
          </cell>
          <cell r="E730">
            <v>198343</v>
          </cell>
          <cell r="F730">
            <v>142004.707551903</v>
          </cell>
          <cell r="G730">
            <v>5.1101976414246998E-2</v>
          </cell>
          <cell r="I730" t="str">
            <v>VA</v>
          </cell>
          <cell r="J730" t="str">
            <v>Med</v>
          </cell>
          <cell r="K730">
            <v>55273.333333333336</v>
          </cell>
        </row>
        <row r="731">
          <cell r="C731">
            <v>3968256.7435578601</v>
          </cell>
          <cell r="D731">
            <v>0.75434428310122803</v>
          </cell>
          <cell r="E731">
            <v>172990</v>
          </cell>
          <cell r="F731">
            <v>130494.01753368101</v>
          </cell>
          <cell r="G731">
            <v>3.2884469419859834E-2</v>
          </cell>
          <cell r="I731" t="str">
            <v>VA</v>
          </cell>
          <cell r="J731" t="str">
            <v>High</v>
          </cell>
          <cell r="K731">
            <v>108975.66666666667</v>
          </cell>
        </row>
        <row r="732">
          <cell r="C732">
            <v>3240303.9298733599</v>
          </cell>
          <cell r="D732">
            <v>0.74464087589510297</v>
          </cell>
          <cell r="E732">
            <v>187136</v>
          </cell>
          <cell r="F732">
            <v>139349.114951506</v>
          </cell>
          <cell r="G732">
            <v>4.3004951994411261E-2</v>
          </cell>
          <cell r="I732" t="str">
            <v>VA</v>
          </cell>
          <cell r="J732" t="str">
            <v>Med</v>
          </cell>
          <cell r="K732">
            <v>70133</v>
          </cell>
        </row>
        <row r="733">
          <cell r="C733">
            <v>3373932.9995411499</v>
          </cell>
          <cell r="D733">
            <v>0.74126862035289498</v>
          </cell>
          <cell r="E733">
            <v>186474</v>
          </cell>
          <cell r="F733">
            <v>138227.324711686</v>
          </cell>
          <cell r="G733">
            <v>4.0969196700255971E-2</v>
          </cell>
          <cell r="I733" t="str">
            <v>VA</v>
          </cell>
          <cell r="J733" t="str">
            <v>Med</v>
          </cell>
          <cell r="K733">
            <v>73769</v>
          </cell>
        </row>
        <row r="734">
          <cell r="C734">
            <v>4027064.9494443</v>
          </cell>
          <cell r="D734">
            <v>0.716611353107517</v>
          </cell>
          <cell r="E734">
            <v>167566</v>
          </cell>
          <cell r="F734">
            <v>120079.69799481401</v>
          </cell>
          <cell r="G734">
            <v>2.9818167698383895E-2</v>
          </cell>
          <cell r="I734" t="str">
            <v>VA</v>
          </cell>
          <cell r="J734" t="str">
            <v>High</v>
          </cell>
          <cell r="K734">
            <v>117573.33333333333</v>
          </cell>
        </row>
        <row r="735">
          <cell r="C735">
            <v>2502726.2417852501</v>
          </cell>
          <cell r="D735">
            <v>0.72064614021474604</v>
          </cell>
          <cell r="E735">
            <v>174789</v>
          </cell>
          <cell r="F735">
            <v>125961.018201995</v>
          </cell>
          <cell r="G735">
            <v>5.0329523101233883E-2</v>
          </cell>
          <cell r="I735" t="str">
            <v>VA</v>
          </cell>
          <cell r="J735" t="str">
            <v>Med</v>
          </cell>
          <cell r="K735">
            <v>43634.333333333336</v>
          </cell>
        </row>
        <row r="736">
          <cell r="C736">
            <v>3076219.78414887</v>
          </cell>
          <cell r="D736">
            <v>0.72110957216643301</v>
          </cell>
          <cell r="E736">
            <v>203082</v>
          </cell>
          <cell r="F736">
            <v>146444.374134704</v>
          </cell>
          <cell r="G736">
            <v>4.7605302745045021E-2</v>
          </cell>
          <cell r="I736" t="str">
            <v>VA</v>
          </cell>
          <cell r="J736" t="str">
            <v>Med</v>
          </cell>
          <cell r="K736">
            <v>68834</v>
          </cell>
        </row>
        <row r="737">
          <cell r="C737">
            <v>3515571.5310015599</v>
          </cell>
          <cell r="D737">
            <v>0.68862481640414097</v>
          </cell>
          <cell r="E737">
            <v>207523</v>
          </cell>
          <cell r="F737">
            <v>142905.487774637</v>
          </cell>
          <cell r="G737">
            <v>4.0649290311531312E-2</v>
          </cell>
          <cell r="I737" t="str">
            <v>VA</v>
          </cell>
          <cell r="J737" t="str">
            <v>Med</v>
          </cell>
          <cell r="K737">
            <v>90147.333333333328</v>
          </cell>
        </row>
        <row r="738">
          <cell r="C738">
            <v>3352454.92621041</v>
          </cell>
          <cell r="D738">
            <v>0.71686949216308804</v>
          </cell>
          <cell r="E738">
            <v>194055</v>
          </cell>
          <cell r="F738">
            <v>139112.109301708</v>
          </cell>
          <cell r="G738">
            <v>4.1495594232778932E-2</v>
          </cell>
          <cell r="I738" t="str">
            <v>VA</v>
          </cell>
          <cell r="J738" t="str">
            <v>Med</v>
          </cell>
          <cell r="K738">
            <v>75389.666666666672</v>
          </cell>
        </row>
        <row r="739">
          <cell r="C739">
            <v>3521595.9648040598</v>
          </cell>
          <cell r="D739">
            <v>0.72354787708582502</v>
          </cell>
          <cell r="E739">
            <v>196122</v>
          </cell>
          <cell r="F739">
            <v>141903.65674982601</v>
          </cell>
          <cell r="G739">
            <v>4.0295269010998391E-2</v>
          </cell>
          <cell r="I739" t="str">
            <v>VA</v>
          </cell>
          <cell r="J739" t="str">
            <v>Med</v>
          </cell>
          <cell r="K739">
            <v>90636.666666666672</v>
          </cell>
        </row>
        <row r="740">
          <cell r="C740">
            <v>3823558.7707751701</v>
          </cell>
          <cell r="D740">
            <v>0.71129306656972902</v>
          </cell>
          <cell r="E740">
            <v>172287</v>
          </cell>
          <cell r="F740">
            <v>122546.54856009901</v>
          </cell>
          <cell r="G740">
            <v>3.2050389678005262E-2</v>
          </cell>
          <cell r="I740" t="str">
            <v>VA</v>
          </cell>
          <cell r="J740" t="str">
            <v>High</v>
          </cell>
          <cell r="K740">
            <v>104337.66666666667</v>
          </cell>
        </row>
        <row r="741">
          <cell r="C741">
            <v>3177804.5242341598</v>
          </cell>
          <cell r="D741">
            <v>0.75449706587975196</v>
          </cell>
          <cell r="E741">
            <v>196232</v>
          </cell>
          <cell r="F741">
            <v>148056.468231715</v>
          </cell>
          <cell r="G741">
            <v>4.6590804155078137E-2</v>
          </cell>
          <cell r="I741" t="str">
            <v>VA</v>
          </cell>
          <cell r="J741" t="str">
            <v>Med</v>
          </cell>
          <cell r="K741">
            <v>74166.666666666672</v>
          </cell>
        </row>
        <row r="742">
          <cell r="C742">
            <v>3112000.9018746801</v>
          </cell>
          <cell r="D742">
            <v>0.71950646025362197</v>
          </cell>
          <cell r="E742">
            <v>210281</v>
          </cell>
          <cell r="F742">
            <v>151298.53796859199</v>
          </cell>
          <cell r="G742">
            <v>4.861776803388753E-2</v>
          </cell>
          <cell r="I742" t="str">
            <v>VA</v>
          </cell>
          <cell r="J742" t="str">
            <v>Med</v>
          </cell>
          <cell r="K742">
            <v>46839.666666666664</v>
          </cell>
        </row>
        <row r="743">
          <cell r="C743">
            <v>3236696.5693719201</v>
          </cell>
          <cell r="D743">
            <v>0.72555768972884505</v>
          </cell>
          <cell r="E743">
            <v>185313</v>
          </cell>
          <cell r="F743">
            <v>134455.27215672101</v>
          </cell>
          <cell r="G743">
            <v>4.1540894944876471E-2</v>
          </cell>
          <cell r="I743" t="str">
            <v>VA</v>
          </cell>
          <cell r="J743" t="str">
            <v>Med</v>
          </cell>
          <cell r="K743">
            <v>76752</v>
          </cell>
        </row>
        <row r="744">
          <cell r="C744">
            <v>5409454.9437125903</v>
          </cell>
          <cell r="D744">
            <v>0.70059589998820704</v>
          </cell>
          <cell r="E744">
            <v>94818</v>
          </cell>
          <cell r="F744">
            <v>66429.102045081803</v>
          </cell>
          <cell r="G744">
            <v>1.2280183999368061E-2</v>
          </cell>
          <cell r="I744" t="str">
            <v>VA</v>
          </cell>
          <cell r="J744" t="str">
            <v>High</v>
          </cell>
          <cell r="K744">
            <v>176011.66666666666</v>
          </cell>
        </row>
        <row r="745">
          <cell r="C745">
            <v>3855713.70317426</v>
          </cell>
          <cell r="D745">
            <v>0.73854737941620796</v>
          </cell>
          <cell r="E745">
            <v>196804</v>
          </cell>
          <cell r="F745">
            <v>145349.07845862699</v>
          </cell>
          <cell r="G745">
            <v>3.7697061983353874E-2</v>
          </cell>
          <cell r="I745" t="str">
            <v>VA</v>
          </cell>
          <cell r="J745" t="str">
            <v>High</v>
          </cell>
          <cell r="K745">
            <v>101048.66666666667</v>
          </cell>
        </row>
        <row r="746">
          <cell r="C746">
            <v>3031282.8544612802</v>
          </cell>
          <cell r="D746">
            <v>0.70093360903550495</v>
          </cell>
          <cell r="E746">
            <v>211602</v>
          </cell>
          <cell r="F746">
            <v>148318.95353913101</v>
          </cell>
          <cell r="G746">
            <v>4.8929433728311794E-2</v>
          </cell>
          <cell r="I746" t="str">
            <v>VA</v>
          </cell>
          <cell r="J746" t="str">
            <v>Med</v>
          </cell>
          <cell r="K746">
            <v>66000</v>
          </cell>
        </row>
        <row r="747">
          <cell r="C747">
            <v>3159660.2981100902</v>
          </cell>
          <cell r="D747">
            <v>0.71507787901514097</v>
          </cell>
          <cell r="E747">
            <v>210892</v>
          </cell>
          <cell r="F747">
            <v>150804.204061261</v>
          </cell>
          <cell r="G747">
            <v>4.7727980172888387E-2</v>
          </cell>
          <cell r="I747" t="str">
            <v>VA</v>
          </cell>
          <cell r="J747" t="str">
            <v>Med</v>
          </cell>
          <cell r="K747">
            <v>70332.333333333328</v>
          </cell>
        </row>
        <row r="748">
          <cell r="C748">
            <v>3359465.1860371199</v>
          </cell>
          <cell r="D748">
            <v>0.70813633075702198</v>
          </cell>
          <cell r="E748">
            <v>186017</v>
          </cell>
          <cell r="F748">
            <v>131725.39583842899</v>
          </cell>
          <cell r="G748">
            <v>3.9210227980905024E-2</v>
          </cell>
          <cell r="I748" t="str">
            <v>VA</v>
          </cell>
          <cell r="J748" t="str">
            <v>Med</v>
          </cell>
          <cell r="K748">
            <v>86125.666666666672</v>
          </cell>
        </row>
        <row r="749">
          <cell r="C749">
            <v>3558456.7391614998</v>
          </cell>
          <cell r="D749">
            <v>0.68693106523688596</v>
          </cell>
          <cell r="E749">
            <v>192340</v>
          </cell>
          <cell r="F749">
            <v>132124.321087663</v>
          </cell>
          <cell r="G749">
            <v>3.7129669059513773E-2</v>
          </cell>
          <cell r="I749" t="str">
            <v>VA</v>
          </cell>
          <cell r="J749" t="str">
            <v>Med</v>
          </cell>
          <cell r="K749">
            <v>66868.333333333328</v>
          </cell>
        </row>
        <row r="750">
          <cell r="C750">
            <v>3548682.4257930899</v>
          </cell>
          <cell r="D750">
            <v>0.75849130879100002</v>
          </cell>
          <cell r="E750">
            <v>200009</v>
          </cell>
          <cell r="F750">
            <v>151705.08817997901</v>
          </cell>
          <cell r="G750">
            <v>4.274969410543257E-2</v>
          </cell>
          <cell r="I750" t="str">
            <v>VA</v>
          </cell>
          <cell r="J750" t="str">
            <v>Med</v>
          </cell>
          <cell r="K750">
            <v>82692.666666666672</v>
          </cell>
        </row>
        <row r="751">
          <cell r="C751">
            <v>3357823.6195006301</v>
          </cell>
          <cell r="D751">
            <v>0.70777469848354302</v>
          </cell>
          <cell r="E751">
            <v>217697</v>
          </cell>
          <cell r="F751">
            <v>154080.42853577199</v>
          </cell>
          <cell r="G751">
            <v>4.5886992884601421E-2</v>
          </cell>
          <cell r="I751" t="str">
            <v>VA</v>
          </cell>
          <cell r="J751" t="str">
            <v>Med</v>
          </cell>
          <cell r="K751">
            <v>75777.666666666672</v>
          </cell>
        </row>
        <row r="752">
          <cell r="C752">
            <v>4218662.6540615698</v>
          </cell>
          <cell r="D752">
            <v>0.73297946005900605</v>
          </cell>
          <cell r="E752">
            <v>168496</v>
          </cell>
          <cell r="F752">
            <v>123504.107102102</v>
          </cell>
          <cell r="G752">
            <v>2.9275653739034312E-2</v>
          </cell>
          <cell r="I752" t="str">
            <v>VA</v>
          </cell>
          <cell r="J752" t="str">
            <v>High</v>
          </cell>
          <cell r="K752">
            <v>123264</v>
          </cell>
        </row>
        <row r="753">
          <cell r="C753">
            <v>4364553.0750640603</v>
          </cell>
          <cell r="D753">
            <v>0.72239113336343297</v>
          </cell>
          <cell r="E753">
            <v>166391</v>
          </cell>
          <cell r="F753">
            <v>120199.38307147499</v>
          </cell>
          <cell r="G753">
            <v>2.7539906378549601E-2</v>
          </cell>
          <cell r="I753" t="str">
            <v>VA</v>
          </cell>
          <cell r="J753" t="str">
            <v>High</v>
          </cell>
          <cell r="K753">
            <v>130123</v>
          </cell>
        </row>
        <row r="754">
          <cell r="C754">
            <v>3069932.3678337098</v>
          </cell>
          <cell r="D754">
            <v>0.74594552907084999</v>
          </cell>
          <cell r="E754">
            <v>183296</v>
          </cell>
          <cell r="F754">
            <v>136728.831696571</v>
          </cell>
          <cell r="G754">
            <v>4.4538059902946125E-2</v>
          </cell>
          <cell r="I754" t="str">
            <v>VA</v>
          </cell>
          <cell r="J754" t="str">
            <v>Med</v>
          </cell>
          <cell r="K754">
            <v>64149.333333333336</v>
          </cell>
        </row>
        <row r="755">
          <cell r="C755">
            <v>2904786.03138948</v>
          </cell>
          <cell r="D755">
            <v>0.77437747555459102</v>
          </cell>
          <cell r="E755">
            <v>190928</v>
          </cell>
          <cell r="F755">
            <v>147850.34265268699</v>
          </cell>
          <cell r="G755">
            <v>5.0898875529900571E-2</v>
          </cell>
          <cell r="I755" t="str">
            <v>VA</v>
          </cell>
          <cell r="J755" t="str">
            <v>Med</v>
          </cell>
          <cell r="K755">
            <v>57821.333333333336</v>
          </cell>
        </row>
        <row r="756">
          <cell r="C756">
            <v>2600420.70122165</v>
          </cell>
          <cell r="D756">
            <v>0.68405308014278698</v>
          </cell>
          <cell r="E756">
            <v>221710</v>
          </cell>
          <cell r="F756">
            <v>151661.40839845699</v>
          </cell>
          <cell r="G756">
            <v>5.8321873967242324E-2</v>
          </cell>
          <cell r="I756" t="str">
            <v>VA</v>
          </cell>
          <cell r="J756" t="str">
            <v>Med</v>
          </cell>
          <cell r="K756">
            <v>47096</v>
          </cell>
        </row>
        <row r="757">
          <cell r="C757">
            <v>4064534.59263486</v>
          </cell>
          <cell r="D757">
            <v>0.77440655103355505</v>
          </cell>
          <cell r="E757">
            <v>170717</v>
          </cell>
          <cell r="F757">
            <v>132204.36317279501</v>
          </cell>
          <cell r="G757">
            <v>3.2526322549291602E-2</v>
          </cell>
          <cell r="I757" t="str">
            <v>VA</v>
          </cell>
          <cell r="J757" t="str">
            <v>High</v>
          </cell>
          <cell r="K757">
            <v>111399</v>
          </cell>
        </row>
        <row r="758">
          <cell r="C758">
            <v>4354594.50386927</v>
          </cell>
          <cell r="D758">
            <v>0.741546089156087</v>
          </cell>
          <cell r="E758">
            <v>168123</v>
          </cell>
          <cell r="F758">
            <v>124670.95314718899</v>
          </cell>
          <cell r="G758">
            <v>2.8629750264097555E-2</v>
          </cell>
          <cell r="I758" t="str">
            <v>VA</v>
          </cell>
          <cell r="J758" t="str">
            <v>High</v>
          </cell>
          <cell r="K758">
            <v>126832.33333333333</v>
          </cell>
        </row>
        <row r="759">
          <cell r="C759">
            <v>2165795.6105495798</v>
          </cell>
          <cell r="D759">
            <v>0.73527209809806304</v>
          </cell>
          <cell r="E759">
            <v>159952</v>
          </cell>
          <cell r="F759">
            <v>117608.242634981</v>
          </cell>
          <cell r="G759">
            <v>5.4302558404916802E-2</v>
          </cell>
          <cell r="I759" t="str">
            <v>VA</v>
          </cell>
          <cell r="J759" t="str">
            <v>Low</v>
          </cell>
          <cell r="K759">
            <v>25878</v>
          </cell>
        </row>
        <row r="760">
          <cell r="C760">
            <v>3323222.1682307199</v>
          </cell>
          <cell r="D760">
            <v>0.72733278652149103</v>
          </cell>
          <cell r="E760">
            <v>182821</v>
          </cell>
          <cell r="F760">
            <v>132971.707364645</v>
          </cell>
          <cell r="G760">
            <v>4.0012885276171292E-2</v>
          </cell>
          <cell r="I760" t="str">
            <v>VA</v>
          </cell>
          <cell r="J760" t="str">
            <v>Med</v>
          </cell>
          <cell r="K760">
            <v>78901.666666666672</v>
          </cell>
        </row>
        <row r="761">
          <cell r="C761">
            <v>3415944.32252345</v>
          </cell>
          <cell r="D761">
            <v>0.75007991019018705</v>
          </cell>
          <cell r="E761">
            <v>185427</v>
          </cell>
          <cell r="F761">
            <v>139085.067506836</v>
          </cell>
          <cell r="G761">
            <v>4.0716432814715819E-2</v>
          </cell>
          <cell r="I761" t="str">
            <v>VA</v>
          </cell>
          <cell r="J761" t="str">
            <v>Med</v>
          </cell>
          <cell r="K761">
            <v>72992</v>
          </cell>
        </row>
        <row r="762">
          <cell r="C762">
            <v>4422433.3315601796</v>
          </cell>
          <cell r="D762">
            <v>0.71826346611388403</v>
          </cell>
          <cell r="E762">
            <v>165247</v>
          </cell>
          <cell r="F762">
            <v>118690.882984921</v>
          </cell>
          <cell r="G762">
            <v>2.6838365688386382E-2</v>
          </cell>
          <cell r="I762" t="str">
            <v>VA</v>
          </cell>
          <cell r="J762" t="str">
            <v>High</v>
          </cell>
          <cell r="K762">
            <v>119878</v>
          </cell>
        </row>
        <row r="763">
          <cell r="C763">
            <v>2918019.7429168802</v>
          </cell>
          <cell r="D763">
            <v>0.71970294565502901</v>
          </cell>
          <cell r="E763">
            <v>196115</v>
          </cell>
          <cell r="F763">
            <v>141144.54318713601</v>
          </cell>
          <cell r="G763">
            <v>4.8369975401895873E-2</v>
          </cell>
          <cell r="I763" t="str">
            <v>VA</v>
          </cell>
          <cell r="J763" t="str">
            <v>Med</v>
          </cell>
          <cell r="K763">
            <v>55273.333333333336</v>
          </cell>
        </row>
        <row r="764">
          <cell r="C764">
            <v>4141667.5325690401</v>
          </cell>
          <cell r="D764">
            <v>0.71791721824034604</v>
          </cell>
          <cell r="E764">
            <v>174908</v>
          </cell>
          <cell r="F764">
            <v>125569.464807982</v>
          </cell>
          <cell r="G764">
            <v>3.0318576713494038E-2</v>
          </cell>
          <cell r="I764" t="str">
            <v>VA</v>
          </cell>
          <cell r="J764" t="str">
            <v>High</v>
          </cell>
          <cell r="K764">
            <v>108975.66666666667</v>
          </cell>
        </row>
        <row r="765">
          <cell r="C765">
            <v>3284540.5773843601</v>
          </cell>
          <cell r="D765">
            <v>0.77321446445961195</v>
          </cell>
          <cell r="E765">
            <v>171468</v>
          </cell>
          <cell r="F765">
            <v>132581.53779196099</v>
          </cell>
          <cell r="G765">
            <v>4.0365321928079859E-2</v>
          </cell>
          <cell r="I765" t="str">
            <v>VA</v>
          </cell>
          <cell r="J765" t="str">
            <v>Med</v>
          </cell>
          <cell r="K765">
            <v>70133</v>
          </cell>
        </row>
        <row r="766">
          <cell r="C766">
            <v>3473655.9619363002</v>
          </cell>
          <cell r="D766">
            <v>0.72392965759819095</v>
          </cell>
          <cell r="E766">
            <v>187493</v>
          </cell>
          <cell r="F766">
            <v>135731.743292058</v>
          </cell>
          <cell r="G766">
            <v>3.9074607496937558E-2</v>
          </cell>
          <cell r="I766" t="str">
            <v>VA</v>
          </cell>
          <cell r="J766" t="str">
            <v>Med</v>
          </cell>
          <cell r="K766">
            <v>73769</v>
          </cell>
        </row>
        <row r="767">
          <cell r="C767">
            <v>4277422.9246717403</v>
          </cell>
          <cell r="D767">
            <v>0.71774598371771703</v>
          </cell>
          <cell r="E767">
            <v>169020</v>
          </cell>
          <cell r="F767">
            <v>121313.42616796801</v>
          </cell>
          <cell r="G767">
            <v>2.8361335389176623E-2</v>
          </cell>
          <cell r="I767" t="str">
            <v>VA</v>
          </cell>
          <cell r="J767" t="str">
            <v>High</v>
          </cell>
          <cell r="K767">
            <v>117573.33333333333</v>
          </cell>
        </row>
        <row r="768">
          <cell r="C768">
            <v>2620748.7175082099</v>
          </cell>
          <cell r="D768">
            <v>0.71358579672967604</v>
          </cell>
          <cell r="E768">
            <v>172971</v>
          </cell>
          <cell r="F768">
            <v>123429.648846129</v>
          </cell>
          <cell r="G768">
            <v>4.7097094056192106E-2</v>
          </cell>
          <cell r="I768" t="str">
            <v>VA</v>
          </cell>
          <cell r="J768" t="str">
            <v>Med</v>
          </cell>
          <cell r="K768">
            <v>43634.333333333336</v>
          </cell>
        </row>
        <row r="769">
          <cell r="C769">
            <v>3186270.1045592702</v>
          </cell>
          <cell r="D769">
            <v>0.73188943398843498</v>
          </cell>
          <cell r="E769">
            <v>195589</v>
          </cell>
          <cell r="F769">
            <v>143149.52250436399</v>
          </cell>
          <cell r="G769">
            <v>4.4926989177574657E-2</v>
          </cell>
          <cell r="I769" t="str">
            <v>VA</v>
          </cell>
          <cell r="J769" t="str">
            <v>Med</v>
          </cell>
          <cell r="K769">
            <v>68834</v>
          </cell>
        </row>
        <row r="770">
          <cell r="C770">
            <v>3705847.8307788102</v>
          </cell>
          <cell r="D770">
            <v>0.71303978773019405</v>
          </cell>
          <cell r="E770">
            <v>200911</v>
          </cell>
          <cell r="F770">
            <v>143257.53679266101</v>
          </cell>
          <cell r="G770">
            <v>3.865715575335818E-2</v>
          </cell>
          <cell r="I770" t="str">
            <v>VA</v>
          </cell>
          <cell r="J770" t="str">
            <v>Med</v>
          </cell>
          <cell r="K770">
            <v>90147.333333333328</v>
          </cell>
        </row>
        <row r="771">
          <cell r="C771">
            <v>3451684.6547814002</v>
          </cell>
          <cell r="D771">
            <v>0.73901006263639502</v>
          </cell>
          <cell r="E771">
            <v>174765</v>
          </cell>
          <cell r="F771">
            <v>129153.09359665</v>
          </cell>
          <cell r="G771">
            <v>3.7417408168426508E-2</v>
          </cell>
          <cell r="I771" t="str">
            <v>VA</v>
          </cell>
          <cell r="J771" t="str">
            <v>Med</v>
          </cell>
          <cell r="K771">
            <v>75389.666666666672</v>
          </cell>
        </row>
        <row r="772">
          <cell r="C772">
            <v>3835256.4893831401</v>
          </cell>
          <cell r="D772">
            <v>0.72381261597381896</v>
          </cell>
          <cell r="E772">
            <v>193338</v>
          </cell>
          <cell r="F772">
            <v>139940.483547146</v>
          </cell>
          <cell r="G772">
            <v>3.6487907375825579E-2</v>
          </cell>
          <cell r="I772" t="str">
            <v>VA</v>
          </cell>
          <cell r="J772" t="str">
            <v>Med</v>
          </cell>
          <cell r="K772">
            <v>90636.666666666672</v>
          </cell>
        </row>
        <row r="773">
          <cell r="C773">
            <v>3979147.0413568499</v>
          </cell>
          <cell r="D773">
            <v>0.71016807992600095</v>
          </cell>
          <cell r="E773">
            <v>172630</v>
          </cell>
          <cell r="F773">
            <v>122596.315637626</v>
          </cell>
          <cell r="G773">
            <v>3.0809697245021101E-2</v>
          </cell>
          <cell r="I773" t="str">
            <v>VA</v>
          </cell>
          <cell r="J773" t="str">
            <v>High</v>
          </cell>
          <cell r="K773">
            <v>104337.66666666667</v>
          </cell>
        </row>
        <row r="774">
          <cell r="C774">
            <v>3309239.66878718</v>
          </cell>
          <cell r="D774">
            <v>0.75012804322961302</v>
          </cell>
          <cell r="E774">
            <v>195622</v>
          </cell>
          <cell r="F774">
            <v>146741.54807266299</v>
          </cell>
          <cell r="G774">
            <v>4.4342979886507601E-2</v>
          </cell>
          <cell r="I774" t="str">
            <v>VA</v>
          </cell>
          <cell r="J774" t="str">
            <v>Med</v>
          </cell>
          <cell r="K774">
            <v>74166.666666666672</v>
          </cell>
        </row>
        <row r="775">
          <cell r="C775">
            <v>3400923.3009079001</v>
          </cell>
          <cell r="D775">
            <v>0.70732856423420498</v>
          </cell>
          <cell r="E775">
            <v>215322</v>
          </cell>
          <cell r="F775">
            <v>152303.401108038</v>
          </cell>
          <cell r="G775">
            <v>4.4782956753943719E-2</v>
          </cell>
          <cell r="I775" t="str">
            <v>VA</v>
          </cell>
          <cell r="J775" t="str">
            <v>Med</v>
          </cell>
          <cell r="K775">
            <v>46839.666666666664</v>
          </cell>
        </row>
        <row r="776">
          <cell r="C776">
            <v>3379627.1162205799</v>
          </cell>
          <cell r="D776">
            <v>0.71943951057803202</v>
          </cell>
          <cell r="E776">
            <v>179013</v>
          </cell>
          <cell r="F776">
            <v>128789.025107105</v>
          </cell>
          <cell r="G776">
            <v>3.8107465906217823E-2</v>
          </cell>
          <cell r="I776" t="str">
            <v>VA</v>
          </cell>
          <cell r="J776" t="str">
            <v>Med</v>
          </cell>
          <cell r="K776">
            <v>76752</v>
          </cell>
        </row>
        <row r="777">
          <cell r="C777">
            <v>5806945.3922553202</v>
          </cell>
          <cell r="D777">
            <v>0.69143500645854405</v>
          </cell>
          <cell r="E777">
            <v>94254</v>
          </cell>
          <cell r="F777">
            <v>65170.515098743599</v>
          </cell>
          <cell r="G777">
            <v>1.1222856544451241E-2</v>
          </cell>
          <cell r="I777" t="str">
            <v>VA</v>
          </cell>
          <cell r="J777" t="str">
            <v>High</v>
          </cell>
          <cell r="K777">
            <v>176011.66666666666</v>
          </cell>
        </row>
        <row r="778">
          <cell r="C778">
            <v>3993187.3434226401</v>
          </cell>
          <cell r="D778">
            <v>0.71722063732309604</v>
          </cell>
          <cell r="E778">
            <v>195560</v>
          </cell>
          <cell r="F778">
            <v>140259.66783490501</v>
          </cell>
          <cell r="G778">
            <v>3.5124740156740469E-2</v>
          </cell>
          <cell r="I778" t="str">
            <v>VA</v>
          </cell>
          <cell r="J778" t="str">
            <v>High</v>
          </cell>
          <cell r="K778">
            <v>101048.66666666667</v>
          </cell>
        </row>
        <row r="779">
          <cell r="C779">
            <v>3229066.95642201</v>
          </cell>
          <cell r="D779">
            <v>0.68262957015376302</v>
          </cell>
          <cell r="E779">
            <v>217629</v>
          </cell>
          <cell r="F779">
            <v>148559.99072299301</v>
          </cell>
          <cell r="G779">
            <v>4.6007095154076937E-2</v>
          </cell>
          <cell r="I779" t="str">
            <v>VA</v>
          </cell>
          <cell r="J779" t="str">
            <v>Med</v>
          </cell>
          <cell r="K779">
            <v>66000</v>
          </cell>
        </row>
        <row r="780">
          <cell r="C780">
            <v>3374980.6422535698</v>
          </cell>
          <cell r="D780">
            <v>0.70292716257258203</v>
          </cell>
          <cell r="E780">
            <v>219703</v>
          </cell>
          <cell r="F780">
            <v>154435.20639868401</v>
          </cell>
          <cell r="G780">
            <v>4.5758842129406486E-2</v>
          </cell>
          <cell r="I780" t="str">
            <v>VA</v>
          </cell>
          <cell r="J780" t="str">
            <v>Med</v>
          </cell>
          <cell r="K780">
            <v>70332.333333333328</v>
          </cell>
        </row>
        <row r="781">
          <cell r="C781">
            <v>3523960.5279937298</v>
          </cell>
          <cell r="D781">
            <v>0.72800668983755701</v>
          </cell>
          <cell r="E781">
            <v>178542</v>
          </cell>
          <cell r="F781">
            <v>129979.770416977</v>
          </cell>
          <cell r="G781">
            <v>3.6884570466791639E-2</v>
          </cell>
          <cell r="I781" t="str">
            <v>VA</v>
          </cell>
          <cell r="J781" t="str">
            <v>Med</v>
          </cell>
          <cell r="K781">
            <v>86125.666666666672</v>
          </cell>
        </row>
        <row r="782">
          <cell r="C782">
            <v>3677465.8436623798</v>
          </cell>
          <cell r="D782">
            <v>0.65757600839258001</v>
          </cell>
          <cell r="E782">
            <v>193066</v>
          </cell>
          <cell r="F782">
            <v>126955.569636322</v>
          </cell>
          <cell r="G782">
            <v>3.4522569354413703E-2</v>
          </cell>
          <cell r="I782" t="str">
            <v>VA</v>
          </cell>
          <cell r="J782" t="str">
            <v>Med</v>
          </cell>
          <cell r="K782">
            <v>66868.333333333328</v>
          </cell>
        </row>
        <row r="783">
          <cell r="C783">
            <v>3685046.5703463</v>
          </cell>
          <cell r="D783">
            <v>0.728807342466813</v>
          </cell>
          <cell r="E783">
            <v>205186</v>
          </cell>
          <cell r="F783">
            <v>149541.06337139601</v>
          </cell>
          <cell r="G783">
            <v>4.0580508418742445E-2</v>
          </cell>
          <cell r="I783" t="str">
            <v>VA</v>
          </cell>
          <cell r="J783" t="str">
            <v>Med</v>
          </cell>
          <cell r="K783">
            <v>82692.666666666672</v>
          </cell>
        </row>
        <row r="784">
          <cell r="C784">
            <v>3416197.9052210199</v>
          </cell>
          <cell r="D784">
            <v>0.73458980426483</v>
          </cell>
          <cell r="E784">
            <v>198389</v>
          </cell>
          <cell r="F784">
            <v>145734.536678295</v>
          </cell>
          <cell r="G784">
            <v>4.2659863603208413E-2</v>
          </cell>
          <cell r="I784" t="str">
            <v>VA</v>
          </cell>
          <cell r="J784" t="str">
            <v>Med</v>
          </cell>
          <cell r="K784">
            <v>75777.666666666672</v>
          </cell>
        </row>
        <row r="785">
          <cell r="C785">
            <v>4370862.8319212496</v>
          </cell>
          <cell r="D785">
            <v>0.75349929554436101</v>
          </cell>
          <cell r="E785">
            <v>158910</v>
          </cell>
          <cell r="F785">
            <v>119738.573054954</v>
          </cell>
          <cell r="G785">
            <v>2.7394722200037996E-2</v>
          </cell>
          <cell r="I785" t="str">
            <v>VA</v>
          </cell>
          <cell r="J785" t="str">
            <v>High</v>
          </cell>
          <cell r="K785">
            <v>123264</v>
          </cell>
        </row>
        <row r="786">
          <cell r="C786">
            <v>4634271.3010492297</v>
          </cell>
          <cell r="D786">
            <v>0.75053023604893698</v>
          </cell>
          <cell r="E786">
            <v>161602</v>
          </cell>
          <cell r="F786">
            <v>121287.18720597999</v>
          </cell>
          <cell r="G786">
            <v>2.6171792570391761E-2</v>
          </cell>
          <cell r="I786" t="str">
            <v>VA</v>
          </cell>
          <cell r="J786" t="str">
            <v>High</v>
          </cell>
          <cell r="K786">
            <v>130123</v>
          </cell>
        </row>
        <row r="787">
          <cell r="C787">
            <v>3171038.8078512498</v>
          </cell>
          <cell r="D787">
            <v>0.72142736530907103</v>
          </cell>
          <cell r="E787">
            <v>180839</v>
          </cell>
          <cell r="F787">
            <v>130462.203315127</v>
          </cell>
          <cell r="G787">
            <v>4.1141787035880027E-2</v>
          </cell>
          <cell r="I787" t="str">
            <v>VA</v>
          </cell>
          <cell r="J787" t="str">
            <v>Med</v>
          </cell>
          <cell r="K787">
            <v>64149.333333333336</v>
          </cell>
        </row>
        <row r="788">
          <cell r="C788">
            <v>3088449.5618509701</v>
          </cell>
          <cell r="D788">
            <v>0.76365035190125297</v>
          </cell>
          <cell r="E788">
            <v>192532</v>
          </cell>
          <cell r="F788">
            <v>147027.12955225201</v>
          </cell>
          <cell r="G788">
            <v>4.7605481847058456E-2</v>
          </cell>
          <cell r="I788" t="str">
            <v>VA</v>
          </cell>
          <cell r="J788" t="str">
            <v>Med</v>
          </cell>
          <cell r="K788">
            <v>57821.333333333336</v>
          </cell>
        </row>
        <row r="789">
          <cell r="C789">
            <v>2698950.2063529198</v>
          </cell>
          <cell r="D789">
            <v>0.68016026532492002</v>
          </cell>
          <cell r="E789">
            <v>215851</v>
          </cell>
          <cell r="F789">
            <v>146813.27343064899</v>
          </cell>
          <cell r="G789">
            <v>5.4396436468176698E-2</v>
          </cell>
          <cell r="I789" t="str">
            <v>VA</v>
          </cell>
          <cell r="J789" t="str">
            <v>Med</v>
          </cell>
          <cell r="K789">
            <v>47096</v>
          </cell>
        </row>
        <row r="790">
          <cell r="C790">
            <v>4325846.2121222802</v>
          </cell>
          <cell r="D790">
            <v>0.75451266266747896</v>
          </cell>
          <cell r="E790">
            <v>170840</v>
          </cell>
          <cell r="F790">
            <v>128900.943290112</v>
          </cell>
          <cell r="G790">
            <v>2.9797856181038994E-2</v>
          </cell>
          <cell r="I790" t="str">
            <v>VA</v>
          </cell>
          <cell r="J790" t="str">
            <v>High</v>
          </cell>
          <cell r="K790">
            <v>111399</v>
          </cell>
        </row>
        <row r="791">
          <cell r="C791">
            <v>4686841.6710736202</v>
          </cell>
          <cell r="D791">
            <v>0.74885428769947704</v>
          </cell>
          <cell r="E791">
            <v>161585</v>
          </cell>
          <cell r="F791">
            <v>121003.62007792</v>
          </cell>
          <cell r="G791">
            <v>2.5817731549314649E-2</v>
          </cell>
          <cell r="I791" t="str">
            <v>VA</v>
          </cell>
          <cell r="J791" t="str">
            <v>High</v>
          </cell>
          <cell r="K791">
            <v>126832.33333333333</v>
          </cell>
        </row>
        <row r="792">
          <cell r="C792">
            <v>2267288.0732285702</v>
          </cell>
          <cell r="D792">
            <v>0.71674692207645097</v>
          </cell>
          <cell r="E792">
            <v>168696</v>
          </cell>
          <cell r="F792">
            <v>120912.338766609</v>
          </cell>
          <cell r="G792">
            <v>5.3329058708641464E-2</v>
          </cell>
          <cell r="I792" t="str">
            <v>VA</v>
          </cell>
          <cell r="J792" t="str">
            <v>Low</v>
          </cell>
          <cell r="K792">
            <v>25878</v>
          </cell>
        </row>
        <row r="793">
          <cell r="C793">
            <v>3428384.8408133402</v>
          </cell>
          <cell r="D793">
            <v>0.73166403234783295</v>
          </cell>
          <cell r="E793">
            <v>179054</v>
          </cell>
          <cell r="F793">
            <v>131007.37164800899</v>
          </cell>
          <cell r="G793">
            <v>3.8212562979635968E-2</v>
          </cell>
          <cell r="I793" t="str">
            <v>VA</v>
          </cell>
          <cell r="J793" t="str">
            <v>Med</v>
          </cell>
          <cell r="K793">
            <v>78901.666666666672</v>
          </cell>
        </row>
        <row r="794">
          <cell r="C794">
            <v>1948058.6141351101</v>
          </cell>
          <cell r="D794">
            <v>0.75843178294844205</v>
          </cell>
          <cell r="E794">
            <v>133641</v>
          </cell>
          <cell r="F794">
            <v>101357.58190501299</v>
          </cell>
          <cell r="G794">
            <v>5.2030047335107139E-2</v>
          </cell>
          <cell r="I794" t="str">
            <v>VA</v>
          </cell>
          <cell r="J794" t="str">
            <v>Med</v>
          </cell>
          <cell r="K794">
            <v>72992</v>
          </cell>
        </row>
        <row r="795">
          <cell r="C795">
            <v>2554484.0479526902</v>
          </cell>
          <cell r="D795">
            <v>0.71063804936027997</v>
          </cell>
          <cell r="E795">
            <v>121447</v>
          </cell>
          <cell r="F795">
            <v>86304.859180657906</v>
          </cell>
          <cell r="G795">
            <v>3.3785632464539195E-2</v>
          </cell>
          <cell r="I795" t="str">
            <v>VA</v>
          </cell>
          <cell r="J795" t="str">
            <v>High</v>
          </cell>
          <cell r="K795">
            <v>119878</v>
          </cell>
        </row>
        <row r="796">
          <cell r="C796">
            <v>1701037.76663421</v>
          </cell>
          <cell r="D796">
            <v>0.73514776471779197</v>
          </cell>
          <cell r="E796">
            <v>142586</v>
          </cell>
          <cell r="F796">
            <v>104821.779180051</v>
          </cell>
          <cell r="G796">
            <v>6.1622252742488233E-2</v>
          </cell>
          <cell r="I796" t="str">
            <v>VA</v>
          </cell>
          <cell r="J796" t="str">
            <v>Med</v>
          </cell>
          <cell r="K796">
            <v>55273.333333333336</v>
          </cell>
        </row>
        <row r="797">
          <cell r="C797">
            <v>2416244.8884010399</v>
          </cell>
          <cell r="D797">
            <v>0.73791298874993505</v>
          </cell>
          <cell r="E797">
            <v>129162</v>
          </cell>
          <cell r="F797">
            <v>95310.317452919204</v>
          </cell>
          <cell r="G797">
            <v>3.9445636454503254E-2</v>
          </cell>
          <cell r="I797" t="str">
            <v>VA</v>
          </cell>
          <cell r="J797" t="str">
            <v>High</v>
          </cell>
          <cell r="K797">
            <v>108975.66666666667</v>
          </cell>
        </row>
        <row r="798">
          <cell r="C798">
            <v>1912630.21915333</v>
          </cell>
          <cell r="D798">
            <v>0.74757065727440697</v>
          </cell>
          <cell r="E798">
            <v>132105</v>
          </cell>
          <cell r="F798">
            <v>98757.821679235494</v>
          </cell>
          <cell r="G798">
            <v>5.1634560977998629E-2</v>
          </cell>
          <cell r="I798" t="str">
            <v>VA</v>
          </cell>
          <cell r="J798" t="str">
            <v>Med</v>
          </cell>
          <cell r="K798">
            <v>70133</v>
          </cell>
        </row>
        <row r="799">
          <cell r="C799">
            <v>1991599.38351948</v>
          </cell>
          <cell r="D799">
            <v>0.74915525187286702</v>
          </cell>
          <cell r="E799">
            <v>131383</v>
          </cell>
          <cell r="F799">
            <v>98426.264456812904</v>
          </cell>
          <cell r="G799">
            <v>4.9420714462603259E-2</v>
          </cell>
          <cell r="I799" t="str">
            <v>VA</v>
          </cell>
          <cell r="J799" t="str">
            <v>Med</v>
          </cell>
          <cell r="K799">
            <v>73769</v>
          </cell>
        </row>
        <row r="800">
          <cell r="C800">
            <v>2413900.3255106998</v>
          </cell>
          <cell r="D800">
            <v>0.71359225648728997</v>
          </cell>
          <cell r="E800">
            <v>123719</v>
          </cell>
          <cell r="F800">
            <v>88284.920380351003</v>
          </cell>
          <cell r="G800">
            <v>3.6573556682243248E-2</v>
          </cell>
          <cell r="I800" t="str">
            <v>VA</v>
          </cell>
          <cell r="J800" t="str">
            <v>High</v>
          </cell>
          <cell r="K800">
            <v>117573.33333333333</v>
          </cell>
        </row>
        <row r="801">
          <cell r="C801">
            <v>1517110.1597362501</v>
          </cell>
          <cell r="D801">
            <v>0.73608727806153396</v>
          </cell>
          <cell r="E801">
            <v>124403</v>
          </cell>
          <cell r="F801">
            <v>91571.465652689105</v>
          </cell>
          <cell r="G801">
            <v>6.0359140742033413E-2</v>
          </cell>
          <cell r="I801" t="str">
            <v>VA</v>
          </cell>
          <cell r="J801" t="str">
            <v>Med</v>
          </cell>
          <cell r="K801">
            <v>43634.333333333336</v>
          </cell>
        </row>
        <row r="802">
          <cell r="C802">
            <v>1852501.3428442499</v>
          </cell>
          <cell r="D802">
            <v>0.71919489194019803</v>
          </cell>
          <cell r="E802">
            <v>149135</v>
          </cell>
          <cell r="F802">
            <v>107257.130209501</v>
          </cell>
          <cell r="G802">
            <v>5.7898543838474675E-2</v>
          </cell>
          <cell r="I802" t="str">
            <v>VA</v>
          </cell>
          <cell r="J802" t="str">
            <v>Med</v>
          </cell>
          <cell r="K802">
            <v>68834</v>
          </cell>
        </row>
        <row r="803">
          <cell r="C803">
            <v>2170946.7483170698</v>
          </cell>
          <cell r="D803">
            <v>0.70376460920455497</v>
          </cell>
          <cell r="E803">
            <v>157861</v>
          </cell>
          <cell r="F803">
            <v>111096.98497364001</v>
          </cell>
          <cell r="G803">
            <v>5.1174440395538499E-2</v>
          </cell>
          <cell r="I803" t="str">
            <v>VA</v>
          </cell>
          <cell r="J803" t="str">
            <v>Med</v>
          </cell>
          <cell r="K803">
            <v>90147.333333333328</v>
          </cell>
        </row>
        <row r="804">
          <cell r="C804">
            <v>1990013.55779576</v>
          </cell>
          <cell r="D804">
            <v>0.72418760133628701</v>
          </cell>
          <cell r="E804">
            <v>134398</v>
          </cell>
          <cell r="F804">
            <v>97329.365244394299</v>
          </cell>
          <cell r="G804">
            <v>4.8908895551546518E-2</v>
          </cell>
          <cell r="I804" t="str">
            <v>VA</v>
          </cell>
          <cell r="J804" t="str">
            <v>Med</v>
          </cell>
          <cell r="K804">
            <v>75389.666666666672</v>
          </cell>
        </row>
        <row r="805">
          <cell r="C805">
            <v>2194750.2157092202</v>
          </cell>
          <cell r="D805">
            <v>0.74282295475791604</v>
          </cell>
          <cell r="E805">
            <v>141544</v>
          </cell>
          <cell r="F805">
            <v>105142.13230825499</v>
          </cell>
          <cell r="G805">
            <v>4.7906195226994866E-2</v>
          </cell>
          <cell r="I805" t="str">
            <v>VA</v>
          </cell>
          <cell r="J805" t="str">
            <v>Med</v>
          </cell>
          <cell r="K805">
            <v>90636.666666666672</v>
          </cell>
        </row>
        <row r="806">
          <cell r="C806">
            <v>2283987.4115850301</v>
          </cell>
          <cell r="D806">
            <v>0.69803300512904898</v>
          </cell>
          <cell r="E806">
            <v>125578</v>
          </cell>
          <cell r="F806">
            <v>87657.588718095707</v>
          </cell>
          <cell r="G806">
            <v>3.8379190828054313E-2</v>
          </cell>
          <cell r="I806" t="str">
            <v>VA</v>
          </cell>
          <cell r="J806" t="str">
            <v>High</v>
          </cell>
          <cell r="K806">
            <v>104337.66666666667</v>
          </cell>
        </row>
        <row r="807">
          <cell r="C807">
            <v>1964081.82024736</v>
          </cell>
          <cell r="D807">
            <v>0.77099660367309397</v>
          </cell>
          <cell r="E807">
            <v>143702</v>
          </cell>
          <cell r="F807">
            <v>110793.753941031</v>
          </cell>
          <cell r="G807">
            <v>5.640994830198949E-2</v>
          </cell>
          <cell r="I807" t="str">
            <v>VA</v>
          </cell>
          <cell r="J807" t="str">
            <v>Med</v>
          </cell>
          <cell r="K807">
            <v>74166.666666666672</v>
          </cell>
        </row>
        <row r="808">
          <cell r="C808">
            <v>1906444.7506057001</v>
          </cell>
          <cell r="D808">
            <v>0.72504742896223595</v>
          </cell>
          <cell r="E808">
            <v>151554</v>
          </cell>
          <cell r="F808">
            <v>109883.838048943</v>
          </cell>
          <cell r="G808">
            <v>5.7638092063266769E-2</v>
          </cell>
          <cell r="I808" t="str">
            <v>VA</v>
          </cell>
          <cell r="J808" t="str">
            <v>Med</v>
          </cell>
          <cell r="K808">
            <v>46839.666666666664</v>
          </cell>
        </row>
        <row r="809">
          <cell r="C809">
            <v>1971139.9583742099</v>
          </cell>
          <cell r="D809">
            <v>0.72018421951626699</v>
          </cell>
          <cell r="E809">
            <v>134257</v>
          </cell>
          <cell r="F809">
            <v>96689.772759595406</v>
          </cell>
          <cell r="G809">
            <v>4.9052718123245208E-2</v>
          </cell>
          <cell r="I809" t="str">
            <v>VA</v>
          </cell>
          <cell r="J809" t="str">
            <v>Med</v>
          </cell>
          <cell r="K809">
            <v>76752</v>
          </cell>
        </row>
        <row r="810">
          <cell r="C810">
            <v>3377032.6048805001</v>
          </cell>
          <cell r="D810">
            <v>0.72454816633706498</v>
          </cell>
          <cell r="E810">
            <v>69792</v>
          </cell>
          <cell r="F810">
            <v>50567.6656249964</v>
          </cell>
          <cell r="G810">
            <v>1.4973993899826676E-2</v>
          </cell>
          <cell r="I810" t="str">
            <v>VA</v>
          </cell>
          <cell r="J810" t="str">
            <v>High</v>
          </cell>
          <cell r="K810">
            <v>176011.66666666666</v>
          </cell>
        </row>
        <row r="811">
          <cell r="C811">
            <v>2310684.9861360202</v>
          </cell>
          <cell r="D811">
            <v>0.78448397269939096</v>
          </cell>
          <cell r="E811">
            <v>134699</v>
          </cell>
          <cell r="F811">
            <v>105669.20663863501</v>
          </cell>
          <cell r="G811">
            <v>4.5730684741816519E-2</v>
          </cell>
          <cell r="I811" t="str">
            <v>VA</v>
          </cell>
          <cell r="J811" t="str">
            <v>High</v>
          </cell>
          <cell r="K811">
            <v>101048.66666666667</v>
          </cell>
        </row>
        <row r="812">
          <cell r="C812">
            <v>1839059.8647966399</v>
          </cell>
          <cell r="D812">
            <v>0.695034949457218</v>
          </cell>
          <cell r="E812">
            <v>156627</v>
          </cell>
          <cell r="F812">
            <v>108861.239028636</v>
          </cell>
          <cell r="G812">
            <v>5.9193961606395937E-2</v>
          </cell>
          <cell r="I812" t="str">
            <v>VA</v>
          </cell>
          <cell r="J812" t="str">
            <v>Med</v>
          </cell>
          <cell r="K812">
            <v>66000</v>
          </cell>
        </row>
        <row r="813">
          <cell r="C813">
            <v>1893354.1225569099</v>
          </cell>
          <cell r="D813">
            <v>0.74042712157389101</v>
          </cell>
          <cell r="E813">
            <v>143106</v>
          </cell>
          <cell r="F813">
            <v>105959.563659953</v>
          </cell>
          <cell r="G813">
            <v>5.5963943774479039E-2</v>
          </cell>
          <cell r="I813" t="str">
            <v>VA</v>
          </cell>
          <cell r="J813" t="str">
            <v>Med</v>
          </cell>
          <cell r="K813">
            <v>70332.333333333328</v>
          </cell>
        </row>
        <row r="814">
          <cell r="C814">
            <v>2043048.0698772899</v>
          </cell>
          <cell r="D814">
            <v>0.78790953121641305</v>
          </cell>
          <cell r="E814">
            <v>123037</v>
          </cell>
          <cell r="F814">
            <v>96942.0249922738</v>
          </cell>
          <cell r="G814">
            <v>4.7449703421856518E-2</v>
          </cell>
          <cell r="I814" t="str">
            <v>VA</v>
          </cell>
          <cell r="J814" t="str">
            <v>Med</v>
          </cell>
          <cell r="K814">
            <v>86125.666666666672</v>
          </cell>
        </row>
        <row r="815">
          <cell r="C815">
            <v>2131511.6229412998</v>
          </cell>
          <cell r="D815">
            <v>0.70600525251911705</v>
          </cell>
          <cell r="E815">
            <v>133734</v>
          </cell>
          <cell r="F815">
            <v>94416.906440391598</v>
          </cell>
          <cell r="G815">
            <v>4.4295750219792145E-2</v>
          </cell>
          <cell r="I815" t="str">
            <v>VA</v>
          </cell>
          <cell r="J815" t="str">
            <v>Med</v>
          </cell>
          <cell r="K815">
            <v>66868.333333333328</v>
          </cell>
        </row>
        <row r="816">
          <cell r="C816">
            <v>2168774.25583961</v>
          </cell>
          <cell r="D816">
            <v>0.76996905112591596</v>
          </cell>
          <cell r="E816">
            <v>147583</v>
          </cell>
          <cell r="F816">
            <v>113634.342472316</v>
          </cell>
          <cell r="G816">
            <v>5.2395652597934439E-2</v>
          </cell>
          <cell r="I816" t="str">
            <v>VA</v>
          </cell>
          <cell r="J816" t="str">
            <v>Med</v>
          </cell>
          <cell r="K816">
            <v>82692.666666666672</v>
          </cell>
        </row>
        <row r="817">
          <cell r="C817">
            <v>1970272.3392567299</v>
          </cell>
          <cell r="D817">
            <v>0.75490734450244301</v>
          </cell>
          <cell r="E817">
            <v>143052</v>
          </cell>
          <cell r="F817">
            <v>107991.00544576401</v>
          </cell>
          <cell r="G817">
            <v>5.481019212120837E-2</v>
          </cell>
          <cell r="I817" t="str">
            <v>VA</v>
          </cell>
          <cell r="J817" t="str">
            <v>Med</v>
          </cell>
          <cell r="K817">
            <v>75777.666666666672</v>
          </cell>
        </row>
        <row r="818">
          <cell r="C818">
            <v>2605062.3351192302</v>
          </cell>
          <cell r="D818">
            <v>0.73882824358657495</v>
          </cell>
          <cell r="E818">
            <v>123414</v>
          </cell>
          <cell r="F818">
            <v>91181.748853993602</v>
          </cell>
          <cell r="G818">
            <v>3.5001753172950595E-2</v>
          </cell>
          <cell r="I818" t="str">
            <v>VA</v>
          </cell>
          <cell r="J818" t="str">
            <v>High</v>
          </cell>
          <cell r="K818">
            <v>123264</v>
          </cell>
        </row>
        <row r="819">
          <cell r="C819">
            <v>2663481.4732702901</v>
          </cell>
          <cell r="D819">
            <v>0.75881471938193201</v>
          </cell>
          <cell r="E819">
            <v>118577</v>
          </cell>
          <cell r="F819">
            <v>89977.972980151302</v>
          </cell>
          <cell r="G819">
            <v>3.378209080225892E-2</v>
          </cell>
          <cell r="I819" t="str">
            <v>VA</v>
          </cell>
          <cell r="J819" t="str">
            <v>High</v>
          </cell>
          <cell r="K819">
            <v>130123</v>
          </cell>
        </row>
        <row r="820">
          <cell r="C820">
            <v>1823818.1849456099</v>
          </cell>
          <cell r="D820">
            <v>0.75847114500659596</v>
          </cell>
          <cell r="E820">
            <v>128253</v>
          </cell>
          <cell r="F820">
            <v>97276.199760530901</v>
          </cell>
          <cell r="G820">
            <v>5.3336566420644549E-2</v>
          </cell>
          <cell r="I820" t="str">
            <v>VA</v>
          </cell>
          <cell r="J820" t="str">
            <v>Med</v>
          </cell>
          <cell r="K820">
            <v>64149.333333333336</v>
          </cell>
        </row>
        <row r="821">
          <cell r="C821">
            <v>1767230.9997479101</v>
          </cell>
          <cell r="D821">
            <v>0.77838701665802801</v>
          </cell>
          <cell r="E821">
            <v>138654</v>
          </cell>
          <cell r="F821">
            <v>107926.473407702</v>
          </cell>
          <cell r="G821">
            <v>6.1070948519518595E-2</v>
          </cell>
          <cell r="I821" t="str">
            <v>VA</v>
          </cell>
          <cell r="J821" t="str">
            <v>Med</v>
          </cell>
          <cell r="K821">
            <v>57821.333333333336</v>
          </cell>
        </row>
        <row r="822">
          <cell r="C822">
            <v>1545161.80047385</v>
          </cell>
          <cell r="D822">
            <v>0.67788248883527202</v>
          </cell>
          <cell r="E822">
            <v>160165</v>
          </cell>
          <cell r="F822">
            <v>108573.048824301</v>
          </cell>
          <cell r="G822">
            <v>7.0266459338436435E-2</v>
          </cell>
          <cell r="I822" t="str">
            <v>VA</v>
          </cell>
          <cell r="J822" t="str">
            <v>Med</v>
          </cell>
          <cell r="K822">
            <v>47096</v>
          </cell>
        </row>
        <row r="823">
          <cell r="C823">
            <v>2452211.2249036999</v>
          </cell>
          <cell r="D823">
            <v>0.76612630916761904</v>
          </cell>
          <cell r="E823">
            <v>125073</v>
          </cell>
          <cell r="F823">
            <v>95821.715866521597</v>
          </cell>
          <cell r="G823">
            <v>3.9075637079462676E-2</v>
          </cell>
          <cell r="I823" t="str">
            <v>VA</v>
          </cell>
          <cell r="J823" t="str">
            <v>High</v>
          </cell>
          <cell r="K823">
            <v>111399</v>
          </cell>
        </row>
        <row r="824">
          <cell r="C824">
            <v>2707260.48905158</v>
          </cell>
          <cell r="D824">
            <v>0.747065710056108</v>
          </cell>
          <cell r="E824">
            <v>123192</v>
          </cell>
          <cell r="F824">
            <v>92032.518953231993</v>
          </cell>
          <cell r="G824">
            <v>3.3994703991514774E-2</v>
          </cell>
          <cell r="I824" t="str">
            <v>VA</v>
          </cell>
          <cell r="J824" t="str">
            <v>High</v>
          </cell>
          <cell r="K824">
            <v>126832.33333333333</v>
          </cell>
        </row>
        <row r="825">
          <cell r="C825">
            <v>1291589.8861019299</v>
          </cell>
          <cell r="D825">
            <v>0.74771122563119297</v>
          </cell>
          <cell r="E825">
            <v>113632</v>
          </cell>
          <cell r="F825">
            <v>84963.9219909237</v>
          </cell>
          <cell r="G825">
            <v>6.5782430557232235E-2</v>
          </cell>
          <cell r="I825" t="str">
            <v>VA</v>
          </cell>
          <cell r="J825" t="str">
            <v>Low</v>
          </cell>
          <cell r="K825">
            <v>25878</v>
          </cell>
        </row>
        <row r="826">
          <cell r="C826">
            <v>1969020.7877978201</v>
          </cell>
          <cell r="D826">
            <v>0.72504531555432095</v>
          </cell>
          <cell r="E826">
            <v>132917</v>
          </cell>
          <cell r="F826">
            <v>96370.848207533694</v>
          </cell>
          <cell r="G826">
            <v>4.8943540263643524E-2</v>
          </cell>
          <cell r="I826" t="str">
            <v>VA</v>
          </cell>
          <cell r="J826" t="str">
            <v>Med</v>
          </cell>
          <cell r="K826">
            <v>78901.666666666672</v>
          </cell>
        </row>
        <row r="827">
          <cell r="C827">
            <v>2215864.6658553998</v>
          </cell>
          <cell r="D827">
            <v>0.77407633863967096</v>
          </cell>
          <cell r="E827">
            <v>146119</v>
          </cell>
          <cell r="F827">
            <v>113107.26052569</v>
          </cell>
          <cell r="G827">
            <v>5.1044299892758438E-2</v>
          </cell>
          <cell r="I827" t="str">
            <v>VA</v>
          </cell>
          <cell r="J827" t="str">
            <v>Med</v>
          </cell>
          <cell r="K827">
            <v>72992</v>
          </cell>
        </row>
        <row r="828">
          <cell r="C828">
            <v>2948328.2149045202</v>
          </cell>
          <cell r="D828">
            <v>0.77182368646806099</v>
          </cell>
          <cell r="E828">
            <v>134482</v>
          </cell>
          <cell r="F828">
            <v>103796.393003598</v>
          </cell>
          <cell r="G828">
            <v>3.5205168976398846E-2</v>
          </cell>
          <cell r="I828" t="str">
            <v>VA</v>
          </cell>
          <cell r="J828" t="str">
            <v>High</v>
          </cell>
          <cell r="K828">
            <v>119878</v>
          </cell>
        </row>
        <row r="829">
          <cell r="C829">
            <v>1925519.45128839</v>
          </cell>
          <cell r="D829">
            <v>0.72268954759271198</v>
          </cell>
          <cell r="E829">
            <v>167572</v>
          </cell>
          <cell r="F829">
            <v>121102.532869206</v>
          </cell>
          <cell r="G829">
            <v>6.2893435217273308E-2</v>
          </cell>
          <cell r="I829" t="str">
            <v>VA</v>
          </cell>
          <cell r="J829" t="str">
            <v>Med</v>
          </cell>
          <cell r="K829">
            <v>55273.333333333336</v>
          </cell>
        </row>
        <row r="830">
          <cell r="C830">
            <v>2719678.1406136798</v>
          </cell>
          <cell r="D830">
            <v>0.74312498081918699</v>
          </cell>
          <cell r="E830">
            <v>141695</v>
          </cell>
          <cell r="F830">
            <v>105297.094157175</v>
          </cell>
          <cell r="G830">
            <v>3.8716748347808284E-2</v>
          </cell>
          <cell r="I830" t="str">
            <v>VA</v>
          </cell>
          <cell r="J830" t="str">
            <v>High</v>
          </cell>
          <cell r="K830">
            <v>108975.66666666667</v>
          </cell>
        </row>
        <row r="831">
          <cell r="C831">
            <v>2200974.7738978001</v>
          </cell>
          <cell r="D831">
            <v>0.73796680318227104</v>
          </cell>
          <cell r="E831">
            <v>154877</v>
          </cell>
          <cell r="F831">
            <v>114294.084576461</v>
          </cell>
          <cell r="G831">
            <v>5.1928848041294322E-2</v>
          </cell>
          <cell r="I831" t="str">
            <v>VA</v>
          </cell>
          <cell r="J831" t="str">
            <v>Med</v>
          </cell>
          <cell r="K831">
            <v>70133</v>
          </cell>
        </row>
        <row r="832">
          <cell r="C832">
            <v>2266416.03538319</v>
          </cell>
          <cell r="D832">
            <v>0.71973907582750696</v>
          </cell>
          <cell r="E832">
            <v>156375</v>
          </cell>
          <cell r="F832">
            <v>112549.19798252601</v>
          </cell>
          <cell r="G832">
            <v>4.9659548920150912E-2</v>
          </cell>
          <cell r="I832" t="str">
            <v>VA</v>
          </cell>
          <cell r="J832" t="str">
            <v>Med</v>
          </cell>
          <cell r="K832">
            <v>73769</v>
          </cell>
        </row>
        <row r="833">
          <cell r="C833">
            <v>2767434.4361046101</v>
          </cell>
          <cell r="D833">
            <v>0.72345439353001395</v>
          </cell>
          <cell r="E833">
            <v>138571</v>
          </cell>
          <cell r="F833">
            <v>100249.798765848</v>
          </cell>
          <cell r="G833">
            <v>3.6224814383302169E-2</v>
          </cell>
          <cell r="I833" t="str">
            <v>VA</v>
          </cell>
          <cell r="J833" t="str">
            <v>High</v>
          </cell>
          <cell r="K833">
            <v>117573.33333333333</v>
          </cell>
        </row>
        <row r="834">
          <cell r="C834">
            <v>1775129.1337991499</v>
          </cell>
          <cell r="D834">
            <v>0.71953650616533404</v>
          </cell>
          <cell r="E834">
            <v>152367</v>
          </cell>
          <cell r="F834">
            <v>109633.618834893</v>
          </cell>
          <cell r="G834">
            <v>6.1760925865857422E-2</v>
          </cell>
          <cell r="I834" t="str">
            <v>VA</v>
          </cell>
          <cell r="J834" t="str">
            <v>Med</v>
          </cell>
          <cell r="K834">
            <v>43634.333333333336</v>
          </cell>
        </row>
        <row r="835">
          <cell r="C835">
            <v>2098354.7967403699</v>
          </cell>
          <cell r="D835">
            <v>0.736612061747278</v>
          </cell>
          <cell r="E835">
            <v>164194</v>
          </cell>
          <cell r="F835">
            <v>120947.28086653299</v>
          </cell>
          <cell r="G835">
            <v>5.7639099476606691E-2</v>
          </cell>
          <cell r="I835" t="str">
            <v>VA</v>
          </cell>
          <cell r="J835" t="str">
            <v>Med</v>
          </cell>
          <cell r="K835">
            <v>68834</v>
          </cell>
        </row>
        <row r="836">
          <cell r="C836">
            <v>2504965.0300874799</v>
          </cell>
          <cell r="D836">
            <v>0.70586229081734397</v>
          </cell>
          <cell r="E836">
            <v>179667</v>
          </cell>
          <cell r="F836">
            <v>126820.16020427999</v>
          </cell>
          <cell r="G836">
            <v>5.0627517223204951E-2</v>
          </cell>
          <cell r="I836" t="str">
            <v>VA</v>
          </cell>
          <cell r="J836" t="str">
            <v>Med</v>
          </cell>
          <cell r="K836">
            <v>90147.333333333328</v>
          </cell>
        </row>
        <row r="837">
          <cell r="C837">
            <v>2284013.6253285599</v>
          </cell>
          <cell r="D837">
            <v>0.75260403728046599</v>
          </cell>
          <cell r="E837">
            <v>151138</v>
          </cell>
          <cell r="F837">
            <v>113747.068986495</v>
          </cell>
          <cell r="G837">
            <v>4.9801396859063068E-2</v>
          </cell>
          <cell r="I837" t="str">
            <v>VA</v>
          </cell>
          <cell r="J837" t="str">
            <v>Med</v>
          </cell>
          <cell r="K837">
            <v>75389.666666666672</v>
          </cell>
        </row>
        <row r="838">
          <cell r="C838">
            <v>2483022.8834398501</v>
          </cell>
          <cell r="D838">
            <v>0.74752878300990799</v>
          </cell>
          <cell r="E838">
            <v>159402</v>
          </cell>
          <cell r="F838">
            <v>119157.583069345</v>
          </cell>
          <cell r="G838">
            <v>4.7988918613698119E-2</v>
          </cell>
          <cell r="I838" t="str">
            <v>VA</v>
          </cell>
          <cell r="J838" t="str">
            <v>Med</v>
          </cell>
          <cell r="K838">
            <v>90636.666666666672</v>
          </cell>
        </row>
        <row r="839">
          <cell r="C839">
            <v>2578523.3451958899</v>
          </cell>
          <cell r="D839">
            <v>0.70010218494620402</v>
          </cell>
          <cell r="E839">
            <v>140211</v>
          </cell>
          <cell r="F839">
            <v>98162.027453492105</v>
          </cell>
          <cell r="G839">
            <v>3.8069086183136633E-2</v>
          </cell>
          <cell r="I839" t="str">
            <v>VA</v>
          </cell>
          <cell r="J839" t="str">
            <v>High</v>
          </cell>
          <cell r="K839">
            <v>104337.66666666667</v>
          </cell>
        </row>
        <row r="840">
          <cell r="C840">
            <v>2141104.2497191899</v>
          </cell>
          <cell r="D840">
            <v>0.77295064968420102</v>
          </cell>
          <cell r="E840">
            <v>157520</v>
          </cell>
          <cell r="F840">
            <v>121755.18633825499</v>
          </cell>
          <cell r="G840">
            <v>5.6865603977117617E-2</v>
          </cell>
          <cell r="I840" t="str">
            <v>VA</v>
          </cell>
          <cell r="J840" t="str">
            <v>Med</v>
          </cell>
          <cell r="K840">
            <v>74166.666666666672</v>
          </cell>
        </row>
        <row r="841">
          <cell r="C841">
            <v>2194795.5996182398</v>
          </cell>
          <cell r="D841">
            <v>0.71319475607129601</v>
          </cell>
          <cell r="E841">
            <v>178397</v>
          </cell>
          <cell r="F841">
            <v>127231.804898851</v>
          </cell>
          <cell r="G841">
            <v>5.7969774005826126E-2</v>
          </cell>
          <cell r="I841" t="str">
            <v>VA</v>
          </cell>
          <cell r="J841" t="str">
            <v>Med</v>
          </cell>
          <cell r="K841">
            <v>46839.666666666664</v>
          </cell>
        </row>
        <row r="842">
          <cell r="C842">
            <v>2255293.2619853099</v>
          </cell>
          <cell r="D842">
            <v>0.73993452891209599</v>
          </cell>
          <cell r="E842">
            <v>150977</v>
          </cell>
          <cell r="F842">
            <v>111713.09537156099</v>
          </cell>
          <cell r="G842">
            <v>4.9533733485826667E-2</v>
          </cell>
          <cell r="I842" t="str">
            <v>VA</v>
          </cell>
          <cell r="J842" t="str">
            <v>Med</v>
          </cell>
          <cell r="K842">
            <v>76752</v>
          </cell>
        </row>
        <row r="843">
          <cell r="C843">
            <v>3821622.44040224</v>
          </cell>
          <cell r="D843">
            <v>0.72366936288478401</v>
          </cell>
          <cell r="E843">
            <v>79401</v>
          </cell>
          <cell r="F843">
            <v>57460.071082414703</v>
          </cell>
          <cell r="G843">
            <v>1.5035517500354331E-2</v>
          </cell>
          <cell r="I843" t="str">
            <v>VA</v>
          </cell>
          <cell r="J843" t="str">
            <v>High</v>
          </cell>
          <cell r="K843">
            <v>176011.66666666666</v>
          </cell>
        </row>
        <row r="844">
          <cell r="C844">
            <v>2659232.13769974</v>
          </cell>
          <cell r="D844">
            <v>0.748772491620042</v>
          </cell>
          <cell r="E844">
            <v>161608</v>
          </cell>
          <cell r="F844">
            <v>121007.624825732</v>
          </cell>
          <cell r="G844">
            <v>4.5504724130780362E-2</v>
          </cell>
          <cell r="I844" t="str">
            <v>VA</v>
          </cell>
          <cell r="J844" t="str">
            <v>High</v>
          </cell>
          <cell r="K844">
            <v>101048.66666666667</v>
          </cell>
        </row>
        <row r="845">
          <cell r="C845">
            <v>2067320.91845675</v>
          </cell>
          <cell r="D845">
            <v>0.70409878961392702</v>
          </cell>
          <cell r="E845">
            <v>173698</v>
          </cell>
          <cell r="F845">
            <v>122300.55155836001</v>
          </cell>
          <cell r="G845">
            <v>5.915895808264595E-2</v>
          </cell>
          <cell r="I845" t="str">
            <v>VA</v>
          </cell>
          <cell r="J845" t="str">
            <v>Med</v>
          </cell>
          <cell r="K845">
            <v>66000</v>
          </cell>
        </row>
        <row r="846">
          <cell r="C846">
            <v>2187757.04998304</v>
          </cell>
          <cell r="D846">
            <v>0.71381516103167997</v>
          </cell>
          <cell r="E846">
            <v>175617</v>
          </cell>
          <cell r="F846">
            <v>125358.0771349</v>
          </cell>
          <cell r="G846">
            <v>5.7299816328267257E-2</v>
          </cell>
          <cell r="I846" t="str">
            <v>VA</v>
          </cell>
          <cell r="J846" t="str">
            <v>Med</v>
          </cell>
          <cell r="K846">
            <v>70332.333333333328</v>
          </cell>
        </row>
        <row r="847">
          <cell r="C847">
            <v>2301818.83537895</v>
          </cell>
          <cell r="D847">
            <v>0.73409404840814996</v>
          </cell>
          <cell r="E847">
            <v>147464</v>
          </cell>
          <cell r="F847">
            <v>108252.44475445899</v>
          </cell>
          <cell r="G847">
            <v>4.7029089818285949E-2</v>
          </cell>
          <cell r="I847" t="str">
            <v>VA</v>
          </cell>
          <cell r="J847" t="str">
            <v>Med</v>
          </cell>
          <cell r="K847">
            <v>86125.666666666672</v>
          </cell>
        </row>
        <row r="848">
          <cell r="C848">
            <v>2393396.0518171699</v>
          </cell>
          <cell r="D848">
            <v>0.69496145076757898</v>
          </cell>
          <cell r="E848">
            <v>153355</v>
          </cell>
          <cell r="F848">
            <v>106575.813282462</v>
          </cell>
          <cell r="G848">
            <v>4.452911719376533E-2</v>
          </cell>
          <cell r="I848" t="str">
            <v>VA</v>
          </cell>
          <cell r="J848" t="str">
            <v>Med</v>
          </cell>
          <cell r="K848">
            <v>66868.333333333328</v>
          </cell>
        </row>
        <row r="849">
          <cell r="C849">
            <v>2378484.1467772098</v>
          </cell>
          <cell r="D849">
            <v>0.74563238082696404</v>
          </cell>
          <cell r="E849">
            <v>165116</v>
          </cell>
          <cell r="F849">
            <v>123115.83619262501</v>
          </cell>
          <cell r="G849">
            <v>5.1762311033035087E-2</v>
          </cell>
          <cell r="I849" t="str">
            <v>VA</v>
          </cell>
          <cell r="J849" t="str">
            <v>Med</v>
          </cell>
          <cell r="K849">
            <v>82692.666666666672</v>
          </cell>
        </row>
        <row r="850">
          <cell r="C850">
            <v>2225547.8183951899</v>
          </cell>
          <cell r="D850">
            <v>0.725657400884819</v>
          </cell>
          <cell r="E850">
            <v>163013</v>
          </cell>
          <cell r="F850">
            <v>118291.589890437</v>
          </cell>
          <cell r="G850">
            <v>5.3151673000553783E-2</v>
          </cell>
          <cell r="I850" t="str">
            <v>VA</v>
          </cell>
          <cell r="J850" t="str">
            <v>Med</v>
          </cell>
          <cell r="K850">
            <v>75777.666666666672</v>
          </cell>
        </row>
        <row r="851">
          <cell r="C851">
            <v>2908708.61102304</v>
          </cell>
          <cell r="D851">
            <v>0.775323290070418</v>
          </cell>
          <cell r="E851">
            <v>133745</v>
          </cell>
          <cell r="F851">
            <v>103695.613430468</v>
          </cell>
          <cell r="G851">
            <v>3.565005206691934E-2</v>
          </cell>
          <cell r="I851" t="str">
            <v>VA</v>
          </cell>
          <cell r="J851" t="str">
            <v>High</v>
          </cell>
          <cell r="K851">
            <v>123264</v>
          </cell>
        </row>
        <row r="852">
          <cell r="C852">
            <v>3004010.9023639802</v>
          </cell>
          <cell r="D852">
            <v>0.74149828473593205</v>
          </cell>
          <cell r="E852">
            <v>134850</v>
          </cell>
          <cell r="F852">
            <v>99991.043696640394</v>
          </cell>
          <cell r="G852">
            <v>3.3285845806336228E-2</v>
          </cell>
          <cell r="I852" t="str">
            <v>VA</v>
          </cell>
          <cell r="J852" t="str">
            <v>High</v>
          </cell>
          <cell r="K852">
            <v>130123</v>
          </cell>
        </row>
        <row r="853">
          <cell r="C853">
            <v>2133582.67072033</v>
          </cell>
          <cell r="D853">
            <v>0.77886051999405603</v>
          </cell>
          <cell r="E853">
            <v>143206</v>
          </cell>
          <cell r="F853">
            <v>111537.499626269</v>
          </cell>
          <cell r="G853">
            <v>5.227709296523872E-2</v>
          </cell>
          <cell r="I853" t="str">
            <v>VA</v>
          </cell>
          <cell r="J853" t="str">
            <v>Med</v>
          </cell>
          <cell r="K853">
            <v>64149.333333333336</v>
          </cell>
        </row>
        <row r="854">
          <cell r="C854">
            <v>2002567.38607969</v>
          </cell>
          <cell r="D854">
            <v>0.77796553653078104</v>
          </cell>
          <cell r="E854">
            <v>159562</v>
          </cell>
          <cell r="F854">
            <v>124133.736939924</v>
          </cell>
          <cell r="G854">
            <v>6.1987295809772185E-2</v>
          </cell>
          <cell r="I854" t="str">
            <v>VA</v>
          </cell>
          <cell r="J854" t="str">
            <v>Med</v>
          </cell>
          <cell r="K854">
            <v>57821.333333333336</v>
          </cell>
        </row>
        <row r="855">
          <cell r="C855">
            <v>1781351.33448518</v>
          </cell>
          <cell r="D855">
            <v>0.69259370759482697</v>
          </cell>
          <cell r="E855">
            <v>179069</v>
          </cell>
          <cell r="F855">
            <v>124022.062625298</v>
          </cell>
          <cell r="G855">
            <v>6.9622460333542815E-2</v>
          </cell>
          <cell r="I855" t="str">
            <v>VA</v>
          </cell>
          <cell r="J855" t="str">
            <v>Med</v>
          </cell>
          <cell r="K855">
            <v>47096</v>
          </cell>
        </row>
        <row r="856">
          <cell r="C856">
            <v>2773611.02908795</v>
          </cell>
          <cell r="D856">
            <v>0.81198316086942801</v>
          </cell>
          <cell r="E856">
            <v>132288</v>
          </cell>
          <cell r="F856">
            <v>107415.628385095</v>
          </cell>
          <cell r="G856">
            <v>3.8727718940610292E-2</v>
          </cell>
          <cell r="I856" t="str">
            <v>VA</v>
          </cell>
          <cell r="J856" t="str">
            <v>High</v>
          </cell>
          <cell r="K856">
            <v>111399</v>
          </cell>
        </row>
        <row r="857">
          <cell r="C857">
            <v>3016417.8408681299</v>
          </cell>
          <cell r="D857">
            <v>0.76608673213551404</v>
          </cell>
          <cell r="E857">
            <v>132016</v>
          </cell>
          <cell r="F857">
            <v>101135.70602960201</v>
          </cell>
          <cell r="G857">
            <v>3.3528413954909839E-2</v>
          </cell>
          <cell r="I857" t="str">
            <v>VA</v>
          </cell>
          <cell r="J857" t="str">
            <v>High</v>
          </cell>
          <cell r="K857">
            <v>126832.33333333333</v>
          </cell>
        </row>
        <row r="858">
          <cell r="C858">
            <v>1486612.64665175</v>
          </cell>
          <cell r="D858">
            <v>0.73959478907058096</v>
          </cell>
          <cell r="E858">
            <v>133773</v>
          </cell>
          <cell r="F858">
            <v>98937.813718338904</v>
          </cell>
          <cell r="G858">
            <v>6.6552517188100999E-2</v>
          </cell>
          <cell r="I858" t="str">
            <v>VA</v>
          </cell>
          <cell r="J858" t="str">
            <v>Low</v>
          </cell>
          <cell r="K858">
            <v>25878</v>
          </cell>
        </row>
        <row r="859">
          <cell r="C859">
            <v>2274307.6520940699</v>
          </cell>
          <cell r="D859">
            <v>0.73551439807965902</v>
          </cell>
          <cell r="E859">
            <v>152002</v>
          </cell>
          <cell r="F859">
            <v>111799.659536904</v>
          </cell>
          <cell r="G859">
            <v>4.9157667580269716E-2</v>
          </cell>
          <cell r="I859" t="str">
            <v>VA</v>
          </cell>
          <cell r="J859" t="str">
            <v>Med</v>
          </cell>
          <cell r="K859">
            <v>78901.666666666672</v>
          </cell>
        </row>
        <row r="860">
          <cell r="C860">
            <v>2456276.2631198601</v>
          </cell>
          <cell r="D860">
            <v>0.77296472243338699</v>
          </cell>
          <cell r="E860">
            <v>170294</v>
          </cell>
          <cell r="F860">
            <v>131631.25444207099</v>
          </cell>
          <cell r="G860">
            <v>5.3589759596047407E-2</v>
          </cell>
          <cell r="I860" t="str">
            <v>VA</v>
          </cell>
          <cell r="J860" t="str">
            <v>Med</v>
          </cell>
          <cell r="K860">
            <v>72992</v>
          </cell>
        </row>
        <row r="861">
          <cell r="C861">
            <v>3246942.9797373</v>
          </cell>
          <cell r="D861">
            <v>0.73259450756224598</v>
          </cell>
          <cell r="E861">
            <v>160258</v>
          </cell>
          <cell r="F861">
            <v>117404.13059291001</v>
          </cell>
          <cell r="G861">
            <v>3.6158359209131789E-2</v>
          </cell>
          <cell r="I861" t="str">
            <v>VA</v>
          </cell>
          <cell r="J861" t="str">
            <v>High</v>
          </cell>
          <cell r="K861">
            <v>119878</v>
          </cell>
        </row>
        <row r="862">
          <cell r="C862">
            <v>2172515.6430368298</v>
          </cell>
          <cell r="D862">
            <v>0.72535093032826203</v>
          </cell>
          <cell r="E862">
            <v>197550</v>
          </cell>
          <cell r="F862">
            <v>143293.07628634799</v>
          </cell>
          <cell r="G862">
            <v>6.5957212665243306E-2</v>
          </cell>
          <cell r="I862" t="str">
            <v>VA</v>
          </cell>
          <cell r="J862" t="str">
            <v>Med</v>
          </cell>
          <cell r="K862">
            <v>55273.333333333336</v>
          </cell>
        </row>
        <row r="863">
          <cell r="C863">
            <v>3024525.9330154299</v>
          </cell>
          <cell r="D863">
            <v>0.74212530517216202</v>
          </cell>
          <cell r="E863">
            <v>168779</v>
          </cell>
          <cell r="F863">
            <v>125255.166881652</v>
          </cell>
          <cell r="G863">
            <v>4.1413156856874266E-2</v>
          </cell>
          <cell r="I863" t="str">
            <v>VA</v>
          </cell>
          <cell r="J863" t="str">
            <v>High</v>
          </cell>
          <cell r="K863">
            <v>108975.66666666667</v>
          </cell>
        </row>
        <row r="864">
          <cell r="C864">
            <v>2451453.0057630902</v>
          </cell>
          <cell r="D864">
            <v>0.77484805833971804</v>
          </cell>
          <cell r="E864">
            <v>174118</v>
          </cell>
          <cell r="F864">
            <v>134914.994221995</v>
          </cell>
          <cell r="G864">
            <v>5.5034705501115062E-2</v>
          </cell>
          <cell r="I864" t="str">
            <v>VA</v>
          </cell>
          <cell r="J864" t="str">
            <v>Med</v>
          </cell>
          <cell r="K864">
            <v>70133</v>
          </cell>
        </row>
        <row r="865">
          <cell r="C865">
            <v>2517946.4733455102</v>
          </cell>
          <cell r="D865">
            <v>0.773301847784018</v>
          </cell>
          <cell r="E865">
            <v>170291</v>
          </cell>
          <cell r="F865">
            <v>131686.344960988</v>
          </cell>
          <cell r="G865">
            <v>5.2299104192640292E-2</v>
          </cell>
          <cell r="I865" t="str">
            <v>VA</v>
          </cell>
          <cell r="J865" t="str">
            <v>Med</v>
          </cell>
          <cell r="K865">
            <v>73769</v>
          </cell>
        </row>
        <row r="866">
          <cell r="C866">
            <v>3096545.8199865702</v>
          </cell>
          <cell r="D866">
            <v>0.72084890786975897</v>
          </cell>
          <cell r="E866">
            <v>162913</v>
          </cell>
          <cell r="F866">
            <v>117435.658127786</v>
          </cell>
          <cell r="G866">
            <v>3.7924728053368613E-2</v>
          </cell>
          <cell r="I866" t="str">
            <v>VA</v>
          </cell>
          <cell r="J866" t="str">
            <v>High</v>
          </cell>
          <cell r="K866">
            <v>117573.33333333333</v>
          </cell>
        </row>
        <row r="867">
          <cell r="C867">
            <v>1964471.8321928501</v>
          </cell>
          <cell r="D867">
            <v>0.74059303155473999</v>
          </cell>
          <cell r="E867">
            <v>170055</v>
          </cell>
          <cell r="F867">
            <v>125941.547981041</v>
          </cell>
          <cell r="G867">
            <v>6.410962270731986E-2</v>
          </cell>
          <cell r="I867" t="str">
            <v>VA</v>
          </cell>
          <cell r="J867" t="str">
            <v>Med</v>
          </cell>
          <cell r="K867">
            <v>43634.333333333336</v>
          </cell>
        </row>
        <row r="868">
          <cell r="C868">
            <v>2385345.8173293401</v>
          </cell>
          <cell r="D868">
            <v>0.74336140712503895</v>
          </cell>
          <cell r="E868">
            <v>193676</v>
          </cell>
          <cell r="F868">
            <v>143971.26388634901</v>
          </cell>
          <cell r="G868">
            <v>6.0356558298763088E-2</v>
          </cell>
          <cell r="I868" t="str">
            <v>VA</v>
          </cell>
          <cell r="J868" t="str">
            <v>Med</v>
          </cell>
          <cell r="K868">
            <v>68834</v>
          </cell>
        </row>
        <row r="869">
          <cell r="C869">
            <v>2759570.9644832299</v>
          </cell>
          <cell r="D869">
            <v>0.70284246061316402</v>
          </cell>
          <cell r="E869">
            <v>207024</v>
          </cell>
          <cell r="F869">
            <v>145505.25756597999</v>
          </cell>
          <cell r="G869">
            <v>5.2727492584423531E-2</v>
          </cell>
          <cell r="I869" t="str">
            <v>VA</v>
          </cell>
          <cell r="J869" t="str">
            <v>Med</v>
          </cell>
          <cell r="K869">
            <v>90147.333333333328</v>
          </cell>
        </row>
        <row r="870">
          <cell r="C870">
            <v>2589502.41665238</v>
          </cell>
          <cell r="D870">
            <v>0.75970528947730998</v>
          </cell>
          <cell r="E870">
            <v>181303</v>
          </cell>
          <cell r="F870">
            <v>137736.84809810499</v>
          </cell>
          <cell r="G870">
            <v>5.3190469030790277E-2</v>
          </cell>
          <cell r="I870" t="str">
            <v>VA</v>
          </cell>
          <cell r="J870" t="str">
            <v>Med</v>
          </cell>
          <cell r="K870">
            <v>75389.666666666672</v>
          </cell>
        </row>
        <row r="871">
          <cell r="C871">
            <v>2819722.0169103001</v>
          </cell>
          <cell r="D871">
            <v>0.748208272616954</v>
          </cell>
          <cell r="E871">
            <v>187939</v>
          </cell>
          <cell r="F871">
            <v>140617.51454735801</v>
          </cell>
          <cell r="G871">
            <v>4.986928275342515E-2</v>
          </cell>
          <cell r="I871" t="str">
            <v>VA</v>
          </cell>
          <cell r="J871" t="str">
            <v>Med</v>
          </cell>
          <cell r="K871">
            <v>90636.666666666672</v>
          </cell>
        </row>
        <row r="872">
          <cell r="C872">
            <v>2908244.68192368</v>
          </cell>
          <cell r="D872">
            <v>0.73507962666867499</v>
          </cell>
          <cell r="E872">
            <v>163011</v>
          </cell>
          <cell r="F872">
            <v>119826.06502288701</v>
          </cell>
          <cell r="G872">
            <v>4.1202195182431199E-2</v>
          </cell>
          <cell r="I872" t="str">
            <v>VA</v>
          </cell>
          <cell r="J872" t="str">
            <v>High</v>
          </cell>
          <cell r="K872">
            <v>104337.66666666667</v>
          </cell>
        </row>
        <row r="873">
          <cell r="C873">
            <v>2467659.5840978599</v>
          </cell>
          <cell r="D873">
            <v>0.77932150599626704</v>
          </cell>
          <cell r="E873">
            <v>186049</v>
          </cell>
          <cell r="F873">
            <v>144991.98686909999</v>
          </cell>
          <cell r="G873">
            <v>5.8756883568325299E-2</v>
          </cell>
          <cell r="I873" t="str">
            <v>VA</v>
          </cell>
          <cell r="J873" t="str">
            <v>Med</v>
          </cell>
          <cell r="K873">
            <v>74166.666666666672</v>
          </cell>
        </row>
        <row r="874">
          <cell r="C874">
            <v>2454535.5829558899</v>
          </cell>
          <cell r="D874">
            <v>0.74702579830564497</v>
          </cell>
          <cell r="E874">
            <v>201050</v>
          </cell>
          <cell r="F874">
            <v>150189.53674934999</v>
          </cell>
          <cell r="G874">
            <v>6.118857587246028E-2</v>
          </cell>
          <cell r="I874" t="str">
            <v>VA</v>
          </cell>
          <cell r="J874" t="str">
            <v>Med</v>
          </cell>
          <cell r="K874">
            <v>46839.666666666664</v>
          </cell>
        </row>
        <row r="875">
          <cell r="C875">
            <v>2487616.7322633499</v>
          </cell>
          <cell r="D875">
            <v>0.74397560652461803</v>
          </cell>
          <cell r="E875">
            <v>174836</v>
          </cell>
          <cell r="F875">
            <v>130073.719142338</v>
          </cell>
          <cell r="G875">
            <v>5.2288488598479094E-2</v>
          </cell>
          <cell r="I875" t="str">
            <v>VA</v>
          </cell>
          <cell r="J875" t="str">
            <v>Med</v>
          </cell>
          <cell r="K875">
            <v>76752</v>
          </cell>
        </row>
        <row r="876">
          <cell r="C876">
            <v>4289171.2061862499</v>
          </cell>
          <cell r="D876">
            <v>0.710214510082261</v>
          </cell>
          <cell r="E876">
            <v>94620</v>
          </cell>
          <cell r="F876">
            <v>67200.496943983599</v>
          </cell>
          <cell r="G876">
            <v>1.5667478334056861E-2</v>
          </cell>
          <cell r="I876" t="str">
            <v>VA</v>
          </cell>
          <cell r="J876" t="str">
            <v>High</v>
          </cell>
          <cell r="K876">
            <v>176011.66666666666</v>
          </cell>
        </row>
        <row r="877">
          <cell r="C877">
            <v>2921050.9111933401</v>
          </cell>
          <cell r="D877">
            <v>0.772288257808741</v>
          </cell>
          <cell r="E877">
            <v>182104</v>
          </cell>
          <cell r="F877">
            <v>140636.78090000301</v>
          </cell>
          <cell r="G877">
            <v>4.8145953348874879E-2</v>
          </cell>
          <cell r="I877" t="str">
            <v>VA</v>
          </cell>
          <cell r="J877" t="str">
            <v>High</v>
          </cell>
          <cell r="K877">
            <v>101048.66666666667</v>
          </cell>
        </row>
        <row r="878">
          <cell r="C878">
            <v>2317068.3059535199</v>
          </cell>
          <cell r="D878">
            <v>0.71207140533184698</v>
          </cell>
          <cell r="E878">
            <v>201170</v>
          </cell>
          <cell r="F878">
            <v>143247.40461060801</v>
          </cell>
          <cell r="G878">
            <v>6.1822693894066638E-2</v>
          </cell>
          <cell r="I878" t="str">
            <v>VA</v>
          </cell>
          <cell r="J878" t="str">
            <v>Med</v>
          </cell>
          <cell r="K878">
            <v>66000</v>
          </cell>
        </row>
        <row r="879">
          <cell r="C879">
            <v>2436474.1665924201</v>
          </cell>
          <cell r="D879">
            <v>0.72056595757327202</v>
          </cell>
          <cell r="E879">
            <v>205173</v>
          </cell>
          <cell r="F879">
            <v>147840.67921318099</v>
          </cell>
          <cell r="G879">
            <v>6.0678123019028987E-2</v>
          </cell>
          <cell r="I879" t="str">
            <v>VA</v>
          </cell>
          <cell r="J879" t="str">
            <v>Med</v>
          </cell>
          <cell r="K879">
            <v>70332.333333333328</v>
          </cell>
        </row>
        <row r="880">
          <cell r="C880">
            <v>2651911.13678587</v>
          </cell>
          <cell r="D880">
            <v>0.75576601739512494</v>
          </cell>
          <cell r="E880">
            <v>174366</v>
          </cell>
          <cell r="F880">
            <v>131779.89738911801</v>
          </cell>
          <cell r="G880">
            <v>4.9692425798564248E-2</v>
          </cell>
          <cell r="I880" t="str">
            <v>VA</v>
          </cell>
          <cell r="J880" t="str">
            <v>Med</v>
          </cell>
          <cell r="K880">
            <v>86125.666666666672</v>
          </cell>
        </row>
        <row r="881">
          <cell r="C881">
            <v>2727521.9005400199</v>
          </cell>
          <cell r="D881">
            <v>0.73355433317515994</v>
          </cell>
          <cell r="E881">
            <v>176827</v>
          </cell>
          <cell r="F881">
            <v>129712.212072364</v>
          </cell>
          <cell r="G881">
            <v>4.7556799469394687E-2</v>
          </cell>
          <cell r="I881" t="str">
            <v>VA</v>
          </cell>
          <cell r="J881" t="str">
            <v>Med</v>
          </cell>
          <cell r="K881">
            <v>66868.333333333328</v>
          </cell>
        </row>
        <row r="882">
          <cell r="C882">
            <v>2734949.0000522598</v>
          </cell>
          <cell r="D882">
            <v>0.78501838031770099</v>
          </cell>
          <cell r="E882">
            <v>192580</v>
          </cell>
          <cell r="F882">
            <v>151178.83968158299</v>
          </cell>
          <cell r="G882">
            <v>5.527665769222543E-2</v>
          </cell>
          <cell r="I882" t="str">
            <v>VA</v>
          </cell>
          <cell r="J882" t="str">
            <v>Med</v>
          </cell>
          <cell r="K882">
            <v>82692.666666666672</v>
          </cell>
        </row>
        <row r="883">
          <cell r="C883">
            <v>2554773.7702499898</v>
          </cell>
          <cell r="D883">
            <v>0.75207329847043503</v>
          </cell>
          <cell r="E883">
            <v>196031</v>
          </cell>
          <cell r="F883">
            <v>147429.680772458</v>
          </cell>
          <cell r="G883">
            <v>5.7707528740610053E-2</v>
          </cell>
          <cell r="I883" t="str">
            <v>VA</v>
          </cell>
          <cell r="J883" t="str">
            <v>Med</v>
          </cell>
          <cell r="K883">
            <v>75777.666666666672</v>
          </cell>
        </row>
        <row r="884">
          <cell r="C884">
            <v>3225496.9660810502</v>
          </cell>
          <cell r="D884">
            <v>0.78685732381262097</v>
          </cell>
          <cell r="E884">
            <v>156666</v>
          </cell>
          <cell r="F884">
            <v>123273.789492428</v>
          </cell>
          <cell r="G884">
            <v>3.8218541449197063E-2</v>
          </cell>
          <cell r="I884" t="str">
            <v>VA</v>
          </cell>
          <cell r="J884" t="str">
            <v>High</v>
          </cell>
          <cell r="K884">
            <v>123264</v>
          </cell>
        </row>
        <row r="885">
          <cell r="C885">
            <v>3413921.7905487302</v>
          </cell>
          <cell r="D885">
            <v>0.76535065437626504</v>
          </cell>
          <cell r="E885">
            <v>159328</v>
          </cell>
          <cell r="F885">
            <v>121941.789060461</v>
          </cell>
          <cell r="G885">
            <v>3.5718975577604228E-2</v>
          </cell>
          <cell r="I885" t="str">
            <v>VA</v>
          </cell>
          <cell r="J885" t="str">
            <v>High</v>
          </cell>
          <cell r="K885">
            <v>130123</v>
          </cell>
        </row>
        <row r="886">
          <cell r="C886">
            <v>2335676.1624675002</v>
          </cell>
          <cell r="D886">
            <v>0.77367855626589799</v>
          </cell>
          <cell r="E886">
            <v>167001</v>
          </cell>
          <cell r="F886">
            <v>129205.092574961</v>
          </cell>
          <cell r="G886">
            <v>5.5318067911633628E-2</v>
          </cell>
          <cell r="I886" t="str">
            <v>VA</v>
          </cell>
          <cell r="J886" t="str">
            <v>Med</v>
          </cell>
          <cell r="K886">
            <v>64149.333333333336</v>
          </cell>
        </row>
        <row r="887">
          <cell r="C887">
            <v>2207262.1649889098</v>
          </cell>
          <cell r="D887">
            <v>0.75894913334965297</v>
          </cell>
          <cell r="E887">
            <v>189920</v>
          </cell>
          <cell r="F887">
            <v>144139.61940576599</v>
          </cell>
          <cell r="G887">
            <v>6.530244648419016E-2</v>
          </cell>
          <cell r="I887" t="str">
            <v>VA</v>
          </cell>
          <cell r="J887" t="str">
            <v>Med</v>
          </cell>
          <cell r="K887">
            <v>57821.333333333336</v>
          </cell>
        </row>
        <row r="888">
          <cell r="C888">
            <v>2010990.49083335</v>
          </cell>
          <cell r="D888">
            <v>0.69891860524979299</v>
          </cell>
          <cell r="E888">
            <v>214402</v>
          </cell>
          <cell r="F888">
            <v>149849.54680276601</v>
          </cell>
          <cell r="G888">
            <v>7.4515293575887917E-2</v>
          </cell>
          <cell r="I888" t="str">
            <v>VA</v>
          </cell>
          <cell r="J888" t="str">
            <v>Med</v>
          </cell>
          <cell r="K888">
            <v>47096</v>
          </cell>
        </row>
        <row r="889">
          <cell r="C889">
            <v>3053557.48578102</v>
          </cell>
          <cell r="D889">
            <v>0.73428320235256195</v>
          </cell>
          <cell r="E889">
            <v>167919</v>
          </cell>
          <cell r="F889">
            <v>123300.10105584</v>
          </cell>
          <cell r="G889">
            <v>4.0379164836421302E-2</v>
          </cell>
          <cell r="I889" t="str">
            <v>VA</v>
          </cell>
          <cell r="J889" t="str">
            <v>High</v>
          </cell>
          <cell r="K889">
            <v>111399</v>
          </cell>
        </row>
        <row r="890">
          <cell r="C890">
            <v>3428368.0714036799</v>
          </cell>
          <cell r="D890">
            <v>0.78824269142692505</v>
          </cell>
          <cell r="E890">
            <v>156773</v>
          </cell>
          <cell r="F890">
            <v>123575.171463073</v>
          </cell>
          <cell r="G890">
            <v>3.6044896256567198E-2</v>
          </cell>
          <cell r="I890" t="str">
            <v>VA</v>
          </cell>
          <cell r="J890" t="str">
            <v>High</v>
          </cell>
          <cell r="K890">
            <v>126832.33333333333</v>
          </cell>
        </row>
        <row r="891">
          <cell r="C891">
            <v>1653977.77739757</v>
          </cell>
          <cell r="D891">
            <v>0.75140908270019202</v>
          </cell>
          <cell r="E891">
            <v>153304</v>
          </cell>
          <cell r="F891">
            <v>115194.01801427</v>
          </cell>
          <cell r="G891">
            <v>6.9646654017033127E-2</v>
          </cell>
          <cell r="I891" t="str">
            <v>VA</v>
          </cell>
          <cell r="J891" t="str">
            <v>Low</v>
          </cell>
          <cell r="K891">
            <v>25878</v>
          </cell>
        </row>
        <row r="892">
          <cell r="C892">
            <v>2527364.92699076</v>
          </cell>
          <cell r="D892">
            <v>0.72519514708857602</v>
          </cell>
          <cell r="E892">
            <v>179917</v>
          </cell>
          <cell r="F892">
            <v>130474.93527873501</v>
          </cell>
          <cell r="G892">
            <v>5.1624889577812846E-2</v>
          </cell>
          <cell r="I892" t="str">
            <v>VA</v>
          </cell>
          <cell r="J892" t="str">
            <v>Med</v>
          </cell>
          <cell r="K892">
            <v>78901.666666666672</v>
          </cell>
        </row>
        <row r="893">
          <cell r="C893">
            <v>2601716.9636140801</v>
          </cell>
          <cell r="D893">
            <v>0.75937215597506802</v>
          </cell>
          <cell r="E893">
            <v>209176</v>
          </cell>
          <cell r="F893">
            <v>158842.43009824099</v>
          </cell>
          <cell r="G893">
            <v>6.1052924787633633E-2</v>
          </cell>
          <cell r="I893" t="str">
            <v>VA</v>
          </cell>
          <cell r="J893" t="str">
            <v>Med</v>
          </cell>
          <cell r="K893">
            <v>72992</v>
          </cell>
        </row>
        <row r="894">
          <cell r="C894">
            <v>3445828.6109380499</v>
          </cell>
          <cell r="D894">
            <v>0.77232611020605402</v>
          </cell>
          <cell r="E894">
            <v>183143</v>
          </cell>
          <cell r="F894">
            <v>141446.12080146701</v>
          </cell>
          <cell r="G894">
            <v>4.104850727412164E-2</v>
          </cell>
          <cell r="I894" t="str">
            <v>VA</v>
          </cell>
          <cell r="J894" t="str">
            <v>High</v>
          </cell>
          <cell r="K894">
            <v>119878</v>
          </cell>
        </row>
        <row r="895">
          <cell r="C895">
            <v>2261195.3175308402</v>
          </cell>
          <cell r="D895">
            <v>0.74207138600039602</v>
          </cell>
          <cell r="E895">
            <v>219261</v>
          </cell>
          <cell r="F895">
            <v>162707.314165833</v>
          </cell>
          <cell r="G895">
            <v>7.1956328984222676E-2</v>
          </cell>
          <cell r="I895" t="str">
            <v>VA</v>
          </cell>
          <cell r="J895" t="str">
            <v>Med</v>
          </cell>
          <cell r="K895">
            <v>55273.333333333336</v>
          </cell>
        </row>
        <row r="896">
          <cell r="C896">
            <v>3284819.91624898</v>
          </cell>
          <cell r="D896">
            <v>0.74810928779998498</v>
          </cell>
          <cell r="E896">
            <v>202262</v>
          </cell>
          <cell r="F896">
            <v>151314.08076900101</v>
          </cell>
          <cell r="G896">
            <v>4.6064650308681288E-2</v>
          </cell>
          <cell r="I896" t="str">
            <v>VA</v>
          </cell>
          <cell r="J896" t="str">
            <v>High</v>
          </cell>
          <cell r="K896">
            <v>108975.66666666667</v>
          </cell>
        </row>
        <row r="897">
          <cell r="C897">
            <v>2586234.6746012801</v>
          </cell>
          <cell r="D897">
            <v>0.78320403813298201</v>
          </cell>
          <cell r="E897">
            <v>196689</v>
          </cell>
          <cell r="F897">
            <v>154047.61905633801</v>
          </cell>
          <cell r="G897">
            <v>5.9564439595988145E-2</v>
          </cell>
          <cell r="I897" t="str">
            <v>VA</v>
          </cell>
          <cell r="J897" t="str">
            <v>Med</v>
          </cell>
          <cell r="K897">
            <v>70133</v>
          </cell>
        </row>
        <row r="898">
          <cell r="C898">
            <v>2682304.2370196301</v>
          </cell>
          <cell r="D898">
            <v>0.77415258131759201</v>
          </cell>
          <cell r="E898">
            <v>202515</v>
          </cell>
          <cell r="F898">
            <v>156777.51000553201</v>
          </cell>
          <cell r="G898">
            <v>5.8448817192985947E-2</v>
          </cell>
          <cell r="I898" t="str">
            <v>VA</v>
          </cell>
          <cell r="J898" t="str">
            <v>Med</v>
          </cell>
          <cell r="K898">
            <v>73769</v>
          </cell>
        </row>
        <row r="899">
          <cell r="C899">
            <v>3212016.1264651599</v>
          </cell>
          <cell r="D899">
            <v>0.72577544752343903</v>
          </cell>
          <cell r="E899">
            <v>190022</v>
          </cell>
          <cell r="F899">
            <v>137913.30208929899</v>
          </cell>
          <cell r="G899">
            <v>4.2936677980217143E-2</v>
          </cell>
          <cell r="I899" t="str">
            <v>VA</v>
          </cell>
          <cell r="J899" t="str">
            <v>High</v>
          </cell>
          <cell r="K899">
            <v>117573.33333333333</v>
          </cell>
        </row>
        <row r="900">
          <cell r="C900">
            <v>2059948.75938644</v>
          </cell>
          <cell r="D900">
            <v>0.746476402785343</v>
          </cell>
          <cell r="E900">
            <v>200834</v>
          </cell>
          <cell r="F900">
            <v>149917.841876992</v>
          </cell>
          <cell r="G900">
            <v>7.2777461669311289E-2</v>
          </cell>
          <cell r="I900" t="str">
            <v>VA</v>
          </cell>
          <cell r="J900" t="str">
            <v>Med</v>
          </cell>
          <cell r="K900">
            <v>43634.333333333336</v>
          </cell>
        </row>
        <row r="901">
          <cell r="C901">
            <v>2500857.2194207599</v>
          </cell>
          <cell r="D901">
            <v>0.79144921705757099</v>
          </cell>
          <cell r="E901">
            <v>211944</v>
          </cell>
          <cell r="F901">
            <v>167742.91286005001</v>
          </cell>
          <cell r="G901">
            <v>6.7074166232849577E-2</v>
          </cell>
          <cell r="I901" t="str">
            <v>VA</v>
          </cell>
          <cell r="J901" t="str">
            <v>Med</v>
          </cell>
          <cell r="K901">
            <v>68834</v>
          </cell>
        </row>
        <row r="902">
          <cell r="C902">
            <v>2950064.76245018</v>
          </cell>
          <cell r="D902">
            <v>0.70369513882944501</v>
          </cell>
          <cell r="E902">
            <v>242733</v>
          </cell>
          <cell r="F902">
            <v>170810.03213348801</v>
          </cell>
          <cell r="G902">
            <v>5.7900434698125586E-2</v>
          </cell>
          <cell r="I902" t="str">
            <v>VA</v>
          </cell>
          <cell r="J902" t="str">
            <v>Med</v>
          </cell>
          <cell r="K902">
            <v>90147.333333333328</v>
          </cell>
        </row>
        <row r="903">
          <cell r="C903">
            <v>2652432.2249685898</v>
          </cell>
          <cell r="D903">
            <v>0.75163177629904299</v>
          </cell>
          <cell r="E903">
            <v>201510</v>
          </cell>
          <cell r="F903">
            <v>151461.31924201999</v>
          </cell>
          <cell r="G903">
            <v>5.7102804669707859E-2</v>
          </cell>
          <cell r="I903" t="str">
            <v>VA</v>
          </cell>
          <cell r="J903" t="str">
            <v>Med</v>
          </cell>
          <cell r="K903">
            <v>75389.666666666672</v>
          </cell>
        </row>
        <row r="904">
          <cell r="C904">
            <v>2969571.7203668002</v>
          </cell>
          <cell r="D904">
            <v>0.74560292155596797</v>
          </cell>
          <cell r="E904">
            <v>224161</v>
          </cell>
          <cell r="F904">
            <v>167135.09649890699</v>
          </cell>
          <cell r="G904">
            <v>5.6282559317429967E-2</v>
          </cell>
          <cell r="I904" t="str">
            <v>VA</v>
          </cell>
          <cell r="J904" t="str">
            <v>Med</v>
          </cell>
          <cell r="K904">
            <v>90636.666666666672</v>
          </cell>
        </row>
        <row r="905">
          <cell r="C905">
            <v>3037551.8527931599</v>
          </cell>
          <cell r="D905">
            <v>0.74587889544650698</v>
          </cell>
          <cell r="E905">
            <v>187427</v>
          </cell>
          <cell r="F905">
            <v>139797.84373685301</v>
          </cell>
          <cell r="G905">
            <v>4.6023195820773521E-2</v>
          </cell>
          <cell r="I905" t="str">
            <v>VA</v>
          </cell>
          <cell r="J905" t="str">
            <v>High</v>
          </cell>
          <cell r="K905">
            <v>104337.66666666667</v>
          </cell>
        </row>
        <row r="906">
          <cell r="C906">
            <v>2600060.0139913498</v>
          </cell>
          <cell r="D906">
            <v>0.77243798700684196</v>
          </cell>
          <cell r="E906">
            <v>225866</v>
          </cell>
          <cell r="F906">
            <v>174467.47837328701</v>
          </cell>
          <cell r="G906">
            <v>6.7101327444154701E-2</v>
          </cell>
          <cell r="I906" t="str">
            <v>VA</v>
          </cell>
          <cell r="J906" t="str">
            <v>Med</v>
          </cell>
          <cell r="K906">
            <v>74166.666666666672</v>
          </cell>
        </row>
        <row r="907">
          <cell r="C907">
            <v>2525068.8527785898</v>
          </cell>
          <cell r="D907">
            <v>0.73461827055170903</v>
          </cell>
          <cell r="E907">
            <v>233319</v>
          </cell>
          <cell r="F907">
            <v>171400.40026685401</v>
          </cell>
          <cell r="G907">
            <v>6.7879495673254506E-2</v>
          </cell>
          <cell r="I907" t="str">
            <v>VA</v>
          </cell>
          <cell r="J907" t="str">
            <v>Med</v>
          </cell>
          <cell r="K907">
            <v>46839.666666666664</v>
          </cell>
        </row>
        <row r="908">
          <cell r="C908">
            <v>2537730.19481136</v>
          </cell>
          <cell r="D908">
            <v>0.74962340612556799</v>
          </cell>
          <cell r="E908">
            <v>192812</v>
          </cell>
          <cell r="F908">
            <v>144536.388181883</v>
          </cell>
          <cell r="G908">
            <v>5.6954986183086725E-2</v>
          </cell>
          <cell r="I908" t="str">
            <v>VA</v>
          </cell>
          <cell r="J908" t="str">
            <v>Med</v>
          </cell>
          <cell r="K908">
            <v>76752</v>
          </cell>
        </row>
        <row r="909">
          <cell r="C909">
            <v>4411939.6262577502</v>
          </cell>
          <cell r="D909">
            <v>0.72888991950371895</v>
          </cell>
          <cell r="E909">
            <v>105851</v>
          </cell>
          <cell r="F909">
            <v>77153.726869388207</v>
          </cell>
          <cell r="G909">
            <v>1.7487484735785187E-2</v>
          </cell>
          <cell r="I909" t="str">
            <v>VA</v>
          </cell>
          <cell r="J909" t="str">
            <v>High</v>
          </cell>
          <cell r="K909">
            <v>176011.66666666666</v>
          </cell>
        </row>
        <row r="910">
          <cell r="C910">
            <v>3111038.7691295701</v>
          </cell>
          <cell r="D910">
            <v>0.78292451121904405</v>
          </cell>
          <cell r="E910">
            <v>211309</v>
          </cell>
          <cell r="F910">
            <v>165438.995541185</v>
          </cell>
          <cell r="G910">
            <v>5.3178056533018637E-2</v>
          </cell>
          <cell r="I910" t="str">
            <v>VA</v>
          </cell>
          <cell r="J910" t="str">
            <v>High</v>
          </cell>
          <cell r="K910">
            <v>101048.66666666667</v>
          </cell>
        </row>
        <row r="911">
          <cell r="C911">
            <v>2436278.2673960798</v>
          </cell>
          <cell r="D911">
            <v>0.717877097003364</v>
          </cell>
          <cell r="E911">
            <v>232760</v>
          </cell>
          <cell r="F911">
            <v>167093.07309850299</v>
          </cell>
          <cell r="G911">
            <v>6.8585380961877496E-2</v>
          </cell>
          <cell r="I911" t="str">
            <v>VA</v>
          </cell>
          <cell r="J911" t="str">
            <v>Med</v>
          </cell>
          <cell r="K911">
            <v>66000</v>
          </cell>
        </row>
        <row r="912">
          <cell r="C912">
            <v>2504360.7629091102</v>
          </cell>
          <cell r="D912">
            <v>0.73631335414709298</v>
          </cell>
          <cell r="E912">
            <v>229383</v>
          </cell>
          <cell r="F912">
            <v>168897.76611432299</v>
          </cell>
          <cell r="G912">
            <v>6.7441467944949082E-2</v>
          </cell>
          <cell r="I912" t="str">
            <v>VA</v>
          </cell>
          <cell r="J912" t="str">
            <v>Med</v>
          </cell>
          <cell r="K912">
            <v>70332.333333333328</v>
          </cell>
        </row>
        <row r="913">
          <cell r="C913">
            <v>2737604.0075113699</v>
          </cell>
          <cell r="D913">
            <v>0.75858114609988003</v>
          </cell>
          <cell r="E913">
            <v>200546</v>
          </cell>
          <cell r="F913">
            <v>152130.41452574701</v>
          </cell>
          <cell r="G913">
            <v>5.5570642835244016E-2</v>
          </cell>
          <cell r="I913" t="str">
            <v>VA</v>
          </cell>
          <cell r="J913" t="str">
            <v>Med</v>
          </cell>
          <cell r="K913">
            <v>86125.666666666672</v>
          </cell>
        </row>
        <row r="914">
          <cell r="C914">
            <v>2869744.2487692502</v>
          </cell>
          <cell r="D914">
            <v>0.70038992461175997</v>
          </cell>
          <cell r="E914">
            <v>214783</v>
          </cell>
          <cell r="F914">
            <v>150431.84917788801</v>
          </cell>
          <cell r="G914">
            <v>5.2419949701930355E-2</v>
          </cell>
          <cell r="I914" t="str">
            <v>VA</v>
          </cell>
          <cell r="J914" t="str">
            <v>Med</v>
          </cell>
          <cell r="K914">
            <v>66868.333333333328</v>
          </cell>
        </row>
        <row r="915">
          <cell r="C915">
            <v>2889699.6242602798</v>
          </cell>
          <cell r="D915">
            <v>0.76633929234915998</v>
          </cell>
          <cell r="E915">
            <v>225638</v>
          </cell>
          <cell r="F915">
            <v>172915.26524708001</v>
          </cell>
          <cell r="G915">
            <v>5.9838491099691284E-2</v>
          </cell>
          <cell r="I915" t="str">
            <v>VA</v>
          </cell>
          <cell r="J915" t="str">
            <v>Med</v>
          </cell>
          <cell r="K915">
            <v>82692.666666666672</v>
          </cell>
        </row>
        <row r="916">
          <cell r="C916">
            <v>2640823.65269025</v>
          </cell>
          <cell r="D916">
            <v>0.75543477647478596</v>
          </cell>
          <cell r="E916">
            <v>219224</v>
          </cell>
          <cell r="F916">
            <v>165609.43343790801</v>
          </cell>
          <cell r="G916">
            <v>6.2711280728343588E-2</v>
          </cell>
          <cell r="I916" t="str">
            <v>VA</v>
          </cell>
          <cell r="J916" t="str">
            <v>Med</v>
          </cell>
          <cell r="K916">
            <v>75777.666666666672</v>
          </cell>
        </row>
        <row r="917">
          <cell r="C917">
            <v>3408282.35331523</v>
          </cell>
          <cell r="D917">
            <v>0.75932182966891604</v>
          </cell>
          <cell r="E917">
            <v>185070</v>
          </cell>
          <cell r="F917">
            <v>140527.69101682599</v>
          </cell>
          <cell r="G917">
            <v>4.1231235105898711E-2</v>
          </cell>
          <cell r="I917" t="str">
            <v>VA</v>
          </cell>
          <cell r="J917" t="str">
            <v>High</v>
          </cell>
          <cell r="K917">
            <v>123264</v>
          </cell>
        </row>
        <row r="918">
          <cell r="C918">
            <v>3597335.0671328902</v>
          </cell>
          <cell r="D918">
            <v>0.74191524988646795</v>
          </cell>
          <cell r="E918">
            <v>184499</v>
          </cell>
          <cell r="F918">
            <v>136882.62168880401</v>
          </cell>
          <cell r="G918">
            <v>3.8051118156725038E-2</v>
          </cell>
          <cell r="I918" t="str">
            <v>VA</v>
          </cell>
          <cell r="J918" t="str">
            <v>High</v>
          </cell>
          <cell r="K918">
            <v>130123</v>
          </cell>
        </row>
        <row r="919">
          <cell r="C919">
            <v>2443339.2465598299</v>
          </cell>
          <cell r="D919">
            <v>0.77078266996592204</v>
          </cell>
          <cell r="E919">
            <v>195906</v>
          </cell>
          <cell r="F919">
            <v>151000.949742344</v>
          </cell>
          <cell r="G919">
            <v>6.1801057693871266E-2</v>
          </cell>
          <cell r="I919" t="str">
            <v>VA</v>
          </cell>
          <cell r="J919" t="str">
            <v>Med</v>
          </cell>
          <cell r="K919">
            <v>64149.333333333336</v>
          </cell>
        </row>
        <row r="920">
          <cell r="C920">
            <v>2354543.3454884598</v>
          </cell>
          <cell r="D920">
            <v>0.76281921918944595</v>
          </cell>
          <cell r="E920">
            <v>226762</v>
          </cell>
          <cell r="F920">
            <v>172978.411781837</v>
          </cell>
          <cell r="G920">
            <v>7.3465800539744108E-2</v>
          </cell>
          <cell r="I920" t="str">
            <v>VA</v>
          </cell>
          <cell r="J920" t="str">
            <v>Med</v>
          </cell>
          <cell r="K920">
            <v>57821.333333333336</v>
          </cell>
        </row>
        <row r="921">
          <cell r="C921">
            <v>2082133.9008363399</v>
          </cell>
          <cell r="D921">
            <v>0.71646609656123394</v>
          </cell>
          <cell r="E921">
            <v>231703</v>
          </cell>
          <cell r="F921">
            <v>166007.343971528</v>
          </cell>
          <cell r="G921">
            <v>7.9729427538184308E-2</v>
          </cell>
          <cell r="I921" t="str">
            <v>VA</v>
          </cell>
          <cell r="J921" t="str">
            <v>Med</v>
          </cell>
          <cell r="K921">
            <v>47096</v>
          </cell>
        </row>
        <row r="922">
          <cell r="C922">
            <v>3309520.8349361001</v>
          </cell>
          <cell r="D922">
            <v>0.79760971619334398</v>
          </cell>
          <cell r="E922">
            <v>189094</v>
          </cell>
          <cell r="F922">
            <v>150823.21167386399</v>
          </cell>
          <cell r="G922">
            <v>4.5572522185610011E-2</v>
          </cell>
          <cell r="I922" t="str">
            <v>VA</v>
          </cell>
          <cell r="J922" t="str">
            <v>High</v>
          </cell>
          <cell r="K922">
            <v>111399</v>
          </cell>
        </row>
        <row r="923">
          <cell r="C923">
            <v>3628300.6456824499</v>
          </cell>
          <cell r="D923">
            <v>0.76711722910312796</v>
          </cell>
          <cell r="E923">
            <v>182550</v>
          </cell>
          <cell r="F923">
            <v>140037.250172776</v>
          </cell>
          <cell r="G923">
            <v>3.8595823182242465E-2</v>
          </cell>
          <cell r="I923" t="str">
            <v>VA</v>
          </cell>
          <cell r="J923" t="str">
            <v>High</v>
          </cell>
          <cell r="K923">
            <v>126832.33333333333</v>
          </cell>
        </row>
        <row r="924">
          <cell r="C924">
            <v>1727503.0359556901</v>
          </cell>
          <cell r="D924">
            <v>0.75287082175181896</v>
          </cell>
          <cell r="E924">
            <v>176085</v>
          </cell>
          <cell r="F924">
            <v>132569.25864816899</v>
          </cell>
          <cell r="G924">
            <v>7.6740391124597337E-2</v>
          </cell>
          <cell r="I924" t="str">
            <v>VA</v>
          </cell>
          <cell r="J924" t="str">
            <v>Low</v>
          </cell>
          <cell r="K924">
            <v>25878</v>
          </cell>
        </row>
        <row r="925">
          <cell r="C925">
            <v>2651903.7575450498</v>
          </cell>
          <cell r="D925">
            <v>0.73859465189971596</v>
          </cell>
          <cell r="E925">
            <v>207503</v>
          </cell>
          <cell r="F925">
            <v>153260.606053147</v>
          </cell>
          <cell r="G925">
            <v>5.7792672760879203E-2</v>
          </cell>
          <cell r="I925" t="str">
            <v>VA</v>
          </cell>
          <cell r="J925" t="str">
            <v>Med</v>
          </cell>
          <cell r="K925">
            <v>78901.666666666672</v>
          </cell>
        </row>
        <row r="926">
          <cell r="C926">
            <v>2729071.7680691802</v>
          </cell>
          <cell r="D926">
            <v>0.75644223657416998</v>
          </cell>
          <cell r="E926">
            <v>224565</v>
          </cell>
          <cell r="F926">
            <v>169870.45085627801</v>
          </cell>
          <cell r="G926">
            <v>6.2244772322884515E-2</v>
          </cell>
          <cell r="I926" t="str">
            <v>VA</v>
          </cell>
          <cell r="J926" t="str">
            <v>Med</v>
          </cell>
          <cell r="K926">
            <v>72992</v>
          </cell>
        </row>
        <row r="927">
          <cell r="C927">
            <v>3657236.4917859202</v>
          </cell>
          <cell r="D927">
            <v>0.76443823217506002</v>
          </cell>
          <cell r="E927">
            <v>202638</v>
          </cell>
          <cell r="F927">
            <v>154904.23449149</v>
          </cell>
          <cell r="G927">
            <v>4.2355542180387243E-2</v>
          </cell>
          <cell r="I927" t="str">
            <v>VA</v>
          </cell>
          <cell r="J927" t="str">
            <v>High</v>
          </cell>
          <cell r="K927">
            <v>119878</v>
          </cell>
        </row>
        <row r="928">
          <cell r="C928">
            <v>2380500.74522718</v>
          </cell>
          <cell r="D928">
            <v>0.72472655050597101</v>
          </cell>
          <cell r="E928">
            <v>254480</v>
          </cell>
          <cell r="F928">
            <v>184428.412572759</v>
          </cell>
          <cell r="G928">
            <v>7.7474629210905088E-2</v>
          </cell>
          <cell r="I928" t="str">
            <v>VA</v>
          </cell>
          <cell r="J928" t="str">
            <v>Med</v>
          </cell>
          <cell r="K928">
            <v>55273.333333333336</v>
          </cell>
        </row>
        <row r="929">
          <cell r="C929">
            <v>3442577.0613463302</v>
          </cell>
          <cell r="D929">
            <v>0.76407830495575302</v>
          </cell>
          <cell r="E929">
            <v>218249</v>
          </cell>
          <cell r="F929">
            <v>166759.32597828799</v>
          </cell>
          <cell r="G929">
            <v>4.8440259435491448E-2</v>
          </cell>
          <cell r="I929" t="str">
            <v>VA</v>
          </cell>
          <cell r="J929" t="str">
            <v>High</v>
          </cell>
          <cell r="K929">
            <v>108975.66666666667</v>
          </cell>
        </row>
        <row r="930">
          <cell r="C930">
            <v>2701239.1643317901</v>
          </cell>
          <cell r="D930">
            <v>0.76326772828974399</v>
          </cell>
          <cell r="E930">
            <v>224956</v>
          </cell>
          <cell r="F930">
            <v>171701.655085148</v>
          </cell>
          <cell r="G930">
            <v>6.3564032889928179E-2</v>
          </cell>
          <cell r="I930" t="str">
            <v>VA</v>
          </cell>
          <cell r="J930" t="str">
            <v>Med</v>
          </cell>
          <cell r="K930">
            <v>70133</v>
          </cell>
        </row>
        <row r="931">
          <cell r="C931">
            <v>2775840.5706253699</v>
          </cell>
          <cell r="D931">
            <v>0.72319336420255498</v>
          </cell>
          <cell r="E931">
            <v>231889</v>
          </cell>
          <cell r="F931">
            <v>167700.586031566</v>
          </cell>
          <cell r="G931">
            <v>6.041434360683931E-2</v>
          </cell>
          <cell r="I931" t="str">
            <v>VA</v>
          </cell>
          <cell r="J931" t="str">
            <v>Med</v>
          </cell>
          <cell r="K931">
            <v>73769</v>
          </cell>
        </row>
        <row r="932">
          <cell r="C932">
            <v>3482617.8336408199</v>
          </cell>
          <cell r="D932">
            <v>0.73527524871726901</v>
          </cell>
          <cell r="E932">
            <v>213746</v>
          </cell>
          <cell r="F932">
            <v>157162.14331232099</v>
          </cell>
          <cell r="G932">
            <v>4.5127588159169209E-2</v>
          </cell>
          <cell r="I932" t="str">
            <v>VA</v>
          </cell>
          <cell r="J932" t="str">
            <v>High</v>
          </cell>
          <cell r="K932">
            <v>117573.33333333333</v>
          </cell>
        </row>
        <row r="933">
          <cell r="C933">
            <v>2177512.0849402999</v>
          </cell>
          <cell r="D933">
            <v>0.72164195924303498</v>
          </cell>
          <cell r="E933">
            <v>236232</v>
          </cell>
          <cell r="F933">
            <v>170474.92331590099</v>
          </cell>
          <cell r="G933">
            <v>7.8288852904609643E-2</v>
          </cell>
          <cell r="I933" t="str">
            <v>VA</v>
          </cell>
          <cell r="J933" t="str">
            <v>Med</v>
          </cell>
          <cell r="K933">
            <v>43634.333333333336</v>
          </cell>
        </row>
        <row r="934">
          <cell r="C934">
            <v>2617626.3976347502</v>
          </cell>
          <cell r="D934">
            <v>0.772388192151367</v>
          </cell>
          <cell r="E934">
            <v>238443</v>
          </cell>
          <cell r="F934">
            <v>184170.55770114801</v>
          </cell>
          <cell r="G934">
            <v>7.03578470432457E-2</v>
          </cell>
          <cell r="I934" t="str">
            <v>VA</v>
          </cell>
          <cell r="J934" t="str">
            <v>Med</v>
          </cell>
          <cell r="K934">
            <v>68834</v>
          </cell>
        </row>
        <row r="935">
          <cell r="C935">
            <v>3011149.2438796498</v>
          </cell>
          <cell r="D935">
            <v>0.69572896395201</v>
          </cell>
          <cell r="E935">
            <v>270547</v>
          </cell>
          <cell r="F935">
            <v>188227.38401032399</v>
          </cell>
          <cell r="G935">
            <v>6.2510147709519209E-2</v>
          </cell>
          <cell r="I935" t="str">
            <v>VA</v>
          </cell>
          <cell r="J935" t="str">
            <v>Med</v>
          </cell>
          <cell r="K935">
            <v>90147.333333333328</v>
          </cell>
        </row>
        <row r="936">
          <cell r="C936">
            <v>2789828.6991007398</v>
          </cell>
          <cell r="D936">
            <v>0.75463743453036103</v>
          </cell>
          <cell r="E936">
            <v>225393</v>
          </cell>
          <cell r="F936">
            <v>170089.99528110199</v>
          </cell>
          <cell r="G936">
            <v>6.0967899332288036E-2</v>
          </cell>
          <cell r="I936" t="str">
            <v>VA</v>
          </cell>
          <cell r="J936" t="str">
            <v>Med</v>
          </cell>
          <cell r="K936">
            <v>75389.666666666672</v>
          </cell>
        </row>
        <row r="937">
          <cell r="C937">
            <v>3120187.0805909401</v>
          </cell>
          <cell r="D937">
            <v>0.72972121326977701</v>
          </cell>
          <cell r="E937">
            <v>252046</v>
          </cell>
          <cell r="F937">
            <v>183923.312919794</v>
          </cell>
          <cell r="G937">
            <v>5.8946245263268089E-2</v>
          </cell>
          <cell r="I937" t="str">
            <v>VA</v>
          </cell>
          <cell r="J937" t="str">
            <v>Med</v>
          </cell>
          <cell r="K937">
            <v>90636.666666666672</v>
          </cell>
        </row>
        <row r="938">
          <cell r="C938">
            <v>3232526.35569032</v>
          </cell>
          <cell r="D938">
            <v>0.70683440649847695</v>
          </cell>
          <cell r="E938">
            <v>215054</v>
          </cell>
          <cell r="F938">
            <v>152007.56645512299</v>
          </cell>
          <cell r="G938">
            <v>4.702438579890901E-2</v>
          </cell>
          <cell r="I938" t="str">
            <v>VA</v>
          </cell>
          <cell r="J938" t="str">
            <v>High</v>
          </cell>
          <cell r="K938">
            <v>104337.66666666667</v>
          </cell>
        </row>
        <row r="939">
          <cell r="C939">
            <v>2667079.0150397001</v>
          </cell>
          <cell r="D939">
            <v>0.78433157798212105</v>
          </cell>
          <cell r="E939">
            <v>232980</v>
          </cell>
          <cell r="F939">
            <v>182733.571038275</v>
          </cell>
          <cell r="G939">
            <v>6.851449469919621E-2</v>
          </cell>
          <cell r="I939" t="str">
            <v>VA</v>
          </cell>
          <cell r="J939" t="str">
            <v>Med</v>
          </cell>
          <cell r="K939">
            <v>74166.666666666672</v>
          </cell>
        </row>
        <row r="940">
          <cell r="C940">
            <v>2678558.5668730699</v>
          </cell>
          <cell r="D940">
            <v>0.73590117383213005</v>
          </cell>
          <cell r="E940">
            <v>255610</v>
          </cell>
          <cell r="F940">
            <v>188103.699043231</v>
          </cell>
          <cell r="G940">
            <v>7.0225718179021152E-2</v>
          </cell>
          <cell r="I940" t="str">
            <v>VA</v>
          </cell>
          <cell r="J940" t="str">
            <v>Med</v>
          </cell>
          <cell r="K940">
            <v>46839.666666666664</v>
          </cell>
        </row>
        <row r="941">
          <cell r="C941">
            <v>2755605.2733114399</v>
          </cell>
          <cell r="D941">
            <v>0.72845198668952704</v>
          </cell>
          <cell r="E941">
            <v>227419</v>
          </cell>
          <cell r="F941">
            <v>165663.82236094601</v>
          </cell>
          <cell r="G941">
            <v>6.0118850825781028E-2</v>
          </cell>
          <cell r="I941" t="str">
            <v>VA</v>
          </cell>
          <cell r="J941" t="str">
            <v>Med</v>
          </cell>
          <cell r="K941">
            <v>76752</v>
          </cell>
        </row>
        <row r="942">
          <cell r="C942">
            <v>4641982.4189825105</v>
          </cell>
          <cell r="D942">
            <v>0.69796324477679295</v>
          </cell>
          <cell r="E942">
            <v>117503</v>
          </cell>
          <cell r="F942">
            <v>82012.775151007503</v>
          </cell>
          <cell r="G942">
            <v>1.7667618648367075E-2</v>
          </cell>
          <cell r="I942" t="str">
            <v>VA</v>
          </cell>
          <cell r="J942" t="str">
            <v>High</v>
          </cell>
          <cell r="K942">
            <v>176011.66666666666</v>
          </cell>
        </row>
        <row r="943">
          <cell r="C943">
            <v>3293810.7470686799</v>
          </cell>
          <cell r="D943">
            <v>0.753139102667434</v>
          </cell>
          <cell r="E943">
            <v>241628</v>
          </cell>
          <cell r="F943">
            <v>181979.495099327</v>
          </cell>
          <cell r="G943">
            <v>5.5248922622916113E-2</v>
          </cell>
          <cell r="I943" t="str">
            <v>VA</v>
          </cell>
          <cell r="J943" t="str">
            <v>High</v>
          </cell>
          <cell r="K943">
            <v>101048.66666666667</v>
          </cell>
        </row>
        <row r="944">
          <cell r="C944">
            <v>2605306.9358326499</v>
          </cell>
          <cell r="D944">
            <v>0.71303777893332099</v>
          </cell>
          <cell r="E944">
            <v>264323</v>
          </cell>
          <cell r="F944">
            <v>188472.28484099201</v>
          </cell>
          <cell r="G944">
            <v>7.234168160718335E-2</v>
          </cell>
          <cell r="I944" t="str">
            <v>VA</v>
          </cell>
          <cell r="J944" t="str">
            <v>Med</v>
          </cell>
          <cell r="K944">
            <v>66000</v>
          </cell>
        </row>
        <row r="945">
          <cell r="C945">
            <v>2720237.9885609499</v>
          </cell>
          <cell r="D945">
            <v>0.70560120482348399</v>
          </cell>
          <cell r="E945">
            <v>270114</v>
          </cell>
          <cell r="F945">
            <v>190592.763839691</v>
          </cell>
          <cell r="G945">
            <v>7.0064738688734238E-2</v>
          </cell>
          <cell r="I945" t="str">
            <v>VA</v>
          </cell>
          <cell r="J945" t="str">
            <v>Med</v>
          </cell>
          <cell r="K945">
            <v>70332.333333333328</v>
          </cell>
        </row>
        <row r="946">
          <cell r="C946">
            <v>2928879.5314775901</v>
          </cell>
          <cell r="D946">
            <v>0.76733315359337395</v>
          </cell>
          <cell r="E946">
            <v>223998</v>
          </cell>
          <cell r="F946">
            <v>171881.09173860899</v>
          </cell>
          <cell r="G946">
            <v>5.8684930496918294E-2</v>
          </cell>
          <cell r="I946" t="str">
            <v>VA</v>
          </cell>
          <cell r="J946" t="str">
            <v>Med</v>
          </cell>
          <cell r="K946">
            <v>86125.666666666672</v>
          </cell>
        </row>
        <row r="947">
          <cell r="C947">
            <v>2980254.2008118001</v>
          </cell>
          <cell r="D947">
            <v>0.71126494439392995</v>
          </cell>
          <cell r="E947">
            <v>229971</v>
          </cell>
          <cell r="F947">
            <v>163570.310527216</v>
          </cell>
          <cell r="G947">
            <v>5.4884684159713829E-2</v>
          </cell>
          <cell r="I947" t="str">
            <v>VA</v>
          </cell>
          <cell r="J947" t="str">
            <v>Med</v>
          </cell>
          <cell r="K947">
            <v>66868.333333333328</v>
          </cell>
        </row>
        <row r="948">
          <cell r="C948">
            <v>2997568.59181662</v>
          </cell>
          <cell r="D948">
            <v>0.75051846580912296</v>
          </cell>
          <cell r="E948">
            <v>250076</v>
          </cell>
          <cell r="F948">
            <v>187686.65585568201</v>
          </cell>
          <cell r="G948">
            <v>6.261296450999243E-2</v>
          </cell>
          <cell r="I948" t="str">
            <v>VA</v>
          </cell>
          <cell r="J948" t="str">
            <v>Med</v>
          </cell>
          <cell r="K948">
            <v>82692.666666666672</v>
          </cell>
        </row>
        <row r="949">
          <cell r="C949">
            <v>2784324.6716404301</v>
          </cell>
          <cell r="D949">
            <v>0.71929895388919896</v>
          </cell>
          <cell r="E949">
            <v>253763</v>
          </cell>
          <cell r="F949">
            <v>182531.460435785</v>
          </cell>
          <cell r="G949">
            <v>6.5556816090791462E-2</v>
          </cell>
          <cell r="I949" t="str">
            <v>VA</v>
          </cell>
          <cell r="J949" t="str">
            <v>Med</v>
          </cell>
          <cell r="K949">
            <v>75777.666666666672</v>
          </cell>
        </row>
        <row r="950">
          <cell r="C950">
            <v>3565815.86239404</v>
          </cell>
          <cell r="D950">
            <v>0.75131709394481705</v>
          </cell>
          <cell r="E950">
            <v>202928</v>
          </cell>
          <cell r="F950">
            <v>152463.27524003401</v>
          </cell>
          <cell r="G950">
            <v>4.2756912057055084E-2</v>
          </cell>
          <cell r="I950" t="str">
            <v>VA</v>
          </cell>
          <cell r="J950" t="str">
            <v>High</v>
          </cell>
          <cell r="K950">
            <v>123264</v>
          </cell>
        </row>
        <row r="951">
          <cell r="C951">
            <v>3784432.5249416502</v>
          </cell>
          <cell r="D951">
            <v>0.72817347836412605</v>
          </cell>
          <cell r="E951">
            <v>208476</v>
          </cell>
          <cell r="F951">
            <v>151806.69407544</v>
          </cell>
          <cell r="G951">
            <v>4.011346300269434E-2</v>
          </cell>
          <cell r="I951" t="str">
            <v>VA</v>
          </cell>
          <cell r="J951" t="str">
            <v>High</v>
          </cell>
          <cell r="K951">
            <v>130123</v>
          </cell>
        </row>
        <row r="952">
          <cell r="C952">
            <v>2603582.6395076299</v>
          </cell>
          <cell r="D952">
            <v>0.75739420595005102</v>
          </cell>
          <cell r="E952">
            <v>223208</v>
          </cell>
          <cell r="F952">
            <v>169056.44592169899</v>
          </cell>
          <cell r="G952">
            <v>6.4932237354935543E-2</v>
          </cell>
          <cell r="I952" t="str">
            <v>VA</v>
          </cell>
          <cell r="J952" t="str">
            <v>Med</v>
          </cell>
          <cell r="K952">
            <v>64149.333333333336</v>
          </cell>
        </row>
        <row r="953">
          <cell r="C953">
            <v>2531495.9567981102</v>
          </cell>
          <cell r="D953">
            <v>0.78991525756616099</v>
          </cell>
          <cell r="E953">
            <v>245751</v>
          </cell>
          <cell r="F953">
            <v>194122.464462142</v>
          </cell>
          <cell r="G953">
            <v>7.6682905197159479E-2</v>
          </cell>
          <cell r="I953" t="str">
            <v>VA</v>
          </cell>
          <cell r="J953" t="str">
            <v>Med</v>
          </cell>
          <cell r="K953">
            <v>57821.333333333336</v>
          </cell>
        </row>
        <row r="954">
          <cell r="C954">
            <v>2220875.9564001798</v>
          </cell>
          <cell r="D954">
            <v>0.70549151786490305</v>
          </cell>
          <cell r="E954">
            <v>267532</v>
          </cell>
          <cell r="F954">
            <v>188741.55675743299</v>
          </cell>
          <cell r="G954">
            <v>8.4985186234067922E-2</v>
          </cell>
          <cell r="I954" t="str">
            <v>VA</v>
          </cell>
          <cell r="J954" t="str">
            <v>Med</v>
          </cell>
          <cell r="K954">
            <v>47096</v>
          </cell>
        </row>
        <row r="955">
          <cell r="C955">
            <v>3416759.7783955801</v>
          </cell>
          <cell r="D955">
            <v>0.76836627113748901</v>
          </cell>
          <cell r="E955">
            <v>209845</v>
          </cell>
          <cell r="F955">
            <v>161237.82016684601</v>
          </cell>
          <cell r="G955">
            <v>4.7190271082668565E-2</v>
          </cell>
          <cell r="I955" t="str">
            <v>VA</v>
          </cell>
          <cell r="J955" t="str">
            <v>High</v>
          </cell>
          <cell r="K955">
            <v>111399</v>
          </cell>
        </row>
        <row r="956">
          <cell r="C956">
            <v>3799078.3108871998</v>
          </cell>
          <cell r="D956">
            <v>0.76107802092676602</v>
          </cell>
          <cell r="E956">
            <v>202819</v>
          </cell>
          <cell r="F956">
            <v>154361.083126346</v>
          </cell>
          <cell r="G956">
            <v>4.0631192751143373E-2</v>
          </cell>
          <cell r="I956" t="str">
            <v>VA</v>
          </cell>
          <cell r="J956" t="str">
            <v>High</v>
          </cell>
          <cell r="K956">
            <v>126832.33333333333</v>
          </cell>
        </row>
        <row r="957">
          <cell r="C957">
            <v>1838203.5994303999</v>
          </cell>
          <cell r="D957">
            <v>0.74304380689312099</v>
          </cell>
          <cell r="E957">
            <v>203358</v>
          </cell>
          <cell r="F957">
            <v>151103.90248217099</v>
          </cell>
          <cell r="G957">
            <v>8.2201940268745652E-2</v>
          </cell>
          <cell r="I957" t="str">
            <v>VA</v>
          </cell>
          <cell r="J957" t="str">
            <v>Low</v>
          </cell>
          <cell r="K957">
            <v>25878</v>
          </cell>
        </row>
        <row r="958">
          <cell r="C958">
            <v>2796356.81185801</v>
          </cell>
          <cell r="D958">
            <v>0.73690951218245704</v>
          </cell>
          <cell r="E958">
            <v>221999</v>
          </cell>
          <cell r="F958">
            <v>163593.17479499301</v>
          </cell>
          <cell r="G958">
            <v>5.8502253396731312E-2</v>
          </cell>
          <cell r="I958" t="str">
            <v>VA</v>
          </cell>
          <cell r="J958" t="str">
            <v>Med</v>
          </cell>
          <cell r="K958">
            <v>78901.666666666672</v>
          </cell>
        </row>
        <row r="959">
          <cell r="C959">
            <v>2599715.6500044502</v>
          </cell>
          <cell r="D959">
            <v>0.75116650563589105</v>
          </cell>
          <cell r="E959">
            <v>241100</v>
          </cell>
          <cell r="F959">
            <v>181106.24450881299</v>
          </cell>
          <cell r="G959">
            <v>6.9663866703461572E-2</v>
          </cell>
          <cell r="I959" t="str">
            <v>VA</v>
          </cell>
          <cell r="J959" t="str">
            <v>Med</v>
          </cell>
          <cell r="K959">
            <v>72992</v>
          </cell>
        </row>
        <row r="960">
          <cell r="C960">
            <v>3427761.3124145302</v>
          </cell>
          <cell r="D960">
            <v>0.76491095370975104</v>
          </cell>
          <cell r="E960">
            <v>208291</v>
          </cell>
          <cell r="F960">
            <v>159324.06745915799</v>
          </cell>
          <cell r="G960">
            <v>4.6480502268966162E-2</v>
          </cell>
          <cell r="I960" t="str">
            <v>VA</v>
          </cell>
          <cell r="J960" t="str">
            <v>High</v>
          </cell>
          <cell r="K960">
            <v>119878</v>
          </cell>
        </row>
        <row r="961">
          <cell r="C961">
            <v>2326515.4551953198</v>
          </cell>
          <cell r="D961">
            <v>0.72788550011499098</v>
          </cell>
          <cell r="E961">
            <v>266549</v>
          </cell>
          <cell r="F961">
            <v>194017.15217015101</v>
          </cell>
          <cell r="G961">
            <v>8.3393880636766504E-2</v>
          </cell>
          <cell r="I961" t="str">
            <v>VA</v>
          </cell>
          <cell r="J961" t="str">
            <v>Med</v>
          </cell>
          <cell r="K961">
            <v>55273.333333333336</v>
          </cell>
        </row>
        <row r="962">
          <cell r="C962">
            <v>3229414.6775837899</v>
          </cell>
          <cell r="D962">
            <v>0.77729812639045504</v>
          </cell>
          <cell r="E962">
            <v>219995</v>
          </cell>
          <cell r="F962">
            <v>171001.701315268</v>
          </cell>
          <cell r="G962">
            <v>5.2951298729839634E-2</v>
          </cell>
          <cell r="I962" t="str">
            <v>VA</v>
          </cell>
          <cell r="J962" t="str">
            <v>High</v>
          </cell>
          <cell r="K962">
            <v>108975.66666666667</v>
          </cell>
        </row>
        <row r="963">
          <cell r="C963">
            <v>2619252.5035990099</v>
          </cell>
          <cell r="D963">
            <v>0.75360052448162995</v>
          </cell>
          <cell r="E963">
            <v>237523</v>
          </cell>
          <cell r="F963">
            <v>178997.45737645001</v>
          </cell>
          <cell r="G963">
            <v>6.8339137647285539E-2</v>
          </cell>
          <cell r="I963" t="str">
            <v>VA</v>
          </cell>
          <cell r="J963" t="str">
            <v>Med</v>
          </cell>
          <cell r="K963">
            <v>70133</v>
          </cell>
        </row>
        <row r="964">
          <cell r="C964">
            <v>2677204.80081486</v>
          </cell>
          <cell r="D964">
            <v>0.772361302463348</v>
          </cell>
          <cell r="E964">
            <v>232410</v>
          </cell>
          <cell r="F964">
            <v>179504.490305507</v>
          </cell>
          <cell r="G964">
            <v>6.7049218741454253E-2</v>
          </cell>
          <cell r="I964" t="str">
            <v>VA</v>
          </cell>
          <cell r="J964" t="str">
            <v>Med</v>
          </cell>
          <cell r="K964">
            <v>73769</v>
          </cell>
        </row>
        <row r="965">
          <cell r="C965">
            <v>3261336.8492260301</v>
          </cell>
          <cell r="D965">
            <v>0.73778915399129696</v>
          </cell>
          <cell r="E965">
            <v>218311</v>
          </cell>
          <cell r="F965">
            <v>161067.48799699399</v>
          </cell>
          <cell r="G965">
            <v>4.9386952480918372E-2</v>
          </cell>
          <cell r="I965" t="str">
            <v>VA</v>
          </cell>
          <cell r="J965" t="str">
            <v>High</v>
          </cell>
          <cell r="K965">
            <v>117573.33333333333</v>
          </cell>
        </row>
        <row r="966">
          <cell r="C966">
            <v>2053726.7291881</v>
          </cell>
          <cell r="D966">
            <v>0.766302764852269</v>
          </cell>
          <cell r="E966">
            <v>210967</v>
          </cell>
          <cell r="F966">
            <v>161664.59539258899</v>
          </cell>
          <cell r="G966">
            <v>7.8717676064185949E-2</v>
          </cell>
          <cell r="I966" t="str">
            <v>VA</v>
          </cell>
          <cell r="J966" t="str">
            <v>Med</v>
          </cell>
          <cell r="K966">
            <v>43634.333333333336</v>
          </cell>
        </row>
        <row r="967">
          <cell r="C967">
            <v>2474601.1944742901</v>
          </cell>
          <cell r="D967">
            <v>0.76212801710273803</v>
          </cell>
          <cell r="E967">
            <v>246234</v>
          </cell>
          <cell r="F967">
            <v>187661.830163276</v>
          </cell>
          <cell r="G967">
            <v>7.5835181273782304E-2</v>
          </cell>
          <cell r="I967" t="str">
            <v>VA</v>
          </cell>
          <cell r="J967" t="str">
            <v>Med</v>
          </cell>
          <cell r="K967">
            <v>68834</v>
          </cell>
        </row>
        <row r="968">
          <cell r="C968">
            <v>2903170.3965793098</v>
          </cell>
          <cell r="D968">
            <v>0.72553066474674699</v>
          </cell>
          <cell r="E968">
            <v>260576</v>
          </cell>
          <cell r="F968">
            <v>189055.87849704799</v>
          </cell>
          <cell r="G968">
            <v>6.5120489902971257E-2</v>
          </cell>
          <cell r="I968" t="str">
            <v>VA</v>
          </cell>
          <cell r="J968" t="str">
            <v>Med</v>
          </cell>
          <cell r="K968">
            <v>90147.333333333328</v>
          </cell>
        </row>
        <row r="969">
          <cell r="C969">
            <v>2663026.1852918901</v>
          </cell>
          <cell r="D969">
            <v>0.77642937745825502</v>
          </cell>
          <cell r="E969">
            <v>226810</v>
          </cell>
          <cell r="F969">
            <v>176101.94710130701</v>
          </cell>
          <cell r="G969">
            <v>6.6128507512968657E-2</v>
          </cell>
          <cell r="I969" t="str">
            <v>VA</v>
          </cell>
          <cell r="J969" t="str">
            <v>Med</v>
          </cell>
          <cell r="K969">
            <v>75389.666666666672</v>
          </cell>
        </row>
        <row r="970">
          <cell r="C970">
            <v>2934733.0572011201</v>
          </cell>
          <cell r="D970">
            <v>0.72694663881476695</v>
          </cell>
          <cell r="E970">
            <v>255027</v>
          </cell>
          <cell r="F970">
            <v>185391.020457014</v>
          </cell>
          <cell r="G970">
            <v>6.3171340235565754E-2</v>
          </cell>
          <cell r="I970" t="str">
            <v>VA</v>
          </cell>
          <cell r="J970" t="str">
            <v>Med</v>
          </cell>
          <cell r="K970">
            <v>90636.666666666672</v>
          </cell>
        </row>
        <row r="971">
          <cell r="C971">
            <v>3064296.2514273701</v>
          </cell>
          <cell r="D971">
            <v>0.73722092136098605</v>
          </cell>
          <cell r="E971">
            <v>217961</v>
          </cell>
          <cell r="F971">
            <v>160685.409240762</v>
          </cell>
          <cell r="G971">
            <v>5.2437948571687105E-2</v>
          </cell>
          <cell r="I971" t="str">
            <v>VA</v>
          </cell>
          <cell r="J971" t="str">
            <v>High</v>
          </cell>
          <cell r="K971">
            <v>104337.66666666667</v>
          </cell>
        </row>
        <row r="972">
          <cell r="C972">
            <v>2583376.9044352402</v>
          </cell>
          <cell r="D972">
            <v>0.80436739546703795</v>
          </cell>
          <cell r="E972">
            <v>239080</v>
          </cell>
          <cell r="F972">
            <v>192308.156908259</v>
          </cell>
          <cell r="G972">
            <v>7.4440611657593206E-2</v>
          </cell>
          <cell r="I972" t="str">
            <v>VA</v>
          </cell>
          <cell r="J972" t="str">
            <v>Med</v>
          </cell>
          <cell r="K972">
            <v>74166.666666666672</v>
          </cell>
        </row>
        <row r="973">
          <cell r="C973">
            <v>2584458.8931866898</v>
          </cell>
          <cell r="D973">
            <v>0.743886704309214</v>
          </cell>
          <cell r="E973">
            <v>270753</v>
          </cell>
          <cell r="F973">
            <v>201409.55685183301</v>
          </cell>
          <cell r="G973">
            <v>7.7931035151226943E-2</v>
          </cell>
          <cell r="I973" t="str">
            <v>VA</v>
          </cell>
          <cell r="J973" t="str">
            <v>Med</v>
          </cell>
          <cell r="K973">
            <v>46839.666666666664</v>
          </cell>
        </row>
        <row r="974">
          <cell r="C974">
            <v>2605442.9836517302</v>
          </cell>
          <cell r="D974">
            <v>0.74035429966223398</v>
          </cell>
          <cell r="E974">
            <v>231585</v>
          </cell>
          <cell r="F974">
            <v>171454.95048727799</v>
          </cell>
          <cell r="G974">
            <v>6.5806448869961676E-2</v>
          </cell>
          <cell r="I974" t="str">
            <v>VA</v>
          </cell>
          <cell r="J974" t="str">
            <v>Med</v>
          </cell>
          <cell r="K974">
            <v>76752</v>
          </cell>
        </row>
        <row r="975">
          <cell r="C975">
            <v>4511867.9730185904</v>
          </cell>
          <cell r="D975">
            <v>0.71397024196844205</v>
          </cell>
          <cell r="E975">
            <v>123979</v>
          </cell>
          <cell r="F975">
            <v>88517.316629005494</v>
          </cell>
          <cell r="G975">
            <v>1.9618773678296366E-2</v>
          </cell>
          <cell r="I975" t="str">
            <v>VA</v>
          </cell>
          <cell r="J975" t="str">
            <v>High</v>
          </cell>
          <cell r="K975">
            <v>176011.66666666666</v>
          </cell>
        </row>
        <row r="976">
          <cell r="C976">
            <v>3131097.0885432898</v>
          </cell>
          <cell r="D976">
            <v>0.75698026998116597</v>
          </cell>
          <cell r="E976">
            <v>244987</v>
          </cell>
          <cell r="F976">
            <v>185450.32540187601</v>
          </cell>
          <cell r="G976">
            <v>5.9228545189620688E-2</v>
          </cell>
          <cell r="I976" t="str">
            <v>VA</v>
          </cell>
          <cell r="J976" t="str">
            <v>High</v>
          </cell>
          <cell r="K976">
            <v>101048.66666666667</v>
          </cell>
        </row>
        <row r="977">
          <cell r="C977">
            <v>2435732.4681300502</v>
          </cell>
          <cell r="D977">
            <v>0.72410080668867904</v>
          </cell>
          <cell r="E977">
            <v>259567</v>
          </cell>
          <cell r="F977">
            <v>187952.67408976</v>
          </cell>
          <cell r="G977">
            <v>7.7164744711907624E-2</v>
          </cell>
          <cell r="I977" t="str">
            <v>VA</v>
          </cell>
          <cell r="J977" t="str">
            <v>Med</v>
          </cell>
          <cell r="K977">
            <v>66000</v>
          </cell>
        </row>
        <row r="978">
          <cell r="C978">
            <v>2588061.5098751499</v>
          </cell>
          <cell r="D978">
            <v>0.74661266630166301</v>
          </cell>
          <cell r="E978">
            <v>261295</v>
          </cell>
          <cell r="F978">
            <v>195086.156641293</v>
          </cell>
          <cell r="G978">
            <v>7.5379258142401762E-2</v>
          </cell>
          <cell r="I978" t="str">
            <v>VA</v>
          </cell>
          <cell r="J978" t="str">
            <v>Med</v>
          </cell>
          <cell r="K978">
            <v>70332.333333333328</v>
          </cell>
        </row>
        <row r="979">
          <cell r="C979">
            <v>2829800.0529110502</v>
          </cell>
          <cell r="D979">
            <v>0.76111105069122598</v>
          </cell>
          <cell r="E979">
            <v>234756</v>
          </cell>
          <cell r="F979">
            <v>178675.385816069</v>
          </cell>
          <cell r="G979">
            <v>6.3140639789112815E-2</v>
          </cell>
          <cell r="I979" t="str">
            <v>VA</v>
          </cell>
          <cell r="J979" t="str">
            <v>Med</v>
          </cell>
          <cell r="K979">
            <v>86125.666666666672</v>
          </cell>
        </row>
        <row r="980">
          <cell r="C980">
            <v>2892502.3565630699</v>
          </cell>
          <cell r="D980">
            <v>0.70613683202169797</v>
          </cell>
          <cell r="E980">
            <v>243843</v>
          </cell>
          <cell r="F980">
            <v>172186.52353066701</v>
          </cell>
          <cell r="G980">
            <v>5.9528568106427593E-2</v>
          </cell>
          <cell r="I980" t="str">
            <v>VA</v>
          </cell>
          <cell r="J980" t="str">
            <v>Med</v>
          </cell>
          <cell r="K980">
            <v>66868.333333333328</v>
          </cell>
        </row>
        <row r="981">
          <cell r="C981">
            <v>2875673.6701856102</v>
          </cell>
          <cell r="D981">
            <v>0.78746329595207798</v>
          </cell>
          <cell r="E981">
            <v>252841</v>
          </cell>
          <cell r="F981">
            <v>199103.007211819</v>
          </cell>
          <cell r="G981">
            <v>6.9236996282324312E-2</v>
          </cell>
          <cell r="I981" t="str">
            <v>VA</v>
          </cell>
          <cell r="J981" t="str">
            <v>Med</v>
          </cell>
          <cell r="K981">
            <v>82692.666666666672</v>
          </cell>
        </row>
        <row r="982">
          <cell r="C982">
            <v>2728227.9293090398</v>
          </cell>
          <cell r="D982">
            <v>0.77256605957484403</v>
          </cell>
          <cell r="E982">
            <v>252839</v>
          </cell>
          <cell r="F982">
            <v>195334.82993684401</v>
          </cell>
          <cell r="G982">
            <v>7.1597694546846447E-2</v>
          </cell>
          <cell r="I982" t="str">
            <v>VA</v>
          </cell>
          <cell r="J982" t="str">
            <v>Med</v>
          </cell>
          <cell r="K982">
            <v>75777.666666666672</v>
          </cell>
        </row>
        <row r="983">
          <cell r="C983">
            <v>3401469.75423331</v>
          </cell>
          <cell r="D983">
            <v>0.79681415556842095</v>
          </cell>
          <cell r="E983">
            <v>200802</v>
          </cell>
          <cell r="F983">
            <v>160001.87606645</v>
          </cell>
          <cell r="G983">
            <v>4.7039041246014067E-2</v>
          </cell>
          <cell r="I983" t="str">
            <v>VA</v>
          </cell>
          <cell r="J983" t="str">
            <v>High</v>
          </cell>
          <cell r="K983">
            <v>123264</v>
          </cell>
        </row>
        <row r="984">
          <cell r="C984">
            <v>3687464.6757559599</v>
          </cell>
          <cell r="D984">
            <v>0.76484491971500301</v>
          </cell>
          <cell r="E984">
            <v>210595</v>
          </cell>
          <cell r="F984">
            <v>161072.51586738101</v>
          </cell>
          <cell r="G984">
            <v>4.3681100710303032E-2</v>
          </cell>
          <cell r="I984" t="str">
            <v>VA</v>
          </cell>
          <cell r="J984" t="str">
            <v>High</v>
          </cell>
          <cell r="K984">
            <v>130123</v>
          </cell>
        </row>
        <row r="985">
          <cell r="C985">
            <v>2471439.4430314498</v>
          </cell>
          <cell r="D985">
            <v>0.787420653905333</v>
          </cell>
          <cell r="E985">
            <v>218083</v>
          </cell>
          <cell r="F985">
            <v>171723.058465637</v>
          </cell>
          <cell r="G985">
            <v>6.9483012804474276E-2</v>
          </cell>
          <cell r="I985" t="str">
            <v>VA</v>
          </cell>
          <cell r="J985" t="str">
            <v>Med</v>
          </cell>
          <cell r="K985">
            <v>64149.333333333336</v>
          </cell>
        </row>
        <row r="986">
          <cell r="C986">
            <v>2367503.5374789201</v>
          </cell>
          <cell r="D986">
            <v>0.773843358845833</v>
          </cell>
          <cell r="E986">
            <v>258015</v>
          </cell>
          <cell r="F986">
            <v>199663.19423260799</v>
          </cell>
          <cell r="G986">
            <v>8.43349085109385E-2</v>
          </cell>
          <cell r="I986" t="str">
            <v>VA</v>
          </cell>
          <cell r="J986" t="str">
            <v>Med</v>
          </cell>
          <cell r="K986">
            <v>57821.333333333336</v>
          </cell>
        </row>
        <row r="987">
          <cell r="C987">
            <v>2100514.4853176</v>
          </cell>
          <cell r="D987">
            <v>0.70513947247641495</v>
          </cell>
          <cell r="E987">
            <v>277315</v>
          </cell>
          <cell r="F987">
            <v>195545.75280979701</v>
          </cell>
          <cell r="G987">
            <v>9.3094217715061503E-2</v>
          </cell>
          <cell r="I987" t="str">
            <v>VA</v>
          </cell>
          <cell r="J987" t="str">
            <v>Med</v>
          </cell>
          <cell r="K987">
            <v>47096</v>
          </cell>
        </row>
        <row r="988">
          <cell r="C988">
            <v>3226583.5459778602</v>
          </cell>
          <cell r="D988">
            <v>0.78549993161685805</v>
          </cell>
          <cell r="E988">
            <v>212238</v>
          </cell>
          <cell r="F988">
            <v>166712.934486499</v>
          </cell>
          <cell r="G988">
            <v>5.1668562772632119E-2</v>
          </cell>
          <cell r="I988" t="str">
            <v>VA</v>
          </cell>
          <cell r="J988" t="str">
            <v>High</v>
          </cell>
          <cell r="K988">
            <v>111399</v>
          </cell>
        </row>
        <row r="989">
          <cell r="C989">
            <v>3626787.19721307</v>
          </cell>
          <cell r="D989">
            <v>0.784989645677027</v>
          </cell>
          <cell r="E989">
            <v>208273</v>
          </cell>
          <cell r="F989">
            <v>163492.14847409099</v>
          </cell>
          <cell r="G989">
            <v>4.5079057464337352E-2</v>
          </cell>
          <cell r="I989" t="str">
            <v>VA</v>
          </cell>
          <cell r="J989" t="str">
            <v>High</v>
          </cell>
          <cell r="K989">
            <v>126832.33333333333</v>
          </cell>
        </row>
        <row r="990">
          <cell r="C990">
            <v>1786622.4224697701</v>
          </cell>
          <cell r="D990">
            <v>0.77523908883095805</v>
          </cell>
          <cell r="E990">
            <v>193278</v>
          </cell>
          <cell r="F990">
            <v>149836.66061106999</v>
          </cell>
          <cell r="G990">
            <v>8.3865879397136731E-2</v>
          </cell>
          <cell r="I990" t="str">
            <v>VA</v>
          </cell>
          <cell r="J990" t="str">
            <v>Low</v>
          </cell>
          <cell r="K990">
            <v>25878</v>
          </cell>
        </row>
        <row r="991">
          <cell r="C991">
            <v>2696884.8959484799</v>
          </cell>
          <cell r="D991">
            <v>0.74025135394216002</v>
          </cell>
          <cell r="E991">
            <v>239000</v>
          </cell>
          <cell r="F991">
            <v>176920.07359217599</v>
          </cell>
          <cell r="G991">
            <v>6.5601640566107344E-2</v>
          </cell>
          <cell r="I991" t="str">
            <v>VA</v>
          </cell>
          <cell r="J991" t="str">
            <v>Med</v>
          </cell>
          <cell r="K991">
            <v>78901.666666666672</v>
          </cell>
        </row>
        <row r="992">
          <cell r="C992">
            <v>2521593.7821880202</v>
          </cell>
          <cell r="D992">
            <v>0.75937603028930301</v>
          </cell>
          <cell r="E992">
            <v>250702</v>
          </cell>
          <cell r="F992">
            <v>190377.089545589</v>
          </cell>
          <cell r="G992">
            <v>7.5498714697970218E-2</v>
          </cell>
          <cell r="I992" t="str">
            <v>VA</v>
          </cell>
          <cell r="J992" t="str">
            <v>Med</v>
          </cell>
          <cell r="K992">
            <v>72992</v>
          </cell>
        </row>
        <row r="993">
          <cell r="C993">
            <v>3327110.7653302099</v>
          </cell>
          <cell r="D993">
            <v>0.765294128870738</v>
          </cell>
          <cell r="E993">
            <v>220893</v>
          </cell>
          <cell r="F993">
            <v>169048.11600864399</v>
          </cell>
          <cell r="G993">
            <v>5.0809284070188226E-2</v>
          </cell>
          <cell r="I993" t="str">
            <v>VA</v>
          </cell>
          <cell r="J993" t="str">
            <v>High</v>
          </cell>
          <cell r="K993">
            <v>119878</v>
          </cell>
        </row>
        <row r="994">
          <cell r="C994">
            <v>2185459.6687655202</v>
          </cell>
          <cell r="D994">
            <v>0.74186593517841304</v>
          </cell>
          <cell r="E994">
            <v>265638</v>
          </cell>
          <cell r="F994">
            <v>197067.783288923</v>
          </cell>
          <cell r="G994">
            <v>9.0172235207725798E-2</v>
          </cell>
          <cell r="I994" t="str">
            <v>VA</v>
          </cell>
          <cell r="J994" t="str">
            <v>Med</v>
          </cell>
          <cell r="K994">
            <v>55273.333333333336</v>
          </cell>
        </row>
        <row r="995">
          <cell r="C995">
            <v>3080358.4889952401</v>
          </cell>
          <cell r="D995">
            <v>0.75428396648407103</v>
          </cell>
          <cell r="E995">
            <v>227695</v>
          </cell>
          <cell r="F995">
            <v>171746.68774858999</v>
          </cell>
          <cell r="G995">
            <v>5.5755422091995147E-2</v>
          </cell>
          <cell r="I995" t="str">
            <v>VA</v>
          </cell>
          <cell r="J995" t="str">
            <v>High</v>
          </cell>
          <cell r="K995">
            <v>108975.66666666667</v>
          </cell>
        </row>
        <row r="996">
          <cell r="C996">
            <v>2477691.8148983102</v>
          </cell>
          <cell r="D996">
            <v>0.77699716484122205</v>
          </cell>
          <cell r="E996">
            <v>236780</v>
          </cell>
          <cell r="F996">
            <v>183977.38869110501</v>
          </cell>
          <cell r="G996">
            <v>7.4253540163814052E-2</v>
          </cell>
          <cell r="I996" t="str">
            <v>VA</v>
          </cell>
          <cell r="J996" t="str">
            <v>Med</v>
          </cell>
          <cell r="K996">
            <v>70133</v>
          </cell>
        </row>
        <row r="997">
          <cell r="C997">
            <v>2579445.4049461698</v>
          </cell>
          <cell r="D997">
            <v>0.75418144585265601</v>
          </cell>
          <cell r="E997">
            <v>243650</v>
          </cell>
          <cell r="F997">
            <v>183756.309282</v>
          </cell>
          <cell r="G997">
            <v>7.1238689111093934E-2</v>
          </cell>
          <cell r="I997" t="str">
            <v>VA</v>
          </cell>
          <cell r="J997" t="str">
            <v>Med</v>
          </cell>
          <cell r="K997">
            <v>73769</v>
          </cell>
        </row>
        <row r="998">
          <cell r="C998">
            <v>3173328.29601026</v>
          </cell>
          <cell r="D998">
            <v>0.73780834614955304</v>
          </cell>
          <cell r="E998">
            <v>226353</v>
          </cell>
          <cell r="F998">
            <v>167005.13257598999</v>
          </cell>
          <cell r="G998">
            <v>5.2627751369425289E-2</v>
          </cell>
          <cell r="I998" t="str">
            <v>VA</v>
          </cell>
          <cell r="J998" t="str">
            <v>High</v>
          </cell>
          <cell r="K998">
            <v>117573.33333333333</v>
          </cell>
        </row>
        <row r="999">
          <cell r="C999">
            <v>1973679.6827243101</v>
          </cell>
          <cell r="D999">
            <v>0.75563358915596401</v>
          </cell>
          <cell r="E999">
            <v>227423</v>
          </cell>
          <cell r="F999">
            <v>171848.457746617</v>
          </cell>
          <cell r="G999">
            <v>8.7070085004579412E-2</v>
          </cell>
          <cell r="I999" t="str">
            <v>VA</v>
          </cell>
          <cell r="J999" t="str">
            <v>Med</v>
          </cell>
          <cell r="K999">
            <v>43634.333333333336</v>
          </cell>
        </row>
        <row r="1000">
          <cell r="C1000">
            <v>2372653.9661048902</v>
          </cell>
          <cell r="D1000">
            <v>0.74812132654869701</v>
          </cell>
          <cell r="E1000">
            <v>266250</v>
          </cell>
          <cell r="F1000">
            <v>199187.30319359101</v>
          </cell>
          <cell r="G1000">
            <v>8.3951265561320099E-2</v>
          </cell>
          <cell r="I1000" t="str">
            <v>VA</v>
          </cell>
          <cell r="J1000" t="str">
            <v>Med</v>
          </cell>
          <cell r="K1000">
            <v>68834</v>
          </cell>
        </row>
        <row r="1001">
          <cell r="C1001">
            <v>2770192.8063611002</v>
          </cell>
          <cell r="D1001">
            <v>0.72675024734001403</v>
          </cell>
          <cell r="E1001">
            <v>274180</v>
          </cell>
          <cell r="F1001">
            <v>199260.38281568501</v>
          </cell>
          <cell r="G1001">
            <v>7.1930149539819077E-2</v>
          </cell>
          <cell r="I1001" t="str">
            <v>VA</v>
          </cell>
          <cell r="J1001" t="str">
            <v>Med</v>
          </cell>
          <cell r="K1001">
            <v>90147.333333333328</v>
          </cell>
        </row>
        <row r="1002">
          <cell r="C1002">
            <v>2507753.7409071899</v>
          </cell>
          <cell r="D1002">
            <v>0.74884959056626099</v>
          </cell>
          <cell r="E1002">
            <v>234172</v>
          </cell>
          <cell r="F1002">
            <v>175359.60632208199</v>
          </cell>
          <cell r="G1002">
            <v>6.9926964303378913E-2</v>
          </cell>
          <cell r="I1002" t="str">
            <v>VA</v>
          </cell>
          <cell r="J1002" t="str">
            <v>Med</v>
          </cell>
          <cell r="K1002">
            <v>75389.666666666672</v>
          </cell>
        </row>
        <row r="1003">
          <cell r="C1003">
            <v>2803431.1055272799</v>
          </cell>
          <cell r="D1003">
            <v>0.73032453565836197</v>
          </cell>
          <cell r="E1003">
            <v>263191</v>
          </cell>
          <cell r="F1003">
            <v>192214.84486446</v>
          </cell>
          <cell r="G1003">
            <v>6.8564140736502063E-2</v>
          </cell>
          <cell r="I1003" t="str">
            <v>VA</v>
          </cell>
          <cell r="J1003" t="str">
            <v>Med</v>
          </cell>
          <cell r="K1003">
            <v>90636.666666666672</v>
          </cell>
        </row>
        <row r="1004">
          <cell r="C1004">
            <v>2927403.8918248201</v>
          </cell>
          <cell r="D1004">
            <v>0.73169637880216698</v>
          </cell>
          <cell r="E1004">
            <v>225285</v>
          </cell>
          <cell r="F1004">
            <v>164840.218698446</v>
          </cell>
          <cell r="G1004">
            <v>5.6309352856565194E-2</v>
          </cell>
          <cell r="I1004" t="str">
            <v>VA</v>
          </cell>
          <cell r="J1004" t="str">
            <v>High</v>
          </cell>
          <cell r="K1004">
            <v>104337.66666666667</v>
          </cell>
        </row>
        <row r="1005">
          <cell r="C1005">
            <v>2456180.8948891498</v>
          </cell>
          <cell r="D1005">
            <v>0.78043189854564099</v>
          </cell>
          <cell r="E1005">
            <v>258082</v>
          </cell>
          <cell r="F1005">
            <v>201415.42524045601</v>
          </cell>
          <cell r="G1005">
            <v>8.2003498056500479E-2</v>
          </cell>
          <cell r="I1005" t="str">
            <v>VA</v>
          </cell>
          <cell r="J1005" t="str">
            <v>Med</v>
          </cell>
          <cell r="K1005">
            <v>74166.666666666672</v>
          </cell>
        </row>
        <row r="1006">
          <cell r="C1006">
            <v>2451040.13256115</v>
          </cell>
          <cell r="D1006">
            <v>0.74218804157704499</v>
          </cell>
          <cell r="E1006">
            <v>278161</v>
          </cell>
          <cell r="F1006">
            <v>206447.76783311201</v>
          </cell>
          <cell r="G1006">
            <v>8.4228636279973859E-2</v>
          </cell>
          <cell r="I1006" t="str">
            <v>VA</v>
          </cell>
          <cell r="J1006" t="str">
            <v>Med</v>
          </cell>
          <cell r="K1006">
            <v>46839.666666666664</v>
          </cell>
        </row>
        <row r="1007">
          <cell r="C1007">
            <v>2517566.76179585</v>
          </cell>
          <cell r="D1007">
            <v>0.75192748179237701</v>
          </cell>
          <cell r="E1007">
            <v>236118</v>
          </cell>
          <cell r="F1007">
            <v>177543.613145852</v>
          </cell>
          <cell r="G1007">
            <v>7.0521908630222466E-2</v>
          </cell>
          <cell r="I1007" t="str">
            <v>VA</v>
          </cell>
          <cell r="J1007" t="str">
            <v>Med</v>
          </cell>
          <cell r="K1007">
            <v>76752</v>
          </cell>
        </row>
        <row r="1008">
          <cell r="C1008">
            <v>4321411.7940996299</v>
          </cell>
          <cell r="D1008">
            <v>0.723355116188521</v>
          </cell>
          <cell r="E1008">
            <v>128821</v>
          </cell>
          <cell r="F1008">
            <v>93183.329422521507</v>
          </cell>
          <cell r="G1008">
            <v>2.1563168210387212E-2</v>
          </cell>
          <cell r="I1008" t="str">
            <v>VA</v>
          </cell>
          <cell r="J1008" t="str">
            <v>High</v>
          </cell>
          <cell r="K1008">
            <v>176011.66666666666</v>
          </cell>
        </row>
        <row r="1009">
          <cell r="C1009">
            <v>2923072.0684407698</v>
          </cell>
          <cell r="D1009">
            <v>0.76368859776349196</v>
          </cell>
          <cell r="E1009">
            <v>251027</v>
          </cell>
          <cell r="F1009">
            <v>191706.45763077601</v>
          </cell>
          <cell r="G1009">
            <v>6.558389705835628E-2</v>
          </cell>
          <cell r="I1009" t="str">
            <v>VA</v>
          </cell>
          <cell r="J1009" t="str">
            <v>High</v>
          </cell>
          <cell r="K1009">
            <v>101048.66666666667</v>
          </cell>
        </row>
        <row r="1010">
          <cell r="C1010">
            <v>2365572.8927762001</v>
          </cell>
          <cell r="D1010">
            <v>0.73650183943486702</v>
          </cell>
          <cell r="E1010">
            <v>271582</v>
          </cell>
          <cell r="F1010">
            <v>200020.64255739999</v>
          </cell>
          <cell r="G1010">
            <v>8.4554842156082888E-2</v>
          </cell>
          <cell r="I1010" t="str">
            <v>VA</v>
          </cell>
          <cell r="J1010" t="str">
            <v>Med</v>
          </cell>
          <cell r="K1010">
            <v>66000</v>
          </cell>
        </row>
        <row r="1011">
          <cell r="C1011">
            <v>2403315.3634619899</v>
          </cell>
          <cell r="D1011">
            <v>0.75238118376841001</v>
          </cell>
          <cell r="E1011">
            <v>265798</v>
          </cell>
          <cell r="F1011">
            <v>199981.41388327599</v>
          </cell>
          <cell r="G1011">
            <v>8.3210641817394113E-2</v>
          </cell>
          <cell r="I1011" t="str">
            <v>VA</v>
          </cell>
          <cell r="J1011" t="str">
            <v>Med</v>
          </cell>
          <cell r="K1011">
            <v>70332.333333333328</v>
          </cell>
        </row>
        <row r="1012">
          <cell r="C1012">
            <v>2626319.6120929001</v>
          </cell>
          <cell r="D1012">
            <v>0.74527478037793005</v>
          </cell>
          <cell r="E1012">
            <v>240795</v>
          </cell>
          <cell r="F1012">
            <v>179458.44074110399</v>
          </cell>
          <cell r="G1012">
            <v>6.833076976419275E-2</v>
          </cell>
          <cell r="I1012" t="str">
            <v>VA</v>
          </cell>
          <cell r="J1012" t="str">
            <v>Med</v>
          </cell>
          <cell r="K1012">
            <v>86125.666666666672</v>
          </cell>
        </row>
        <row r="1013">
          <cell r="C1013">
            <v>2694578.71421012</v>
          </cell>
          <cell r="D1013">
            <v>0.71114204282344895</v>
          </cell>
          <cell r="E1013">
            <v>246033</v>
          </cell>
          <cell r="F1013">
            <v>174964.41022198199</v>
          </cell>
          <cell r="G1013">
            <v>6.4932009333885973E-2</v>
          </cell>
          <cell r="I1013" t="str">
            <v>VA</v>
          </cell>
          <cell r="J1013" t="str">
            <v>Med</v>
          </cell>
          <cell r="K1013">
            <v>66868.333333333328</v>
          </cell>
        </row>
        <row r="1014">
          <cell r="C1014">
            <v>2664779.2515400602</v>
          </cell>
          <cell r="D1014">
            <v>0.76951978889424399</v>
          </cell>
          <cell r="E1014">
            <v>264469</v>
          </cell>
          <cell r="F1014">
            <v>203514.12904907201</v>
          </cell>
          <cell r="G1014">
            <v>7.6371852914816407E-2</v>
          </cell>
          <cell r="I1014" t="str">
            <v>VA</v>
          </cell>
          <cell r="J1014" t="str">
            <v>Med</v>
          </cell>
          <cell r="K1014">
            <v>82692.666666666672</v>
          </cell>
        </row>
        <row r="1015">
          <cell r="C1015">
            <v>2539391.93557898</v>
          </cell>
          <cell r="D1015">
            <v>0.73597000662242595</v>
          </cell>
          <cell r="E1015">
            <v>266235</v>
          </cell>
          <cell r="F1015">
            <v>195940.97471312201</v>
          </cell>
          <cell r="G1015">
            <v>7.7160587921788273E-2</v>
          </cell>
          <cell r="I1015" t="str">
            <v>VA</v>
          </cell>
          <cell r="J1015" t="str">
            <v>Med</v>
          </cell>
          <cell r="K1015">
            <v>75777.666666666672</v>
          </cell>
        </row>
        <row r="1016">
          <cell r="C1016">
            <v>3193351.2946065501</v>
          </cell>
          <cell r="D1016">
            <v>0.79189209404197003</v>
          </cell>
          <cell r="E1016">
            <v>206964</v>
          </cell>
          <cell r="F1016">
            <v>163893.155351302</v>
          </cell>
          <cell r="G1016">
            <v>5.1323246405151651E-2</v>
          </cell>
          <cell r="I1016" t="str">
            <v>VA</v>
          </cell>
          <cell r="J1016" t="str">
            <v>High</v>
          </cell>
          <cell r="K1016">
            <v>123264</v>
          </cell>
        </row>
        <row r="1017">
          <cell r="C1017">
            <v>3439538.5469502001</v>
          </cell>
          <cell r="D1017">
            <v>0.73103210359369297</v>
          </cell>
          <cell r="E1017">
            <v>224519</v>
          </cell>
          <cell r="F1017">
            <v>164130.59686675199</v>
          </cell>
          <cell r="G1017">
            <v>4.7718783966612249E-2</v>
          </cell>
          <cell r="I1017" t="str">
            <v>VA</v>
          </cell>
          <cell r="J1017" t="str">
            <v>High</v>
          </cell>
          <cell r="K1017">
            <v>130123</v>
          </cell>
        </row>
        <row r="1018">
          <cell r="C1018">
            <v>2387366.1492230198</v>
          </cell>
          <cell r="D1018">
            <v>0.76656044336338602</v>
          </cell>
          <cell r="E1018">
            <v>237734</v>
          </cell>
          <cell r="F1018">
            <v>182237.48044255099</v>
          </cell>
          <cell r="G1018">
            <v>7.6334114271437201E-2</v>
          </cell>
          <cell r="I1018" t="str">
            <v>VA</v>
          </cell>
          <cell r="J1018" t="str">
            <v>Med</v>
          </cell>
          <cell r="K1018">
            <v>64149.333333333336</v>
          </cell>
        </row>
        <row r="1019">
          <cell r="C1019">
            <v>2245568.4824375901</v>
          </cell>
          <cell r="D1019">
            <v>0.77927636684239499</v>
          </cell>
          <cell r="E1019">
            <v>261130</v>
          </cell>
          <cell r="F1019">
            <v>203492.43767355499</v>
          </cell>
          <cell r="G1019">
            <v>9.0619564384276374E-2</v>
          </cell>
          <cell r="I1019" t="str">
            <v>VA</v>
          </cell>
          <cell r="J1019" t="str">
            <v>Med</v>
          </cell>
          <cell r="K1019">
            <v>57821.333333333336</v>
          </cell>
        </row>
        <row r="1020">
          <cell r="C1020">
            <v>1958595.5189050401</v>
          </cell>
          <cell r="D1020">
            <v>0.71412622778559998</v>
          </cell>
          <cell r="E1020">
            <v>272778</v>
          </cell>
          <cell r="F1020">
            <v>194797.92416289999</v>
          </cell>
          <cell r="G1020">
            <v>9.9457964792956571E-2</v>
          </cell>
          <cell r="I1020" t="str">
            <v>VA</v>
          </cell>
          <cell r="J1020" t="str">
            <v>Med</v>
          </cell>
          <cell r="K1020">
            <v>47096</v>
          </cell>
        </row>
        <row r="1021">
          <cell r="C1021">
            <v>3096677.7177975602</v>
          </cell>
          <cell r="D1021">
            <v>0.78755148165678601</v>
          </cell>
          <cell r="E1021">
            <v>218809</v>
          </cell>
          <cell r="F1021">
            <v>172323.35214984001</v>
          </cell>
          <cell r="G1021">
            <v>5.5647816096407017E-2</v>
          </cell>
          <cell r="I1021" t="str">
            <v>VA</v>
          </cell>
          <cell r="J1021" t="str">
            <v>High</v>
          </cell>
          <cell r="K1021">
            <v>111399</v>
          </cell>
        </row>
        <row r="1022">
          <cell r="C1022">
            <v>3404264.2497833101</v>
          </cell>
          <cell r="D1022">
            <v>0.78062348021958095</v>
          </cell>
          <cell r="E1022">
            <v>214961</v>
          </cell>
          <cell r="F1022">
            <v>167803.60393148099</v>
          </cell>
          <cell r="G1022">
            <v>4.9292179343058372E-2</v>
          </cell>
          <cell r="I1022" t="str">
            <v>VA</v>
          </cell>
          <cell r="J1022" t="str">
            <v>High</v>
          </cell>
          <cell r="K1022">
            <v>126832.33333333333</v>
          </cell>
        </row>
        <row r="1023">
          <cell r="C1023">
            <v>1656616.59392863</v>
          </cell>
          <cell r="D1023">
            <v>0.75145767332320301</v>
          </cell>
          <cell r="E1023">
            <v>214570</v>
          </cell>
          <cell r="F1023">
            <v>161240.27296495999</v>
          </cell>
          <cell r="G1023">
            <v>9.7331074405443571E-2</v>
          </cell>
          <cell r="I1023" t="str">
            <v>VA</v>
          </cell>
          <cell r="J1023" t="str">
            <v>Low</v>
          </cell>
          <cell r="K1023">
            <v>25878</v>
          </cell>
        </row>
        <row r="1024">
          <cell r="C1024">
            <v>2548377.73881752</v>
          </cell>
          <cell r="D1024">
            <v>0.70745798956455797</v>
          </cell>
          <cell r="E1024">
            <v>252896</v>
          </cell>
          <cell r="F1024">
            <v>178913.29572891799</v>
          </cell>
          <cell r="G1024">
            <v>7.0206740940978424E-2</v>
          </cell>
          <cell r="I1024" t="str">
            <v>VA</v>
          </cell>
          <cell r="J1024" t="str">
            <v>Med</v>
          </cell>
          <cell r="K1024">
            <v>78901.666666666672</v>
          </cell>
        </row>
        <row r="1025">
          <cell r="C1025">
            <v>2369145.7651088</v>
          </cell>
          <cell r="D1025">
            <v>0.79818764255796404</v>
          </cell>
          <cell r="E1025">
            <v>202811</v>
          </cell>
          <cell r="F1025">
            <v>161881.233974823</v>
          </cell>
          <cell r="G1025">
            <v>6.8328946390256745E-2</v>
          </cell>
          <cell r="I1025" t="str">
            <v>VA</v>
          </cell>
          <cell r="J1025" t="str">
            <v>Med</v>
          </cell>
          <cell r="K1025">
            <v>72992</v>
          </cell>
        </row>
        <row r="1026">
          <cell r="C1026">
            <v>3136615.7665888602</v>
          </cell>
          <cell r="D1026">
            <v>0.75591035528617001</v>
          </cell>
          <cell r="E1026">
            <v>189604</v>
          </cell>
          <cell r="F1026">
            <v>143323.62700367899</v>
          </cell>
          <cell r="G1026">
            <v>4.5693715032092262E-2</v>
          </cell>
          <cell r="I1026" t="str">
            <v>VA</v>
          </cell>
          <cell r="J1026" t="str">
            <v>High</v>
          </cell>
          <cell r="K1026">
            <v>119878</v>
          </cell>
        </row>
        <row r="1027">
          <cell r="C1027">
            <v>2059662.90717437</v>
          </cell>
          <cell r="D1027">
            <v>0.764364186393656</v>
          </cell>
          <cell r="E1027">
            <v>218600</v>
          </cell>
          <cell r="F1027">
            <v>167090.011145653</v>
          </cell>
          <cell r="G1027">
            <v>8.1124930960125921E-2</v>
          </cell>
          <cell r="I1027" t="str">
            <v>VA</v>
          </cell>
          <cell r="J1027" t="str">
            <v>Med</v>
          </cell>
          <cell r="K1027">
            <v>55273.333333333336</v>
          </cell>
        </row>
        <row r="1028">
          <cell r="C1028">
            <v>2913792.6286156001</v>
          </cell>
          <cell r="D1028">
            <v>0.75892214322888696</v>
          </cell>
          <cell r="E1028">
            <v>199289</v>
          </cell>
          <cell r="F1028">
            <v>151244.835001942</v>
          </cell>
          <cell r="G1028">
            <v>5.1906519879488265E-2</v>
          </cell>
          <cell r="I1028" t="str">
            <v>VA</v>
          </cell>
          <cell r="J1028" t="str">
            <v>High</v>
          </cell>
          <cell r="K1028">
            <v>108975.66666666667</v>
          </cell>
        </row>
        <row r="1029">
          <cell r="C1029">
            <v>2329444.3937617601</v>
          </cell>
          <cell r="D1029">
            <v>0.78147479038482504</v>
          </cell>
          <cell r="E1029">
            <v>207442</v>
          </cell>
          <cell r="F1029">
            <v>162110.693467009</v>
          </cell>
          <cell r="G1029">
            <v>6.9591999663585272E-2</v>
          </cell>
          <cell r="I1029" t="str">
            <v>VA</v>
          </cell>
          <cell r="J1029" t="str">
            <v>Med</v>
          </cell>
          <cell r="K1029">
            <v>70133</v>
          </cell>
        </row>
        <row r="1030">
          <cell r="C1030">
            <v>2424115.0282284701</v>
          </cell>
          <cell r="D1030">
            <v>0.75803635046792195</v>
          </cell>
          <cell r="E1030">
            <v>210242</v>
          </cell>
          <cell r="F1030">
            <v>159371.078395077</v>
          </cell>
          <cell r="G1030">
            <v>6.5744024742730348E-2</v>
          </cell>
          <cell r="I1030" t="str">
            <v>VA</v>
          </cell>
          <cell r="J1030" t="str">
            <v>Med</v>
          </cell>
          <cell r="K1030">
            <v>73769</v>
          </cell>
        </row>
        <row r="1031">
          <cell r="C1031">
            <v>2979288.5055295299</v>
          </cell>
          <cell r="D1031">
            <v>0.74464848521997895</v>
          </cell>
          <cell r="E1031">
            <v>194636</v>
          </cell>
          <cell r="F1031">
            <v>144935.40256927599</v>
          </cell>
          <cell r="G1031">
            <v>4.8647656076367674E-2</v>
          </cell>
          <cell r="I1031" t="str">
            <v>VA</v>
          </cell>
          <cell r="J1031" t="str">
            <v>High</v>
          </cell>
          <cell r="K1031">
            <v>117573.33333333333</v>
          </cell>
        </row>
        <row r="1032">
          <cell r="C1032">
            <v>1851661.81612472</v>
          </cell>
          <cell r="D1032">
            <v>0.76002646141705599</v>
          </cell>
          <cell r="E1032">
            <v>194667</v>
          </cell>
          <cell r="F1032">
            <v>147952.07116467401</v>
          </cell>
          <cell r="G1032">
            <v>7.9902317948273002E-2</v>
          </cell>
          <cell r="I1032" t="str">
            <v>VA</v>
          </cell>
          <cell r="J1032" t="str">
            <v>Med</v>
          </cell>
          <cell r="K1032">
            <v>43634.333333333336</v>
          </cell>
        </row>
        <row r="1033">
          <cell r="C1033">
            <v>2275911.3155955202</v>
          </cell>
          <cell r="D1033">
            <v>0.77104127082820195</v>
          </cell>
          <cell r="E1033">
            <v>223704</v>
          </cell>
          <cell r="F1033">
            <v>172485.016449352</v>
          </cell>
          <cell r="G1033">
            <v>7.5787230929171404E-2</v>
          </cell>
          <cell r="I1033" t="str">
            <v>VA</v>
          </cell>
          <cell r="J1033" t="str">
            <v>Med</v>
          </cell>
          <cell r="K1033">
            <v>68834</v>
          </cell>
        </row>
        <row r="1034">
          <cell r="C1034">
            <v>2658883.4555563801</v>
          </cell>
          <cell r="D1034">
            <v>0.71860695602983304</v>
          </cell>
          <cell r="E1034">
            <v>244949</v>
          </cell>
          <cell r="F1034">
            <v>176022.05527255201</v>
          </cell>
          <cell r="G1034">
            <v>6.6201493301525249E-2</v>
          </cell>
          <cell r="I1034" t="str">
            <v>VA</v>
          </cell>
          <cell r="J1034" t="str">
            <v>Med</v>
          </cell>
          <cell r="K1034">
            <v>90147.333333333328</v>
          </cell>
        </row>
        <row r="1035">
          <cell r="C1035">
            <v>2425597.0321815698</v>
          </cell>
          <cell r="D1035">
            <v>0.73595255605256804</v>
          </cell>
          <cell r="E1035">
            <v>212992</v>
          </cell>
          <cell r="F1035">
            <v>156752.00681874901</v>
          </cell>
          <cell r="G1035">
            <v>6.4624092435406316E-2</v>
          </cell>
          <cell r="I1035" t="str">
            <v>VA</v>
          </cell>
          <cell r="J1035" t="str">
            <v>Med</v>
          </cell>
          <cell r="K1035">
            <v>75389.666666666672</v>
          </cell>
        </row>
        <row r="1036">
          <cell r="C1036">
            <v>2640350.9194311802</v>
          </cell>
          <cell r="D1036">
            <v>0.73717366980364596</v>
          </cell>
          <cell r="E1036">
            <v>226764</v>
          </cell>
          <cell r="F1036">
            <v>167164.45005935401</v>
          </cell>
          <cell r="G1036">
            <v>6.3311451833594462E-2</v>
          </cell>
          <cell r="I1036" t="str">
            <v>VA</v>
          </cell>
          <cell r="J1036" t="str">
            <v>Med</v>
          </cell>
          <cell r="K1036">
            <v>90636.666666666672</v>
          </cell>
        </row>
        <row r="1037">
          <cell r="C1037">
            <v>2768618.6761848498</v>
          </cell>
          <cell r="D1037">
            <v>0.73721752871184298</v>
          </cell>
          <cell r="E1037">
            <v>193065</v>
          </cell>
          <cell r="F1037">
            <v>142330.90218075199</v>
          </cell>
          <cell r="G1037">
            <v>5.1408633267216002E-2</v>
          </cell>
          <cell r="I1037" t="str">
            <v>VA</v>
          </cell>
          <cell r="J1037" t="str">
            <v>High</v>
          </cell>
          <cell r="K1037">
            <v>104337.66666666667</v>
          </cell>
        </row>
        <row r="1038">
          <cell r="C1038">
            <v>2355888.5492674098</v>
          </cell>
          <cell r="D1038">
            <v>0.78751420688184404</v>
          </cell>
          <cell r="E1038">
            <v>225602</v>
          </cell>
          <cell r="F1038">
            <v>177664.78010095801</v>
          </cell>
          <cell r="G1038">
            <v>7.5413066613955443E-2</v>
          </cell>
          <cell r="I1038" t="str">
            <v>VA</v>
          </cell>
          <cell r="J1038" t="str">
            <v>Med</v>
          </cell>
          <cell r="K1038">
            <v>74166.666666666672</v>
          </cell>
        </row>
        <row r="1039">
          <cell r="C1039">
            <v>2335023.5974590299</v>
          </cell>
          <cell r="D1039">
            <v>0.75438048286625803</v>
          </cell>
          <cell r="E1039">
            <v>242379</v>
          </cell>
          <cell r="F1039">
            <v>182845.987056641</v>
          </cell>
          <cell r="G1039">
            <v>7.8305841215315253E-2</v>
          </cell>
          <cell r="I1039" t="str">
            <v>VA</v>
          </cell>
          <cell r="J1039" t="str">
            <v>Med</v>
          </cell>
          <cell r="K1039">
            <v>46839.666666666664</v>
          </cell>
        </row>
        <row r="1040">
          <cell r="C1040">
            <v>2371310.2811784698</v>
          </cell>
          <cell r="D1040">
            <v>0.76856031862144703</v>
          </cell>
          <cell r="E1040">
            <v>198966</v>
          </cell>
          <cell r="F1040">
            <v>152917.37235483501</v>
          </cell>
          <cell r="G1040">
            <v>6.4486445982446336E-2</v>
          </cell>
          <cell r="I1040" t="str">
            <v>VA</v>
          </cell>
          <cell r="J1040" t="str">
            <v>Med</v>
          </cell>
          <cell r="K1040">
            <v>76752</v>
          </cell>
        </row>
        <row r="1041">
          <cell r="C1041">
            <v>4082616.1990568498</v>
          </cell>
          <cell r="D1041">
            <v>0.74718915447709</v>
          </cell>
          <cell r="E1041">
            <v>110450</v>
          </cell>
          <cell r="F1041">
            <v>82527.042111994597</v>
          </cell>
          <cell r="G1041">
            <v>2.0214254313461959E-2</v>
          </cell>
          <cell r="I1041" t="str">
            <v>VA</v>
          </cell>
          <cell r="J1041" t="str">
            <v>High</v>
          </cell>
          <cell r="K1041">
            <v>176011.66666666666</v>
          </cell>
        </row>
        <row r="1042">
          <cell r="C1042">
            <v>2823951.4352425402</v>
          </cell>
          <cell r="D1042">
            <v>0.77315285016424096</v>
          </cell>
          <cell r="E1042">
            <v>222623</v>
          </cell>
          <cell r="F1042">
            <v>172121.60696211399</v>
          </cell>
          <cell r="G1042">
            <v>6.0950625713338806E-2</v>
          </cell>
          <cell r="I1042" t="str">
            <v>VA</v>
          </cell>
          <cell r="J1042" t="str">
            <v>High</v>
          </cell>
          <cell r="K1042">
            <v>101048.66666666667</v>
          </cell>
        </row>
        <row r="1043">
          <cell r="C1043">
            <v>2209011.4465275998</v>
          </cell>
          <cell r="D1043">
            <v>0.73812748349017099</v>
          </cell>
          <cell r="E1043">
            <v>237847</v>
          </cell>
          <cell r="F1043">
            <v>175561.407565687</v>
          </cell>
          <cell r="G1043">
            <v>7.9475100883545147E-2</v>
          </cell>
          <cell r="I1043" t="str">
            <v>VA</v>
          </cell>
          <cell r="J1043" t="str">
            <v>Med</v>
          </cell>
          <cell r="K1043">
            <v>66000</v>
          </cell>
        </row>
        <row r="1044">
          <cell r="C1044">
            <v>2320647.4350646301</v>
          </cell>
          <cell r="D1044">
            <v>0.74416304112261999</v>
          </cell>
          <cell r="E1044">
            <v>237284</v>
          </cell>
          <cell r="F1044">
            <v>176577.98304974</v>
          </cell>
          <cell r="G1044">
            <v>7.6089965404340834E-2</v>
          </cell>
          <cell r="I1044" t="str">
            <v>VA</v>
          </cell>
          <cell r="J1044" t="str">
            <v>Med</v>
          </cell>
          <cell r="K1044">
            <v>70332.333333333328</v>
          </cell>
        </row>
        <row r="1045">
          <cell r="C1045">
            <v>2475053.5411310098</v>
          </cell>
          <cell r="D1045">
            <v>0.78012751249426504</v>
          </cell>
          <cell r="E1045">
            <v>206257</v>
          </cell>
          <cell r="F1045">
            <v>160906.76034452999</v>
          </cell>
          <cell r="G1045">
            <v>6.5011426084544993E-2</v>
          </cell>
          <cell r="I1045" t="str">
            <v>VA</v>
          </cell>
          <cell r="J1045" t="str">
            <v>Med</v>
          </cell>
          <cell r="K1045">
            <v>86125.666666666672</v>
          </cell>
        </row>
        <row r="1046">
          <cell r="C1046">
            <v>2518408.9145028498</v>
          </cell>
          <cell r="D1046">
            <v>0.71934685712883495</v>
          </cell>
          <cell r="E1046">
            <v>210206</v>
          </cell>
          <cell r="F1046">
            <v>151211.02544962399</v>
          </cell>
          <cell r="G1046">
            <v>6.0042284864399803E-2</v>
          </cell>
          <cell r="I1046" t="str">
            <v>VA</v>
          </cell>
          <cell r="J1046" t="str">
            <v>Med</v>
          </cell>
          <cell r="K1046">
            <v>66868.333333333328</v>
          </cell>
        </row>
        <row r="1047">
          <cell r="C1047">
            <v>2589662.8825358702</v>
          </cell>
          <cell r="D1047">
            <v>0.77611735741808097</v>
          </cell>
          <cell r="E1047">
            <v>229108</v>
          </cell>
          <cell r="F1047">
            <v>177814.695523342</v>
          </cell>
          <cell r="G1047">
            <v>6.8663259887024708E-2</v>
          </cell>
          <cell r="I1047" t="str">
            <v>VA</v>
          </cell>
          <cell r="J1047" t="str">
            <v>Med</v>
          </cell>
          <cell r="K1047">
            <v>82692.666666666672</v>
          </cell>
        </row>
        <row r="1048">
          <cell r="C1048">
            <v>2390504.95543969</v>
          </cell>
          <cell r="D1048">
            <v>0.75457332580465097</v>
          </cell>
          <cell r="E1048">
            <v>228428</v>
          </cell>
          <cell r="F1048">
            <v>172365.67566690501</v>
          </cell>
          <cell r="G1048">
            <v>7.2104295485637876E-2</v>
          </cell>
          <cell r="I1048" t="str">
            <v>VA</v>
          </cell>
          <cell r="J1048" t="str">
            <v>Med</v>
          </cell>
          <cell r="K1048">
            <v>75777.666666666672</v>
          </cell>
        </row>
        <row r="1049">
          <cell r="C1049">
            <v>3070252.4614569601</v>
          </cell>
          <cell r="D1049">
            <v>0.80026410097886003</v>
          </cell>
          <cell r="E1049">
            <v>185893</v>
          </cell>
          <cell r="F1049">
            <v>148763.49452326301</v>
          </cell>
          <cell r="G1049">
            <v>4.8453179792475001E-2</v>
          </cell>
          <cell r="I1049" t="str">
            <v>VA</v>
          </cell>
          <cell r="J1049" t="str">
            <v>High</v>
          </cell>
          <cell r="K1049">
            <v>123264</v>
          </cell>
        </row>
        <row r="1050">
          <cell r="C1050">
            <v>3278857.0554432999</v>
          </cell>
          <cell r="D1050">
            <v>0.78105918603327396</v>
          </cell>
          <cell r="E1050">
            <v>188900</v>
          </cell>
          <cell r="F1050">
            <v>147542.080241686</v>
          </cell>
          <cell r="G1050">
            <v>4.4998021489454157E-2</v>
          </cell>
          <cell r="I1050" t="str">
            <v>VA</v>
          </cell>
          <cell r="J1050" t="str">
            <v>High</v>
          </cell>
          <cell r="K1050">
            <v>130123</v>
          </cell>
        </row>
        <row r="1051">
          <cell r="C1051">
            <v>2246680.6648573098</v>
          </cell>
          <cell r="D1051">
            <v>0.780373198774026</v>
          </cell>
          <cell r="E1051">
            <v>201603</v>
          </cell>
          <cell r="F1051">
            <v>157325.57799244</v>
          </cell>
          <cell r="G1051">
            <v>7.0025785352290815E-2</v>
          </cell>
          <cell r="I1051" t="str">
            <v>VA</v>
          </cell>
          <cell r="J1051" t="str">
            <v>Med</v>
          </cell>
          <cell r="K1051">
            <v>64149.333333333336</v>
          </cell>
        </row>
        <row r="1052">
          <cell r="C1052">
            <v>2128649.7915213099</v>
          </cell>
          <cell r="D1052">
            <v>0.81562195801339599</v>
          </cell>
          <cell r="E1052">
            <v>212059</v>
          </cell>
          <cell r="F1052">
            <v>172959.976794363</v>
          </cell>
          <cell r="G1052">
            <v>8.1253373609545904E-2</v>
          </cell>
          <cell r="I1052" t="str">
            <v>VA</v>
          </cell>
          <cell r="J1052" t="str">
            <v>Med</v>
          </cell>
          <cell r="K1052">
            <v>57821.333333333336</v>
          </cell>
        </row>
        <row r="1053">
          <cell r="C1053">
            <v>1923886.44226163</v>
          </cell>
          <cell r="D1053">
            <v>0.72226066261206201</v>
          </cell>
          <cell r="E1053">
            <v>245259</v>
          </cell>
          <cell r="F1053">
            <v>177140.92785157199</v>
          </cell>
          <cell r="G1053">
            <v>9.2074523714265319E-2</v>
          </cell>
          <cell r="I1053" t="str">
            <v>VA</v>
          </cell>
          <cell r="J1053" t="str">
            <v>Med</v>
          </cell>
          <cell r="K1053">
            <v>47096</v>
          </cell>
        </row>
        <row r="1054">
          <cell r="C1054">
            <v>2953067.6838453501</v>
          </cell>
          <cell r="D1054">
            <v>0.81046469679222999</v>
          </cell>
          <cell r="E1054">
            <v>191227</v>
          </cell>
          <cell r="F1054">
            <v>154982.732573488</v>
          </cell>
          <cell r="G1054">
            <v>5.2481943919306502E-2</v>
          </cell>
          <cell r="I1054" t="str">
            <v>VA</v>
          </cell>
          <cell r="J1054" t="str">
            <v>High</v>
          </cell>
          <cell r="K1054">
            <v>111399</v>
          </cell>
        </row>
        <row r="1055">
          <cell r="C1055">
            <v>3241915.1086792699</v>
          </cell>
          <cell r="D1055">
            <v>0.79842026740107797</v>
          </cell>
          <cell r="E1055">
            <v>184968</v>
          </cell>
          <cell r="F1055">
            <v>147682.20002064301</v>
          </cell>
          <cell r="G1055">
            <v>4.5553999740853036E-2</v>
          </cell>
          <cell r="I1055" t="str">
            <v>VA</v>
          </cell>
          <cell r="J1055" t="str">
            <v>High</v>
          </cell>
          <cell r="K1055">
            <v>126832.33333333333</v>
          </cell>
        </row>
        <row r="1056">
          <cell r="C1056">
            <v>1590907.0820506499</v>
          </cell>
          <cell r="D1056">
            <v>0.763163455158545</v>
          </cell>
          <cell r="E1056">
            <v>176838</v>
          </cell>
          <cell r="F1056">
            <v>134956.299083327</v>
          </cell>
          <cell r="G1056">
            <v>8.4829780825018908E-2</v>
          </cell>
          <cell r="I1056" t="str">
            <v>VA</v>
          </cell>
          <cell r="J1056" t="str">
            <v>Low</v>
          </cell>
          <cell r="K1056">
            <v>25878</v>
          </cell>
        </row>
        <row r="1057">
          <cell r="C1057">
            <v>2417802.5941605102</v>
          </cell>
          <cell r="D1057">
            <v>0.72350909361915505</v>
          </cell>
          <cell r="E1057">
            <v>219024</v>
          </cell>
          <cell r="F1057">
            <v>158465.855720842</v>
          </cell>
          <cell r="G1057">
            <v>6.5541271278130642E-2</v>
          </cell>
          <cell r="I1057" t="str">
            <v>VA</v>
          </cell>
          <cell r="J1057" t="str">
            <v>Med</v>
          </cell>
          <cell r="K1057">
            <v>78901.666666666672</v>
          </cell>
        </row>
        <row r="1058">
          <cell r="C1058">
            <v>2343906.2569973501</v>
          </cell>
          <cell r="D1058">
            <v>0.75866103563419696</v>
          </cell>
          <cell r="E1058">
            <v>206579</v>
          </cell>
          <cell r="F1058">
            <v>156723.438080277</v>
          </cell>
          <cell r="G1058">
            <v>6.6864209100685967E-2</v>
          </cell>
          <cell r="I1058" t="str">
            <v>VA</v>
          </cell>
          <cell r="J1058" t="str">
            <v>Med</v>
          </cell>
          <cell r="K1058">
            <v>72992</v>
          </cell>
        </row>
        <row r="1059">
          <cell r="C1059">
            <v>3112999.6677998598</v>
          </cell>
          <cell r="D1059">
            <v>0.75074156824500304</v>
          </cell>
          <cell r="E1059">
            <v>180319</v>
          </cell>
          <cell r="F1059">
            <v>135372.968844371</v>
          </cell>
          <cell r="G1059">
            <v>4.3486342207047855E-2</v>
          </cell>
          <cell r="I1059" t="str">
            <v>VA</v>
          </cell>
          <cell r="J1059" t="str">
            <v>High</v>
          </cell>
          <cell r="K1059">
            <v>119878</v>
          </cell>
        </row>
        <row r="1060">
          <cell r="C1060">
            <v>2063084.85427161</v>
          </cell>
          <cell r="D1060">
            <v>0.74761087255396297</v>
          </cell>
          <cell r="E1060">
            <v>219365</v>
          </cell>
          <cell r="F1060">
            <v>163999.65905779999</v>
          </cell>
          <cell r="G1060">
            <v>7.9492444878473734E-2</v>
          </cell>
          <cell r="I1060" t="str">
            <v>VA</v>
          </cell>
          <cell r="J1060" t="str">
            <v>Med</v>
          </cell>
          <cell r="K1060">
            <v>55273.333333333336</v>
          </cell>
        </row>
        <row r="1061">
          <cell r="C1061">
            <v>2982158.7727715001</v>
          </cell>
          <cell r="D1061">
            <v>0.741853213201349</v>
          </cell>
          <cell r="E1061">
            <v>198704</v>
          </cell>
          <cell r="F1061">
            <v>147409.20087596099</v>
          </cell>
          <cell r="G1061">
            <v>4.9430366425113149E-2</v>
          </cell>
          <cell r="I1061" t="str">
            <v>VA</v>
          </cell>
          <cell r="J1061" t="str">
            <v>High</v>
          </cell>
          <cell r="K1061">
            <v>108975.66666666667</v>
          </cell>
        </row>
        <row r="1062">
          <cell r="C1062">
            <v>2368920.9902581</v>
          </cell>
          <cell r="D1062">
            <v>0.77523059998361599</v>
          </cell>
          <cell r="E1062">
            <v>203932</v>
          </cell>
          <cell r="F1062">
            <v>158094.326715859</v>
          </cell>
          <cell r="G1062">
            <v>6.6736850813514978E-2</v>
          </cell>
          <cell r="I1062" t="str">
            <v>VA</v>
          </cell>
          <cell r="J1062" t="str">
            <v>Med</v>
          </cell>
          <cell r="K1062">
            <v>70133</v>
          </cell>
        </row>
        <row r="1063">
          <cell r="C1063">
            <v>2512652.8266797899</v>
          </cell>
          <cell r="D1063">
            <v>0.77868227834244397</v>
          </cell>
          <cell r="E1063">
            <v>210532</v>
          </cell>
          <cell r="F1063">
            <v>163937.53742399099</v>
          </cell>
          <cell r="G1063">
            <v>6.52448024984882E-2</v>
          </cell>
          <cell r="I1063" t="str">
            <v>VA</v>
          </cell>
          <cell r="J1063" t="str">
            <v>Med</v>
          </cell>
          <cell r="K1063">
            <v>73769</v>
          </cell>
        </row>
        <row r="1064">
          <cell r="C1064">
            <v>2976870.9387755999</v>
          </cell>
          <cell r="D1064">
            <v>0.73615698984187405</v>
          </cell>
          <cell r="E1064">
            <v>188023</v>
          </cell>
          <cell r="F1064">
            <v>138414.44570103899</v>
          </cell>
          <cell r="G1064">
            <v>4.6496622980225492E-2</v>
          </cell>
          <cell r="I1064" t="str">
            <v>VA</v>
          </cell>
          <cell r="J1064" t="str">
            <v>High</v>
          </cell>
          <cell r="K1064">
            <v>117573.33333333333</v>
          </cell>
        </row>
        <row r="1065">
          <cell r="C1065">
            <v>1922272.2559814299</v>
          </cell>
          <cell r="D1065">
            <v>0.76504999991404099</v>
          </cell>
          <cell r="E1065">
            <v>191441</v>
          </cell>
          <cell r="F1065">
            <v>146461.937033544</v>
          </cell>
          <cell r="G1065">
            <v>7.6192088075872896E-2</v>
          </cell>
          <cell r="I1065" t="str">
            <v>VA</v>
          </cell>
          <cell r="J1065" t="str">
            <v>Med</v>
          </cell>
          <cell r="K1065">
            <v>43634.333333333336</v>
          </cell>
        </row>
        <row r="1066">
          <cell r="C1066">
            <v>2283891.2591267498</v>
          </cell>
          <cell r="D1066">
            <v>0.74876128107853701</v>
          </cell>
          <cell r="E1066">
            <v>225384</v>
          </cell>
          <cell r="F1066">
            <v>168758.81257460499</v>
          </cell>
          <cell r="G1066">
            <v>7.3890913982975814E-2</v>
          </cell>
          <cell r="I1066" t="str">
            <v>VA</v>
          </cell>
          <cell r="J1066" t="str">
            <v>Med</v>
          </cell>
          <cell r="K1066">
            <v>68834</v>
          </cell>
        </row>
        <row r="1067">
          <cell r="C1067">
            <v>2624156.7944179801</v>
          </cell>
          <cell r="D1067">
            <v>0.72298972205951495</v>
          </cell>
          <cell r="E1067">
            <v>230975</v>
          </cell>
          <cell r="F1067">
            <v>166992.551052697</v>
          </cell>
          <cell r="G1067">
            <v>6.3636651364704297E-2</v>
          </cell>
          <cell r="I1067" t="str">
            <v>VA</v>
          </cell>
          <cell r="J1067" t="str">
            <v>Med</v>
          </cell>
          <cell r="K1067">
            <v>90147.333333333328</v>
          </cell>
        </row>
        <row r="1068">
          <cell r="C1068">
            <v>2399755.67008289</v>
          </cell>
          <cell r="D1068">
            <v>0.78429765931834505</v>
          </cell>
          <cell r="E1068">
            <v>193064</v>
          </cell>
          <cell r="F1068">
            <v>151419.64329863701</v>
          </cell>
          <cell r="G1068">
            <v>6.309794167228984E-2</v>
          </cell>
          <cell r="I1068" t="str">
            <v>VA</v>
          </cell>
          <cell r="J1068" t="str">
            <v>Med</v>
          </cell>
          <cell r="K1068">
            <v>75389.666666666672</v>
          </cell>
        </row>
        <row r="1069">
          <cell r="C1069">
            <v>2663534.2076906399</v>
          </cell>
          <cell r="D1069">
            <v>0.74134295185480803</v>
          </cell>
          <cell r="E1069">
            <v>216391</v>
          </cell>
          <cell r="F1069">
            <v>160419.942694814</v>
          </cell>
          <cell r="G1069">
            <v>6.0228226929325855E-2</v>
          </cell>
          <cell r="I1069" t="str">
            <v>VA</v>
          </cell>
          <cell r="J1069" t="str">
            <v>Med</v>
          </cell>
          <cell r="K1069">
            <v>90636.666666666672</v>
          </cell>
        </row>
        <row r="1070">
          <cell r="C1070">
            <v>2825718.4923417298</v>
          </cell>
          <cell r="D1070">
            <v>0.73255275627712202</v>
          </cell>
          <cell r="E1070">
            <v>195578</v>
          </cell>
          <cell r="F1070">
            <v>143271.20296716699</v>
          </cell>
          <cell r="G1070">
            <v>5.0702574709922808E-2</v>
          </cell>
          <cell r="I1070" t="str">
            <v>VA</v>
          </cell>
          <cell r="J1070" t="str">
            <v>High</v>
          </cell>
          <cell r="K1070">
            <v>104337.66666666667</v>
          </cell>
        </row>
        <row r="1071">
          <cell r="C1071">
            <v>2338477.36974735</v>
          </cell>
          <cell r="D1071">
            <v>0.79063492110212696</v>
          </cell>
          <cell r="E1071">
            <v>217363</v>
          </cell>
          <cell r="F1071">
            <v>171854.77835552199</v>
          </cell>
          <cell r="G1071">
            <v>7.3490032693405649E-2</v>
          </cell>
          <cell r="I1071" t="str">
            <v>VA</v>
          </cell>
          <cell r="J1071" t="str">
            <v>Med</v>
          </cell>
          <cell r="K1071">
            <v>74166.666666666672</v>
          </cell>
        </row>
        <row r="1072">
          <cell r="C1072">
            <v>2337341.83001306</v>
          </cell>
          <cell r="D1072">
            <v>0.74792463581615898</v>
          </cell>
          <cell r="E1072">
            <v>228622</v>
          </cell>
          <cell r="F1072">
            <v>170992.02608956199</v>
          </cell>
          <cell r="G1072">
            <v>7.3156619153393818E-2</v>
          </cell>
          <cell r="I1072" t="str">
            <v>VA</v>
          </cell>
          <cell r="J1072" t="str">
            <v>Med</v>
          </cell>
          <cell r="K1072">
            <v>46839.666666666664</v>
          </cell>
        </row>
        <row r="1073">
          <cell r="C1073">
            <v>2330410.69218831</v>
          </cell>
          <cell r="D1073">
            <v>0.76937837091550998</v>
          </cell>
          <cell r="E1073">
            <v>188418</v>
          </cell>
          <cell r="F1073">
            <v>144964.733891159</v>
          </cell>
          <cell r="G1073">
            <v>6.2205659447534437E-2</v>
          </cell>
          <cell r="I1073" t="str">
            <v>VA</v>
          </cell>
          <cell r="J1073" t="str">
            <v>Med</v>
          </cell>
          <cell r="K1073">
            <v>76752</v>
          </cell>
        </row>
        <row r="1074">
          <cell r="C1074">
            <v>4091968.2248118101</v>
          </cell>
          <cell r="D1074">
            <v>0.73955786130006096</v>
          </cell>
          <cell r="E1074">
            <v>105567</v>
          </cell>
          <cell r="F1074">
            <v>78072.904743863604</v>
          </cell>
          <cell r="G1074">
            <v>1.907954814274106E-2</v>
          </cell>
          <cell r="I1074" t="str">
            <v>VA</v>
          </cell>
          <cell r="J1074" t="str">
            <v>High</v>
          </cell>
          <cell r="K1074">
            <v>176011.66666666666</v>
          </cell>
        </row>
        <row r="1075">
          <cell r="C1075">
            <v>2872935.2025532299</v>
          </cell>
          <cell r="D1075">
            <v>0.77520452233846604</v>
          </cell>
          <cell r="E1075">
            <v>215848</v>
          </cell>
          <cell r="F1075">
            <v>167326.34573771301</v>
          </cell>
          <cell r="G1075">
            <v>5.824229714231182E-2</v>
          </cell>
          <cell r="I1075" t="str">
            <v>VA</v>
          </cell>
          <cell r="J1075" t="str">
            <v>High</v>
          </cell>
          <cell r="K1075">
            <v>101048.66666666667</v>
          </cell>
        </row>
        <row r="1076">
          <cell r="C1076">
            <v>2299547.60595755</v>
          </cell>
          <cell r="D1076">
            <v>0.72070224911643899</v>
          </cell>
          <cell r="E1076">
            <v>237907</v>
          </cell>
          <cell r="F1076">
            <v>171460.10998054501</v>
          </cell>
          <cell r="G1076">
            <v>7.4562539838851319E-2</v>
          </cell>
          <cell r="I1076" t="str">
            <v>VA</v>
          </cell>
          <cell r="J1076" t="str">
            <v>Med</v>
          </cell>
          <cell r="K1076">
            <v>66000</v>
          </cell>
        </row>
        <row r="1077">
          <cell r="C1077">
            <v>2330516.4181618299</v>
          </cell>
          <cell r="D1077">
            <v>0.74659281162435898</v>
          </cell>
          <cell r="E1077">
            <v>226098</v>
          </cell>
          <cell r="F1077">
            <v>168803.141522644</v>
          </cell>
          <cell r="G1077">
            <v>7.2431646568611466E-2</v>
          </cell>
          <cell r="I1077" t="str">
            <v>VA</v>
          </cell>
          <cell r="J1077" t="str">
            <v>Med</v>
          </cell>
          <cell r="K1077">
            <v>70332.333333333328</v>
          </cell>
        </row>
        <row r="1078">
          <cell r="C1078">
            <v>2492126.5774251102</v>
          </cell>
          <cell r="D1078">
            <v>0.75597534316966397</v>
          </cell>
          <cell r="E1078">
            <v>196122</v>
          </cell>
          <cell r="F1078">
            <v>148263.396253121</v>
          </cell>
          <cell r="G1078">
            <v>5.9492723040700531E-2</v>
          </cell>
          <cell r="I1078" t="str">
            <v>VA</v>
          </cell>
          <cell r="J1078" t="str">
            <v>Med</v>
          </cell>
          <cell r="K1078">
            <v>86125.666666666672</v>
          </cell>
        </row>
        <row r="1079">
          <cell r="C1079">
            <v>2604314.0114667998</v>
          </cell>
          <cell r="D1079">
            <v>0.70683566528491004</v>
          </cell>
          <cell r="E1079">
            <v>208633</v>
          </cell>
          <cell r="F1079">
            <v>147469.24535538699</v>
          </cell>
          <cell r="G1079">
            <v>5.6624986351906721E-2</v>
          </cell>
          <cell r="I1079" t="str">
            <v>VA</v>
          </cell>
          <cell r="J1079" t="str">
            <v>Med</v>
          </cell>
          <cell r="K1079">
            <v>66868.333333333328</v>
          </cell>
        </row>
        <row r="1080">
          <cell r="C1080">
            <v>2644005.7445992501</v>
          </cell>
          <cell r="D1080">
            <v>0.77389906777961404</v>
          </cell>
          <cell r="E1080">
            <v>231150</v>
          </cell>
          <cell r="F1080">
            <v>178886.76951725801</v>
          </cell>
          <cell r="G1080">
            <v>6.7657481411551076E-2</v>
          </cell>
          <cell r="I1080" t="str">
            <v>VA</v>
          </cell>
          <cell r="J1080" t="str">
            <v>Med</v>
          </cell>
          <cell r="K1080">
            <v>82692.666666666672</v>
          </cell>
        </row>
        <row r="1081">
          <cell r="C1081">
            <v>2413401.6282311501</v>
          </cell>
          <cell r="D1081">
            <v>0.77945423465663899</v>
          </cell>
          <cell r="E1081">
            <v>217462</v>
          </cell>
          <cell r="F1081">
            <v>169501.67677690199</v>
          </cell>
          <cell r="G1081">
            <v>7.0233513889329122E-2</v>
          </cell>
          <cell r="I1081" t="str">
            <v>VA</v>
          </cell>
          <cell r="J1081" t="str">
            <v>Med</v>
          </cell>
          <cell r="K1081">
            <v>75777.666666666672</v>
          </cell>
        </row>
        <row r="1082">
          <cell r="C1082">
            <v>3170508.6087231501</v>
          </cell>
          <cell r="D1082">
            <v>0.81670913401013101</v>
          </cell>
          <cell r="E1082">
            <v>179246</v>
          </cell>
          <cell r="F1082">
            <v>146391.84543478</v>
          </cell>
          <cell r="G1082">
            <v>4.6172984685172003E-2</v>
          </cell>
          <cell r="I1082" t="str">
            <v>VA</v>
          </cell>
          <cell r="J1082" t="str">
            <v>High</v>
          </cell>
          <cell r="K1082">
            <v>123264</v>
          </cell>
        </row>
        <row r="1083">
          <cell r="C1083">
            <v>3258241.0344704301</v>
          </cell>
          <cell r="D1083">
            <v>0.739832510861129</v>
          </cell>
          <cell r="E1083">
            <v>185773</v>
          </cell>
          <cell r="F1083">
            <v>137440.90504020499</v>
          </cell>
          <cell r="G1083">
            <v>4.2182546836208389E-2</v>
          </cell>
          <cell r="I1083" t="str">
            <v>VA</v>
          </cell>
          <cell r="J1083" t="str">
            <v>High</v>
          </cell>
          <cell r="K1083">
            <v>130123</v>
          </cell>
        </row>
        <row r="1084">
          <cell r="C1084">
            <v>2271649.0694011799</v>
          </cell>
          <cell r="D1084">
            <v>0.78484492522399196</v>
          </cell>
          <cell r="E1084">
            <v>197457</v>
          </cell>
          <cell r="F1084">
            <v>154973.12439995399</v>
          </cell>
          <cell r="G1084">
            <v>6.8220539205382555E-2</v>
          </cell>
          <cell r="I1084" t="str">
            <v>VA</v>
          </cell>
          <cell r="J1084" t="str">
            <v>Med</v>
          </cell>
          <cell r="K1084">
            <v>64149.333333333336</v>
          </cell>
        </row>
        <row r="1085">
          <cell r="C1085">
            <v>2131129.1221715501</v>
          </cell>
          <cell r="D1085">
            <v>0.81615430173322001</v>
          </cell>
          <cell r="E1085">
            <v>204038</v>
          </cell>
          <cell r="F1085">
            <v>166526.491417043</v>
          </cell>
          <cell r="G1085">
            <v>7.8140029003666386E-2</v>
          </cell>
          <cell r="I1085" t="str">
            <v>VA</v>
          </cell>
          <cell r="J1085" t="str">
            <v>Med</v>
          </cell>
          <cell r="K1085">
            <v>57821.333333333336</v>
          </cell>
        </row>
        <row r="1086">
          <cell r="C1086">
            <v>1919774.6537802999</v>
          </cell>
          <cell r="D1086">
            <v>0.71327228757577099</v>
          </cell>
          <cell r="E1086">
            <v>238716</v>
          </cell>
          <cell r="F1086">
            <v>170269.50740093799</v>
          </cell>
          <cell r="G1086">
            <v>8.869244474379008E-2</v>
          </cell>
          <cell r="I1086" t="str">
            <v>VA</v>
          </cell>
          <cell r="J1086" t="str">
            <v>Med</v>
          </cell>
          <cell r="K1086">
            <v>47096</v>
          </cell>
        </row>
        <row r="1087">
          <cell r="C1087">
            <v>3012991.39269344</v>
          </cell>
          <cell r="D1087">
            <v>0.81512028907355805</v>
          </cell>
          <cell r="E1087">
            <v>186632</v>
          </cell>
          <cell r="F1087">
            <v>152127.52979037599</v>
          </cell>
          <cell r="G1087">
            <v>5.0490529166225991E-2</v>
          </cell>
          <cell r="I1087" t="str">
            <v>VA</v>
          </cell>
          <cell r="J1087" t="str">
            <v>High</v>
          </cell>
          <cell r="K1087">
            <v>111399</v>
          </cell>
        </row>
        <row r="1088">
          <cell r="C1088">
            <v>3312413.66312102</v>
          </cell>
          <cell r="D1088">
            <v>0.79158701041567003</v>
          </cell>
          <cell r="E1088">
            <v>180988</v>
          </cell>
          <cell r="F1088">
            <v>143267.74984111101</v>
          </cell>
          <cell r="G1088">
            <v>4.3251768773988626E-2</v>
          </cell>
          <cell r="I1088" t="str">
            <v>VA</v>
          </cell>
          <cell r="J1088" t="str">
            <v>High</v>
          </cell>
          <cell r="K1088">
            <v>126832.33333333333</v>
          </cell>
        </row>
        <row r="1089">
          <cell r="C1089">
            <v>1561518.11618483</v>
          </cell>
          <cell r="D1089">
            <v>0.77369814177241203</v>
          </cell>
          <cell r="E1089">
            <v>165410</v>
          </cell>
          <cell r="F1089">
            <v>127977.409630575</v>
          </cell>
          <cell r="G1089">
            <v>8.195704443266727E-2</v>
          </cell>
          <cell r="I1089" t="str">
            <v>VA</v>
          </cell>
          <cell r="J1089" t="str">
            <v>Low</v>
          </cell>
          <cell r="K1089">
            <v>25878</v>
          </cell>
        </row>
        <row r="1090">
          <cell r="C1090">
            <v>2447462.8206013101</v>
          </cell>
          <cell r="D1090">
            <v>0.77049352771924196</v>
          </cell>
          <cell r="E1090">
            <v>199133</v>
          </cell>
          <cell r="F1090">
            <v>153430.687655316</v>
          </cell>
          <cell r="G1090">
            <v>6.2689690876538029E-2</v>
          </cell>
          <cell r="I1090" t="str">
            <v>VA</v>
          </cell>
          <cell r="J1090" t="str">
            <v>Med</v>
          </cell>
          <cell r="K1090">
            <v>78901.666666666672</v>
          </cell>
        </row>
        <row r="1091">
          <cell r="C1091">
            <v>2892899.3250086699</v>
          </cell>
          <cell r="D1091">
            <v>0.77375640012990798</v>
          </cell>
          <cell r="E1091">
            <v>194077</v>
          </cell>
          <cell r="F1091">
            <v>150168.320868012</v>
          </cell>
          <cell r="G1091">
            <v>5.1909279928903838E-2</v>
          </cell>
          <cell r="I1091" t="str">
            <v>VA</v>
          </cell>
          <cell r="J1091" t="str">
            <v>Med</v>
          </cell>
          <cell r="K1091">
            <v>72992</v>
          </cell>
        </row>
        <row r="1092">
          <cell r="C1092">
            <v>3866875.0640580901</v>
          </cell>
          <cell r="D1092">
            <v>0.76057916470220499</v>
          </cell>
          <cell r="E1092">
            <v>176576</v>
          </cell>
          <cell r="F1092">
            <v>134300.02658645701</v>
          </cell>
          <cell r="G1092">
            <v>3.473089364452233E-2</v>
          </cell>
          <cell r="I1092" t="str">
            <v>VA</v>
          </cell>
          <cell r="J1092" t="str">
            <v>High</v>
          </cell>
          <cell r="K1092">
            <v>119878</v>
          </cell>
        </row>
        <row r="1093">
          <cell r="C1093">
            <v>2529025.46917459</v>
          </cell>
          <cell r="D1093">
            <v>0.75483651892773296</v>
          </cell>
          <cell r="E1093">
            <v>205142</v>
          </cell>
          <cell r="F1093">
            <v>154848.67316587301</v>
          </cell>
          <cell r="G1093">
            <v>6.1228593801553016E-2</v>
          </cell>
          <cell r="I1093" t="str">
            <v>VA</v>
          </cell>
          <cell r="J1093" t="str">
            <v>Med</v>
          </cell>
          <cell r="K1093">
            <v>55273.333333333336</v>
          </cell>
        </row>
        <row r="1094">
          <cell r="C1094">
            <v>3588620.9987300001</v>
          </cell>
          <cell r="D1094">
            <v>0.77017425481775603</v>
          </cell>
          <cell r="E1094">
            <v>183945</v>
          </cell>
          <cell r="F1094">
            <v>141669.70330245199</v>
          </cell>
          <cell r="G1094">
            <v>3.9477477101256549E-2</v>
          </cell>
          <cell r="I1094" t="str">
            <v>VA</v>
          </cell>
          <cell r="J1094" t="str">
            <v>High</v>
          </cell>
          <cell r="K1094">
            <v>108975.66666666667</v>
          </cell>
        </row>
        <row r="1095">
          <cell r="C1095">
            <v>2864539.5314066401</v>
          </cell>
          <cell r="D1095">
            <v>0.78875350270479805</v>
          </cell>
          <cell r="E1095">
            <v>189472</v>
          </cell>
          <cell r="F1095">
            <v>149446.70366448301</v>
          </cell>
          <cell r="G1095">
            <v>5.2171283386372676E-2</v>
          </cell>
          <cell r="I1095" t="str">
            <v>VA</v>
          </cell>
          <cell r="J1095" t="str">
            <v>Med</v>
          </cell>
          <cell r="K1095">
            <v>70133</v>
          </cell>
        </row>
        <row r="1096">
          <cell r="C1096">
            <v>2964410.24839292</v>
          </cell>
          <cell r="D1096">
            <v>0.76442024714853396</v>
          </cell>
          <cell r="E1096">
            <v>191875</v>
          </cell>
          <cell r="F1096">
            <v>146673.13492162499</v>
          </cell>
          <cell r="G1096">
            <v>4.9478015062571087E-2</v>
          </cell>
          <cell r="I1096" t="str">
            <v>VA</v>
          </cell>
          <cell r="J1096" t="str">
            <v>Med</v>
          </cell>
          <cell r="K1096">
            <v>73769</v>
          </cell>
        </row>
        <row r="1097">
          <cell r="C1097">
            <v>3700327.8442483498</v>
          </cell>
          <cell r="D1097">
            <v>0.72605105125745695</v>
          </cell>
          <cell r="E1097">
            <v>182284</v>
          </cell>
          <cell r="F1097">
            <v>132347.48982741401</v>
          </cell>
          <cell r="G1097">
            <v>3.5766422705796184E-2</v>
          </cell>
          <cell r="I1097" t="str">
            <v>VA</v>
          </cell>
          <cell r="J1097" t="str">
            <v>High</v>
          </cell>
          <cell r="K1097">
            <v>117573.33333333333</v>
          </cell>
        </row>
        <row r="1098">
          <cell r="C1098">
            <v>2312032.1652167998</v>
          </cell>
          <cell r="D1098">
            <v>0.76563237409124896</v>
          </cell>
          <cell r="E1098">
            <v>181480</v>
          </cell>
          <cell r="F1098">
            <v>138946.96325008001</v>
          </cell>
          <cell r="G1098">
            <v>6.0097331404146324E-2</v>
          </cell>
          <cell r="I1098" t="str">
            <v>VA</v>
          </cell>
          <cell r="J1098" t="str">
            <v>Med</v>
          </cell>
          <cell r="K1098">
            <v>43634.333333333336</v>
          </cell>
        </row>
        <row r="1099">
          <cell r="C1099">
            <v>2771026.6986078001</v>
          </cell>
          <cell r="D1099">
            <v>0.76408092096259905</v>
          </cell>
          <cell r="E1099">
            <v>207289</v>
          </cell>
          <cell r="F1099">
            <v>158385.570025416</v>
          </cell>
          <cell r="G1099">
            <v>5.7157720676235625E-2</v>
          </cell>
          <cell r="I1099" t="str">
            <v>VA</v>
          </cell>
          <cell r="J1099" t="str">
            <v>Med</v>
          </cell>
          <cell r="K1099">
            <v>68834</v>
          </cell>
        </row>
        <row r="1100">
          <cell r="C1100">
            <v>3261518.2395497598</v>
          </cell>
          <cell r="D1100">
            <v>0.75415385479367703</v>
          </cell>
          <cell r="E1100">
            <v>217609</v>
          </cell>
          <cell r="F1100">
            <v>164110.666187797</v>
          </cell>
          <cell r="G1100">
            <v>5.031726151267879E-2</v>
          </cell>
          <cell r="I1100" t="str">
            <v>VA</v>
          </cell>
          <cell r="J1100" t="str">
            <v>Med</v>
          </cell>
          <cell r="K1100">
            <v>90147.333333333328</v>
          </cell>
        </row>
        <row r="1101">
          <cell r="C1101">
            <v>2921669.6399388099</v>
          </cell>
          <cell r="D1101">
            <v>0.78938841599503695</v>
          </cell>
          <cell r="E1101">
            <v>184051</v>
          </cell>
          <cell r="F1101">
            <v>145287.72735230299</v>
          </cell>
          <cell r="G1101">
            <v>4.972763702173591E-2</v>
          </cell>
          <cell r="I1101" t="str">
            <v>VA</v>
          </cell>
          <cell r="J1101" t="str">
            <v>Med</v>
          </cell>
          <cell r="K1101">
            <v>75389.666666666672</v>
          </cell>
        </row>
        <row r="1102">
          <cell r="C1102">
            <v>3250776.6641853801</v>
          </cell>
          <cell r="D1102">
            <v>0.75049015783962303</v>
          </cell>
          <cell r="E1102">
            <v>204624</v>
          </cell>
          <cell r="F1102">
            <v>153568.29805777501</v>
          </cell>
          <cell r="G1102">
            <v>4.7240494786884434E-2</v>
          </cell>
          <cell r="I1102" t="str">
            <v>VA</v>
          </cell>
          <cell r="J1102" t="str">
            <v>Med</v>
          </cell>
          <cell r="K1102">
            <v>90636.666666666672</v>
          </cell>
        </row>
        <row r="1103">
          <cell r="C1103">
            <v>3413981.5086797001</v>
          </cell>
          <cell r="D1103">
            <v>0.71649946524207797</v>
          </cell>
          <cell r="E1103">
            <v>184645</v>
          </cell>
          <cell r="F1103">
            <v>132298.04375962401</v>
          </cell>
          <cell r="G1103">
            <v>3.8751833723548214E-2</v>
          </cell>
          <cell r="I1103" t="str">
            <v>VA</v>
          </cell>
          <cell r="J1103" t="str">
            <v>High</v>
          </cell>
          <cell r="K1103">
            <v>104337.66666666667</v>
          </cell>
        </row>
        <row r="1104">
          <cell r="C1104">
            <v>2873304.7150693201</v>
          </cell>
          <cell r="D1104">
            <v>0.78719507568079405</v>
          </cell>
          <cell r="E1104">
            <v>201164</v>
          </cell>
          <cell r="F1104">
            <v>158355.310204251</v>
          </cell>
          <cell r="G1104">
            <v>5.5112605834578388E-2</v>
          </cell>
          <cell r="I1104" t="str">
            <v>VA</v>
          </cell>
          <cell r="J1104" t="str">
            <v>Med</v>
          </cell>
          <cell r="K1104">
            <v>74166.666666666672</v>
          </cell>
        </row>
        <row r="1105">
          <cell r="C1105">
            <v>2902665.8868168402</v>
          </cell>
          <cell r="D1105">
            <v>0.77054368816056396</v>
          </cell>
          <cell r="E1105">
            <v>215760</v>
          </cell>
          <cell r="F1105">
            <v>166252.50615752299</v>
          </cell>
          <cell r="G1105">
            <v>5.7275798400566527E-2</v>
          </cell>
          <cell r="I1105" t="str">
            <v>VA</v>
          </cell>
          <cell r="J1105" t="str">
            <v>Med</v>
          </cell>
          <cell r="K1105">
            <v>46839.666666666664</v>
          </cell>
        </row>
        <row r="1106">
          <cell r="C1106">
            <v>2897935.9104075902</v>
          </cell>
          <cell r="D1106">
            <v>0.73415985641364501</v>
          </cell>
          <cell r="E1106">
            <v>195583</v>
          </cell>
          <cell r="F1106">
            <v>143589.18719694999</v>
          </cell>
          <cell r="G1106">
            <v>4.9548779419609175E-2</v>
          </cell>
          <cell r="I1106" t="str">
            <v>VA</v>
          </cell>
          <cell r="J1106" t="str">
            <v>Med</v>
          </cell>
          <cell r="K1106">
            <v>76752</v>
          </cell>
        </row>
        <row r="1107">
          <cell r="C1107">
            <v>4924216.4546642601</v>
          </cell>
          <cell r="D1107">
            <v>0.72812304712129805</v>
          </cell>
          <cell r="E1107">
            <v>99384</v>
          </cell>
          <cell r="F1107">
            <v>72363.780915102994</v>
          </cell>
          <cell r="G1107">
            <v>1.4695491471858309E-2</v>
          </cell>
          <cell r="I1107" t="str">
            <v>VA</v>
          </cell>
          <cell r="J1107" t="str">
            <v>High</v>
          </cell>
          <cell r="K1107">
            <v>176011.66666666666</v>
          </cell>
        </row>
        <row r="1108">
          <cell r="C1108">
            <v>3475425.19772293</v>
          </cell>
          <cell r="D1108">
            <v>0.80034917794113203</v>
          </cell>
          <cell r="E1108">
            <v>198169</v>
          </cell>
          <cell r="F1108">
            <v>158604.39624341601</v>
          </cell>
          <cell r="G1108">
            <v>4.5635968901684983E-2</v>
          </cell>
          <cell r="I1108" t="str">
            <v>VA</v>
          </cell>
          <cell r="J1108" t="str">
            <v>High</v>
          </cell>
          <cell r="K1108">
            <v>101048.66666666667</v>
          </cell>
        </row>
        <row r="1109">
          <cell r="C1109">
            <v>2710271.79334667</v>
          </cell>
          <cell r="D1109">
            <v>0.74695721318062502</v>
          </cell>
          <cell r="E1109">
            <v>211168</v>
          </cell>
          <cell r="F1109">
            <v>157733.46079292599</v>
          </cell>
          <cell r="G1109">
            <v>5.8198392198206508E-2</v>
          </cell>
          <cell r="I1109" t="str">
            <v>VA</v>
          </cell>
          <cell r="J1109" t="str">
            <v>Med</v>
          </cell>
          <cell r="K1109">
            <v>66000</v>
          </cell>
        </row>
        <row r="1110">
          <cell r="C1110">
            <v>2877467.9240058698</v>
          </cell>
          <cell r="D1110">
            <v>0.75663532732855199</v>
          </cell>
          <cell r="E1110">
            <v>216089</v>
          </cell>
          <cell r="F1110">
            <v>163500.571247099</v>
          </cell>
          <cell r="G1110">
            <v>5.682098830122892E-2</v>
          </cell>
          <cell r="I1110" t="str">
            <v>VA</v>
          </cell>
          <cell r="J1110" t="str">
            <v>Med</v>
          </cell>
          <cell r="K1110">
            <v>70332.333333333328</v>
          </cell>
        </row>
        <row r="1111">
          <cell r="C1111">
            <v>3057717.91556344</v>
          </cell>
          <cell r="D1111">
            <v>0.75350667914260905</v>
          </cell>
          <cell r="E1111">
            <v>194707</v>
          </cell>
          <cell r="F1111">
            <v>146713.02497582001</v>
          </cell>
          <cell r="G1111">
            <v>4.79812163931366E-2</v>
          </cell>
          <cell r="I1111" t="str">
            <v>VA</v>
          </cell>
          <cell r="J1111" t="str">
            <v>Med</v>
          </cell>
          <cell r="K1111">
            <v>86125.666666666672</v>
          </cell>
        </row>
        <row r="1112">
          <cell r="C1112">
            <v>3177231.5318328799</v>
          </cell>
          <cell r="D1112">
            <v>0.723719207329523</v>
          </cell>
          <cell r="E1112">
            <v>196269</v>
          </cell>
          <cell r="F1112">
            <v>142043.64510335799</v>
          </cell>
          <cell r="G1112">
            <v>4.4706734048247321E-2</v>
          </cell>
          <cell r="I1112" t="str">
            <v>VA</v>
          </cell>
          <cell r="J1112" t="str">
            <v>Med</v>
          </cell>
          <cell r="K1112">
            <v>66868.333333333328</v>
          </cell>
        </row>
        <row r="1113">
          <cell r="C1113">
            <v>3143680.97651541</v>
          </cell>
          <cell r="D1113">
            <v>0.80017036605594405</v>
          </cell>
          <cell r="E1113">
            <v>203859</v>
          </cell>
          <cell r="F1113">
            <v>163121.93065379901</v>
          </cell>
          <cell r="G1113">
            <v>5.1888830919036288E-2</v>
          </cell>
          <cell r="I1113" t="str">
            <v>VA</v>
          </cell>
          <cell r="J1113" t="str">
            <v>Med</v>
          </cell>
          <cell r="K1113">
            <v>82692.666666666672</v>
          </cell>
        </row>
        <row r="1114">
          <cell r="C1114">
            <v>2958689.50620003</v>
          </cell>
          <cell r="D1114">
            <v>0.76431501444438998</v>
          </cell>
          <cell r="E1114">
            <v>205842</v>
          </cell>
          <cell r="F1114">
            <v>157328.13120326199</v>
          </cell>
          <cell r="G1114">
            <v>5.3174938050638901E-2</v>
          </cell>
          <cell r="I1114" t="str">
            <v>VA</v>
          </cell>
          <cell r="J1114" t="str">
            <v>Med</v>
          </cell>
          <cell r="K1114">
            <v>75777.666666666672</v>
          </cell>
        </row>
        <row r="1115">
          <cell r="C1115">
            <v>3737296.2100744001</v>
          </cell>
          <cell r="D1115">
            <v>0.79964732074096301</v>
          </cell>
          <cell r="E1115">
            <v>163423</v>
          </cell>
          <cell r="F1115">
            <v>130680.76409745</v>
          </cell>
          <cell r="G1115">
            <v>3.4966659518499463E-2</v>
          </cell>
          <cell r="I1115" t="str">
            <v>VA</v>
          </cell>
          <cell r="J1115" t="str">
            <v>High</v>
          </cell>
          <cell r="K1115">
            <v>123264</v>
          </cell>
        </row>
        <row r="1116">
          <cell r="C1116">
            <v>4007077.8753897399</v>
          </cell>
          <cell r="D1116">
            <v>0.76840763478729002</v>
          </cell>
          <cell r="E1116">
            <v>175093</v>
          </cell>
          <cell r="F1116">
            <v>134542.79799781099</v>
          </cell>
          <cell r="G1116">
            <v>3.357628730505393E-2</v>
          </cell>
          <cell r="I1116" t="str">
            <v>VA</v>
          </cell>
          <cell r="J1116" t="str">
            <v>High</v>
          </cell>
          <cell r="K1116">
            <v>130123</v>
          </cell>
        </row>
        <row r="1117">
          <cell r="C1117">
            <v>2766155.1040219301</v>
          </cell>
          <cell r="D1117">
            <v>0.78422910810167601</v>
          </cell>
          <cell r="E1117">
            <v>189300</v>
          </cell>
          <cell r="F1117">
            <v>148454.570163647</v>
          </cell>
          <cell r="G1117">
            <v>5.3668201738867514E-2</v>
          </cell>
          <cell r="I1117" t="str">
            <v>VA</v>
          </cell>
          <cell r="J1117" t="str">
            <v>Med</v>
          </cell>
          <cell r="K1117">
            <v>64149.333333333336</v>
          </cell>
        </row>
        <row r="1118">
          <cell r="C1118">
            <v>2605505.0680410299</v>
          </cell>
          <cell r="D1118">
            <v>0.78420050204883995</v>
          </cell>
          <cell r="E1118">
            <v>208465</v>
          </cell>
          <cell r="F1118">
            <v>163478.35765961101</v>
          </cell>
          <cell r="G1118">
            <v>6.2743442591928461E-2</v>
          </cell>
          <cell r="I1118" t="str">
            <v>VA</v>
          </cell>
          <cell r="J1118" t="str">
            <v>Med</v>
          </cell>
          <cell r="K1118">
            <v>57821.333333333336</v>
          </cell>
        </row>
        <row r="1119">
          <cell r="C1119">
            <v>2330819.0325460001</v>
          </cell>
          <cell r="D1119">
            <v>0.73236101014446098</v>
          </cell>
          <cell r="E1119">
            <v>221536</v>
          </cell>
          <cell r="F1119">
            <v>162244.328743363</v>
          </cell>
          <cell r="G1119">
            <v>6.9608290681469287E-2</v>
          </cell>
          <cell r="I1119" t="str">
            <v>VA</v>
          </cell>
          <cell r="J1119" t="str">
            <v>Med</v>
          </cell>
          <cell r="K1119">
            <v>47096</v>
          </cell>
        </row>
        <row r="1120">
          <cell r="C1120">
            <v>3708459.1300049201</v>
          </cell>
          <cell r="D1120">
            <v>0.79630821226419402</v>
          </cell>
          <cell r="E1120">
            <v>181309</v>
          </cell>
          <cell r="F1120">
            <v>144377.84565740899</v>
          </cell>
          <cell r="G1120">
            <v>3.893203095842597E-2</v>
          </cell>
          <cell r="I1120" t="str">
            <v>VA</v>
          </cell>
          <cell r="J1120" t="str">
            <v>High</v>
          </cell>
          <cell r="K1120">
            <v>111399</v>
          </cell>
        </row>
        <row r="1121">
          <cell r="C1121">
            <v>4021402.7669643201</v>
          </cell>
          <cell r="D1121">
            <v>0.78457387710244197</v>
          </cell>
          <cell r="E1121">
            <v>175623</v>
          </cell>
          <cell r="F1121">
            <v>137789.21801836201</v>
          </cell>
          <cell r="G1121">
            <v>3.4263968570941342E-2</v>
          </cell>
          <cell r="I1121" t="str">
            <v>VA</v>
          </cell>
          <cell r="J1121" t="str">
            <v>High</v>
          </cell>
          <cell r="K1121">
            <v>126832.33333333333</v>
          </cell>
        </row>
        <row r="1122">
          <cell r="C1122">
            <v>1955493.8837540599</v>
          </cell>
          <cell r="D1122">
            <v>0.76156115186722995</v>
          </cell>
          <cell r="E1122">
            <v>168443</v>
          </cell>
          <cell r="F1122">
            <v>128279.645103972</v>
          </cell>
          <cell r="G1122">
            <v>6.559961458826305E-2</v>
          </cell>
          <cell r="I1122" t="str">
            <v>VA</v>
          </cell>
          <cell r="J1122" t="str">
            <v>Low</v>
          </cell>
          <cell r="K1122">
            <v>25878</v>
          </cell>
        </row>
        <row r="1123">
          <cell r="C1123">
            <v>2966879.3375497898</v>
          </cell>
          <cell r="D1123">
            <v>0.73548038542500005</v>
          </cell>
          <cell r="E1123">
            <v>196666</v>
          </cell>
          <cell r="F1123">
            <v>144643.98547999299</v>
          </cell>
          <cell r="G1123">
            <v>4.8752904659563223E-2</v>
          </cell>
          <cell r="I1123" t="str">
            <v>VA</v>
          </cell>
          <cell r="J1123" t="str">
            <v>Med</v>
          </cell>
          <cell r="K1123">
            <v>78901.666666666672</v>
          </cell>
        </row>
        <row r="1124">
          <cell r="C1124">
            <v>3241456.36789086</v>
          </cell>
          <cell r="D1124">
            <v>0.77861050680642896</v>
          </cell>
          <cell r="E1124">
            <v>179870</v>
          </cell>
          <cell r="F1124">
            <v>140048.671859272</v>
          </cell>
          <cell r="G1124">
            <v>4.3205478021102722E-2</v>
          </cell>
          <cell r="I1124" t="str">
            <v>VA</v>
          </cell>
          <cell r="J1124" t="str">
            <v>Med</v>
          </cell>
          <cell r="K1124">
            <v>72992</v>
          </cell>
        </row>
        <row r="1125">
          <cell r="C1125">
            <v>4340663.6574236099</v>
          </cell>
          <cell r="D1125">
            <v>0.76995707327325003</v>
          </cell>
          <cell r="E1125">
            <v>159624</v>
          </cell>
          <cell r="F1125">
            <v>122903.627864169</v>
          </cell>
          <cell r="G1125">
            <v>2.8314478513895763E-2</v>
          </cell>
          <cell r="I1125" t="str">
            <v>VA</v>
          </cell>
          <cell r="J1125" t="str">
            <v>High</v>
          </cell>
          <cell r="K1125">
            <v>119878</v>
          </cell>
        </row>
        <row r="1126">
          <cell r="C1126">
            <v>2842701.9036487099</v>
          </cell>
          <cell r="D1126">
            <v>0.75591749277180498</v>
          </cell>
          <cell r="E1126">
            <v>195231</v>
          </cell>
          <cell r="F1126">
            <v>147578.52803133201</v>
          </cell>
          <cell r="G1126">
            <v>5.1914879939366727E-2</v>
          </cell>
          <cell r="I1126" t="str">
            <v>VA</v>
          </cell>
          <cell r="J1126" t="str">
            <v>Med</v>
          </cell>
          <cell r="K1126">
            <v>55273.333333333336</v>
          </cell>
        </row>
        <row r="1127">
          <cell r="C1127">
            <v>4050070.7727659899</v>
          </cell>
          <cell r="D1127">
            <v>0.76117394201226596</v>
          </cell>
          <cell r="E1127">
            <v>176432</v>
          </cell>
          <cell r="F1127">
            <v>134295.44093710801</v>
          </cell>
          <cell r="G1127">
            <v>3.3158788690843329E-2</v>
          </cell>
          <cell r="I1127" t="str">
            <v>VA</v>
          </cell>
          <cell r="J1127" t="str">
            <v>High</v>
          </cell>
          <cell r="K1127">
            <v>108975.66666666667</v>
          </cell>
        </row>
        <row r="1128">
          <cell r="C1128">
            <v>3262509.5371882902</v>
          </cell>
          <cell r="D1128">
            <v>0.78179482390257105</v>
          </cell>
          <cell r="E1128">
            <v>181759</v>
          </cell>
          <cell r="F1128">
            <v>142098.24539770701</v>
          </cell>
          <cell r="G1128">
            <v>4.3554890423453209E-2</v>
          </cell>
          <cell r="I1128" t="str">
            <v>VA</v>
          </cell>
          <cell r="J1128" t="str">
            <v>Med</v>
          </cell>
          <cell r="K1128">
            <v>70133</v>
          </cell>
        </row>
        <row r="1129">
          <cell r="C1129">
            <v>3384297.84384517</v>
          </cell>
          <cell r="D1129">
            <v>0.75924368935861797</v>
          </cell>
          <cell r="E1129">
            <v>186721</v>
          </cell>
          <cell r="F1129">
            <v>141766.74092072999</v>
          </cell>
          <cell r="G1129">
            <v>4.1889558030051371E-2</v>
          </cell>
          <cell r="I1129" t="str">
            <v>VA</v>
          </cell>
          <cell r="J1129" t="str">
            <v>Med</v>
          </cell>
          <cell r="K1129">
            <v>73769</v>
          </cell>
        </row>
        <row r="1130">
          <cell r="C1130">
            <v>4156897.9913733201</v>
          </cell>
          <cell r="D1130">
            <v>0.73145742293651705</v>
          </cell>
          <cell r="E1130">
            <v>170396</v>
          </cell>
          <cell r="F1130">
            <v>124637.419038691</v>
          </cell>
          <cell r="G1130">
            <v>2.9983275821862151E-2</v>
          </cell>
          <cell r="I1130" t="str">
            <v>VA</v>
          </cell>
          <cell r="J1130" t="str">
            <v>High</v>
          </cell>
          <cell r="K1130">
            <v>117573.33333333333</v>
          </cell>
        </row>
        <row r="1131">
          <cell r="C1131">
            <v>2607839.4328870601</v>
          </cell>
          <cell r="D1131">
            <v>0.767778871350839</v>
          </cell>
          <cell r="E1131">
            <v>169098</v>
          </cell>
          <cell r="F1131">
            <v>129829.871587684</v>
          </cell>
          <cell r="G1131">
            <v>4.978445756683466E-2</v>
          </cell>
          <cell r="I1131" t="str">
            <v>VA</v>
          </cell>
          <cell r="J1131" t="str">
            <v>Med</v>
          </cell>
          <cell r="K1131">
            <v>43634.333333333336</v>
          </cell>
        </row>
        <row r="1132">
          <cell r="C1132">
            <v>3161721.4010656802</v>
          </cell>
          <cell r="D1132">
            <v>0.79021782835270205</v>
          </cell>
          <cell r="E1132">
            <v>189964</v>
          </cell>
          <cell r="F1132">
            <v>150112.93954519299</v>
          </cell>
          <cell r="G1132">
            <v>4.747823116059384E-2</v>
          </cell>
          <cell r="I1132" t="str">
            <v>VA</v>
          </cell>
          <cell r="J1132" t="str">
            <v>Med</v>
          </cell>
          <cell r="K1132">
            <v>68834</v>
          </cell>
        </row>
        <row r="1133">
          <cell r="C1133">
            <v>3674825.6673298101</v>
          </cell>
          <cell r="D1133">
            <v>0.71390036062619699</v>
          </cell>
          <cell r="E1133">
            <v>208691</v>
          </cell>
          <cell r="F1133">
            <v>148984.580159442</v>
          </cell>
          <cell r="G1133">
            <v>4.0541945019039967E-2</v>
          </cell>
          <cell r="I1133" t="str">
            <v>VA</v>
          </cell>
          <cell r="J1133" t="str">
            <v>Med</v>
          </cell>
          <cell r="K1133">
            <v>90147.333333333328</v>
          </cell>
        </row>
        <row r="1134">
          <cell r="C1134">
            <v>3397026.5884205801</v>
          </cell>
          <cell r="D1134">
            <v>0.77959088109199903</v>
          </cell>
          <cell r="E1134">
            <v>181893</v>
          </cell>
          <cell r="F1134">
            <v>141802.12413446701</v>
          </cell>
          <cell r="G1134">
            <v>4.1743012732907918E-2</v>
          </cell>
          <cell r="I1134" t="str">
            <v>VA</v>
          </cell>
          <cell r="J1134" t="str">
            <v>Med</v>
          </cell>
          <cell r="K1134">
            <v>75389.666666666672</v>
          </cell>
        </row>
        <row r="1135">
          <cell r="C1135">
            <v>3687969.6277198298</v>
          </cell>
          <cell r="D1135">
            <v>0.766370335774747</v>
          </cell>
          <cell r="E1135">
            <v>191470</v>
          </cell>
          <cell r="F1135">
            <v>146736.92819079099</v>
          </cell>
          <cell r="G1135">
            <v>3.9787998005155589E-2</v>
          </cell>
          <cell r="I1135" t="str">
            <v>VA</v>
          </cell>
          <cell r="J1135" t="str">
            <v>Med</v>
          </cell>
          <cell r="K1135">
            <v>90636.666666666672</v>
          </cell>
        </row>
        <row r="1136">
          <cell r="C1136">
            <v>3864369.0987215401</v>
          </cell>
          <cell r="D1136">
            <v>0.73089414562352695</v>
          </cell>
          <cell r="E1136">
            <v>168720</v>
          </cell>
          <cell r="F1136">
            <v>123316.46024960199</v>
          </cell>
          <cell r="G1136">
            <v>3.1911149556184765E-2</v>
          </cell>
          <cell r="I1136" t="str">
            <v>VA</v>
          </cell>
          <cell r="J1136" t="str">
            <v>High</v>
          </cell>
          <cell r="K1136">
            <v>104337.66666666667</v>
          </cell>
        </row>
        <row r="1137">
          <cell r="C1137">
            <v>3308578.83007346</v>
          </cell>
          <cell r="D1137">
            <v>0.81716786387213802</v>
          </cell>
          <cell r="E1137">
            <v>189054</v>
          </cell>
          <cell r="F1137">
            <v>154488.85333648301</v>
          </cell>
          <cell r="G1137">
            <v>4.6693417709214112E-2</v>
          </cell>
          <cell r="I1137" t="str">
            <v>VA</v>
          </cell>
          <cell r="J1137" t="str">
            <v>Med</v>
          </cell>
          <cell r="K1137">
            <v>74166.666666666672</v>
          </cell>
        </row>
        <row r="1138">
          <cell r="C1138">
            <v>3263569.2313407101</v>
          </cell>
          <cell r="D1138">
            <v>0.74376202140761605</v>
          </cell>
          <cell r="E1138">
            <v>210334</v>
          </cell>
          <cell r="F1138">
            <v>156438.44101074999</v>
          </cell>
          <cell r="G1138">
            <v>4.7934770161588806E-2</v>
          </cell>
          <cell r="I1138" t="str">
            <v>VA</v>
          </cell>
          <cell r="J1138" t="str">
            <v>Med</v>
          </cell>
          <cell r="K1138">
            <v>46839.666666666664</v>
          </cell>
        </row>
        <row r="1139">
          <cell r="C1139">
            <v>3241028.2743965602</v>
          </cell>
          <cell r="D1139">
            <v>0.76485052453062297</v>
          </cell>
          <cell r="E1139">
            <v>173656</v>
          </cell>
          <cell r="F1139">
            <v>132820.88268789</v>
          </cell>
          <cell r="G1139">
            <v>4.0981093481086528E-2</v>
          </cell>
          <cell r="I1139" t="str">
            <v>VA</v>
          </cell>
          <cell r="J1139" t="str">
            <v>Med</v>
          </cell>
          <cell r="K1139">
            <v>76752</v>
          </cell>
        </row>
        <row r="1140">
          <cell r="C1140">
            <v>5554542.34343486</v>
          </cell>
          <cell r="D1140">
            <v>0.71419730781317103</v>
          </cell>
          <cell r="E1140">
            <v>95037</v>
          </cell>
          <cell r="F1140">
            <v>67875.169542640302</v>
          </cell>
          <cell r="G1140">
            <v>1.2219759135127439E-2</v>
          </cell>
          <cell r="I1140" t="str">
            <v>VA</v>
          </cell>
          <cell r="J1140" t="str">
            <v>High</v>
          </cell>
          <cell r="K1140">
            <v>176011.66666666666</v>
          </cell>
        </row>
        <row r="1141">
          <cell r="C1141">
            <v>3954736.7982089901</v>
          </cell>
          <cell r="D1141">
            <v>0.78090333796449296</v>
          </cell>
          <cell r="E1141">
            <v>191897</v>
          </cell>
          <cell r="F1141">
            <v>149853.00784537199</v>
          </cell>
          <cell r="G1141">
            <v>3.7892030618380722E-2</v>
          </cell>
          <cell r="I1141" t="str">
            <v>VA</v>
          </cell>
          <cell r="J1141" t="str">
            <v>High</v>
          </cell>
          <cell r="K1141">
            <v>101048.66666666667</v>
          </cell>
        </row>
        <row r="1142">
          <cell r="C1142">
            <v>3131993.4327770402</v>
          </cell>
          <cell r="D1142">
            <v>0.760741713517743</v>
          </cell>
          <cell r="E1142">
            <v>203784</v>
          </cell>
          <cell r="F1142">
            <v>155026.9893475</v>
          </cell>
          <cell r="G1142">
            <v>4.9497865393045362E-2</v>
          </cell>
          <cell r="I1142" t="str">
            <v>VA</v>
          </cell>
          <cell r="J1142" t="str">
            <v>Med</v>
          </cell>
          <cell r="K1142">
            <v>66000</v>
          </cell>
        </row>
        <row r="1143">
          <cell r="C1143">
            <v>3218045.2623042199</v>
          </cell>
          <cell r="D1143">
            <v>0.76453797261961198</v>
          </cell>
          <cell r="E1143">
            <v>202580</v>
          </cell>
          <cell r="F1143">
            <v>154880.10249328101</v>
          </cell>
          <cell r="G1143">
            <v>4.812862774415487E-2</v>
          </cell>
          <cell r="I1143" t="str">
            <v>VA</v>
          </cell>
          <cell r="J1143" t="str">
            <v>Med</v>
          </cell>
          <cell r="K1143">
            <v>70332.333333333328</v>
          </cell>
        </row>
        <row r="1144">
          <cell r="C1144">
            <v>3465685.0581830698</v>
          </cell>
          <cell r="D1144">
            <v>0.76848913804623098</v>
          </cell>
          <cell r="E1144">
            <v>179507</v>
          </cell>
          <cell r="F1144">
            <v>137949.17970326499</v>
          </cell>
          <cell r="G1144">
            <v>3.9804303445733942E-2</v>
          </cell>
          <cell r="I1144" t="str">
            <v>VA</v>
          </cell>
          <cell r="J1144" t="str">
            <v>Med</v>
          </cell>
          <cell r="K1144">
            <v>86125.666666666672</v>
          </cell>
        </row>
        <row r="1145">
          <cell r="C1145">
            <v>3598631.3680783398</v>
          </cell>
          <cell r="D1145">
            <v>0.70186948076799105</v>
          </cell>
          <cell r="E1145">
            <v>188354</v>
          </cell>
          <cell r="F1145">
            <v>132199.92418057399</v>
          </cell>
          <cell r="G1145">
            <v>3.6736167353303657E-2</v>
          </cell>
          <cell r="I1145" t="str">
            <v>VA</v>
          </cell>
          <cell r="J1145" t="str">
            <v>Med</v>
          </cell>
          <cell r="K1145">
            <v>66868.333333333328</v>
          </cell>
        </row>
        <row r="1146">
          <cell r="C1146">
            <v>3626619.9624339901</v>
          </cell>
          <cell r="D1146">
            <v>0.77208468283464204</v>
          </cell>
          <cell r="E1146">
            <v>202332</v>
          </cell>
          <cell r="F1146">
            <v>156217.43804729899</v>
          </cell>
          <cell r="G1146">
            <v>4.3075215949138032E-2</v>
          </cell>
          <cell r="I1146" t="str">
            <v>VA</v>
          </cell>
          <cell r="J1146" t="str">
            <v>Med</v>
          </cell>
          <cell r="K1146">
            <v>82692.666666666672</v>
          </cell>
        </row>
        <row r="1147">
          <cell r="C1147">
            <v>3382731.7589843799</v>
          </cell>
          <cell r="D1147">
            <v>0.77999489557352197</v>
          </cell>
          <cell r="E1147">
            <v>193187</v>
          </cell>
          <cell r="F1147">
            <v>150684.87389116199</v>
          </cell>
          <cell r="G1147">
            <v>4.4545321541073983E-2</v>
          </cell>
          <cell r="I1147" t="str">
            <v>VA</v>
          </cell>
          <cell r="J1147" t="str">
            <v>Med</v>
          </cell>
          <cell r="K1147">
            <v>75777.666666666672</v>
          </cell>
        </row>
        <row r="1148">
          <cell r="C1148">
            <v>4304499.2312609199</v>
          </cell>
          <cell r="D1148">
            <v>0.83449095019249597</v>
          </cell>
          <cell r="E1148">
            <v>154368</v>
          </cell>
          <cell r="F1148">
            <v>128818.69899931501</v>
          </cell>
          <cell r="G1148">
            <v>2.9926523871530594E-2</v>
          </cell>
          <cell r="I1148" t="str">
            <v>VA</v>
          </cell>
          <cell r="J1148" t="str">
            <v>High</v>
          </cell>
          <cell r="K1148">
            <v>123264</v>
          </cell>
        </row>
        <row r="1149">
          <cell r="C1149">
            <v>4602729.8365590004</v>
          </cell>
          <cell r="D1149">
            <v>0.80425278674841805</v>
          </cell>
          <cell r="E1149">
            <v>163479</v>
          </cell>
          <cell r="F1149">
            <v>131478.44132484499</v>
          </cell>
          <cell r="G1149">
            <v>2.8565317972939777E-2</v>
          </cell>
          <cell r="I1149" t="str">
            <v>VA</v>
          </cell>
          <cell r="J1149" t="str">
            <v>High</v>
          </cell>
          <cell r="K1149">
            <v>130123</v>
          </cell>
        </row>
        <row r="1150">
          <cell r="C1150">
            <v>3118816.32780704</v>
          </cell>
          <cell r="D1150">
            <v>0.783291104746345</v>
          </cell>
          <cell r="E1150">
            <v>178095</v>
          </cell>
          <cell r="F1150">
            <v>139500.2292998</v>
          </cell>
          <cell r="G1150">
            <v>4.4728581178708912E-2</v>
          </cell>
          <cell r="I1150" t="str">
            <v>VA</v>
          </cell>
          <cell r="J1150" t="str">
            <v>Med</v>
          </cell>
          <cell r="K1150">
            <v>64149.333333333336</v>
          </cell>
        </row>
        <row r="1151">
          <cell r="C1151">
            <v>2963181.1195212998</v>
          </cell>
          <cell r="D1151">
            <v>0.82423538396650198</v>
          </cell>
          <cell r="E1151">
            <v>184522</v>
          </cell>
          <cell r="F1151">
            <v>152089.56152026699</v>
          </cell>
          <cell r="G1151">
            <v>5.1326447957672251E-2</v>
          </cell>
          <cell r="I1151" t="str">
            <v>VA</v>
          </cell>
          <cell r="J1151" t="str">
            <v>Med</v>
          </cell>
          <cell r="K1151">
            <v>57821.333333333336</v>
          </cell>
        </row>
        <row r="1152">
          <cell r="C1152">
            <v>2676069.7175302599</v>
          </cell>
          <cell r="D1152">
            <v>0.719587956403267</v>
          </cell>
          <cell r="E1152">
            <v>213684</v>
          </cell>
          <cell r="F1152">
            <v>153764.432876076</v>
          </cell>
          <cell r="G1152">
            <v>5.7459053427795198E-2</v>
          </cell>
          <cell r="I1152" t="str">
            <v>VA</v>
          </cell>
          <cell r="J1152" t="str">
            <v>Med</v>
          </cell>
          <cell r="K1152">
            <v>47096</v>
          </cell>
        </row>
        <row r="1153">
          <cell r="C1153">
            <v>4174045.6491553201</v>
          </cell>
          <cell r="D1153">
            <v>0.78961131526926398</v>
          </cell>
          <cell r="E1153">
            <v>171132</v>
          </cell>
          <cell r="F1153">
            <v>135127.76360465999</v>
          </cell>
          <cell r="G1153">
            <v>3.237333152597531E-2</v>
          </cell>
          <cell r="I1153" t="str">
            <v>VA</v>
          </cell>
          <cell r="J1153" t="str">
            <v>High</v>
          </cell>
          <cell r="K1153">
            <v>111399</v>
          </cell>
        </row>
        <row r="1154">
          <cell r="C1154">
            <v>4628777.6126186</v>
          </cell>
          <cell r="D1154">
            <v>0.81702531846257198</v>
          </cell>
          <cell r="E1154">
            <v>161800</v>
          </cell>
          <cell r="F1154">
            <v>132194.696527244</v>
          </cell>
          <cell r="G1154">
            <v>2.8559310381830721E-2</v>
          </cell>
          <cell r="I1154" t="str">
            <v>VA</v>
          </cell>
          <cell r="J1154" t="str">
            <v>High</v>
          </cell>
          <cell r="K1154">
            <v>126832.33333333333</v>
          </cell>
        </row>
        <row r="1155">
          <cell r="C1155">
            <v>2177618.17485771</v>
          </cell>
          <cell r="D1155">
            <v>0.78964127054727795</v>
          </cell>
          <cell r="E1155">
            <v>143640</v>
          </cell>
          <cell r="F1155">
            <v>113424.072101411</v>
          </cell>
          <cell r="G1155">
            <v>5.2086299338873931E-2</v>
          </cell>
          <cell r="I1155" t="str">
            <v>VA</v>
          </cell>
          <cell r="J1155" t="str">
            <v>Low</v>
          </cell>
          <cell r="K1155">
            <v>25878</v>
          </cell>
        </row>
        <row r="1156">
          <cell r="C1156">
            <v>3347045.3413632102</v>
          </cell>
          <cell r="D1156">
            <v>0.75176837604086399</v>
          </cell>
          <cell r="E1156">
            <v>179411</v>
          </cell>
          <cell r="F1156">
            <v>134875.51611386699</v>
          </cell>
          <cell r="G1156">
            <v>4.0296889452634023E-2</v>
          </cell>
          <cell r="I1156" t="str">
            <v>VA</v>
          </cell>
          <cell r="J1156" t="str">
            <v>Med</v>
          </cell>
          <cell r="K1156">
            <v>78901.666666666672</v>
          </cell>
        </row>
        <row r="1157">
          <cell r="C1157">
            <v>3465029.0529161701</v>
          </cell>
          <cell r="D1157">
            <v>0.77607377128747501</v>
          </cell>
          <cell r="E1157">
            <v>177938</v>
          </cell>
          <cell r="F1157">
            <v>138093.01471535099</v>
          </cell>
          <cell r="G1157">
            <v>3.9853349742950017E-2</v>
          </cell>
          <cell r="I1157" t="str">
            <v>VA</v>
          </cell>
          <cell r="J1157" t="str">
            <v>Med</v>
          </cell>
          <cell r="K1157">
            <v>72992</v>
          </cell>
        </row>
        <row r="1158">
          <cell r="C1158">
            <v>4497095.0436359104</v>
          </cell>
          <cell r="D1158">
            <v>0.77139389042628403</v>
          </cell>
          <cell r="E1158">
            <v>156171</v>
          </cell>
          <cell r="F1158">
            <v>120469.355261763</v>
          </cell>
          <cell r="G1158">
            <v>2.678826088682424E-2</v>
          </cell>
          <cell r="I1158" t="str">
            <v>VA</v>
          </cell>
          <cell r="J1158" t="str">
            <v>High</v>
          </cell>
          <cell r="K1158">
            <v>119878</v>
          </cell>
        </row>
        <row r="1159">
          <cell r="C1159">
            <v>3018129.15475237</v>
          </cell>
          <cell r="D1159">
            <v>0.75107297928718197</v>
          </cell>
          <cell r="E1159">
            <v>190845</v>
          </cell>
          <cell r="F1159">
            <v>143338.522732062</v>
          </cell>
          <cell r="G1159">
            <v>4.7492507902241375E-2</v>
          </cell>
          <cell r="I1159" t="str">
            <v>VA</v>
          </cell>
          <cell r="J1159" t="str">
            <v>Med</v>
          </cell>
          <cell r="K1159">
            <v>55273.333333333336</v>
          </cell>
        </row>
        <row r="1160">
          <cell r="C1160">
            <v>4294468.49172353</v>
          </cell>
          <cell r="D1160">
            <v>0.77048824527951099</v>
          </cell>
          <cell r="E1160">
            <v>169485</v>
          </cell>
          <cell r="F1160">
            <v>130586.200251198</v>
          </cell>
          <cell r="G1160">
            <v>3.0408000548349325E-2</v>
          </cell>
          <cell r="I1160" t="str">
            <v>VA</v>
          </cell>
          <cell r="J1160" t="str">
            <v>High</v>
          </cell>
          <cell r="K1160">
            <v>108975.66666666667</v>
          </cell>
        </row>
        <row r="1161">
          <cell r="C1161">
            <v>3424621.8389020399</v>
          </cell>
          <cell r="D1161">
            <v>0.78567822136958598</v>
          </cell>
          <cell r="E1161">
            <v>177594</v>
          </cell>
          <cell r="F1161">
            <v>139531.73804590999</v>
          </cell>
          <cell r="G1161">
            <v>4.0743692182563705E-2</v>
          </cell>
          <cell r="I1161" t="str">
            <v>VA</v>
          </cell>
          <cell r="J1161" t="str">
            <v>Med</v>
          </cell>
          <cell r="K1161">
            <v>70133</v>
          </cell>
        </row>
        <row r="1162">
          <cell r="C1162">
            <v>3513185.1855593198</v>
          </cell>
          <cell r="D1162">
            <v>0.77519298184590602</v>
          </cell>
          <cell r="E1162">
            <v>177471</v>
          </cell>
          <cell r="F1162">
            <v>137574.27368117499</v>
          </cell>
          <cell r="G1162">
            <v>3.9159414154045613E-2</v>
          </cell>
          <cell r="I1162" t="str">
            <v>VA</v>
          </cell>
          <cell r="J1162" t="str">
            <v>Med</v>
          </cell>
          <cell r="K1162">
            <v>73769</v>
          </cell>
        </row>
        <row r="1163">
          <cell r="C1163">
            <v>4348242.7171907499</v>
          </cell>
          <cell r="D1163">
            <v>0.75078955388452495</v>
          </cell>
          <cell r="E1163">
            <v>165765</v>
          </cell>
          <cell r="F1163">
            <v>124454.63039966801</v>
          </cell>
          <cell r="G1163">
            <v>2.8621822307121316E-2</v>
          </cell>
          <cell r="I1163" t="str">
            <v>VA</v>
          </cell>
          <cell r="J1163" t="str">
            <v>High</v>
          </cell>
          <cell r="K1163">
            <v>117573.33333333333</v>
          </cell>
        </row>
        <row r="1164">
          <cell r="C1164">
            <v>2724591.2655583899</v>
          </cell>
          <cell r="D1164">
            <v>0.76108612970080902</v>
          </cell>
          <cell r="E1164">
            <v>168527</v>
          </cell>
          <cell r="F1164">
            <v>128263.562180088</v>
          </cell>
          <cell r="G1164">
            <v>4.7076258300270624E-2</v>
          </cell>
          <cell r="I1164" t="str">
            <v>VA</v>
          </cell>
          <cell r="J1164" t="str">
            <v>Med</v>
          </cell>
          <cell r="K1164">
            <v>43634.333333333336</v>
          </cell>
        </row>
        <row r="1165">
          <cell r="C1165">
            <v>3288003.1677182699</v>
          </cell>
          <cell r="D1165">
            <v>0.76432238574029199</v>
          </cell>
          <cell r="E1165">
            <v>195392</v>
          </cell>
          <cell r="F1165">
            <v>149342.479594567</v>
          </cell>
          <cell r="G1165">
            <v>4.5420418404950667E-2</v>
          </cell>
          <cell r="I1165" t="str">
            <v>VA</v>
          </cell>
          <cell r="J1165" t="str">
            <v>Med</v>
          </cell>
          <cell r="K1165">
            <v>68834</v>
          </cell>
        </row>
        <row r="1166">
          <cell r="C1166">
            <v>3894773.4162716502</v>
          </cell>
          <cell r="D1166">
            <v>0.71947652052711897</v>
          </cell>
          <cell r="E1166">
            <v>208974</v>
          </cell>
          <cell r="F1166">
            <v>150351.88640063399</v>
          </cell>
          <cell r="G1166">
            <v>3.8603500211974166E-2</v>
          </cell>
          <cell r="I1166" t="str">
            <v>VA</v>
          </cell>
          <cell r="J1166" t="str">
            <v>Med</v>
          </cell>
          <cell r="K1166">
            <v>90147.333333333328</v>
          </cell>
        </row>
        <row r="1167">
          <cell r="C1167">
            <v>3515089.0290458398</v>
          </cell>
          <cell r="D1167">
            <v>0.767875898762439</v>
          </cell>
          <cell r="E1167">
            <v>173486</v>
          </cell>
          <cell r="F1167">
            <v>133215.7181727</v>
          </cell>
          <cell r="G1167">
            <v>3.7898248685001586E-2</v>
          </cell>
          <cell r="I1167" t="str">
            <v>VA</v>
          </cell>
          <cell r="J1167" t="str">
            <v>Med</v>
          </cell>
          <cell r="K1167">
            <v>75389.666666666672</v>
          </cell>
        </row>
        <row r="1168">
          <cell r="C1168">
            <v>3855010.5623290101</v>
          </cell>
          <cell r="D1168">
            <v>0.77192893827911702</v>
          </cell>
          <cell r="E1168">
            <v>184161</v>
          </cell>
          <cell r="F1168">
            <v>142159.205202421</v>
          </cell>
          <cell r="G1168">
            <v>3.6876476187016026E-2</v>
          </cell>
          <cell r="I1168" t="str">
            <v>VA</v>
          </cell>
          <cell r="J1168" t="str">
            <v>Med</v>
          </cell>
          <cell r="K1168">
            <v>90636.666666666672</v>
          </cell>
        </row>
        <row r="1169">
          <cell r="C1169">
            <v>4045826.29479498</v>
          </cell>
          <cell r="D1169">
            <v>0.77571049597365704</v>
          </cell>
          <cell r="E1169">
            <v>158033</v>
          </cell>
          <cell r="F1169">
            <v>122587.856810205</v>
          </cell>
          <cell r="G1169">
            <v>3.0299831944815881E-2</v>
          </cell>
          <cell r="I1169" t="str">
            <v>VA</v>
          </cell>
          <cell r="J1169" t="str">
            <v>High</v>
          </cell>
          <cell r="K1169">
            <v>104337.66666666667</v>
          </cell>
        </row>
        <row r="1170">
          <cell r="C1170">
            <v>3441953.0850260099</v>
          </cell>
          <cell r="D1170">
            <v>0.78118140443491202</v>
          </cell>
          <cell r="E1170">
            <v>195072</v>
          </cell>
          <cell r="F1170">
            <v>152386.618925927</v>
          </cell>
          <cell r="G1170">
            <v>4.4273299246545501E-2</v>
          </cell>
          <cell r="I1170" t="str">
            <v>VA</v>
          </cell>
          <cell r="J1170" t="str">
            <v>Med</v>
          </cell>
          <cell r="K1170">
            <v>74166.666666666672</v>
          </cell>
        </row>
        <row r="1171">
          <cell r="C1171">
            <v>3418375.91160873</v>
          </cell>
          <cell r="D1171">
            <v>0.73583819539953199</v>
          </cell>
          <cell r="E1171">
            <v>211554</v>
          </cell>
          <cell r="F1171">
            <v>155669.51358955301</v>
          </cell>
          <cell r="G1171">
            <v>4.5539027191510081E-2</v>
          </cell>
          <cell r="I1171" t="str">
            <v>VA</v>
          </cell>
          <cell r="J1171" t="str">
            <v>Med</v>
          </cell>
          <cell r="K1171">
            <v>46839.666666666664</v>
          </cell>
        </row>
        <row r="1172">
          <cell r="C1172">
            <v>3435731.05547796</v>
          </cell>
          <cell r="D1172">
            <v>0.75342290444216797</v>
          </cell>
          <cell r="E1172">
            <v>172400</v>
          </cell>
          <cell r="F1172">
            <v>129890.10872583</v>
          </cell>
          <cell r="G1172">
            <v>3.780566832166099E-2</v>
          </cell>
          <cell r="I1172" t="str">
            <v>VA</v>
          </cell>
          <cell r="J1172" t="str">
            <v>Med</v>
          </cell>
          <cell r="K1172">
            <v>76752</v>
          </cell>
        </row>
        <row r="1173">
          <cell r="C1173">
            <v>5934473.6284353603</v>
          </cell>
          <cell r="D1173">
            <v>0.73324746297382504</v>
          </cell>
          <cell r="E1173">
            <v>93524</v>
          </cell>
          <cell r="F1173">
            <v>68576.235727164007</v>
          </cell>
          <cell r="G1173">
            <v>1.1555571735726848E-2</v>
          </cell>
          <cell r="I1173" t="str">
            <v>VA</v>
          </cell>
          <cell r="J1173" t="str">
            <v>High</v>
          </cell>
          <cell r="K1173">
            <v>176011.66666666666</v>
          </cell>
        </row>
        <row r="1174">
          <cell r="C1174">
            <v>4176811.4767431002</v>
          </cell>
          <cell r="D1174">
            <v>0.79631670897406703</v>
          </cell>
          <cell r="E1174">
            <v>187526</v>
          </cell>
          <cell r="F1174">
            <v>149330.087167071</v>
          </cell>
          <cell r="G1174">
            <v>3.5752173158533899E-2</v>
          </cell>
          <cell r="I1174" t="str">
            <v>VA</v>
          </cell>
          <cell r="J1174" t="str">
            <v>High</v>
          </cell>
          <cell r="K1174">
            <v>101048.66666666667</v>
          </cell>
        </row>
        <row r="1175">
          <cell r="C1175">
            <v>3308914.2127557402</v>
          </cell>
          <cell r="D1175">
            <v>0.73117206875297402</v>
          </cell>
          <cell r="E1175">
            <v>203152</v>
          </cell>
          <cell r="F1175">
            <v>148539.06811130399</v>
          </cell>
          <cell r="G1175">
            <v>4.4890576956843259E-2</v>
          </cell>
          <cell r="I1175" t="str">
            <v>VA</v>
          </cell>
          <cell r="J1175" t="str">
            <v>Med</v>
          </cell>
          <cell r="K1175">
            <v>66000</v>
          </cell>
        </row>
        <row r="1176">
          <cell r="C1176">
            <v>3403909.8970264602</v>
          </cell>
          <cell r="D1176">
            <v>0.735251944226197</v>
          </cell>
          <cell r="E1176">
            <v>206997</v>
          </cell>
          <cell r="F1176">
            <v>152194.94669899001</v>
          </cell>
          <cell r="G1176">
            <v>4.4711802398748078E-2</v>
          </cell>
          <cell r="I1176" t="str">
            <v>VA</v>
          </cell>
          <cell r="J1176" t="str">
            <v>Med</v>
          </cell>
          <cell r="K1176">
            <v>70332.333333333328</v>
          </cell>
        </row>
        <row r="1177">
          <cell r="C1177">
            <v>3647787.85813074</v>
          </cell>
          <cell r="D1177">
            <v>0.76308434697039096</v>
          </cell>
          <cell r="E1177">
            <v>179471</v>
          </cell>
          <cell r="F1177">
            <v>136951.51083512299</v>
          </cell>
          <cell r="G1177">
            <v>3.7543715852297932E-2</v>
          </cell>
          <cell r="I1177" t="str">
            <v>VA</v>
          </cell>
          <cell r="J1177" t="str">
            <v>Med</v>
          </cell>
          <cell r="K1177">
            <v>86125.666666666672</v>
          </cell>
        </row>
        <row r="1178">
          <cell r="C1178">
            <v>3757237.5396431</v>
          </cell>
          <cell r="D1178">
            <v>0.74772727916673998</v>
          </cell>
          <cell r="E1178">
            <v>175135</v>
          </cell>
          <cell r="F1178">
            <v>130953.217036867</v>
          </cell>
          <cell r="G1178">
            <v>3.4853590079190533E-2</v>
          </cell>
          <cell r="I1178" t="str">
            <v>VA</v>
          </cell>
          <cell r="J1178" t="str">
            <v>Med</v>
          </cell>
          <cell r="K1178">
            <v>66868.333333333328</v>
          </cell>
        </row>
        <row r="1179">
          <cell r="C1179">
            <v>3765516.1549772499</v>
          </cell>
          <cell r="D1179">
            <v>0.78690325192123101</v>
          </cell>
          <cell r="E1179">
            <v>197380</v>
          </cell>
          <cell r="F1179">
            <v>155318.963864213</v>
          </cell>
          <cell r="G1179">
            <v>4.1247722084238776E-2</v>
          </cell>
          <cell r="I1179" t="str">
            <v>VA</v>
          </cell>
          <cell r="J1179" t="str">
            <v>Med</v>
          </cell>
          <cell r="K1179">
            <v>82692.666666666672</v>
          </cell>
        </row>
        <row r="1180">
          <cell r="C1180">
            <v>3461785.6677099201</v>
          </cell>
          <cell r="D1180">
            <v>0.75200747907212095</v>
          </cell>
          <cell r="E1180">
            <v>194167</v>
          </cell>
          <cell r="F1180">
            <v>146015.03618899599</v>
          </cell>
          <cell r="G1180">
            <v>4.2179109339715283E-2</v>
          </cell>
          <cell r="I1180" t="str">
            <v>VA</v>
          </cell>
          <cell r="J1180" t="str">
            <v>Med</v>
          </cell>
          <cell r="K1180">
            <v>75777.666666666672</v>
          </cell>
        </row>
        <row r="1181">
          <cell r="C1181">
            <v>4546406.3466462204</v>
          </cell>
          <cell r="D1181">
            <v>0.78187179892735903</v>
          </cell>
          <cell r="E1181">
            <v>161102</v>
          </cell>
          <cell r="F1181">
            <v>125961.110550795</v>
          </cell>
          <cell r="G1181">
            <v>2.7705642863118388E-2</v>
          </cell>
          <cell r="I1181" t="str">
            <v>VA</v>
          </cell>
          <cell r="J1181" t="str">
            <v>High</v>
          </cell>
          <cell r="K1181">
            <v>123264</v>
          </cell>
        </row>
        <row r="1182">
          <cell r="C1182">
            <v>4688768.4815968899</v>
          </cell>
          <cell r="D1182">
            <v>0.77684742624694003</v>
          </cell>
          <cell r="E1182">
            <v>159230</v>
          </cell>
          <cell r="F1182">
            <v>123697.4156813</v>
          </cell>
          <cell r="G1182">
            <v>2.63816428912633E-2</v>
          </cell>
          <cell r="I1182" t="str">
            <v>VA</v>
          </cell>
          <cell r="J1182" t="str">
            <v>High</v>
          </cell>
          <cell r="K1182">
            <v>130123</v>
          </cell>
        </row>
        <row r="1183">
          <cell r="C1183">
            <v>3286277.1500679199</v>
          </cell>
          <cell r="D1183">
            <v>0.773513512731134</v>
          </cell>
          <cell r="E1183">
            <v>177855</v>
          </cell>
          <cell r="F1183">
            <v>137573.24580679601</v>
          </cell>
          <cell r="G1183">
            <v>4.1862946892337639E-2</v>
          </cell>
          <cell r="I1183" t="str">
            <v>VA</v>
          </cell>
          <cell r="J1183" t="str">
            <v>Med</v>
          </cell>
          <cell r="K1183">
            <v>64149.333333333336</v>
          </cell>
        </row>
        <row r="1184">
          <cell r="C1184">
            <v>3134155.9570658598</v>
          </cell>
          <cell r="D1184">
            <v>0.80243632597881998</v>
          </cell>
          <cell r="E1184">
            <v>187537</v>
          </cell>
          <cell r="F1184">
            <v>150486.50126508999</v>
          </cell>
          <cell r="G1184">
            <v>4.8015000952911335E-2</v>
          </cell>
          <cell r="I1184" t="str">
            <v>VA</v>
          </cell>
          <cell r="J1184" t="str">
            <v>Med</v>
          </cell>
          <cell r="K1184">
            <v>57821.333333333336</v>
          </cell>
        </row>
        <row r="1185">
          <cell r="C1185">
            <v>2806348.8659528699</v>
          </cell>
          <cell r="D1185">
            <v>0.74636056130482098</v>
          </cell>
          <cell r="E1185">
            <v>199952</v>
          </cell>
          <cell r="F1185">
            <v>149236.28695402201</v>
          </cell>
          <cell r="G1185">
            <v>5.3178095127296376E-2</v>
          </cell>
          <cell r="I1185" t="str">
            <v>VA</v>
          </cell>
          <cell r="J1185" t="str">
            <v>Med</v>
          </cell>
          <cell r="K1185">
            <v>47096</v>
          </cell>
        </row>
        <row r="1186">
          <cell r="C1186">
            <v>4346614.8420485696</v>
          </cell>
          <cell r="D1186">
            <v>0.77888105854694301</v>
          </cell>
          <cell r="E1186">
            <v>165265</v>
          </cell>
          <cell r="F1186">
            <v>128721.77814076</v>
          </cell>
          <cell r="G1186">
            <v>2.9614259100098485E-2</v>
          </cell>
          <cell r="I1186" t="str">
            <v>VA</v>
          </cell>
          <cell r="J1186" t="str">
            <v>High</v>
          </cell>
          <cell r="K1186">
            <v>111399</v>
          </cell>
        </row>
        <row r="1187">
          <cell r="C1187">
            <v>4856093.5553388596</v>
          </cell>
          <cell r="D1187">
            <v>0.80391448378492703</v>
          </cell>
          <cell r="E1187">
            <v>159498</v>
          </cell>
          <cell r="F1187">
            <v>128222.75233472799</v>
          </cell>
          <cell r="G1187">
            <v>2.640450618867465E-2</v>
          </cell>
          <cell r="I1187" t="str">
            <v>VA</v>
          </cell>
          <cell r="J1187" t="str">
            <v>High</v>
          </cell>
          <cell r="K1187">
            <v>126832.33333333333</v>
          </cell>
        </row>
        <row r="1188">
          <cell r="C1188">
            <v>2334841.2375638401</v>
          </cell>
          <cell r="D1188">
            <v>0.78527868047301896</v>
          </cell>
          <cell r="E1188">
            <v>145696</v>
          </cell>
          <cell r="F1188">
            <v>114411.962630197</v>
          </cell>
          <cell r="G1188">
            <v>4.9002030968741062E-2</v>
          </cell>
          <cell r="I1188" t="str">
            <v>VA</v>
          </cell>
          <cell r="J1188" t="str">
            <v>Low</v>
          </cell>
          <cell r="K1188">
            <v>25878</v>
          </cell>
        </row>
        <row r="1189">
          <cell r="C1189">
            <v>3531813.1392995301</v>
          </cell>
          <cell r="D1189">
            <v>0.76847150566005895</v>
          </cell>
          <cell r="E1189">
            <v>176628</v>
          </cell>
          <cell r="F1189">
            <v>135733.58510172501</v>
          </cell>
          <cell r="G1189">
            <v>3.8431700587830436E-2</v>
          </cell>
          <cell r="I1189" t="str">
            <v>VA</v>
          </cell>
          <cell r="J1189" t="str">
            <v>Med</v>
          </cell>
          <cell r="K1189">
            <v>78901.666666666672</v>
          </cell>
        </row>
        <row r="1190">
          <cell r="C1190">
            <v>1391497.0044672601</v>
          </cell>
          <cell r="D1190">
            <v>0.73128634265981696</v>
          </cell>
          <cell r="E1190">
            <v>129125</v>
          </cell>
          <cell r="F1190">
            <v>94427.348995948894</v>
          </cell>
          <cell r="G1190">
            <v>6.7860260347524612E-2</v>
          </cell>
          <cell r="I1190" t="str">
            <v>NC</v>
          </cell>
          <cell r="J1190" t="str">
            <v>Low</v>
          </cell>
          <cell r="K1190">
            <v>32777.666666666664</v>
          </cell>
        </row>
        <row r="1191">
          <cell r="C1191">
            <v>1714478.18893287</v>
          </cell>
          <cell r="D1191">
            <v>0.69999789573445204</v>
          </cell>
          <cell r="E1191">
            <v>155074</v>
          </cell>
          <cell r="F1191">
            <v>108551.473683124</v>
          </cell>
          <cell r="G1191">
            <v>6.3314584218005648E-2</v>
          </cell>
          <cell r="I1191" t="str">
            <v>NC</v>
          </cell>
          <cell r="J1191" t="str">
            <v>Med</v>
          </cell>
          <cell r="K1191">
            <v>60623.333333333336</v>
          </cell>
        </row>
        <row r="1192">
          <cell r="C1192">
            <v>1727107.23539094</v>
          </cell>
          <cell r="D1192">
            <v>0.72690038313140404</v>
          </cell>
          <cell r="E1192">
            <v>142517</v>
          </cell>
          <cell r="F1192">
            <v>103595.66190273799</v>
          </cell>
          <cell r="G1192">
            <v>5.9982182796708951E-2</v>
          </cell>
          <cell r="I1192" t="str">
            <v>NC</v>
          </cell>
          <cell r="J1192" t="str">
            <v>Med</v>
          </cell>
          <cell r="K1192">
            <v>58152.666666666664</v>
          </cell>
        </row>
        <row r="1193">
          <cell r="C1193">
            <v>1665354.2126780499</v>
          </cell>
          <cell r="D1193">
            <v>0.71590312769238695</v>
          </cell>
          <cell r="E1193">
            <v>136461</v>
          </cell>
          <cell r="F1193">
            <v>97692.856708030798</v>
          </cell>
          <cell r="G1193">
            <v>5.8661908658417646E-2</v>
          </cell>
          <cell r="I1193" t="str">
            <v>NC</v>
          </cell>
          <cell r="J1193" t="str">
            <v>Med</v>
          </cell>
          <cell r="K1193">
            <v>54296</v>
          </cell>
        </row>
        <row r="1194">
          <cell r="C1194">
            <v>1561739.3280311001</v>
          </cell>
          <cell r="D1194">
            <v>0.73601432850787396</v>
          </cell>
          <cell r="E1194">
            <v>127237</v>
          </cell>
          <cell r="F1194">
            <v>93648.255116356406</v>
          </cell>
          <cell r="G1194">
            <v>5.9964075588990688E-2</v>
          </cell>
          <cell r="I1194" t="str">
            <v>NC</v>
          </cell>
          <cell r="J1194" t="str">
            <v>Med</v>
          </cell>
          <cell r="K1194">
            <v>50799.666666666664</v>
          </cell>
        </row>
        <row r="1195">
          <cell r="C1195">
            <v>1911686.8331396501</v>
          </cell>
          <cell r="D1195">
            <v>0.71989626957546005</v>
          </cell>
          <cell r="E1195">
            <v>142591</v>
          </cell>
          <cell r="F1195">
            <v>102650.728975034</v>
          </cell>
          <cell r="G1195">
            <v>5.3696414703262904E-2</v>
          </cell>
          <cell r="I1195" t="str">
            <v>NC</v>
          </cell>
          <cell r="J1195" t="str">
            <v>Med</v>
          </cell>
          <cell r="K1195">
            <v>70973</v>
          </cell>
        </row>
        <row r="1196">
          <cell r="C1196">
            <v>1767435.92517738</v>
          </cell>
          <cell r="D1196">
            <v>0.698553828543935</v>
          </cell>
          <cell r="E1196">
            <v>150196</v>
          </cell>
          <cell r="F1196">
            <v>104919.99083198499</v>
          </cell>
          <cell r="G1196">
            <v>5.9362825739470708E-2</v>
          </cell>
          <cell r="I1196" t="str">
            <v>NC</v>
          </cell>
          <cell r="J1196" t="str">
            <v>Med</v>
          </cell>
          <cell r="K1196">
            <v>63975.666666666664</v>
          </cell>
        </row>
        <row r="1197">
          <cell r="C1197">
            <v>1762955.7210580399</v>
          </cell>
          <cell r="D1197">
            <v>0.69626903184992395</v>
          </cell>
          <cell r="E1197">
            <v>153673</v>
          </cell>
          <cell r="F1197">
            <v>106997.750931473</v>
          </cell>
          <cell r="G1197">
            <v>6.0692250890599889E-2</v>
          </cell>
          <cell r="I1197" t="str">
            <v>NC</v>
          </cell>
          <cell r="J1197" t="str">
            <v>Med</v>
          </cell>
          <cell r="K1197">
            <v>59053.666666666664</v>
          </cell>
        </row>
        <row r="1198">
          <cell r="C1198">
            <v>1440151.6323339799</v>
          </cell>
          <cell r="D1198">
            <v>0.67294639013554403</v>
          </cell>
          <cell r="E1198">
            <v>159412</v>
          </cell>
          <cell r="F1198">
            <v>107275.729944287</v>
          </cell>
          <cell r="G1198">
            <v>7.4489190954448822E-2</v>
          </cell>
          <cell r="I1198" t="str">
            <v>NC</v>
          </cell>
          <cell r="J1198" t="str">
            <v>Low</v>
          </cell>
          <cell r="K1198">
            <v>35528.333333333336</v>
          </cell>
        </row>
        <row r="1199">
          <cell r="C1199">
            <v>2028184.47117994</v>
          </cell>
          <cell r="D1199">
            <v>0.70761314307017797</v>
          </cell>
          <cell r="E1199">
            <v>152115</v>
          </cell>
          <cell r="F1199">
            <v>107638.57325812</v>
          </cell>
          <cell r="G1199">
            <v>5.3071392068936872E-2</v>
          </cell>
          <cell r="I1199" t="str">
            <v>NC</v>
          </cell>
          <cell r="J1199" t="str">
            <v>Med</v>
          </cell>
          <cell r="K1199">
            <v>86195.333333333328</v>
          </cell>
        </row>
        <row r="1200">
          <cell r="C1200">
            <v>1871379.14278825</v>
          </cell>
          <cell r="D1200">
            <v>0.68680912547656703</v>
          </cell>
          <cell r="E1200">
            <v>136015</v>
          </cell>
          <cell r="F1200">
            <v>93416.343201695199</v>
          </cell>
          <cell r="G1200">
            <v>4.9918448413671046E-2</v>
          </cell>
          <cell r="I1200" t="str">
            <v>NC</v>
          </cell>
          <cell r="J1200" t="str">
            <v>No Data</v>
          </cell>
          <cell r="K1200">
            <v>0</v>
          </cell>
        </row>
        <row r="1201">
          <cell r="C1201">
            <v>1997708.2345525499</v>
          </cell>
          <cell r="D1201">
            <v>0.736469647419703</v>
          </cell>
          <cell r="E1201">
            <v>138812</v>
          </cell>
          <cell r="F1201">
            <v>102230.824697624</v>
          </cell>
          <cell r="G1201">
            <v>5.1174051810684879E-2</v>
          </cell>
          <cell r="I1201" t="str">
            <v>NC</v>
          </cell>
          <cell r="J1201" t="str">
            <v>Med</v>
          </cell>
          <cell r="K1201">
            <v>84558.333333333328</v>
          </cell>
        </row>
        <row r="1202">
          <cell r="C1202">
            <v>1919092.9496454201</v>
          </cell>
          <cell r="D1202">
            <v>0.68379481592548197</v>
          </cell>
          <cell r="E1202">
            <v>154695</v>
          </cell>
          <cell r="F1202">
            <v>105779.63904959201</v>
          </cell>
          <cell r="G1202">
            <v>5.5119601720769337E-2</v>
          </cell>
          <cell r="I1202" t="str">
            <v>NC</v>
          </cell>
          <cell r="J1202" t="str">
            <v>No Data</v>
          </cell>
          <cell r="K1202">
            <v>0</v>
          </cell>
        </row>
        <row r="1203">
          <cell r="C1203">
            <v>1926310.36008117</v>
          </cell>
          <cell r="D1203">
            <v>0.76031024435126304</v>
          </cell>
          <cell r="E1203">
            <v>137043</v>
          </cell>
          <cell r="F1203">
            <v>104195.19681663001</v>
          </cell>
          <cell r="G1203">
            <v>5.4090555175251964E-2</v>
          </cell>
          <cell r="I1203" t="str">
            <v>NC</v>
          </cell>
          <cell r="J1203" t="str">
            <v>Med</v>
          </cell>
          <cell r="K1203">
            <v>74214</v>
          </cell>
        </row>
        <row r="1204">
          <cell r="C1204">
            <v>1724337.61551977</v>
          </cell>
          <cell r="D1204">
            <v>0.725326126384923</v>
          </cell>
          <cell r="E1204">
            <v>144127</v>
          </cell>
          <cell r="F1204">
            <v>104539.07861748</v>
          </cell>
          <cell r="G1204">
            <v>6.0625644117824694E-2</v>
          </cell>
          <cell r="I1204" t="str">
            <v>NC</v>
          </cell>
          <cell r="J1204" t="str">
            <v>Med</v>
          </cell>
          <cell r="K1204">
            <v>58817</v>
          </cell>
        </row>
        <row r="1205">
          <cell r="C1205">
            <v>1892382.4857399401</v>
          </cell>
          <cell r="D1205">
            <v>0.68588005757554604</v>
          </cell>
          <cell r="E1205">
            <v>157207</v>
          </cell>
          <cell r="F1205">
            <v>107825.146211279</v>
          </cell>
          <cell r="G1205">
            <v>5.6978516248060877E-2</v>
          </cell>
          <cell r="I1205" t="str">
            <v>NC</v>
          </cell>
          <cell r="J1205" t="str">
            <v>No Data</v>
          </cell>
          <cell r="K1205">
            <v>0</v>
          </cell>
        </row>
        <row r="1206">
          <cell r="C1206">
            <v>1542271.9164361199</v>
          </cell>
          <cell r="D1206">
            <v>0.64929960384053498</v>
          </cell>
          <cell r="E1206">
            <v>155268</v>
          </cell>
          <cell r="F1206">
            <v>100815.45088911201</v>
          </cell>
          <cell r="G1206">
            <v>6.5368142812375282E-2</v>
          </cell>
          <cell r="I1206" t="str">
            <v>NC</v>
          </cell>
          <cell r="J1206" t="str">
            <v>Med</v>
          </cell>
          <cell r="K1206">
            <v>47637.333333333336</v>
          </cell>
        </row>
        <row r="1207">
          <cell r="C1207">
            <v>1858100.70587856</v>
          </cell>
          <cell r="D1207">
            <v>0.71713159869684895</v>
          </cell>
          <cell r="E1207">
            <v>148055</v>
          </cell>
          <cell r="F1207">
            <v>106174.918845062</v>
          </cell>
          <cell r="G1207">
            <v>5.714163850707954E-2</v>
          </cell>
          <cell r="I1207" t="str">
            <v>NC</v>
          </cell>
          <cell r="J1207" t="str">
            <v>Med</v>
          </cell>
          <cell r="K1207">
            <v>69341.666666666672</v>
          </cell>
        </row>
        <row r="1208">
          <cell r="C1208">
            <v>2012386.9267184499</v>
          </cell>
          <cell r="D1208">
            <v>0.70474160392840901</v>
          </cell>
          <cell r="E1208">
            <v>132377</v>
          </cell>
          <cell r="F1208">
            <v>93291.579303230901</v>
          </cell>
          <cell r="G1208">
            <v>4.6358668934189107E-2</v>
          </cell>
          <cell r="I1208" t="str">
            <v>NC</v>
          </cell>
          <cell r="J1208" t="str">
            <v>Med</v>
          </cell>
          <cell r="K1208">
            <v>85208</v>
          </cell>
        </row>
        <row r="1209">
          <cell r="C1209">
            <v>1574979.09146416</v>
          </cell>
          <cell r="D1209">
            <v>0.73748109661485495</v>
          </cell>
          <cell r="E1209">
            <v>144838</v>
          </cell>
          <cell r="F1209">
            <v>106815.287071502</v>
          </cell>
          <cell r="G1209">
            <v>6.782013021658749E-2</v>
          </cell>
          <cell r="I1209" t="str">
            <v>NC</v>
          </cell>
          <cell r="J1209" t="str">
            <v>Low</v>
          </cell>
          <cell r="K1209">
            <v>32777.666666666664</v>
          </cell>
        </row>
        <row r="1210">
          <cell r="C1210">
            <v>1938706.6727994201</v>
          </cell>
          <cell r="D1210">
            <v>0.70607741015771996</v>
          </cell>
          <cell r="E1210">
            <v>177200</v>
          </cell>
          <cell r="F1210">
            <v>125116.91707994801</v>
          </cell>
          <cell r="G1210">
            <v>6.4536280209570765E-2</v>
          </cell>
          <cell r="I1210" t="str">
            <v>NC</v>
          </cell>
          <cell r="J1210" t="str">
            <v>Med</v>
          </cell>
          <cell r="K1210">
            <v>60623.333333333336</v>
          </cell>
        </row>
        <row r="1211">
          <cell r="C1211">
            <v>1965476.1861813799</v>
          </cell>
          <cell r="D1211">
            <v>0.744777726178251</v>
          </cell>
          <cell r="E1211">
            <v>156286</v>
          </cell>
          <cell r="F1211">
            <v>116398.331713494</v>
          </cell>
          <cell r="G1211">
            <v>5.9221440855835646E-2</v>
          </cell>
          <cell r="I1211" t="str">
            <v>NC</v>
          </cell>
          <cell r="J1211" t="str">
            <v>Med</v>
          </cell>
          <cell r="K1211">
            <v>58152.666666666664</v>
          </cell>
        </row>
        <row r="1212">
          <cell r="C1212">
            <v>1898975.58408128</v>
          </cell>
          <cell r="D1212">
            <v>0.74122417137710805</v>
          </cell>
          <cell r="E1212">
            <v>151040</v>
          </cell>
          <cell r="F1212">
            <v>111954.498844798</v>
          </cell>
          <cell r="G1212">
            <v>5.8955207103919306E-2</v>
          </cell>
          <cell r="I1212" t="str">
            <v>NC</v>
          </cell>
          <cell r="J1212" t="str">
            <v>Med</v>
          </cell>
          <cell r="K1212">
            <v>54296</v>
          </cell>
        </row>
        <row r="1213">
          <cell r="C1213">
            <v>1780467.34875609</v>
          </cell>
          <cell r="D1213">
            <v>0.730706284706653</v>
          </cell>
          <cell r="E1213">
            <v>143200</v>
          </cell>
          <cell r="F1213">
            <v>104637.139969993</v>
          </cell>
          <cell r="G1213">
            <v>5.8769479846455454E-2</v>
          </cell>
          <cell r="I1213" t="str">
            <v>NC</v>
          </cell>
          <cell r="J1213" t="str">
            <v>Med</v>
          </cell>
          <cell r="K1213">
            <v>50799.666666666664</v>
          </cell>
        </row>
        <row r="1214">
          <cell r="C1214">
            <v>2105531.8983562998</v>
          </cell>
          <cell r="D1214">
            <v>0.70315496861494498</v>
          </cell>
          <cell r="E1214">
            <v>166319</v>
          </cell>
          <cell r="F1214">
            <v>116948.031225069</v>
          </cell>
          <cell r="G1214">
            <v>5.5543224643789732E-2</v>
          </cell>
          <cell r="I1214" t="str">
            <v>NC</v>
          </cell>
          <cell r="J1214" t="str">
            <v>Med</v>
          </cell>
          <cell r="K1214">
            <v>70973</v>
          </cell>
        </row>
        <row r="1215">
          <cell r="C1215">
            <v>2001621.7828337599</v>
          </cell>
          <cell r="D1215">
            <v>0.68462754129916703</v>
          </cell>
          <cell r="E1215">
            <v>176238</v>
          </cell>
          <cell r="F1215">
            <v>120657.388623483</v>
          </cell>
          <cell r="G1215">
            <v>6.0279813928016152E-2</v>
          </cell>
          <cell r="I1215" t="str">
            <v>NC</v>
          </cell>
          <cell r="J1215" t="str">
            <v>Med</v>
          </cell>
          <cell r="K1215">
            <v>63975.666666666664</v>
          </cell>
        </row>
        <row r="1216">
          <cell r="C1216">
            <v>1982118.6006799899</v>
          </cell>
          <cell r="D1216">
            <v>0.71086201055782205</v>
          </cell>
          <cell r="E1216">
            <v>168441</v>
          </cell>
          <cell r="F1216">
            <v>119738.30792037</v>
          </cell>
          <cell r="G1216">
            <v>6.040925496551635E-2</v>
          </cell>
          <cell r="I1216" t="str">
            <v>NC</v>
          </cell>
          <cell r="J1216" t="str">
            <v>Med</v>
          </cell>
          <cell r="K1216">
            <v>59053.666666666664</v>
          </cell>
        </row>
        <row r="1217">
          <cell r="C1217">
            <v>1608490.3066710299</v>
          </cell>
          <cell r="D1217">
            <v>0.67849213479287795</v>
          </cell>
          <cell r="E1217">
            <v>181350</v>
          </cell>
          <cell r="F1217">
            <v>123044.54864468799</v>
          </cell>
          <cell r="G1217">
            <v>7.6496916477752322E-2</v>
          </cell>
          <cell r="I1217" t="str">
            <v>NC</v>
          </cell>
          <cell r="J1217" t="str">
            <v>Low</v>
          </cell>
          <cell r="K1217">
            <v>35528.333333333336</v>
          </cell>
        </row>
        <row r="1218">
          <cell r="C1218">
            <v>2310524.1501398101</v>
          </cell>
          <cell r="D1218">
            <v>0.71221666477462497</v>
          </cell>
          <cell r="E1218">
            <v>174978</v>
          </cell>
          <cell r="F1218">
            <v>124622.24756893401</v>
          </cell>
          <cell r="G1218">
            <v>5.3936786404674933E-2</v>
          </cell>
          <cell r="I1218" t="str">
            <v>NC</v>
          </cell>
          <cell r="J1218" t="str">
            <v>Med</v>
          </cell>
          <cell r="K1218">
            <v>86195.333333333328</v>
          </cell>
        </row>
        <row r="1219">
          <cell r="C1219">
            <v>2121672.9370226902</v>
          </cell>
          <cell r="D1219">
            <v>0.72920093870227298</v>
          </cell>
          <cell r="E1219">
            <v>148796</v>
          </cell>
          <cell r="F1219">
            <v>108502.182875143</v>
          </cell>
          <cell r="G1219">
            <v>5.1139919344685793E-2</v>
          </cell>
          <cell r="I1219" t="str">
            <v>NC</v>
          </cell>
          <cell r="J1219" t="str">
            <v>No Data</v>
          </cell>
          <cell r="K1219">
            <v>0</v>
          </cell>
        </row>
        <row r="1220">
          <cell r="C1220">
            <v>2282359.9991756999</v>
          </cell>
          <cell r="D1220">
            <v>0.729874614393072</v>
          </cell>
          <cell r="E1220">
            <v>159993</v>
          </cell>
          <cell r="F1220">
            <v>116774.829180591</v>
          </cell>
          <cell r="G1220">
            <v>5.1164071059239362E-2</v>
          </cell>
          <cell r="I1220" t="str">
            <v>NC</v>
          </cell>
          <cell r="J1220" t="str">
            <v>Med</v>
          </cell>
          <cell r="K1220">
            <v>84558.333333333328</v>
          </cell>
        </row>
        <row r="1221">
          <cell r="C1221">
            <v>2147694.2155896099</v>
          </cell>
          <cell r="D1221">
            <v>0.65917001850910695</v>
          </cell>
          <cell r="E1221">
            <v>176386</v>
          </cell>
          <cell r="F1221">
            <v>116268.362884747</v>
          </cell>
          <cell r="G1221">
            <v>5.4136367291387266E-2</v>
          </cell>
          <cell r="I1221" t="str">
            <v>NC</v>
          </cell>
          <cell r="J1221" t="str">
            <v>No Data</v>
          </cell>
          <cell r="K1221">
            <v>0</v>
          </cell>
        </row>
        <row r="1222">
          <cell r="C1222">
            <v>2195155.7983280001</v>
          </cell>
          <cell r="D1222">
            <v>0.75930388452981501</v>
          </cell>
          <cell r="E1222">
            <v>158100</v>
          </cell>
          <cell r="F1222">
            <v>120045.94414416399</v>
          </cell>
          <cell r="G1222">
            <v>5.4686753548700388E-2</v>
          </cell>
          <cell r="I1222" t="str">
            <v>NC</v>
          </cell>
          <cell r="J1222" t="str">
            <v>Med</v>
          </cell>
          <cell r="K1222">
            <v>74214</v>
          </cell>
        </row>
        <row r="1223">
          <cell r="C1223">
            <v>1911757.2152485701</v>
          </cell>
          <cell r="D1223">
            <v>0.73093971732837404</v>
          </cell>
          <cell r="E1223">
            <v>153392</v>
          </cell>
          <cell r="F1223">
            <v>112120.305120434</v>
          </cell>
          <cell r="G1223">
            <v>5.8647774009240983E-2</v>
          </cell>
          <cell r="I1223" t="str">
            <v>NC</v>
          </cell>
          <cell r="J1223" t="str">
            <v>Med</v>
          </cell>
          <cell r="K1223">
            <v>58817</v>
          </cell>
        </row>
        <row r="1224">
          <cell r="C1224">
            <v>2184074.0008521802</v>
          </cell>
          <cell r="D1224">
            <v>0.68439809339160695</v>
          </cell>
          <cell r="E1224">
            <v>183643</v>
          </cell>
          <cell r="F1224">
            <v>125684.919064715</v>
          </cell>
          <cell r="G1224">
            <v>5.754609002061073E-2</v>
          </cell>
          <cell r="I1224" t="str">
            <v>NC</v>
          </cell>
          <cell r="J1224" t="str">
            <v>No Data</v>
          </cell>
          <cell r="K1224">
            <v>0</v>
          </cell>
        </row>
        <row r="1225">
          <cell r="C1225">
            <v>1708670.1845891201</v>
          </cell>
          <cell r="D1225">
            <v>0.68520954958871005</v>
          </cell>
          <cell r="E1225">
            <v>162543</v>
          </cell>
          <cell r="F1225">
            <v>111376.015818798</v>
          </cell>
          <cell r="G1225">
            <v>6.5182863740072997E-2</v>
          </cell>
          <cell r="I1225" t="str">
            <v>NC</v>
          </cell>
          <cell r="J1225" t="str">
            <v>Med</v>
          </cell>
          <cell r="K1225">
            <v>47637.333333333336</v>
          </cell>
        </row>
        <row r="1226">
          <cell r="C1226">
            <v>2146476.1818469898</v>
          </cell>
          <cell r="D1226">
            <v>0.70851971195439201</v>
          </cell>
          <cell r="E1226">
            <v>176824</v>
          </cell>
          <cell r="F1226">
            <v>125283.289546623</v>
          </cell>
          <cell r="G1226">
            <v>5.8366960046498079E-2</v>
          </cell>
          <cell r="I1226" t="str">
            <v>NC</v>
          </cell>
          <cell r="J1226" t="str">
            <v>Med</v>
          </cell>
          <cell r="K1226">
            <v>69341.666666666672</v>
          </cell>
        </row>
        <row r="1227">
          <cell r="C1227">
            <v>2282559.2116792798</v>
          </cell>
          <cell r="D1227">
            <v>0.66969885938341001</v>
          </cell>
          <cell r="E1227">
            <v>156249</v>
          </cell>
          <cell r="F1227">
            <v>104639.777079798</v>
          </cell>
          <cell r="G1227">
            <v>4.5843181874267558E-2</v>
          </cell>
          <cell r="I1227" t="str">
            <v>NC</v>
          </cell>
          <cell r="J1227" t="str">
            <v>Med</v>
          </cell>
          <cell r="K1227">
            <v>85208</v>
          </cell>
        </row>
        <row r="1228">
          <cell r="C1228">
            <v>1762023.95205145</v>
          </cell>
          <cell r="D1228">
            <v>0.73373048066032298</v>
          </cell>
          <cell r="E1228">
            <v>176325</v>
          </cell>
          <cell r="F1228">
            <v>129375.02700243201</v>
          </cell>
          <cell r="G1228">
            <v>7.3424102352187742E-2</v>
          </cell>
          <cell r="I1228" t="str">
            <v>NC</v>
          </cell>
          <cell r="J1228" t="str">
            <v>Low</v>
          </cell>
          <cell r="K1228">
            <v>32777.666666666664</v>
          </cell>
        </row>
        <row r="1229">
          <cell r="C1229">
            <v>2186011.3304433799</v>
          </cell>
          <cell r="D1229">
            <v>0.703425572264195</v>
          </cell>
          <cell r="E1229">
            <v>209296</v>
          </cell>
          <cell r="F1229">
            <v>147224.158572607</v>
          </cell>
          <cell r="G1229">
            <v>6.7348305346041415E-2</v>
          </cell>
          <cell r="I1229" t="str">
            <v>NC</v>
          </cell>
          <cell r="J1229" t="str">
            <v>Med</v>
          </cell>
          <cell r="K1229">
            <v>60623.333333333336</v>
          </cell>
        </row>
        <row r="1230">
          <cell r="C1230">
            <v>2198356.3881352302</v>
          </cell>
          <cell r="D1230">
            <v>0.74377213837475797</v>
          </cell>
          <cell r="E1230">
            <v>184917</v>
          </cell>
          <cell r="F1230">
            <v>137536.11251184501</v>
          </cell>
          <cell r="G1230">
            <v>6.2563155480222607E-2</v>
          </cell>
          <cell r="I1230" t="str">
            <v>NC</v>
          </cell>
          <cell r="J1230" t="str">
            <v>Med</v>
          </cell>
          <cell r="K1230">
            <v>58152.666666666664</v>
          </cell>
        </row>
        <row r="1231">
          <cell r="C1231">
            <v>2095833.75410597</v>
          </cell>
          <cell r="D1231">
            <v>0.70588041969543802</v>
          </cell>
          <cell r="E1231">
            <v>185146</v>
          </cell>
          <cell r="F1231">
            <v>130690.936184932</v>
          </cell>
          <cell r="G1231">
            <v>6.2357491823430179E-2</v>
          </cell>
          <cell r="I1231" t="str">
            <v>NC</v>
          </cell>
          <cell r="J1231" t="str">
            <v>Med</v>
          </cell>
          <cell r="K1231">
            <v>54296</v>
          </cell>
        </row>
        <row r="1232">
          <cell r="C1232">
            <v>1920981.0792688699</v>
          </cell>
          <cell r="D1232">
            <v>0.72536440638949495</v>
          </cell>
          <cell r="E1232">
            <v>166137</v>
          </cell>
          <cell r="F1232">
            <v>120509.866384332</v>
          </cell>
          <cell r="G1232">
            <v>6.2733499920883312E-2</v>
          </cell>
          <cell r="I1232" t="str">
            <v>NC</v>
          </cell>
          <cell r="J1232" t="str">
            <v>Med</v>
          </cell>
          <cell r="K1232">
            <v>50799.666666666664</v>
          </cell>
        </row>
        <row r="1233">
          <cell r="C1233">
            <v>2347111.3463589302</v>
          </cell>
          <cell r="D1233">
            <v>0.72865851510724799</v>
          </cell>
          <cell r="E1233">
            <v>182548</v>
          </cell>
          <cell r="F1233">
            <v>133015.154615798</v>
          </cell>
          <cell r="G1233">
            <v>5.6671855309354702E-2</v>
          </cell>
          <cell r="I1233" t="str">
            <v>NC</v>
          </cell>
          <cell r="J1233" t="str">
            <v>Med</v>
          </cell>
          <cell r="K1233">
            <v>70973</v>
          </cell>
        </row>
        <row r="1234">
          <cell r="C1234">
            <v>2251005.7671288298</v>
          </cell>
          <cell r="D1234">
            <v>0.67009883535291703</v>
          </cell>
          <cell r="E1234">
            <v>210992</v>
          </cell>
          <cell r="F1234">
            <v>141385.49346878301</v>
          </cell>
          <cell r="G1234">
            <v>6.2809920584575393E-2</v>
          </cell>
          <cell r="I1234" t="str">
            <v>NC</v>
          </cell>
          <cell r="J1234" t="str">
            <v>Med</v>
          </cell>
          <cell r="K1234">
            <v>63975.666666666664</v>
          </cell>
        </row>
        <row r="1235">
          <cell r="C1235">
            <v>2214672.03726331</v>
          </cell>
          <cell r="D1235">
            <v>0.71789203043397598</v>
          </cell>
          <cell r="E1235">
            <v>195820</v>
          </cell>
          <cell r="F1235">
            <v>140577.61739958101</v>
          </cell>
          <cell r="G1235">
            <v>6.347559143488081E-2</v>
          </cell>
          <cell r="I1235" t="str">
            <v>NC</v>
          </cell>
          <cell r="J1235" t="str">
            <v>Med</v>
          </cell>
          <cell r="K1235">
            <v>59053.666666666664</v>
          </cell>
        </row>
        <row r="1236">
          <cell r="C1236">
            <v>1779864.9691499399</v>
          </cell>
          <cell r="D1236">
            <v>0.68934663203470103</v>
          </cell>
          <cell r="E1236">
            <v>201235</v>
          </cell>
          <cell r="F1236">
            <v>138720.669497503</v>
          </cell>
          <cell r="G1236">
            <v>7.7938872836940953E-2</v>
          </cell>
          <cell r="I1236" t="str">
            <v>NC</v>
          </cell>
          <cell r="J1236" t="str">
            <v>Low</v>
          </cell>
          <cell r="K1236">
            <v>35528.333333333336</v>
          </cell>
        </row>
        <row r="1237">
          <cell r="C1237">
            <v>2565107.89236802</v>
          </cell>
          <cell r="D1237">
            <v>0.71110237117502695</v>
          </cell>
          <cell r="E1237">
            <v>205007</v>
          </cell>
          <cell r="F1237">
            <v>145780.96380747901</v>
          </cell>
          <cell r="G1237">
            <v>5.6832293191729652E-2</v>
          </cell>
          <cell r="I1237" t="str">
            <v>NC</v>
          </cell>
          <cell r="J1237" t="str">
            <v>Med</v>
          </cell>
          <cell r="K1237">
            <v>86195.333333333328</v>
          </cell>
        </row>
        <row r="1238">
          <cell r="C1238">
            <v>2369204.3453009701</v>
          </cell>
          <cell r="D1238">
            <v>0.73197765036413698</v>
          </cell>
          <cell r="E1238">
            <v>171996</v>
          </cell>
          <cell r="F1238">
            <v>125897.22795203001</v>
          </cell>
          <cell r="G1238">
            <v>5.313903302673402E-2</v>
          </cell>
          <cell r="I1238" t="str">
            <v>NC</v>
          </cell>
          <cell r="J1238" t="str">
            <v>No Data</v>
          </cell>
          <cell r="K1238">
            <v>0</v>
          </cell>
        </row>
        <row r="1239">
          <cell r="C1239">
            <v>2534931.3222141</v>
          </cell>
          <cell r="D1239">
            <v>0.72943731791544797</v>
          </cell>
          <cell r="E1239">
            <v>186487</v>
          </cell>
          <cell r="F1239">
            <v>136030.577106098</v>
          </cell>
          <cell r="G1239">
            <v>5.3662430975559533E-2</v>
          </cell>
          <cell r="I1239" t="str">
            <v>NC</v>
          </cell>
          <cell r="J1239" t="str">
            <v>Med</v>
          </cell>
          <cell r="K1239">
            <v>84558.333333333328</v>
          </cell>
        </row>
        <row r="1240">
          <cell r="C1240">
            <v>2416129.93259292</v>
          </cell>
          <cell r="D1240">
            <v>0.67924035467881905</v>
          </cell>
          <cell r="E1240">
            <v>207113</v>
          </cell>
          <cell r="F1240">
            <v>140679.507578594</v>
          </cell>
          <cell r="G1240">
            <v>5.8225141653545455E-2</v>
          </cell>
          <cell r="I1240" t="str">
            <v>NC</v>
          </cell>
          <cell r="J1240" t="str">
            <v>No Data</v>
          </cell>
          <cell r="K1240">
            <v>0</v>
          </cell>
        </row>
        <row r="1241">
          <cell r="C1241">
            <v>2462174.6569690499</v>
          </cell>
          <cell r="D1241">
            <v>0.72756268864214102</v>
          </cell>
          <cell r="E1241">
            <v>193118</v>
          </cell>
          <cell r="F1241">
            <v>140505.45130519301</v>
          </cell>
          <cell r="G1241">
            <v>5.7065590740080142E-2</v>
          </cell>
          <cell r="I1241" t="str">
            <v>NC</v>
          </cell>
          <cell r="J1241" t="str">
            <v>Med</v>
          </cell>
          <cell r="K1241">
            <v>74214</v>
          </cell>
        </row>
        <row r="1242">
          <cell r="C1242">
            <v>2149472.3222317901</v>
          </cell>
          <cell r="D1242">
            <v>0.76015423393829495</v>
          </cell>
          <cell r="E1242">
            <v>177517</v>
          </cell>
          <cell r="F1242">
            <v>134940.29914602399</v>
          </cell>
          <cell r="G1242">
            <v>6.2778337618190835E-2</v>
          </cell>
          <cell r="I1242" t="str">
            <v>NC</v>
          </cell>
          <cell r="J1242" t="str">
            <v>Med</v>
          </cell>
          <cell r="K1242">
            <v>58817</v>
          </cell>
        </row>
        <row r="1243">
          <cell r="C1243">
            <v>2421051.5905284099</v>
          </cell>
          <cell r="D1243">
            <v>0.69402508900302495</v>
          </cell>
          <cell r="E1243">
            <v>211254</v>
          </cell>
          <cell r="F1243">
            <v>146615.57615224499</v>
          </cell>
          <cell r="G1243">
            <v>6.0558633581304727E-2</v>
          </cell>
          <cell r="I1243" t="str">
            <v>NC</v>
          </cell>
          <cell r="J1243" t="str">
            <v>No Data</v>
          </cell>
          <cell r="K1243">
            <v>0</v>
          </cell>
        </row>
        <row r="1244">
          <cell r="C1244">
            <v>1983718.5635988901</v>
          </cell>
          <cell r="D1244">
            <v>0.68572217854680295</v>
          </cell>
          <cell r="E1244">
            <v>202043</v>
          </cell>
          <cell r="F1244">
            <v>138545.36612013201</v>
          </cell>
          <cell r="G1244">
            <v>6.9841240921182421E-2</v>
          </cell>
          <cell r="I1244" t="str">
            <v>NC</v>
          </cell>
          <cell r="J1244" t="str">
            <v>Med</v>
          </cell>
          <cell r="K1244">
            <v>47637.333333333336</v>
          </cell>
        </row>
        <row r="1245">
          <cell r="C1245">
            <v>2377255.3479231098</v>
          </cell>
          <cell r="D1245">
            <v>0.68820560965209299</v>
          </cell>
          <cell r="E1245">
            <v>219126</v>
          </cell>
          <cell r="F1245">
            <v>150803.742420625</v>
          </cell>
          <cell r="G1245">
            <v>6.3436072423761605E-2</v>
          </cell>
          <cell r="I1245" t="str">
            <v>NC</v>
          </cell>
          <cell r="J1245" t="str">
            <v>Med</v>
          </cell>
          <cell r="K1245">
            <v>69341.666666666672</v>
          </cell>
        </row>
        <row r="1246">
          <cell r="C1246">
            <v>2530330.1419728398</v>
          </cell>
          <cell r="D1246">
            <v>0.70895252280008003</v>
          </cell>
          <cell r="E1246">
            <v>175969</v>
          </cell>
          <cell r="F1246">
            <v>124753.66648460701</v>
          </cell>
          <cell r="G1246">
            <v>4.930331596466675E-2</v>
          </cell>
          <cell r="I1246" t="str">
            <v>NC</v>
          </cell>
          <cell r="J1246" t="str">
            <v>Med</v>
          </cell>
          <cell r="K1246">
            <v>85208</v>
          </cell>
        </row>
        <row r="1247">
          <cell r="C1247">
            <v>1807414.9605115</v>
          </cell>
          <cell r="D1247">
            <v>0.74020972336737101</v>
          </cell>
          <cell r="E1247">
            <v>193349</v>
          </cell>
          <cell r="F1247">
            <v>143118.80980335799</v>
          </cell>
          <cell r="G1247">
            <v>7.9184256482448964E-2</v>
          </cell>
          <cell r="I1247" t="str">
            <v>NC</v>
          </cell>
          <cell r="J1247" t="str">
            <v>Low</v>
          </cell>
          <cell r="K1247">
            <v>32777.666666666664</v>
          </cell>
        </row>
        <row r="1248">
          <cell r="C1248">
            <v>2273348.8361050701</v>
          </cell>
          <cell r="D1248">
            <v>0.71066976898983802</v>
          </cell>
          <cell r="E1248">
            <v>236418</v>
          </cell>
          <cell r="F1248">
            <v>168015.12544503901</v>
          </cell>
          <cell r="G1248">
            <v>7.3906442679030043E-2</v>
          </cell>
          <cell r="I1248" t="str">
            <v>NC</v>
          </cell>
          <cell r="J1248" t="str">
            <v>Med</v>
          </cell>
          <cell r="K1248">
            <v>60623.333333333336</v>
          </cell>
        </row>
        <row r="1249">
          <cell r="C1249">
            <v>2296150.3970087301</v>
          </cell>
          <cell r="D1249">
            <v>0.75253755116208798</v>
          </cell>
          <cell r="E1249">
            <v>209888</v>
          </cell>
          <cell r="F1249">
            <v>157948.60153830799</v>
          </cell>
          <cell r="G1249">
            <v>6.8788439008208163E-2</v>
          </cell>
          <cell r="I1249" t="str">
            <v>NC</v>
          </cell>
          <cell r="J1249" t="str">
            <v>Med</v>
          </cell>
          <cell r="K1249">
            <v>58152.666666666664</v>
          </cell>
        </row>
        <row r="1250">
          <cell r="C1250">
            <v>2213840.9771480402</v>
          </cell>
          <cell r="D1250">
            <v>0.73394209276001199</v>
          </cell>
          <cell r="E1250">
            <v>209250</v>
          </cell>
          <cell r="F1250">
            <v>153577.38291003299</v>
          </cell>
          <cell r="G1250">
            <v>6.9371460956458408E-2</v>
          </cell>
          <cell r="I1250" t="str">
            <v>NC</v>
          </cell>
          <cell r="J1250" t="str">
            <v>Med</v>
          </cell>
          <cell r="K1250">
            <v>54296</v>
          </cell>
        </row>
        <row r="1251">
          <cell r="C1251">
            <v>2074847.5413164799</v>
          </cell>
          <cell r="D1251">
            <v>0.75995752900172397</v>
          </cell>
          <cell r="E1251">
            <v>183520</v>
          </cell>
          <cell r="F1251">
            <v>139467.40572239601</v>
          </cell>
          <cell r="G1251">
            <v>6.7218146367469811E-2</v>
          </cell>
          <cell r="I1251" t="str">
            <v>NC</v>
          </cell>
          <cell r="J1251" t="str">
            <v>Med</v>
          </cell>
          <cell r="K1251">
            <v>50799.666666666664</v>
          </cell>
        </row>
        <row r="1252">
          <cell r="C1252">
            <v>2494943.5324315499</v>
          </cell>
          <cell r="D1252">
            <v>0.71077218715325297</v>
          </cell>
          <cell r="E1252">
            <v>222271</v>
          </cell>
          <cell r="F1252">
            <v>157984.044810741</v>
          </cell>
          <cell r="G1252">
            <v>6.3321691556189719E-2</v>
          </cell>
          <cell r="I1252" t="str">
            <v>NC</v>
          </cell>
          <cell r="J1252" t="str">
            <v>Med</v>
          </cell>
          <cell r="K1252">
            <v>70973</v>
          </cell>
        </row>
        <row r="1253">
          <cell r="C1253">
            <v>2334865.2045386699</v>
          </cell>
          <cell r="D1253">
            <v>0.66959585761459595</v>
          </cell>
          <cell r="E1253">
            <v>245093</v>
          </cell>
          <cell r="F1253">
            <v>164113.257530334</v>
          </cell>
          <cell r="G1253">
            <v>7.0288107943584699E-2</v>
          </cell>
          <cell r="I1253" t="str">
            <v>NC</v>
          </cell>
          <cell r="J1253" t="str">
            <v>Med</v>
          </cell>
          <cell r="K1253">
            <v>63975.666666666664</v>
          </cell>
        </row>
        <row r="1254">
          <cell r="C1254">
            <v>2307524.0761543699</v>
          </cell>
          <cell r="D1254">
            <v>0.71352489639933803</v>
          </cell>
          <cell r="E1254">
            <v>227068</v>
          </cell>
          <cell r="F1254">
            <v>162018.67117560501</v>
          </cell>
          <cell r="G1254">
            <v>7.0213209409116559E-2</v>
          </cell>
          <cell r="I1254" t="str">
            <v>NC</v>
          </cell>
          <cell r="J1254" t="str">
            <v>Med</v>
          </cell>
          <cell r="K1254">
            <v>59053.666666666664</v>
          </cell>
        </row>
        <row r="1255">
          <cell r="C1255">
            <v>1883654.51739304</v>
          </cell>
          <cell r="D1255">
            <v>0.68830189996983304</v>
          </cell>
          <cell r="E1255">
            <v>233663</v>
          </cell>
          <cell r="F1255">
            <v>160830.68685265101</v>
          </cell>
          <cell r="G1255">
            <v>8.5382263768431985E-2</v>
          </cell>
          <cell r="I1255" t="str">
            <v>NC</v>
          </cell>
          <cell r="J1255" t="str">
            <v>Low</v>
          </cell>
          <cell r="K1255">
            <v>35528.333333333336</v>
          </cell>
        </row>
        <row r="1256">
          <cell r="C1256">
            <v>2720414.36885106</v>
          </cell>
          <cell r="D1256">
            <v>0.70487005203820396</v>
          </cell>
          <cell r="E1256">
            <v>237634</v>
          </cell>
          <cell r="F1256">
            <v>167501.089946047</v>
          </cell>
          <cell r="G1256">
            <v>6.1571903112976653E-2</v>
          </cell>
          <cell r="I1256" t="str">
            <v>NC</v>
          </cell>
          <cell r="J1256" t="str">
            <v>Med</v>
          </cell>
          <cell r="K1256">
            <v>86195.333333333328</v>
          </cell>
        </row>
        <row r="1257">
          <cell r="C1257">
            <v>2506127.6681096698</v>
          </cell>
          <cell r="D1257">
            <v>0.71796343224214199</v>
          </cell>
          <cell r="E1257">
            <v>203245</v>
          </cell>
          <cell r="F1257">
            <v>145922.47778605399</v>
          </cell>
          <cell r="G1257">
            <v>5.8226274600017038E-2</v>
          </cell>
          <cell r="I1257" t="str">
            <v>NC</v>
          </cell>
          <cell r="J1257" t="str">
            <v>No Data</v>
          </cell>
          <cell r="K1257">
            <v>0</v>
          </cell>
        </row>
        <row r="1258">
          <cell r="C1258">
            <v>2731926.6206423198</v>
          </cell>
          <cell r="D1258">
            <v>0.73740653209327101</v>
          </cell>
          <cell r="E1258">
            <v>218156</v>
          </cell>
          <cell r="F1258">
            <v>160869.65941533999</v>
          </cell>
          <cell r="G1258">
            <v>5.8885058698068891E-2</v>
          </cell>
          <cell r="I1258" t="str">
            <v>NC</v>
          </cell>
          <cell r="J1258" t="str">
            <v>Med</v>
          </cell>
          <cell r="K1258">
            <v>84558.333333333328</v>
          </cell>
        </row>
        <row r="1259">
          <cell r="C1259">
            <v>2534011.5848586801</v>
          </cell>
          <cell r="D1259">
            <v>0.66794359344187404</v>
          </cell>
          <cell r="E1259">
            <v>244837</v>
          </cell>
          <cell r="F1259">
            <v>163537.30558752801</v>
          </cell>
          <cell r="G1259">
            <v>6.4536921048310186E-2</v>
          </cell>
          <cell r="I1259" t="str">
            <v>NC</v>
          </cell>
          <cell r="J1259" t="str">
            <v>No Data</v>
          </cell>
          <cell r="K1259">
            <v>0</v>
          </cell>
        </row>
        <row r="1260">
          <cell r="C1260">
            <v>2596668.1064517298</v>
          </cell>
          <cell r="D1260">
            <v>0.74860810956808499</v>
          </cell>
          <cell r="E1260">
            <v>218437</v>
          </cell>
          <cell r="F1260">
            <v>163523.70962972401</v>
          </cell>
          <cell r="G1260">
            <v>6.297443605651025E-2</v>
          </cell>
          <cell r="I1260" t="str">
            <v>NC</v>
          </cell>
          <cell r="J1260" t="str">
            <v>Med</v>
          </cell>
          <cell r="K1260">
            <v>74214</v>
          </cell>
        </row>
        <row r="1261">
          <cell r="C1261">
            <v>2266956.6019314802</v>
          </cell>
          <cell r="D1261">
            <v>0.72558657583733799</v>
          </cell>
          <cell r="E1261">
            <v>216923</v>
          </cell>
          <cell r="F1261">
            <v>157396.416790363</v>
          </cell>
          <cell r="G1261">
            <v>6.9430714578417138E-2</v>
          </cell>
          <cell r="I1261" t="str">
            <v>NC</v>
          </cell>
          <cell r="J1261" t="str">
            <v>Med</v>
          </cell>
          <cell r="K1261">
            <v>58817</v>
          </cell>
        </row>
        <row r="1262">
          <cell r="C1262">
            <v>2610897.5362803098</v>
          </cell>
          <cell r="D1262">
            <v>0.70463574495189596</v>
          </cell>
          <cell r="E1262">
            <v>247385</v>
          </cell>
          <cell r="F1262">
            <v>174316.313764925</v>
          </cell>
          <cell r="G1262">
            <v>6.676490032361429E-2</v>
          </cell>
          <cell r="I1262" t="str">
            <v>NC</v>
          </cell>
          <cell r="J1262" t="str">
            <v>No Data</v>
          </cell>
          <cell r="K1262">
            <v>0</v>
          </cell>
        </row>
        <row r="1263">
          <cell r="C1263">
            <v>2057322.6987339</v>
          </cell>
          <cell r="D1263">
            <v>0.68149407364822501</v>
          </cell>
          <cell r="E1263">
            <v>230778</v>
          </cell>
          <cell r="F1263">
            <v>157273.83932838999</v>
          </cell>
          <cell r="G1263">
            <v>7.6445877657004474E-2</v>
          </cell>
          <cell r="I1263" t="str">
            <v>NC</v>
          </cell>
          <cell r="J1263" t="str">
            <v>Med</v>
          </cell>
          <cell r="K1263">
            <v>47637.333333333336</v>
          </cell>
        </row>
        <row r="1264">
          <cell r="C1264">
            <v>2521944.0919408998</v>
          </cell>
          <cell r="D1264">
            <v>0.70666045693318102</v>
          </cell>
          <cell r="E1264">
            <v>245361</v>
          </cell>
          <cell r="F1264">
            <v>173386.916373582</v>
          </cell>
          <cell r="G1264">
            <v>6.8751292674431433E-2</v>
          </cell>
          <cell r="I1264" t="str">
            <v>NC</v>
          </cell>
          <cell r="J1264" t="str">
            <v>Med</v>
          </cell>
          <cell r="K1264">
            <v>69341.666666666672</v>
          </cell>
        </row>
        <row r="1265">
          <cell r="C1265">
            <v>2691342.5988795399</v>
          </cell>
          <cell r="D1265">
            <v>0.70194022914865095</v>
          </cell>
          <cell r="E1265">
            <v>205988</v>
          </cell>
          <cell r="F1265">
            <v>144591.26392187201</v>
          </cell>
          <cell r="G1265">
            <v>5.3724584890109596E-2</v>
          </cell>
          <cell r="I1265" t="str">
            <v>NC</v>
          </cell>
          <cell r="J1265" t="str">
            <v>Med</v>
          </cell>
          <cell r="K1265">
            <v>85208</v>
          </cell>
        </row>
        <row r="1266">
          <cell r="C1266">
            <v>1957391.2284750501</v>
          </cell>
          <cell r="D1266">
            <v>0.72551186475065998</v>
          </cell>
          <cell r="E1266">
            <v>226991</v>
          </cell>
          <cell r="F1266">
            <v>164684.663691617</v>
          </cell>
          <cell r="G1266">
            <v>8.4134771473313649E-2</v>
          </cell>
          <cell r="I1266" t="str">
            <v>NC</v>
          </cell>
          <cell r="J1266" t="str">
            <v>Low</v>
          </cell>
          <cell r="K1266">
            <v>32777.666666666664</v>
          </cell>
        </row>
        <row r="1267">
          <cell r="C1267">
            <v>2387957.50306316</v>
          </cell>
          <cell r="D1267">
            <v>0.72780332152483096</v>
          </cell>
          <cell r="E1267">
            <v>255452</v>
          </cell>
          <cell r="F1267">
            <v>185918.814090161</v>
          </cell>
          <cell r="G1267">
            <v>7.7856835329637594E-2</v>
          </cell>
          <cell r="I1267" t="str">
            <v>NC</v>
          </cell>
          <cell r="J1267" t="str">
            <v>Med</v>
          </cell>
          <cell r="K1267">
            <v>60623.333333333336</v>
          </cell>
        </row>
        <row r="1268">
          <cell r="C1268">
            <v>2411142.8168456801</v>
          </cell>
          <cell r="D1268">
            <v>0.71645471316243903</v>
          </cell>
          <cell r="E1268">
            <v>247943</v>
          </cell>
          <cell r="F1268">
            <v>177639.93094563499</v>
          </cell>
          <cell r="G1268">
            <v>7.3674578587604442E-2</v>
          </cell>
          <cell r="I1268" t="str">
            <v>NC</v>
          </cell>
          <cell r="J1268" t="str">
            <v>Med</v>
          </cell>
          <cell r="K1268">
            <v>58152.666666666664</v>
          </cell>
        </row>
        <row r="1269">
          <cell r="C1269">
            <v>2348535.7602758398</v>
          </cell>
          <cell r="D1269">
            <v>0.70590695182647001</v>
          </cell>
          <cell r="E1269">
            <v>240738</v>
          </cell>
          <cell r="F1269">
            <v>169938.627768801</v>
          </cell>
          <cell r="G1269">
            <v>7.2359395434047555E-2</v>
          </cell>
          <cell r="I1269" t="str">
            <v>NC</v>
          </cell>
          <cell r="J1269" t="str">
            <v>Med</v>
          </cell>
          <cell r="K1269">
            <v>54296</v>
          </cell>
        </row>
        <row r="1270">
          <cell r="C1270">
            <v>2101667.2793076299</v>
          </cell>
          <cell r="D1270">
            <v>0.69335859484711104</v>
          </cell>
          <cell r="E1270">
            <v>228605</v>
          </cell>
          <cell r="F1270">
            <v>158505.241575024</v>
          </cell>
          <cell r="G1270">
            <v>7.5418808265046475E-2</v>
          </cell>
          <cell r="I1270" t="str">
            <v>NC</v>
          </cell>
          <cell r="J1270" t="str">
            <v>Med</v>
          </cell>
          <cell r="K1270">
            <v>50799.666666666664</v>
          </cell>
        </row>
        <row r="1271">
          <cell r="C1271">
            <v>2597653.4266546601</v>
          </cell>
          <cell r="D1271">
            <v>0.74481198889348699</v>
          </cell>
          <cell r="E1271">
            <v>229865</v>
          </cell>
          <cell r="F1271">
            <v>171206.207827001</v>
          </cell>
          <cell r="G1271">
            <v>6.590802532402705E-2</v>
          </cell>
          <cell r="I1271" t="str">
            <v>NC</v>
          </cell>
          <cell r="J1271" t="str">
            <v>Med</v>
          </cell>
          <cell r="K1271">
            <v>70973</v>
          </cell>
        </row>
        <row r="1272">
          <cell r="C1272">
            <v>2440755.9806160498</v>
          </cell>
          <cell r="D1272">
            <v>0.67270884023635902</v>
          </cell>
          <cell r="E1272">
            <v>266287</v>
          </cell>
          <cell r="F1272">
            <v>179133.61894001899</v>
          </cell>
          <cell r="G1272">
            <v>7.3392678482674639E-2</v>
          </cell>
          <cell r="I1272" t="str">
            <v>NC</v>
          </cell>
          <cell r="J1272" t="str">
            <v>Med</v>
          </cell>
          <cell r="K1272">
            <v>63975.666666666664</v>
          </cell>
        </row>
        <row r="1273">
          <cell r="C1273">
            <v>2436471.7495967099</v>
          </cell>
          <cell r="D1273">
            <v>0.72117341615181296</v>
          </cell>
          <cell r="E1273">
            <v>246282</v>
          </cell>
          <cell r="F1273">
            <v>177612.03127670099</v>
          </cell>
          <cell r="G1273">
            <v>7.2897225796317855E-2</v>
          </cell>
          <cell r="I1273" t="str">
            <v>NC</v>
          </cell>
          <cell r="J1273" t="str">
            <v>Med</v>
          </cell>
          <cell r="K1273">
            <v>59053.666666666664</v>
          </cell>
        </row>
        <row r="1274">
          <cell r="C1274">
            <v>1961041.69056275</v>
          </cell>
          <cell r="D1274">
            <v>0.71486433346824596</v>
          </cell>
          <cell r="E1274">
            <v>239237</v>
          </cell>
          <cell r="F1274">
            <v>171021.998545943</v>
          </cell>
          <cell r="G1274">
            <v>8.7209771913041634E-2</v>
          </cell>
          <cell r="I1274" t="str">
            <v>NC</v>
          </cell>
          <cell r="J1274" t="str">
            <v>Low</v>
          </cell>
          <cell r="K1274">
            <v>35528.333333333336</v>
          </cell>
        </row>
        <row r="1275">
          <cell r="C1275">
            <v>2786595.7053634599</v>
          </cell>
          <cell r="D1275">
            <v>0.712545365531005</v>
          </cell>
          <cell r="E1275">
            <v>253955</v>
          </cell>
          <cell r="F1275">
            <v>180954.45830342601</v>
          </cell>
          <cell r="G1275">
            <v>6.4937464001375053E-2</v>
          </cell>
          <cell r="I1275" t="str">
            <v>NC</v>
          </cell>
          <cell r="J1275" t="str">
            <v>Med</v>
          </cell>
          <cell r="K1275">
            <v>86195.333333333328</v>
          </cell>
        </row>
        <row r="1276">
          <cell r="C1276">
            <v>2540513.68042824</v>
          </cell>
          <cell r="D1276">
            <v>0.71600711589982902</v>
          </cell>
          <cell r="E1276">
            <v>218806</v>
          </cell>
          <cell r="F1276">
            <v>156666.653001578</v>
          </cell>
          <cell r="G1276">
            <v>6.1667313271530813E-2</v>
          </cell>
          <cell r="I1276" t="str">
            <v>NC</v>
          </cell>
          <cell r="J1276" t="str">
            <v>No Data</v>
          </cell>
          <cell r="K1276">
            <v>0</v>
          </cell>
        </row>
        <row r="1277">
          <cell r="C1277">
            <v>2820361.36615186</v>
          </cell>
          <cell r="D1277">
            <v>0.75182171104706497</v>
          </cell>
          <cell r="E1277">
            <v>233173</v>
          </cell>
          <cell r="F1277">
            <v>175304.523829977</v>
          </cell>
          <cell r="G1277">
            <v>6.2156759744998534E-2</v>
          </cell>
          <cell r="I1277" t="str">
            <v>NC</v>
          </cell>
          <cell r="J1277" t="str">
            <v>Med</v>
          </cell>
          <cell r="K1277">
            <v>84558.333333333328</v>
          </cell>
        </row>
        <row r="1278">
          <cell r="C1278">
            <v>2635503.4634763501</v>
          </cell>
          <cell r="D1278">
            <v>0.68393401023036104</v>
          </cell>
          <cell r="E1278">
            <v>255028</v>
          </cell>
          <cell r="F1278">
            <v>174422.32276102799</v>
          </cell>
          <cell r="G1278">
            <v>6.6181784686769843E-2</v>
          </cell>
          <cell r="I1278" t="str">
            <v>NC</v>
          </cell>
          <cell r="J1278" t="str">
            <v>No Data</v>
          </cell>
          <cell r="K1278">
            <v>0</v>
          </cell>
        </row>
        <row r="1279">
          <cell r="C1279">
            <v>2733127.7665438899</v>
          </cell>
          <cell r="D1279">
            <v>0.75031325652247405</v>
          </cell>
          <cell r="E1279">
            <v>241790</v>
          </cell>
          <cell r="F1279">
            <v>181418.24229456901</v>
          </cell>
          <cell r="G1279">
            <v>6.6377519746900468E-2</v>
          </cell>
          <cell r="I1279" t="str">
            <v>NC</v>
          </cell>
          <cell r="J1279" t="str">
            <v>Med</v>
          </cell>
          <cell r="K1279">
            <v>74214</v>
          </cell>
        </row>
        <row r="1280">
          <cell r="C1280">
            <v>2405686.97819287</v>
          </cell>
          <cell r="D1280">
            <v>0.72437818552898303</v>
          </cell>
          <cell r="E1280">
            <v>245409</v>
          </cell>
          <cell r="F1280">
            <v>177768.92613248201</v>
          </cell>
          <cell r="G1280">
            <v>7.3895285522982038E-2</v>
          </cell>
          <cell r="I1280" t="str">
            <v>NC</v>
          </cell>
          <cell r="J1280" t="str">
            <v>Med</v>
          </cell>
          <cell r="K1280">
            <v>58817</v>
          </cell>
        </row>
        <row r="1281">
          <cell r="C1281">
            <v>2716038.6962499898</v>
          </cell>
          <cell r="D1281">
            <v>0.68990315938482605</v>
          </cell>
          <cell r="E1281">
            <v>276041</v>
          </cell>
          <cell r="F1281">
            <v>190441.558019747</v>
          </cell>
          <cell r="G1281">
            <v>7.0117394970361777E-2</v>
          </cell>
          <cell r="I1281" t="str">
            <v>NC</v>
          </cell>
          <cell r="J1281" t="str">
            <v>No Data</v>
          </cell>
          <cell r="K1281">
            <v>0</v>
          </cell>
        </row>
        <row r="1282">
          <cell r="C1282">
            <v>2138717.4735873798</v>
          </cell>
          <cell r="D1282">
            <v>0.68745783400776095</v>
          </cell>
          <cell r="E1282">
            <v>248833</v>
          </cell>
          <cell r="F1282">
            <v>171062.195209653</v>
          </cell>
          <cell r="G1282">
            <v>7.9983540286282725E-2</v>
          </cell>
          <cell r="I1282" t="str">
            <v>NC</v>
          </cell>
          <cell r="J1282" t="str">
            <v>Med</v>
          </cell>
          <cell r="K1282">
            <v>47637.333333333336</v>
          </cell>
        </row>
        <row r="1283">
          <cell r="C1283">
            <v>2634405.42230614</v>
          </cell>
          <cell r="D1283">
            <v>0.70305068691444805</v>
          </cell>
          <cell r="E1283">
            <v>270553</v>
          </cell>
          <cell r="F1283">
            <v>190212.472496765</v>
          </cell>
          <cell r="G1283">
            <v>7.2203188957246506E-2</v>
          </cell>
          <cell r="I1283" t="str">
            <v>NC</v>
          </cell>
          <cell r="J1283" t="str">
            <v>Med</v>
          </cell>
          <cell r="K1283">
            <v>69341.666666666672</v>
          </cell>
        </row>
        <row r="1284">
          <cell r="C1284">
            <v>2793337.93138225</v>
          </cell>
          <cell r="D1284">
            <v>0.68781671425156199</v>
          </cell>
          <cell r="E1284">
            <v>227374</v>
          </cell>
          <cell r="F1284">
            <v>156391.63758623501</v>
          </cell>
          <cell r="G1284">
            <v>5.5987367596747044E-2</v>
          </cell>
          <cell r="I1284" t="str">
            <v>NC</v>
          </cell>
          <cell r="J1284" t="str">
            <v>Med</v>
          </cell>
          <cell r="K1284">
            <v>85208</v>
          </cell>
        </row>
        <row r="1285">
          <cell r="C1285">
            <v>1820591.5082193699</v>
          </cell>
          <cell r="D1285">
            <v>0.75110888566385903</v>
          </cell>
          <cell r="E1285">
            <v>216718</v>
          </cell>
          <cell r="F1285">
            <v>162778.81548329999</v>
          </cell>
          <cell r="G1285">
            <v>8.9409851000846349E-2</v>
          </cell>
          <cell r="I1285" t="str">
            <v>NC</v>
          </cell>
          <cell r="J1285" t="str">
            <v>Low</v>
          </cell>
          <cell r="K1285">
            <v>32777.666666666664</v>
          </cell>
        </row>
        <row r="1286">
          <cell r="C1286">
            <v>2274842.8292431198</v>
          </cell>
          <cell r="D1286">
            <v>0.708264118853832</v>
          </cell>
          <cell r="E1286">
            <v>271219</v>
          </cell>
          <cell r="F1286">
            <v>192094.686051417</v>
          </cell>
          <cell r="G1286">
            <v>8.4443058475090468E-2</v>
          </cell>
          <cell r="I1286" t="str">
            <v>NC</v>
          </cell>
          <cell r="J1286" t="str">
            <v>Med</v>
          </cell>
          <cell r="K1286">
            <v>60623.333333333336</v>
          </cell>
        </row>
        <row r="1287">
          <cell r="C1287">
            <v>2295316.63886056</v>
          </cell>
          <cell r="D1287">
            <v>0.721238050919771</v>
          </cell>
          <cell r="E1287">
            <v>252442</v>
          </cell>
          <cell r="F1287">
            <v>182070.77605028899</v>
          </cell>
          <cell r="G1287">
            <v>7.9322727404038021E-2</v>
          </cell>
          <cell r="I1287" t="str">
            <v>NC</v>
          </cell>
          <cell r="J1287" t="str">
            <v>Med</v>
          </cell>
          <cell r="K1287">
            <v>58152.666666666664</v>
          </cell>
        </row>
        <row r="1288">
          <cell r="C1288">
            <v>2236524.5355154001</v>
          </cell>
          <cell r="D1288">
            <v>0.69961594050916098</v>
          </cell>
          <cell r="E1288">
            <v>254395</v>
          </cell>
          <cell r="F1288">
            <v>177978.79718582801</v>
          </cell>
          <cell r="G1288">
            <v>7.9578289600482008E-2</v>
          </cell>
          <cell r="I1288" t="str">
            <v>NC</v>
          </cell>
          <cell r="J1288" t="str">
            <v>Med</v>
          </cell>
          <cell r="K1288">
            <v>54296</v>
          </cell>
        </row>
        <row r="1289">
          <cell r="C1289">
            <v>2024853.1845142201</v>
          </cell>
          <cell r="D1289">
            <v>0.71307094240852198</v>
          </cell>
          <cell r="E1289">
            <v>233007</v>
          </cell>
          <cell r="F1289">
            <v>166150.52107778299</v>
          </cell>
          <cell r="G1289">
            <v>8.2055589189615225E-2</v>
          </cell>
          <cell r="I1289" t="str">
            <v>NC</v>
          </cell>
          <cell r="J1289" t="str">
            <v>Med</v>
          </cell>
          <cell r="K1289">
            <v>50799.666666666664</v>
          </cell>
        </row>
        <row r="1290">
          <cell r="C1290">
            <v>2471230.1767795002</v>
          </cell>
          <cell r="D1290">
            <v>0.74941950816751801</v>
          </cell>
          <cell r="E1290">
            <v>236101</v>
          </cell>
          <cell r="F1290">
            <v>176938.695297859</v>
          </cell>
          <cell r="G1290">
            <v>7.1599439404889831E-2</v>
          </cell>
          <cell r="I1290" t="str">
            <v>NC</v>
          </cell>
          <cell r="J1290" t="str">
            <v>Med</v>
          </cell>
          <cell r="K1290">
            <v>70973</v>
          </cell>
        </row>
        <row r="1291">
          <cell r="C1291">
            <v>2343321.7787118498</v>
          </cell>
          <cell r="D1291">
            <v>0.68718273579515299</v>
          </cell>
          <cell r="E1291">
            <v>275312</v>
          </cell>
          <cell r="F1291">
            <v>189189.65335723499</v>
          </cell>
          <cell r="G1291">
            <v>8.0735669798295759E-2</v>
          </cell>
          <cell r="I1291" t="str">
            <v>NC</v>
          </cell>
          <cell r="J1291" t="str">
            <v>Med</v>
          </cell>
          <cell r="K1291">
            <v>63975.666666666664</v>
          </cell>
        </row>
        <row r="1292">
          <cell r="C1292">
            <v>2337852.3371413201</v>
          </cell>
          <cell r="D1292">
            <v>0.73586787326712799</v>
          </cell>
          <cell r="E1292">
            <v>254103</v>
          </cell>
          <cell r="F1292">
            <v>186986.23420079699</v>
          </cell>
          <cell r="G1292">
            <v>7.9982054995586277E-2</v>
          </cell>
          <cell r="I1292" t="str">
            <v>NC</v>
          </cell>
          <cell r="J1292" t="str">
            <v>Med</v>
          </cell>
          <cell r="K1292">
            <v>59053.666666666664</v>
          </cell>
        </row>
        <row r="1293">
          <cell r="C1293">
            <v>1861041.5027202</v>
          </cell>
          <cell r="D1293">
            <v>0.694551615695016</v>
          </cell>
          <cell r="E1293">
            <v>262378</v>
          </cell>
          <cell r="F1293">
            <v>182235.06382282701</v>
          </cell>
          <cell r="G1293">
            <v>9.7921010120656779E-2</v>
          </cell>
          <cell r="I1293" t="str">
            <v>NC</v>
          </cell>
          <cell r="J1293" t="str">
            <v>Low</v>
          </cell>
          <cell r="K1293">
            <v>35528.333333333336</v>
          </cell>
        </row>
        <row r="1294">
          <cell r="C1294">
            <v>2678703.3773775902</v>
          </cell>
          <cell r="D1294">
            <v>0.71784304313320002</v>
          </cell>
          <cell r="E1294">
            <v>268268</v>
          </cell>
          <cell r="F1294">
            <v>192574.31749525701</v>
          </cell>
          <cell r="G1294">
            <v>7.1890870456804493E-2</v>
          </cell>
          <cell r="I1294" t="str">
            <v>NC</v>
          </cell>
          <cell r="J1294" t="str">
            <v>Med</v>
          </cell>
          <cell r="K1294">
            <v>86195.333333333328</v>
          </cell>
        </row>
        <row r="1295">
          <cell r="C1295">
            <v>2452418.6949788202</v>
          </cell>
          <cell r="D1295">
            <v>0.71538918322110301</v>
          </cell>
          <cell r="E1295">
            <v>233259</v>
          </cell>
          <cell r="F1295">
            <v>166870.96548897101</v>
          </cell>
          <cell r="G1295">
            <v>6.8043424163512237E-2</v>
          </cell>
          <cell r="I1295" t="str">
            <v>NC</v>
          </cell>
          <cell r="J1295" t="str">
            <v>No Data</v>
          </cell>
          <cell r="K1295">
            <v>0</v>
          </cell>
        </row>
        <row r="1296">
          <cell r="C1296">
            <v>2673203.51286165</v>
          </cell>
          <cell r="D1296">
            <v>0.69230105500419603</v>
          </cell>
          <cell r="E1296">
            <v>260474</v>
          </cell>
          <cell r="F1296">
            <v>180326.42500116301</v>
          </cell>
          <cell r="G1296">
            <v>6.74570507383946E-2</v>
          </cell>
          <cell r="I1296" t="str">
            <v>NC</v>
          </cell>
          <cell r="J1296" t="str">
            <v>Med</v>
          </cell>
          <cell r="K1296">
            <v>84558.333333333328</v>
          </cell>
        </row>
        <row r="1297">
          <cell r="C1297">
            <v>2524696.8081242801</v>
          </cell>
          <cell r="D1297">
            <v>0.68849145054998795</v>
          </cell>
          <cell r="E1297">
            <v>265647</v>
          </cell>
          <cell r="F1297">
            <v>182895.688364253</v>
          </cell>
          <cell r="G1297">
            <v>7.2442634606939241E-2</v>
          </cell>
          <cell r="I1297" t="str">
            <v>NC</v>
          </cell>
          <cell r="J1297" t="str">
            <v>No Data</v>
          </cell>
          <cell r="K1297">
            <v>0</v>
          </cell>
        </row>
        <row r="1298">
          <cell r="C1298">
            <v>2567994.7865850301</v>
          </cell>
          <cell r="D1298">
            <v>0.74830238416545103</v>
          </cell>
          <cell r="E1298">
            <v>248379</v>
          </cell>
          <cell r="F1298">
            <v>185862.59787663101</v>
          </cell>
          <cell r="G1298">
            <v>7.237654797726234E-2</v>
          </cell>
          <cell r="I1298" t="str">
            <v>NC</v>
          </cell>
          <cell r="J1298" t="str">
            <v>Med</v>
          </cell>
          <cell r="K1298">
            <v>74214</v>
          </cell>
        </row>
        <row r="1299">
          <cell r="C1299">
            <v>2226152.88797714</v>
          </cell>
          <cell r="D1299">
            <v>0.75190929794763794</v>
          </cell>
          <cell r="E1299">
            <v>236349</v>
          </cell>
          <cell r="F1299">
            <v>177713.01066062599</v>
          </cell>
          <cell r="G1299">
            <v>7.9829652141327187E-2</v>
          </cell>
          <cell r="I1299" t="str">
            <v>NC</v>
          </cell>
          <cell r="J1299" t="str">
            <v>Med</v>
          </cell>
          <cell r="K1299">
            <v>58817</v>
          </cell>
        </row>
        <row r="1300">
          <cell r="C1300">
            <v>2559635.1307159001</v>
          </cell>
          <cell r="D1300">
            <v>0.679259598231572</v>
          </cell>
          <cell r="E1300">
            <v>287006</v>
          </cell>
          <cell r="F1300">
            <v>194951.58025005099</v>
          </cell>
          <cell r="G1300">
            <v>7.6163816440324175E-2</v>
          </cell>
          <cell r="I1300" t="str">
            <v>NC</v>
          </cell>
          <cell r="J1300" t="str">
            <v>No Data</v>
          </cell>
          <cell r="K1300">
            <v>0</v>
          </cell>
        </row>
        <row r="1301">
          <cell r="C1301">
            <v>2076062.2224808</v>
          </cell>
          <cell r="D1301">
            <v>0.67579100357497901</v>
          </cell>
          <cell r="E1301">
            <v>271243</v>
          </cell>
          <cell r="F1301">
            <v>183303.579182688</v>
          </cell>
          <cell r="G1301">
            <v>8.8293875394374527E-2</v>
          </cell>
          <cell r="I1301" t="str">
            <v>NC</v>
          </cell>
          <cell r="J1301" t="str">
            <v>Med</v>
          </cell>
          <cell r="K1301">
            <v>47637.333333333336</v>
          </cell>
        </row>
        <row r="1302">
          <cell r="C1302">
            <v>2468506.1280165999</v>
          </cell>
          <cell r="D1302">
            <v>0.71201948993552899</v>
          </cell>
          <cell r="E1302">
            <v>272345</v>
          </cell>
          <cell r="F1302">
            <v>193914.94798649201</v>
          </cell>
          <cell r="G1302">
            <v>7.8555587035264593E-2</v>
          </cell>
          <cell r="I1302" t="str">
            <v>NC</v>
          </cell>
          <cell r="J1302" t="str">
            <v>Med</v>
          </cell>
          <cell r="K1302">
            <v>69341.666666666672</v>
          </cell>
        </row>
        <row r="1303">
          <cell r="C1303">
            <v>2706707.0209000302</v>
          </cell>
          <cell r="D1303">
            <v>0.71216390035739996</v>
          </cell>
          <cell r="E1303">
            <v>237548</v>
          </cell>
          <cell r="F1303">
            <v>169173.11020210001</v>
          </cell>
          <cell r="G1303">
            <v>6.2501448769969506E-2</v>
          </cell>
          <cell r="I1303" t="str">
            <v>NC</v>
          </cell>
          <cell r="J1303" t="str">
            <v>Med</v>
          </cell>
          <cell r="K1303">
            <v>85208</v>
          </cell>
        </row>
        <row r="1304">
          <cell r="C1304">
            <v>1771786.3102210299</v>
          </cell>
          <cell r="D1304">
            <v>0.74243370629065397</v>
          </cell>
          <cell r="E1304">
            <v>234073</v>
          </cell>
          <cell r="F1304">
            <v>173783.68493257201</v>
          </cell>
          <cell r="G1304">
            <v>9.8083885133355919E-2</v>
          </cell>
          <cell r="I1304" t="str">
            <v>NC</v>
          </cell>
          <cell r="J1304" t="str">
            <v>Low</v>
          </cell>
          <cell r="K1304">
            <v>32777.666666666664</v>
          </cell>
        </row>
        <row r="1305">
          <cell r="C1305">
            <v>2200755.16560583</v>
          </cell>
          <cell r="D1305">
            <v>0.72215709927988003</v>
          </cell>
          <cell r="E1305">
            <v>276232</v>
          </cell>
          <cell r="F1305">
            <v>199482.89984828001</v>
          </cell>
          <cell r="G1305">
            <v>9.064293155634412E-2</v>
          </cell>
          <cell r="I1305" t="str">
            <v>NC</v>
          </cell>
          <cell r="J1305" t="str">
            <v>Med</v>
          </cell>
          <cell r="K1305">
            <v>60623.333333333336</v>
          </cell>
        </row>
        <row r="1306">
          <cell r="C1306">
            <v>2184913.9705638299</v>
          </cell>
          <cell r="D1306">
            <v>0.72924712306232398</v>
          </cell>
          <cell r="E1306">
            <v>256961</v>
          </cell>
          <cell r="F1306">
            <v>187388.069989218</v>
          </cell>
          <cell r="G1306">
            <v>8.5764507213463154E-2</v>
          </cell>
          <cell r="I1306" t="str">
            <v>NC</v>
          </cell>
          <cell r="J1306" t="str">
            <v>Med</v>
          </cell>
          <cell r="K1306">
            <v>58152.666666666664</v>
          </cell>
        </row>
        <row r="1307">
          <cell r="C1307">
            <v>2112146.7699595001</v>
          </cell>
          <cell r="D1307">
            <v>0.71188291859636599</v>
          </cell>
          <cell r="E1307">
            <v>257779</v>
          </cell>
          <cell r="F1307">
            <v>183508.46687285299</v>
          </cell>
          <cell r="G1307">
            <v>8.6882440880929751E-2</v>
          </cell>
          <cell r="I1307" t="str">
            <v>NC</v>
          </cell>
          <cell r="J1307" t="str">
            <v>Med</v>
          </cell>
          <cell r="K1307">
            <v>54296</v>
          </cell>
        </row>
        <row r="1308">
          <cell r="C1308">
            <v>1973462.8001920099</v>
          </cell>
          <cell r="D1308">
            <v>0.72341638139970799</v>
          </cell>
          <cell r="E1308">
            <v>236014</v>
          </cell>
          <cell r="F1308">
            <v>170736.39383967099</v>
          </cell>
          <cell r="G1308">
            <v>8.6516145033521299E-2</v>
          </cell>
          <cell r="I1308" t="str">
            <v>NC</v>
          </cell>
          <cell r="J1308" t="str">
            <v>Med</v>
          </cell>
          <cell r="K1308">
            <v>50799.666666666664</v>
          </cell>
        </row>
        <row r="1309">
          <cell r="C1309">
            <v>2369180.3598047998</v>
          </cell>
          <cell r="D1309">
            <v>0.73395968147628399</v>
          </cell>
          <cell r="E1309">
            <v>253129</v>
          </cell>
          <cell r="F1309">
            <v>185786.48021241001</v>
          </cell>
          <cell r="G1309">
            <v>7.8418039995788766E-2</v>
          </cell>
          <cell r="I1309" t="str">
            <v>NC</v>
          </cell>
          <cell r="J1309" t="str">
            <v>Med</v>
          </cell>
          <cell r="K1309">
            <v>70973</v>
          </cell>
        </row>
        <row r="1310">
          <cell r="C1310">
            <v>2290553.7672893298</v>
          </cell>
          <cell r="D1310">
            <v>0.710392518330203</v>
          </cell>
          <cell r="E1310">
            <v>277099</v>
          </cell>
          <cell r="F1310">
            <v>196849.05643678099</v>
          </cell>
          <cell r="G1310">
            <v>8.5939504781734344E-2</v>
          </cell>
          <cell r="I1310" t="str">
            <v>NC</v>
          </cell>
          <cell r="J1310" t="str">
            <v>Med</v>
          </cell>
          <cell r="K1310">
            <v>63975.666666666664</v>
          </cell>
        </row>
        <row r="1311">
          <cell r="C1311">
            <v>2181495.4967161999</v>
          </cell>
          <cell r="D1311">
            <v>0.70724887373319301</v>
          </cell>
          <cell r="E1311">
            <v>276774</v>
          </cell>
          <cell r="F1311">
            <v>195748.099778631</v>
          </cell>
          <cell r="G1311">
            <v>8.9731150063472584E-2</v>
          </cell>
          <cell r="I1311" t="str">
            <v>NC</v>
          </cell>
          <cell r="J1311" t="str">
            <v>Med</v>
          </cell>
          <cell r="K1311">
            <v>59053.666666666664</v>
          </cell>
        </row>
        <row r="1312">
          <cell r="C1312">
            <v>1764716.98107159</v>
          </cell>
          <cell r="D1312">
            <v>0.70154085566496804</v>
          </cell>
          <cell r="E1312">
            <v>265458</v>
          </cell>
          <cell r="F1312">
            <v>186229.63246311099</v>
          </cell>
          <cell r="G1312">
            <v>0.10552946135874246</v>
          </cell>
          <cell r="I1312" t="str">
            <v>NC</v>
          </cell>
          <cell r="J1312" t="str">
            <v>Low</v>
          </cell>
          <cell r="K1312">
            <v>35528.333333333336</v>
          </cell>
        </row>
        <row r="1313">
          <cell r="C1313">
            <v>2564422.4248713399</v>
          </cell>
          <cell r="D1313">
            <v>0.70799083855120803</v>
          </cell>
          <cell r="E1313">
            <v>269793</v>
          </cell>
          <cell r="F1313">
            <v>191010.97230524599</v>
          </cell>
          <cell r="G1313">
            <v>7.4484987517151838E-2</v>
          </cell>
          <cell r="I1313" t="str">
            <v>NC</v>
          </cell>
          <cell r="J1313" t="str">
            <v>Med</v>
          </cell>
          <cell r="K1313">
            <v>86195.333333333328</v>
          </cell>
        </row>
        <row r="1314">
          <cell r="C1314">
            <v>2367650.8055336699</v>
          </cell>
          <cell r="D1314">
            <v>0.70470567786775196</v>
          </cell>
          <cell r="E1314">
            <v>243451</v>
          </cell>
          <cell r="F1314">
            <v>171561.30198258199</v>
          </cell>
          <cell r="G1314">
            <v>7.2460559463249044E-2</v>
          </cell>
          <cell r="I1314" t="str">
            <v>NC</v>
          </cell>
          <cell r="J1314" t="str">
            <v>No Data</v>
          </cell>
          <cell r="K1314">
            <v>0</v>
          </cell>
        </row>
        <row r="1315">
          <cell r="C1315">
            <v>2556664.8224367299</v>
          </cell>
          <cell r="D1315">
            <v>0.72860410805021103</v>
          </cell>
          <cell r="E1315">
            <v>258179</v>
          </cell>
          <cell r="F1315">
            <v>188110.280012295</v>
          </cell>
          <cell r="G1315">
            <v>7.3576433782590669E-2</v>
          </cell>
          <cell r="I1315" t="str">
            <v>NC</v>
          </cell>
          <cell r="J1315" t="str">
            <v>Med</v>
          </cell>
          <cell r="K1315">
            <v>84558.333333333328</v>
          </cell>
        </row>
        <row r="1316">
          <cell r="C1316">
            <v>2392398.3858155101</v>
          </cell>
          <cell r="D1316">
            <v>0.67779757439968202</v>
          </cell>
          <cell r="E1316">
            <v>276091</v>
          </cell>
          <cell r="F1316">
            <v>187133.81011358299</v>
          </cell>
          <cell r="G1316">
            <v>7.8220170696944216E-2</v>
          </cell>
          <cell r="I1316" t="str">
            <v>NC</v>
          </cell>
          <cell r="J1316" t="str">
            <v>No Data</v>
          </cell>
          <cell r="K1316">
            <v>0</v>
          </cell>
        </row>
        <row r="1317">
          <cell r="C1317">
            <v>2481928.49807317</v>
          </cell>
          <cell r="D1317">
            <v>0.77205075219585595</v>
          </cell>
          <cell r="E1317">
            <v>246332</v>
          </cell>
          <cell r="F1317">
            <v>190180.80588991</v>
          </cell>
          <cell r="G1317">
            <v>7.6626222728638518E-2</v>
          </cell>
          <cell r="I1317" t="str">
            <v>NC</v>
          </cell>
          <cell r="J1317" t="str">
            <v>Med</v>
          </cell>
          <cell r="K1317">
            <v>74214</v>
          </cell>
        </row>
        <row r="1318">
          <cell r="C1318">
            <v>2155074.987946</v>
          </cell>
          <cell r="D1318">
            <v>0.74886141571701903</v>
          </cell>
          <cell r="E1318">
            <v>245228</v>
          </cell>
          <cell r="F1318">
            <v>183641.78725345299</v>
          </cell>
          <cell r="G1318">
            <v>8.5213641418798988E-2</v>
          </cell>
          <cell r="I1318" t="str">
            <v>NC</v>
          </cell>
          <cell r="J1318" t="str">
            <v>Med</v>
          </cell>
          <cell r="K1318">
            <v>58817</v>
          </cell>
        </row>
        <row r="1319">
          <cell r="C1319">
            <v>2439036.9682764299</v>
          </cell>
          <cell r="D1319">
            <v>0.71089443540461095</v>
          </cell>
          <cell r="E1319">
            <v>282080</v>
          </cell>
          <cell r="F1319">
            <v>200529.10233893301</v>
          </cell>
          <cell r="G1319">
            <v>8.2216507968978808E-2</v>
          </cell>
          <cell r="I1319" t="str">
            <v>NC</v>
          </cell>
          <cell r="J1319" t="str">
            <v>No Data</v>
          </cell>
          <cell r="K1319">
            <v>0</v>
          </cell>
        </row>
        <row r="1320">
          <cell r="C1320">
            <v>1965307.1462771499</v>
          </cell>
          <cell r="D1320">
            <v>0.67787526575691304</v>
          </cell>
          <cell r="E1320">
            <v>274835</v>
          </cell>
          <cell r="F1320">
            <v>186303.84866430101</v>
          </cell>
          <cell r="G1320">
            <v>9.4796301441845074E-2</v>
          </cell>
          <cell r="I1320" t="str">
            <v>NC</v>
          </cell>
          <cell r="J1320" t="str">
            <v>Med</v>
          </cell>
          <cell r="K1320">
            <v>47637.333333333336</v>
          </cell>
        </row>
        <row r="1321">
          <cell r="C1321">
            <v>2388115.7788031902</v>
          </cell>
          <cell r="D1321">
            <v>0.71960088239888298</v>
          </cell>
          <cell r="E1321">
            <v>286068</v>
          </cell>
          <cell r="F1321">
            <v>205854.785226084</v>
          </cell>
          <cell r="G1321">
            <v>8.6199667140614347E-2</v>
          </cell>
          <cell r="I1321" t="str">
            <v>NC</v>
          </cell>
          <cell r="J1321" t="str">
            <v>Med</v>
          </cell>
          <cell r="K1321">
            <v>69341.666666666672</v>
          </cell>
        </row>
        <row r="1322">
          <cell r="C1322">
            <v>2613023.4775785599</v>
          </cell>
          <cell r="D1322">
            <v>0.71744971289891801</v>
          </cell>
          <cell r="E1322">
            <v>247007</v>
          </cell>
          <cell r="F1322">
            <v>177215.10123402299</v>
          </cell>
          <cell r="G1322">
            <v>6.7819942206659739E-2</v>
          </cell>
          <cell r="I1322" t="str">
            <v>NC</v>
          </cell>
          <cell r="J1322" t="str">
            <v>Med</v>
          </cell>
          <cell r="K1322">
            <v>85208</v>
          </cell>
        </row>
        <row r="1323">
          <cell r="C1323">
            <v>1668998.98535601</v>
          </cell>
          <cell r="D1323">
            <v>0.74188999155228197</v>
          </cell>
          <cell r="E1323">
            <v>205732</v>
          </cell>
          <cell r="F1323">
            <v>152630.511742034</v>
          </cell>
          <cell r="G1323">
            <v>9.1450332253783101E-2</v>
          </cell>
          <cell r="I1323" t="str">
            <v>NC</v>
          </cell>
          <cell r="J1323" t="str">
            <v>Low</v>
          </cell>
          <cell r="K1323">
            <v>32777.666666666664</v>
          </cell>
        </row>
        <row r="1324">
          <cell r="C1324">
            <v>2064029.4472038201</v>
          </cell>
          <cell r="D1324">
            <v>0.69227826885814203</v>
          </cell>
          <cell r="E1324">
            <v>253225</v>
          </cell>
          <cell r="F1324">
            <v>175302.16463160299</v>
          </cell>
          <cell r="G1324">
            <v>8.4932007568539372E-2</v>
          </cell>
          <cell r="I1324" t="str">
            <v>NC</v>
          </cell>
          <cell r="J1324" t="str">
            <v>Med</v>
          </cell>
          <cell r="K1324">
            <v>60623.333333333336</v>
          </cell>
        </row>
        <row r="1325">
          <cell r="C1325">
            <v>2060157.83482754</v>
          </cell>
          <cell r="D1325">
            <v>0.75525876879849696</v>
          </cell>
          <cell r="E1325">
            <v>214826</v>
          </cell>
          <cell r="F1325">
            <v>162249.22026590601</v>
          </cell>
          <cell r="G1325">
            <v>7.875572323782086E-2</v>
          </cell>
          <cell r="I1325" t="str">
            <v>NC</v>
          </cell>
          <cell r="J1325" t="str">
            <v>Med</v>
          </cell>
          <cell r="K1325">
            <v>58152.666666666664</v>
          </cell>
        </row>
        <row r="1326">
          <cell r="C1326">
            <v>1996196.21896377</v>
          </cell>
          <cell r="D1326">
            <v>0.71094506307816396</v>
          </cell>
          <cell r="E1326">
            <v>227140</v>
          </cell>
          <cell r="F1326">
            <v>161484.061627574</v>
          </cell>
          <cell r="G1326">
            <v>8.089588593219596E-2</v>
          </cell>
          <cell r="I1326" t="str">
            <v>NC</v>
          </cell>
          <cell r="J1326" t="str">
            <v>Med</v>
          </cell>
          <cell r="K1326">
            <v>54296</v>
          </cell>
        </row>
        <row r="1327">
          <cell r="C1327">
            <v>1877223.0390746801</v>
          </cell>
          <cell r="D1327">
            <v>0.71722964175883097</v>
          </cell>
          <cell r="E1327">
            <v>211616</v>
          </cell>
          <cell r="F1327">
            <v>151777.267870437</v>
          </cell>
          <cell r="G1327">
            <v>8.0852016362025367E-2</v>
          </cell>
          <cell r="I1327" t="str">
            <v>NC</v>
          </cell>
          <cell r="J1327" t="str">
            <v>Med</v>
          </cell>
          <cell r="K1327">
            <v>50799.666666666664</v>
          </cell>
        </row>
        <row r="1328">
          <cell r="C1328">
            <v>2277536.7513329</v>
          </cell>
          <cell r="D1328">
            <v>0.72126957831366001</v>
          </cell>
          <cell r="E1328">
            <v>228744</v>
          </cell>
          <cell r="F1328">
            <v>164986.08842178</v>
          </cell>
          <cell r="G1328">
            <v>7.244058227610331E-2</v>
          </cell>
          <cell r="I1328" t="str">
            <v>NC</v>
          </cell>
          <cell r="J1328" t="str">
            <v>Med</v>
          </cell>
          <cell r="K1328">
            <v>70973</v>
          </cell>
        </row>
        <row r="1329">
          <cell r="C1329">
            <v>2158698.6639439198</v>
          </cell>
          <cell r="D1329">
            <v>0.70335298477631003</v>
          </cell>
          <cell r="E1329">
            <v>242366</v>
          </cell>
          <cell r="F1329">
            <v>170468.84950829501</v>
          </cell>
          <cell r="G1329">
            <v>7.8968339748193575E-2</v>
          </cell>
          <cell r="I1329" t="str">
            <v>NC</v>
          </cell>
          <cell r="J1329" t="str">
            <v>Med</v>
          </cell>
          <cell r="K1329">
            <v>63975.666666666664</v>
          </cell>
        </row>
        <row r="1330">
          <cell r="C1330">
            <v>2105670.5715221199</v>
          </cell>
          <cell r="D1330">
            <v>0.723316824089557</v>
          </cell>
          <cell r="E1330">
            <v>236779</v>
          </cell>
          <cell r="F1330">
            <v>171266.23429110099</v>
          </cell>
          <cell r="G1330">
            <v>8.1335721079721535E-2</v>
          </cell>
          <cell r="I1330" t="str">
            <v>NC</v>
          </cell>
          <cell r="J1330" t="str">
            <v>Med</v>
          </cell>
          <cell r="K1330">
            <v>59053.666666666664</v>
          </cell>
        </row>
        <row r="1331">
          <cell r="C1331">
            <v>1699103.9829100301</v>
          </cell>
          <cell r="D1331">
            <v>0.68813753470934702</v>
          </cell>
          <cell r="E1331">
            <v>247379</v>
          </cell>
          <cell r="F1331">
            <v>170230.77519886399</v>
          </cell>
          <cell r="G1331">
            <v>0.10018855638682707</v>
          </cell>
          <cell r="I1331" t="str">
            <v>NC</v>
          </cell>
          <cell r="J1331" t="str">
            <v>Low</v>
          </cell>
          <cell r="K1331">
            <v>35528.333333333336</v>
          </cell>
        </row>
        <row r="1332">
          <cell r="C1332">
            <v>2455953.6918374598</v>
          </cell>
          <cell r="D1332">
            <v>0.692621253555188</v>
          </cell>
          <cell r="E1332">
            <v>249859</v>
          </cell>
          <cell r="F1332">
            <v>173057.65379204601</v>
          </cell>
          <cell r="G1332">
            <v>7.0464542701768232E-2</v>
          </cell>
          <cell r="I1332" t="str">
            <v>NC</v>
          </cell>
          <cell r="J1332" t="str">
            <v>Med</v>
          </cell>
          <cell r="K1332">
            <v>86195.333333333328</v>
          </cell>
        </row>
        <row r="1333">
          <cell r="C1333">
            <v>2249800.8139733002</v>
          </cell>
          <cell r="D1333">
            <v>0.71384597766431002</v>
          </cell>
          <cell r="E1333">
            <v>208857</v>
          </cell>
          <cell r="F1333">
            <v>149091.72935703499</v>
          </cell>
          <cell r="G1333">
            <v>6.6268857416639002E-2</v>
          </cell>
          <cell r="I1333" t="str">
            <v>NC</v>
          </cell>
          <cell r="J1333" t="str">
            <v>No Data</v>
          </cell>
          <cell r="K1333">
            <v>0</v>
          </cell>
        </row>
        <row r="1334">
          <cell r="C1334">
            <v>2466236.5034212801</v>
          </cell>
          <cell r="D1334">
            <v>0.71079334959135998</v>
          </cell>
          <cell r="E1334">
            <v>231829</v>
          </cell>
          <cell r="F1334">
            <v>164782.51144241501</v>
          </cell>
          <cell r="G1334">
            <v>6.6815372821633648E-2</v>
          </cell>
          <cell r="I1334" t="str">
            <v>NC</v>
          </cell>
          <cell r="J1334" t="str">
            <v>Med</v>
          </cell>
          <cell r="K1334">
            <v>84558.333333333328</v>
          </cell>
        </row>
        <row r="1335">
          <cell r="C1335">
            <v>2275644.6937742</v>
          </cell>
          <cell r="D1335">
            <v>0.68010288624059201</v>
          </cell>
          <cell r="E1335">
            <v>242371</v>
          </cell>
          <cell r="F1335">
            <v>164837.21664101799</v>
          </cell>
          <cell r="G1335">
            <v>7.2435392525022138E-2</v>
          </cell>
          <cell r="I1335" t="str">
            <v>NC</v>
          </cell>
          <cell r="J1335" t="str">
            <v>No Data</v>
          </cell>
          <cell r="K1335">
            <v>0</v>
          </cell>
        </row>
        <row r="1336">
          <cell r="C1336">
            <v>2339227.0605486599</v>
          </cell>
          <cell r="D1336">
            <v>0.76403824823747801</v>
          </cell>
          <cell r="E1336">
            <v>218542</v>
          </cell>
          <cell r="F1336">
            <v>166974.446846315</v>
          </cell>
          <cell r="G1336">
            <v>7.1380179232003058E-2</v>
          </cell>
          <cell r="I1336" t="str">
            <v>NC</v>
          </cell>
          <cell r="J1336" t="str">
            <v>Med</v>
          </cell>
          <cell r="K1336">
            <v>74214</v>
          </cell>
        </row>
        <row r="1337">
          <cell r="C1337">
            <v>2076826.4126993001</v>
          </cell>
          <cell r="D1337">
            <v>0.74283938731713495</v>
          </cell>
          <cell r="E1337">
            <v>223318</v>
          </cell>
          <cell r="F1337">
            <v>165889.40629688799</v>
          </cell>
          <cell r="G1337">
            <v>7.9876394715761356E-2</v>
          </cell>
          <cell r="I1337" t="str">
            <v>NC</v>
          </cell>
          <cell r="J1337" t="str">
            <v>Med</v>
          </cell>
          <cell r="K1337">
            <v>58817</v>
          </cell>
        </row>
        <row r="1338">
          <cell r="C1338">
            <v>2340861.2430530498</v>
          </cell>
          <cell r="D1338">
            <v>0.70656509447214499</v>
          </cell>
          <cell r="E1338">
            <v>249893</v>
          </cell>
          <cell r="F1338">
            <v>176565.671152928</v>
          </cell>
          <cell r="G1338">
            <v>7.5427653679567788E-2</v>
          </cell>
          <cell r="I1338" t="str">
            <v>NC</v>
          </cell>
          <cell r="J1338" t="str">
            <v>No Data</v>
          </cell>
          <cell r="K1338">
            <v>0</v>
          </cell>
        </row>
        <row r="1339">
          <cell r="C1339">
            <v>1871951.7175880501</v>
          </cell>
          <cell r="D1339">
            <v>0.68271111809566098</v>
          </cell>
          <cell r="E1339">
            <v>241682</v>
          </cell>
          <cell r="F1339">
            <v>164998.988443596</v>
          </cell>
          <cell r="G1339">
            <v>8.8142758647745428E-2</v>
          </cell>
          <cell r="I1339" t="str">
            <v>NC</v>
          </cell>
          <cell r="J1339" t="str">
            <v>Med</v>
          </cell>
          <cell r="K1339">
            <v>47637.333333333336</v>
          </cell>
        </row>
        <row r="1340">
          <cell r="C1340">
            <v>2271072.4909356898</v>
          </cell>
          <cell r="D1340">
            <v>0.72627768864161202</v>
          </cell>
          <cell r="E1340">
            <v>246315</v>
          </cell>
          <cell r="F1340">
            <v>178893.088877759</v>
          </cell>
          <cell r="G1340">
            <v>7.8770312084602126E-2</v>
          </cell>
          <cell r="I1340" t="str">
            <v>NC</v>
          </cell>
          <cell r="J1340" t="str">
            <v>Med</v>
          </cell>
          <cell r="K1340">
            <v>69341.666666666672</v>
          </cell>
        </row>
        <row r="1341">
          <cell r="C1341">
            <v>2425892.8443792802</v>
          </cell>
          <cell r="D1341">
            <v>0.71833126080959397</v>
          </cell>
          <cell r="E1341">
            <v>210831</v>
          </cell>
          <cell r="F1341">
            <v>151446.498047748</v>
          </cell>
          <cell r="G1341">
            <v>6.2429178765519226E-2</v>
          </cell>
          <cell r="I1341" t="str">
            <v>NC</v>
          </cell>
          <cell r="J1341" t="str">
            <v>Med</v>
          </cell>
          <cell r="K1341">
            <v>85208</v>
          </cell>
        </row>
        <row r="1342">
          <cell r="C1342">
            <v>1624442.6207576899</v>
          </cell>
          <cell r="D1342">
            <v>0.74411256380435198</v>
          </cell>
          <cell r="E1342">
            <v>188781</v>
          </cell>
          <cell r="F1342">
            <v>140474.31390754899</v>
          </cell>
          <cell r="G1342">
            <v>8.6475392920943833E-2</v>
          </cell>
          <cell r="I1342" t="str">
            <v>NC</v>
          </cell>
          <cell r="J1342" t="str">
            <v>Low</v>
          </cell>
          <cell r="K1342">
            <v>32777.666666666664</v>
          </cell>
        </row>
        <row r="1343">
          <cell r="C1343">
            <v>2105598.89349744</v>
          </cell>
          <cell r="D1343">
            <v>0.71181260989259298</v>
          </cell>
          <cell r="E1343">
            <v>241123</v>
          </cell>
          <cell r="F1343">
            <v>171634.39193513201</v>
          </cell>
          <cell r="G1343">
            <v>8.1513336877777329E-2</v>
          </cell>
          <cell r="I1343" t="str">
            <v>NC</v>
          </cell>
          <cell r="J1343" t="str">
            <v>Med</v>
          </cell>
          <cell r="K1343">
            <v>60623.333333333336</v>
          </cell>
        </row>
        <row r="1344">
          <cell r="C1344">
            <v>2063560.3120476699</v>
          </cell>
          <cell r="D1344">
            <v>0.75346818328804599</v>
          </cell>
          <cell r="E1344">
            <v>207638</v>
          </cell>
          <cell r="F1344">
            <v>156448.62664156299</v>
          </cell>
          <cell r="G1344">
            <v>7.581490384757357E-2</v>
          </cell>
          <cell r="I1344" t="str">
            <v>NC</v>
          </cell>
          <cell r="J1344" t="str">
            <v>Med</v>
          </cell>
          <cell r="K1344">
            <v>58152.666666666664</v>
          </cell>
        </row>
        <row r="1345">
          <cell r="C1345">
            <v>2013097.6461117701</v>
          </cell>
          <cell r="D1345">
            <v>0.70522988921705898</v>
          </cell>
          <cell r="E1345">
            <v>219835</v>
          </cell>
          <cell r="F1345">
            <v>155034.21269603199</v>
          </cell>
          <cell r="G1345">
            <v>7.7012763387546215E-2</v>
          </cell>
          <cell r="I1345" t="str">
            <v>NC</v>
          </cell>
          <cell r="J1345" t="str">
            <v>Med</v>
          </cell>
          <cell r="K1345">
            <v>54296</v>
          </cell>
        </row>
        <row r="1346">
          <cell r="C1346">
            <v>1825637.64514203</v>
          </cell>
          <cell r="D1346">
            <v>0.70096455427827098</v>
          </cell>
          <cell r="E1346">
            <v>203874</v>
          </cell>
          <cell r="F1346">
            <v>142908.44753892801</v>
          </cell>
          <cell r="G1346">
            <v>7.8278648514508525E-2</v>
          </cell>
          <cell r="I1346" t="str">
            <v>NC</v>
          </cell>
          <cell r="J1346" t="str">
            <v>Med</v>
          </cell>
          <cell r="K1346">
            <v>50799.666666666664</v>
          </cell>
        </row>
        <row r="1347">
          <cell r="C1347">
            <v>2249313.4774023802</v>
          </cell>
          <cell r="D1347">
            <v>0.718182637810445</v>
          </cell>
          <cell r="E1347">
            <v>214684</v>
          </cell>
          <cell r="F1347">
            <v>154182.32141569801</v>
          </cell>
          <cell r="G1347">
            <v>6.8546391138755575E-2</v>
          </cell>
          <cell r="I1347" t="str">
            <v>NC</v>
          </cell>
          <cell r="J1347" t="str">
            <v>Med</v>
          </cell>
          <cell r="K1347">
            <v>70973</v>
          </cell>
        </row>
        <row r="1348">
          <cell r="C1348">
            <v>2108219.3412110601</v>
          </cell>
          <cell r="D1348">
            <v>0.70840812517302698</v>
          </cell>
          <cell r="E1348">
            <v>226014</v>
          </cell>
          <cell r="F1348">
            <v>160110.154002856</v>
          </cell>
          <cell r="G1348">
            <v>7.5945681207383861E-2</v>
          </cell>
          <cell r="I1348" t="str">
            <v>NC</v>
          </cell>
          <cell r="J1348" t="str">
            <v>Med</v>
          </cell>
          <cell r="K1348">
            <v>63975.666666666664</v>
          </cell>
        </row>
        <row r="1349">
          <cell r="C1349">
            <v>2081187.0152233399</v>
          </cell>
          <cell r="D1349">
            <v>0.72191231518438004</v>
          </cell>
          <cell r="E1349">
            <v>225835</v>
          </cell>
          <cell r="F1349">
            <v>163033.06769966401</v>
          </cell>
          <cell r="G1349">
            <v>7.8336577398916904E-2</v>
          </cell>
          <cell r="I1349" t="str">
            <v>NC</v>
          </cell>
          <cell r="J1349" t="str">
            <v>Med</v>
          </cell>
          <cell r="K1349">
            <v>59053.666666666664</v>
          </cell>
        </row>
        <row r="1350">
          <cell r="C1350">
            <v>1691431.3161085199</v>
          </cell>
          <cell r="D1350">
            <v>0.67109177412138399</v>
          </cell>
          <cell r="E1350">
            <v>243285</v>
          </cell>
          <cell r="F1350">
            <v>163266.56226712099</v>
          </cell>
          <cell r="G1350">
            <v>9.6525682546039618E-2</v>
          </cell>
          <cell r="I1350" t="str">
            <v>NC</v>
          </cell>
          <cell r="J1350" t="str">
            <v>Low</v>
          </cell>
          <cell r="K1350">
            <v>35528.333333333336</v>
          </cell>
        </row>
        <row r="1351">
          <cell r="C1351">
            <v>2434639.58000725</v>
          </cell>
          <cell r="D1351">
            <v>0.70039329549927398</v>
          </cell>
          <cell r="E1351">
            <v>238100</v>
          </cell>
          <cell r="F1351">
            <v>166763.643658377</v>
          </cell>
          <cell r="G1351">
            <v>6.8496234525966426E-2</v>
          </cell>
          <cell r="I1351" t="str">
            <v>NC</v>
          </cell>
          <cell r="J1351" t="str">
            <v>Med</v>
          </cell>
          <cell r="K1351">
            <v>86195.333333333328</v>
          </cell>
        </row>
        <row r="1352">
          <cell r="C1352">
            <v>2224918.3153808098</v>
          </cell>
          <cell r="D1352">
            <v>0.71600513070264704</v>
          </cell>
          <cell r="E1352">
            <v>198942</v>
          </cell>
          <cell r="F1352">
            <v>142443.49271224599</v>
          </cell>
          <cell r="G1352">
            <v>6.4021897670371697E-2</v>
          </cell>
          <cell r="I1352" t="str">
            <v>NC</v>
          </cell>
          <cell r="J1352" t="str">
            <v>No Data</v>
          </cell>
          <cell r="K1352">
            <v>0</v>
          </cell>
        </row>
        <row r="1353">
          <cell r="C1353">
            <v>2450788.7430795999</v>
          </cell>
          <cell r="D1353">
            <v>0.74538182025509703</v>
          </cell>
          <cell r="E1353">
            <v>211326</v>
          </cell>
          <cell r="F1353">
            <v>157518.55854722901</v>
          </cell>
          <cell r="G1353">
            <v>6.4272597543146501E-2</v>
          </cell>
          <cell r="I1353" t="str">
            <v>NC</v>
          </cell>
          <cell r="J1353" t="str">
            <v>Med</v>
          </cell>
          <cell r="K1353">
            <v>84558.333333333328</v>
          </cell>
        </row>
        <row r="1354">
          <cell r="C1354">
            <v>2291855.4996827501</v>
          </cell>
          <cell r="D1354">
            <v>0.68922104597852896</v>
          </cell>
          <cell r="E1354">
            <v>225785</v>
          </cell>
          <cell r="F1354">
            <v>155615.773866262</v>
          </cell>
          <cell r="G1354">
            <v>6.7899470052890806E-2</v>
          </cell>
          <cell r="I1354" t="str">
            <v>NC</v>
          </cell>
          <cell r="J1354" t="str">
            <v>No Data</v>
          </cell>
          <cell r="K1354">
            <v>0</v>
          </cell>
        </row>
        <row r="1355">
          <cell r="C1355">
            <v>2324424.2740943702</v>
          </cell>
          <cell r="D1355">
            <v>0.73787511208989398</v>
          </cell>
          <cell r="E1355">
            <v>220240</v>
          </cell>
          <cell r="F1355">
            <v>162509.61468667799</v>
          </cell>
          <cell r="G1355">
            <v>6.9913920835297641E-2</v>
          </cell>
          <cell r="I1355" t="str">
            <v>NC</v>
          </cell>
          <cell r="J1355" t="str">
            <v>Med</v>
          </cell>
          <cell r="K1355">
            <v>74214</v>
          </cell>
        </row>
        <row r="1356">
          <cell r="C1356">
            <v>2009850.84981689</v>
          </cell>
          <cell r="D1356">
            <v>0.69664311249809896</v>
          </cell>
          <cell r="E1356">
            <v>223866</v>
          </cell>
          <cell r="F1356">
            <v>155954.70702249999</v>
          </cell>
          <cell r="G1356">
            <v>7.7595164355956286E-2</v>
          </cell>
          <cell r="I1356" t="str">
            <v>NC</v>
          </cell>
          <cell r="J1356" t="str">
            <v>Med</v>
          </cell>
          <cell r="K1356">
            <v>58817</v>
          </cell>
        </row>
        <row r="1357">
          <cell r="C1357">
            <v>2290189.5868807002</v>
          </cell>
          <cell r="D1357">
            <v>0.69554892716922301</v>
          </cell>
          <cell r="E1357">
            <v>239915</v>
          </cell>
          <cell r="F1357">
            <v>166872.620861804</v>
          </cell>
          <cell r="G1357">
            <v>7.2864107765457528E-2</v>
          </cell>
          <cell r="I1357" t="str">
            <v>NC</v>
          </cell>
          <cell r="J1357" t="str">
            <v>No Data</v>
          </cell>
          <cell r="K1357">
            <v>0</v>
          </cell>
        </row>
        <row r="1358">
          <cell r="C1358">
            <v>1893618.0686290001</v>
          </cell>
          <cell r="D1358">
            <v>0.68774398701353201</v>
          </cell>
          <cell r="E1358">
            <v>232932</v>
          </cell>
          <cell r="F1358">
            <v>160197.582383036</v>
          </cell>
          <cell r="G1358">
            <v>8.4598676489721483E-2</v>
          </cell>
          <cell r="I1358" t="str">
            <v>NC</v>
          </cell>
          <cell r="J1358" t="str">
            <v>Med</v>
          </cell>
          <cell r="K1358">
            <v>47637.333333333336</v>
          </cell>
        </row>
        <row r="1359">
          <cell r="C1359">
            <v>2207097.6849173098</v>
          </cell>
          <cell r="D1359">
            <v>0.71688476683040903</v>
          </cell>
          <cell r="E1359">
            <v>231751</v>
          </cell>
          <cell r="F1359">
            <v>166138.76159771401</v>
          </cell>
          <cell r="G1359">
            <v>7.5274765921354542E-2</v>
          </cell>
          <cell r="I1359" t="str">
            <v>NC</v>
          </cell>
          <cell r="J1359" t="str">
            <v>Med</v>
          </cell>
          <cell r="K1359">
            <v>69341.666666666672</v>
          </cell>
        </row>
        <row r="1360">
          <cell r="C1360">
            <v>2404328.3658762099</v>
          </cell>
          <cell r="D1360">
            <v>0.68503875805493397</v>
          </cell>
          <cell r="E1360">
            <v>206133</v>
          </cell>
          <cell r="F1360">
            <v>141209.094314138</v>
          </cell>
          <cell r="G1360">
            <v>5.8731201743600914E-2</v>
          </cell>
          <cell r="I1360" t="str">
            <v>NC</v>
          </cell>
          <cell r="J1360" t="str">
            <v>Med</v>
          </cell>
          <cell r="K1360">
            <v>85208</v>
          </cell>
        </row>
        <row r="1361">
          <cell r="C1361">
            <v>2065648.70820541</v>
          </cell>
          <cell r="D1361">
            <v>0.71382653139018803</v>
          </cell>
          <cell r="E1361">
            <v>209694</v>
          </cell>
          <cell r="F1361">
            <v>149685.14067333401</v>
          </cell>
          <cell r="G1361">
            <v>7.246398677506842E-2</v>
          </cell>
          <cell r="I1361" t="str">
            <v>NC</v>
          </cell>
          <cell r="J1361" t="str">
            <v>Low</v>
          </cell>
          <cell r="K1361">
            <v>32777.666666666664</v>
          </cell>
        </row>
        <row r="1362">
          <cell r="C1362">
            <v>2576277.67593168</v>
          </cell>
          <cell r="D1362">
            <v>0.70990264987634799</v>
          </cell>
          <cell r="E1362">
            <v>229890</v>
          </cell>
          <cell r="F1362">
            <v>163199.520180074</v>
          </cell>
          <cell r="G1362">
            <v>6.3347022607357278E-2</v>
          </cell>
          <cell r="I1362" t="str">
            <v>NC</v>
          </cell>
          <cell r="J1362" t="str">
            <v>Med</v>
          </cell>
          <cell r="K1362">
            <v>60623.333333333336</v>
          </cell>
        </row>
        <row r="1363">
          <cell r="C1363">
            <v>2557579.15307617</v>
          </cell>
          <cell r="D1363">
            <v>0.73021265415666203</v>
          </cell>
          <cell r="E1363">
            <v>212352</v>
          </cell>
          <cell r="F1363">
            <v>155062.11753547599</v>
          </cell>
          <cell r="G1363">
            <v>6.062847257296905E-2</v>
          </cell>
          <cell r="I1363" t="str">
            <v>NC</v>
          </cell>
          <cell r="J1363" t="str">
            <v>Med</v>
          </cell>
          <cell r="K1363">
            <v>58152.666666666664</v>
          </cell>
        </row>
        <row r="1364">
          <cell r="C1364">
            <v>2394624.4137167898</v>
          </cell>
          <cell r="D1364">
            <v>0.71323695945744103</v>
          </cell>
          <cell r="E1364">
            <v>202669</v>
          </cell>
          <cell r="F1364">
            <v>144551.02133628001</v>
          </cell>
          <cell r="G1364">
            <v>6.0364798967332309E-2</v>
          </cell>
          <cell r="I1364" t="str">
            <v>NC</v>
          </cell>
          <cell r="J1364" t="str">
            <v>Med</v>
          </cell>
          <cell r="K1364">
            <v>54296</v>
          </cell>
        </row>
        <row r="1365">
          <cell r="C1365">
            <v>2273653.08120722</v>
          </cell>
          <cell r="D1365">
            <v>0.70523119249755895</v>
          </cell>
          <cell r="E1365">
            <v>198946</v>
          </cell>
          <cell r="F1365">
            <v>140302.92482261901</v>
          </cell>
          <cell r="G1365">
            <v>6.1708149753489962E-2</v>
          </cell>
          <cell r="I1365" t="str">
            <v>NC</v>
          </cell>
          <cell r="J1365" t="str">
            <v>Med</v>
          </cell>
          <cell r="K1365">
            <v>50799.666666666664</v>
          </cell>
        </row>
        <row r="1366">
          <cell r="C1366">
            <v>2735397.04374803</v>
          </cell>
          <cell r="D1366">
            <v>0.73237988645503704</v>
          </cell>
          <cell r="E1366">
            <v>204267</v>
          </cell>
          <cell r="F1366">
            <v>149601.04226651101</v>
          </cell>
          <cell r="G1366">
            <v>5.4690796207605849E-2</v>
          </cell>
          <cell r="I1366" t="str">
            <v>NC</v>
          </cell>
          <cell r="J1366" t="str">
            <v>Med</v>
          </cell>
          <cell r="K1366">
            <v>70973</v>
          </cell>
        </row>
        <row r="1367">
          <cell r="C1367">
            <v>2594082.6872733799</v>
          </cell>
          <cell r="D1367">
            <v>0.69154586349749203</v>
          </cell>
          <cell r="E1367">
            <v>222050</v>
          </cell>
          <cell r="F1367">
            <v>153557.75898961801</v>
          </cell>
          <cell r="G1367">
            <v>5.9195398721473051E-2</v>
          </cell>
          <cell r="I1367" t="str">
            <v>NC</v>
          </cell>
          <cell r="J1367" t="str">
            <v>Med</v>
          </cell>
          <cell r="K1367">
            <v>63975.666666666664</v>
          </cell>
        </row>
        <row r="1368">
          <cell r="C1368">
            <v>2564482.2394827101</v>
          </cell>
          <cell r="D1368">
            <v>0.723892922202373</v>
          </cell>
          <cell r="E1368">
            <v>218563</v>
          </cell>
          <cell r="F1368">
            <v>158216.208755317</v>
          </cell>
          <cell r="G1368">
            <v>6.1695185998726705E-2</v>
          </cell>
          <cell r="I1368" t="str">
            <v>NC</v>
          </cell>
          <cell r="J1368" t="str">
            <v>Med</v>
          </cell>
          <cell r="K1368">
            <v>59053.666666666664</v>
          </cell>
        </row>
        <row r="1369">
          <cell r="C1369">
            <v>2069416.0898348901</v>
          </cell>
          <cell r="D1369">
            <v>0.70492693147963903</v>
          </cell>
          <cell r="E1369">
            <v>216279</v>
          </cell>
          <cell r="F1369">
            <v>152460.89181348501</v>
          </cell>
          <cell r="G1369">
            <v>7.367338669220902E-2</v>
          </cell>
          <cell r="I1369" t="str">
            <v>NC</v>
          </cell>
          <cell r="J1369" t="str">
            <v>Low</v>
          </cell>
          <cell r="K1369">
            <v>35528.333333333336</v>
          </cell>
        </row>
        <row r="1370">
          <cell r="C1370">
            <v>2995891.6867824099</v>
          </cell>
          <cell r="D1370">
            <v>0.71399053395289602</v>
          </cell>
          <cell r="E1370">
            <v>225552</v>
          </cell>
          <cell r="F1370">
            <v>161041.99291414401</v>
          </cell>
          <cell r="G1370">
            <v>5.375427744088547E-2</v>
          </cell>
          <cell r="I1370" t="str">
            <v>NC</v>
          </cell>
          <cell r="J1370" t="str">
            <v>Med</v>
          </cell>
          <cell r="K1370">
            <v>86195.333333333328</v>
          </cell>
        </row>
        <row r="1371">
          <cell r="C1371">
            <v>2745172.3953273902</v>
          </cell>
          <cell r="D1371">
            <v>0.73470912649649101</v>
          </cell>
          <cell r="E1371">
            <v>185438</v>
          </cell>
          <cell r="F1371">
            <v>136242.990999256</v>
          </cell>
          <cell r="G1371">
            <v>4.9630030970425669E-2</v>
          </cell>
          <cell r="I1371" t="str">
            <v>NC</v>
          </cell>
          <cell r="J1371" t="str">
            <v>No Data</v>
          </cell>
          <cell r="K1371">
            <v>0</v>
          </cell>
        </row>
        <row r="1372">
          <cell r="C1372">
            <v>2952490.314826</v>
          </cell>
          <cell r="D1372">
            <v>0.74363921842403202</v>
          </cell>
          <cell r="E1372">
            <v>200268</v>
          </cell>
          <cell r="F1372">
            <v>148927.13899534399</v>
          </cell>
          <cell r="G1372">
            <v>5.0441194759387638E-2</v>
          </cell>
          <cell r="I1372" t="str">
            <v>NC</v>
          </cell>
          <cell r="J1372" t="str">
            <v>Med</v>
          </cell>
          <cell r="K1372">
            <v>84558.333333333328</v>
          </cell>
        </row>
        <row r="1373">
          <cell r="C1373">
            <v>2776172.2841556398</v>
          </cell>
          <cell r="D1373">
            <v>0.67261828024414905</v>
          </cell>
          <cell r="E1373">
            <v>224019</v>
          </cell>
          <cell r="F1373">
            <v>150679.27452201399</v>
          </cell>
          <cell r="G1373">
            <v>5.4275909093243618E-2</v>
          </cell>
          <cell r="I1373" t="str">
            <v>NC</v>
          </cell>
          <cell r="J1373" t="str">
            <v>No Data</v>
          </cell>
          <cell r="K1373">
            <v>0</v>
          </cell>
        </row>
        <row r="1374">
          <cell r="C1374">
            <v>2845494.37469122</v>
          </cell>
          <cell r="D1374">
            <v>0.73806229522155198</v>
          </cell>
          <cell r="E1374">
            <v>207411</v>
          </cell>
          <cell r="F1374">
            <v>153082.23871419701</v>
          </cell>
          <cell r="G1374">
            <v>5.379811679677237E-2</v>
          </cell>
          <cell r="I1374" t="str">
            <v>NC</v>
          </cell>
          <cell r="J1374" t="str">
            <v>Med</v>
          </cell>
          <cell r="K1374">
            <v>74214</v>
          </cell>
        </row>
        <row r="1375">
          <cell r="C1375">
            <v>2509761.0777512998</v>
          </cell>
          <cell r="D1375">
            <v>0.78482633835364501</v>
          </cell>
          <cell r="E1375">
            <v>187807</v>
          </cell>
          <cell r="F1375">
            <v>147395.88012718299</v>
          </cell>
          <cell r="G1375">
            <v>5.8729048527299266E-2</v>
          </cell>
          <cell r="I1375" t="str">
            <v>NC</v>
          </cell>
          <cell r="J1375" t="str">
            <v>Med</v>
          </cell>
          <cell r="K1375">
            <v>58817</v>
          </cell>
        </row>
        <row r="1376">
          <cell r="C1376">
            <v>2826382.7901429501</v>
          </cell>
          <cell r="D1376">
            <v>0.68192150916813099</v>
          </cell>
          <cell r="E1376">
            <v>236988</v>
          </cell>
          <cell r="F1376">
            <v>161607.21461473699</v>
          </cell>
          <cell r="G1376">
            <v>5.7178105944582044E-2</v>
          </cell>
          <cell r="I1376" t="str">
            <v>NC</v>
          </cell>
          <cell r="J1376" t="str">
            <v>No Data</v>
          </cell>
          <cell r="K1376">
            <v>0</v>
          </cell>
        </row>
        <row r="1377">
          <cell r="C1377">
            <v>2314612.8257506699</v>
          </cell>
          <cell r="D1377">
            <v>0.69999756419662296</v>
          </cell>
          <cell r="E1377">
            <v>221011</v>
          </cell>
          <cell r="F1377">
            <v>154707.16166066</v>
          </cell>
          <cell r="G1377">
            <v>6.6839326188597323E-2</v>
          </cell>
          <cell r="I1377" t="str">
            <v>NC</v>
          </cell>
          <cell r="J1377" t="str">
            <v>Med</v>
          </cell>
          <cell r="K1377">
            <v>47637.333333333336</v>
          </cell>
        </row>
        <row r="1378">
          <cell r="C1378">
            <v>2761570.5792649002</v>
          </cell>
          <cell r="D1378">
            <v>0.69102154891636702</v>
          </cell>
          <cell r="E1378">
            <v>238030</v>
          </cell>
          <cell r="F1378">
            <v>164483.85928856299</v>
          </cell>
          <cell r="G1378">
            <v>5.9561707574516093E-2</v>
          </cell>
          <cell r="I1378" t="str">
            <v>NC</v>
          </cell>
          <cell r="J1378" t="str">
            <v>Med</v>
          </cell>
          <cell r="K1378">
            <v>69341.666666666672</v>
          </cell>
        </row>
        <row r="1379">
          <cell r="C1379">
            <v>2976240.6370804501</v>
          </cell>
          <cell r="D1379">
            <v>0.69350793956731904</v>
          </cell>
          <cell r="E1379">
            <v>195542</v>
          </cell>
          <cell r="F1379">
            <v>135609.92951887299</v>
          </cell>
          <cell r="G1379">
            <v>4.5564168377157786E-2</v>
          </cell>
          <cell r="I1379" t="str">
            <v>NC</v>
          </cell>
          <cell r="J1379" t="str">
            <v>Med</v>
          </cell>
          <cell r="K1379">
            <v>85208</v>
          </cell>
        </row>
        <row r="1380">
          <cell r="C1380">
            <v>2313978.1216989299</v>
          </cell>
          <cell r="D1380">
            <v>0.75790762026143998</v>
          </cell>
          <cell r="E1380">
            <v>167785</v>
          </cell>
          <cell r="F1380">
            <v>127165.530065566</v>
          </cell>
          <cell r="G1380">
            <v>5.49553726861517E-2</v>
          </cell>
          <cell r="I1380" t="str">
            <v>NC</v>
          </cell>
          <cell r="J1380" t="str">
            <v>Low</v>
          </cell>
          <cell r="K1380">
            <v>32777.666666666664</v>
          </cell>
        </row>
        <row r="1381">
          <cell r="C1381">
            <v>2932821.3728433498</v>
          </cell>
          <cell r="D1381">
            <v>0.69283691689221205</v>
          </cell>
          <cell r="E1381">
            <v>225116</v>
          </cell>
          <cell r="F1381">
            <v>155968.67538310701</v>
          </cell>
          <cell r="G1381">
            <v>5.3180421019605593E-2</v>
          </cell>
          <cell r="I1381" t="str">
            <v>NC</v>
          </cell>
          <cell r="J1381" t="str">
            <v>Med</v>
          </cell>
          <cell r="K1381">
            <v>60623.333333333336</v>
          </cell>
        </row>
        <row r="1382">
          <cell r="C1382">
            <v>2928498.9036644502</v>
          </cell>
          <cell r="D1382">
            <v>0.73183312091816199</v>
          </cell>
          <cell r="E1382">
            <v>198584</v>
          </cell>
          <cell r="F1382">
            <v>145330.34848441201</v>
          </cell>
          <cell r="G1382">
            <v>4.9626226017212838E-2</v>
          </cell>
          <cell r="I1382" t="str">
            <v>NC</v>
          </cell>
          <cell r="J1382" t="str">
            <v>Med</v>
          </cell>
          <cell r="K1382">
            <v>58152.666666666664</v>
          </cell>
        </row>
        <row r="1383">
          <cell r="C1383">
            <v>2792518.7177188802</v>
          </cell>
          <cell r="D1383">
            <v>0.71349453710330302</v>
          </cell>
          <cell r="E1383">
            <v>195456</v>
          </cell>
          <cell r="F1383">
            <v>139456.78824406301</v>
          </cell>
          <cell r="G1383">
            <v>4.9939428287156057E-2</v>
          </cell>
          <cell r="I1383" t="str">
            <v>NC</v>
          </cell>
          <cell r="J1383" t="str">
            <v>Med</v>
          </cell>
          <cell r="K1383">
            <v>54296</v>
          </cell>
        </row>
        <row r="1384">
          <cell r="C1384">
            <v>2567036.5186480801</v>
          </cell>
          <cell r="D1384">
            <v>0.74228750149503198</v>
          </cell>
          <cell r="E1384">
            <v>170177</v>
          </cell>
          <cell r="F1384">
            <v>126320.26014191999</v>
          </cell>
          <cell r="G1384">
            <v>4.9208594900880517E-2</v>
          </cell>
          <cell r="I1384" t="str">
            <v>NC</v>
          </cell>
          <cell r="J1384" t="str">
            <v>Med</v>
          </cell>
          <cell r="K1384">
            <v>50799.666666666664</v>
          </cell>
        </row>
        <row r="1385">
          <cell r="C1385">
            <v>3089711.2607142301</v>
          </cell>
          <cell r="D1385">
            <v>0.719577470747085</v>
          </cell>
          <cell r="E1385">
            <v>193001</v>
          </cell>
          <cell r="F1385">
            <v>138879.171431658</v>
          </cell>
          <cell r="G1385">
            <v>4.4948915841266715E-2</v>
          </cell>
          <cell r="I1385" t="str">
            <v>NC</v>
          </cell>
          <cell r="J1385" t="str">
            <v>Med</v>
          </cell>
          <cell r="K1385">
            <v>70973</v>
          </cell>
        </row>
        <row r="1386">
          <cell r="C1386">
            <v>2977762.14633246</v>
          </cell>
          <cell r="D1386">
            <v>0.68536605792817595</v>
          </cell>
          <cell r="E1386">
            <v>216053</v>
          </cell>
          <cell r="F1386">
            <v>148075.39291355599</v>
          </cell>
          <cell r="G1386">
            <v>4.9727072088659605E-2</v>
          </cell>
          <cell r="I1386" t="str">
            <v>NC</v>
          </cell>
          <cell r="J1386" t="str">
            <v>Med</v>
          </cell>
          <cell r="K1386">
            <v>63975.666666666664</v>
          </cell>
        </row>
        <row r="1387">
          <cell r="C1387">
            <v>2884198.1098674498</v>
          </cell>
          <cell r="D1387">
            <v>0.71298707419822105</v>
          </cell>
          <cell r="E1387">
            <v>207309</v>
          </cell>
          <cell r="F1387">
            <v>147808.637364959</v>
          </cell>
          <cell r="G1387">
            <v>5.1247740874413056E-2</v>
          </cell>
          <cell r="I1387" t="str">
            <v>NC</v>
          </cell>
          <cell r="J1387" t="str">
            <v>Med</v>
          </cell>
          <cell r="K1387">
            <v>59053.666666666664</v>
          </cell>
        </row>
        <row r="1388">
          <cell r="C1388">
            <v>2354538.5127145201</v>
          </cell>
          <cell r="D1388">
            <v>0.67536075658780403</v>
          </cell>
          <cell r="E1388">
            <v>220496</v>
          </cell>
          <cell r="F1388">
            <v>148914.34538458401</v>
          </cell>
          <cell r="G1388">
            <v>6.3245661338918763E-2</v>
          </cell>
          <cell r="I1388" t="str">
            <v>NC</v>
          </cell>
          <cell r="J1388" t="str">
            <v>Low</v>
          </cell>
          <cell r="K1388">
            <v>35528.333333333336</v>
          </cell>
        </row>
        <row r="1389">
          <cell r="C1389">
            <v>3443109.1381040402</v>
          </cell>
          <cell r="D1389">
            <v>0.71283941766207204</v>
          </cell>
          <cell r="E1389">
            <v>217913</v>
          </cell>
          <cell r="F1389">
            <v>155336.976020995</v>
          </cell>
          <cell r="G1389">
            <v>4.511532158592331E-2</v>
          </cell>
          <cell r="I1389" t="str">
            <v>NC</v>
          </cell>
          <cell r="J1389" t="str">
            <v>Med</v>
          </cell>
          <cell r="K1389">
            <v>86195.333333333328</v>
          </cell>
        </row>
        <row r="1390">
          <cell r="C1390">
            <v>3145263.7042026301</v>
          </cell>
          <cell r="D1390">
            <v>0.71497800292614999</v>
          </cell>
          <cell r="E1390">
            <v>180999</v>
          </cell>
          <cell r="F1390">
            <v>129410.30355163</v>
          </cell>
          <cell r="G1390">
            <v>4.1144500341486437E-2</v>
          </cell>
          <cell r="I1390" t="str">
            <v>NC</v>
          </cell>
          <cell r="J1390" t="str">
            <v>No Data</v>
          </cell>
          <cell r="K1390">
            <v>0</v>
          </cell>
        </row>
        <row r="1391">
          <cell r="C1391">
            <v>3408888.30922281</v>
          </cell>
          <cell r="D1391">
            <v>0.71904250200486197</v>
          </cell>
          <cell r="E1391">
            <v>198805</v>
          </cell>
          <cell r="F1391">
            <v>142949.24461107701</v>
          </cell>
          <cell r="G1391">
            <v>4.1934270543368991E-2</v>
          </cell>
          <cell r="I1391" t="str">
            <v>NC</v>
          </cell>
          <cell r="J1391" t="str">
            <v>Med</v>
          </cell>
          <cell r="K1391">
            <v>84558.333333333328</v>
          </cell>
        </row>
        <row r="1392">
          <cell r="C1392">
            <v>3238461.0421987502</v>
          </cell>
          <cell r="D1392">
            <v>0.67488162739166402</v>
          </cell>
          <cell r="E1392">
            <v>220670</v>
          </cell>
          <cell r="F1392">
            <v>148926.128716518</v>
          </cell>
          <cell r="G1392">
            <v>4.5986697624562048E-2</v>
          </cell>
          <cell r="I1392" t="str">
            <v>NC</v>
          </cell>
          <cell r="J1392" t="str">
            <v>No Data</v>
          </cell>
          <cell r="K1392">
            <v>0</v>
          </cell>
        </row>
        <row r="1393">
          <cell r="C1393">
            <v>3292182.4462524499</v>
          </cell>
          <cell r="D1393">
            <v>0.73580445417012896</v>
          </cell>
          <cell r="E1393">
            <v>199965</v>
          </cell>
          <cell r="F1393">
            <v>147135.13767813001</v>
          </cell>
          <cell r="G1393">
            <v>4.4692279386161167E-2</v>
          </cell>
          <cell r="I1393" t="str">
            <v>NC</v>
          </cell>
          <cell r="J1393" t="str">
            <v>Med</v>
          </cell>
          <cell r="K1393">
            <v>74214</v>
          </cell>
        </row>
        <row r="1394">
          <cell r="C1394">
            <v>2904606.4676972702</v>
          </cell>
          <cell r="D1394">
            <v>0.73175111413264304</v>
          </cell>
          <cell r="E1394">
            <v>198537</v>
          </cell>
          <cell r="F1394">
            <v>145279.67094655201</v>
          </cell>
          <cell r="G1394">
            <v>5.0016989413966165E-2</v>
          </cell>
          <cell r="I1394" t="str">
            <v>NC</v>
          </cell>
          <cell r="J1394" t="str">
            <v>Med</v>
          </cell>
          <cell r="K1394">
            <v>58817</v>
          </cell>
        </row>
        <row r="1395">
          <cell r="C1395">
            <v>3231403.18419878</v>
          </cell>
          <cell r="D1395">
            <v>0.70853571109711899</v>
          </cell>
          <cell r="E1395">
            <v>218560</v>
          </cell>
          <cell r="F1395">
            <v>154857.56501738599</v>
          </cell>
          <cell r="G1395">
            <v>4.7922699889206992E-2</v>
          </cell>
          <cell r="I1395" t="str">
            <v>NC</v>
          </cell>
          <cell r="J1395" t="str">
            <v>No Data</v>
          </cell>
          <cell r="K1395">
            <v>0</v>
          </cell>
        </row>
        <row r="1396">
          <cell r="C1396">
            <v>2618157.2102387501</v>
          </cell>
          <cell r="D1396">
            <v>0.674454097751641</v>
          </cell>
          <cell r="E1396">
            <v>212634</v>
          </cell>
          <cell r="F1396">
            <v>143411.87262132301</v>
          </cell>
          <cell r="G1396">
            <v>5.4775882846334223E-2</v>
          </cell>
          <cell r="I1396" t="str">
            <v>NC</v>
          </cell>
          <cell r="J1396" t="str">
            <v>Med</v>
          </cell>
          <cell r="K1396">
            <v>47637.333333333336</v>
          </cell>
        </row>
        <row r="1397">
          <cell r="C1397">
            <v>3138538.9467273201</v>
          </cell>
          <cell r="D1397">
            <v>0.73731701882470801</v>
          </cell>
          <cell r="E1397">
            <v>204700</v>
          </cell>
          <cell r="F1397">
            <v>150928.79375341799</v>
          </cell>
          <cell r="G1397">
            <v>4.8088870750129603E-2</v>
          </cell>
          <cell r="I1397" t="str">
            <v>NC</v>
          </cell>
          <cell r="J1397" t="str">
            <v>Med</v>
          </cell>
          <cell r="K1397">
            <v>69341.666666666672</v>
          </cell>
        </row>
        <row r="1398">
          <cell r="C1398">
            <v>3371607.7171344501</v>
          </cell>
          <cell r="D1398">
            <v>0.69036449538215106</v>
          </cell>
          <cell r="E1398">
            <v>190503</v>
          </cell>
          <cell r="F1398">
            <v>131516.50746378599</v>
          </cell>
          <cell r="G1398">
            <v>3.9007060873488174E-2</v>
          </cell>
          <cell r="I1398" t="str">
            <v>NC</v>
          </cell>
          <cell r="J1398" t="str">
            <v>Med</v>
          </cell>
          <cell r="K1398">
            <v>85208</v>
          </cell>
        </row>
        <row r="1399">
          <cell r="C1399">
            <v>2388800.1606340399</v>
          </cell>
          <cell r="D1399">
            <v>0.74360751466744102</v>
          </cell>
          <cell r="E1399">
            <v>170816</v>
          </cell>
          <cell r="F1399">
            <v>127020.06122543399</v>
          </cell>
          <cell r="G1399">
            <v>5.3173163380782797E-2</v>
          </cell>
          <cell r="I1399" t="str">
            <v>NC</v>
          </cell>
          <cell r="J1399" t="str">
            <v>Low</v>
          </cell>
          <cell r="K1399">
            <v>32777.666666666664</v>
          </cell>
        </row>
        <row r="1400">
          <cell r="C1400">
            <v>3013677.81800897</v>
          </cell>
          <cell r="D1400">
            <v>0.70878550357344305</v>
          </cell>
          <cell r="E1400">
            <v>209787</v>
          </cell>
          <cell r="F1400">
            <v>148693.98443816201</v>
          </cell>
          <cell r="G1400">
            <v>4.9339708295825346E-2</v>
          </cell>
          <cell r="I1400" t="str">
            <v>NC</v>
          </cell>
          <cell r="J1400" t="str">
            <v>Med</v>
          </cell>
          <cell r="K1400">
            <v>60623.333333333336</v>
          </cell>
        </row>
        <row r="1401">
          <cell r="C1401">
            <v>3019577.1222364898</v>
          </cell>
          <cell r="D1401">
            <v>0.75759749222168205</v>
          </cell>
          <cell r="E1401">
            <v>183815</v>
          </cell>
          <cell r="F1401">
            <v>139257.78303272801</v>
          </cell>
          <cell r="G1401">
            <v>4.6118306436758565E-2</v>
          </cell>
          <cell r="I1401" t="str">
            <v>NC</v>
          </cell>
          <cell r="J1401" t="str">
            <v>Med</v>
          </cell>
          <cell r="K1401">
            <v>58152.666666666664</v>
          </cell>
        </row>
        <row r="1402">
          <cell r="C1402">
            <v>2882021.9455599501</v>
          </cell>
          <cell r="D1402">
            <v>0.72426178098832805</v>
          </cell>
          <cell r="E1402">
            <v>185726</v>
          </cell>
          <cell r="F1402">
            <v>134514.243535838</v>
          </cell>
          <cell r="G1402">
            <v>4.6673566710021402E-2</v>
          </cell>
          <cell r="I1402" t="str">
            <v>NC</v>
          </cell>
          <cell r="J1402" t="str">
            <v>Med</v>
          </cell>
          <cell r="K1402">
            <v>54296</v>
          </cell>
        </row>
        <row r="1403">
          <cell r="C1403">
            <v>2672906.5267523099</v>
          </cell>
          <cell r="D1403">
            <v>0.73838625345426501</v>
          </cell>
          <cell r="E1403">
            <v>167404</v>
          </cell>
          <cell r="F1403">
            <v>123608.812373258</v>
          </cell>
          <cell r="G1403">
            <v>4.6245093547452903E-2</v>
          </cell>
          <cell r="I1403" t="str">
            <v>NC</v>
          </cell>
          <cell r="J1403" t="str">
            <v>Med</v>
          </cell>
          <cell r="K1403">
            <v>50799.666666666664</v>
          </cell>
        </row>
        <row r="1404">
          <cell r="C1404">
            <v>3261815.6392402002</v>
          </cell>
          <cell r="D1404">
            <v>0.707181206031543</v>
          </cell>
          <cell r="E1404">
            <v>193932</v>
          </cell>
          <cell r="F1404">
            <v>137145.06564810901</v>
          </cell>
          <cell r="G1404">
            <v>4.2045621462546937E-2</v>
          </cell>
          <cell r="I1404" t="str">
            <v>NC</v>
          </cell>
          <cell r="J1404" t="str">
            <v>Med</v>
          </cell>
          <cell r="K1404">
            <v>70973</v>
          </cell>
        </row>
        <row r="1405">
          <cell r="C1405">
            <v>3077559.3575019999</v>
          </cell>
          <cell r="D1405">
            <v>0.72298259315392899</v>
          </cell>
          <cell r="E1405">
            <v>197384</v>
          </cell>
          <cell r="F1405">
            <v>142705.19616709501</v>
          </cell>
          <cell r="G1405">
            <v>4.6369599929642388E-2</v>
          </cell>
          <cell r="I1405" t="str">
            <v>NC</v>
          </cell>
          <cell r="J1405" t="str">
            <v>Med</v>
          </cell>
          <cell r="K1405">
            <v>63975.666666666664</v>
          </cell>
        </row>
        <row r="1406">
          <cell r="C1406">
            <v>3047293.0392927998</v>
          </cell>
          <cell r="D1406">
            <v>0.70224356447998104</v>
          </cell>
          <cell r="E1406">
            <v>209365</v>
          </cell>
          <cell r="F1406">
            <v>147025.223877351</v>
          </cell>
          <cell r="G1406">
            <v>4.824781272478864E-2</v>
          </cell>
          <cell r="I1406" t="str">
            <v>NC</v>
          </cell>
          <cell r="J1406" t="str">
            <v>Med</v>
          </cell>
          <cell r="K1406">
            <v>59053.666666666664</v>
          </cell>
        </row>
        <row r="1407">
          <cell r="C1407">
            <v>2459765.5696921502</v>
          </cell>
          <cell r="D1407">
            <v>0.68726198667407701</v>
          </cell>
          <cell r="E1407">
            <v>207185</v>
          </cell>
          <cell r="F1407">
            <v>142390.374709069</v>
          </cell>
          <cell r="G1407">
            <v>5.7887782666577348E-2</v>
          </cell>
          <cell r="I1407" t="str">
            <v>NC</v>
          </cell>
          <cell r="J1407" t="str">
            <v>Low</v>
          </cell>
          <cell r="K1407">
            <v>35528.333333333336</v>
          </cell>
        </row>
        <row r="1408">
          <cell r="C1408">
            <v>3576439.9428808098</v>
          </cell>
          <cell r="D1408">
            <v>0.72900599503756702</v>
          </cell>
          <cell r="E1408">
            <v>203461</v>
          </cell>
          <cell r="F1408">
            <v>148324.28875633801</v>
          </cell>
          <cell r="G1408">
            <v>4.147260715270485E-2</v>
          </cell>
          <cell r="I1408" t="str">
            <v>NC</v>
          </cell>
          <cell r="J1408" t="str">
            <v>Med</v>
          </cell>
          <cell r="K1408">
            <v>86195.333333333328</v>
          </cell>
        </row>
        <row r="1409">
          <cell r="C1409">
            <v>3226295.8531164001</v>
          </cell>
          <cell r="D1409">
            <v>0.72027557163965406</v>
          </cell>
          <cell r="E1409">
            <v>174251</v>
          </cell>
          <cell r="F1409">
            <v>125508.738633781</v>
          </cell>
          <cell r="G1409">
            <v>3.8901807009591949E-2</v>
          </cell>
          <cell r="I1409" t="str">
            <v>NC</v>
          </cell>
          <cell r="J1409" t="str">
            <v>No Data</v>
          </cell>
          <cell r="K1409">
            <v>0</v>
          </cell>
        </row>
        <row r="1410">
          <cell r="C1410">
            <v>3521170.4572586999</v>
          </cell>
          <cell r="D1410">
            <v>0.70153611594816301</v>
          </cell>
          <cell r="E1410">
            <v>195928</v>
          </cell>
          <cell r="F1410">
            <v>137450.56812549199</v>
          </cell>
          <cell r="G1410">
            <v>3.9035476922778665E-2</v>
          </cell>
          <cell r="I1410" t="str">
            <v>NC</v>
          </cell>
          <cell r="J1410" t="str">
            <v>Med</v>
          </cell>
          <cell r="K1410">
            <v>84558.333333333328</v>
          </cell>
        </row>
        <row r="1411">
          <cell r="C1411">
            <v>3316002.9660869599</v>
          </cell>
          <cell r="D1411">
            <v>0.67934797346164</v>
          </cell>
          <cell r="E1411">
            <v>205648</v>
          </cell>
          <cell r="F1411">
            <v>139706.552046439</v>
          </cell>
          <cell r="G1411">
            <v>4.213100937340214E-2</v>
          </cell>
          <cell r="I1411" t="str">
            <v>NC</v>
          </cell>
          <cell r="J1411" t="str">
            <v>No Data</v>
          </cell>
          <cell r="K1411">
            <v>0</v>
          </cell>
        </row>
        <row r="1412">
          <cell r="C1412">
            <v>3413961.3682382801</v>
          </cell>
          <cell r="D1412">
            <v>0.75661706501445403</v>
          </cell>
          <cell r="E1412">
            <v>189372</v>
          </cell>
          <cell r="F1412">
            <v>143282.086835917</v>
          </cell>
          <cell r="G1412">
            <v>4.1969451725183238E-2</v>
          </cell>
          <cell r="I1412" t="str">
            <v>NC</v>
          </cell>
          <cell r="J1412" t="str">
            <v>Med</v>
          </cell>
          <cell r="K1412">
            <v>74214</v>
          </cell>
        </row>
        <row r="1413">
          <cell r="C1413">
            <v>2979834.7247594302</v>
          </cell>
          <cell r="D1413">
            <v>0.729482342399283</v>
          </cell>
          <cell r="E1413">
            <v>191809</v>
          </cell>
          <cell r="F1413">
            <v>139921.278613264</v>
          </cell>
          <cell r="G1413">
            <v>4.6956053451776662E-2</v>
          </cell>
          <cell r="I1413" t="str">
            <v>NC</v>
          </cell>
          <cell r="J1413" t="str">
            <v>Med</v>
          </cell>
          <cell r="K1413">
            <v>58817</v>
          </cell>
        </row>
        <row r="1414">
          <cell r="C1414">
            <v>3364559.0197584298</v>
          </cell>
          <cell r="D1414">
            <v>0.68391876697102705</v>
          </cell>
          <cell r="E1414">
            <v>214938</v>
          </cell>
          <cell r="F1414">
            <v>147000.13193521899</v>
          </cell>
          <cell r="G1414">
            <v>4.3690757413366275E-2</v>
          </cell>
          <cell r="I1414" t="str">
            <v>NC</v>
          </cell>
          <cell r="J1414" t="str">
            <v>No Data</v>
          </cell>
          <cell r="K1414">
            <v>0</v>
          </cell>
        </row>
        <row r="1415">
          <cell r="C1415">
            <v>2729254.6410622499</v>
          </cell>
          <cell r="D1415">
            <v>0.67860208782207698</v>
          </cell>
          <cell r="E1415">
            <v>205572</v>
          </cell>
          <cell r="F1415">
            <v>139501.58839776</v>
          </cell>
          <cell r="G1415">
            <v>5.1113438188920605E-2</v>
          </cell>
          <cell r="I1415" t="str">
            <v>NC</v>
          </cell>
          <cell r="J1415" t="str">
            <v>Med</v>
          </cell>
          <cell r="K1415">
            <v>47637.333333333336</v>
          </cell>
        </row>
        <row r="1416">
          <cell r="C1416">
            <v>3252064.2152408101</v>
          </cell>
          <cell r="D1416">
            <v>0.71770252663573497</v>
          </cell>
          <cell r="E1416">
            <v>205697</v>
          </cell>
          <cell r="F1416">
            <v>147629.25662139099</v>
          </cell>
          <cell r="G1416">
            <v>4.5395553977540165E-2</v>
          </cell>
          <cell r="I1416" t="str">
            <v>NC</v>
          </cell>
          <cell r="J1416" t="str">
            <v>Med</v>
          </cell>
          <cell r="K1416">
            <v>69341.666666666672</v>
          </cell>
        </row>
        <row r="1417">
          <cell r="C1417">
            <v>3586172.79853635</v>
          </cell>
          <cell r="D1417">
            <v>0.69452720224086395</v>
          </cell>
          <cell r="E1417">
            <v>182124</v>
          </cell>
          <cell r="F1417">
            <v>126490.072180915</v>
          </cell>
          <cell r="G1417">
            <v>3.5271605493338271E-2</v>
          </cell>
          <cell r="I1417" t="str">
            <v>NC</v>
          </cell>
          <cell r="J1417" t="str">
            <v>Med</v>
          </cell>
          <cell r="K1417">
            <v>85208</v>
          </cell>
        </row>
        <row r="1418">
          <cell r="C1418">
            <v>1395392.3541947</v>
          </cell>
          <cell r="D1418">
            <v>0.76219830193140403</v>
          </cell>
          <cell r="E1418">
            <v>124166</v>
          </cell>
          <cell r="F1418">
            <v>94639.114357614599</v>
          </cell>
          <cell r="G1418">
            <v>6.7822583428323369E-2</v>
          </cell>
          <cell r="I1418" t="str">
            <v>NC</v>
          </cell>
          <cell r="J1418" t="str">
            <v>Low</v>
          </cell>
          <cell r="K1418">
            <v>32777.666666666664</v>
          </cell>
        </row>
        <row r="1419">
          <cell r="C1419">
            <v>1758112.1228884701</v>
          </cell>
          <cell r="D1419">
            <v>0.71703517763648805</v>
          </cell>
          <cell r="E1419">
            <v>156812</v>
          </cell>
          <cell r="F1419">
            <v>112439.72027553301</v>
          </cell>
          <cell r="G1419">
            <v>6.3954806301432854E-2</v>
          </cell>
          <cell r="I1419" t="str">
            <v>NC</v>
          </cell>
          <cell r="J1419" t="str">
            <v>Med</v>
          </cell>
          <cell r="K1419">
            <v>60623.333333333336</v>
          </cell>
        </row>
        <row r="1420">
          <cell r="C1420">
            <v>1744464.2107355599</v>
          </cell>
          <cell r="D1420">
            <v>0.72470065815467299</v>
          </cell>
          <cell r="E1420">
            <v>145177</v>
          </cell>
          <cell r="F1420">
            <v>105209.867448921</v>
          </cell>
          <cell r="G1420">
            <v>6.0310705603159868E-2</v>
          </cell>
          <cell r="I1420" t="str">
            <v>NC</v>
          </cell>
          <cell r="J1420" t="str">
            <v>Med</v>
          </cell>
          <cell r="K1420">
            <v>58152.666666666664</v>
          </cell>
        </row>
        <row r="1421">
          <cell r="C1421">
            <v>1695040.6117647199</v>
          </cell>
          <cell r="D1421">
            <v>0.74587225711371896</v>
          </cell>
          <cell r="E1421">
            <v>133067</v>
          </cell>
          <cell r="F1421">
            <v>99250.983637351193</v>
          </cell>
          <cell r="G1421">
            <v>5.8553749655602776E-2</v>
          </cell>
          <cell r="I1421" t="str">
            <v>NC</v>
          </cell>
          <cell r="J1421" t="str">
            <v>Med</v>
          </cell>
          <cell r="K1421">
            <v>54296</v>
          </cell>
        </row>
        <row r="1422">
          <cell r="C1422">
            <v>1545955.14339074</v>
          </cell>
          <cell r="D1422">
            <v>0.74514572756583997</v>
          </cell>
          <cell r="E1422">
            <v>124136</v>
          </cell>
          <cell r="F1422">
            <v>92499.410037113106</v>
          </cell>
          <cell r="G1422">
            <v>5.9833178493286912E-2</v>
          </cell>
          <cell r="I1422" t="str">
            <v>NC</v>
          </cell>
          <cell r="J1422" t="str">
            <v>Med</v>
          </cell>
          <cell r="K1422">
            <v>50799.666666666664</v>
          </cell>
        </row>
        <row r="1423">
          <cell r="C1423">
            <v>1849252.69930816</v>
          </cell>
          <cell r="D1423">
            <v>0.73783391355529304</v>
          </cell>
          <cell r="E1423">
            <v>137012</v>
          </cell>
          <cell r="F1423">
            <v>101092.100164038</v>
          </cell>
          <cell r="G1423">
            <v>5.4666460782703437E-2</v>
          </cell>
          <cell r="I1423" t="str">
            <v>NC</v>
          </cell>
          <cell r="J1423" t="str">
            <v>Med</v>
          </cell>
          <cell r="K1423">
            <v>70973</v>
          </cell>
        </row>
        <row r="1424">
          <cell r="C1424">
            <v>1764877.3897044801</v>
          </cell>
          <cell r="D1424">
            <v>0.70028274250137901</v>
          </cell>
          <cell r="E1424">
            <v>150209</v>
          </cell>
          <cell r="F1424">
            <v>105188.77046838999</v>
          </cell>
          <cell r="G1424">
            <v>5.9601177442702311E-2</v>
          </cell>
          <cell r="I1424" t="str">
            <v>NC</v>
          </cell>
          <cell r="J1424" t="str">
            <v>Med</v>
          </cell>
          <cell r="K1424">
            <v>63975.666666666664</v>
          </cell>
        </row>
        <row r="1425">
          <cell r="C1425">
            <v>1742362.7900140199</v>
          </cell>
          <cell r="D1425">
            <v>0.73619569628699399</v>
          </cell>
          <cell r="E1425">
            <v>144353</v>
          </cell>
          <cell r="F1425">
            <v>106272.05734611599</v>
          </cell>
          <cell r="G1425">
            <v>6.0993070992557685E-2</v>
          </cell>
          <cell r="I1425" t="str">
            <v>NC</v>
          </cell>
          <cell r="J1425" t="str">
            <v>Med</v>
          </cell>
          <cell r="K1425">
            <v>59053.666666666664</v>
          </cell>
        </row>
        <row r="1426">
          <cell r="C1426">
            <v>1419496.61823664</v>
          </cell>
          <cell r="D1426">
            <v>0.71436243600063098</v>
          </cell>
          <cell r="E1426">
            <v>144694</v>
          </cell>
          <cell r="F1426">
            <v>103363.95831467499</v>
          </cell>
          <cell r="G1426">
            <v>7.2817333262180053E-2</v>
          </cell>
          <cell r="I1426" t="str">
            <v>NC</v>
          </cell>
          <cell r="J1426" t="str">
            <v>Low</v>
          </cell>
          <cell r="K1426">
            <v>35528.333333333336</v>
          </cell>
        </row>
        <row r="1427">
          <cell r="C1427">
            <v>2043374.1395569099</v>
          </cell>
          <cell r="D1427">
            <v>0.73030753015194105</v>
          </cell>
          <cell r="E1427">
            <v>149343</v>
          </cell>
          <cell r="F1427">
            <v>109066.317475481</v>
          </cell>
          <cell r="G1427">
            <v>5.3375598410544241E-2</v>
          </cell>
          <cell r="I1427" t="str">
            <v>NC</v>
          </cell>
          <cell r="J1427" t="str">
            <v>Med</v>
          </cell>
          <cell r="K1427">
            <v>86195.333333333328</v>
          </cell>
        </row>
        <row r="1428">
          <cell r="C1428">
            <v>1874261.0001008499</v>
          </cell>
          <cell r="D1428">
            <v>0.71667491491093005</v>
          </cell>
          <cell r="E1428">
            <v>131640</v>
          </cell>
          <cell r="F1428">
            <v>94343.085798874803</v>
          </cell>
          <cell r="G1428">
            <v>5.0336151578567981E-2</v>
          </cell>
          <cell r="I1428" t="str">
            <v>NC</v>
          </cell>
          <cell r="J1428" t="str">
            <v>No Data</v>
          </cell>
          <cell r="K1428">
            <v>0</v>
          </cell>
        </row>
        <row r="1429">
          <cell r="C1429">
            <v>2005680.5299034</v>
          </cell>
          <cell r="D1429">
            <v>0.74575572570707904</v>
          </cell>
          <cell r="E1429">
            <v>138309</v>
          </cell>
          <cell r="F1429">
            <v>103144.72866682</v>
          </cell>
          <cell r="G1429">
            <v>5.1426300015879285E-2</v>
          </cell>
          <cell r="I1429" t="str">
            <v>NC</v>
          </cell>
          <cell r="J1429" t="str">
            <v>Med</v>
          </cell>
          <cell r="K1429">
            <v>84558.333333333328</v>
          </cell>
        </row>
        <row r="1430">
          <cell r="C1430">
            <v>1906789.8887044601</v>
          </cell>
          <cell r="D1430">
            <v>0.69299724529834905</v>
          </cell>
          <cell r="E1430">
            <v>150843</v>
          </cell>
          <cell r="F1430">
            <v>104533.783472539</v>
          </cell>
          <cell r="G1430">
            <v>5.482186794244169E-2</v>
          </cell>
          <cell r="I1430" t="str">
            <v>NC</v>
          </cell>
          <cell r="J1430" t="str">
            <v>No Data</v>
          </cell>
          <cell r="K1430">
            <v>0</v>
          </cell>
        </row>
        <row r="1431">
          <cell r="C1431">
            <v>1967489.6991014599</v>
          </cell>
          <cell r="D1431">
            <v>0.74263535440513895</v>
          </cell>
          <cell r="E1431">
            <v>143095</v>
          </cell>
          <cell r="F1431">
            <v>106267.406038603</v>
          </cell>
          <cell r="G1431">
            <v>5.401167085506707E-2</v>
          </cell>
          <cell r="I1431" t="str">
            <v>NC</v>
          </cell>
          <cell r="J1431" t="str">
            <v>Med</v>
          </cell>
          <cell r="K1431">
            <v>74214</v>
          </cell>
        </row>
        <row r="1432">
          <cell r="C1432">
            <v>1724546.6220555201</v>
          </cell>
          <cell r="D1432">
            <v>0.74892593971948596</v>
          </cell>
          <cell r="E1432">
            <v>136155</v>
          </cell>
          <cell r="F1432">
            <v>101970.01132250699</v>
          </cell>
          <cell r="G1432">
            <v>5.9128590679077719E-2</v>
          </cell>
          <cell r="I1432" t="str">
            <v>NC</v>
          </cell>
          <cell r="J1432" t="str">
            <v>Med</v>
          </cell>
          <cell r="K1432">
            <v>58817</v>
          </cell>
        </row>
        <row r="1433">
          <cell r="C1433">
            <v>1917498.99240009</v>
          </cell>
          <cell r="D1433">
            <v>0.70867705997093</v>
          </cell>
          <cell r="E1433">
            <v>153627</v>
          </cell>
          <cell r="F1433">
            <v>108871.930692154</v>
          </cell>
          <cell r="G1433">
            <v>5.6778090170405499E-2</v>
          </cell>
          <cell r="I1433" t="str">
            <v>NC</v>
          </cell>
          <cell r="J1433" t="str">
            <v>No Data</v>
          </cell>
          <cell r="K1433">
            <v>0</v>
          </cell>
        </row>
        <row r="1434">
          <cell r="C1434">
            <v>1587232.9687286899</v>
          </cell>
          <cell r="D1434">
            <v>0.71366599233300398</v>
          </cell>
          <cell r="E1434">
            <v>144647</v>
          </cell>
          <cell r="F1434">
            <v>103229.644792992</v>
          </cell>
          <cell r="G1434">
            <v>6.5037487770730221E-2</v>
          </cell>
          <cell r="I1434" t="str">
            <v>NC</v>
          </cell>
          <cell r="J1434" t="str">
            <v>Med</v>
          </cell>
          <cell r="K1434">
            <v>47637.333333333336</v>
          </cell>
        </row>
        <row r="1435">
          <cell r="C1435">
            <v>1881443.7863363901</v>
          </cell>
          <cell r="D1435">
            <v>0.72654204376099896</v>
          </cell>
          <cell r="E1435">
            <v>150685</v>
          </cell>
          <cell r="F1435">
            <v>109478.987864126</v>
          </cell>
          <cell r="G1435">
            <v>5.8188816832687375E-2</v>
          </cell>
          <cell r="I1435" t="str">
            <v>NC</v>
          </cell>
          <cell r="J1435" t="str">
            <v>Med</v>
          </cell>
          <cell r="K1435">
            <v>69341.666666666672</v>
          </cell>
        </row>
        <row r="1436">
          <cell r="C1436">
            <v>2052039.5376631401</v>
          </cell>
          <cell r="D1436">
            <v>0.70822821107710299</v>
          </cell>
          <cell r="E1436">
            <v>133210</v>
          </cell>
          <cell r="F1436">
            <v>94343.079997580906</v>
          </cell>
          <cell r="G1436">
            <v>4.5975273997409756E-2</v>
          </cell>
          <cell r="I1436" t="str">
            <v>NC</v>
          </cell>
          <cell r="J1436" t="str">
            <v>Med</v>
          </cell>
          <cell r="K1436">
            <v>85208</v>
          </cell>
        </row>
        <row r="1437">
          <cell r="C1437">
            <v>1597214.0556270301</v>
          </cell>
          <cell r="D1437">
            <v>0.76348669138357295</v>
          </cell>
          <cell r="E1437">
            <v>141197</v>
          </cell>
          <cell r="F1437">
            <v>107802.030363286</v>
          </cell>
          <cell r="G1437">
            <v>6.7493790192677316E-2</v>
          </cell>
          <cell r="I1437" t="str">
            <v>NC</v>
          </cell>
          <cell r="J1437" t="str">
            <v>Low</v>
          </cell>
          <cell r="K1437">
            <v>32777.666666666664</v>
          </cell>
        </row>
        <row r="1438">
          <cell r="C1438">
            <v>2005750.1998924101</v>
          </cell>
          <cell r="D1438">
            <v>0.74553041320158198</v>
          </cell>
          <cell r="E1438">
            <v>171135</v>
          </cell>
          <cell r="F1438">
            <v>127586.347263253</v>
          </cell>
          <cell r="G1438">
            <v>6.3610287696891088E-2</v>
          </cell>
          <cell r="I1438" t="str">
            <v>NC</v>
          </cell>
          <cell r="J1438" t="str">
            <v>Med</v>
          </cell>
          <cell r="K1438">
            <v>60623.333333333336</v>
          </cell>
        </row>
        <row r="1439">
          <cell r="C1439">
            <v>1960471.8694343299</v>
          </cell>
          <cell r="D1439">
            <v>0.74100800648053</v>
          </cell>
          <cell r="E1439">
            <v>161586</v>
          </cell>
          <cell r="F1439">
            <v>119736.519735163</v>
          </cell>
          <cell r="G1439">
            <v>6.1075357214746218E-2</v>
          </cell>
          <cell r="I1439" t="str">
            <v>NC</v>
          </cell>
          <cell r="J1439" t="str">
            <v>Med</v>
          </cell>
          <cell r="K1439">
            <v>58152.666666666664</v>
          </cell>
        </row>
        <row r="1440">
          <cell r="C1440">
            <v>1884153.8802258701</v>
          </cell>
          <cell r="D1440">
            <v>0.77463911165571597</v>
          </cell>
          <cell r="E1440">
            <v>141327</v>
          </cell>
          <cell r="F1440">
            <v>109477.42173296701</v>
          </cell>
          <cell r="G1440">
            <v>5.8104289082717059E-2</v>
          </cell>
          <cell r="I1440" t="str">
            <v>NC</v>
          </cell>
          <cell r="J1440" t="str">
            <v>Med</v>
          </cell>
          <cell r="K1440">
            <v>54296</v>
          </cell>
        </row>
        <row r="1441">
          <cell r="C1441">
            <v>1745950.6043875201</v>
          </cell>
          <cell r="D1441">
            <v>0.75427122405663305</v>
          </cell>
          <cell r="E1441">
            <v>136651</v>
          </cell>
          <cell r="F1441">
            <v>103071.917038563</v>
          </cell>
          <cell r="G1441">
            <v>5.9034841409342537E-2</v>
          </cell>
          <cell r="I1441" t="str">
            <v>NC</v>
          </cell>
          <cell r="J1441" t="str">
            <v>Med</v>
          </cell>
          <cell r="K1441">
            <v>50799.666666666664</v>
          </cell>
        </row>
        <row r="1442">
          <cell r="C1442">
            <v>2157528.4508368801</v>
          </cell>
          <cell r="D1442">
            <v>0.74529055235156105</v>
          </cell>
          <cell r="E1442">
            <v>159386</v>
          </cell>
          <cell r="F1442">
            <v>118788.879977106</v>
          </cell>
          <cell r="G1442">
            <v>5.5057851001236703E-2</v>
          </cell>
          <cell r="I1442" t="str">
            <v>NC</v>
          </cell>
          <cell r="J1442" t="str">
            <v>Med</v>
          </cell>
          <cell r="K1442">
            <v>70973</v>
          </cell>
        </row>
        <row r="1443">
          <cell r="C1443">
            <v>2029943.8981562101</v>
          </cell>
          <cell r="D1443">
            <v>0.71531348873800205</v>
          </cell>
          <cell r="E1443">
            <v>170232</v>
          </cell>
          <cell r="F1443">
            <v>121769.24581484799</v>
          </cell>
          <cell r="G1443">
            <v>5.9986507964801643E-2</v>
          </cell>
          <cell r="I1443" t="str">
            <v>NC</v>
          </cell>
          <cell r="J1443" t="str">
            <v>Med</v>
          </cell>
          <cell r="K1443">
            <v>63975.666666666664</v>
          </cell>
        </row>
        <row r="1444">
          <cell r="C1444">
            <v>1985370.4454169699</v>
          </cell>
          <cell r="D1444">
            <v>0.73239837695805199</v>
          </cell>
          <cell r="E1444">
            <v>166008</v>
          </cell>
          <cell r="F1444">
            <v>121583.98976205201</v>
          </cell>
          <cell r="G1444">
            <v>6.1239951487500249E-2</v>
          </cell>
          <cell r="I1444" t="str">
            <v>NC</v>
          </cell>
          <cell r="J1444" t="str">
            <v>Med</v>
          </cell>
          <cell r="K1444">
            <v>59053.666666666664</v>
          </cell>
        </row>
        <row r="1445">
          <cell r="C1445">
            <v>1626536.7619692199</v>
          </cell>
          <cell r="D1445">
            <v>0.69938678236162499</v>
          </cell>
          <cell r="E1445">
            <v>174318</v>
          </cell>
          <cell r="F1445">
            <v>121915.705127714</v>
          </cell>
          <cell r="G1445">
            <v>7.495416517983447E-2</v>
          </cell>
          <cell r="I1445" t="str">
            <v>NC</v>
          </cell>
          <cell r="J1445" t="str">
            <v>Low</v>
          </cell>
          <cell r="K1445">
            <v>35528.333333333336</v>
          </cell>
        </row>
        <row r="1446">
          <cell r="C1446">
            <v>2324459.50912575</v>
          </cell>
          <cell r="D1446">
            <v>0.73174193700454404</v>
          </cell>
          <cell r="E1446">
            <v>174616</v>
          </cell>
          <cell r="F1446">
            <v>127773.850071985</v>
          </cell>
          <cell r="G1446">
            <v>5.4969273317237471E-2</v>
          </cell>
          <cell r="I1446" t="str">
            <v>NC</v>
          </cell>
          <cell r="J1446" t="str">
            <v>Med</v>
          </cell>
          <cell r="K1446">
            <v>86195.333333333328</v>
          </cell>
        </row>
        <row r="1447">
          <cell r="C1447">
            <v>2068270.8821244901</v>
          </cell>
          <cell r="D1447">
            <v>0.73232309475607604</v>
          </cell>
          <cell r="E1447">
            <v>140538</v>
          </cell>
          <cell r="F1447">
            <v>102919.22309082899</v>
          </cell>
          <cell r="G1447">
            <v>4.9760997933265029E-2</v>
          </cell>
          <cell r="I1447" t="str">
            <v>NC</v>
          </cell>
          <cell r="J1447" t="str">
            <v>No Data</v>
          </cell>
          <cell r="K1447">
            <v>0</v>
          </cell>
        </row>
        <row r="1448">
          <cell r="C1448">
            <v>2316685.77754422</v>
          </cell>
          <cell r="D1448">
            <v>0.74813222349767705</v>
          </cell>
          <cell r="E1448">
            <v>155495</v>
          </cell>
          <cell r="F1448">
            <v>116330.820092771</v>
          </cell>
          <cell r="G1448">
            <v>5.0214328253047051E-2</v>
          </cell>
          <cell r="I1448" t="str">
            <v>NC</v>
          </cell>
          <cell r="J1448" t="str">
            <v>Med</v>
          </cell>
          <cell r="K1448">
            <v>84558.333333333328</v>
          </cell>
        </row>
        <row r="1449">
          <cell r="C1449">
            <v>2172718.36553293</v>
          </cell>
          <cell r="D1449">
            <v>0.69226706506111702</v>
          </cell>
          <cell r="E1449">
            <v>173429</v>
          </cell>
          <cell r="F1449">
            <v>120059.18482648399</v>
          </cell>
          <cell r="G1449">
            <v>5.5257591932323713E-2</v>
          </cell>
          <cell r="I1449" t="str">
            <v>NC</v>
          </cell>
          <cell r="J1449" t="str">
            <v>No Data</v>
          </cell>
          <cell r="K1449">
            <v>0</v>
          </cell>
        </row>
        <row r="1450">
          <cell r="C1450">
            <v>2235123.9757453501</v>
          </cell>
          <cell r="D1450">
            <v>0.77465187873784502</v>
          </cell>
          <cell r="E1450">
            <v>154615</v>
          </cell>
          <cell r="F1450">
            <v>119772.800231052</v>
          </cell>
          <cell r="G1450">
            <v>5.3586647331771015E-2</v>
          </cell>
          <cell r="I1450" t="str">
            <v>NC</v>
          </cell>
          <cell r="J1450" t="str">
            <v>Med</v>
          </cell>
          <cell r="K1450">
            <v>74214</v>
          </cell>
        </row>
        <row r="1451">
          <cell r="C1451">
            <v>1943677.08600449</v>
          </cell>
          <cell r="D1451">
            <v>0.74423327161152297</v>
          </cell>
          <cell r="E1451">
            <v>154135</v>
          </cell>
          <cell r="F1451">
            <v>114712.39531984201</v>
          </cell>
          <cell r="G1451">
            <v>5.9018237209170356E-2</v>
          </cell>
          <cell r="I1451" t="str">
            <v>NC</v>
          </cell>
          <cell r="J1451" t="str">
            <v>Med</v>
          </cell>
          <cell r="K1451">
            <v>58817</v>
          </cell>
        </row>
        <row r="1452">
          <cell r="C1452">
            <v>2212084.9233340202</v>
          </cell>
          <cell r="D1452">
            <v>0.72533156366860096</v>
          </cell>
          <cell r="E1452">
            <v>173939</v>
          </cell>
          <cell r="F1452">
            <v>126163.446852953</v>
          </cell>
          <cell r="G1452">
            <v>5.7033726654038851E-2</v>
          </cell>
          <cell r="I1452" t="str">
            <v>NC</v>
          </cell>
          <cell r="J1452" t="str">
            <v>No Data</v>
          </cell>
          <cell r="K1452">
            <v>0</v>
          </cell>
        </row>
        <row r="1453">
          <cell r="C1453">
            <v>1793063.4701179599</v>
          </cell>
          <cell r="D1453">
            <v>0.69253200502597601</v>
          </cell>
          <cell r="E1453">
            <v>168162</v>
          </cell>
          <cell r="F1453">
            <v>116457.567029178</v>
          </cell>
          <cell r="G1453">
            <v>6.4948937374490506E-2</v>
          </cell>
          <cell r="I1453" t="str">
            <v>NC</v>
          </cell>
          <cell r="J1453" t="str">
            <v>Med</v>
          </cell>
          <cell r="K1453">
            <v>47637.333333333336</v>
          </cell>
        </row>
        <row r="1454">
          <cell r="C1454">
            <v>2142570.3853368098</v>
          </cell>
          <cell r="D1454">
            <v>0.74034700058213199</v>
          </cell>
          <cell r="E1454">
            <v>172960</v>
          </cell>
          <cell r="F1454">
            <v>128050.41722068599</v>
          </cell>
          <cell r="G1454">
            <v>5.9764859113627958E-2</v>
          </cell>
          <cell r="I1454" t="str">
            <v>NC</v>
          </cell>
          <cell r="J1454" t="str">
            <v>Med</v>
          </cell>
          <cell r="K1454">
            <v>69341.666666666672</v>
          </cell>
        </row>
        <row r="1455">
          <cell r="C1455">
            <v>2344304.7075892598</v>
          </cell>
          <cell r="D1455">
            <v>0.71448707211840401</v>
          </cell>
          <cell r="E1455">
            <v>147321</v>
          </cell>
          <cell r="F1455">
            <v>105258.949951555</v>
          </cell>
          <cell r="G1455">
            <v>4.4899858627932755E-2</v>
          </cell>
          <cell r="I1455" t="str">
            <v>NC</v>
          </cell>
          <cell r="J1455" t="str">
            <v>Med</v>
          </cell>
          <cell r="K1455">
            <v>85208</v>
          </cell>
        </row>
        <row r="1456">
          <cell r="C1456">
            <v>1812644.4249932601</v>
          </cell>
          <cell r="D1456">
            <v>0.76304702862357099</v>
          </cell>
          <cell r="E1456">
            <v>172575</v>
          </cell>
          <cell r="F1456">
            <v>131682.84096471299</v>
          </cell>
          <cell r="G1456">
            <v>7.2646813213354089E-2</v>
          </cell>
          <cell r="I1456" t="str">
            <v>NC</v>
          </cell>
          <cell r="J1456" t="str">
            <v>Low</v>
          </cell>
          <cell r="K1456">
            <v>32777.666666666664</v>
          </cell>
        </row>
        <row r="1457">
          <cell r="C1457">
            <v>2178491.2139098598</v>
          </cell>
          <cell r="D1457">
            <v>0.72827122819462098</v>
          </cell>
          <cell r="E1457">
            <v>198562</v>
          </cell>
          <cell r="F1457">
            <v>144606.99161278</v>
          </cell>
          <cell r="G1457">
            <v>6.6379423836759821E-2</v>
          </cell>
          <cell r="I1457" t="str">
            <v>NC</v>
          </cell>
          <cell r="J1457" t="str">
            <v>Med</v>
          </cell>
          <cell r="K1457">
            <v>60623.333333333336</v>
          </cell>
        </row>
        <row r="1458">
          <cell r="C1458">
            <v>2217471.3953885199</v>
          </cell>
          <cell r="D1458">
            <v>0.74898898856041296</v>
          </cell>
          <cell r="E1458">
            <v>188965</v>
          </cell>
          <cell r="F1458">
            <v>141532.704223318</v>
          </cell>
          <cell r="G1458">
            <v>6.3826169085044848E-2</v>
          </cell>
          <cell r="I1458" t="str">
            <v>NC</v>
          </cell>
          <cell r="J1458" t="str">
            <v>Med</v>
          </cell>
          <cell r="K1458">
            <v>58152.666666666664</v>
          </cell>
        </row>
        <row r="1459">
          <cell r="C1459">
            <v>2121967.6884994199</v>
          </cell>
          <cell r="D1459">
            <v>0.74425192220384195</v>
          </cell>
          <cell r="E1459">
            <v>177337</v>
          </cell>
          <cell r="F1459">
            <v>131983.40312786301</v>
          </cell>
          <cell r="G1459">
            <v>6.2198592298640033E-2</v>
          </cell>
          <cell r="I1459" t="str">
            <v>NC</v>
          </cell>
          <cell r="J1459" t="str">
            <v>Med</v>
          </cell>
          <cell r="K1459">
            <v>54296</v>
          </cell>
        </row>
        <row r="1460">
          <cell r="C1460">
            <v>1965339.82841407</v>
          </cell>
          <cell r="D1460">
            <v>0.74301858603447901</v>
          </cell>
          <cell r="E1460">
            <v>165636</v>
          </cell>
          <cell r="F1460">
            <v>123070.62651640701</v>
          </cell>
          <cell r="G1460">
            <v>6.2620532458103589E-2</v>
          </cell>
          <cell r="I1460" t="str">
            <v>NC</v>
          </cell>
          <cell r="J1460" t="str">
            <v>Med</v>
          </cell>
          <cell r="K1460">
            <v>50799.666666666664</v>
          </cell>
        </row>
        <row r="1461">
          <cell r="C1461">
            <v>2356217.4673995902</v>
          </cell>
          <cell r="D1461">
            <v>0.76268923648583797</v>
          </cell>
          <cell r="E1461">
            <v>177900</v>
          </cell>
          <cell r="F1461">
            <v>135682.41517083099</v>
          </cell>
          <cell r="G1461">
            <v>5.7584843949304555E-2</v>
          </cell>
          <cell r="I1461" t="str">
            <v>NC</v>
          </cell>
          <cell r="J1461" t="str">
            <v>Med</v>
          </cell>
          <cell r="K1461">
            <v>70973</v>
          </cell>
        </row>
        <row r="1462">
          <cell r="C1462">
            <v>2241007.1507664602</v>
          </cell>
          <cell r="D1462">
            <v>0.72683103228936496</v>
          </cell>
          <cell r="E1462">
            <v>193590</v>
          </cell>
          <cell r="F1462">
            <v>140707.21954089799</v>
          </cell>
          <cell r="G1462">
            <v>6.278749244185762E-2</v>
          </cell>
          <cell r="I1462" t="str">
            <v>NC</v>
          </cell>
          <cell r="J1462" t="str">
            <v>Med</v>
          </cell>
          <cell r="K1462">
            <v>63975.666666666664</v>
          </cell>
        </row>
        <row r="1463">
          <cell r="C1463">
            <v>2183983.9999844399</v>
          </cell>
          <cell r="D1463">
            <v>0.75744600456811995</v>
          </cell>
          <cell r="E1463">
            <v>183201</v>
          </cell>
          <cell r="F1463">
            <v>138764.86548288399</v>
          </cell>
          <cell r="G1463">
            <v>6.3537491796584883E-2</v>
          </cell>
          <cell r="I1463" t="str">
            <v>NC</v>
          </cell>
          <cell r="J1463" t="str">
            <v>Med</v>
          </cell>
          <cell r="K1463">
            <v>59053.666666666664</v>
          </cell>
        </row>
        <row r="1464">
          <cell r="C1464">
            <v>1788491.2298042499</v>
          </cell>
          <cell r="D1464">
            <v>0.69227297276080002</v>
          </cell>
          <cell r="E1464">
            <v>205751</v>
          </cell>
          <cell r="F1464">
            <v>142435.856418507</v>
          </cell>
          <cell r="G1464">
            <v>7.964023197032763E-2</v>
          </cell>
          <cell r="I1464" t="str">
            <v>NC</v>
          </cell>
          <cell r="J1464" t="str">
            <v>Low</v>
          </cell>
          <cell r="K1464">
            <v>35528.333333333336</v>
          </cell>
        </row>
        <row r="1465">
          <cell r="C1465">
            <v>2621510.1963490201</v>
          </cell>
          <cell r="D1465">
            <v>0.713596414953522</v>
          </cell>
          <cell r="E1465">
            <v>203712</v>
          </cell>
          <cell r="F1465">
            <v>145368.15288301199</v>
          </cell>
          <cell r="G1465">
            <v>5.5452064647876012E-2</v>
          </cell>
          <cell r="I1465" t="str">
            <v>NC</v>
          </cell>
          <cell r="J1465" t="str">
            <v>Med</v>
          </cell>
          <cell r="K1465">
            <v>86195.333333333328</v>
          </cell>
        </row>
        <row r="1466">
          <cell r="C1466">
            <v>2323949.7334002899</v>
          </cell>
          <cell r="D1466">
            <v>0.75165483798657096</v>
          </cell>
          <cell r="E1466">
            <v>164353</v>
          </cell>
          <cell r="F1466">
            <v>123536.72758760701</v>
          </cell>
          <cell r="G1466">
            <v>5.3158089356284868E-2</v>
          </cell>
          <cell r="I1466" t="str">
            <v>NC</v>
          </cell>
          <cell r="J1466" t="str">
            <v>No Data</v>
          </cell>
          <cell r="K1466">
            <v>0</v>
          </cell>
        </row>
        <row r="1467">
          <cell r="C1467">
            <v>2631308.2381177698</v>
          </cell>
          <cell r="D1467">
            <v>0.74584698483678802</v>
          </cell>
          <cell r="E1467">
            <v>187544</v>
          </cell>
          <cell r="F1467">
            <v>139879.12692423101</v>
          </cell>
          <cell r="G1467">
            <v>5.315953672698167E-2</v>
          </cell>
          <cell r="I1467" t="str">
            <v>NC</v>
          </cell>
          <cell r="J1467" t="str">
            <v>Med</v>
          </cell>
          <cell r="K1467">
            <v>84558.333333333328</v>
          </cell>
        </row>
        <row r="1468">
          <cell r="C1468">
            <v>2432531.46193342</v>
          </cell>
          <cell r="D1468">
            <v>0.69321775757070303</v>
          </cell>
          <cell r="E1468">
            <v>197738</v>
          </cell>
          <cell r="F1468">
            <v>137075.49294651599</v>
          </cell>
          <cell r="G1468">
            <v>5.635096404367404E-2</v>
          </cell>
          <cell r="I1468" t="str">
            <v>NC</v>
          </cell>
          <cell r="J1468" t="str">
            <v>No Data</v>
          </cell>
          <cell r="K1468">
            <v>0</v>
          </cell>
        </row>
        <row r="1469">
          <cell r="C1469">
            <v>2488060.6968449401</v>
          </cell>
          <cell r="D1469">
            <v>0.75087175127830097</v>
          </cell>
          <cell r="E1469">
            <v>190494</v>
          </cell>
          <cell r="F1469">
            <v>143036.563388009</v>
          </cell>
          <cell r="G1469">
            <v>5.7489177643210557E-2</v>
          </cell>
          <cell r="I1469" t="str">
            <v>NC</v>
          </cell>
          <cell r="J1469" t="str">
            <v>Med</v>
          </cell>
          <cell r="K1469">
            <v>74214</v>
          </cell>
        </row>
        <row r="1470">
          <cell r="C1470">
            <v>2174133.4497342799</v>
          </cell>
          <cell r="D1470">
            <v>0.75477312356408799</v>
          </cell>
          <cell r="E1470">
            <v>183572</v>
          </cell>
          <cell r="F1470">
            <v>138555.21183890701</v>
          </cell>
          <cell r="G1470">
            <v>6.3728936168035627E-2</v>
          </cell>
          <cell r="I1470" t="str">
            <v>NC</v>
          </cell>
          <cell r="J1470" t="str">
            <v>Med</v>
          </cell>
          <cell r="K1470">
            <v>58817</v>
          </cell>
        </row>
        <row r="1471">
          <cell r="C1471">
            <v>2417270.1798916301</v>
          </cell>
          <cell r="D1471">
            <v>0.69396747019539995</v>
          </cell>
          <cell r="E1471">
            <v>209732</v>
          </cell>
          <cell r="F1471">
            <v>145547.185459022</v>
          </cell>
          <cell r="G1471">
            <v>6.0211385003536143E-2</v>
          </cell>
          <cell r="I1471" t="str">
            <v>NC</v>
          </cell>
          <cell r="J1471" t="str">
            <v>No Data</v>
          </cell>
          <cell r="K1471">
            <v>0</v>
          </cell>
        </row>
        <row r="1472">
          <cell r="C1472">
            <v>2011282.69935803</v>
          </cell>
          <cell r="D1472">
            <v>0.69320672844818898</v>
          </cell>
          <cell r="E1472">
            <v>203127</v>
          </cell>
          <cell r="F1472">
            <v>140809.00312949499</v>
          </cell>
          <cell r="G1472">
            <v>7.0009553194306809E-2</v>
          </cell>
          <cell r="I1472" t="str">
            <v>NC</v>
          </cell>
          <cell r="J1472" t="str">
            <v>Med</v>
          </cell>
          <cell r="K1472">
            <v>47637.333333333336</v>
          </cell>
        </row>
        <row r="1473">
          <cell r="C1473">
            <v>2364985.3983249902</v>
          </cell>
          <cell r="D1473">
            <v>0.76485575760403002</v>
          </cell>
          <cell r="E1473">
            <v>189224</v>
          </cell>
          <cell r="F1473">
            <v>144729.065876865</v>
          </cell>
          <cell r="G1473">
            <v>6.1196600190161814E-2</v>
          </cell>
          <cell r="I1473" t="str">
            <v>NC</v>
          </cell>
          <cell r="J1473" t="str">
            <v>Med</v>
          </cell>
          <cell r="K1473">
            <v>69341.666666666672</v>
          </cell>
        </row>
        <row r="1474">
          <cell r="C1474">
            <v>2605664.4562695599</v>
          </cell>
          <cell r="D1474">
            <v>0.71130890853266104</v>
          </cell>
          <cell r="E1474">
            <v>176768</v>
          </cell>
          <cell r="F1474">
            <v>125736.653143501</v>
          </cell>
          <cell r="G1474">
            <v>4.8255120816098417E-2</v>
          </cell>
          <cell r="I1474" t="str">
            <v>NC</v>
          </cell>
          <cell r="J1474" t="str">
            <v>Med</v>
          </cell>
          <cell r="K1474">
            <v>85208</v>
          </cell>
        </row>
        <row r="1475">
          <cell r="C1475">
            <v>1885082.5421235401</v>
          </cell>
          <cell r="D1475">
            <v>0.75992544395251405</v>
          </cell>
          <cell r="E1475">
            <v>196781</v>
          </cell>
          <cell r="F1475">
            <v>149538.88878641999</v>
          </cell>
          <cell r="G1475">
            <v>7.9327501817487989E-2</v>
          </cell>
          <cell r="I1475" t="str">
            <v>NC</v>
          </cell>
          <cell r="J1475" t="str">
            <v>Low</v>
          </cell>
          <cell r="K1475">
            <v>32777.666666666664</v>
          </cell>
        </row>
        <row r="1476">
          <cell r="C1476">
            <v>2346717.2907668198</v>
          </cell>
          <cell r="D1476">
            <v>0.74074776151268495</v>
          </cell>
          <cell r="E1476">
            <v>232198</v>
          </cell>
          <cell r="F1476">
            <v>172000.148727722</v>
          </cell>
          <cell r="G1476">
            <v>7.3293936770508369E-2</v>
          </cell>
          <cell r="I1476" t="str">
            <v>NC</v>
          </cell>
          <cell r="J1476" t="str">
            <v>Med</v>
          </cell>
          <cell r="K1476">
            <v>60623.333333333336</v>
          </cell>
        </row>
        <row r="1477">
          <cell r="C1477">
            <v>2355171.7714270898</v>
          </cell>
          <cell r="D1477">
            <v>0.73412738440765102</v>
          </cell>
          <cell r="E1477">
            <v>225085</v>
          </cell>
          <cell r="F1477">
            <v>165241.06231939601</v>
          </cell>
          <cell r="G1477">
            <v>7.0160938715425433E-2</v>
          </cell>
          <cell r="I1477" t="str">
            <v>NC</v>
          </cell>
          <cell r="J1477" t="str">
            <v>Med</v>
          </cell>
          <cell r="K1477">
            <v>58152.666666666664</v>
          </cell>
        </row>
        <row r="1478">
          <cell r="C1478">
            <v>2220814.4825277301</v>
          </cell>
          <cell r="D1478">
            <v>0.73960676380087498</v>
          </cell>
          <cell r="E1478">
            <v>208498</v>
          </cell>
          <cell r="F1478">
            <v>154206.531038955</v>
          </cell>
          <cell r="G1478">
            <v>6.9436926070221408E-2</v>
          </cell>
          <cell r="I1478" t="str">
            <v>NC</v>
          </cell>
          <cell r="J1478" t="str">
            <v>Med</v>
          </cell>
          <cell r="K1478">
            <v>54296</v>
          </cell>
        </row>
        <row r="1479">
          <cell r="C1479">
            <v>2100897.1044205502</v>
          </cell>
          <cell r="D1479">
            <v>0.72590056296018901</v>
          </cell>
          <cell r="E1479">
            <v>205842</v>
          </cell>
          <cell r="F1479">
            <v>149420.823680851</v>
          </cell>
          <cell r="G1479">
            <v>7.1122390223895743E-2</v>
          </cell>
          <cell r="I1479" t="str">
            <v>NC</v>
          </cell>
          <cell r="J1479" t="str">
            <v>Med</v>
          </cell>
          <cell r="K1479">
            <v>50799.666666666664</v>
          </cell>
        </row>
        <row r="1480">
          <cell r="C1480">
            <v>2475672.9129299098</v>
          </cell>
          <cell r="D1480">
            <v>0.74517006619816994</v>
          </cell>
          <cell r="E1480">
            <v>212012</v>
          </cell>
          <cell r="F1480">
            <v>157984.99607480699</v>
          </cell>
          <cell r="G1480">
            <v>6.3814971375937904E-2</v>
          </cell>
          <cell r="I1480" t="str">
            <v>NC</v>
          </cell>
          <cell r="J1480" t="str">
            <v>Med</v>
          </cell>
          <cell r="K1480">
            <v>70973</v>
          </cell>
        </row>
        <row r="1481">
          <cell r="C1481">
            <v>2402100.4305661898</v>
          </cell>
          <cell r="D1481">
            <v>0.71800836910448496</v>
          </cell>
          <cell r="E1481">
            <v>229265</v>
          </cell>
          <cell r="F1481">
            <v>164614.18874273999</v>
          </cell>
          <cell r="G1481">
            <v>6.8529269903981255E-2</v>
          </cell>
          <cell r="I1481" t="str">
            <v>NC</v>
          </cell>
          <cell r="J1481" t="str">
            <v>Med</v>
          </cell>
          <cell r="K1481">
            <v>63975.666666666664</v>
          </cell>
        </row>
        <row r="1482">
          <cell r="C1482">
            <v>2340093.4599830802</v>
          </cell>
          <cell r="D1482">
            <v>0.74313915471272296</v>
          </cell>
          <cell r="E1482">
            <v>221632</v>
          </cell>
          <cell r="F1482">
            <v>164703.41713729</v>
          </cell>
          <cell r="G1482">
            <v>7.038326458058683E-2</v>
          </cell>
          <cell r="I1482" t="str">
            <v>NC</v>
          </cell>
          <cell r="J1482" t="str">
            <v>Med</v>
          </cell>
          <cell r="K1482">
            <v>59053.666666666664</v>
          </cell>
        </row>
        <row r="1483">
          <cell r="C1483">
            <v>1924596.08803641</v>
          </cell>
          <cell r="D1483">
            <v>0.71459237147910004</v>
          </cell>
          <cell r="E1483">
            <v>228822</v>
          </cell>
          <cell r="F1483">
            <v>163514.45562659099</v>
          </cell>
          <cell r="G1483">
            <v>8.4960401116380938E-2</v>
          </cell>
          <cell r="I1483" t="str">
            <v>NC</v>
          </cell>
          <cell r="J1483" t="str">
            <v>Low</v>
          </cell>
          <cell r="K1483">
            <v>35528.333333333336</v>
          </cell>
        </row>
        <row r="1484">
          <cell r="C1484">
            <v>2787908.2949903701</v>
          </cell>
          <cell r="D1484">
            <v>0.70824010326040099</v>
          </cell>
          <cell r="E1484">
            <v>243985</v>
          </cell>
          <cell r="F1484">
            <v>172799.96159398899</v>
          </cell>
          <cell r="G1484">
            <v>6.1981938898239788E-2</v>
          </cell>
          <cell r="I1484" t="str">
            <v>NC</v>
          </cell>
          <cell r="J1484" t="str">
            <v>Med</v>
          </cell>
          <cell r="K1484">
            <v>86195.333333333328</v>
          </cell>
        </row>
        <row r="1485">
          <cell r="C1485">
            <v>2486570.9411148001</v>
          </cell>
          <cell r="D1485">
            <v>0.71589130411435198</v>
          </cell>
          <cell r="E1485">
            <v>204525</v>
          </cell>
          <cell r="F1485">
            <v>146417.66897398801</v>
          </cell>
          <cell r="G1485">
            <v>5.8883366870017724E-2</v>
          </cell>
          <cell r="I1485" t="str">
            <v>NC</v>
          </cell>
          <cell r="J1485" t="str">
            <v>No Data</v>
          </cell>
          <cell r="K1485">
            <v>0</v>
          </cell>
        </row>
        <row r="1486">
          <cell r="C1486">
            <v>2749480.8587274598</v>
          </cell>
          <cell r="D1486">
            <v>0.758849186336647</v>
          </cell>
          <cell r="E1486">
            <v>215055</v>
          </cell>
          <cell r="F1486">
            <v>163194.31176762801</v>
          </cell>
          <cell r="G1486">
            <v>5.9354590976552248E-2</v>
          </cell>
          <cell r="I1486" t="str">
            <v>NC</v>
          </cell>
          <cell r="J1486" t="str">
            <v>Med</v>
          </cell>
          <cell r="K1486">
            <v>84558.333333333328</v>
          </cell>
        </row>
        <row r="1487">
          <cell r="C1487">
            <v>2552798.5592992902</v>
          </cell>
          <cell r="D1487">
            <v>0.70935838980959998</v>
          </cell>
          <cell r="E1487">
            <v>228730</v>
          </cell>
          <cell r="F1487">
            <v>162251.54450115</v>
          </cell>
          <cell r="G1487">
            <v>6.3558303067080199E-2</v>
          </cell>
          <cell r="I1487" t="str">
            <v>NC</v>
          </cell>
          <cell r="J1487" t="str">
            <v>No Data</v>
          </cell>
          <cell r="K1487">
            <v>0</v>
          </cell>
        </row>
        <row r="1488">
          <cell r="C1488">
            <v>2564753.2235075799</v>
          </cell>
          <cell r="D1488">
            <v>0.758540851783573</v>
          </cell>
          <cell r="E1488">
            <v>215587</v>
          </cell>
          <cell r="F1488">
            <v>163531.54661346501</v>
          </cell>
          <cell r="G1488">
            <v>6.3761123337167616E-2</v>
          </cell>
          <cell r="I1488" t="str">
            <v>NC</v>
          </cell>
          <cell r="J1488" t="str">
            <v>Med</v>
          </cell>
          <cell r="K1488">
            <v>74214</v>
          </cell>
        </row>
        <row r="1489">
          <cell r="C1489">
            <v>2330510.8278832799</v>
          </cell>
          <cell r="D1489">
            <v>0.76405339335236999</v>
          </cell>
          <cell r="E1489">
            <v>211670</v>
          </cell>
          <cell r="F1489">
            <v>161727.18177089599</v>
          </cell>
          <cell r="G1489">
            <v>6.9395593376318718E-2</v>
          </cell>
          <cell r="I1489" t="str">
            <v>NC</v>
          </cell>
          <cell r="J1489" t="str">
            <v>Med</v>
          </cell>
          <cell r="K1489">
            <v>58817</v>
          </cell>
        </row>
        <row r="1490">
          <cell r="C1490">
            <v>2582378.64511284</v>
          </cell>
          <cell r="D1490">
            <v>0.71705559680443798</v>
          </cell>
          <cell r="E1490">
            <v>242880</v>
          </cell>
          <cell r="F1490">
            <v>174158.46335186201</v>
          </cell>
          <cell r="G1490">
            <v>6.7441102675418058E-2</v>
          </cell>
          <cell r="I1490" t="str">
            <v>NC</v>
          </cell>
          <cell r="J1490" t="str">
            <v>No Data</v>
          </cell>
          <cell r="K1490">
            <v>0</v>
          </cell>
        </row>
        <row r="1491">
          <cell r="C1491">
            <v>2067907.2413047201</v>
          </cell>
          <cell r="D1491">
            <v>0.70343670154847604</v>
          </cell>
          <cell r="E1491">
            <v>222658</v>
          </cell>
          <cell r="F1491">
            <v>156625.80909338099</v>
          </cell>
          <cell r="G1491">
            <v>7.5741216029864042E-2</v>
          </cell>
          <cell r="I1491" t="str">
            <v>NC</v>
          </cell>
          <cell r="J1491" t="str">
            <v>Med</v>
          </cell>
          <cell r="K1491">
            <v>47637.333333333336</v>
          </cell>
        </row>
        <row r="1492">
          <cell r="C1492">
            <v>2490328.2264544498</v>
          </cell>
          <cell r="D1492">
            <v>0.72950224156743204</v>
          </cell>
          <cell r="E1492">
            <v>234665</v>
          </cell>
          <cell r="F1492">
            <v>171188.64351742101</v>
          </cell>
          <cell r="G1492">
            <v>6.8741397900447476E-2</v>
          </cell>
          <cell r="I1492" t="str">
            <v>NC</v>
          </cell>
          <cell r="J1492" t="str">
            <v>Med</v>
          </cell>
          <cell r="K1492">
            <v>69341.666666666672</v>
          </cell>
        </row>
        <row r="1493">
          <cell r="C1493">
            <v>2744097.7532375199</v>
          </cell>
          <cell r="D1493">
            <v>0.69817564392024001</v>
          </cell>
          <cell r="E1493">
            <v>210373</v>
          </cell>
          <cell r="F1493">
            <v>146877.30473843301</v>
          </cell>
          <cell r="G1493">
            <v>5.3524807767924953E-2</v>
          </cell>
          <cell r="I1493" t="str">
            <v>NC</v>
          </cell>
          <cell r="J1493" t="str">
            <v>Med</v>
          </cell>
          <cell r="K1493">
            <v>85208</v>
          </cell>
        </row>
        <row r="1494">
          <cell r="C1494">
            <v>1933616.9724155599</v>
          </cell>
          <cell r="D1494">
            <v>0.76424542535761497</v>
          </cell>
          <cell r="E1494">
            <v>204053</v>
          </cell>
          <cell r="F1494">
            <v>155946.571780497</v>
          </cell>
          <cell r="G1494">
            <v>8.0650187707900417E-2</v>
          </cell>
          <cell r="I1494" t="str">
            <v>NC</v>
          </cell>
          <cell r="J1494" t="str">
            <v>Low</v>
          </cell>
          <cell r="K1494">
            <v>32777.666666666664</v>
          </cell>
        </row>
        <row r="1495">
          <cell r="C1495">
            <v>2433981.80366342</v>
          </cell>
          <cell r="D1495">
            <v>0.69875787471775097</v>
          </cell>
          <cell r="E1495">
            <v>272182</v>
          </cell>
          <cell r="F1495">
            <v>190189.31585642701</v>
          </cell>
          <cell r="G1495">
            <v>7.8139169146692222E-2</v>
          </cell>
          <cell r="I1495" t="str">
            <v>NC</v>
          </cell>
          <cell r="J1495" t="str">
            <v>Med</v>
          </cell>
          <cell r="K1495">
            <v>60623.333333333336</v>
          </cell>
        </row>
        <row r="1496">
          <cell r="C1496">
            <v>2416763.0065573002</v>
          </cell>
          <cell r="D1496">
            <v>0.76675724765361497</v>
          </cell>
          <cell r="E1496">
            <v>225039</v>
          </cell>
          <cell r="F1496">
            <v>172550.28425472201</v>
          </cell>
          <cell r="G1496">
            <v>7.1397271385960748E-2</v>
          </cell>
          <cell r="I1496" t="str">
            <v>NC</v>
          </cell>
          <cell r="J1496" t="str">
            <v>Med</v>
          </cell>
          <cell r="K1496">
            <v>58152.666666666664</v>
          </cell>
        </row>
        <row r="1497">
          <cell r="C1497">
            <v>2349579.7446723399</v>
          </cell>
          <cell r="D1497">
            <v>0.72578932371224703</v>
          </cell>
          <cell r="E1497">
            <v>235099</v>
          </cell>
          <cell r="F1497">
            <v>170632.34421542499</v>
          </cell>
          <cell r="G1497">
            <v>7.2622495406820295E-2</v>
          </cell>
          <cell r="I1497" t="str">
            <v>NC</v>
          </cell>
          <cell r="J1497" t="str">
            <v>Med</v>
          </cell>
          <cell r="K1497">
            <v>54296</v>
          </cell>
        </row>
        <row r="1498">
          <cell r="C1498">
            <v>2182783.5937495101</v>
          </cell>
          <cell r="D1498">
            <v>0.71589043667363805</v>
          </cell>
          <cell r="E1498">
            <v>222744</v>
          </cell>
          <cell r="F1498">
            <v>159460.29942643299</v>
          </cell>
          <cell r="G1498">
            <v>7.3053645759045494E-2</v>
          </cell>
          <cell r="I1498" t="str">
            <v>NC</v>
          </cell>
          <cell r="J1498" t="str">
            <v>Med</v>
          </cell>
          <cell r="K1498">
            <v>50799.666666666664</v>
          </cell>
        </row>
        <row r="1499">
          <cell r="C1499">
            <v>2616695.7012588298</v>
          </cell>
          <cell r="D1499">
            <v>0.72839723311847204</v>
          </cell>
          <cell r="E1499">
            <v>239008</v>
          </cell>
          <cell r="F1499">
            <v>174092.76589318001</v>
          </cell>
          <cell r="G1499">
            <v>6.6531528984982144E-2</v>
          </cell>
          <cell r="I1499" t="str">
            <v>NC</v>
          </cell>
          <cell r="J1499" t="str">
            <v>Med</v>
          </cell>
          <cell r="K1499">
            <v>70973</v>
          </cell>
        </row>
        <row r="1500">
          <cell r="C1500">
            <v>2508190.4614753998</v>
          </cell>
          <cell r="D1500">
            <v>0.70423072808129805</v>
          </cell>
          <cell r="E1500">
            <v>259913</v>
          </cell>
          <cell r="F1500">
            <v>183038.72122779401</v>
          </cell>
          <cell r="G1500">
            <v>7.2976404319839663E-2</v>
          </cell>
          <cell r="I1500" t="str">
            <v>NC</v>
          </cell>
          <cell r="J1500" t="str">
            <v>Med</v>
          </cell>
          <cell r="K1500">
            <v>63975.666666666664</v>
          </cell>
        </row>
        <row r="1501">
          <cell r="C1501">
            <v>2467756.2630356001</v>
          </cell>
          <cell r="D1501">
            <v>0.74078022147035705</v>
          </cell>
          <cell r="E1501">
            <v>246707</v>
          </cell>
          <cell r="F1501">
            <v>182755.66609828701</v>
          </cell>
          <cell r="G1501">
            <v>7.4057421648878033E-2</v>
          </cell>
          <cell r="I1501" t="str">
            <v>NC</v>
          </cell>
          <cell r="J1501" t="str">
            <v>Med</v>
          </cell>
          <cell r="K1501">
            <v>59053.666666666664</v>
          </cell>
        </row>
        <row r="1502">
          <cell r="C1502">
            <v>1987203.5624788599</v>
          </cell>
          <cell r="D1502">
            <v>0.68750231959403996</v>
          </cell>
          <cell r="E1502">
            <v>267309</v>
          </cell>
          <cell r="F1502">
            <v>183775.55754836299</v>
          </cell>
          <cell r="G1502">
            <v>9.2479482735588148E-2</v>
          </cell>
          <cell r="I1502" t="str">
            <v>NC</v>
          </cell>
          <cell r="J1502" t="str">
            <v>Low</v>
          </cell>
          <cell r="K1502">
            <v>35528.333333333336</v>
          </cell>
        </row>
        <row r="1503">
          <cell r="C1503">
            <v>2885546.8273830302</v>
          </cell>
          <cell r="D1503">
            <v>0.68420991928109098</v>
          </cell>
          <cell r="E1503">
            <v>275044</v>
          </cell>
          <cell r="F1503">
            <v>188187.83303874801</v>
          </cell>
          <cell r="G1503">
            <v>6.5217390081109841E-2</v>
          </cell>
          <cell r="I1503" t="str">
            <v>NC</v>
          </cell>
          <cell r="J1503" t="str">
            <v>Med</v>
          </cell>
          <cell r="K1503">
            <v>86195.333333333328</v>
          </cell>
        </row>
        <row r="1504">
          <cell r="C1504">
            <v>2629893.8873753301</v>
          </cell>
          <cell r="D1504">
            <v>0.73546871043440598</v>
          </cell>
          <cell r="E1504">
            <v>219764</v>
          </cell>
          <cell r="F1504">
            <v>161629.54567990699</v>
          </cell>
          <cell r="G1504">
            <v>6.1458580688673901E-2</v>
          </cell>
          <cell r="I1504" t="str">
            <v>NC</v>
          </cell>
          <cell r="J1504" t="str">
            <v>No Data</v>
          </cell>
          <cell r="K1504">
            <v>0</v>
          </cell>
        </row>
        <row r="1505">
          <cell r="C1505">
            <v>2884856.5286866301</v>
          </cell>
          <cell r="D1505">
            <v>0.72959190301183596</v>
          </cell>
          <cell r="E1505">
            <v>246450</v>
          </cell>
          <cell r="F1505">
            <v>179807.924497267</v>
          </cell>
          <cell r="G1505">
            <v>6.2328203399122588E-2</v>
          </cell>
          <cell r="I1505" t="str">
            <v>NC</v>
          </cell>
          <cell r="J1505" t="str">
            <v>Med</v>
          </cell>
          <cell r="K1505">
            <v>84558.333333333328</v>
          </cell>
        </row>
        <row r="1506">
          <cell r="C1506">
            <v>2622192.61680621</v>
          </cell>
          <cell r="D1506">
            <v>0.67017180694351397</v>
          </cell>
          <cell r="E1506">
            <v>260884</v>
          </cell>
          <cell r="F1506">
            <v>174837.10168265199</v>
          </cell>
          <cell r="G1506">
            <v>6.6675918680451807E-2</v>
          </cell>
          <cell r="I1506" t="str">
            <v>NC</v>
          </cell>
          <cell r="J1506" t="str">
            <v>No Data</v>
          </cell>
          <cell r="K1506">
            <v>0</v>
          </cell>
        </row>
        <row r="1507">
          <cell r="C1507">
            <v>2666159.4882142199</v>
          </cell>
          <cell r="D1507">
            <v>0.77239763922142302</v>
          </cell>
          <cell r="E1507">
            <v>230179</v>
          </cell>
          <cell r="F1507">
            <v>177789.716198348</v>
          </cell>
          <cell r="G1507">
            <v>6.6683826299315144E-2</v>
          </cell>
          <cell r="I1507" t="str">
            <v>NC</v>
          </cell>
          <cell r="J1507" t="str">
            <v>Med</v>
          </cell>
          <cell r="K1507">
            <v>74214</v>
          </cell>
        </row>
        <row r="1508">
          <cell r="C1508">
            <v>2421710.6023565801</v>
          </cell>
          <cell r="D1508">
            <v>0.71429848194630297</v>
          </cell>
          <cell r="E1508">
            <v>249607</v>
          </cell>
          <cell r="F1508">
            <v>178293.90118317099</v>
          </cell>
          <cell r="G1508">
            <v>7.3623124501198539E-2</v>
          </cell>
          <cell r="I1508" t="str">
            <v>NC</v>
          </cell>
          <cell r="J1508" t="str">
            <v>Med</v>
          </cell>
          <cell r="K1508">
            <v>58817</v>
          </cell>
        </row>
        <row r="1509">
          <cell r="C1509">
            <v>2748085.8456007498</v>
          </cell>
          <cell r="D1509">
            <v>0.71450058053144005</v>
          </cell>
          <cell r="E1509">
            <v>268588</v>
          </cell>
          <cell r="F1509">
            <v>191906.28192377801</v>
          </cell>
          <cell r="G1509">
            <v>6.9832710004670909E-2</v>
          </cell>
          <cell r="I1509" t="str">
            <v>NC</v>
          </cell>
          <cell r="J1509" t="str">
            <v>No Data</v>
          </cell>
          <cell r="K1509">
            <v>0</v>
          </cell>
        </row>
        <row r="1510">
          <cell r="C1510">
            <v>2197568.6221767799</v>
          </cell>
          <cell r="D1510">
            <v>0.69265949396215098</v>
          </cell>
          <cell r="E1510">
            <v>257679</v>
          </cell>
          <cell r="F1510">
            <v>178483.80574467301</v>
          </cell>
          <cell r="G1510">
            <v>8.1218763292987703E-2</v>
          </cell>
          <cell r="I1510" t="str">
            <v>NC</v>
          </cell>
          <cell r="J1510" t="str">
            <v>Med</v>
          </cell>
          <cell r="K1510">
            <v>47637.333333333336</v>
          </cell>
        </row>
        <row r="1511">
          <cell r="C1511">
            <v>2662616.4225483099</v>
          </cell>
          <cell r="D1511">
            <v>0.72885029984007998</v>
          </cell>
          <cell r="E1511">
            <v>260913</v>
          </cell>
          <cell r="F1511">
            <v>190166.51828217501</v>
          </cell>
          <cell r="G1511">
            <v>7.1420921418404074E-2</v>
          </cell>
          <cell r="I1511" t="str">
            <v>NC</v>
          </cell>
          <cell r="J1511" t="str">
            <v>Med</v>
          </cell>
          <cell r="K1511">
            <v>69341.666666666672</v>
          </cell>
        </row>
        <row r="1512">
          <cell r="C1512">
            <v>2795164.1148769702</v>
          </cell>
          <cell r="D1512">
            <v>0.70047284845198698</v>
          </cell>
          <cell r="E1512">
            <v>225917</v>
          </cell>
          <cell r="F1512">
            <v>158248.72450372801</v>
          </cell>
          <cell r="G1512">
            <v>5.6615181792534337E-2</v>
          </cell>
          <cell r="I1512" t="str">
            <v>NC</v>
          </cell>
          <cell r="J1512" t="str">
            <v>Med</v>
          </cell>
          <cell r="K1512">
            <v>85208</v>
          </cell>
        </row>
        <row r="1513">
          <cell r="C1513">
            <v>1859505.1175898199</v>
          </cell>
          <cell r="D1513">
            <v>0.76041262177905999</v>
          </cell>
          <cell r="E1513">
            <v>219532</v>
          </cell>
          <cell r="F1513">
            <v>166934.90368440101</v>
          </cell>
          <cell r="G1513">
            <v>8.9773833965443514E-2</v>
          </cell>
          <cell r="I1513" t="str">
            <v>NC</v>
          </cell>
          <cell r="J1513" t="str">
            <v>Low</v>
          </cell>
          <cell r="K1513">
            <v>32777.666666666664</v>
          </cell>
        </row>
        <row r="1514">
          <cell r="C1514">
            <v>2298496.6661177599</v>
          </cell>
          <cell r="D1514">
            <v>0.71588774186689497</v>
          </cell>
          <cell r="E1514">
            <v>271345</v>
          </cell>
          <cell r="F1514">
            <v>194252.559316873</v>
          </cell>
          <cell r="G1514">
            <v>8.4512874079983882E-2</v>
          </cell>
          <cell r="I1514" t="str">
            <v>NC</v>
          </cell>
          <cell r="J1514" t="str">
            <v>Med</v>
          </cell>
          <cell r="K1514">
            <v>60623.333333333336</v>
          </cell>
        </row>
        <row r="1515">
          <cell r="C1515">
            <v>2305923.9966115202</v>
          </cell>
          <cell r="D1515">
            <v>0.73332215535692702</v>
          </cell>
          <cell r="E1515">
            <v>248681</v>
          </cell>
          <cell r="F1515">
            <v>182363.28691631599</v>
          </cell>
          <cell r="G1515">
            <v>7.9084691075808594E-2</v>
          </cell>
          <cell r="I1515" t="str">
            <v>NC</v>
          </cell>
          <cell r="J1515" t="str">
            <v>Med</v>
          </cell>
          <cell r="K1515">
            <v>58152.666666666664</v>
          </cell>
        </row>
        <row r="1516">
          <cell r="C1516">
            <v>2234612.6155632399</v>
          </cell>
          <cell r="D1516">
            <v>0.73717602954586703</v>
          </cell>
          <cell r="E1516">
            <v>238693</v>
          </cell>
          <cell r="F1516">
            <v>175958.75802039201</v>
          </cell>
          <cell r="G1516">
            <v>7.8742398926285997E-2</v>
          </cell>
          <cell r="I1516" t="str">
            <v>NC</v>
          </cell>
          <cell r="J1516" t="str">
            <v>Med</v>
          </cell>
          <cell r="K1516">
            <v>54296</v>
          </cell>
        </row>
        <row r="1517">
          <cell r="C1517">
            <v>2055668.2086517799</v>
          </cell>
          <cell r="D1517">
            <v>0.72804123032315904</v>
          </cell>
          <cell r="E1517">
            <v>226712</v>
          </cell>
          <cell r="F1517">
            <v>165055.683409024</v>
          </cell>
          <cell r="G1517">
            <v>8.0292959104172057E-2</v>
          </cell>
          <cell r="I1517" t="str">
            <v>NC</v>
          </cell>
          <cell r="J1517" t="str">
            <v>Med</v>
          </cell>
          <cell r="K1517">
            <v>50799.666666666664</v>
          </cell>
        </row>
        <row r="1518">
          <cell r="C1518">
            <v>2511813.59633645</v>
          </cell>
          <cell r="D1518">
            <v>0.71491243819116002</v>
          </cell>
          <cell r="E1518">
            <v>256718</v>
          </cell>
          <cell r="F1518">
            <v>183530.89130755799</v>
          </cell>
          <cell r="G1518">
            <v>7.3067082515694201E-2</v>
          </cell>
          <cell r="I1518" t="str">
            <v>NC</v>
          </cell>
          <cell r="J1518" t="str">
            <v>Med</v>
          </cell>
          <cell r="K1518">
            <v>70973</v>
          </cell>
        </row>
        <row r="1519">
          <cell r="C1519">
            <v>2408091.3530916702</v>
          </cell>
          <cell r="D1519">
            <v>0.71657995645955697</v>
          </cell>
          <cell r="E1519">
            <v>266283</v>
          </cell>
          <cell r="F1519">
            <v>190813.06054591999</v>
          </cell>
          <cell r="G1519">
            <v>7.9238298123923454E-2</v>
          </cell>
          <cell r="I1519" t="str">
            <v>NC</v>
          </cell>
          <cell r="J1519" t="str">
            <v>Med</v>
          </cell>
          <cell r="K1519">
            <v>63975.666666666664</v>
          </cell>
        </row>
        <row r="1520">
          <cell r="C1520">
            <v>2292414.2361550899</v>
          </cell>
          <cell r="D1520">
            <v>0.75153667299871096</v>
          </cell>
          <cell r="E1520">
            <v>242014</v>
          </cell>
          <cell r="F1520">
            <v>181882.39637911</v>
          </cell>
          <cell r="G1520">
            <v>7.9340981882999012E-2</v>
          </cell>
          <cell r="I1520" t="str">
            <v>NC</v>
          </cell>
          <cell r="J1520" t="str">
            <v>Med</v>
          </cell>
          <cell r="K1520">
            <v>59053.666666666664</v>
          </cell>
        </row>
        <row r="1521">
          <cell r="C1521">
            <v>1927378.34100498</v>
          </cell>
          <cell r="D1521">
            <v>0.685200250991572</v>
          </cell>
          <cell r="E1521">
            <v>284475</v>
          </cell>
          <cell r="F1521">
            <v>194922.34140082801</v>
          </cell>
          <cell r="G1521">
            <v>0.10113340865872289</v>
          </cell>
          <cell r="I1521" t="str">
            <v>NC</v>
          </cell>
          <cell r="J1521" t="str">
            <v>Low</v>
          </cell>
          <cell r="K1521">
            <v>35528.333333333336</v>
          </cell>
        </row>
        <row r="1522">
          <cell r="C1522">
            <v>2760670.6942523001</v>
          </cell>
          <cell r="D1522">
            <v>0.73873969400567896</v>
          </cell>
          <cell r="E1522">
            <v>268738</v>
          </cell>
          <cell r="F1522">
            <v>198527.427887698</v>
          </cell>
          <cell r="G1522">
            <v>7.1912752325379095E-2</v>
          </cell>
          <cell r="I1522" t="str">
            <v>NC</v>
          </cell>
          <cell r="J1522" t="str">
            <v>Med</v>
          </cell>
          <cell r="K1522">
            <v>86195.333333333328</v>
          </cell>
        </row>
        <row r="1523">
          <cell r="C1523">
            <v>2470681.0994788301</v>
          </cell>
          <cell r="D1523">
            <v>0.72070254579156801</v>
          </cell>
          <cell r="E1523">
            <v>226499</v>
          </cell>
          <cell r="F1523">
            <v>163238.40591924399</v>
          </cell>
          <cell r="G1523">
            <v>6.6070204670962099E-2</v>
          </cell>
          <cell r="I1523" t="str">
            <v>NC</v>
          </cell>
          <cell r="J1523" t="str">
            <v>No Data</v>
          </cell>
          <cell r="K1523">
            <v>0</v>
          </cell>
        </row>
        <row r="1524">
          <cell r="C1524">
            <v>2729385.1903877798</v>
          </cell>
          <cell r="D1524">
            <v>0.75052694447539003</v>
          </cell>
          <cell r="E1524">
            <v>248126</v>
          </cell>
          <cell r="F1524">
            <v>186225.248624901</v>
          </cell>
          <cell r="G1524">
            <v>6.8229742463885384E-2</v>
          </cell>
          <cell r="I1524" t="str">
            <v>NC</v>
          </cell>
          <cell r="J1524" t="str">
            <v>Med</v>
          </cell>
          <cell r="K1524">
            <v>84558.333333333328</v>
          </cell>
        </row>
        <row r="1525">
          <cell r="C1525">
            <v>2549222.1944761002</v>
          </cell>
          <cell r="D1525">
            <v>0.69508897573541895</v>
          </cell>
          <cell r="E1525">
            <v>266040</v>
          </cell>
          <cell r="F1525">
            <v>184921.47110465099</v>
          </cell>
          <cell r="G1525">
            <v>7.2540350348963945E-2</v>
          </cell>
          <cell r="I1525" t="str">
            <v>NC</v>
          </cell>
          <cell r="J1525" t="str">
            <v>No Data</v>
          </cell>
          <cell r="K1525">
            <v>0</v>
          </cell>
        </row>
        <row r="1526">
          <cell r="C1526">
            <v>2611059.4966379302</v>
          </cell>
          <cell r="D1526">
            <v>0.76310607025815802</v>
          </cell>
          <cell r="E1526">
            <v>246800</v>
          </cell>
          <cell r="F1526">
            <v>188334.578139713</v>
          </cell>
          <cell r="G1526">
            <v>7.2129562111555717E-2</v>
          </cell>
          <cell r="I1526" t="str">
            <v>NC</v>
          </cell>
          <cell r="J1526" t="str">
            <v>Med</v>
          </cell>
          <cell r="K1526">
            <v>74214</v>
          </cell>
        </row>
        <row r="1527">
          <cell r="C1527">
            <v>2325704.85529711</v>
          </cell>
          <cell r="D1527">
            <v>0.76212304222655403</v>
          </cell>
          <cell r="E1527">
            <v>240333</v>
          </cell>
          <cell r="F1527">
            <v>183163.317107435</v>
          </cell>
          <cell r="G1527">
            <v>7.8756045372763248E-2</v>
          </cell>
          <cell r="I1527" t="str">
            <v>NC</v>
          </cell>
          <cell r="J1527" t="str">
            <v>Med</v>
          </cell>
          <cell r="K1527">
            <v>58817</v>
          </cell>
        </row>
        <row r="1528">
          <cell r="C1528">
            <v>2606612.8352238699</v>
          </cell>
          <cell r="D1528">
            <v>0.69244933107185402</v>
          </cell>
          <cell r="E1528">
            <v>287401</v>
          </cell>
          <cell r="F1528">
            <v>199010.63019938199</v>
          </cell>
          <cell r="G1528">
            <v>7.6348365783401775E-2</v>
          </cell>
          <cell r="I1528" t="str">
            <v>NC</v>
          </cell>
          <cell r="J1528" t="str">
            <v>No Data</v>
          </cell>
          <cell r="K1528">
            <v>0</v>
          </cell>
        </row>
        <row r="1529">
          <cell r="C1529">
            <v>2058623.4735149599</v>
          </cell>
          <cell r="D1529">
            <v>0.70998983005442595</v>
          </cell>
          <cell r="E1529">
            <v>250947</v>
          </cell>
          <cell r="F1529">
            <v>178169.81788266799</v>
          </cell>
          <cell r="G1529">
            <v>8.6548035701961137E-2</v>
          </cell>
          <cell r="I1529" t="str">
            <v>NC</v>
          </cell>
          <cell r="J1529" t="str">
            <v>Med</v>
          </cell>
          <cell r="K1529">
            <v>47637.333333333336</v>
          </cell>
        </row>
        <row r="1530">
          <cell r="C1530">
            <v>2524242.4783504601</v>
          </cell>
          <cell r="D1530">
            <v>0.700869490731171</v>
          </cell>
          <cell r="E1530">
            <v>277789</v>
          </cell>
          <cell r="F1530">
            <v>194693.834960721</v>
          </cell>
          <cell r="G1530">
            <v>7.7129608835340327E-2</v>
          </cell>
          <cell r="I1530" t="str">
            <v>NC</v>
          </cell>
          <cell r="J1530" t="str">
            <v>Med</v>
          </cell>
          <cell r="K1530">
            <v>69341.666666666672</v>
          </cell>
        </row>
        <row r="1531">
          <cell r="C1531">
            <v>2723358.40691903</v>
          </cell>
          <cell r="D1531">
            <v>0.67440696185890903</v>
          </cell>
          <cell r="E1531">
            <v>247121</v>
          </cell>
          <cell r="F1531">
            <v>166660.12282153501</v>
          </cell>
          <cell r="G1531">
            <v>6.1196544089868701E-2</v>
          </cell>
          <cell r="I1531" t="str">
            <v>NC</v>
          </cell>
          <cell r="J1531" t="str">
            <v>Med</v>
          </cell>
          <cell r="K1531">
            <v>85208</v>
          </cell>
        </row>
        <row r="1532">
          <cell r="C1532">
            <v>1800435.0849384</v>
          </cell>
          <cell r="D1532">
            <v>0.78814743301193102</v>
          </cell>
          <cell r="E1532">
            <v>210160</v>
          </cell>
          <cell r="F1532">
            <v>165637.06452178699</v>
          </cell>
          <cell r="G1532">
            <v>9.1998354124194423E-2</v>
          </cell>
          <cell r="I1532" t="str">
            <v>NC</v>
          </cell>
          <cell r="J1532" t="str">
            <v>Low</v>
          </cell>
          <cell r="K1532">
            <v>32777.666666666664</v>
          </cell>
        </row>
        <row r="1533">
          <cell r="C1533">
            <v>2221074.1842567502</v>
          </cell>
          <cell r="D1533">
            <v>0.78242011664254196</v>
          </cell>
          <cell r="E1533">
            <v>252500</v>
          </cell>
          <cell r="F1533">
            <v>197561.079452242</v>
          </cell>
          <cell r="G1533">
            <v>8.8948438036234673E-2</v>
          </cell>
          <cell r="I1533" t="str">
            <v>NC</v>
          </cell>
          <cell r="J1533" t="str">
            <v>Med</v>
          </cell>
          <cell r="K1533">
            <v>60623.333333333336</v>
          </cell>
        </row>
        <row r="1534">
          <cell r="C1534">
            <v>2202746.5938075399</v>
          </cell>
          <cell r="D1534">
            <v>0.802474684952731</v>
          </cell>
          <cell r="E1534">
            <v>226984</v>
          </cell>
          <cell r="F1534">
            <v>182148.91388931099</v>
          </cell>
          <cell r="G1534">
            <v>8.2691724232545033E-2</v>
          </cell>
          <cell r="I1534" t="str">
            <v>NC</v>
          </cell>
          <cell r="J1534" t="str">
            <v>Med</v>
          </cell>
          <cell r="K1534">
            <v>58152.666666666664</v>
          </cell>
        </row>
        <row r="1535">
          <cell r="C1535">
            <v>2130256.4941507899</v>
          </cell>
          <cell r="D1535">
            <v>0.76584545563361595</v>
          </cell>
          <cell r="E1535">
            <v>233769</v>
          </cell>
          <cell r="F1535">
            <v>179030.926318015</v>
          </cell>
          <cell r="G1535">
            <v>8.4041957768744777E-2</v>
          </cell>
          <cell r="I1535" t="str">
            <v>NC</v>
          </cell>
          <cell r="J1535" t="str">
            <v>Med</v>
          </cell>
          <cell r="K1535">
            <v>54296</v>
          </cell>
        </row>
        <row r="1536">
          <cell r="C1536">
            <v>1997821.34068605</v>
          </cell>
          <cell r="D1536">
            <v>0.77955095658705498</v>
          </cell>
          <cell r="E1536">
            <v>214579</v>
          </cell>
          <cell r="F1536">
            <v>167275.26471349399</v>
          </cell>
          <cell r="G1536">
            <v>8.3728840666028634E-2</v>
          </cell>
          <cell r="I1536" t="str">
            <v>NC</v>
          </cell>
          <cell r="J1536" t="str">
            <v>Med</v>
          </cell>
          <cell r="K1536">
            <v>50799.666666666664</v>
          </cell>
        </row>
        <row r="1537">
          <cell r="C1537">
            <v>2404260.9350652001</v>
          </cell>
          <cell r="D1537">
            <v>0.76385878210817104</v>
          </cell>
          <cell r="E1537">
            <v>247905</v>
          </cell>
          <cell r="F1537">
            <v>189364.41137852601</v>
          </cell>
          <cell r="G1537">
            <v>7.8762004829309729E-2</v>
          </cell>
          <cell r="I1537" t="str">
            <v>NC</v>
          </cell>
          <cell r="J1537" t="str">
            <v>Med</v>
          </cell>
          <cell r="K1537">
            <v>70973</v>
          </cell>
        </row>
        <row r="1538">
          <cell r="C1538">
            <v>2259831.60981612</v>
          </cell>
          <cell r="D1538">
            <v>0.69898621170094799</v>
          </cell>
          <cell r="E1538">
            <v>281156</v>
          </cell>
          <cell r="F1538">
            <v>196524.16733699199</v>
          </cell>
          <cell r="G1538">
            <v>8.6964075767124505E-2</v>
          </cell>
          <cell r="I1538" t="str">
            <v>NC</v>
          </cell>
          <cell r="J1538" t="str">
            <v>Med</v>
          </cell>
          <cell r="K1538">
            <v>63975.666666666664</v>
          </cell>
        </row>
        <row r="1539">
          <cell r="C1539">
            <v>2259678.80484311</v>
          </cell>
          <cell r="D1539">
            <v>0.76909027520930295</v>
          </cell>
          <cell r="E1539">
            <v>254656</v>
          </cell>
          <cell r="F1539">
            <v>195853.45312369999</v>
          </cell>
          <cell r="G1539">
            <v>8.6673138104376796E-2</v>
          </cell>
          <cell r="I1539" t="str">
            <v>NC</v>
          </cell>
          <cell r="J1539" t="str">
            <v>Med</v>
          </cell>
          <cell r="K1539">
            <v>59053.666666666664</v>
          </cell>
        </row>
        <row r="1540">
          <cell r="C1540">
            <v>1775964.56157191</v>
          </cell>
          <cell r="D1540">
            <v>0.72862704625092301</v>
          </cell>
          <cell r="E1540">
            <v>250714</v>
          </cell>
          <cell r="F1540">
            <v>182677.00127375399</v>
          </cell>
          <cell r="G1540">
            <v>0.10286072437845617</v>
          </cell>
          <cell r="I1540" t="str">
            <v>NC</v>
          </cell>
          <cell r="J1540" t="str">
            <v>Low</v>
          </cell>
          <cell r="K1540">
            <v>35528.333333333336</v>
          </cell>
        </row>
        <row r="1541">
          <cell r="C1541">
            <v>2617124.11392143</v>
          </cell>
          <cell r="D1541">
            <v>0.75304423746342797</v>
          </cell>
          <cell r="E1541">
            <v>271447</v>
          </cell>
          <cell r="F1541">
            <v>204411.599126735</v>
          </cell>
          <cell r="G1541">
            <v>7.8105428030484203E-2</v>
          </cell>
          <cell r="I1541" t="str">
            <v>NC</v>
          </cell>
          <cell r="J1541" t="str">
            <v>Med</v>
          </cell>
          <cell r="K1541">
            <v>86195.333333333328</v>
          </cell>
        </row>
        <row r="1542">
          <cell r="C1542">
            <v>2390014.6978595699</v>
          </cell>
          <cell r="D1542">
            <v>0.75587203970324801</v>
          </cell>
          <cell r="E1542">
            <v>226797</v>
          </cell>
          <cell r="F1542">
            <v>171429.510988578</v>
          </cell>
          <cell r="G1542">
            <v>7.1727387761299319E-2</v>
          </cell>
          <cell r="I1542" t="str">
            <v>NC</v>
          </cell>
          <cell r="J1542" t="str">
            <v>No Data</v>
          </cell>
          <cell r="K1542">
            <v>0</v>
          </cell>
        </row>
        <row r="1543">
          <cell r="C1543">
            <v>2607706.6588355801</v>
          </cell>
          <cell r="D1543">
            <v>0.78094179292328603</v>
          </cell>
          <cell r="E1543">
            <v>244220</v>
          </cell>
          <cell r="F1543">
            <v>190721.60466772501</v>
          </cell>
          <cell r="G1543">
            <v>7.313767598111974E-2</v>
          </cell>
          <cell r="I1543" t="str">
            <v>NC</v>
          </cell>
          <cell r="J1543" t="str">
            <v>Med</v>
          </cell>
          <cell r="K1543">
            <v>84558.333333333328</v>
          </cell>
        </row>
        <row r="1544">
          <cell r="C1544">
            <v>2452280.8175271</v>
          </cell>
          <cell r="D1544">
            <v>0.71938943071968597</v>
          </cell>
          <cell r="E1544">
            <v>271043</v>
          </cell>
          <cell r="F1544">
            <v>194985.46947055601</v>
          </cell>
          <cell r="G1544">
            <v>7.9511884641001659E-2</v>
          </cell>
          <cell r="I1544" t="str">
            <v>NC</v>
          </cell>
          <cell r="J1544" t="str">
            <v>No Data</v>
          </cell>
          <cell r="K1544">
            <v>0</v>
          </cell>
        </row>
        <row r="1545">
          <cell r="C1545">
            <v>2507954.2859965102</v>
          </cell>
          <cell r="D1545">
            <v>0.80729135766377702</v>
          </cell>
          <cell r="E1545">
            <v>234776</v>
          </cell>
          <cell r="F1545">
            <v>189532.63578687099</v>
          </cell>
          <cell r="G1545">
            <v>7.5572603872866101E-2</v>
          </cell>
          <cell r="I1545" t="str">
            <v>NC</v>
          </cell>
          <cell r="J1545" t="str">
            <v>Med</v>
          </cell>
          <cell r="K1545">
            <v>74214</v>
          </cell>
        </row>
        <row r="1546">
          <cell r="C1546">
            <v>2210379.0730156298</v>
          </cell>
          <cell r="D1546">
            <v>0.80155506376082297</v>
          </cell>
          <cell r="E1546">
            <v>226938</v>
          </cell>
          <cell r="F1546">
            <v>181903.30305975399</v>
          </cell>
          <cell r="G1546">
            <v>8.2295071139803416E-2</v>
          </cell>
          <cell r="I1546" t="str">
            <v>NC</v>
          </cell>
          <cell r="J1546" t="str">
            <v>Med</v>
          </cell>
          <cell r="K1546">
            <v>58817</v>
          </cell>
        </row>
        <row r="1547">
          <cell r="C1547">
            <v>2474765.0054726801</v>
          </cell>
          <cell r="D1547">
            <v>0.75033506609259204</v>
          </cell>
          <cell r="E1547">
            <v>269547</v>
          </cell>
          <cell r="F1547">
            <v>202250.56606005999</v>
          </cell>
          <cell r="G1547">
            <v>8.1725160010265349E-2</v>
          </cell>
          <cell r="I1547" t="str">
            <v>NC</v>
          </cell>
          <cell r="J1547" t="str">
            <v>No Data</v>
          </cell>
          <cell r="K1547">
            <v>0</v>
          </cell>
        </row>
        <row r="1548">
          <cell r="C1548">
            <v>1954569.7001231001</v>
          </cell>
          <cell r="D1548">
            <v>0.766091079710843</v>
          </cell>
          <cell r="E1548">
            <v>227044</v>
          </cell>
          <cell r="F1548">
            <v>173936.383101869</v>
          </cell>
          <cell r="G1548">
            <v>8.898960374291813E-2</v>
          </cell>
          <cell r="I1548" t="str">
            <v>NC</v>
          </cell>
          <cell r="J1548" t="str">
            <v>Med</v>
          </cell>
          <cell r="K1548">
            <v>47637.333333333336</v>
          </cell>
        </row>
        <row r="1549">
          <cell r="C1549">
            <v>2401823.2093605702</v>
          </cell>
          <cell r="D1549">
            <v>0.76516462349618697</v>
          </cell>
          <cell r="E1549">
            <v>265012</v>
          </cell>
          <cell r="F1549">
            <v>202777.807201972</v>
          </cell>
          <cell r="G1549">
            <v>8.4426616585138628E-2</v>
          </cell>
          <cell r="I1549" t="str">
            <v>NC</v>
          </cell>
          <cell r="J1549" t="str">
            <v>Med</v>
          </cell>
          <cell r="K1549">
            <v>69341.666666666672</v>
          </cell>
        </row>
        <row r="1550">
          <cell r="C1550">
            <v>2499730.6356734098</v>
          </cell>
          <cell r="D1550">
            <v>0.74465201702624795</v>
          </cell>
          <cell r="E1550">
            <v>224457</v>
          </cell>
          <cell r="F1550">
            <v>167142.35778565999</v>
          </cell>
          <cell r="G1550">
            <v>6.686414744068335E-2</v>
          </cell>
          <cell r="I1550" t="str">
            <v>NC</v>
          </cell>
          <cell r="J1550" t="str">
            <v>Med</v>
          </cell>
          <cell r="K1550">
            <v>85208</v>
          </cell>
        </row>
        <row r="1551">
          <cell r="C1551">
            <v>1677304.6872487401</v>
          </cell>
          <cell r="D1551">
            <v>0.79538021760811695</v>
          </cell>
          <cell r="E1551">
            <v>173383</v>
          </cell>
          <cell r="F1551">
            <v>137905.408269548</v>
          </cell>
          <cell r="G1551">
            <v>8.2218459960159265E-2</v>
          </cell>
          <cell r="I1551" t="str">
            <v>NC</v>
          </cell>
          <cell r="J1551" t="str">
            <v>Low</v>
          </cell>
          <cell r="K1551">
            <v>32777.666666666664</v>
          </cell>
        </row>
        <row r="1552">
          <cell r="C1552">
            <v>2107927.87035164</v>
          </cell>
          <cell r="D1552">
            <v>0.78126060035465705</v>
          </cell>
          <cell r="E1552">
            <v>223499</v>
          </cell>
          <cell r="F1552">
            <v>174610.962918665</v>
          </cell>
          <cell r="G1552">
            <v>8.283535948957152E-2</v>
          </cell>
          <cell r="I1552" t="str">
            <v>NC</v>
          </cell>
          <cell r="J1552" t="str">
            <v>Med</v>
          </cell>
          <cell r="K1552">
            <v>60623.333333333336</v>
          </cell>
        </row>
        <row r="1553">
          <cell r="C1553">
            <v>2105173.5970733501</v>
          </cell>
          <cell r="D1553">
            <v>0.80144296050372898</v>
          </cell>
          <cell r="E1553">
            <v>203525</v>
          </cell>
          <cell r="F1553">
            <v>163113.67853652101</v>
          </cell>
          <cell r="G1553">
            <v>7.7482293509326047E-2</v>
          </cell>
          <cell r="I1553" t="str">
            <v>NC</v>
          </cell>
          <cell r="J1553" t="str">
            <v>Med</v>
          </cell>
          <cell r="K1553">
            <v>58152.666666666664</v>
          </cell>
        </row>
        <row r="1554">
          <cell r="C1554">
            <v>2019900.1180844901</v>
          </cell>
          <cell r="D1554">
            <v>0.77415670329117803</v>
          </cell>
          <cell r="E1554">
            <v>200995</v>
          </cell>
          <cell r="F1554">
            <v>155601.62657801001</v>
          </cell>
          <cell r="G1554">
            <v>7.7034317283752624E-2</v>
          </cell>
          <cell r="I1554" t="str">
            <v>NC</v>
          </cell>
          <cell r="J1554" t="str">
            <v>Med</v>
          </cell>
          <cell r="K1554">
            <v>54296</v>
          </cell>
        </row>
        <row r="1555">
          <cell r="C1555">
            <v>1875989.3546791</v>
          </cell>
          <cell r="D1555">
            <v>0.75620205569807297</v>
          </cell>
          <cell r="E1555">
            <v>199082</v>
          </cell>
          <cell r="F1555">
            <v>150546.21765248399</v>
          </cell>
          <cell r="G1555">
            <v>8.0248972243361097E-2</v>
          </cell>
          <cell r="I1555" t="str">
            <v>NC</v>
          </cell>
          <cell r="J1555" t="str">
            <v>Med</v>
          </cell>
          <cell r="K1555">
            <v>50799.666666666664</v>
          </cell>
        </row>
        <row r="1556">
          <cell r="C1556">
            <v>2283655.2605597698</v>
          </cell>
          <cell r="D1556">
            <v>0.77513039458017197</v>
          </cell>
          <cell r="E1556">
            <v>211927</v>
          </cell>
          <cell r="F1556">
            <v>164271.05913219199</v>
          </cell>
          <cell r="G1556">
            <v>7.1933387656736708E-2</v>
          </cell>
          <cell r="I1556" t="str">
            <v>NC</v>
          </cell>
          <cell r="J1556" t="str">
            <v>Med</v>
          </cell>
          <cell r="K1556">
            <v>70973</v>
          </cell>
        </row>
        <row r="1557">
          <cell r="C1557">
            <v>2142711.4092821698</v>
          </cell>
          <cell r="D1557">
            <v>0.74141066132840705</v>
          </cell>
          <cell r="E1557">
            <v>225103</v>
          </cell>
          <cell r="F1557">
            <v>166893.76409700801</v>
          </cell>
          <cell r="G1557">
            <v>7.788905373538807E-2</v>
          </cell>
          <cell r="I1557" t="str">
            <v>NC</v>
          </cell>
          <cell r="J1557" t="str">
            <v>Med</v>
          </cell>
          <cell r="K1557">
            <v>63975.666666666664</v>
          </cell>
        </row>
        <row r="1558">
          <cell r="C1558">
            <v>2120511.4789786902</v>
          </cell>
          <cell r="D1558">
            <v>0.73248796080137801</v>
          </cell>
          <cell r="E1558">
            <v>236846</v>
          </cell>
          <cell r="F1558">
            <v>173486.84356396299</v>
          </cell>
          <cell r="G1558">
            <v>8.1813678107283863E-2</v>
          </cell>
          <cell r="I1558" t="str">
            <v>NC</v>
          </cell>
          <cell r="J1558" t="str">
            <v>Med</v>
          </cell>
          <cell r="K1558">
            <v>59053.666666666664</v>
          </cell>
        </row>
        <row r="1559">
          <cell r="C1559">
            <v>1714591.48861845</v>
          </cell>
          <cell r="D1559">
            <v>0.72862781358766704</v>
          </cell>
          <cell r="E1559">
            <v>225891</v>
          </cell>
          <cell r="F1559">
            <v>164590.46543913201</v>
          </cell>
          <cell r="G1559">
            <v>9.5993982550183127E-2</v>
          </cell>
          <cell r="I1559" t="str">
            <v>NC</v>
          </cell>
          <cell r="J1559" t="str">
            <v>Low</v>
          </cell>
          <cell r="K1559">
            <v>35528.333333333336</v>
          </cell>
        </row>
        <row r="1560">
          <cell r="C1560">
            <v>2524898.9139595199</v>
          </cell>
          <cell r="D1560">
            <v>0.773445698610425</v>
          </cell>
          <cell r="E1560">
            <v>233868</v>
          </cell>
          <cell r="F1560">
            <v>180884.198642623</v>
          </cell>
          <cell r="G1560">
            <v>7.1640174441265969E-2</v>
          </cell>
          <cell r="I1560" t="str">
            <v>NC</v>
          </cell>
          <cell r="J1560" t="str">
            <v>Med</v>
          </cell>
          <cell r="K1560">
            <v>86195.333333333328</v>
          </cell>
        </row>
        <row r="1561">
          <cell r="C1561">
            <v>2294160.21816148</v>
          </cell>
          <cell r="D1561">
            <v>0.74583848059061697</v>
          </cell>
          <cell r="E1561">
            <v>205105</v>
          </cell>
          <cell r="F1561">
            <v>152975.20156153801</v>
          </cell>
          <cell r="G1561">
            <v>6.6680260755341225E-2</v>
          </cell>
          <cell r="I1561" t="str">
            <v>NC</v>
          </cell>
          <cell r="J1561" t="str">
            <v>No Data</v>
          </cell>
          <cell r="K1561">
            <v>0</v>
          </cell>
        </row>
        <row r="1562">
          <cell r="C1562">
            <v>2454356.3238018798</v>
          </cell>
          <cell r="D1562">
            <v>0.78123675242116597</v>
          </cell>
          <cell r="E1562">
            <v>211674</v>
          </cell>
          <cell r="F1562">
            <v>165367.50833199799</v>
          </cell>
          <cell r="G1562">
            <v>6.7377139467605179E-2</v>
          </cell>
          <cell r="I1562" t="str">
            <v>NC</v>
          </cell>
          <cell r="J1562" t="str">
            <v>Med</v>
          </cell>
          <cell r="K1562">
            <v>84558.333333333328</v>
          </cell>
        </row>
        <row r="1563">
          <cell r="C1563">
            <v>2298522.4004658102</v>
          </cell>
          <cell r="D1563">
            <v>0.73495265948861499</v>
          </cell>
          <cell r="E1563">
            <v>227225</v>
          </cell>
          <cell r="F1563">
            <v>166999.618052301</v>
          </cell>
          <cell r="G1563">
            <v>7.265520580458884E-2</v>
          </cell>
          <cell r="I1563" t="str">
            <v>NC</v>
          </cell>
          <cell r="J1563" t="str">
            <v>No Data</v>
          </cell>
          <cell r="K1563">
            <v>0</v>
          </cell>
        </row>
        <row r="1564">
          <cell r="C1564">
            <v>2404180.51010788</v>
          </cell>
          <cell r="D1564">
            <v>0.78268705973200903</v>
          </cell>
          <cell r="E1564">
            <v>223449</v>
          </cell>
          <cell r="F1564">
            <v>174890.64081005799</v>
          </cell>
          <cell r="G1564">
            <v>7.2744388399609117E-2</v>
          </cell>
          <cell r="I1564" t="str">
            <v>NC</v>
          </cell>
          <cell r="J1564" t="str">
            <v>Med</v>
          </cell>
          <cell r="K1564">
            <v>74214</v>
          </cell>
        </row>
        <row r="1565">
          <cell r="C1565">
            <v>2076058.8571095001</v>
          </cell>
          <cell r="D1565">
            <v>0.77746430201517902</v>
          </cell>
          <cell r="E1565">
            <v>207237</v>
          </cell>
          <cell r="F1565">
            <v>161119.36955671999</v>
          </cell>
          <cell r="G1565">
            <v>7.7608286010275612E-2</v>
          </cell>
          <cell r="I1565" t="str">
            <v>NC</v>
          </cell>
          <cell r="J1565" t="str">
            <v>Med</v>
          </cell>
          <cell r="K1565">
            <v>58817</v>
          </cell>
        </row>
        <row r="1566">
          <cell r="C1566">
            <v>2355863.3553867401</v>
          </cell>
          <cell r="D1566">
            <v>0.73994894562522995</v>
          </cell>
          <cell r="E1566">
            <v>245532</v>
          </cell>
          <cell r="F1566">
            <v>181681.144517254</v>
          </cell>
          <cell r="G1566">
            <v>7.7118710684911135E-2</v>
          </cell>
          <cell r="I1566" t="str">
            <v>NC</v>
          </cell>
          <cell r="J1566" t="str">
            <v>No Data</v>
          </cell>
          <cell r="K1566">
            <v>0</v>
          </cell>
        </row>
        <row r="1567">
          <cell r="C1567">
            <v>1908412.24818309</v>
          </cell>
          <cell r="D1567">
            <v>0.72022306232780897</v>
          </cell>
          <cell r="E1567">
            <v>228718</v>
          </cell>
          <cell r="F1567">
            <v>164727.97836949199</v>
          </cell>
          <cell r="G1567">
            <v>8.6316768573625427E-2</v>
          </cell>
          <cell r="I1567" t="str">
            <v>NC</v>
          </cell>
          <cell r="J1567" t="str">
            <v>Med</v>
          </cell>
          <cell r="K1567">
            <v>47637.333333333336</v>
          </cell>
        </row>
        <row r="1568">
          <cell r="C1568">
            <v>2264501.86236049</v>
          </cell>
          <cell r="D1568">
            <v>0.76782147459260097</v>
          </cell>
          <cell r="E1568">
            <v>230157</v>
          </cell>
          <cell r="F1568">
            <v>176719.487127809</v>
          </cell>
          <cell r="G1568">
            <v>7.8039011610084835E-2</v>
          </cell>
          <cell r="I1568" t="str">
            <v>NC</v>
          </cell>
          <cell r="J1568" t="str">
            <v>Med</v>
          </cell>
          <cell r="K1568">
            <v>69341.666666666672</v>
          </cell>
        </row>
        <row r="1569">
          <cell r="C1569">
            <v>2433764.1703963601</v>
          </cell>
          <cell r="D1569">
            <v>0.729059347705308</v>
          </cell>
          <cell r="E1569">
            <v>206387</v>
          </cell>
          <cell r="F1569">
            <v>150468.37159485501</v>
          </cell>
          <cell r="G1569">
            <v>6.1825370520739442E-2</v>
          </cell>
          <cell r="I1569" t="str">
            <v>NC</v>
          </cell>
          <cell r="J1569" t="str">
            <v>Med</v>
          </cell>
          <cell r="K1569">
            <v>85208</v>
          </cell>
        </row>
        <row r="1570">
          <cell r="C1570">
            <v>1719396.4388500401</v>
          </cell>
          <cell r="D1570">
            <v>0.78512650387696403</v>
          </cell>
          <cell r="E1570">
            <v>179710</v>
          </cell>
          <cell r="F1570">
            <v>141095.08401172899</v>
          </cell>
          <cell r="G1570">
            <v>8.2060821357810676E-2</v>
          </cell>
          <cell r="I1570" t="str">
            <v>NC</v>
          </cell>
          <cell r="J1570" t="str">
            <v>Low</v>
          </cell>
          <cell r="K1570">
            <v>32777.666666666664</v>
          </cell>
        </row>
        <row r="1571">
          <cell r="C1571">
            <v>2113839.5334582999</v>
          </cell>
          <cell r="D1571">
            <v>0.73876888034669597</v>
          </cell>
          <cell r="E1571">
            <v>230414</v>
          </cell>
          <cell r="F1571">
            <v>170222.69279620401</v>
          </cell>
          <cell r="G1571">
            <v>8.0527726964078006E-2</v>
          </cell>
          <cell r="I1571" t="str">
            <v>NC</v>
          </cell>
          <cell r="J1571" t="str">
            <v>Med</v>
          </cell>
          <cell r="K1571">
            <v>60623.333333333336</v>
          </cell>
        </row>
        <row r="1572">
          <cell r="C1572">
            <v>2101976.5723671098</v>
          </cell>
          <cell r="D1572">
            <v>0.76630745994031002</v>
          </cell>
          <cell r="E1572">
            <v>207074</v>
          </cell>
          <cell r="F1572">
            <v>158682.35095968001</v>
          </cell>
          <cell r="G1572">
            <v>7.549196934244716E-2</v>
          </cell>
          <cell r="I1572" t="str">
            <v>NC</v>
          </cell>
          <cell r="J1572" t="str">
            <v>Med</v>
          </cell>
          <cell r="K1572">
            <v>58152.666666666664</v>
          </cell>
        </row>
        <row r="1573">
          <cell r="C1573">
            <v>1995854.19155409</v>
          </cell>
          <cell r="D1573">
            <v>0.78089364888861401</v>
          </cell>
          <cell r="E1573">
            <v>191059</v>
          </cell>
          <cell r="F1573">
            <v>149196.75966300999</v>
          </cell>
          <cell r="G1573">
            <v>7.4753336338080179E-2</v>
          </cell>
          <cell r="I1573" t="str">
            <v>NC</v>
          </cell>
          <cell r="J1573" t="str">
            <v>Med</v>
          </cell>
          <cell r="K1573">
            <v>54296</v>
          </cell>
        </row>
        <row r="1574">
          <cell r="C1574">
            <v>1876262.6098040501</v>
          </cell>
          <cell r="D1574">
            <v>0.79788809306460495</v>
          </cell>
          <cell r="E1574">
            <v>168766</v>
          </cell>
          <cell r="F1574">
            <v>134656.38191414101</v>
          </cell>
          <cell r="G1574">
            <v>7.176840875606641E-2</v>
          </cell>
          <cell r="I1574" t="str">
            <v>NC</v>
          </cell>
          <cell r="J1574" t="str">
            <v>Med</v>
          </cell>
          <cell r="K1574">
            <v>50799.666666666664</v>
          </cell>
        </row>
        <row r="1575">
          <cell r="C1575">
            <v>2295773.6018833001</v>
          </cell>
          <cell r="D1575">
            <v>0.78012002247281498</v>
          </cell>
          <cell r="E1575">
            <v>202890</v>
          </cell>
          <cell r="F1575">
            <v>158278.55135950999</v>
          </cell>
          <cell r="G1575">
            <v>6.8943449488951689E-2</v>
          </cell>
          <cell r="I1575" t="str">
            <v>NC</v>
          </cell>
          <cell r="J1575" t="str">
            <v>Med</v>
          </cell>
          <cell r="K1575">
            <v>70973</v>
          </cell>
        </row>
        <row r="1576">
          <cell r="C1576">
            <v>2122601.45816644</v>
          </cell>
          <cell r="D1576">
            <v>0.74714893371382995</v>
          </cell>
          <cell r="E1576">
            <v>212260</v>
          </cell>
          <cell r="F1576">
            <v>158589.83267009701</v>
          </cell>
          <cell r="G1576">
            <v>7.4714842044389787E-2</v>
          </cell>
          <cell r="I1576" t="str">
            <v>NC</v>
          </cell>
          <cell r="J1576" t="str">
            <v>Med</v>
          </cell>
          <cell r="K1576">
            <v>63975.666666666664</v>
          </cell>
        </row>
        <row r="1577">
          <cell r="C1577">
            <v>2100993.4327522102</v>
          </cell>
          <cell r="D1577">
            <v>0.76683082264958102</v>
          </cell>
          <cell r="E1577">
            <v>205522</v>
          </cell>
          <cell r="F1577">
            <v>157600.60433258701</v>
          </cell>
          <cell r="G1577">
            <v>7.5012421207874533E-2</v>
          </cell>
          <cell r="I1577" t="str">
            <v>NC</v>
          </cell>
          <cell r="J1577" t="str">
            <v>Med</v>
          </cell>
          <cell r="K1577">
            <v>59053.666666666664</v>
          </cell>
        </row>
        <row r="1578">
          <cell r="C1578">
            <v>1712003.3999534601</v>
          </cell>
          <cell r="D1578">
            <v>0.74625297325655604</v>
          </cell>
          <cell r="E1578">
            <v>202334</v>
          </cell>
          <cell r="F1578">
            <v>150992.34909089201</v>
          </cell>
          <cell r="G1578">
            <v>8.8196290436687599E-2</v>
          </cell>
          <cell r="I1578" t="str">
            <v>NC</v>
          </cell>
          <cell r="J1578" t="str">
            <v>Low</v>
          </cell>
          <cell r="K1578">
            <v>35528.333333333336</v>
          </cell>
        </row>
        <row r="1579">
          <cell r="C1579">
            <v>2458756.2690450102</v>
          </cell>
          <cell r="D1579">
            <v>0.74603223585783096</v>
          </cell>
          <cell r="E1579">
            <v>228136</v>
          </cell>
          <cell r="F1579">
            <v>170196.81015966201</v>
          </cell>
          <cell r="G1579">
            <v>6.922069190118102E-2</v>
          </cell>
          <cell r="I1579" t="str">
            <v>NC</v>
          </cell>
          <cell r="J1579" t="str">
            <v>Med</v>
          </cell>
          <cell r="K1579">
            <v>86195.333333333328</v>
          </cell>
        </row>
        <row r="1580">
          <cell r="C1580">
            <v>2277374.7258593701</v>
          </cell>
          <cell r="D1580">
            <v>0.77576135472416596</v>
          </cell>
          <cell r="E1580">
            <v>187326</v>
          </cell>
          <cell r="F1580">
            <v>145320.271535059</v>
          </cell>
          <cell r="G1580">
            <v>6.381043483312665E-2</v>
          </cell>
          <cell r="I1580" t="str">
            <v>NC</v>
          </cell>
          <cell r="J1580" t="str">
            <v>No Data</v>
          </cell>
          <cell r="K1580">
            <v>0</v>
          </cell>
        </row>
        <row r="1581">
          <cell r="C1581">
            <v>2490553.6023909398</v>
          </cell>
          <cell r="D1581">
            <v>0.77561575397913396</v>
          </cell>
          <cell r="E1581">
            <v>207513</v>
          </cell>
          <cell r="F1581">
            <v>160950.351955472</v>
          </cell>
          <cell r="G1581">
            <v>6.4624327619754549E-2</v>
          </cell>
          <cell r="I1581" t="str">
            <v>NC</v>
          </cell>
          <cell r="J1581" t="str">
            <v>Med</v>
          </cell>
          <cell r="K1581">
            <v>84558.333333333328</v>
          </cell>
        </row>
        <row r="1582">
          <cell r="C1582">
            <v>2291053.7931940402</v>
          </cell>
          <cell r="D1582">
            <v>0.72161479392397898</v>
          </cell>
          <cell r="E1582">
            <v>221464</v>
          </cell>
          <cell r="F1582">
            <v>159811.69872158</v>
          </cell>
          <cell r="G1582">
            <v>6.9754668876098616E-2</v>
          </cell>
          <cell r="I1582" t="str">
            <v>NC</v>
          </cell>
          <cell r="J1582" t="str">
            <v>No Data</v>
          </cell>
          <cell r="K1582">
            <v>0</v>
          </cell>
        </row>
        <row r="1583">
          <cell r="C1583">
            <v>2376705.93316158</v>
          </cell>
          <cell r="D1583">
            <v>0.80459231997069702</v>
          </cell>
          <cell r="E1583">
            <v>200865</v>
          </cell>
          <cell r="F1583">
            <v>161614.43635091401</v>
          </cell>
          <cell r="G1583">
            <v>6.7999340640315833E-2</v>
          </cell>
          <cell r="I1583" t="str">
            <v>NC</v>
          </cell>
          <cell r="J1583" t="str">
            <v>Med</v>
          </cell>
          <cell r="K1583">
            <v>74214</v>
          </cell>
        </row>
        <row r="1584">
          <cell r="C1584">
            <v>2107729.7576624099</v>
          </cell>
          <cell r="D1584">
            <v>0.80843809077180295</v>
          </cell>
          <cell r="E1584">
            <v>188280</v>
          </cell>
          <cell r="F1584">
            <v>152212.72373051499</v>
          </cell>
          <cell r="G1584">
            <v>7.2216432480095266E-2</v>
          </cell>
          <cell r="I1584" t="str">
            <v>NC</v>
          </cell>
          <cell r="J1584" t="str">
            <v>Med</v>
          </cell>
          <cell r="K1584">
            <v>58817</v>
          </cell>
        </row>
        <row r="1585">
          <cell r="C1585">
            <v>2347032.2613243102</v>
          </cell>
          <cell r="D1585">
            <v>0.72390961325949599</v>
          </cell>
          <cell r="E1585">
            <v>238172</v>
          </cell>
          <cell r="F1585">
            <v>172415.00040924101</v>
          </cell>
          <cell r="G1585">
            <v>7.3460856610448141E-2</v>
          </cell>
          <cell r="I1585" t="str">
            <v>NC</v>
          </cell>
          <cell r="J1585" t="str">
            <v>No Data</v>
          </cell>
          <cell r="K1585">
            <v>0</v>
          </cell>
        </row>
        <row r="1586">
          <cell r="C1586">
            <v>1898668.74437638</v>
          </cell>
          <cell r="D1586">
            <v>0.71998021773013599</v>
          </cell>
          <cell r="E1586">
            <v>218804</v>
          </cell>
          <cell r="F1586">
            <v>157534.55156022499</v>
          </cell>
          <cell r="G1586">
            <v>8.2971056445113281E-2</v>
          </cell>
          <cell r="I1586" t="str">
            <v>NC</v>
          </cell>
          <cell r="J1586" t="str">
            <v>Med</v>
          </cell>
          <cell r="K1586">
            <v>47637.333333333336</v>
          </cell>
        </row>
        <row r="1587">
          <cell r="C1587">
            <v>2245244.0587820099</v>
          </cell>
          <cell r="D1587">
            <v>0.76810092098143701</v>
          </cell>
          <cell r="E1587">
            <v>216589</v>
          </cell>
          <cell r="F1587">
            <v>166362.210374449</v>
          </cell>
          <cell r="G1587">
            <v>7.4095379397060485E-2</v>
          </cell>
          <cell r="I1587" t="str">
            <v>NC</v>
          </cell>
          <cell r="J1587" t="str">
            <v>Med</v>
          </cell>
          <cell r="K1587">
            <v>69341.666666666672</v>
          </cell>
        </row>
        <row r="1588">
          <cell r="C1588">
            <v>2450411.6438372699</v>
          </cell>
          <cell r="D1588">
            <v>0.75219807100560399</v>
          </cell>
          <cell r="E1588">
            <v>192185</v>
          </cell>
          <cell r="F1588">
            <v>144561.18627621201</v>
          </cell>
          <cell r="G1588">
            <v>5.8994653669631449E-2</v>
          </cell>
          <cell r="I1588" t="str">
            <v>NC</v>
          </cell>
          <cell r="J1588" t="str">
            <v>Med</v>
          </cell>
          <cell r="K1588">
            <v>85208</v>
          </cell>
        </row>
        <row r="1589">
          <cell r="C1589">
            <v>2097339.69087112</v>
          </cell>
          <cell r="D1589">
            <v>0.79365315358202304</v>
          </cell>
          <cell r="E1589">
            <v>163499</v>
          </cell>
          <cell r="F1589">
            <v>129761.496957507</v>
          </cell>
          <cell r="G1589">
            <v>6.1869566252098718E-2</v>
          </cell>
          <cell r="I1589" t="str">
            <v>NC</v>
          </cell>
          <cell r="J1589" t="str">
            <v>Low</v>
          </cell>
          <cell r="K1589">
            <v>32777.666666666664</v>
          </cell>
        </row>
        <row r="1590">
          <cell r="C1590">
            <v>2572706.70950014</v>
          </cell>
          <cell r="D1590">
            <v>0.77177548604621604</v>
          </cell>
          <cell r="E1590">
            <v>209543</v>
          </cell>
          <cell r="F1590">
            <v>161720.15067258201</v>
          </cell>
          <cell r="G1590">
            <v>6.2859924948072757E-2</v>
          </cell>
          <cell r="I1590" t="str">
            <v>NC</v>
          </cell>
          <cell r="J1590" t="str">
            <v>Med</v>
          </cell>
          <cell r="K1590">
            <v>60623.333333333336</v>
          </cell>
        </row>
        <row r="1591">
          <cell r="C1591">
            <v>2580622.5860121301</v>
          </cell>
          <cell r="D1591">
            <v>0.81914903330480804</v>
          </cell>
          <cell r="E1591">
            <v>180022</v>
          </cell>
          <cell r="F1591">
            <v>147464.84727359799</v>
          </cell>
          <cell r="G1591">
            <v>5.7143128202050399E-2</v>
          </cell>
          <cell r="I1591" t="str">
            <v>NC</v>
          </cell>
          <cell r="J1591" t="str">
            <v>Med</v>
          </cell>
          <cell r="K1591">
            <v>58152.666666666664</v>
          </cell>
        </row>
        <row r="1592">
          <cell r="C1592">
            <v>2493641.76554971</v>
          </cell>
          <cell r="D1592">
            <v>0.79522815109468903</v>
          </cell>
          <cell r="E1592">
            <v>180242</v>
          </cell>
          <cell r="F1592">
            <v>143333.51240960899</v>
          </cell>
          <cell r="G1592">
            <v>5.7479592453814982E-2</v>
          </cell>
          <cell r="I1592" t="str">
            <v>NC</v>
          </cell>
          <cell r="J1592" t="str">
            <v>Med</v>
          </cell>
          <cell r="K1592">
            <v>54296</v>
          </cell>
        </row>
        <row r="1593">
          <cell r="C1593">
            <v>2311906.8259094399</v>
          </cell>
          <cell r="D1593">
            <v>0.80110821015488298</v>
          </cell>
          <cell r="E1593">
            <v>162202</v>
          </cell>
          <cell r="F1593">
            <v>129941.353903542</v>
          </cell>
          <cell r="G1593">
            <v>5.6205272828167147E-2</v>
          </cell>
          <cell r="I1593" t="str">
            <v>NC</v>
          </cell>
          <cell r="J1593" t="str">
            <v>Med</v>
          </cell>
          <cell r="K1593">
            <v>50799.666666666664</v>
          </cell>
        </row>
        <row r="1594">
          <cell r="C1594">
            <v>2752527.6788807302</v>
          </cell>
          <cell r="D1594">
            <v>0.81827290192913005</v>
          </cell>
          <cell r="E1594">
            <v>175474</v>
          </cell>
          <cell r="F1594">
            <v>143585.61919311201</v>
          </cell>
          <cell r="G1594">
            <v>5.2165004659098915E-2</v>
          </cell>
          <cell r="I1594" t="str">
            <v>NC</v>
          </cell>
          <cell r="J1594" t="str">
            <v>Med</v>
          </cell>
          <cell r="K1594">
            <v>70973</v>
          </cell>
        </row>
        <row r="1595">
          <cell r="C1595">
            <v>2691868.4379731598</v>
          </cell>
          <cell r="D1595">
            <v>0.74830093019289801</v>
          </cell>
          <cell r="E1595">
            <v>214728</v>
          </cell>
          <cell r="F1595">
            <v>160681.16213846099</v>
          </cell>
          <cell r="G1595">
            <v>5.96913132424279E-2</v>
          </cell>
          <cell r="I1595" t="str">
            <v>NC</v>
          </cell>
          <cell r="J1595" t="str">
            <v>Med</v>
          </cell>
          <cell r="K1595">
            <v>63975.666666666664</v>
          </cell>
        </row>
        <row r="1596">
          <cell r="C1596">
            <v>2619634.85343106</v>
          </cell>
          <cell r="D1596">
            <v>0.75597094215294502</v>
          </cell>
          <cell r="E1596">
            <v>208637</v>
          </cell>
          <cell r="F1596">
            <v>157723.50945796401</v>
          </cell>
          <cell r="G1596">
            <v>6.0208203922537548E-2</v>
          </cell>
          <cell r="I1596" t="str">
            <v>NC</v>
          </cell>
          <cell r="J1596" t="str">
            <v>Med</v>
          </cell>
          <cell r="K1596">
            <v>59053.666666666664</v>
          </cell>
        </row>
        <row r="1597">
          <cell r="C1597">
            <v>2135869.0430232501</v>
          </cell>
          <cell r="D1597">
            <v>0.73067498199032499</v>
          </cell>
          <cell r="E1597">
            <v>206028</v>
          </cell>
          <cell r="F1597">
            <v>150539.50518950299</v>
          </cell>
          <cell r="G1597">
            <v>7.0481617625966164E-2</v>
          </cell>
          <cell r="I1597" t="str">
            <v>NC</v>
          </cell>
          <cell r="J1597" t="str">
            <v>Low</v>
          </cell>
          <cell r="K1597">
            <v>35528.333333333336</v>
          </cell>
        </row>
        <row r="1598">
          <cell r="C1598">
            <v>3061241.4847998298</v>
          </cell>
          <cell r="D1598">
            <v>0.762598055144183</v>
          </cell>
          <cell r="E1598">
            <v>214760</v>
          </cell>
          <cell r="F1598">
            <v>163775.55832276499</v>
          </cell>
          <cell r="G1598">
            <v>5.3499718704313207E-2</v>
          </cell>
          <cell r="I1598" t="str">
            <v>NC</v>
          </cell>
          <cell r="J1598" t="str">
            <v>Med</v>
          </cell>
          <cell r="K1598">
            <v>86195.333333333328</v>
          </cell>
        </row>
        <row r="1599">
          <cell r="C1599">
            <v>2765970.0653403699</v>
          </cell>
          <cell r="D1599">
            <v>0.72968784461787195</v>
          </cell>
          <cell r="E1599">
            <v>189204</v>
          </cell>
          <cell r="F1599">
            <v>138059.85895307999</v>
          </cell>
          <cell r="G1599">
            <v>4.9913721295494519E-2</v>
          </cell>
          <cell r="I1599" t="str">
            <v>NC</v>
          </cell>
          <cell r="J1599" t="str">
            <v>No Data</v>
          </cell>
          <cell r="K1599">
            <v>0</v>
          </cell>
        </row>
        <row r="1600">
          <cell r="C1600">
            <v>3042260.4954457502</v>
          </cell>
          <cell r="D1600">
            <v>0.78948765140859201</v>
          </cell>
          <cell r="E1600">
            <v>198026</v>
          </cell>
          <cell r="F1600">
            <v>156339.08165783799</v>
          </cell>
          <cell r="G1600">
            <v>5.1389117365812975E-2</v>
          </cell>
          <cell r="I1600" t="str">
            <v>NC</v>
          </cell>
          <cell r="J1600" t="str">
            <v>Med</v>
          </cell>
          <cell r="K1600">
            <v>84558.333333333328</v>
          </cell>
        </row>
        <row r="1601">
          <cell r="C1601">
            <v>2829733.99738685</v>
          </cell>
          <cell r="D1601">
            <v>0.73913518756197405</v>
          </cell>
          <cell r="E1601">
            <v>210598</v>
          </cell>
          <cell r="F1601">
            <v>155660.39223017701</v>
          </cell>
          <cell r="G1601">
            <v>5.5008842659388962E-2</v>
          </cell>
          <cell r="I1601" t="str">
            <v>NC</v>
          </cell>
          <cell r="J1601" t="str">
            <v>No Data</v>
          </cell>
          <cell r="K1601">
            <v>0</v>
          </cell>
        </row>
        <row r="1602">
          <cell r="C1602">
            <v>2868247.0381941199</v>
          </cell>
          <cell r="D1602">
            <v>0.80096754387222602</v>
          </cell>
          <cell r="E1602">
            <v>192104</v>
          </cell>
          <cell r="F1602">
            <v>153869.06904803001</v>
          </cell>
          <cell r="G1602">
            <v>5.3645682188138047E-2</v>
          </cell>
          <cell r="I1602" t="str">
            <v>NC</v>
          </cell>
          <cell r="J1602" t="str">
            <v>Med</v>
          </cell>
          <cell r="K1602">
            <v>74214</v>
          </cell>
        </row>
        <row r="1603">
          <cell r="C1603">
            <v>2531482.2815567199</v>
          </cell>
          <cell r="D1603">
            <v>0.79620923939098398</v>
          </cell>
          <cell r="E1603">
            <v>186678</v>
          </cell>
          <cell r="F1603">
            <v>148634.74839103001</v>
          </cell>
          <cell r="G1603">
            <v>5.871451262918892E-2</v>
          </cell>
          <cell r="I1603" t="str">
            <v>NC</v>
          </cell>
          <cell r="J1603" t="str">
            <v>Med</v>
          </cell>
          <cell r="K1603">
            <v>58817</v>
          </cell>
        </row>
        <row r="1604">
          <cell r="C1604">
            <v>2897664.7968757702</v>
          </cell>
          <cell r="D1604">
            <v>0.75093284398079596</v>
          </cell>
          <cell r="E1604">
            <v>220243</v>
          </cell>
          <cell r="F1604">
            <v>165387.70235686199</v>
          </cell>
          <cell r="G1604">
            <v>5.7076202373435726E-2</v>
          </cell>
          <cell r="I1604" t="str">
            <v>NC</v>
          </cell>
          <cell r="J1604" t="str">
            <v>No Data</v>
          </cell>
          <cell r="K1604">
            <v>0</v>
          </cell>
        </row>
        <row r="1605">
          <cell r="C1605">
            <v>2301542.7121241302</v>
          </cell>
          <cell r="D1605">
            <v>0.70767480359063295</v>
          </cell>
          <cell r="E1605">
            <v>207363</v>
          </cell>
          <cell r="F1605">
            <v>146745.57029696499</v>
          </cell>
          <cell r="G1605">
            <v>6.3759655436301327E-2</v>
          </cell>
          <cell r="I1605" t="str">
            <v>NC</v>
          </cell>
          <cell r="J1605" t="str">
            <v>Med</v>
          </cell>
          <cell r="K1605">
            <v>47637.333333333336</v>
          </cell>
        </row>
        <row r="1606">
          <cell r="C1606">
            <v>2782183.39805238</v>
          </cell>
          <cell r="D1606">
            <v>0.75410252916023701</v>
          </cell>
          <cell r="E1606">
            <v>214077</v>
          </cell>
          <cell r="F1606">
            <v>161436.00713503599</v>
          </cell>
          <cell r="G1606">
            <v>5.8024933671894714E-2</v>
          </cell>
          <cell r="I1606" t="str">
            <v>NC</v>
          </cell>
          <cell r="J1606" t="str">
            <v>Med</v>
          </cell>
          <cell r="K1606">
            <v>69341.666666666672</v>
          </cell>
        </row>
        <row r="1607">
          <cell r="C1607">
            <v>3036994.7077201498</v>
          </cell>
          <cell r="D1607">
            <v>0.75372716109016702</v>
          </cell>
          <cell r="E1607">
            <v>188136</v>
          </cell>
          <cell r="F1607">
            <v>141803.21317885999</v>
          </cell>
          <cell r="G1607">
            <v>4.6691952678873994E-2</v>
          </cell>
          <cell r="I1607" t="str">
            <v>NC</v>
          </cell>
          <cell r="J1607" t="str">
            <v>Med</v>
          </cell>
          <cell r="K1607">
            <v>85208</v>
          </cell>
        </row>
        <row r="1608">
          <cell r="C1608">
            <v>2374952.3968039402</v>
          </cell>
          <cell r="D1608">
            <v>0.77799269691543405</v>
          </cell>
          <cell r="E1608">
            <v>170095</v>
          </cell>
          <cell r="F1608">
            <v>132332.667781831</v>
          </cell>
          <cell r="G1608">
            <v>5.5720134837193319E-2</v>
          </cell>
          <cell r="I1608" t="str">
            <v>NC</v>
          </cell>
          <cell r="J1608" t="str">
            <v>Low</v>
          </cell>
          <cell r="K1608">
            <v>32777.666666666664</v>
          </cell>
        </row>
        <row r="1609">
          <cell r="C1609">
            <v>3017939.3212231901</v>
          </cell>
          <cell r="D1609">
            <v>0.76327154820851095</v>
          </cell>
          <cell r="E1609">
            <v>207415</v>
          </cell>
          <cell r="F1609">
            <v>158313.96817166801</v>
          </cell>
          <cell r="G1609">
            <v>5.2457637918148184E-2</v>
          </cell>
          <cell r="I1609" t="str">
            <v>NC</v>
          </cell>
          <cell r="J1609" t="str">
            <v>Med</v>
          </cell>
          <cell r="K1609">
            <v>60623.333333333336</v>
          </cell>
        </row>
        <row r="1610">
          <cell r="C1610">
            <v>2949089.28655791</v>
          </cell>
          <cell r="D1610">
            <v>0.77177887382185495</v>
          </cell>
          <cell r="E1610">
            <v>188045</v>
          </cell>
          <cell r="F1610">
            <v>145129.15832783101</v>
          </cell>
          <cell r="G1610">
            <v>4.9211517260374808E-2</v>
          </cell>
          <cell r="I1610" t="str">
            <v>NC</v>
          </cell>
          <cell r="J1610" t="str">
            <v>Med</v>
          </cell>
          <cell r="K1610">
            <v>58152.666666666664</v>
          </cell>
        </row>
        <row r="1611">
          <cell r="C1611">
            <v>2822110.2728069001</v>
          </cell>
          <cell r="D1611">
            <v>0.78703633761556402</v>
          </cell>
          <cell r="E1611">
            <v>172927</v>
          </cell>
          <cell r="F1611">
            <v>136099.83275484701</v>
          </cell>
          <cell r="G1611">
            <v>4.8226263185485202E-2</v>
          </cell>
          <cell r="I1611" t="str">
            <v>NC</v>
          </cell>
          <cell r="J1611" t="str">
            <v>Med</v>
          </cell>
          <cell r="K1611">
            <v>54296</v>
          </cell>
        </row>
        <row r="1612">
          <cell r="C1612">
            <v>2663982.59377662</v>
          </cell>
          <cell r="D1612">
            <v>0.77575907311135295</v>
          </cell>
          <cell r="E1612">
            <v>170840</v>
          </cell>
          <cell r="F1612">
            <v>132530.680050344</v>
          </cell>
          <cell r="G1612">
            <v>4.9749078826547673E-2</v>
          </cell>
          <cell r="I1612" t="str">
            <v>NC</v>
          </cell>
          <cell r="J1612" t="str">
            <v>Med</v>
          </cell>
          <cell r="K1612">
            <v>50799.666666666664</v>
          </cell>
        </row>
        <row r="1613">
          <cell r="C1613">
            <v>3140888.5476228902</v>
          </cell>
          <cell r="D1613">
            <v>0.77425365567000304</v>
          </cell>
          <cell r="E1613">
            <v>184086</v>
          </cell>
          <cell r="F1613">
            <v>142529.25845766801</v>
          </cell>
          <cell r="G1613">
            <v>4.5378642475403345E-2</v>
          </cell>
          <cell r="I1613" t="str">
            <v>NC</v>
          </cell>
          <cell r="J1613" t="str">
            <v>Med</v>
          </cell>
          <cell r="K1613">
            <v>70973</v>
          </cell>
        </row>
        <row r="1614">
          <cell r="C1614">
            <v>3028659.7176799602</v>
          </cell>
          <cell r="D1614">
            <v>0.75408581099147498</v>
          </cell>
          <cell r="E1614">
            <v>193670</v>
          </cell>
          <cell r="F1614">
            <v>146043.799014719</v>
          </cell>
          <cell r="G1614">
            <v>4.8220603378511182E-2</v>
          </cell>
          <cell r="I1614" t="str">
            <v>NC</v>
          </cell>
          <cell r="J1614" t="str">
            <v>Med</v>
          </cell>
          <cell r="K1614">
            <v>63975.666666666664</v>
          </cell>
        </row>
        <row r="1615">
          <cell r="C1615">
            <v>2987194.37531695</v>
          </cell>
          <cell r="D1615">
            <v>0.76886379240199199</v>
          </cell>
          <cell r="E1615">
            <v>191236</v>
          </cell>
          <cell r="F1615">
            <v>147034.43620378699</v>
          </cell>
          <cell r="G1615">
            <v>4.9221583107790304E-2</v>
          </cell>
          <cell r="I1615" t="str">
            <v>NC</v>
          </cell>
          <cell r="J1615" t="str">
            <v>Med</v>
          </cell>
          <cell r="K1615">
            <v>59053.666666666664</v>
          </cell>
        </row>
        <row r="1616">
          <cell r="C1616">
            <v>2376333.3745781598</v>
          </cell>
          <cell r="D1616">
            <v>0.74688485408262195</v>
          </cell>
          <cell r="E1616">
            <v>185283</v>
          </cell>
          <cell r="F1616">
            <v>138385.06641899</v>
          </cell>
          <cell r="G1616">
            <v>5.8234702209472501E-2</v>
          </cell>
          <cell r="I1616" t="str">
            <v>NC</v>
          </cell>
          <cell r="J1616" t="str">
            <v>Low</v>
          </cell>
          <cell r="K1616">
            <v>35528.333333333336</v>
          </cell>
        </row>
        <row r="1617">
          <cell r="C1617">
            <v>3478061.7684159898</v>
          </cell>
          <cell r="D1617">
            <v>0.76972206899698004</v>
          </cell>
          <cell r="E1617">
            <v>201804</v>
          </cell>
          <cell r="F1617">
            <v>155332.99241186699</v>
          </cell>
          <cell r="G1617">
            <v>4.4660791772714876E-2</v>
          </cell>
          <cell r="I1617" t="str">
            <v>NC</v>
          </cell>
          <cell r="J1617" t="str">
            <v>Med</v>
          </cell>
          <cell r="K1617">
            <v>86195.333333333328</v>
          </cell>
        </row>
        <row r="1618">
          <cell r="C1618">
            <v>3126963.28738449</v>
          </cell>
          <cell r="D1618">
            <v>0.76963500520975303</v>
          </cell>
          <cell r="E1618">
            <v>168420</v>
          </cell>
          <cell r="F1618">
            <v>129621.92757742701</v>
          </cell>
          <cell r="G1618">
            <v>4.1452973912542372E-2</v>
          </cell>
          <cell r="I1618" t="str">
            <v>NC</v>
          </cell>
          <cell r="J1618" t="str">
            <v>No Data</v>
          </cell>
          <cell r="K1618">
            <v>0</v>
          </cell>
        </row>
        <row r="1619">
          <cell r="C1619">
            <v>3487657.16611708</v>
          </cell>
          <cell r="D1619">
            <v>0.79830418541338299</v>
          </cell>
          <cell r="E1619">
            <v>188266</v>
          </cell>
          <cell r="F1619">
            <v>150293.535771036</v>
          </cell>
          <cell r="G1619">
            <v>4.3092978642267923E-2</v>
          </cell>
          <cell r="I1619" t="str">
            <v>NC</v>
          </cell>
          <cell r="J1619" t="str">
            <v>Med</v>
          </cell>
          <cell r="K1619">
            <v>84558.333333333328</v>
          </cell>
        </row>
        <row r="1620">
          <cell r="C1620">
            <v>3243821.61972174</v>
          </cell>
          <cell r="D1620">
            <v>0.73704051292773598</v>
          </cell>
          <cell r="E1620">
            <v>200484</v>
          </cell>
          <cell r="F1620">
            <v>147764.83019380399</v>
          </cell>
          <cell r="G1620">
            <v>4.5552699105100451E-2</v>
          </cell>
          <cell r="I1620" t="str">
            <v>NC</v>
          </cell>
          <cell r="J1620" t="str">
            <v>No Data</v>
          </cell>
          <cell r="K1620">
            <v>0</v>
          </cell>
        </row>
        <row r="1621">
          <cell r="C1621">
            <v>3281973.9897887702</v>
          </cell>
          <cell r="D1621">
            <v>0.77635152363763704</v>
          </cell>
          <cell r="E1621">
            <v>189641</v>
          </cell>
          <cell r="F1621">
            <v>147228.07929416501</v>
          </cell>
          <cell r="G1621">
            <v>4.4859611853182511E-2</v>
          </cell>
          <cell r="I1621" t="str">
            <v>NC</v>
          </cell>
          <cell r="J1621" t="str">
            <v>Med</v>
          </cell>
          <cell r="K1621">
            <v>74214</v>
          </cell>
        </row>
        <row r="1622">
          <cell r="C1622">
            <v>2939398.5131761702</v>
          </cell>
          <cell r="D1622">
            <v>0.773394259439946</v>
          </cell>
          <cell r="E1622">
            <v>185561</v>
          </cell>
          <cell r="F1622">
            <v>143511.81217593601</v>
          </cell>
          <cell r="G1622">
            <v>4.8823530233355179E-2</v>
          </cell>
          <cell r="I1622" t="str">
            <v>NC</v>
          </cell>
          <cell r="J1622" t="str">
            <v>Med</v>
          </cell>
          <cell r="K1622">
            <v>58817</v>
          </cell>
        </row>
        <row r="1623">
          <cell r="C1623">
            <v>3298568.06749511</v>
          </cell>
          <cell r="D1623">
            <v>0.76386813280938703</v>
          </cell>
          <cell r="E1623">
            <v>205630</v>
          </cell>
          <cell r="F1623">
            <v>157074.20414959401</v>
          </cell>
          <cell r="G1623">
            <v>4.7618906427137682E-2</v>
          </cell>
          <cell r="I1623" t="str">
            <v>NC</v>
          </cell>
          <cell r="J1623" t="str">
            <v>No Data</v>
          </cell>
          <cell r="K1623">
            <v>0</v>
          </cell>
        </row>
        <row r="1624">
          <cell r="C1624">
            <v>2643347.1155134798</v>
          </cell>
          <cell r="D1624">
            <v>0.72628542702927701</v>
          </cell>
          <cell r="E1624">
            <v>192854</v>
          </cell>
          <cell r="F1624">
            <v>140067.04974430401</v>
          </cell>
          <cell r="G1624">
            <v>5.2988519336816448E-2</v>
          </cell>
          <cell r="I1624" t="str">
            <v>NC</v>
          </cell>
          <cell r="J1624" t="str">
            <v>Med</v>
          </cell>
          <cell r="K1624">
            <v>47637.333333333336</v>
          </cell>
        </row>
        <row r="1625">
          <cell r="C1625">
            <v>3178410.4783142102</v>
          </cell>
          <cell r="D1625">
            <v>0.77098512906378103</v>
          </cell>
          <cell r="E1625">
            <v>198666</v>
          </cell>
          <cell r="F1625">
            <v>153168.53165058501</v>
          </cell>
          <cell r="G1625">
            <v>4.8190292819517672E-2</v>
          </cell>
          <cell r="I1625" t="str">
            <v>NC</v>
          </cell>
          <cell r="J1625" t="str">
            <v>Med</v>
          </cell>
          <cell r="K1625">
            <v>69341.666666666672</v>
          </cell>
        </row>
        <row r="1626">
          <cell r="C1626">
            <v>3453347.2386657498</v>
          </cell>
          <cell r="D1626">
            <v>0.72610510307613396</v>
          </cell>
          <cell r="E1626">
            <v>186286</v>
          </cell>
          <cell r="F1626">
            <v>135263.21523164099</v>
          </cell>
          <cell r="G1626">
            <v>3.9168727001198375E-2</v>
          </cell>
          <cell r="I1626" t="str">
            <v>NC</v>
          </cell>
          <cell r="J1626" t="str">
            <v>Med</v>
          </cell>
          <cell r="K1626">
            <v>85208</v>
          </cell>
        </row>
        <row r="1627">
          <cell r="C1627">
            <v>2480296.75457286</v>
          </cell>
          <cell r="D1627">
            <v>0.77688222245969096</v>
          </cell>
          <cell r="E1627">
            <v>162344</v>
          </cell>
          <cell r="F1627">
            <v>126122.16752299599</v>
          </cell>
          <cell r="G1627">
            <v>5.0849628090053244E-2</v>
          </cell>
          <cell r="I1627" t="str">
            <v>NC</v>
          </cell>
          <cell r="J1627" t="str">
            <v>Low</v>
          </cell>
          <cell r="K1627">
            <v>32777.666666666664</v>
          </cell>
        </row>
        <row r="1628">
          <cell r="C1628">
            <v>3126584.8864526199</v>
          </cell>
          <cell r="D1628">
            <v>0.75454033035926704</v>
          </cell>
          <cell r="E1628">
            <v>202963</v>
          </cell>
          <cell r="F1628">
            <v>153143.76907070799</v>
          </cell>
          <cell r="G1628">
            <v>4.8981164635661885E-2</v>
          </cell>
          <cell r="I1628" t="str">
            <v>NC</v>
          </cell>
          <cell r="J1628" t="str">
            <v>Med</v>
          </cell>
          <cell r="K1628">
            <v>60623.333333333336</v>
          </cell>
        </row>
        <row r="1629">
          <cell r="C1629">
            <v>2991965.2670325199</v>
          </cell>
          <cell r="D1629">
            <v>0.80117216726138696</v>
          </cell>
          <cell r="E1629">
            <v>167378</v>
          </cell>
          <cell r="F1629">
            <v>134098.59501187599</v>
          </cell>
          <cell r="G1629">
            <v>4.4819569427982424E-2</v>
          </cell>
          <cell r="I1629" t="str">
            <v>NC</v>
          </cell>
          <cell r="J1629" t="str">
            <v>Med</v>
          </cell>
          <cell r="K1629">
            <v>58152.666666666664</v>
          </cell>
        </row>
        <row r="1630">
          <cell r="C1630">
            <v>2947162.2920234702</v>
          </cell>
          <cell r="D1630">
            <v>0.755230001644564</v>
          </cell>
          <cell r="E1630">
            <v>180566</v>
          </cell>
          <cell r="F1630">
            <v>136368.86047695199</v>
          </cell>
          <cell r="G1630">
            <v>4.6271242288229576E-2</v>
          </cell>
          <cell r="I1630" t="str">
            <v>NC</v>
          </cell>
          <cell r="J1630" t="str">
            <v>Med</v>
          </cell>
          <cell r="K1630">
            <v>54296</v>
          </cell>
        </row>
        <row r="1631">
          <cell r="C1631">
            <v>2714552.4015282402</v>
          </cell>
          <cell r="D1631">
            <v>0.765261693098919</v>
          </cell>
          <cell r="E1631">
            <v>164433</v>
          </cell>
          <cell r="F1631">
            <v>125834.275981335</v>
          </cell>
          <cell r="G1631">
            <v>4.6355441843927106E-2</v>
          </cell>
          <cell r="I1631" t="str">
            <v>NC</v>
          </cell>
          <cell r="J1631" t="str">
            <v>Med</v>
          </cell>
          <cell r="K1631">
            <v>50799.666666666664</v>
          </cell>
        </row>
        <row r="1632">
          <cell r="C1632">
            <v>3301496.8156996998</v>
          </cell>
          <cell r="D1632">
            <v>0.74345317136869205</v>
          </cell>
          <cell r="E1632">
            <v>187688</v>
          </cell>
          <cell r="F1632">
            <v>139537.238827847</v>
          </cell>
          <cell r="G1632">
            <v>4.2264841257547696E-2</v>
          </cell>
          <cell r="I1632" t="str">
            <v>NC</v>
          </cell>
          <cell r="J1632" t="str">
            <v>Med</v>
          </cell>
          <cell r="K1632">
            <v>70973</v>
          </cell>
        </row>
        <row r="1633">
          <cell r="C1633">
            <v>3102963.3453706801</v>
          </cell>
          <cell r="D1633">
            <v>0.74200653811443096</v>
          </cell>
          <cell r="E1633">
            <v>195376</v>
          </cell>
          <cell r="F1633">
            <v>144970.269390645</v>
          </cell>
          <cell r="G1633">
            <v>4.6719942601618727E-2</v>
          </cell>
          <cell r="I1633" t="str">
            <v>NC</v>
          </cell>
          <cell r="J1633" t="str">
            <v>Med</v>
          </cell>
          <cell r="K1633">
            <v>63975.666666666664</v>
          </cell>
        </row>
        <row r="1634">
          <cell r="C1634">
            <v>3057097.42488831</v>
          </cell>
          <cell r="D1634">
            <v>0.76405259960031802</v>
          </cell>
          <cell r="E1634">
            <v>186951</v>
          </cell>
          <cell r="F1634">
            <v>142840.39754787899</v>
          </cell>
          <cell r="G1634">
            <v>4.6724188894011975E-2</v>
          </cell>
          <cell r="I1634" t="str">
            <v>NC</v>
          </cell>
          <cell r="J1634" t="str">
            <v>Med</v>
          </cell>
          <cell r="K1634">
            <v>59053.666666666664</v>
          </cell>
        </row>
        <row r="1635">
          <cell r="C1635">
            <v>2459653.24325509</v>
          </cell>
          <cell r="D1635">
            <v>0.74247398635681106</v>
          </cell>
          <cell r="E1635">
            <v>182277</v>
          </cell>
          <cell r="F1635">
            <v>135335.93081116001</v>
          </cell>
          <cell r="G1635">
            <v>5.5022361864332257E-2</v>
          </cell>
          <cell r="I1635" t="str">
            <v>NC</v>
          </cell>
          <cell r="J1635" t="str">
            <v>Low</v>
          </cell>
          <cell r="K1635">
            <v>35528.333333333336</v>
          </cell>
        </row>
        <row r="1636">
          <cell r="C1636">
            <v>3675769.5252210302</v>
          </cell>
          <cell r="D1636">
            <v>0.72535476954919798</v>
          </cell>
          <cell r="E1636">
            <v>209390</v>
          </cell>
          <cell r="F1636">
            <v>151882.035195907</v>
          </cell>
          <cell r="G1636">
            <v>4.131979280903747E-2</v>
          </cell>
          <cell r="I1636" t="str">
            <v>NC</v>
          </cell>
          <cell r="J1636" t="str">
            <v>Med</v>
          </cell>
          <cell r="K1636">
            <v>86195.333333333328</v>
          </cell>
        </row>
        <row r="1637">
          <cell r="C1637">
            <v>3280997.5628019501</v>
          </cell>
          <cell r="D1637">
            <v>0.77771749992999395</v>
          </cell>
          <cell r="E1637">
            <v>166479</v>
          </cell>
          <cell r="F1637">
            <v>129473.631670845</v>
          </cell>
          <cell r="G1637">
            <v>3.946166651836077E-2</v>
          </cell>
          <cell r="I1637" t="str">
            <v>NC</v>
          </cell>
          <cell r="J1637" t="str">
            <v>No Data</v>
          </cell>
          <cell r="K1637">
            <v>0</v>
          </cell>
        </row>
        <row r="1638">
          <cell r="C1638">
            <v>3583542.7971268101</v>
          </cell>
          <cell r="D1638">
            <v>0.78644565960102297</v>
          </cell>
          <cell r="E1638">
            <v>181257</v>
          </cell>
          <cell r="F1638">
            <v>142548.78092230301</v>
          </cell>
          <cell r="G1638">
            <v>3.9778729874970338E-2</v>
          </cell>
          <cell r="I1638" t="str">
            <v>NC</v>
          </cell>
          <cell r="J1638" t="str">
            <v>Med</v>
          </cell>
          <cell r="K1638">
            <v>84558.333333333328</v>
          </cell>
        </row>
        <row r="1639">
          <cell r="C1639">
            <v>3395061.1708240798</v>
          </cell>
          <cell r="D1639">
            <v>0.71437255899373198</v>
          </cell>
          <cell r="E1639">
            <v>204886</v>
          </cell>
          <cell r="F1639">
            <v>146364.93612199</v>
          </cell>
          <cell r="G1639">
            <v>4.3111133719709385E-2</v>
          </cell>
          <cell r="I1639" t="str">
            <v>NC</v>
          </cell>
          <cell r="J1639" t="str">
            <v>No Data</v>
          </cell>
          <cell r="K1639">
            <v>0</v>
          </cell>
        </row>
        <row r="1640">
          <cell r="C1640">
            <v>3413393.0352813299</v>
          </cell>
          <cell r="D1640">
            <v>0.827103672393667</v>
          </cell>
          <cell r="E1640">
            <v>171162</v>
          </cell>
          <cell r="F1640">
            <v>141568.718774245</v>
          </cell>
          <cell r="G1640">
            <v>4.1474485156256548E-2</v>
          </cell>
          <cell r="I1640" t="str">
            <v>NC</v>
          </cell>
          <cell r="J1640" t="str">
            <v>Med</v>
          </cell>
          <cell r="K1640">
            <v>74214</v>
          </cell>
        </row>
        <row r="1641">
          <cell r="C1641">
            <v>3099488.32014</v>
          </cell>
          <cell r="D1641">
            <v>0.77588435383657905</v>
          </cell>
          <cell r="E1641">
            <v>184500</v>
          </cell>
          <cell r="F1641">
            <v>143150.66328284901</v>
          </cell>
          <cell r="G1641">
            <v>4.6185256564019922E-2</v>
          </cell>
          <cell r="I1641" t="str">
            <v>NC</v>
          </cell>
          <cell r="J1641" t="str">
            <v>Med</v>
          </cell>
          <cell r="K1641">
            <v>58817</v>
          </cell>
        </row>
        <row r="1642">
          <cell r="C1642">
            <v>3415758.3059681398</v>
          </cell>
          <cell r="D1642">
            <v>0.74102608552319005</v>
          </cell>
          <cell r="E1642">
            <v>207098</v>
          </cell>
          <cell r="F1642">
            <v>153465.020259682</v>
          </cell>
          <cell r="G1642">
            <v>4.4928536071051108E-2</v>
          </cell>
          <cell r="I1642" t="str">
            <v>NC</v>
          </cell>
          <cell r="J1642" t="str">
            <v>No Data</v>
          </cell>
          <cell r="K1642">
            <v>0</v>
          </cell>
        </row>
        <row r="1643">
          <cell r="C1643">
            <v>2728172.7367829899</v>
          </cell>
          <cell r="D1643">
            <v>0.73323242679058198</v>
          </cell>
          <cell r="E1643">
            <v>186609</v>
          </cell>
          <cell r="F1643">
            <v>136827.76993096399</v>
          </cell>
          <cell r="G1643">
            <v>5.0153631434756117E-2</v>
          </cell>
          <cell r="I1643" t="str">
            <v>NC</v>
          </cell>
          <cell r="J1643" t="str">
            <v>Med</v>
          </cell>
          <cell r="K1643">
            <v>47637.333333333336</v>
          </cell>
        </row>
        <row r="1644">
          <cell r="C1644">
            <v>3367995.5053268</v>
          </cell>
          <cell r="D1644">
            <v>0.73935180496214803</v>
          </cell>
          <cell r="E1644">
            <v>206736</v>
          </cell>
          <cell r="F1644">
            <v>152850.63475065501</v>
          </cell>
          <cell r="G1644">
            <v>4.5383265657245514E-2</v>
          </cell>
          <cell r="I1644" t="str">
            <v>NC</v>
          </cell>
          <cell r="J1644" t="str">
            <v>Med</v>
          </cell>
          <cell r="K1644">
            <v>69341.666666666672</v>
          </cell>
        </row>
        <row r="1645">
          <cell r="C1645">
            <v>3646141.1633560802</v>
          </cell>
          <cell r="D1645">
            <v>0.75738294669094597</v>
          </cell>
          <cell r="E1645">
            <v>173361</v>
          </cell>
          <cell r="F1645">
            <v>131300.66502128899</v>
          </cell>
          <cell r="G1645">
            <v>3.6010856173334133E-2</v>
          </cell>
          <cell r="I1645" t="str">
            <v>NC</v>
          </cell>
          <cell r="J1645" t="str">
            <v>Med</v>
          </cell>
          <cell r="K1645">
            <v>85208</v>
          </cell>
        </row>
        <row r="1646">
          <cell r="C1646">
            <v>1426014.4209452199</v>
          </cell>
          <cell r="D1646">
            <v>0.81552601306253003</v>
          </cell>
          <cell r="E1646">
            <v>108859</v>
          </cell>
          <cell r="F1646">
            <v>88777.346255974</v>
          </cell>
          <cell r="G1646">
            <v>6.2255573963360615E-2</v>
          </cell>
          <cell r="I1646" t="str">
            <v>NC</v>
          </cell>
          <cell r="J1646" t="str">
            <v>Low</v>
          </cell>
          <cell r="K1646">
            <v>32777.666666666664</v>
          </cell>
        </row>
        <row r="1647">
          <cell r="C1647">
            <v>1766057.1360766699</v>
          </cell>
          <cell r="D1647">
            <v>0.78812696600967302</v>
          </cell>
          <cell r="E1647">
            <v>138645</v>
          </cell>
          <cell r="F1647">
            <v>109269.863202411</v>
          </cell>
          <cell r="G1647">
            <v>6.1872212948419159E-2</v>
          </cell>
          <cell r="I1647" t="str">
            <v>NC</v>
          </cell>
          <cell r="J1647" t="str">
            <v>Med</v>
          </cell>
          <cell r="K1647">
            <v>60623.333333333336</v>
          </cell>
        </row>
        <row r="1648">
          <cell r="C1648">
            <v>1752176.85158893</v>
          </cell>
          <cell r="D1648">
            <v>0.81185378676478204</v>
          </cell>
          <cell r="E1648">
            <v>125500</v>
          </cell>
          <cell r="F1648">
            <v>101887.65023898</v>
          </cell>
          <cell r="G1648">
            <v>5.81491817715689E-2</v>
          </cell>
          <cell r="I1648" t="str">
            <v>NC</v>
          </cell>
          <cell r="J1648" t="str">
            <v>Med</v>
          </cell>
          <cell r="K1648">
            <v>58152.666666666664</v>
          </cell>
        </row>
        <row r="1649">
          <cell r="C1649">
            <v>1699901.13638099</v>
          </cell>
          <cell r="D1649">
            <v>0.79038214633905601</v>
          </cell>
          <cell r="E1649">
            <v>127089</v>
          </cell>
          <cell r="F1649">
            <v>100448.876596084</v>
          </cell>
          <cell r="G1649">
            <v>5.9091010910160897E-2</v>
          </cell>
          <cell r="I1649" t="str">
            <v>NC</v>
          </cell>
          <cell r="J1649" t="str">
            <v>Med</v>
          </cell>
          <cell r="K1649">
            <v>54296</v>
          </cell>
        </row>
        <row r="1650">
          <cell r="C1650">
            <v>1598225.9394840701</v>
          </cell>
          <cell r="D1650">
            <v>0.78505579643198198</v>
          </cell>
          <cell r="E1650">
            <v>117156</v>
          </cell>
          <cell r="F1650">
            <v>91973.996886785302</v>
          </cell>
          <cell r="G1650">
            <v>5.7547556083638471E-2</v>
          </cell>
          <cell r="I1650" t="str">
            <v>NC</v>
          </cell>
          <cell r="J1650" t="str">
            <v>Med</v>
          </cell>
          <cell r="K1650">
            <v>50799.666666666664</v>
          </cell>
        </row>
        <row r="1651">
          <cell r="C1651">
            <v>1908451.1479247599</v>
          </cell>
          <cell r="D1651">
            <v>0.80116484639125496</v>
          </cell>
          <cell r="E1651">
            <v>130000</v>
          </cell>
          <cell r="F1651">
            <v>104151.430030863</v>
          </cell>
          <cell r="G1651">
            <v>5.4573799357723538E-2</v>
          </cell>
          <cell r="I1651" t="str">
            <v>NC</v>
          </cell>
          <cell r="J1651" t="str">
            <v>Med</v>
          </cell>
          <cell r="K1651">
            <v>70973</v>
          </cell>
        </row>
        <row r="1652">
          <cell r="C1652">
            <v>1796220.89804066</v>
          </cell>
          <cell r="D1652">
            <v>0.76309634593884401</v>
          </cell>
          <cell r="E1652">
            <v>138113</v>
          </cell>
          <cell r="F1652">
            <v>105393.525626652</v>
          </cell>
          <cell r="G1652">
            <v>5.8675147216924468E-2</v>
          </cell>
          <cell r="I1652" t="str">
            <v>NC</v>
          </cell>
          <cell r="J1652" t="str">
            <v>Med</v>
          </cell>
          <cell r="K1652">
            <v>63975.666666666664</v>
          </cell>
        </row>
        <row r="1653">
          <cell r="C1653">
            <v>1779328.4446670201</v>
          </cell>
          <cell r="D1653">
            <v>0.77760436631746699</v>
          </cell>
          <cell r="E1653">
            <v>136818</v>
          </cell>
          <cell r="F1653">
            <v>106390.27419082299</v>
          </cell>
          <cell r="G1653">
            <v>5.9792375325474358E-2</v>
          </cell>
          <cell r="I1653" t="str">
            <v>NC</v>
          </cell>
          <cell r="J1653" t="str">
            <v>Med</v>
          </cell>
          <cell r="K1653">
            <v>59053.666666666664</v>
          </cell>
        </row>
        <row r="1654">
          <cell r="C1654">
            <v>1410828.8755697</v>
          </cell>
          <cell r="D1654">
            <v>0.76141960750722704</v>
          </cell>
          <cell r="E1654">
            <v>130210</v>
          </cell>
          <cell r="F1654">
            <v>99144.447093516093</v>
          </cell>
          <cell r="G1654">
            <v>7.0273899840248913E-2</v>
          </cell>
          <cell r="I1654" t="str">
            <v>NC</v>
          </cell>
          <cell r="J1654" t="str">
            <v>Low</v>
          </cell>
          <cell r="K1654">
            <v>35528.333333333336</v>
          </cell>
        </row>
        <row r="1655">
          <cell r="C1655">
            <v>2111585.1775032701</v>
          </cell>
          <cell r="D1655">
            <v>0.76504498839655699</v>
          </cell>
          <cell r="E1655">
            <v>149022</v>
          </cell>
          <cell r="F1655">
            <v>114008.53426083201</v>
          </cell>
          <cell r="G1655">
            <v>5.3991918240132393E-2</v>
          </cell>
          <cell r="I1655" t="str">
            <v>NC</v>
          </cell>
          <cell r="J1655" t="str">
            <v>Med</v>
          </cell>
          <cell r="K1655">
            <v>86195.333333333328</v>
          </cell>
        </row>
        <row r="1656">
          <cell r="C1656">
            <v>1897273.1049176799</v>
          </cell>
          <cell r="D1656">
            <v>0.78283646825340802</v>
          </cell>
          <cell r="E1656">
            <v>120824</v>
          </cell>
          <cell r="F1656">
            <v>94585.433440249806</v>
          </cell>
          <cell r="G1656">
            <v>4.9853357007531997E-2</v>
          </cell>
          <cell r="I1656" t="str">
            <v>NC</v>
          </cell>
          <cell r="J1656" t="str">
            <v>No Data</v>
          </cell>
          <cell r="K1656">
            <v>0</v>
          </cell>
        </row>
        <row r="1657">
          <cell r="C1657">
            <v>2058671.1149468301</v>
          </cell>
          <cell r="D1657">
            <v>0.79077559045666901</v>
          </cell>
          <cell r="E1657">
            <v>130620</v>
          </cell>
          <cell r="F1657">
            <v>103291.10762544999</v>
          </cell>
          <cell r="G1657">
            <v>5.0173680912658905E-2</v>
          </cell>
          <cell r="I1657" t="str">
            <v>NC</v>
          </cell>
          <cell r="J1657" t="str">
            <v>Med</v>
          </cell>
          <cell r="K1657">
            <v>84558.333333333328</v>
          </cell>
        </row>
        <row r="1658">
          <cell r="C1658">
            <v>1970202.8812770101</v>
          </cell>
          <cell r="D1658">
            <v>0.76876108272713894</v>
          </cell>
          <cell r="E1658">
            <v>139616</v>
          </cell>
          <cell r="F1658">
            <v>107331.347326032</v>
          </cell>
          <cell r="G1658">
            <v>5.4477307056044873E-2</v>
          </cell>
          <cell r="I1658" t="str">
            <v>NC</v>
          </cell>
          <cell r="J1658" t="str">
            <v>No Data</v>
          </cell>
          <cell r="K1658">
            <v>0</v>
          </cell>
        </row>
        <row r="1659">
          <cell r="C1659">
            <v>1944910.1463576099</v>
          </cell>
          <cell r="D1659">
            <v>0.82429224197509599</v>
          </cell>
          <cell r="E1659">
            <v>125847</v>
          </cell>
          <cell r="F1659">
            <v>103734.70577584</v>
          </cell>
          <cell r="G1659">
            <v>5.3336502958819129E-2</v>
          </cell>
          <cell r="I1659" t="str">
            <v>NC</v>
          </cell>
          <cell r="J1659" t="str">
            <v>Med</v>
          </cell>
          <cell r="K1659">
            <v>74214</v>
          </cell>
        </row>
        <row r="1660">
          <cell r="C1660">
            <v>1768320.93991385</v>
          </cell>
          <cell r="D1660">
            <v>0.80200527534567401</v>
          </cell>
          <cell r="E1660">
            <v>130887</v>
          </cell>
          <cell r="F1660">
            <v>104972.064474169</v>
          </cell>
          <cell r="G1660">
            <v>5.9362563720634948E-2</v>
          </cell>
          <cell r="I1660" t="str">
            <v>NC</v>
          </cell>
          <cell r="J1660" t="str">
            <v>Med</v>
          </cell>
          <cell r="K1660">
            <v>58817</v>
          </cell>
        </row>
        <row r="1661">
          <cell r="C1661">
            <v>1963249.5902960801</v>
          </cell>
          <cell r="D1661">
            <v>0.786811701441398</v>
          </cell>
          <cell r="E1661">
            <v>144110</v>
          </cell>
          <cell r="F1661">
            <v>113387.43429472001</v>
          </cell>
          <cell r="G1661">
            <v>5.7754976674982986E-2</v>
          </cell>
          <cell r="I1661" t="str">
            <v>NC</v>
          </cell>
          <cell r="J1661" t="str">
            <v>No Data</v>
          </cell>
          <cell r="K1661">
            <v>0</v>
          </cell>
        </row>
        <row r="1662">
          <cell r="C1662">
            <v>1587453.2503849301</v>
          </cell>
          <cell r="D1662">
            <v>0.754769639890151</v>
          </cell>
          <cell r="E1662">
            <v>131961</v>
          </cell>
          <cell r="F1662">
            <v>99600.156449544302</v>
          </cell>
          <cell r="G1662">
            <v>6.2742103696844603E-2</v>
          </cell>
          <cell r="I1662" t="str">
            <v>NC</v>
          </cell>
          <cell r="J1662" t="str">
            <v>Med</v>
          </cell>
          <cell r="K1662">
            <v>47637.333333333336</v>
          </cell>
        </row>
        <row r="1663">
          <cell r="C1663">
            <v>1925045.9577764</v>
          </cell>
          <cell r="D1663">
            <v>0.77882091089125804</v>
          </cell>
          <cell r="E1663">
            <v>145046</v>
          </cell>
          <cell r="F1663">
            <v>112964.85784113299</v>
          </cell>
          <cell r="G1663">
            <v>5.8681642058882322E-2</v>
          </cell>
          <cell r="I1663" t="str">
            <v>NC</v>
          </cell>
          <cell r="J1663" t="str">
            <v>Med</v>
          </cell>
          <cell r="K1663">
            <v>69341.666666666672</v>
          </cell>
        </row>
        <row r="1664">
          <cell r="C1664">
            <v>2075741.5550710701</v>
          </cell>
          <cell r="D1664">
            <v>0.773209198928</v>
          </cell>
          <cell r="E1664">
            <v>126208</v>
          </cell>
          <cell r="F1664">
            <v>97585.186578305103</v>
          </cell>
          <cell r="G1664">
            <v>4.701220454921419E-2</v>
          </cell>
          <cell r="I1664" t="str">
            <v>NC</v>
          </cell>
          <cell r="J1664" t="str">
            <v>Med</v>
          </cell>
          <cell r="K1664">
            <v>85208</v>
          </cell>
        </row>
        <row r="1665">
          <cell r="C1665">
            <v>1600194.8118622201</v>
          </cell>
          <cell r="D1665">
            <v>0.80324011065049095</v>
          </cell>
          <cell r="E1665">
            <v>128797</v>
          </cell>
          <cell r="F1665">
            <v>103454.916531451</v>
          </cell>
          <cell r="G1665">
            <v>6.4651451038674326E-2</v>
          </cell>
          <cell r="I1665" t="str">
            <v>NC</v>
          </cell>
          <cell r="J1665" t="str">
            <v>Low</v>
          </cell>
          <cell r="K1665">
            <v>32777.666666666664</v>
          </cell>
        </row>
        <row r="1666">
          <cell r="C1666">
            <v>2039552.5472486201</v>
          </cell>
          <cell r="D1666">
            <v>0.78076330182264797</v>
          </cell>
          <cell r="E1666">
            <v>162805</v>
          </cell>
          <cell r="F1666">
            <v>127112.16935323599</v>
          </cell>
          <cell r="G1666">
            <v>6.2323556960918597E-2</v>
          </cell>
          <cell r="I1666" t="str">
            <v>NC</v>
          </cell>
          <cell r="J1666" t="str">
            <v>Med</v>
          </cell>
          <cell r="K1666">
            <v>60623.333333333336</v>
          </cell>
        </row>
        <row r="1667">
          <cell r="C1667">
            <v>1979311.4740643301</v>
          </cell>
          <cell r="D1667">
            <v>0.80337770209484405</v>
          </cell>
          <cell r="E1667">
            <v>141518</v>
          </cell>
          <cell r="F1667">
            <v>113692.405645058</v>
          </cell>
          <cell r="G1667">
            <v>5.7440381230954685E-2</v>
          </cell>
          <cell r="I1667" t="str">
            <v>NC</v>
          </cell>
          <cell r="J1667" t="str">
            <v>Med</v>
          </cell>
          <cell r="K1667">
            <v>58152.666666666664</v>
          </cell>
        </row>
        <row r="1668">
          <cell r="C1668">
            <v>1937159.2898455299</v>
          </cell>
          <cell r="D1668">
            <v>0.78688451626896605</v>
          </cell>
          <cell r="E1668">
            <v>140473</v>
          </cell>
          <cell r="F1668">
            <v>110536.02865384999</v>
          </cell>
          <cell r="G1668">
            <v>5.7060887678815606E-2</v>
          </cell>
          <cell r="I1668" t="str">
            <v>NC</v>
          </cell>
          <cell r="J1668" t="str">
            <v>Med</v>
          </cell>
          <cell r="K1668">
            <v>54296</v>
          </cell>
        </row>
        <row r="1669">
          <cell r="C1669">
            <v>1782167.99510046</v>
          </cell>
          <cell r="D1669">
            <v>0.80009825166872905</v>
          </cell>
          <cell r="E1669">
            <v>126701</v>
          </cell>
          <cell r="F1669">
            <v>101373.24858468</v>
          </cell>
          <cell r="G1669">
            <v>5.6881982430037767E-2</v>
          </cell>
          <cell r="I1669" t="str">
            <v>NC</v>
          </cell>
          <cell r="J1669" t="str">
            <v>Med</v>
          </cell>
          <cell r="K1669">
            <v>50799.666666666664</v>
          </cell>
        </row>
        <row r="1670">
          <cell r="C1670">
            <v>2146059.9649688802</v>
          </cell>
          <cell r="D1670">
            <v>0.78494010412711301</v>
          </cell>
          <cell r="E1670">
            <v>147327</v>
          </cell>
          <cell r="F1670">
            <v>115642.87072073499</v>
          </cell>
          <cell r="G1670">
            <v>5.3886132078519028E-2</v>
          </cell>
          <cell r="I1670" t="str">
            <v>NC</v>
          </cell>
          <cell r="J1670" t="str">
            <v>Med</v>
          </cell>
          <cell r="K1670">
            <v>70973</v>
          </cell>
        </row>
        <row r="1671">
          <cell r="C1671">
            <v>2034357.4493714699</v>
          </cell>
          <cell r="D1671">
            <v>0.77916624591109296</v>
          </cell>
          <cell r="E1671">
            <v>157103</v>
          </cell>
          <cell r="F1671">
            <v>122409.35473137</v>
          </cell>
          <cell r="G1671">
            <v>6.0171016046953442E-2</v>
          </cell>
          <cell r="I1671" t="str">
            <v>NC</v>
          </cell>
          <cell r="J1671" t="str">
            <v>Med</v>
          </cell>
          <cell r="K1671">
            <v>63975.666666666664</v>
          </cell>
        </row>
        <row r="1672">
          <cell r="C1672">
            <v>2026830.73710176</v>
          </cell>
          <cell r="D1672">
            <v>0.79568345412486496</v>
          </cell>
          <cell r="E1672">
            <v>151764</v>
          </cell>
          <cell r="F1672">
            <v>120756.103731806</v>
          </cell>
          <cell r="G1672">
            <v>5.9578780566787538E-2</v>
          </cell>
          <cell r="I1672" t="str">
            <v>NC</v>
          </cell>
          <cell r="J1672" t="str">
            <v>Med</v>
          </cell>
          <cell r="K1672">
            <v>59053.666666666664</v>
          </cell>
        </row>
        <row r="1673">
          <cell r="C1673">
            <v>1649524.8638514101</v>
          </cell>
          <cell r="D1673">
            <v>0.76441228665397098</v>
          </cell>
          <cell r="E1673">
            <v>151213</v>
          </cell>
          <cell r="F1673">
            <v>115589.075101807</v>
          </cell>
          <cell r="G1673">
            <v>7.0074163557572969E-2</v>
          </cell>
          <cell r="I1673" t="str">
            <v>NC</v>
          </cell>
          <cell r="J1673" t="str">
            <v>Low</v>
          </cell>
          <cell r="K1673">
            <v>35528.333333333336</v>
          </cell>
        </row>
        <row r="1674">
          <cell r="C1674">
            <v>2387633.4762940202</v>
          </cell>
          <cell r="D1674">
            <v>0.81475406020233498</v>
          </cell>
          <cell r="E1674">
            <v>157012</v>
          </cell>
          <cell r="F1674">
            <v>127926.164500489</v>
          </cell>
          <cell r="G1674">
            <v>5.3578644197538383E-2</v>
          </cell>
          <cell r="I1674" t="str">
            <v>NC</v>
          </cell>
          <cell r="J1674" t="str">
            <v>Med</v>
          </cell>
          <cell r="K1674">
            <v>86195.333333333328</v>
          </cell>
        </row>
        <row r="1675">
          <cell r="C1675">
            <v>2132238.7002236699</v>
          </cell>
          <cell r="D1675">
            <v>0.78893770423910403</v>
          </cell>
          <cell r="E1675">
            <v>136534</v>
          </cell>
          <cell r="F1675">
            <v>107716.82051058199</v>
          </cell>
          <cell r="G1675">
            <v>5.0518180961297905E-2</v>
          </cell>
          <cell r="I1675" t="str">
            <v>NC</v>
          </cell>
          <cell r="J1675" t="str">
            <v>No Data</v>
          </cell>
          <cell r="K1675">
            <v>0</v>
          </cell>
        </row>
        <row r="1676">
          <cell r="C1676">
            <v>2342447.5317085399</v>
          </cell>
          <cell r="D1676">
            <v>0.77606243956253695</v>
          </cell>
          <cell r="E1676">
            <v>153349</v>
          </cell>
          <cell r="F1676">
            <v>119008.39904447499</v>
          </cell>
          <cell r="G1676">
            <v>5.0805150353857603E-2</v>
          </cell>
          <cell r="I1676" t="str">
            <v>NC</v>
          </cell>
          <cell r="J1676" t="str">
            <v>Med</v>
          </cell>
          <cell r="K1676">
            <v>84558.333333333328</v>
          </cell>
        </row>
        <row r="1677">
          <cell r="C1677">
            <v>2179649.9287900799</v>
          </cell>
          <cell r="D1677">
            <v>0.75476327841100199</v>
          </cell>
          <cell r="E1677">
            <v>155666</v>
          </cell>
          <cell r="F1677">
            <v>117490.98049712701</v>
          </cell>
          <cell r="G1677">
            <v>5.390360119083254E-2</v>
          </cell>
          <cell r="I1677" t="str">
            <v>NC</v>
          </cell>
          <cell r="J1677" t="str">
            <v>No Data</v>
          </cell>
          <cell r="K1677">
            <v>0</v>
          </cell>
        </row>
        <row r="1678">
          <cell r="C1678">
            <v>2257789.75096867</v>
          </cell>
          <cell r="D1678">
            <v>0.81641233623134501</v>
          </cell>
          <cell r="E1678">
            <v>146849</v>
          </cell>
          <cell r="F1678">
            <v>119889.335163237</v>
          </cell>
          <cell r="G1678">
            <v>5.3100309766133148E-2</v>
          </cell>
          <cell r="I1678" t="str">
            <v>NC</v>
          </cell>
          <cell r="J1678" t="str">
            <v>Med</v>
          </cell>
          <cell r="K1678">
            <v>74214</v>
          </cell>
        </row>
        <row r="1679">
          <cell r="C1679">
            <v>2021108.5629915099</v>
          </cell>
          <cell r="D1679">
            <v>0.816834326540268</v>
          </cell>
          <cell r="E1679">
            <v>142798</v>
          </cell>
          <cell r="F1679">
            <v>116642.308161297</v>
          </cell>
          <cell r="G1679">
            <v>5.7712044912941657E-2</v>
          </cell>
          <cell r="I1679" t="str">
            <v>NC</v>
          </cell>
          <cell r="J1679" t="str">
            <v>Med</v>
          </cell>
          <cell r="K1679">
            <v>58817</v>
          </cell>
        </row>
        <row r="1680">
          <cell r="C1680">
            <v>2283855.4504491398</v>
          </cell>
          <cell r="D1680">
            <v>0.77184806588299404</v>
          </cell>
          <cell r="E1680">
            <v>169649</v>
          </cell>
          <cell r="F1680">
            <v>130943.252528984</v>
          </cell>
          <cell r="G1680">
            <v>5.7334299551765798E-2</v>
          </cell>
          <cell r="I1680" t="str">
            <v>NC</v>
          </cell>
          <cell r="J1680" t="str">
            <v>No Data</v>
          </cell>
          <cell r="K1680">
            <v>0</v>
          </cell>
        </row>
        <row r="1681">
          <cell r="C1681">
            <v>1780359.40903163</v>
          </cell>
          <cell r="D1681">
            <v>0.74995047787306501</v>
          </cell>
          <cell r="E1681">
            <v>152484</v>
          </cell>
          <cell r="F1681">
            <v>114355.448667996</v>
          </cell>
          <cell r="G1681">
            <v>6.4231664734591992E-2</v>
          </cell>
          <cell r="I1681" t="str">
            <v>NC</v>
          </cell>
          <cell r="J1681" t="str">
            <v>Med</v>
          </cell>
          <cell r="K1681">
            <v>47637.333333333336</v>
          </cell>
        </row>
        <row r="1682">
          <cell r="C1682">
            <v>2177884.8877374898</v>
          </cell>
          <cell r="D1682">
            <v>0.79030468435241097</v>
          </cell>
          <cell r="E1682">
            <v>161321</v>
          </cell>
          <cell r="F1682">
            <v>127492.741984415</v>
          </cell>
          <cell r="G1682">
            <v>5.8539706438232225E-2</v>
          </cell>
          <cell r="I1682" t="str">
            <v>NC</v>
          </cell>
          <cell r="J1682" t="str">
            <v>Med</v>
          </cell>
          <cell r="K1682">
            <v>69341.666666666672</v>
          </cell>
        </row>
        <row r="1683">
          <cell r="C1683">
            <v>2371716.23438496</v>
          </cell>
          <cell r="D1683">
            <v>0.77805929902843096</v>
          </cell>
          <cell r="E1683">
            <v>141145</v>
          </cell>
          <cell r="F1683">
            <v>109819.179761368</v>
          </cell>
          <cell r="G1683">
            <v>4.6303675865273404E-2</v>
          </cell>
          <cell r="I1683" t="str">
            <v>NC</v>
          </cell>
          <cell r="J1683" t="str">
            <v>Med</v>
          </cell>
          <cell r="K1683">
            <v>85208</v>
          </cell>
        </row>
        <row r="1684">
          <cell r="C1684">
            <v>1789009.2950545601</v>
          </cell>
          <cell r="D1684">
            <v>0.81926972234676898</v>
          </cell>
          <cell r="E1684">
            <v>143253</v>
          </cell>
          <cell r="F1684">
            <v>117362.845535342</v>
          </cell>
          <cell r="G1684">
            <v>6.5602144080398841E-2</v>
          </cell>
          <cell r="I1684" t="str">
            <v>NC</v>
          </cell>
          <cell r="J1684" t="str">
            <v>Low</v>
          </cell>
          <cell r="K1684">
            <v>32777.666666666664</v>
          </cell>
        </row>
        <row r="1685">
          <cell r="C1685">
            <v>2291257.31076953</v>
          </cell>
          <cell r="D1685">
            <v>0.808822816755699</v>
          </cell>
          <cell r="E1685">
            <v>185547</v>
          </cell>
          <cell r="F1685">
            <v>150074.64718057</v>
          </cell>
          <cell r="G1685">
            <v>6.5498818694512614E-2</v>
          </cell>
          <cell r="I1685" t="str">
            <v>NC</v>
          </cell>
          <cell r="J1685" t="str">
            <v>Med</v>
          </cell>
          <cell r="K1685">
            <v>60623.333333333336</v>
          </cell>
        </row>
        <row r="1686">
          <cell r="C1686">
            <v>2219312.575073</v>
          </cell>
          <cell r="D1686">
            <v>0.83257333550797397</v>
          </cell>
          <cell r="E1686">
            <v>161547</v>
          </cell>
          <cell r="F1686">
            <v>134499.72463130701</v>
          </cell>
          <cell r="G1686">
            <v>6.060422769734583E-2</v>
          </cell>
          <cell r="I1686" t="str">
            <v>NC</v>
          </cell>
          <cell r="J1686" t="str">
            <v>Med</v>
          </cell>
          <cell r="K1686">
            <v>58152.666666666664</v>
          </cell>
        </row>
        <row r="1687">
          <cell r="C1687">
            <v>2166708.5273268502</v>
          </cell>
          <cell r="D1687">
            <v>0.80604441040365604</v>
          </cell>
          <cell r="E1687">
            <v>166998</v>
          </cell>
          <cell r="F1687">
            <v>134607.80444859</v>
          </cell>
          <cell r="G1687">
            <v>6.2125478693094316E-2</v>
          </cell>
          <cell r="I1687" t="str">
            <v>NC</v>
          </cell>
          <cell r="J1687" t="str">
            <v>Med</v>
          </cell>
          <cell r="K1687">
            <v>54296</v>
          </cell>
        </row>
        <row r="1688">
          <cell r="C1688">
            <v>2004205.74913442</v>
          </cell>
          <cell r="D1688">
            <v>0.80084321009648995</v>
          </cell>
          <cell r="E1688">
            <v>153051</v>
          </cell>
          <cell r="F1688">
            <v>122569.854148478</v>
          </cell>
          <cell r="G1688">
            <v>6.1156322997982467E-2</v>
          </cell>
          <cell r="I1688" t="str">
            <v>NC</v>
          </cell>
          <cell r="J1688" t="str">
            <v>Med</v>
          </cell>
          <cell r="K1688">
            <v>50799.666666666664</v>
          </cell>
        </row>
        <row r="1689">
          <cell r="C1689">
            <v>2465363.2615034599</v>
          </cell>
          <cell r="D1689">
            <v>0.81632181325918296</v>
          </cell>
          <cell r="E1689">
            <v>170886</v>
          </cell>
          <cell r="F1689">
            <v>139497.96938060899</v>
          </cell>
          <cell r="G1689">
            <v>5.6583129780046502E-2</v>
          </cell>
          <cell r="I1689" t="str">
            <v>NC</v>
          </cell>
          <cell r="J1689" t="str">
            <v>Med</v>
          </cell>
          <cell r="K1689">
            <v>70973</v>
          </cell>
        </row>
        <row r="1690">
          <cell r="C1690">
            <v>2315000.6282082498</v>
          </cell>
          <cell r="D1690">
            <v>0.76860722661845005</v>
          </cell>
          <cell r="E1690">
            <v>187916</v>
          </cell>
          <cell r="F1690">
            <v>144433.59559723301</v>
          </cell>
          <cell r="G1690">
            <v>6.2390305141740224E-2</v>
          </cell>
          <cell r="I1690" t="str">
            <v>NC</v>
          </cell>
          <cell r="J1690" t="str">
            <v>Med</v>
          </cell>
          <cell r="K1690">
            <v>63975.666666666664</v>
          </cell>
        </row>
        <row r="1691">
          <cell r="C1691">
            <v>2281866.26494561</v>
          </cell>
          <cell r="D1691">
            <v>0.79091631762202896</v>
          </cell>
          <cell r="E1691">
            <v>182523</v>
          </cell>
          <cell r="F1691">
            <v>144360.41904132601</v>
          </cell>
          <cell r="G1691">
            <v>6.3264189167881388E-2</v>
          </cell>
          <cell r="I1691" t="str">
            <v>NC</v>
          </cell>
          <cell r="J1691" t="str">
            <v>Med</v>
          </cell>
          <cell r="K1691">
            <v>59053.666666666664</v>
          </cell>
        </row>
        <row r="1692">
          <cell r="C1692">
            <v>1810753.0911550701</v>
          </cell>
          <cell r="D1692">
            <v>0.74717940810973105</v>
          </cell>
          <cell r="E1692">
            <v>188430</v>
          </cell>
          <cell r="F1692">
            <v>140791.015870117</v>
          </cell>
          <cell r="G1692">
            <v>7.7752740866678369E-2</v>
          </cell>
          <cell r="I1692" t="str">
            <v>NC</v>
          </cell>
          <cell r="J1692" t="str">
            <v>Low</v>
          </cell>
          <cell r="K1692">
            <v>35528.333333333336</v>
          </cell>
        </row>
        <row r="1693">
          <cell r="C1693">
            <v>2680341.7123678899</v>
          </cell>
          <cell r="D1693">
            <v>0.78130223905582896</v>
          </cell>
          <cell r="E1693">
            <v>195990</v>
          </cell>
          <cell r="F1693">
            <v>153127.42583255199</v>
          </cell>
          <cell r="G1693">
            <v>5.7129814876206539E-2</v>
          </cell>
          <cell r="I1693" t="str">
            <v>NC</v>
          </cell>
          <cell r="J1693" t="str">
            <v>Med</v>
          </cell>
          <cell r="K1693">
            <v>86195.333333333328</v>
          </cell>
        </row>
        <row r="1694">
          <cell r="C1694">
            <v>2451833.43813051</v>
          </cell>
          <cell r="D1694">
            <v>0.78196059353943204</v>
          </cell>
          <cell r="E1694">
            <v>167899</v>
          </cell>
          <cell r="F1694">
            <v>131290.40169467701</v>
          </cell>
          <cell r="G1694">
            <v>5.354784695113065E-2</v>
          </cell>
          <cell r="I1694" t="str">
            <v>NC</v>
          </cell>
          <cell r="J1694" t="str">
            <v>No Data</v>
          </cell>
          <cell r="K1694">
            <v>0</v>
          </cell>
        </row>
        <row r="1695">
          <cell r="C1695">
            <v>2649063.11195296</v>
          </cell>
          <cell r="D1695">
            <v>0.81531748726530096</v>
          </cell>
          <cell r="E1695">
            <v>171783</v>
          </cell>
          <cell r="F1695">
            <v>140057.68391489499</v>
          </cell>
          <cell r="G1695">
            <v>5.2870648223869887E-2</v>
          </cell>
          <cell r="I1695" t="str">
            <v>NC</v>
          </cell>
          <cell r="J1695" t="str">
            <v>Med</v>
          </cell>
          <cell r="K1695">
            <v>84558.333333333328</v>
          </cell>
        </row>
        <row r="1696">
          <cell r="C1696">
            <v>2469609.1106807101</v>
          </cell>
          <cell r="D1696">
            <v>0.73828515651113602</v>
          </cell>
          <cell r="E1696">
            <v>195105</v>
          </cell>
          <cell r="F1696">
            <v>144043.125461105</v>
          </cell>
          <cell r="G1696">
            <v>5.8326285256293742E-2</v>
          </cell>
          <cell r="I1696" t="str">
            <v>NC</v>
          </cell>
          <cell r="J1696" t="str">
            <v>No Data</v>
          </cell>
          <cell r="K1696">
            <v>0</v>
          </cell>
        </row>
        <row r="1697">
          <cell r="C1697">
            <v>2518680.4366182</v>
          </cell>
          <cell r="D1697">
            <v>0.82021739770348401</v>
          </cell>
          <cell r="E1697">
            <v>170652</v>
          </cell>
          <cell r="F1697">
            <v>139971.73935289501</v>
          </cell>
          <cell r="G1697">
            <v>5.5573441282147439E-2</v>
          </cell>
          <cell r="I1697" t="str">
            <v>NC</v>
          </cell>
          <cell r="J1697" t="str">
            <v>Med</v>
          </cell>
          <cell r="K1697">
            <v>74214</v>
          </cell>
        </row>
        <row r="1698">
          <cell r="C1698">
            <v>2254078.3024134301</v>
          </cell>
          <cell r="D1698">
            <v>0.82331143876158597</v>
          </cell>
          <cell r="E1698">
            <v>167941</v>
          </cell>
          <cell r="F1698">
            <v>138267.74633706</v>
          </cell>
          <cell r="G1698">
            <v>6.1341146041385269E-2</v>
          </cell>
          <cell r="I1698" t="str">
            <v>NC</v>
          </cell>
          <cell r="J1698" t="str">
            <v>Med</v>
          </cell>
          <cell r="K1698">
            <v>58817</v>
          </cell>
        </row>
        <row r="1699">
          <cell r="C1699">
            <v>2538853.15893722</v>
          </cell>
          <cell r="D1699">
            <v>0.75664456517815804</v>
          </cell>
          <cell r="E1699">
            <v>201531</v>
          </cell>
          <cell r="F1699">
            <v>152487.335864919</v>
          </cell>
          <cell r="G1699">
            <v>6.006150270177546E-2</v>
          </cell>
          <cell r="I1699" t="str">
            <v>NC</v>
          </cell>
          <cell r="J1699" t="str">
            <v>No Data</v>
          </cell>
          <cell r="K1699">
            <v>0</v>
          </cell>
        </row>
        <row r="1700">
          <cell r="C1700">
            <v>2048301.91760416</v>
          </cell>
          <cell r="D1700">
            <v>0.75142775409522</v>
          </cell>
          <cell r="E1700">
            <v>182361</v>
          </cell>
          <cell r="F1700">
            <v>137031.11666455801</v>
          </cell>
          <cell r="G1700">
            <v>6.6899862508960281E-2</v>
          </cell>
          <cell r="I1700" t="str">
            <v>NC</v>
          </cell>
          <cell r="J1700" t="str">
            <v>Med</v>
          </cell>
          <cell r="K1700">
            <v>47637.333333333336</v>
          </cell>
        </row>
        <row r="1701">
          <cell r="C1701">
            <v>2446197.7728005201</v>
          </cell>
          <cell r="D1701">
            <v>0.79365043213031705</v>
          </cell>
          <cell r="E1701">
            <v>193925</v>
          </cell>
          <cell r="F1701">
            <v>153908.66005087199</v>
          </cell>
          <cell r="G1701">
            <v>6.2917504775041252E-2</v>
          </cell>
          <cell r="I1701" t="str">
            <v>NC</v>
          </cell>
          <cell r="J1701" t="str">
            <v>Med</v>
          </cell>
          <cell r="K1701">
            <v>69341.666666666672</v>
          </cell>
        </row>
        <row r="1702">
          <cell r="C1702">
            <v>2630696.0475804</v>
          </cell>
          <cell r="D1702">
            <v>0.75387742047808504</v>
          </cell>
          <cell r="E1702">
            <v>170714</v>
          </cell>
          <cell r="F1702">
            <v>128697.429959496</v>
          </cell>
          <cell r="G1702">
            <v>4.8921436620496812E-2</v>
          </cell>
          <cell r="I1702" t="str">
            <v>NC</v>
          </cell>
          <cell r="J1702" t="str">
            <v>Med</v>
          </cell>
          <cell r="K1702">
            <v>85208</v>
          </cell>
        </row>
        <row r="1703">
          <cell r="C1703">
            <v>1879875.1667362801</v>
          </cell>
          <cell r="D1703">
            <v>0.820949711808866</v>
          </cell>
          <cell r="E1703">
            <v>169767</v>
          </cell>
          <cell r="F1703">
            <v>139370.16972465601</v>
          </cell>
          <cell r="G1703">
            <v>7.4137991814968038E-2</v>
          </cell>
          <cell r="I1703" t="str">
            <v>NC</v>
          </cell>
          <cell r="J1703" t="str">
            <v>Low</v>
          </cell>
          <cell r="K1703">
            <v>32777.666666666664</v>
          </cell>
        </row>
        <row r="1704">
          <cell r="C1704">
            <v>2364827.4529375299</v>
          </cell>
          <cell r="D1704">
            <v>0.80865314721508896</v>
          </cell>
          <cell r="E1704">
            <v>205255</v>
          </cell>
          <cell r="F1704">
            <v>165980.10173163301</v>
          </cell>
          <cell r="G1704">
            <v>7.0186981940461093E-2</v>
          </cell>
          <cell r="I1704" t="str">
            <v>NC</v>
          </cell>
          <cell r="J1704" t="str">
            <v>Med</v>
          </cell>
          <cell r="K1704">
            <v>60623.333333333336</v>
          </cell>
        </row>
        <row r="1705">
          <cell r="C1705">
            <v>2315809.0437774402</v>
          </cell>
          <cell r="D1705">
            <v>0.82532003510964902</v>
          </cell>
          <cell r="E1705">
            <v>189343</v>
          </cell>
          <cell r="F1705">
            <v>156268.57140776599</v>
          </cell>
          <cell r="G1705">
            <v>6.7479040134012069E-2</v>
          </cell>
          <cell r="I1705" t="str">
            <v>NC</v>
          </cell>
          <cell r="J1705" t="str">
            <v>Med</v>
          </cell>
          <cell r="K1705">
            <v>58152.666666666664</v>
          </cell>
        </row>
        <row r="1706">
          <cell r="C1706">
            <v>2259003.00540403</v>
          </cell>
          <cell r="D1706">
            <v>0.82369015569911397</v>
          </cell>
          <cell r="E1706">
            <v>183457</v>
          </cell>
          <cell r="F1706">
            <v>151111.72489409201</v>
          </cell>
          <cell r="G1706">
            <v>6.6893104848731788E-2</v>
          </cell>
          <cell r="I1706" t="str">
            <v>NC</v>
          </cell>
          <cell r="J1706" t="str">
            <v>Med</v>
          </cell>
          <cell r="K1706">
            <v>54296</v>
          </cell>
        </row>
        <row r="1707">
          <cell r="C1707">
            <v>2131950.1054729</v>
          </cell>
          <cell r="D1707">
            <v>0.77890646153767995</v>
          </cell>
          <cell r="E1707">
            <v>189077</v>
          </cell>
          <cell r="F1707">
            <v>147273.29702816001</v>
          </cell>
          <cell r="G1707">
            <v>6.9079148076728783E-2</v>
          </cell>
          <cell r="I1707" t="str">
            <v>NC</v>
          </cell>
          <cell r="J1707" t="str">
            <v>Med</v>
          </cell>
          <cell r="K1707">
            <v>50799.666666666664</v>
          </cell>
        </row>
        <row r="1708">
          <cell r="C1708">
            <v>2540732.5057643298</v>
          </cell>
          <cell r="D1708">
            <v>0.81343086952259402</v>
          </cell>
          <cell r="E1708">
            <v>196633</v>
          </cell>
          <cell r="F1708">
            <v>159947.352166836</v>
          </cell>
          <cell r="G1708">
            <v>6.2953243524831032E-2</v>
          </cell>
          <cell r="I1708" t="str">
            <v>NC</v>
          </cell>
          <cell r="J1708" t="str">
            <v>Med</v>
          </cell>
          <cell r="K1708">
            <v>70973</v>
          </cell>
        </row>
        <row r="1709">
          <cell r="C1709">
            <v>2426413.6614753902</v>
          </cell>
          <cell r="D1709">
            <v>0.77103073759932705</v>
          </cell>
          <cell r="E1709">
            <v>217180</v>
          </cell>
          <cell r="F1709">
            <v>167452.45559182201</v>
          </cell>
          <cell r="G1709">
            <v>6.901232805044541E-2</v>
          </cell>
          <cell r="I1709" t="str">
            <v>NC</v>
          </cell>
          <cell r="J1709" t="str">
            <v>Med</v>
          </cell>
          <cell r="K1709">
            <v>63975.666666666664</v>
          </cell>
        </row>
        <row r="1710">
          <cell r="C1710">
            <v>2418074.9844301799</v>
          </cell>
          <cell r="D1710">
            <v>0.76176962812753701</v>
          </cell>
          <cell r="E1710">
            <v>228713</v>
          </cell>
          <cell r="F1710">
            <v>174226.616957933</v>
          </cell>
          <cell r="G1710">
            <v>7.2051784200145283E-2</v>
          </cell>
          <cell r="I1710" t="str">
            <v>NC</v>
          </cell>
          <cell r="J1710" t="str">
            <v>Med</v>
          </cell>
          <cell r="K1710">
            <v>59053.666666666664</v>
          </cell>
        </row>
        <row r="1711">
          <cell r="C1711">
            <v>1929650.3080371399</v>
          </cell>
          <cell r="D1711">
            <v>0.78109198910377897</v>
          </cell>
          <cell r="E1711">
            <v>201152</v>
          </cell>
          <cell r="F1711">
            <v>157118.215792203</v>
          </cell>
          <cell r="G1711">
            <v>8.1423154826443786E-2</v>
          </cell>
          <cell r="I1711" t="str">
            <v>NC</v>
          </cell>
          <cell r="J1711" t="str">
            <v>Low</v>
          </cell>
          <cell r="K1711">
            <v>35528.333333333336</v>
          </cell>
        </row>
        <row r="1712">
          <cell r="C1712">
            <v>2791169.0669631101</v>
          </cell>
          <cell r="D1712">
            <v>0.79577591767641997</v>
          </cell>
          <cell r="E1712">
            <v>218098</v>
          </cell>
          <cell r="F1712">
            <v>173557.13609339201</v>
          </cell>
          <cell r="G1712">
            <v>6.2180803788510118E-2</v>
          </cell>
          <cell r="I1712" t="str">
            <v>NC</v>
          </cell>
          <cell r="J1712" t="str">
            <v>Med</v>
          </cell>
          <cell r="K1712">
            <v>86195.333333333328</v>
          </cell>
        </row>
        <row r="1713">
          <cell r="C1713">
            <v>2524418.6507814499</v>
          </cell>
          <cell r="D1713">
            <v>0.79129363908010697</v>
          </cell>
          <cell r="E1713">
            <v>189146</v>
          </cell>
          <cell r="F1713">
            <v>149670.026657446</v>
          </cell>
          <cell r="G1713">
            <v>5.9288908601239608E-2</v>
          </cell>
          <cell r="I1713" t="str">
            <v>NC</v>
          </cell>
          <cell r="J1713" t="str">
            <v>No Data</v>
          </cell>
          <cell r="K1713">
            <v>0</v>
          </cell>
        </row>
        <row r="1714">
          <cell r="C1714">
            <v>2793456.6854981198</v>
          </cell>
          <cell r="D1714">
            <v>0.81097134963268203</v>
          </cell>
          <cell r="E1714">
            <v>207256</v>
          </cell>
          <cell r="F1714">
            <v>168078.67803947101</v>
          </cell>
          <cell r="G1714">
            <v>6.0168707434065612E-2</v>
          </cell>
          <cell r="I1714" t="str">
            <v>NC</v>
          </cell>
          <cell r="J1714" t="str">
            <v>Med</v>
          </cell>
          <cell r="K1714">
            <v>84558.333333333328</v>
          </cell>
        </row>
        <row r="1715">
          <cell r="C1715">
            <v>2619676.7197818998</v>
          </cell>
          <cell r="D1715">
            <v>0.76132410654886895</v>
          </cell>
          <cell r="E1715">
            <v>220503</v>
          </cell>
          <cell r="F1715">
            <v>167874.24946634501</v>
          </cell>
          <cell r="G1715">
            <v>6.4082048062908042E-2</v>
          </cell>
          <cell r="I1715" t="str">
            <v>NC</v>
          </cell>
          <cell r="J1715" t="str">
            <v>No Data</v>
          </cell>
          <cell r="K1715">
            <v>0</v>
          </cell>
        </row>
        <row r="1716">
          <cell r="C1716">
            <v>2665607.9521059701</v>
          </cell>
          <cell r="D1716">
            <v>0.80593824494197097</v>
          </cell>
          <cell r="E1716">
            <v>208756</v>
          </cell>
          <cell r="F1716">
            <v>168244.44426110599</v>
          </cell>
          <cell r="G1716">
            <v>6.3116725071360943E-2</v>
          </cell>
          <cell r="I1716" t="str">
            <v>NC</v>
          </cell>
          <cell r="J1716" t="str">
            <v>Med</v>
          </cell>
          <cell r="K1716">
            <v>74214</v>
          </cell>
        </row>
        <row r="1717">
          <cell r="C1717">
            <v>2375462.12593883</v>
          </cell>
          <cell r="D1717">
            <v>0.81190401274959101</v>
          </cell>
          <cell r="E1717">
            <v>197776</v>
          </cell>
          <cell r="F1717">
            <v>160575.128025563</v>
          </cell>
          <cell r="G1717">
            <v>6.7597427158347351E-2</v>
          </cell>
          <cell r="I1717" t="str">
            <v>NC</v>
          </cell>
          <cell r="J1717" t="str">
            <v>Med</v>
          </cell>
          <cell r="K1717">
            <v>58817</v>
          </cell>
        </row>
        <row r="1718">
          <cell r="C1718">
            <v>2663531.1285704798</v>
          </cell>
          <cell r="D1718">
            <v>0.77558447722317003</v>
          </cell>
          <cell r="E1718">
            <v>229314</v>
          </cell>
          <cell r="F1718">
            <v>177852.37880995401</v>
          </cell>
          <cell r="G1718">
            <v>6.6773155718817367E-2</v>
          </cell>
          <cell r="I1718" t="str">
            <v>NC</v>
          </cell>
          <cell r="J1718" t="str">
            <v>No Data</v>
          </cell>
          <cell r="K1718">
            <v>0</v>
          </cell>
        </row>
        <row r="1719">
          <cell r="C1719">
            <v>2162463.7620458002</v>
          </cell>
          <cell r="D1719">
            <v>0.74004826608529095</v>
          </cell>
          <cell r="E1719">
            <v>221723</v>
          </cell>
          <cell r="F1719">
            <v>164085.72170122899</v>
          </cell>
          <cell r="G1719">
            <v>7.5879061920554727E-2</v>
          </cell>
          <cell r="I1719" t="str">
            <v>NC</v>
          </cell>
          <cell r="J1719" t="str">
            <v>Med</v>
          </cell>
          <cell r="K1719">
            <v>47637.333333333336</v>
          </cell>
        </row>
        <row r="1720">
          <cell r="C1720">
            <v>2567183.2733477298</v>
          </cell>
          <cell r="D1720">
            <v>0.77415872869750102</v>
          </cell>
          <cell r="E1720">
            <v>230318</v>
          </cell>
          <cell r="F1720">
            <v>178302.69007615099</v>
          </cell>
          <cell r="G1720">
            <v>6.9454601051383347E-2</v>
          </cell>
          <cell r="I1720" t="str">
            <v>NC</v>
          </cell>
          <cell r="J1720" t="str">
            <v>Med</v>
          </cell>
          <cell r="K1720">
            <v>69341.666666666672</v>
          </cell>
        </row>
        <row r="1721">
          <cell r="C1721">
            <v>2805248.9408052899</v>
          </cell>
          <cell r="D1721">
            <v>0.776732903922428</v>
          </cell>
          <cell r="E1721">
            <v>196450</v>
          </cell>
          <cell r="F1721">
            <v>152589.17897556099</v>
          </cell>
          <cell r="G1721">
            <v>5.4394166861981924E-2</v>
          </cell>
          <cell r="I1721" t="str">
            <v>NC</v>
          </cell>
          <cell r="J1721" t="str">
            <v>Med</v>
          </cell>
          <cell r="K1721">
            <v>85208</v>
          </cell>
        </row>
        <row r="1722">
          <cell r="C1722">
            <v>2006188.2416447501</v>
          </cell>
          <cell r="D1722">
            <v>0.81140082879265696</v>
          </cell>
          <cell r="E1722">
            <v>191781</v>
          </cell>
          <cell r="F1722">
            <v>155611.26234668499</v>
          </cell>
          <cell r="G1722">
            <v>7.7565633730914949E-2</v>
          </cell>
          <cell r="I1722" t="str">
            <v>NC</v>
          </cell>
          <cell r="J1722" t="str">
            <v>Low</v>
          </cell>
          <cell r="K1722">
            <v>32777.666666666664</v>
          </cell>
        </row>
        <row r="1723">
          <cell r="C1723">
            <v>2496038.59091058</v>
          </cell>
          <cell r="D1723">
            <v>0.78286442383997701</v>
          </cell>
          <cell r="E1723">
            <v>243673</v>
          </cell>
          <cell r="F1723">
            <v>190762.92275035899</v>
          </cell>
          <cell r="G1723">
            <v>7.6426271390606482E-2</v>
          </cell>
          <cell r="I1723" t="str">
            <v>NC</v>
          </cell>
          <cell r="J1723" t="str">
            <v>Med</v>
          </cell>
          <cell r="K1723">
            <v>60623.333333333336</v>
          </cell>
        </row>
        <row r="1724">
          <cell r="C1724">
            <v>2508746.0713502401</v>
          </cell>
          <cell r="D1724">
            <v>0.83179474558012501</v>
          </cell>
          <cell r="E1724">
            <v>208196</v>
          </cell>
          <cell r="F1724">
            <v>173176.33885080001</v>
          </cell>
          <cell r="G1724">
            <v>6.9029042368402876E-2</v>
          </cell>
          <cell r="I1724" t="str">
            <v>NC</v>
          </cell>
          <cell r="J1724" t="str">
            <v>Med</v>
          </cell>
          <cell r="K1724">
            <v>58152.666666666664</v>
          </cell>
        </row>
        <row r="1725">
          <cell r="C1725">
            <v>2385486.12437347</v>
          </cell>
          <cell r="D1725">
            <v>0.780641783960208</v>
          </cell>
          <cell r="E1725">
            <v>220204</v>
          </cell>
          <cell r="F1725">
            <v>171900.44339517399</v>
          </cell>
          <cell r="G1725">
            <v>7.2060969728055896E-2</v>
          </cell>
          <cell r="I1725" t="str">
            <v>NC</v>
          </cell>
          <cell r="J1725" t="str">
            <v>Med</v>
          </cell>
          <cell r="K1725">
            <v>54296</v>
          </cell>
        </row>
        <row r="1726">
          <cell r="C1726">
            <v>2246587.0503126499</v>
          </cell>
          <cell r="D1726">
            <v>0.79982765600695704</v>
          </cell>
          <cell r="E1726">
            <v>198013</v>
          </cell>
          <cell r="F1726">
            <v>158376.273648906</v>
          </cell>
          <cell r="G1726">
            <v>7.0496388567211452E-2</v>
          </cell>
          <cell r="I1726" t="str">
            <v>NC</v>
          </cell>
          <cell r="J1726" t="str">
            <v>Med</v>
          </cell>
          <cell r="K1726">
            <v>50799.666666666664</v>
          </cell>
        </row>
        <row r="1727">
          <cell r="C1727">
            <v>2654095.8719479302</v>
          </cell>
          <cell r="D1727">
            <v>0.78414187797303603</v>
          </cell>
          <cell r="E1727">
            <v>225897</v>
          </cell>
          <cell r="F1727">
            <v>177135.29780847501</v>
          </cell>
          <cell r="G1727">
            <v>6.6740353911356437E-2</v>
          </cell>
          <cell r="I1727" t="str">
            <v>NC</v>
          </cell>
          <cell r="J1727" t="str">
            <v>Med</v>
          </cell>
          <cell r="K1727">
            <v>70973</v>
          </cell>
        </row>
        <row r="1728">
          <cell r="C1728">
            <v>2562604.85231021</v>
          </cell>
          <cell r="D1728">
            <v>0.73965877543248304</v>
          </cell>
          <cell r="E1728">
            <v>251112</v>
          </cell>
          <cell r="F1728">
            <v>185737.194416402</v>
          </cell>
          <cell r="G1728">
            <v>7.2479841848796286E-2</v>
          </cell>
          <cell r="I1728" t="str">
            <v>NC</v>
          </cell>
          <cell r="J1728" t="str">
            <v>Med</v>
          </cell>
          <cell r="K1728">
            <v>63975.666666666664</v>
          </cell>
        </row>
        <row r="1729">
          <cell r="C1729">
            <v>2554048.1267728</v>
          </cell>
          <cell r="D1729">
            <v>0.79166006978964099</v>
          </cell>
          <cell r="E1729">
            <v>231926</v>
          </cell>
          <cell r="F1729">
            <v>183606.55334603199</v>
          </cell>
          <cell r="G1729">
            <v>7.1888446980061568E-2</v>
          </cell>
          <cell r="I1729" t="str">
            <v>NC</v>
          </cell>
          <cell r="J1729" t="str">
            <v>Med</v>
          </cell>
          <cell r="K1729">
            <v>59053.666666666664</v>
          </cell>
        </row>
        <row r="1730">
          <cell r="C1730">
            <v>2067613.5837876101</v>
          </cell>
          <cell r="D1730">
            <v>0.76550439756835298</v>
          </cell>
          <cell r="E1730">
            <v>233768</v>
          </cell>
          <cell r="F1730">
            <v>178950.43201075899</v>
          </cell>
          <cell r="G1730">
            <v>8.654926307987594E-2</v>
          </cell>
          <cell r="I1730" t="str">
            <v>NC</v>
          </cell>
          <cell r="J1730" t="str">
            <v>Low</v>
          </cell>
          <cell r="K1730">
            <v>35528.333333333336</v>
          </cell>
        </row>
        <row r="1731">
          <cell r="C1731">
            <v>2941955.2426779</v>
          </cell>
          <cell r="D1731">
            <v>0.76054595666329605</v>
          </cell>
          <cell r="E1731">
            <v>255859</v>
          </cell>
          <cell r="F1731">
            <v>194592.52792591401</v>
          </cell>
          <cell r="G1731">
            <v>6.6143945734805656E-2</v>
          </cell>
          <cell r="I1731" t="str">
            <v>NC</v>
          </cell>
          <cell r="J1731" t="str">
            <v>Med</v>
          </cell>
          <cell r="K1731">
            <v>86195.333333333328</v>
          </cell>
        </row>
        <row r="1732">
          <cell r="C1732">
            <v>2716738.29455553</v>
          </cell>
          <cell r="D1732">
            <v>0.82007255510404797</v>
          </cell>
          <cell r="E1732">
            <v>203937</v>
          </cell>
          <cell r="F1732">
            <v>167243.136670254</v>
          </cell>
          <cell r="G1732">
            <v>6.1560267695058089E-2</v>
          </cell>
          <cell r="I1732" t="str">
            <v>NC</v>
          </cell>
          <cell r="J1732" t="str">
            <v>No Data</v>
          </cell>
          <cell r="K1732">
            <v>0</v>
          </cell>
        </row>
        <row r="1733">
          <cell r="C1733">
            <v>2961299.1904078899</v>
          </cell>
          <cell r="D1733">
            <v>0.79184084881674099</v>
          </cell>
          <cell r="E1733">
            <v>231559</v>
          </cell>
          <cell r="F1733">
            <v>183357.875111156</v>
          </cell>
          <cell r="G1733">
            <v>6.1918051274616477E-2</v>
          </cell>
          <cell r="I1733" t="str">
            <v>NC</v>
          </cell>
          <cell r="J1733" t="str">
            <v>Med</v>
          </cell>
          <cell r="K1733">
            <v>84558.333333333328</v>
          </cell>
        </row>
        <row r="1734">
          <cell r="C1734">
            <v>2776005.2311879499</v>
          </cell>
          <cell r="D1734">
            <v>0.76890842697497697</v>
          </cell>
          <cell r="E1734">
            <v>241181</v>
          </cell>
          <cell r="F1734">
            <v>185446.10332625199</v>
          </cell>
          <cell r="G1734">
            <v>6.6803225456060503E-2</v>
          </cell>
          <cell r="I1734" t="str">
            <v>NC</v>
          </cell>
          <cell r="J1734" t="str">
            <v>No Data</v>
          </cell>
          <cell r="K1734">
            <v>0</v>
          </cell>
        </row>
        <row r="1735">
          <cell r="C1735">
            <v>2801563.3297803001</v>
          </cell>
          <cell r="D1735">
            <v>0.83171894581931705</v>
          </cell>
          <cell r="E1735">
            <v>219453</v>
          </cell>
          <cell r="F1735">
            <v>182523.21781688699</v>
          </cell>
          <cell r="G1735">
            <v>6.5150487899625867E-2</v>
          </cell>
          <cell r="I1735" t="str">
            <v>NC</v>
          </cell>
          <cell r="J1735" t="str">
            <v>Med</v>
          </cell>
          <cell r="K1735">
            <v>74214</v>
          </cell>
        </row>
        <row r="1736">
          <cell r="C1736">
            <v>2462657.3022606201</v>
          </cell>
          <cell r="D1736">
            <v>0.80403171669495199</v>
          </cell>
          <cell r="E1736">
            <v>217730</v>
          </cell>
          <cell r="F1736">
            <v>175061.825675992</v>
          </cell>
          <cell r="G1736">
            <v>7.1086555776677621E-2</v>
          </cell>
          <cell r="I1736" t="str">
            <v>NC</v>
          </cell>
          <cell r="J1736" t="str">
            <v>Med</v>
          </cell>
          <cell r="K1736">
            <v>58817</v>
          </cell>
        </row>
        <row r="1737">
          <cell r="C1737">
            <v>2794594.3151502898</v>
          </cell>
          <cell r="D1737">
            <v>0.75890984642303305</v>
          </cell>
          <cell r="E1737">
            <v>262405</v>
          </cell>
          <cell r="F1737">
            <v>199141.738250636</v>
          </cell>
          <cell r="G1737">
            <v>7.1259623327447591E-2</v>
          </cell>
          <cell r="I1737" t="str">
            <v>NC</v>
          </cell>
          <cell r="J1737" t="str">
            <v>No Data</v>
          </cell>
          <cell r="K1737">
            <v>0</v>
          </cell>
        </row>
        <row r="1738">
          <cell r="C1738">
            <v>2259851.3506562901</v>
          </cell>
          <cell r="D1738">
            <v>0.73484619849326205</v>
          </cell>
          <cell r="E1738">
            <v>246865</v>
          </cell>
          <cell r="F1738">
            <v>181407.80679103901</v>
          </cell>
          <cell r="G1738">
            <v>8.0274221018278843E-2</v>
          </cell>
          <cell r="I1738" t="str">
            <v>NC</v>
          </cell>
          <cell r="J1738" t="str">
            <v>Med</v>
          </cell>
          <cell r="K1738">
            <v>47637.333333333336</v>
          </cell>
        </row>
        <row r="1739">
          <cell r="C1739">
            <v>2666543.5605069599</v>
          </cell>
          <cell r="D1739">
            <v>0.78709820802632102</v>
          </cell>
          <cell r="E1739">
            <v>244734</v>
          </cell>
          <cell r="F1739">
            <v>192629.692843114</v>
          </cell>
          <cell r="G1739">
            <v>7.223946973755474E-2</v>
          </cell>
          <cell r="I1739" t="str">
            <v>NC</v>
          </cell>
          <cell r="J1739" t="str">
            <v>Med</v>
          </cell>
          <cell r="K1739">
            <v>69341.666666666672</v>
          </cell>
        </row>
        <row r="1740">
          <cell r="C1740">
            <v>2940128.2276948998</v>
          </cell>
          <cell r="D1740">
            <v>0.78001692928627397</v>
          </cell>
          <cell r="E1740">
            <v>214556</v>
          </cell>
          <cell r="F1740">
            <v>167357.312279946</v>
          </cell>
          <cell r="G1740">
            <v>5.69217732422359E-2</v>
          </cell>
          <cell r="I1740" t="str">
            <v>NC</v>
          </cell>
          <cell r="J1740" t="str">
            <v>Med</v>
          </cell>
          <cell r="K1740">
            <v>85208</v>
          </cell>
        </row>
        <row r="1741">
          <cell r="C1741">
            <v>1891374.7517762801</v>
          </cell>
          <cell r="D1741">
            <v>0.81452856021488795</v>
          </cell>
          <cell r="E1741">
            <v>196520</v>
          </cell>
          <cell r="F1741">
            <v>160071.15265343001</v>
          </cell>
          <cell r="G1741">
            <v>8.4632171653502064E-2</v>
          </cell>
          <cell r="I1741" t="str">
            <v>NC</v>
          </cell>
          <cell r="J1741" t="str">
            <v>Low</v>
          </cell>
          <cell r="K1741">
            <v>32777.666666666664</v>
          </cell>
        </row>
        <row r="1742">
          <cell r="C1742">
            <v>2409921.8303230298</v>
          </cell>
          <cell r="D1742">
            <v>0.80499789218087203</v>
          </cell>
          <cell r="E1742">
            <v>244570</v>
          </cell>
          <cell r="F1742">
            <v>196878.334490676</v>
          </cell>
          <cell r="G1742">
            <v>8.1694904794603285E-2</v>
          </cell>
          <cell r="I1742" t="str">
            <v>NC</v>
          </cell>
          <cell r="J1742" t="str">
            <v>Med</v>
          </cell>
          <cell r="K1742">
            <v>60623.333333333336</v>
          </cell>
        </row>
        <row r="1743">
          <cell r="C1743">
            <v>2380315.36783606</v>
          </cell>
          <cell r="D1743">
            <v>0.80701147962168596</v>
          </cell>
          <cell r="E1743">
            <v>231036</v>
          </cell>
          <cell r="F1743">
            <v>186448.70420587601</v>
          </cell>
          <cell r="G1743">
            <v>7.8329412448979882E-2</v>
          </cell>
          <cell r="I1743" t="str">
            <v>NC</v>
          </cell>
          <cell r="J1743" t="str">
            <v>Med</v>
          </cell>
          <cell r="K1743">
            <v>58152.666666666664</v>
          </cell>
        </row>
        <row r="1744">
          <cell r="C1744">
            <v>2287527.9571144702</v>
          </cell>
          <cell r="D1744">
            <v>0.83605039516862101</v>
          </cell>
          <cell r="E1744">
            <v>205620</v>
          </cell>
          <cell r="F1744">
            <v>171908.68225457199</v>
          </cell>
          <cell r="G1744">
            <v>7.5150418039664421E-2</v>
          </cell>
          <cell r="I1744" t="str">
            <v>NC</v>
          </cell>
          <cell r="J1744" t="str">
            <v>Med</v>
          </cell>
          <cell r="K1744">
            <v>54296</v>
          </cell>
        </row>
        <row r="1745">
          <cell r="C1745">
            <v>2146048.70117435</v>
          </cell>
          <cell r="D1745">
            <v>0.77070022958574902</v>
          </cell>
          <cell r="E1745">
            <v>223503</v>
          </cell>
          <cell r="F1745">
            <v>172253.81341310401</v>
          </cell>
          <cell r="G1745">
            <v>8.0265565883404305E-2</v>
          </cell>
          <cell r="I1745" t="str">
            <v>NC</v>
          </cell>
          <cell r="J1745" t="str">
            <v>Med</v>
          </cell>
          <cell r="K1745">
            <v>50799.666666666664</v>
          </cell>
        </row>
        <row r="1746">
          <cell r="C1746">
            <v>2557271.44489482</v>
          </cell>
          <cell r="D1746">
            <v>0.79604449705555602</v>
          </cell>
          <cell r="E1746">
            <v>231775</v>
          </cell>
          <cell r="F1746">
            <v>184503.213305051</v>
          </cell>
          <cell r="G1746">
            <v>7.2148466551480842E-2</v>
          </cell>
          <cell r="I1746" t="str">
            <v>NC</v>
          </cell>
          <cell r="J1746" t="str">
            <v>Med</v>
          </cell>
          <cell r="K1746">
            <v>70973</v>
          </cell>
        </row>
        <row r="1747">
          <cell r="C1747">
            <v>2496021.2435314199</v>
          </cell>
          <cell r="D1747">
            <v>0.77393883388747597</v>
          </cell>
          <cell r="E1747">
            <v>256683</v>
          </cell>
          <cell r="F1747">
            <v>198656.94169873901</v>
          </cell>
          <cell r="G1747">
            <v>7.9589443484733832E-2</v>
          </cell>
          <cell r="I1747" t="str">
            <v>NC</v>
          </cell>
          <cell r="J1747" t="str">
            <v>Med</v>
          </cell>
          <cell r="K1747">
            <v>63975.666666666664</v>
          </cell>
        </row>
        <row r="1748">
          <cell r="C1748">
            <v>2347909.7798604202</v>
          </cell>
          <cell r="D1748">
            <v>0.79874000695626102</v>
          </cell>
          <cell r="E1748">
            <v>234974</v>
          </cell>
          <cell r="F1748">
            <v>187683.13439453999</v>
          </cell>
          <cell r="G1748">
            <v>7.9936263311487843E-2</v>
          </cell>
          <cell r="I1748" t="str">
            <v>NC</v>
          </cell>
          <cell r="J1748" t="str">
            <v>Med</v>
          </cell>
          <cell r="K1748">
            <v>59053.666666666664</v>
          </cell>
        </row>
        <row r="1749">
          <cell r="C1749">
            <v>1938878.5691939001</v>
          </cell>
          <cell r="D1749">
            <v>0.78802491596201896</v>
          </cell>
          <cell r="E1749">
            <v>222321</v>
          </cell>
          <cell r="F1749">
            <v>175194.487341592</v>
          </cell>
          <cell r="G1749">
            <v>9.035866924581569E-2</v>
          </cell>
          <cell r="I1749" t="str">
            <v>NC</v>
          </cell>
          <cell r="J1749" t="str">
            <v>Low</v>
          </cell>
          <cell r="K1749">
            <v>35528.333333333336</v>
          </cell>
        </row>
        <row r="1750">
          <cell r="C1750">
            <v>2783218.60774073</v>
          </cell>
          <cell r="D1750">
            <v>0.77706123626595103</v>
          </cell>
          <cell r="E1750">
            <v>257149</v>
          </cell>
          <cell r="F1750">
            <v>199820.519844553</v>
          </cell>
          <cell r="G1750">
            <v>7.1794762829196793E-2</v>
          </cell>
          <cell r="I1750" t="str">
            <v>NC</v>
          </cell>
          <cell r="J1750" t="str">
            <v>Med</v>
          </cell>
          <cell r="K1750">
            <v>86195.333333333328</v>
          </cell>
        </row>
        <row r="1751">
          <cell r="C1751">
            <v>2592760.5531206699</v>
          </cell>
          <cell r="D1751">
            <v>0.80539657917673202</v>
          </cell>
          <cell r="E1751">
            <v>213354</v>
          </cell>
          <cell r="F1751">
            <v>171834.581753673</v>
          </cell>
          <cell r="G1751">
            <v>6.6274759366749605E-2</v>
          </cell>
          <cell r="I1751" t="str">
            <v>NC</v>
          </cell>
          <cell r="J1751" t="str">
            <v>No Data</v>
          </cell>
          <cell r="K1751">
            <v>0</v>
          </cell>
        </row>
        <row r="1752">
          <cell r="C1752">
            <v>2729945.26197903</v>
          </cell>
          <cell r="D1752">
            <v>0.82215906187094401</v>
          </cell>
          <cell r="E1752">
            <v>226400</v>
          </cell>
          <cell r="F1752">
            <v>186136.811607582</v>
          </cell>
          <cell r="G1752">
            <v>6.8183349387981901E-2</v>
          </cell>
          <cell r="I1752" t="str">
            <v>NC</v>
          </cell>
          <cell r="J1752" t="str">
            <v>Med</v>
          </cell>
          <cell r="K1752">
            <v>84558.333333333328</v>
          </cell>
        </row>
        <row r="1753">
          <cell r="C1753">
            <v>2619945.3446573</v>
          </cell>
          <cell r="D1753">
            <v>0.75846450222602801</v>
          </cell>
          <cell r="E1753">
            <v>251085</v>
          </cell>
          <cell r="F1753">
            <v>190439.059541422</v>
          </cell>
          <cell r="G1753">
            <v>7.2688180281994488E-2</v>
          </cell>
          <cell r="I1753" t="str">
            <v>NC</v>
          </cell>
          <cell r="J1753" t="str">
            <v>No Data</v>
          </cell>
          <cell r="K1753">
            <v>0</v>
          </cell>
        </row>
        <row r="1754">
          <cell r="C1754">
            <v>2652687.6196514801</v>
          </cell>
          <cell r="D1754">
            <v>0.79534274658663395</v>
          </cell>
          <cell r="E1754">
            <v>242660</v>
          </cell>
          <cell r="F1754">
            <v>192997.870886713</v>
          </cell>
          <cell r="G1754">
            <v>7.2755596798114427E-2</v>
          </cell>
          <cell r="I1754" t="str">
            <v>NC</v>
          </cell>
          <cell r="J1754" t="str">
            <v>Med</v>
          </cell>
          <cell r="K1754">
            <v>74214</v>
          </cell>
        </row>
        <row r="1755">
          <cell r="C1755">
            <v>2314159.8846701598</v>
          </cell>
          <cell r="D1755">
            <v>0.82056871150497801</v>
          </cell>
          <cell r="E1755">
            <v>218252</v>
          </cell>
          <cell r="F1755">
            <v>179090.762423384</v>
          </cell>
          <cell r="G1755">
            <v>7.738910505265717E-2</v>
          </cell>
          <cell r="I1755" t="str">
            <v>NC</v>
          </cell>
          <cell r="J1755" t="str">
            <v>Med</v>
          </cell>
          <cell r="K1755">
            <v>58817</v>
          </cell>
        </row>
        <row r="1756">
          <cell r="C1756">
            <v>2643241.92066431</v>
          </cell>
          <cell r="D1756">
            <v>0.76914155055523603</v>
          </cell>
          <cell r="E1756">
            <v>260994</v>
          </cell>
          <cell r="F1756">
            <v>200741.32984561301</v>
          </cell>
          <cell r="G1756">
            <v>7.5945121888488329E-2</v>
          </cell>
          <cell r="I1756" t="str">
            <v>NC</v>
          </cell>
          <cell r="J1756" t="str">
            <v>No Data</v>
          </cell>
          <cell r="K1756">
            <v>0</v>
          </cell>
        </row>
        <row r="1757">
          <cell r="C1757">
            <v>2152811.7949115899</v>
          </cell>
          <cell r="D1757">
            <v>0.74165115406365001</v>
          </cell>
          <cell r="E1757">
            <v>254515</v>
          </cell>
          <cell r="F1757">
            <v>188761.34347651</v>
          </cell>
          <cell r="G1757">
            <v>8.7681303085884427E-2</v>
          </cell>
          <cell r="I1757" t="str">
            <v>NC</v>
          </cell>
          <cell r="J1757" t="str">
            <v>Med</v>
          </cell>
          <cell r="K1757">
            <v>47637.333333333336</v>
          </cell>
        </row>
        <row r="1758">
          <cell r="C1758">
            <v>2564226.91636285</v>
          </cell>
          <cell r="D1758">
            <v>0.78309377625872101</v>
          </cell>
          <cell r="E1758">
            <v>252264</v>
          </cell>
          <cell r="F1758">
            <v>197546.36837412999</v>
          </cell>
          <cell r="G1758">
            <v>7.7039347459285562E-2</v>
          </cell>
          <cell r="I1758" t="str">
            <v>NC</v>
          </cell>
          <cell r="J1758" t="str">
            <v>Med</v>
          </cell>
          <cell r="K1758">
            <v>69341.666666666672</v>
          </cell>
        </row>
        <row r="1759">
          <cell r="C1759">
            <v>2775877.3942453298</v>
          </cell>
          <cell r="D1759">
            <v>0.77453026839904404</v>
          </cell>
          <cell r="E1759">
            <v>221606</v>
          </cell>
          <cell r="F1759">
            <v>171640.55465883901</v>
          </cell>
          <cell r="G1759">
            <v>6.1832901919467685E-2</v>
          </cell>
          <cell r="I1759" t="str">
            <v>NC</v>
          </cell>
          <cell r="J1759" t="str">
            <v>Med</v>
          </cell>
          <cell r="K1759">
            <v>85208</v>
          </cell>
        </row>
        <row r="1760">
          <cell r="C1760">
            <v>1816368.4861916101</v>
          </cell>
          <cell r="D1760">
            <v>0.83260998595859603</v>
          </cell>
          <cell r="E1760">
            <v>191399</v>
          </cell>
          <cell r="F1760">
            <v>159360.71870248899</v>
          </cell>
          <cell r="G1760">
            <v>8.7735897156320686E-2</v>
          </cell>
          <cell r="I1760" t="str">
            <v>NC</v>
          </cell>
          <cell r="J1760" t="str">
            <v>Low</v>
          </cell>
          <cell r="K1760">
            <v>32777.666666666664</v>
          </cell>
        </row>
        <row r="1761">
          <cell r="C1761">
            <v>2268081.7578226998</v>
          </cell>
          <cell r="D1761">
            <v>0.786398659822651</v>
          </cell>
          <cell r="E1761">
            <v>256081</v>
          </cell>
          <cell r="F1761">
            <v>201381.75520604401</v>
          </cell>
          <cell r="G1761">
            <v>8.8789460305595563E-2</v>
          </cell>
          <cell r="I1761" t="str">
            <v>NC</v>
          </cell>
          <cell r="J1761" t="str">
            <v>Med</v>
          </cell>
          <cell r="K1761">
            <v>60623.333333333336</v>
          </cell>
        </row>
        <row r="1762">
          <cell r="C1762">
            <v>2321951.3896341901</v>
          </cell>
          <cell r="D1762">
            <v>0.82188920142574795</v>
          </cell>
          <cell r="E1762">
            <v>240940</v>
          </cell>
          <cell r="F1762">
            <v>198025.98419151999</v>
          </cell>
          <cell r="G1762">
            <v>8.5284293665905661E-2</v>
          </cell>
          <cell r="I1762" t="str">
            <v>NC</v>
          </cell>
          <cell r="J1762" t="str">
            <v>Med</v>
          </cell>
          <cell r="K1762">
            <v>58152.666666666664</v>
          </cell>
        </row>
        <row r="1763">
          <cell r="C1763">
            <v>2187009.08683825</v>
          </cell>
          <cell r="D1763">
            <v>0.77397508994062303</v>
          </cell>
          <cell r="E1763">
            <v>238801</v>
          </cell>
          <cell r="F1763">
            <v>184826.02545291101</v>
          </cell>
          <cell r="G1763">
            <v>8.451086306189666E-2</v>
          </cell>
          <cell r="I1763" t="str">
            <v>NC</v>
          </cell>
          <cell r="J1763" t="str">
            <v>Med</v>
          </cell>
          <cell r="K1763">
            <v>54296</v>
          </cell>
        </row>
        <row r="1764">
          <cell r="C1764">
            <v>1981195.8665795501</v>
          </cell>
          <cell r="D1764">
            <v>0.79208708178840104</v>
          </cell>
          <cell r="E1764">
            <v>211104</v>
          </cell>
          <cell r="F1764">
            <v>167212.75131385899</v>
          </cell>
          <cell r="G1764">
            <v>8.4399909233883394E-2</v>
          </cell>
          <cell r="I1764" t="str">
            <v>NC</v>
          </cell>
          <cell r="J1764" t="str">
            <v>Med</v>
          </cell>
          <cell r="K1764">
            <v>50799.666666666664</v>
          </cell>
        </row>
        <row r="1765">
          <cell r="C1765">
            <v>2472346.0092116199</v>
          </cell>
          <cell r="D1765">
            <v>0.77876690084088596</v>
          </cell>
          <cell r="E1765">
            <v>250585</v>
          </cell>
          <cell r="F1765">
            <v>195147.30384721301</v>
          </cell>
          <cell r="G1765">
            <v>7.893203585587176E-2</v>
          </cell>
          <cell r="I1765" t="str">
            <v>NC</v>
          </cell>
          <cell r="J1765" t="str">
            <v>Med</v>
          </cell>
          <cell r="K1765">
            <v>70973</v>
          </cell>
        </row>
        <row r="1766">
          <cell r="C1766">
            <v>2331310.34724988</v>
          </cell>
          <cell r="D1766">
            <v>0.74307401873930501</v>
          </cell>
          <cell r="E1766">
            <v>273546</v>
          </cell>
          <cell r="F1766">
            <v>203264.925530062</v>
          </cell>
          <cell r="G1766">
            <v>8.7189131970285536E-2</v>
          </cell>
          <cell r="I1766" t="str">
            <v>NC</v>
          </cell>
          <cell r="J1766" t="str">
            <v>Med</v>
          </cell>
          <cell r="K1766">
            <v>63975.666666666664</v>
          </cell>
        </row>
        <row r="1767">
          <cell r="C1767">
            <v>2298275.3827138101</v>
          </cell>
          <cell r="D1767">
            <v>0.770788149092694</v>
          </cell>
          <cell r="E1767">
            <v>257851</v>
          </cell>
          <cell r="F1767">
            <v>198748.4950317</v>
          </cell>
          <cell r="G1767">
            <v>8.6477232679147975E-2</v>
          </cell>
          <cell r="I1767" t="str">
            <v>NC</v>
          </cell>
          <cell r="J1767" t="str">
            <v>Med</v>
          </cell>
          <cell r="K1767">
            <v>59053.666666666664</v>
          </cell>
        </row>
        <row r="1768">
          <cell r="C1768">
            <v>1842353.0458410201</v>
          </cell>
          <cell r="D1768">
            <v>0.77174697828243999</v>
          </cell>
          <cell r="E1768">
            <v>241807</v>
          </cell>
          <cell r="F1768">
            <v>186613.821577542</v>
          </cell>
          <cell r="G1768">
            <v>0.10129102128324934</v>
          </cell>
          <cell r="I1768" t="str">
            <v>NC</v>
          </cell>
          <cell r="J1768" t="str">
            <v>Low</v>
          </cell>
          <cell r="K1768">
            <v>35528.333333333336</v>
          </cell>
        </row>
        <row r="1769">
          <cell r="C1769">
            <v>2704141.9432255002</v>
          </cell>
          <cell r="D1769">
            <v>0.79630560335599199</v>
          </cell>
          <cell r="E1769">
            <v>265973</v>
          </cell>
          <cell r="F1769">
            <v>211795.79024140301</v>
          </cell>
          <cell r="G1769">
            <v>7.8322734045821948E-2</v>
          </cell>
          <cell r="I1769" t="str">
            <v>NC</v>
          </cell>
          <cell r="J1769" t="str">
            <v>Med</v>
          </cell>
          <cell r="K1769">
            <v>86195.333333333328</v>
          </cell>
        </row>
        <row r="1770">
          <cell r="C1770">
            <v>2414398.6009857599</v>
          </cell>
          <cell r="D1770">
            <v>0.80375369345493697</v>
          </cell>
          <cell r="E1770">
            <v>217947</v>
          </cell>
          <cell r="F1770">
            <v>175175.70622742301</v>
          </cell>
          <cell r="G1770">
            <v>7.2554592334464416E-2</v>
          </cell>
          <cell r="I1770" t="str">
            <v>NC</v>
          </cell>
          <cell r="J1770" t="str">
            <v>No Data</v>
          </cell>
          <cell r="K1770">
            <v>0</v>
          </cell>
        </row>
        <row r="1771">
          <cell r="C1771">
            <v>2673533.91453978</v>
          </cell>
          <cell r="D1771">
            <v>0.80624569040240301</v>
          </cell>
          <cell r="E1771">
            <v>245481</v>
          </cell>
          <cell r="F1771">
            <v>197917.998325672</v>
          </cell>
          <cell r="G1771">
            <v>7.4028609567775558E-2</v>
          </cell>
          <cell r="I1771" t="str">
            <v>NC</v>
          </cell>
          <cell r="J1771" t="str">
            <v>Med</v>
          </cell>
          <cell r="K1771">
            <v>84558.333333333328</v>
          </cell>
        </row>
        <row r="1772">
          <cell r="C1772">
            <v>2489576.88406194</v>
          </cell>
          <cell r="D1772">
            <v>0.75899408902108001</v>
          </cell>
          <cell r="E1772">
            <v>260346</v>
          </cell>
          <cell r="F1772">
            <v>197601.075100282</v>
          </cell>
          <cell r="G1772">
            <v>7.9371348748177778E-2</v>
          </cell>
          <cell r="I1772" t="str">
            <v>NC</v>
          </cell>
          <cell r="J1772" t="str">
            <v>No Data</v>
          </cell>
          <cell r="K1772">
            <v>0</v>
          </cell>
        </row>
        <row r="1773">
          <cell r="C1773">
            <v>2545552.2750772</v>
          </cell>
          <cell r="D1773">
            <v>0.84173690613089303</v>
          </cell>
          <cell r="E1773">
            <v>230116</v>
          </cell>
          <cell r="F1773">
            <v>193697.12989121699</v>
          </cell>
          <cell r="G1773">
            <v>7.6092379554587086E-2</v>
          </cell>
          <cell r="I1773" t="str">
            <v>NC</v>
          </cell>
          <cell r="J1773" t="str">
            <v>Med</v>
          </cell>
          <cell r="K1773">
            <v>74214</v>
          </cell>
        </row>
        <row r="1774">
          <cell r="C1774">
            <v>2287854.47063208</v>
          </cell>
          <cell r="D1774">
            <v>0.80767019628293002</v>
          </cell>
          <cell r="E1774">
            <v>236496</v>
          </cell>
          <cell r="F1774">
            <v>191010.77074012801</v>
          </cell>
          <cell r="G1774">
            <v>8.3489038831808332E-2</v>
          </cell>
          <cell r="I1774" t="str">
            <v>NC</v>
          </cell>
          <cell r="J1774" t="str">
            <v>Med</v>
          </cell>
          <cell r="K1774">
            <v>58817</v>
          </cell>
        </row>
        <row r="1775">
          <cell r="C1775">
            <v>2525524.5776242702</v>
          </cell>
          <cell r="D1775">
            <v>0.76747512631108805</v>
          </cell>
          <cell r="E1775">
            <v>267981</v>
          </cell>
          <cell r="F1775">
            <v>205668.75182397201</v>
          </cell>
          <cell r="G1775">
            <v>8.1436052393298056E-2</v>
          </cell>
          <cell r="I1775" t="str">
            <v>NC</v>
          </cell>
          <cell r="J1775" t="str">
            <v>No Data</v>
          </cell>
          <cell r="K1775">
            <v>0</v>
          </cell>
        </row>
        <row r="1776">
          <cell r="C1776">
            <v>2005834.7774205001</v>
          </cell>
          <cell r="D1776">
            <v>0.74222652154971902</v>
          </cell>
          <cell r="E1776">
            <v>252497</v>
          </cell>
          <cell r="F1776">
            <v>187409.970011739</v>
          </cell>
          <cell r="G1776">
            <v>9.3432406358388051E-2</v>
          </cell>
          <cell r="I1776" t="str">
            <v>NC</v>
          </cell>
          <cell r="J1776" t="str">
            <v>Med</v>
          </cell>
          <cell r="K1776">
            <v>47637.333333333336</v>
          </cell>
        </row>
        <row r="1777">
          <cell r="C1777">
            <v>2434962.2131899898</v>
          </cell>
          <cell r="D1777">
            <v>0.76730646537613301</v>
          </cell>
          <cell r="E1777">
            <v>268785</v>
          </cell>
          <cell r="F1777">
            <v>206240.46829612399</v>
          </cell>
          <cell r="G1777">
            <v>8.4699658655455243E-2</v>
          </cell>
          <cell r="I1777" t="str">
            <v>NC</v>
          </cell>
          <cell r="J1777" t="str">
            <v>Med</v>
          </cell>
          <cell r="K1777">
            <v>69341.666666666672</v>
          </cell>
        </row>
        <row r="1778">
          <cell r="C1778">
            <v>2639634.54498555</v>
          </cell>
          <cell r="D1778">
            <v>0.77977277578653903</v>
          </cell>
          <cell r="E1778">
            <v>228516</v>
          </cell>
          <cell r="F1778">
            <v>178190.55563163699</v>
          </cell>
          <cell r="G1778">
            <v>6.7505767406378772E-2</v>
          </cell>
          <cell r="I1778" t="str">
            <v>NC</v>
          </cell>
          <cell r="J1778" t="str">
            <v>Med</v>
          </cell>
          <cell r="K1778">
            <v>85208</v>
          </cell>
        </row>
        <row r="1779">
          <cell r="C1779">
            <v>1711605.1904080999</v>
          </cell>
          <cell r="D1779">
            <v>0.82045154300642797</v>
          </cell>
          <cell r="E1779">
            <v>176984</v>
          </cell>
          <cell r="F1779">
            <v>145206.79588744999</v>
          </cell>
          <cell r="G1779">
            <v>8.483661810632169E-2</v>
          </cell>
          <cell r="I1779" t="str">
            <v>NC</v>
          </cell>
          <cell r="J1779" t="str">
            <v>Low</v>
          </cell>
          <cell r="K1779">
            <v>32777.666666666664</v>
          </cell>
        </row>
        <row r="1780">
          <cell r="C1780">
            <v>2151856.1189397001</v>
          </cell>
          <cell r="D1780">
            <v>0.77709606341066695</v>
          </cell>
          <cell r="E1780">
            <v>232898</v>
          </cell>
          <cell r="F1780">
            <v>180984.11897621799</v>
          </cell>
          <cell r="G1780">
            <v>8.4106050299215931E-2</v>
          </cell>
          <cell r="I1780" t="str">
            <v>NC</v>
          </cell>
          <cell r="J1780" t="str">
            <v>Med</v>
          </cell>
          <cell r="K1780">
            <v>60623.333333333336</v>
          </cell>
        </row>
        <row r="1781">
          <cell r="C1781">
            <v>2146148.4982493501</v>
          </cell>
          <cell r="D1781">
            <v>0.862572295260151</v>
          </cell>
          <cell r="E1781">
            <v>188167</v>
          </cell>
          <cell r="F1781">
            <v>162307.64108221699</v>
          </cell>
          <cell r="G1781">
            <v>7.5627404727405437E-2</v>
          </cell>
          <cell r="I1781" t="str">
            <v>NC</v>
          </cell>
          <cell r="J1781" t="str">
            <v>Med</v>
          </cell>
          <cell r="K1781">
            <v>58152.666666666664</v>
          </cell>
        </row>
        <row r="1782">
          <cell r="C1782">
            <v>2083106.11057217</v>
          </cell>
          <cell r="D1782">
            <v>0.81188182903207995</v>
          </cell>
          <cell r="E1782">
            <v>198512</v>
          </cell>
          <cell r="F1782">
            <v>161168.285644816</v>
          </cell>
          <cell r="G1782">
            <v>7.7369215531967142E-2</v>
          </cell>
          <cell r="I1782" t="str">
            <v>NC</v>
          </cell>
          <cell r="J1782" t="str">
            <v>Med</v>
          </cell>
          <cell r="K1782">
            <v>54296</v>
          </cell>
        </row>
        <row r="1783">
          <cell r="C1783">
            <v>1931368.95596104</v>
          </cell>
          <cell r="D1783">
            <v>0.80313074975260801</v>
          </cell>
          <cell r="E1783">
            <v>186966</v>
          </cell>
          <cell r="F1783">
            <v>150158.14375824601</v>
          </cell>
          <cell r="G1783">
            <v>7.7747000796918181E-2</v>
          </cell>
          <cell r="I1783" t="str">
            <v>NC</v>
          </cell>
          <cell r="J1783" t="str">
            <v>Med</v>
          </cell>
          <cell r="K1783">
            <v>50799.666666666664</v>
          </cell>
        </row>
        <row r="1784">
          <cell r="C1784">
            <v>2358287.12616299</v>
          </cell>
          <cell r="D1784">
            <v>0.80527277634496297</v>
          </cell>
          <cell r="E1784">
            <v>214371</v>
          </cell>
          <cell r="F1784">
            <v>172627.130337846</v>
          </cell>
          <cell r="G1784">
            <v>7.3200217404704226E-2</v>
          </cell>
          <cell r="I1784" t="str">
            <v>NC</v>
          </cell>
          <cell r="J1784" t="str">
            <v>Med</v>
          </cell>
          <cell r="K1784">
            <v>70973</v>
          </cell>
        </row>
        <row r="1785">
          <cell r="C1785">
            <v>2218277.1567758699</v>
          </cell>
          <cell r="D1785">
            <v>0.78485893844439503</v>
          </cell>
          <cell r="E1785">
            <v>217292</v>
          </cell>
          <cell r="F1785">
            <v>170543.568452459</v>
          </cell>
          <cell r="G1785">
            <v>7.6881091225017906E-2</v>
          </cell>
          <cell r="I1785" t="str">
            <v>NC</v>
          </cell>
          <cell r="J1785" t="str">
            <v>Med</v>
          </cell>
          <cell r="K1785">
            <v>63975.666666666664</v>
          </cell>
        </row>
        <row r="1786">
          <cell r="C1786">
            <v>2177571.4929806399</v>
          </cell>
          <cell r="D1786">
            <v>0.806294703751123</v>
          </cell>
          <cell r="E1786">
            <v>217522</v>
          </cell>
          <cell r="F1786">
            <v>175386.83654935201</v>
          </cell>
          <cell r="G1786">
            <v>8.0542401071426642E-2</v>
          </cell>
          <cell r="I1786" t="str">
            <v>NC</v>
          </cell>
          <cell r="J1786" t="str">
            <v>Med</v>
          </cell>
          <cell r="K1786">
            <v>59053.666666666664</v>
          </cell>
        </row>
        <row r="1787">
          <cell r="C1787">
            <v>1787009.1090967599</v>
          </cell>
          <cell r="D1787">
            <v>0.78835091591356898</v>
          </cell>
          <cell r="E1787">
            <v>206753</v>
          </cell>
          <cell r="F1787">
            <v>162993.916917878</v>
          </cell>
          <cell r="G1787">
            <v>9.1210456672077597E-2</v>
          </cell>
          <cell r="I1787" t="str">
            <v>NC</v>
          </cell>
          <cell r="J1787" t="str">
            <v>Low</v>
          </cell>
          <cell r="K1787">
            <v>35528.333333333336</v>
          </cell>
        </row>
        <row r="1788">
          <cell r="C1788">
            <v>2564824.3683885899</v>
          </cell>
          <cell r="D1788">
            <v>0.80605451928246097</v>
          </cell>
          <cell r="E1788">
            <v>223038</v>
          </cell>
          <cell r="F1788">
            <v>179780.787871721</v>
          </cell>
          <cell r="G1788">
            <v>7.0094775333358367E-2</v>
          </cell>
          <cell r="I1788" t="str">
            <v>NC</v>
          </cell>
          <cell r="J1788" t="str">
            <v>Med</v>
          </cell>
          <cell r="K1788">
            <v>86195.333333333328</v>
          </cell>
        </row>
        <row r="1789">
          <cell r="C1789">
            <v>2349987.1970675099</v>
          </cell>
          <cell r="D1789">
            <v>0.79184592688164201</v>
          </cell>
          <cell r="E1789">
            <v>200057</v>
          </cell>
          <cell r="F1789">
            <v>158414.32059416099</v>
          </cell>
          <cell r="G1789">
            <v>6.7410716446388408E-2</v>
          </cell>
          <cell r="I1789" t="str">
            <v>NC</v>
          </cell>
          <cell r="J1789" t="str">
            <v>No Data</v>
          </cell>
          <cell r="K1789">
            <v>0</v>
          </cell>
        </row>
        <row r="1790">
          <cell r="C1790">
            <v>2481673.7603804702</v>
          </cell>
          <cell r="D1790">
            <v>0.79886348806882401</v>
          </cell>
          <cell r="E1790">
            <v>213010</v>
          </cell>
          <cell r="F1790">
            <v>170165.91159353999</v>
          </cell>
          <cell r="G1790">
            <v>6.8569009476673326E-2</v>
          </cell>
          <cell r="I1790" t="str">
            <v>NC</v>
          </cell>
          <cell r="J1790" t="str">
            <v>Med</v>
          </cell>
          <cell r="K1790">
            <v>84558.333333333328</v>
          </cell>
        </row>
        <row r="1791">
          <cell r="C1791">
            <v>2363520.1585274599</v>
          </cell>
          <cell r="D1791">
            <v>0.74282715160489898</v>
          </cell>
          <cell r="E1791">
            <v>234851</v>
          </cell>
          <cell r="F1791">
            <v>174453.69938156201</v>
          </cell>
          <cell r="G1791">
            <v>7.3810963173782107E-2</v>
          </cell>
          <cell r="I1791" t="str">
            <v>NC</v>
          </cell>
          <cell r="J1791" t="str">
            <v>No Data</v>
          </cell>
          <cell r="K1791">
            <v>0</v>
          </cell>
        </row>
        <row r="1792">
          <cell r="C1792">
            <v>2445301.2072908101</v>
          </cell>
          <cell r="D1792">
            <v>0.81034601934473105</v>
          </cell>
          <cell r="E1792">
            <v>215909</v>
          </cell>
          <cell r="F1792">
            <v>174960.998690701</v>
          </cell>
          <cell r="G1792">
            <v>7.1549876215267247E-2</v>
          </cell>
          <cell r="I1792" t="str">
            <v>NC</v>
          </cell>
          <cell r="J1792" t="str">
            <v>Med</v>
          </cell>
          <cell r="K1792">
            <v>74214</v>
          </cell>
        </row>
        <row r="1793">
          <cell r="C1793">
            <v>2155360.7564846799</v>
          </cell>
          <cell r="D1793">
            <v>0.80649176860464999</v>
          </cell>
          <cell r="E1793">
            <v>211018</v>
          </cell>
          <cell r="F1793">
            <v>170184.28002741601</v>
          </cell>
          <cell r="G1793">
            <v>7.8958605660511688E-2</v>
          </cell>
          <cell r="I1793" t="str">
            <v>NC</v>
          </cell>
          <cell r="J1793" t="str">
            <v>Med</v>
          </cell>
          <cell r="K1793">
            <v>58817</v>
          </cell>
        </row>
        <row r="1794">
          <cell r="C1794">
            <v>2437091.7189036799</v>
          </cell>
          <cell r="D1794">
            <v>0.76788115935824397</v>
          </cell>
          <cell r="E1794">
            <v>240383</v>
          </cell>
          <cell r="F1794">
            <v>184585.57673001301</v>
          </cell>
          <cell r="G1794">
            <v>7.5740102556767303E-2</v>
          </cell>
          <cell r="I1794" t="str">
            <v>NC</v>
          </cell>
          <cell r="J1794" t="str">
            <v>No Data</v>
          </cell>
          <cell r="K1794">
            <v>0</v>
          </cell>
        </row>
        <row r="1795">
          <cell r="C1795">
            <v>1914891.1766222799</v>
          </cell>
          <cell r="D1795">
            <v>0.78470546288512799</v>
          </cell>
          <cell r="E1795">
            <v>208199</v>
          </cell>
          <cell r="F1795">
            <v>163374.89266722099</v>
          </cell>
          <cell r="G1795">
            <v>8.5318108235999959E-2</v>
          </cell>
          <cell r="I1795" t="str">
            <v>NC</v>
          </cell>
          <cell r="J1795" t="str">
            <v>Med</v>
          </cell>
          <cell r="K1795">
            <v>47637.333333333336</v>
          </cell>
        </row>
        <row r="1796">
          <cell r="C1796">
            <v>2309509.7013426898</v>
          </cell>
          <cell r="D1796">
            <v>0.819099627000764</v>
          </cell>
          <cell r="E1796">
            <v>219959</v>
          </cell>
          <cell r="F1796">
            <v>180168.334855461</v>
          </cell>
          <cell r="G1796">
            <v>7.8011508135564761E-2</v>
          </cell>
          <cell r="I1796" t="str">
            <v>NC</v>
          </cell>
          <cell r="J1796" t="str">
            <v>Med</v>
          </cell>
          <cell r="K1796">
            <v>69341.666666666672</v>
          </cell>
        </row>
        <row r="1797">
          <cell r="C1797">
            <v>2506547.6435778402</v>
          </cell>
          <cell r="D1797">
            <v>0.77975265861302201</v>
          </cell>
          <cell r="E1797">
            <v>196352</v>
          </cell>
          <cell r="F1797">
            <v>153105.99402398401</v>
          </cell>
          <cell r="G1797">
            <v>6.1082419245556761E-2</v>
          </cell>
          <cell r="I1797" t="str">
            <v>NC</v>
          </cell>
          <cell r="J1797" t="str">
            <v>Med</v>
          </cell>
          <cell r="K1797">
            <v>85208</v>
          </cell>
        </row>
        <row r="1798">
          <cell r="C1798">
            <v>1763286.13859981</v>
          </cell>
          <cell r="D1798">
            <v>0.82425010354571704</v>
          </cell>
          <cell r="E1798">
            <v>173304</v>
          </cell>
          <cell r="F1798">
            <v>142845.839944887</v>
          </cell>
          <cell r="G1798">
            <v>8.1011151178400354E-2</v>
          </cell>
          <cell r="I1798" t="str">
            <v>NC</v>
          </cell>
          <cell r="J1798" t="str">
            <v>Low</v>
          </cell>
          <cell r="K1798">
            <v>32777.666666666664</v>
          </cell>
        </row>
        <row r="1799">
          <cell r="C1799">
            <v>2168954.3932920899</v>
          </cell>
          <cell r="D1799">
            <v>0.82544107637595798</v>
          </cell>
          <cell r="E1799">
            <v>205800</v>
          </cell>
          <cell r="F1799">
            <v>169875.77351817201</v>
          </cell>
          <cell r="G1799">
            <v>7.8321505534438909E-2</v>
          </cell>
          <cell r="I1799" t="str">
            <v>NC</v>
          </cell>
          <cell r="J1799" t="str">
            <v>Med</v>
          </cell>
          <cell r="K1799">
            <v>60623.333333333336</v>
          </cell>
        </row>
        <row r="1800">
          <cell r="C1800">
            <v>2146433.2845213702</v>
          </cell>
          <cell r="D1800">
            <v>0.82424905840228002</v>
          </cell>
          <cell r="E1800">
            <v>196628</v>
          </cell>
          <cell r="F1800">
            <v>162070.443855524</v>
          </cell>
          <cell r="G1800">
            <v>7.5506862954589263E-2</v>
          </cell>
          <cell r="I1800" t="str">
            <v>NC</v>
          </cell>
          <cell r="J1800" t="str">
            <v>Med</v>
          </cell>
          <cell r="K1800">
            <v>58152.666666666664</v>
          </cell>
        </row>
        <row r="1801">
          <cell r="C1801">
            <v>2065011.0021110901</v>
          </cell>
          <cell r="D1801">
            <v>0.80226088743012802</v>
          </cell>
          <cell r="E1801">
            <v>195704</v>
          </cell>
          <cell r="F1801">
            <v>157005.664713626</v>
          </cell>
          <cell r="G1801">
            <v>7.6031393805222766E-2</v>
          </cell>
          <cell r="I1801" t="str">
            <v>NC</v>
          </cell>
          <cell r="J1801" t="str">
            <v>Med</v>
          </cell>
          <cell r="K1801">
            <v>54296</v>
          </cell>
        </row>
        <row r="1802">
          <cell r="C1802">
            <v>1962173.3767637799</v>
          </cell>
          <cell r="D1802">
            <v>0.80651696875328205</v>
          </cell>
          <cell r="E1802">
            <v>176626</v>
          </cell>
          <cell r="F1802">
            <v>142451.86612301701</v>
          </cell>
          <cell r="G1802">
            <v>7.2599020968250744E-2</v>
          </cell>
          <cell r="I1802" t="str">
            <v>NC</v>
          </cell>
          <cell r="J1802" t="str">
            <v>Med</v>
          </cell>
          <cell r="K1802">
            <v>50799.666666666664</v>
          </cell>
        </row>
        <row r="1803">
          <cell r="C1803">
            <v>2357098.8957820199</v>
          </cell>
          <cell r="D1803">
            <v>0.77428732439422898</v>
          </cell>
          <cell r="E1803">
            <v>214090</v>
          </cell>
          <cell r="F1803">
            <v>165767.17327956</v>
          </cell>
          <cell r="G1803">
            <v>7.0326779065654377E-2</v>
          </cell>
          <cell r="I1803" t="str">
            <v>NC</v>
          </cell>
          <cell r="J1803" t="str">
            <v>Med</v>
          </cell>
          <cell r="K1803">
            <v>70973</v>
          </cell>
        </row>
        <row r="1804">
          <cell r="C1804">
            <v>2181015.6584984902</v>
          </cell>
          <cell r="D1804">
            <v>0.78909679415854495</v>
          </cell>
          <cell r="E1804">
            <v>207726</v>
          </cell>
          <cell r="F1804">
            <v>163915.920663378</v>
          </cell>
          <cell r="G1804">
            <v>7.5155774340577242E-2</v>
          </cell>
          <cell r="I1804" t="str">
            <v>NC</v>
          </cell>
          <cell r="J1804" t="str">
            <v>Med</v>
          </cell>
          <cell r="K1804">
            <v>63975.666666666664</v>
          </cell>
        </row>
        <row r="1805">
          <cell r="C1805">
            <v>2153338.2271001199</v>
          </cell>
          <cell r="D1805">
            <v>0.82412043929217305</v>
          </cell>
          <cell r="E1805">
            <v>198899</v>
          </cell>
          <cell r="F1805">
            <v>163916.731254774</v>
          </cell>
          <cell r="G1805">
            <v>7.6122148017368871E-2</v>
          </cell>
          <cell r="I1805" t="str">
            <v>NC</v>
          </cell>
          <cell r="J1805" t="str">
            <v>Med</v>
          </cell>
          <cell r="K1805">
            <v>59053.666666666664</v>
          </cell>
        </row>
        <row r="1806">
          <cell r="C1806">
            <v>1754646.8264713101</v>
          </cell>
          <cell r="D1806">
            <v>0.78963153676324305</v>
          </cell>
          <cell r="E1806">
            <v>193865</v>
          </cell>
          <cell r="F1806">
            <v>153081.91787460601</v>
          </cell>
          <cell r="G1806">
            <v>8.7243720824698404E-2</v>
          </cell>
          <cell r="I1806" t="str">
            <v>NC</v>
          </cell>
          <cell r="J1806" t="str">
            <v>Low</v>
          </cell>
          <cell r="K1806">
            <v>35528.333333333336</v>
          </cell>
        </row>
        <row r="1807">
          <cell r="C1807">
            <v>2641011.8038327801</v>
          </cell>
          <cell r="D1807">
            <v>0.78358968696910403</v>
          </cell>
          <cell r="E1807">
            <v>229184</v>
          </cell>
          <cell r="F1807">
            <v>179586.218818327</v>
          </cell>
          <cell r="G1807">
            <v>6.7999021646817981E-2</v>
          </cell>
          <cell r="I1807" t="str">
            <v>NC</v>
          </cell>
          <cell r="J1807" t="str">
            <v>Med</v>
          </cell>
          <cell r="K1807">
            <v>86195.333333333328</v>
          </cell>
        </row>
        <row r="1808">
          <cell r="C1808">
            <v>2324066.1681709401</v>
          </cell>
          <cell r="D1808">
            <v>0.80057964025713402</v>
          </cell>
          <cell r="E1808">
            <v>188772</v>
          </cell>
          <cell r="F1808">
            <v>151127.01985062001</v>
          </cell>
          <cell r="G1808">
            <v>6.5026986718522847E-2</v>
          </cell>
          <cell r="I1808" t="str">
            <v>NC</v>
          </cell>
          <cell r="J1808" t="str">
            <v>No Data</v>
          </cell>
          <cell r="K1808">
            <v>0</v>
          </cell>
        </row>
        <row r="1809">
          <cell r="C1809">
            <v>2527201.7817038</v>
          </cell>
          <cell r="D1809">
            <v>0.83033801117319395</v>
          </cell>
          <cell r="E1809">
            <v>198517</v>
          </cell>
          <cell r="F1809">
            <v>164836.210964069</v>
          </cell>
          <cell r="G1809">
            <v>6.5224792162396711E-2</v>
          </cell>
          <cell r="I1809" t="str">
            <v>NC</v>
          </cell>
          <cell r="J1809" t="str">
            <v>Med</v>
          </cell>
          <cell r="K1809">
            <v>84558.333333333328</v>
          </cell>
        </row>
        <row r="1810">
          <cell r="C1810">
            <v>2383097.8465141398</v>
          </cell>
          <cell r="D1810">
            <v>0.76225338427179901</v>
          </cell>
          <cell r="E1810">
            <v>221183</v>
          </cell>
          <cell r="F1810">
            <v>168597.49029338901</v>
          </cell>
          <cell r="G1810">
            <v>7.0747195940780966E-2</v>
          </cell>
          <cell r="I1810" t="str">
            <v>NC</v>
          </cell>
          <cell r="J1810" t="str">
            <v>No Data</v>
          </cell>
          <cell r="K1810">
            <v>0</v>
          </cell>
        </row>
        <row r="1811">
          <cell r="C1811">
            <v>2415206.9274870399</v>
          </cell>
          <cell r="D1811">
            <v>0.83091341285259002</v>
          </cell>
          <cell r="E1811">
            <v>197854</v>
          </cell>
          <cell r="F1811">
            <v>164399.54238653599</v>
          </cell>
          <cell r="G1811">
            <v>6.8068512273434661E-2</v>
          </cell>
          <cell r="I1811" t="str">
            <v>NC</v>
          </cell>
          <cell r="J1811" t="str">
            <v>Med</v>
          </cell>
          <cell r="K1811">
            <v>74214</v>
          </cell>
        </row>
        <row r="1812">
          <cell r="C1812">
            <v>2098356.8352823998</v>
          </cell>
          <cell r="D1812">
            <v>0.81943957028578296</v>
          </cell>
          <cell r="E1812">
            <v>193538</v>
          </cell>
          <cell r="F1812">
            <v>158592.69555397</v>
          </cell>
          <cell r="G1812">
            <v>7.5579469081399772E-2</v>
          </cell>
          <cell r="I1812" t="str">
            <v>NC</v>
          </cell>
          <cell r="J1812" t="str">
            <v>Med</v>
          </cell>
          <cell r="K1812">
            <v>58817</v>
          </cell>
        </row>
        <row r="1813">
          <cell r="C1813">
            <v>2428106.7450767201</v>
          </cell>
          <cell r="D1813">
            <v>0.77519231244738895</v>
          </cell>
          <cell r="E1813">
            <v>227888</v>
          </cell>
          <cell r="F1813">
            <v>176657.02569901099</v>
          </cell>
          <cell r="G1813">
            <v>7.2755049199218463E-2</v>
          </cell>
          <cell r="I1813" t="str">
            <v>NC</v>
          </cell>
          <cell r="J1813" t="str">
            <v>No Data</v>
          </cell>
          <cell r="K1813">
            <v>0</v>
          </cell>
        </row>
        <row r="1814">
          <cell r="C1814">
            <v>1931477.0302093299</v>
          </cell>
          <cell r="D1814">
            <v>0.78496809313617599</v>
          </cell>
          <cell r="E1814">
            <v>197426</v>
          </cell>
          <cell r="F1814">
            <v>154973.110755503</v>
          </cell>
          <cell r="G1814">
            <v>8.0235544265679054E-2</v>
          </cell>
          <cell r="I1814" t="str">
            <v>NC</v>
          </cell>
          <cell r="J1814" t="str">
            <v>Med</v>
          </cell>
          <cell r="K1814">
            <v>47637.333333333336</v>
          </cell>
        </row>
        <row r="1815">
          <cell r="C1815">
            <v>2323884.2137190201</v>
          </cell>
          <cell r="D1815">
            <v>0.80638976382823302</v>
          </cell>
          <cell r="E1815">
            <v>212720</v>
          </cell>
          <cell r="F1815">
            <v>171535.230561542</v>
          </cell>
          <cell r="G1815">
            <v>7.3814017733278628E-2</v>
          </cell>
          <cell r="I1815" t="str">
            <v>NC</v>
          </cell>
          <cell r="J1815" t="str">
            <v>Med</v>
          </cell>
          <cell r="K1815">
            <v>69341.666666666672</v>
          </cell>
        </row>
        <row r="1816">
          <cell r="C1816">
            <v>2534351.3313015499</v>
          </cell>
          <cell r="D1816">
            <v>0.78262016440562898</v>
          </cell>
          <cell r="E1816">
            <v>194998</v>
          </cell>
          <cell r="F1816">
            <v>152609.36681876899</v>
          </cell>
          <cell r="G1816">
            <v>6.0216342120330418E-2</v>
          </cell>
          <cell r="I1816" t="str">
            <v>NC</v>
          </cell>
          <cell r="J1816" t="str">
            <v>Med</v>
          </cell>
          <cell r="K1816">
            <v>85208</v>
          </cell>
        </row>
        <row r="1817">
          <cell r="C1817">
            <v>2104030.4060060801</v>
          </cell>
          <cell r="D1817">
            <v>0.80899671329413103</v>
          </cell>
          <cell r="E1817">
            <v>172601</v>
          </cell>
          <cell r="F1817">
            <v>139633.64171128001</v>
          </cell>
          <cell r="G1817">
            <v>6.6364840219365395E-2</v>
          </cell>
          <cell r="I1817" t="str">
            <v>NC</v>
          </cell>
          <cell r="J1817" t="str">
            <v>Low</v>
          </cell>
          <cell r="K1817">
            <v>32777.666666666664</v>
          </cell>
        </row>
        <row r="1818">
          <cell r="C1818">
            <v>2635003.61644535</v>
          </cell>
          <cell r="D1818">
            <v>0.81255845168523499</v>
          </cell>
          <cell r="E1818">
            <v>201358</v>
          </cell>
          <cell r="F1818">
            <v>163615.144714436</v>
          </cell>
          <cell r="G1818">
            <v>6.2092948826823507E-2</v>
          </cell>
          <cell r="I1818" t="str">
            <v>NC</v>
          </cell>
          <cell r="J1818" t="str">
            <v>Med</v>
          </cell>
          <cell r="K1818">
            <v>60623.333333333336</v>
          </cell>
        </row>
        <row r="1819">
          <cell r="C1819">
            <v>2665627.3018080699</v>
          </cell>
          <cell r="D1819">
            <v>0.85702549808765904</v>
          </cell>
          <cell r="E1819">
            <v>173022</v>
          </cell>
          <cell r="F1819">
            <v>148284.26573012301</v>
          </cell>
          <cell r="G1819">
            <v>5.5628281429119214E-2</v>
          </cell>
          <cell r="I1819" t="str">
            <v>NC</v>
          </cell>
          <cell r="J1819" t="str">
            <v>Med</v>
          </cell>
          <cell r="K1819">
            <v>58152.666666666664</v>
          </cell>
        </row>
        <row r="1820">
          <cell r="C1820">
            <v>2556649.0817017299</v>
          </cell>
          <cell r="D1820">
            <v>0.80893021008750898</v>
          </cell>
          <cell r="E1820">
            <v>182775</v>
          </cell>
          <cell r="F1820">
            <v>147852.21914874401</v>
          </cell>
          <cell r="G1820">
            <v>5.7830470441540681E-2</v>
          </cell>
          <cell r="I1820" t="str">
            <v>NC</v>
          </cell>
          <cell r="J1820" t="str">
            <v>Med</v>
          </cell>
          <cell r="K1820">
            <v>54296</v>
          </cell>
        </row>
        <row r="1821">
          <cell r="C1821">
            <v>2375646.6011292199</v>
          </cell>
          <cell r="D1821">
            <v>0.79401194028634203</v>
          </cell>
          <cell r="E1821">
            <v>181395</v>
          </cell>
          <cell r="F1821">
            <v>144029.79590824101</v>
          </cell>
          <cell r="G1821">
            <v>6.0627618535424879E-2</v>
          </cell>
          <cell r="I1821" t="str">
            <v>NC</v>
          </cell>
          <cell r="J1821" t="str">
            <v>Med</v>
          </cell>
          <cell r="K1821">
            <v>50799.666666666664</v>
          </cell>
        </row>
        <row r="1822">
          <cell r="C1822">
            <v>2845788.7968440498</v>
          </cell>
          <cell r="D1822">
            <v>0.78175739512819997</v>
          </cell>
          <cell r="E1822">
            <v>198842</v>
          </cell>
          <cell r="F1822">
            <v>155446.20396208201</v>
          </cell>
          <cell r="G1822">
            <v>5.4623239832298956E-2</v>
          </cell>
          <cell r="I1822" t="str">
            <v>NC</v>
          </cell>
          <cell r="J1822" t="str">
            <v>Med</v>
          </cell>
          <cell r="K1822">
            <v>70973</v>
          </cell>
        </row>
        <row r="1823">
          <cell r="C1823">
            <v>2720885.4894158398</v>
          </cell>
          <cell r="D1823">
            <v>0.78500078982900001</v>
          </cell>
          <cell r="E1823">
            <v>203850</v>
          </cell>
          <cell r="F1823">
            <v>160022.41100664201</v>
          </cell>
          <cell r="G1823">
            <v>5.8812622445569368E-2</v>
          </cell>
          <cell r="I1823" t="str">
            <v>NC</v>
          </cell>
          <cell r="J1823" t="str">
            <v>Med</v>
          </cell>
          <cell r="K1823">
            <v>63975.666666666664</v>
          </cell>
        </row>
        <row r="1824">
          <cell r="C1824">
            <v>2698731.79265675</v>
          </cell>
          <cell r="D1824">
            <v>0.82873793253743799</v>
          </cell>
          <cell r="E1824">
            <v>192500</v>
          </cell>
          <cell r="F1824">
            <v>159532.052013457</v>
          </cell>
          <cell r="G1824">
            <v>5.9113711280070057E-2</v>
          </cell>
          <cell r="I1824" t="str">
            <v>NC</v>
          </cell>
          <cell r="J1824" t="str">
            <v>Med</v>
          </cell>
          <cell r="K1824">
            <v>59053.666666666664</v>
          </cell>
        </row>
        <row r="1825">
          <cell r="C1825">
            <v>2167587.2097917902</v>
          </cell>
          <cell r="D1825">
            <v>0.75959504360791397</v>
          </cell>
          <cell r="E1825">
            <v>205675</v>
          </cell>
          <cell r="F1825">
            <v>156229.71059405801</v>
          </cell>
          <cell r="G1825">
            <v>7.2075397884020925E-2</v>
          </cell>
          <cell r="I1825" t="str">
            <v>NC</v>
          </cell>
          <cell r="J1825" t="str">
            <v>Low</v>
          </cell>
          <cell r="K1825">
            <v>35528.333333333336</v>
          </cell>
        </row>
        <row r="1826">
          <cell r="C1826">
            <v>3105579.7927129101</v>
          </cell>
          <cell r="D1826">
            <v>0.77384326727425101</v>
          </cell>
          <cell r="E1826">
            <v>213539</v>
          </cell>
          <cell r="F1826">
            <v>165245.71745047599</v>
          </cell>
          <cell r="G1826">
            <v>5.320929696870675E-2</v>
          </cell>
          <cell r="I1826" t="str">
            <v>NC</v>
          </cell>
          <cell r="J1826" t="str">
            <v>Med</v>
          </cell>
          <cell r="K1826">
            <v>86195.333333333328</v>
          </cell>
        </row>
        <row r="1827">
          <cell r="C1827">
            <v>2790139.19669982</v>
          </cell>
          <cell r="D1827">
            <v>0.79148564451269898</v>
          </cell>
          <cell r="E1827">
            <v>176994</v>
          </cell>
          <cell r="F1827">
            <v>140088.21016488099</v>
          </cell>
          <cell r="G1827">
            <v>5.0208323058067314E-2</v>
          </cell>
          <cell r="I1827" t="str">
            <v>NC</v>
          </cell>
          <cell r="J1827" t="str">
            <v>No Data</v>
          </cell>
          <cell r="K1827">
            <v>0</v>
          </cell>
        </row>
        <row r="1828">
          <cell r="C1828">
            <v>3114153.8410916198</v>
          </cell>
          <cell r="D1828">
            <v>0.80390252754004099</v>
          </cell>
          <cell r="E1828">
            <v>197531</v>
          </cell>
          <cell r="F1828">
            <v>158795.670167512</v>
          </cell>
          <cell r="G1828">
            <v>5.0991594593749599E-2</v>
          </cell>
          <cell r="I1828" t="str">
            <v>NC</v>
          </cell>
          <cell r="J1828" t="str">
            <v>Med</v>
          </cell>
          <cell r="K1828">
            <v>84558.333333333328</v>
          </cell>
        </row>
        <row r="1829">
          <cell r="C1829">
            <v>2881538.2918791799</v>
          </cell>
          <cell r="D1829">
            <v>0.78246249629587195</v>
          </cell>
          <cell r="E1829">
            <v>200339</v>
          </cell>
          <cell r="F1829">
            <v>156757.75404541899</v>
          </cell>
          <cell r="G1829">
            <v>5.4400718701950776E-2</v>
          </cell>
          <cell r="I1829" t="str">
            <v>NC</v>
          </cell>
          <cell r="J1829" t="str">
            <v>No Data</v>
          </cell>
          <cell r="K1829">
            <v>0</v>
          </cell>
        </row>
        <row r="1830">
          <cell r="C1830">
            <v>2936371.9588932302</v>
          </cell>
          <cell r="D1830">
            <v>0.811442341344905</v>
          </cell>
          <cell r="E1830">
            <v>197536</v>
          </cell>
          <cell r="F1830">
            <v>160289.07433990701</v>
          </cell>
          <cell r="G1830">
            <v>5.458745573919823E-2</v>
          </cell>
          <cell r="I1830" t="str">
            <v>NC</v>
          </cell>
          <cell r="J1830" t="str">
            <v>Med</v>
          </cell>
          <cell r="K1830">
            <v>74214</v>
          </cell>
        </row>
        <row r="1831">
          <cell r="C1831">
            <v>2627687.9105853802</v>
          </cell>
          <cell r="D1831">
            <v>0.83864487608278204</v>
          </cell>
          <cell r="E1831">
            <v>182017</v>
          </cell>
          <cell r="F1831">
            <v>152647.62440996</v>
          </cell>
          <cell r="G1831">
            <v>5.8091991744923049E-2</v>
          </cell>
          <cell r="I1831" t="str">
            <v>NC</v>
          </cell>
          <cell r="J1831" t="str">
            <v>Med</v>
          </cell>
          <cell r="K1831">
            <v>58817</v>
          </cell>
        </row>
        <row r="1832">
          <cell r="C1832">
            <v>2944955.1494688201</v>
          </cell>
          <cell r="D1832">
            <v>0.78077096283710501</v>
          </cell>
          <cell r="E1832">
            <v>212667</v>
          </cell>
          <cell r="F1832">
            <v>166044.218353679</v>
          </cell>
          <cell r="G1832">
            <v>5.6382596653001084E-2</v>
          </cell>
          <cell r="I1832" t="str">
            <v>NC</v>
          </cell>
          <cell r="J1832" t="str">
            <v>No Data</v>
          </cell>
          <cell r="K1832">
            <v>0</v>
          </cell>
        </row>
        <row r="1833">
          <cell r="C1833">
            <v>2352363.90637834</v>
          </cell>
          <cell r="D1833">
            <v>0.79789747820471302</v>
          </cell>
          <cell r="E1833">
            <v>185058</v>
          </cell>
          <cell r="F1833">
            <v>147657.311521608</v>
          </cell>
          <cell r="G1833">
            <v>6.2769757315711716E-2</v>
          </cell>
          <cell r="I1833" t="str">
            <v>NC</v>
          </cell>
          <cell r="J1833" t="str">
            <v>Med</v>
          </cell>
          <cell r="K1833">
            <v>47637.333333333336</v>
          </cell>
        </row>
        <row r="1834">
          <cell r="C1834">
            <v>2835311.25436365</v>
          </cell>
          <cell r="D1834">
            <v>0.794664080866888</v>
          </cell>
          <cell r="E1834">
            <v>206547</v>
          </cell>
          <cell r="F1834">
            <v>164135.48191081299</v>
          </cell>
          <cell r="G1834">
            <v>5.7889757838121773E-2</v>
          </cell>
          <cell r="I1834" t="str">
            <v>NC</v>
          </cell>
          <cell r="J1834" t="str">
            <v>Med</v>
          </cell>
          <cell r="K1834">
            <v>69341.666666666672</v>
          </cell>
        </row>
        <row r="1835">
          <cell r="C1835">
            <v>3092970.5302435602</v>
          </cell>
          <cell r="D1835">
            <v>0.76372624863300598</v>
          </cell>
          <cell r="E1835">
            <v>189207</v>
          </cell>
          <cell r="F1835">
            <v>144502.35232510499</v>
          </cell>
          <cell r="G1835">
            <v>4.6719602049918645E-2</v>
          </cell>
          <cell r="I1835" t="str">
            <v>NC</v>
          </cell>
          <cell r="J1835" t="str">
            <v>Med</v>
          </cell>
          <cell r="K1835">
            <v>85208</v>
          </cell>
        </row>
        <row r="1836">
          <cell r="C1836">
            <v>2433661.6275804802</v>
          </cell>
          <cell r="D1836">
            <v>0.80870090535770001</v>
          </cell>
          <cell r="E1836">
            <v>166780</v>
          </cell>
          <cell r="F1836">
            <v>134875.136995557</v>
          </cell>
          <cell r="G1836">
            <v>5.5420661388185008E-2</v>
          </cell>
          <cell r="I1836" t="str">
            <v>NC</v>
          </cell>
          <cell r="J1836" t="str">
            <v>Low</v>
          </cell>
          <cell r="K1836">
            <v>32777.666666666664</v>
          </cell>
        </row>
        <row r="1837">
          <cell r="C1837">
            <v>2938992.1337669399</v>
          </cell>
          <cell r="D1837">
            <v>0.80289165929317696</v>
          </cell>
          <cell r="E1837">
            <v>188598</v>
          </cell>
          <cell r="F1837">
            <v>151423.76115937499</v>
          </cell>
          <cell r="G1837">
            <v>5.152234312559844E-2</v>
          </cell>
          <cell r="I1837" t="str">
            <v>NC</v>
          </cell>
          <cell r="J1837" t="str">
            <v>Med</v>
          </cell>
          <cell r="K1837">
            <v>60623.333333333336</v>
          </cell>
        </row>
        <row r="1838">
          <cell r="C1838">
            <v>2975159.2925848602</v>
          </cell>
          <cell r="D1838">
            <v>0.84262096306621304</v>
          </cell>
          <cell r="E1838">
            <v>168207</v>
          </cell>
          <cell r="F1838">
            <v>141734.74433447799</v>
          </cell>
          <cell r="G1838">
            <v>4.7639380078818183E-2</v>
          </cell>
          <cell r="I1838" t="str">
            <v>NC</v>
          </cell>
          <cell r="J1838" t="str">
            <v>Med</v>
          </cell>
          <cell r="K1838">
            <v>58152.666666666664</v>
          </cell>
        </row>
        <row r="1839">
          <cell r="C1839">
            <v>2857317.2517575002</v>
          </cell>
          <cell r="D1839">
            <v>0.81948349243771201</v>
          </cell>
          <cell r="E1839">
            <v>169905</v>
          </cell>
          <cell r="F1839">
            <v>139234.34278262901</v>
          </cell>
          <cell r="G1839">
            <v>4.8729045644822153E-2</v>
          </cell>
          <cell r="I1839" t="str">
            <v>NC</v>
          </cell>
          <cell r="J1839" t="str">
            <v>Med</v>
          </cell>
          <cell r="K1839">
            <v>54296</v>
          </cell>
        </row>
        <row r="1840">
          <cell r="C1840">
            <v>2663551.6525711501</v>
          </cell>
          <cell r="D1840">
            <v>0.80895959763254599</v>
          </cell>
          <cell r="E1840">
            <v>158585</v>
          </cell>
          <cell r="F1840">
            <v>128288.857790557</v>
          </cell>
          <cell r="G1840">
            <v>4.8164584180944499E-2</v>
          </cell>
          <cell r="I1840" t="str">
            <v>NC</v>
          </cell>
          <cell r="J1840" t="str">
            <v>Med</v>
          </cell>
          <cell r="K1840">
            <v>50799.666666666664</v>
          </cell>
        </row>
        <row r="1841">
          <cell r="C1841">
            <v>3211001.9304555999</v>
          </cell>
          <cell r="D1841">
            <v>0.78342782111794396</v>
          </cell>
          <cell r="E1841">
            <v>183763</v>
          </cell>
          <cell r="F1841">
            <v>143965.04669209701</v>
          </cell>
          <cell r="G1841">
            <v>4.483492997205088E-2</v>
          </cell>
          <cell r="I1841" t="str">
            <v>NC</v>
          </cell>
          <cell r="J1841" t="str">
            <v>Med</v>
          </cell>
          <cell r="K1841">
            <v>70973</v>
          </cell>
        </row>
        <row r="1842">
          <cell r="C1842">
            <v>3060919.3045376302</v>
          </cell>
          <cell r="D1842">
            <v>0.76833762173280895</v>
          </cell>
          <cell r="E1842">
            <v>197444</v>
          </cell>
          <cell r="F1842">
            <v>151703.653385413</v>
          </cell>
          <cell r="G1842">
            <v>4.9561467746151097E-2</v>
          </cell>
          <cell r="I1842" t="str">
            <v>NC</v>
          </cell>
          <cell r="J1842" t="str">
            <v>Med</v>
          </cell>
          <cell r="K1842">
            <v>63975.666666666664</v>
          </cell>
        </row>
        <row r="1843">
          <cell r="C1843">
            <v>3038729.75582129</v>
          </cell>
          <cell r="D1843">
            <v>0.80776161483410902</v>
          </cell>
          <cell r="E1843">
            <v>188754</v>
          </cell>
          <cell r="F1843">
            <v>152468.235846397</v>
          </cell>
          <cell r="G1843">
            <v>5.0174990241996294E-2</v>
          </cell>
          <cell r="I1843" t="str">
            <v>NC</v>
          </cell>
          <cell r="J1843" t="str">
            <v>Med</v>
          </cell>
          <cell r="K1843">
            <v>59053.666666666664</v>
          </cell>
        </row>
        <row r="1844">
          <cell r="C1844">
            <v>2459124.5024085501</v>
          </cell>
          <cell r="D1844">
            <v>0.78853532993328401</v>
          </cell>
          <cell r="E1844">
            <v>179078</v>
          </cell>
          <cell r="F1844">
            <v>141209.32981379301</v>
          </cell>
          <cell r="G1844">
            <v>5.7422602912332331E-2</v>
          </cell>
          <cell r="I1844" t="str">
            <v>NC</v>
          </cell>
          <cell r="J1844" t="str">
            <v>Low</v>
          </cell>
          <cell r="K1844">
            <v>35528.333333333336</v>
          </cell>
        </row>
        <row r="1845">
          <cell r="C1845">
            <v>3542301.2941259998</v>
          </cell>
          <cell r="D1845">
            <v>0.78176634043646498</v>
          </cell>
          <cell r="E1845">
            <v>201118</v>
          </cell>
          <cell r="F1845">
            <v>157227.28285590099</v>
          </cell>
          <cell r="G1845">
            <v>4.4385632333596867E-2</v>
          </cell>
          <cell r="I1845" t="str">
            <v>NC</v>
          </cell>
          <cell r="J1845" t="str">
            <v>Med</v>
          </cell>
          <cell r="K1845">
            <v>86195.333333333328</v>
          </cell>
        </row>
        <row r="1846">
          <cell r="C1846">
            <v>3213369.2974726101</v>
          </cell>
          <cell r="D1846">
            <v>0.80230958667695695</v>
          </cell>
          <cell r="E1846">
            <v>166586</v>
          </cell>
          <cell r="F1846">
            <v>133653.54480616801</v>
          </cell>
          <cell r="G1846">
            <v>4.159296129184082E-2</v>
          </cell>
          <cell r="I1846" t="str">
            <v>NC</v>
          </cell>
          <cell r="J1846" t="str">
            <v>No Data</v>
          </cell>
          <cell r="K1846">
            <v>0</v>
          </cell>
        </row>
        <row r="1847">
          <cell r="C1847">
            <v>3491664.6022191402</v>
          </cell>
          <cell r="D1847">
            <v>0.830907581140514</v>
          </cell>
          <cell r="E1847">
            <v>181358</v>
          </cell>
          <cell r="F1847">
            <v>150691.737100481</v>
          </cell>
          <cell r="G1847">
            <v>4.3157563588641451E-2</v>
          </cell>
          <cell r="I1847" t="str">
            <v>NC</v>
          </cell>
          <cell r="J1847" t="str">
            <v>Med</v>
          </cell>
          <cell r="K1847">
            <v>84558.333333333328</v>
          </cell>
        </row>
        <row r="1848">
          <cell r="C1848">
            <v>3309466.21819505</v>
          </cell>
          <cell r="D1848">
            <v>0.78749913623279499</v>
          </cell>
          <cell r="E1848">
            <v>192941</v>
          </cell>
          <cell r="F1848">
            <v>151940.87084389199</v>
          </cell>
          <cell r="G1848">
            <v>4.5910990119354962E-2</v>
          </cell>
          <cell r="I1848" t="str">
            <v>NC</v>
          </cell>
          <cell r="J1848" t="str">
            <v>No Data</v>
          </cell>
          <cell r="K1848">
            <v>0</v>
          </cell>
        </row>
        <row r="1849">
          <cell r="C1849">
            <v>3471726.5634001899</v>
          </cell>
          <cell r="D1849">
            <v>0.84096394934281105</v>
          </cell>
          <cell r="E1849">
            <v>184866</v>
          </cell>
          <cell r="F1849">
            <v>155465.64145920801</v>
          </cell>
          <cell r="G1849">
            <v>4.478049714460975E-2</v>
          </cell>
          <cell r="I1849" t="str">
            <v>NC</v>
          </cell>
          <cell r="J1849" t="str">
            <v>Med</v>
          </cell>
          <cell r="K1849">
            <v>74214</v>
          </cell>
        </row>
        <row r="1850">
          <cell r="C1850">
            <v>2992345.7794065201</v>
          </cell>
          <cell r="D1850">
            <v>0.83820377930157797</v>
          </cell>
          <cell r="E1850">
            <v>171228</v>
          </cell>
          <cell r="F1850">
            <v>143523.95672225099</v>
          </cell>
          <cell r="G1850">
            <v>4.7963693805037629E-2</v>
          </cell>
          <cell r="I1850" t="str">
            <v>NC</v>
          </cell>
          <cell r="J1850" t="str">
            <v>Med</v>
          </cell>
          <cell r="K1850">
            <v>58817</v>
          </cell>
        </row>
        <row r="1851">
          <cell r="C1851">
            <v>3295229.5225757901</v>
          </cell>
          <cell r="D1851">
            <v>0.78110031862908003</v>
          </cell>
          <cell r="E1851">
            <v>200178</v>
          </cell>
          <cell r="F1851">
            <v>156359.09958253201</v>
          </cell>
          <cell r="G1851">
            <v>4.7450139212248381E-2</v>
          </cell>
          <cell r="I1851" t="str">
            <v>NC</v>
          </cell>
          <cell r="J1851" t="str">
            <v>No Data</v>
          </cell>
          <cell r="K1851">
            <v>0</v>
          </cell>
        </row>
        <row r="1852">
          <cell r="C1852">
            <v>2688712.8015418998</v>
          </cell>
          <cell r="D1852">
            <v>0.77282412929853395</v>
          </cell>
          <cell r="E1852">
            <v>182603</v>
          </cell>
          <cell r="F1852">
            <v>141120.00448229999</v>
          </cell>
          <cell r="G1852">
            <v>5.248608345278518E-2</v>
          </cell>
          <cell r="I1852" t="str">
            <v>NC</v>
          </cell>
          <cell r="J1852" t="str">
            <v>Med</v>
          </cell>
          <cell r="K1852">
            <v>47637.333333333336</v>
          </cell>
        </row>
        <row r="1853">
          <cell r="C1853">
            <v>3244060.9405650101</v>
          </cell>
          <cell r="D1853">
            <v>0.81678915664128104</v>
          </cell>
          <cell r="E1853">
            <v>191300</v>
          </cell>
          <cell r="F1853">
            <v>156251.765665477</v>
          </cell>
          <cell r="G1853">
            <v>4.8165484104088073E-2</v>
          </cell>
          <cell r="I1853" t="str">
            <v>NC</v>
          </cell>
          <cell r="J1853" t="str">
            <v>Med</v>
          </cell>
          <cell r="K1853">
            <v>69341.666666666672</v>
          </cell>
        </row>
        <row r="1854">
          <cell r="C1854">
            <v>3557735.2420789502</v>
          </cell>
          <cell r="D1854">
            <v>0.76527396861938901</v>
          </cell>
          <cell r="E1854">
            <v>177805</v>
          </cell>
          <cell r="F1854">
            <v>136069.537990371</v>
          </cell>
          <cell r="G1854">
            <v>3.8246111284790052E-2</v>
          </cell>
          <cell r="I1854" t="str">
            <v>NC</v>
          </cell>
          <cell r="J1854" t="str">
            <v>Med</v>
          </cell>
          <cell r="K1854">
            <v>85208</v>
          </cell>
        </row>
        <row r="1855">
          <cell r="C1855">
            <v>2549145.36376803</v>
          </cell>
          <cell r="D1855">
            <v>0.83786866509988001</v>
          </cell>
          <cell r="E1855">
            <v>148080</v>
          </cell>
          <cell r="F1855">
            <v>124071.59192799</v>
          </cell>
          <cell r="G1855">
            <v>4.8671838684237703E-2</v>
          </cell>
          <cell r="I1855" t="str">
            <v>NC</v>
          </cell>
          <cell r="J1855" t="str">
            <v>Low</v>
          </cell>
          <cell r="K1855">
            <v>32777.666666666664</v>
          </cell>
        </row>
        <row r="1856">
          <cell r="C1856">
            <v>3050632.50940193</v>
          </cell>
          <cell r="D1856">
            <v>0.79334000329821996</v>
          </cell>
          <cell r="E1856">
            <v>188006</v>
          </cell>
          <cell r="F1856">
            <v>149152.680660085</v>
          </cell>
          <cell r="G1856">
            <v>4.889237894122031E-2</v>
          </cell>
          <cell r="I1856" t="str">
            <v>NC</v>
          </cell>
          <cell r="J1856" t="str">
            <v>Med</v>
          </cell>
          <cell r="K1856">
            <v>60623.333333333336</v>
          </cell>
        </row>
        <row r="1857">
          <cell r="C1857">
            <v>3110310.0830082502</v>
          </cell>
          <cell r="D1857">
            <v>0.85466613181773099</v>
          </cell>
          <cell r="E1857">
            <v>161853</v>
          </cell>
          <cell r="F1857">
            <v>138330.27743309501</v>
          </cell>
          <cell r="G1857">
            <v>4.4474754523286572E-2</v>
          </cell>
          <cell r="I1857" t="str">
            <v>NC</v>
          </cell>
          <cell r="J1857" t="str">
            <v>Med</v>
          </cell>
          <cell r="K1857">
            <v>58152.666666666664</v>
          </cell>
        </row>
        <row r="1858">
          <cell r="C1858">
            <v>3051833.1779067302</v>
          </cell>
          <cell r="D1858">
            <v>0.81600797457439</v>
          </cell>
          <cell r="E1858">
            <v>169302</v>
          </cell>
          <cell r="F1858">
            <v>138151.782111393</v>
          </cell>
          <cell r="G1858">
            <v>4.5268458024351151E-2</v>
          </cell>
          <cell r="I1858" t="str">
            <v>NC</v>
          </cell>
          <cell r="J1858" t="str">
            <v>Med</v>
          </cell>
          <cell r="K1858">
            <v>54296</v>
          </cell>
        </row>
        <row r="1859">
          <cell r="C1859">
            <v>2815616.5600447301</v>
          </cell>
          <cell r="D1859">
            <v>0.823773326477095</v>
          </cell>
          <cell r="E1859">
            <v>152554</v>
          </cell>
          <cell r="F1859">
            <v>125669.916047387</v>
          </cell>
          <cell r="G1859">
            <v>4.4633178334975612E-2</v>
          </cell>
          <cell r="I1859" t="str">
            <v>NC</v>
          </cell>
          <cell r="J1859" t="str">
            <v>Med</v>
          </cell>
          <cell r="K1859">
            <v>50799.666666666664</v>
          </cell>
        </row>
        <row r="1860">
          <cell r="C1860">
            <v>3427330.7684085099</v>
          </cell>
          <cell r="D1860">
            <v>0.78163169903019003</v>
          </cell>
          <cell r="E1860">
            <v>182504</v>
          </cell>
          <cell r="F1860">
            <v>142650.91159980599</v>
          </cell>
          <cell r="G1860">
            <v>4.1621577034435552E-2</v>
          </cell>
          <cell r="I1860" t="str">
            <v>NC</v>
          </cell>
          <cell r="J1860" t="str">
            <v>Med</v>
          </cell>
          <cell r="K1860">
            <v>70973</v>
          </cell>
        </row>
        <row r="1861">
          <cell r="C1861">
            <v>3209853.0033852598</v>
          </cell>
          <cell r="D1861">
            <v>0.81401471239424195</v>
          </cell>
          <cell r="E1861">
            <v>178806</v>
          </cell>
          <cell r="F1861">
            <v>145550.71466436499</v>
          </cell>
          <cell r="G1861">
            <v>4.5344978262512478E-2</v>
          </cell>
          <cell r="I1861" t="str">
            <v>NC</v>
          </cell>
          <cell r="J1861" t="str">
            <v>Med</v>
          </cell>
          <cell r="K1861">
            <v>63975.666666666664</v>
          </cell>
        </row>
        <row r="1862">
          <cell r="C1862">
            <v>3106309.62153923</v>
          </cell>
          <cell r="D1862">
            <v>0.80139913798899998</v>
          </cell>
          <cell r="E1862">
            <v>181846</v>
          </cell>
          <cell r="F1862">
            <v>145731.22764674801</v>
          </cell>
          <cell r="G1862">
            <v>4.6914585280309458E-2</v>
          </cell>
          <cell r="I1862" t="str">
            <v>NC</v>
          </cell>
          <cell r="J1862" t="str">
            <v>Med</v>
          </cell>
          <cell r="K1862">
            <v>59053.666666666664</v>
          </cell>
        </row>
        <row r="1863">
          <cell r="C1863">
            <v>2589719.79198117</v>
          </cell>
          <cell r="D1863">
            <v>0.75578124418290804</v>
          </cell>
          <cell r="E1863">
            <v>191149</v>
          </cell>
          <cell r="F1863">
            <v>144466.82904431899</v>
          </cell>
          <cell r="G1863">
            <v>5.5784733735150534E-2</v>
          </cell>
          <cell r="I1863" t="str">
            <v>NC</v>
          </cell>
          <cell r="J1863" t="str">
            <v>Low</v>
          </cell>
          <cell r="K1863">
            <v>35528.333333333336</v>
          </cell>
        </row>
        <row r="1864">
          <cell r="C1864">
            <v>3707182.9319496802</v>
          </cell>
          <cell r="D1864">
            <v>0.79326370611805797</v>
          </cell>
          <cell r="E1864">
            <v>194584</v>
          </cell>
          <cell r="F1864">
            <v>154356.424991276</v>
          </cell>
          <cell r="G1864">
            <v>4.1637121184655686E-2</v>
          </cell>
          <cell r="I1864" t="str">
            <v>NC</v>
          </cell>
          <cell r="J1864" t="str">
            <v>Med</v>
          </cell>
          <cell r="K1864">
            <v>86195.333333333328</v>
          </cell>
        </row>
        <row r="1865">
          <cell r="C1865">
            <v>3385169.3144301302</v>
          </cell>
          <cell r="D1865">
            <v>0.80059019600499404</v>
          </cell>
          <cell r="E1865">
            <v>166893</v>
          </cell>
          <cell r="F1865">
            <v>133612.89958186101</v>
          </cell>
          <cell r="G1865">
            <v>3.9470078797034652E-2</v>
          </cell>
          <cell r="I1865" t="str">
            <v>NC</v>
          </cell>
          <cell r="J1865" t="str">
            <v>No Data</v>
          </cell>
          <cell r="K1865">
            <v>0</v>
          </cell>
        </row>
        <row r="1866">
          <cell r="C1866">
            <v>3617470.0383536699</v>
          </cell>
          <cell r="D1866">
            <v>0.81555731950194599</v>
          </cell>
          <cell r="E1866">
            <v>174300</v>
          </cell>
          <cell r="F1866">
            <v>142151.640789189</v>
          </cell>
          <cell r="G1866">
            <v>3.92958723312282E-2</v>
          </cell>
          <cell r="I1866" t="str">
            <v>NC</v>
          </cell>
          <cell r="J1866" t="str">
            <v>Med</v>
          </cell>
          <cell r="K1866">
            <v>84558.333333333328</v>
          </cell>
        </row>
        <row r="1867">
          <cell r="C1867">
            <v>3493753.8824356198</v>
          </cell>
          <cell r="D1867">
            <v>0.77192940799234699</v>
          </cell>
          <cell r="E1867">
            <v>192787</v>
          </cell>
          <cell r="F1867">
            <v>148817.954778621</v>
          </cell>
          <cell r="G1867">
            <v>4.2595431672157374E-2</v>
          </cell>
          <cell r="I1867" t="str">
            <v>NC</v>
          </cell>
          <cell r="J1867" t="str">
            <v>No Data</v>
          </cell>
          <cell r="K1867">
            <v>0</v>
          </cell>
        </row>
        <row r="1868">
          <cell r="C1868">
            <v>3507047.5940698702</v>
          </cell>
          <cell r="D1868">
            <v>0.79411544659055699</v>
          </cell>
          <cell r="E1868">
            <v>186591</v>
          </cell>
          <cell r="F1868">
            <v>148174.795294779</v>
          </cell>
          <cell r="G1868">
            <v>4.2250580102001022E-2</v>
          </cell>
          <cell r="I1868" t="str">
            <v>NC</v>
          </cell>
          <cell r="J1868" t="str">
            <v>Med</v>
          </cell>
          <cell r="K1868">
            <v>74214</v>
          </cell>
        </row>
        <row r="1869">
          <cell r="C1869">
            <v>3113171.9984530001</v>
          </cell>
          <cell r="D1869">
            <v>0.83658230403649203</v>
          </cell>
          <cell r="E1869">
            <v>169647</v>
          </cell>
          <cell r="F1869">
            <v>141923.67813287899</v>
          </cell>
          <cell r="G1869">
            <v>4.5588126259456213E-2</v>
          </cell>
          <cell r="I1869" t="str">
            <v>NC</v>
          </cell>
          <cell r="J1869" t="str">
            <v>Med</v>
          </cell>
          <cell r="K1869">
            <v>58817</v>
          </cell>
        </row>
        <row r="1870">
          <cell r="C1870">
            <v>3466880.3487371798</v>
          </cell>
          <cell r="D1870">
            <v>0.76795922018182805</v>
          </cell>
          <cell r="E1870">
            <v>200291</v>
          </cell>
          <cell r="F1870">
            <v>153815.32016943899</v>
          </cell>
          <cell r="G1870">
            <v>4.4367069150646234E-2</v>
          </cell>
          <cell r="I1870" t="str">
            <v>NC</v>
          </cell>
          <cell r="J1870" t="str">
            <v>No Data</v>
          </cell>
          <cell r="K1870">
            <v>0</v>
          </cell>
        </row>
        <row r="1871">
          <cell r="C1871">
            <v>2807692.5702199</v>
          </cell>
          <cell r="D1871">
            <v>0.76901007938265897</v>
          </cell>
          <cell r="E1871">
            <v>180973</v>
          </cell>
          <cell r="F1871">
            <v>139170.06109611801</v>
          </cell>
          <cell r="G1871">
            <v>4.956741438583432E-2</v>
          </cell>
          <cell r="I1871" t="str">
            <v>NC</v>
          </cell>
          <cell r="J1871" t="str">
            <v>Med</v>
          </cell>
          <cell r="K1871">
            <v>47637.333333333336</v>
          </cell>
        </row>
        <row r="1872">
          <cell r="C1872">
            <v>3423108.5859207502</v>
          </cell>
          <cell r="D1872">
            <v>0.82483383164713497</v>
          </cell>
          <cell r="E1872">
            <v>188341</v>
          </cell>
          <cell r="F1872">
            <v>155350.028686253</v>
          </cell>
          <cell r="G1872">
            <v>4.53827346655633E-2</v>
          </cell>
          <cell r="I1872" t="str">
            <v>NC</v>
          </cell>
          <cell r="J1872" t="str">
            <v>Med</v>
          </cell>
          <cell r="K1872">
            <v>69341.666666666672</v>
          </cell>
        </row>
        <row r="1873">
          <cell r="C1873">
            <v>3723044.2204159</v>
          </cell>
          <cell r="D1873">
            <v>0.79681799390272301</v>
          </cell>
          <cell r="E1873">
            <v>168767</v>
          </cell>
          <cell r="F1873">
            <v>134476.58237698101</v>
          </cell>
          <cell r="G1873">
            <v>3.6120060470825853E-2</v>
          </cell>
          <cell r="I1873" t="str">
            <v>NC</v>
          </cell>
          <cell r="J1873" t="str">
            <v>Med</v>
          </cell>
          <cell r="K1873">
            <v>85208</v>
          </cell>
        </row>
        <row r="1874">
          <cell r="C1874">
            <v>1936059.04966816</v>
          </cell>
          <cell r="D1874">
            <v>0.68312715881924602</v>
          </cell>
          <cell r="E1874">
            <v>143803</v>
          </cell>
          <cell r="F1874">
            <v>98235.734819684003</v>
          </cell>
          <cell r="G1874">
            <v>5.0740050948612121E-2</v>
          </cell>
          <cell r="I1874" t="str">
            <v>GA</v>
          </cell>
          <cell r="J1874" t="str">
            <v>Med</v>
          </cell>
          <cell r="K1874">
            <v>82180.666666666672</v>
          </cell>
        </row>
        <row r="1875">
          <cell r="C1875">
            <v>2355900.9993837299</v>
          </cell>
          <cell r="D1875">
            <v>0.61097691317523295</v>
          </cell>
          <cell r="E1875">
            <v>154699</v>
          </cell>
          <cell r="F1875">
            <v>94517.517491295395</v>
          </cell>
          <cell r="G1875">
            <v>4.0119477650385066E-2</v>
          </cell>
          <cell r="I1875" t="str">
            <v>GA</v>
          </cell>
          <cell r="J1875" t="str">
            <v>High</v>
          </cell>
          <cell r="K1875">
            <v>108174.33333333333</v>
          </cell>
        </row>
        <row r="1876">
          <cell r="C1876">
            <v>1650728.5475296299</v>
          </cell>
          <cell r="D1876">
            <v>0.62748018797880201</v>
          </cell>
          <cell r="E1876">
            <v>169616</v>
          </cell>
          <cell r="F1876">
            <v>106430.679564212</v>
          </cell>
          <cell r="G1876">
            <v>6.4474973625123916E-2</v>
          </cell>
          <cell r="I1876" t="str">
            <v>GA</v>
          </cell>
          <cell r="J1876" t="str">
            <v>Med</v>
          </cell>
          <cell r="K1876">
            <v>58271.666666666664</v>
          </cell>
        </row>
        <row r="1877">
          <cell r="C1877">
            <v>1413960.4278803701</v>
          </cell>
          <cell r="D1877">
            <v>0.67154187615461902</v>
          </cell>
          <cell r="E1877">
            <v>160722</v>
          </cell>
          <cell r="F1877">
            <v>107931.553419323</v>
          </cell>
          <cell r="G1877">
            <v>7.6332796371904321E-2</v>
          </cell>
          <cell r="I1877" t="str">
            <v>GA</v>
          </cell>
          <cell r="J1877" t="str">
            <v>Low</v>
          </cell>
          <cell r="K1877">
            <v>37901</v>
          </cell>
        </row>
        <row r="1878">
          <cell r="C1878">
            <v>1742083.3666206901</v>
          </cell>
          <cell r="D1878">
            <v>0.65958126194326405</v>
          </cell>
          <cell r="E1878">
            <v>167697</v>
          </cell>
          <cell r="F1878">
            <v>110609.7988841</v>
          </cell>
          <cell r="G1878">
            <v>6.3492827612872477E-2</v>
          </cell>
          <cell r="I1878" t="str">
            <v>GA</v>
          </cell>
          <cell r="J1878" t="str">
            <v>Med</v>
          </cell>
          <cell r="K1878">
            <v>59536.333333333336</v>
          </cell>
        </row>
        <row r="1879">
          <cell r="C1879">
            <v>1899846.33666194</v>
          </cell>
          <cell r="D1879">
            <v>0.68594550520112796</v>
          </cell>
          <cell r="E1879">
            <v>137173</v>
          </cell>
          <cell r="F1879">
            <v>94093.202784954294</v>
          </cell>
          <cell r="G1879">
            <v>4.9526743805121384E-2</v>
          </cell>
          <cell r="I1879" t="str">
            <v>GA</v>
          </cell>
          <cell r="J1879" t="str">
            <v>No Data</v>
          </cell>
          <cell r="K1879">
            <v>0</v>
          </cell>
        </row>
        <row r="1880">
          <cell r="C1880">
            <v>2279516.39118612</v>
          </cell>
          <cell r="D1880">
            <v>0.65184911942446899</v>
          </cell>
          <cell r="E1880">
            <v>143275</v>
          </cell>
          <cell r="F1880">
            <v>93393.682585540795</v>
          </cell>
          <cell r="G1880">
            <v>4.0970831772323635E-2</v>
          </cell>
          <cell r="I1880" t="str">
            <v>GA</v>
          </cell>
          <cell r="J1880" t="str">
            <v>High</v>
          </cell>
          <cell r="K1880">
            <v>100405.66666666667</v>
          </cell>
        </row>
        <row r="1881">
          <cell r="C1881">
            <v>2674828.0144191398</v>
          </cell>
          <cell r="D1881">
            <v>0.65134095366413203</v>
          </cell>
          <cell r="E1881">
            <v>136304</v>
          </cell>
          <cell r="F1881">
            <v>88780.377348235794</v>
          </cell>
          <cell r="G1881">
            <v>3.3191060086723054E-2</v>
          </cell>
          <cell r="I1881" t="str">
            <v>GA</v>
          </cell>
          <cell r="J1881" t="str">
            <v>High</v>
          </cell>
          <cell r="K1881">
            <v>130423.66666666667</v>
          </cell>
        </row>
        <row r="1882">
          <cell r="C1882">
            <v>1570846.03318079</v>
          </cell>
          <cell r="D1882">
            <v>0.65373118169810396</v>
          </cell>
          <cell r="E1882">
            <v>162694</v>
          </cell>
          <cell r="F1882">
            <v>106358.14087519101</v>
          </cell>
          <cell r="G1882">
            <v>6.7707552890990536E-2</v>
          </cell>
          <cell r="I1882" t="str">
            <v>GA</v>
          </cell>
          <cell r="J1882" t="str">
            <v>Med</v>
          </cell>
          <cell r="K1882">
            <v>48417.666666666664</v>
          </cell>
        </row>
        <row r="1883">
          <cell r="C1883">
            <v>1662034.4874148101</v>
          </cell>
          <cell r="D1883">
            <v>0.68867614658190401</v>
          </cell>
          <cell r="E1883">
            <v>151112</v>
          </cell>
          <cell r="F1883">
            <v>104067.22986228501</v>
          </cell>
          <cell r="G1883">
            <v>6.2614362487841649E-2</v>
          </cell>
          <cell r="I1883" t="str">
            <v>GA</v>
          </cell>
          <cell r="J1883" t="str">
            <v>Med</v>
          </cell>
          <cell r="K1883">
            <v>58178.333333333336</v>
          </cell>
        </row>
        <row r="1884">
          <cell r="C1884">
            <v>1773539.6734316</v>
          </cell>
          <cell r="D1884">
            <v>0.68647708027519005</v>
          </cell>
          <cell r="E1884">
            <v>154993</v>
          </cell>
          <cell r="F1884">
            <v>106399.142103092</v>
          </cell>
          <cell r="G1884">
            <v>5.9992535660181548E-2</v>
          </cell>
          <cell r="I1884" t="str">
            <v>GA</v>
          </cell>
          <cell r="J1884" t="str">
            <v>Low</v>
          </cell>
          <cell r="K1884">
            <v>38900</v>
          </cell>
        </row>
        <row r="1885">
          <cell r="C1885">
            <v>1935362.2878553399</v>
          </cell>
          <cell r="D1885">
            <v>0.63342257104645205</v>
          </cell>
          <cell r="E1885">
            <v>159998</v>
          </cell>
          <cell r="F1885">
            <v>101346.34452229</v>
          </cell>
          <cell r="G1885">
            <v>5.2365567500334186E-2</v>
          </cell>
          <cell r="I1885" t="str">
            <v>GA</v>
          </cell>
          <cell r="J1885" t="str">
            <v>Med</v>
          </cell>
          <cell r="K1885">
            <v>76305.666666666672</v>
          </cell>
        </row>
        <row r="1886">
          <cell r="C1886">
            <v>1644087.29718535</v>
          </cell>
          <cell r="D1886">
            <v>0.62330244273311497</v>
          </cell>
          <cell r="E1886">
            <v>175465</v>
          </cell>
          <cell r="F1886">
            <v>109367.76311416599</v>
          </cell>
          <cell r="G1886">
            <v>6.652187101098693E-2</v>
          </cell>
          <cell r="I1886" t="str">
            <v>GA</v>
          </cell>
          <cell r="J1886" t="str">
            <v>Med</v>
          </cell>
          <cell r="K1886">
            <v>52832</v>
          </cell>
        </row>
        <row r="1887">
          <cell r="C1887">
            <v>1857660.11550971</v>
          </cell>
          <cell r="D1887">
            <v>0.62984935305372902</v>
          </cell>
          <cell r="E1887">
            <v>153651</v>
          </cell>
          <cell r="F1887">
            <v>96776.982946058401</v>
          </cell>
          <cell r="G1887">
            <v>5.209617310403656E-2</v>
          </cell>
          <cell r="I1887" t="str">
            <v>GA</v>
          </cell>
          <cell r="J1887" t="str">
            <v>No Data</v>
          </cell>
          <cell r="K1887">
            <v>0</v>
          </cell>
        </row>
        <row r="1888">
          <cell r="C1888">
            <v>1709423.3092792099</v>
          </cell>
          <cell r="D1888">
            <v>0.63675366641443798</v>
          </cell>
          <cell r="E1888">
            <v>171667</v>
          </cell>
          <cell r="F1888">
            <v>109309.591652367</v>
          </cell>
          <cell r="G1888">
            <v>6.3945303108367074E-2</v>
          </cell>
          <cell r="I1888" t="str">
            <v>GA</v>
          </cell>
          <cell r="J1888" t="str">
            <v>Med</v>
          </cell>
          <cell r="K1888">
            <v>59176</v>
          </cell>
        </row>
        <row r="1889">
          <cell r="C1889">
            <v>1628877.64458889</v>
          </cell>
          <cell r="D1889">
            <v>0.65761473470906995</v>
          </cell>
          <cell r="E1889">
            <v>155130</v>
          </cell>
          <cell r="F1889">
            <v>102015.773795418</v>
          </cell>
          <cell r="G1889">
            <v>6.2629488552631965E-2</v>
          </cell>
          <cell r="I1889" t="str">
            <v>GA</v>
          </cell>
          <cell r="J1889" t="str">
            <v>Med</v>
          </cell>
          <cell r="K1889">
            <v>58181.333333333336</v>
          </cell>
        </row>
        <row r="1890">
          <cell r="C1890">
            <v>1658072.61118234</v>
          </cell>
          <cell r="D1890">
            <v>0.61136166244690604</v>
          </cell>
          <cell r="E1890">
            <v>155212</v>
          </cell>
          <cell r="F1890">
            <v>94890.666351709195</v>
          </cell>
          <cell r="G1890">
            <v>5.7229499909563351E-2</v>
          </cell>
          <cell r="I1890" t="str">
            <v>GA</v>
          </cell>
          <cell r="J1890" t="str">
            <v>Med</v>
          </cell>
          <cell r="K1890">
            <v>56202.666666666664</v>
          </cell>
        </row>
        <row r="1891">
          <cell r="C1891">
            <v>1804189.0437256999</v>
          </cell>
          <cell r="D1891">
            <v>0.682685605805053</v>
          </cell>
          <cell r="E1891">
            <v>155600</v>
          </cell>
          <cell r="F1891">
            <v>106225.88026326599</v>
          </cell>
          <cell r="G1891">
            <v>5.8877355802974304E-2</v>
          </cell>
          <cell r="I1891" t="str">
            <v>GA</v>
          </cell>
          <cell r="J1891" t="str">
            <v>Med</v>
          </cell>
          <cell r="K1891">
            <v>66036.333333333328</v>
          </cell>
        </row>
        <row r="1892">
          <cell r="C1892">
            <v>2257774.74839334</v>
          </cell>
          <cell r="D1892">
            <v>0.67708102986513796</v>
          </cell>
          <cell r="E1892">
            <v>169302</v>
          </cell>
          <cell r="F1892">
            <v>114631.17251822801</v>
          </cell>
          <cell r="G1892">
            <v>5.0771748864584895E-2</v>
          </cell>
          <cell r="I1892" t="str">
            <v>GA</v>
          </cell>
          <cell r="J1892" t="str">
            <v>Med</v>
          </cell>
          <cell r="K1892">
            <v>82180.666666666672</v>
          </cell>
        </row>
        <row r="1893">
          <cell r="C1893">
            <v>2626955.6199926799</v>
          </cell>
          <cell r="D1893">
            <v>0.63528364071160404</v>
          </cell>
          <cell r="E1893">
            <v>166409</v>
          </cell>
          <cell r="F1893">
            <v>105716.915367177</v>
          </cell>
          <cell r="G1893">
            <v>4.0243129561310056E-2</v>
          </cell>
          <cell r="I1893" t="str">
            <v>GA</v>
          </cell>
          <cell r="J1893" t="str">
            <v>High</v>
          </cell>
          <cell r="K1893">
            <v>108174.33333333333</v>
          </cell>
        </row>
        <row r="1894">
          <cell r="C1894">
            <v>1884325.93424268</v>
          </cell>
          <cell r="D1894">
            <v>0.63136951622081805</v>
          </cell>
          <cell r="E1894">
            <v>187176</v>
          </cell>
          <cell r="F1894">
            <v>118177.220568148</v>
          </cell>
          <cell r="G1894">
            <v>6.2715912582100089E-2</v>
          </cell>
          <cell r="I1894" t="str">
            <v>GA</v>
          </cell>
          <cell r="J1894" t="str">
            <v>Med</v>
          </cell>
          <cell r="K1894">
            <v>58271.666666666664</v>
          </cell>
        </row>
        <row r="1895">
          <cell r="C1895">
            <v>1606409.6712283201</v>
          </cell>
          <cell r="D1895">
            <v>0.66368298454455399</v>
          </cell>
          <cell r="E1895">
            <v>187304</v>
          </cell>
          <cell r="F1895">
            <v>124310.477737133</v>
          </cell>
          <cell r="G1895">
            <v>7.7384044657849094E-2</v>
          </cell>
          <cell r="I1895" t="str">
            <v>GA</v>
          </cell>
          <cell r="J1895" t="str">
            <v>Low</v>
          </cell>
          <cell r="K1895">
            <v>37901</v>
          </cell>
        </row>
        <row r="1896">
          <cell r="C1896">
            <v>1966794.9164255301</v>
          </cell>
          <cell r="D1896">
            <v>0.68083167454208704</v>
          </cell>
          <cell r="E1896">
            <v>176627</v>
          </cell>
          <cell r="F1896">
            <v>120253.256179345</v>
          </cell>
          <cell r="G1896">
            <v>6.1141736321900959E-2</v>
          </cell>
          <cell r="I1896" t="str">
            <v>GA</v>
          </cell>
          <cell r="J1896" t="str">
            <v>Med</v>
          </cell>
          <cell r="K1896">
            <v>59536.333333333336</v>
          </cell>
        </row>
        <row r="1897">
          <cell r="C1897">
            <v>2144490.2152598798</v>
          </cell>
          <cell r="D1897">
            <v>0.67857925047881396</v>
          </cell>
          <cell r="E1897">
            <v>157068</v>
          </cell>
          <cell r="F1897">
            <v>106583.085714206</v>
          </cell>
          <cell r="G1897">
            <v>4.9700896257663614E-2</v>
          </cell>
          <cell r="I1897" t="str">
            <v>GA</v>
          </cell>
          <cell r="J1897" t="str">
            <v>No Data</v>
          </cell>
          <cell r="K1897">
            <v>0</v>
          </cell>
        </row>
        <row r="1898">
          <cell r="C1898">
            <v>2562367.4127915101</v>
          </cell>
          <cell r="D1898">
            <v>0.68455418969777304</v>
          </cell>
          <cell r="E1898">
            <v>152948</v>
          </cell>
          <cell r="F1898">
            <v>104701.19420589499</v>
          </cell>
          <cell r="G1898">
            <v>4.086111682626762E-2</v>
          </cell>
          <cell r="I1898" t="str">
            <v>GA</v>
          </cell>
          <cell r="J1898" t="str">
            <v>High</v>
          </cell>
          <cell r="K1898">
            <v>100405.66666666667</v>
          </cell>
        </row>
        <row r="1899">
          <cell r="C1899">
            <v>3067949.8657527501</v>
          </cell>
          <cell r="D1899">
            <v>0.68731554545648799</v>
          </cell>
          <cell r="E1899">
            <v>149896</v>
          </cell>
          <cell r="F1899">
            <v>103025.85100174601</v>
          </cell>
          <cell r="G1899">
            <v>3.3581334607782988E-2</v>
          </cell>
          <cell r="I1899" t="str">
            <v>GA</v>
          </cell>
          <cell r="J1899" t="str">
            <v>High</v>
          </cell>
          <cell r="K1899">
            <v>130423.66666666667</v>
          </cell>
        </row>
        <row r="1900">
          <cell r="C1900">
            <v>1754994.6438614</v>
          </cell>
          <cell r="D1900">
            <v>0.69440679132287197</v>
          </cell>
          <cell r="E1900">
            <v>168326</v>
          </cell>
          <cell r="F1900">
            <v>116886.717556214</v>
          </cell>
          <cell r="G1900">
            <v>6.6602321531327183E-2</v>
          </cell>
          <cell r="I1900" t="str">
            <v>GA</v>
          </cell>
          <cell r="J1900" t="str">
            <v>Med</v>
          </cell>
          <cell r="K1900">
            <v>48417.666666666664</v>
          </cell>
        </row>
        <row r="1901">
          <cell r="C1901">
            <v>1869152.5038143699</v>
          </cell>
          <cell r="D1901">
            <v>0.68002091809017995</v>
          </cell>
          <cell r="E1901">
            <v>173040</v>
          </cell>
          <cell r="F1901">
            <v>117670.819666325</v>
          </cell>
          <cell r="G1901">
            <v>6.2954103223891444E-2</v>
          </cell>
          <cell r="I1901" t="str">
            <v>GA</v>
          </cell>
          <cell r="J1901" t="str">
            <v>Med</v>
          </cell>
          <cell r="K1901">
            <v>58178.333333333336</v>
          </cell>
        </row>
        <row r="1902">
          <cell r="C1902">
            <v>2016814.44701041</v>
          </cell>
          <cell r="D1902">
            <v>0.69344546679117103</v>
          </cell>
          <cell r="E1902">
            <v>174160</v>
          </cell>
          <cell r="F1902">
            <v>120770.46249635</v>
          </cell>
          <cell r="G1902">
            <v>5.9881791641949018E-2</v>
          </cell>
          <cell r="I1902" t="str">
            <v>GA</v>
          </cell>
          <cell r="J1902" t="str">
            <v>Low</v>
          </cell>
          <cell r="K1902">
            <v>38900</v>
          </cell>
        </row>
        <row r="1903">
          <cell r="C1903">
            <v>2185665.9797591302</v>
          </cell>
          <cell r="D1903">
            <v>0.627588793657885</v>
          </cell>
          <cell r="E1903">
            <v>181643</v>
          </cell>
          <cell r="F1903">
            <v>113997.111246399</v>
          </cell>
          <cell r="G1903">
            <v>5.2156693795893723E-2</v>
          </cell>
          <cell r="I1903" t="str">
            <v>GA</v>
          </cell>
          <cell r="J1903" t="str">
            <v>Med</v>
          </cell>
          <cell r="K1903">
            <v>76305.666666666672</v>
          </cell>
        </row>
        <row r="1904">
          <cell r="C1904">
            <v>1910017.5439778401</v>
          </cell>
          <cell r="D1904">
            <v>0.64380355545271795</v>
          </cell>
          <cell r="E1904">
            <v>193687</v>
          </cell>
          <cell r="F1904">
            <v>124696.379244971</v>
          </cell>
          <cell r="G1904">
            <v>6.5285462763486388E-2</v>
          </cell>
          <cell r="I1904" t="str">
            <v>GA</v>
          </cell>
          <cell r="J1904" t="str">
            <v>Med</v>
          </cell>
          <cell r="K1904">
            <v>52832</v>
          </cell>
        </row>
        <row r="1905">
          <cell r="C1905">
            <v>2110544.3164246902</v>
          </cell>
          <cell r="D1905">
            <v>0.65982487026484504</v>
          </cell>
          <cell r="E1905">
            <v>169322</v>
          </cell>
          <cell r="F1905">
            <v>111722.86668298399</v>
          </cell>
          <cell r="G1905">
            <v>5.293557013398565E-2</v>
          </cell>
          <cell r="I1905" t="str">
            <v>GA</v>
          </cell>
          <cell r="J1905" t="str">
            <v>No Data</v>
          </cell>
          <cell r="K1905">
            <v>0</v>
          </cell>
        </row>
        <row r="1906">
          <cell r="C1906">
            <v>1959958.78079934</v>
          </cell>
          <cell r="D1906">
            <v>0.64497375389906797</v>
          </cell>
          <cell r="E1906">
            <v>190371</v>
          </cell>
          <cell r="F1906">
            <v>122784.29850351901</v>
          </cell>
          <cell r="G1906">
            <v>6.2646367722816731E-2</v>
          </cell>
          <cell r="I1906" t="str">
            <v>GA</v>
          </cell>
          <cell r="J1906" t="str">
            <v>Med</v>
          </cell>
          <cell r="K1906">
            <v>59176</v>
          </cell>
        </row>
        <row r="1907">
          <cell r="C1907">
            <v>1841829.34359719</v>
          </cell>
          <cell r="D1907">
            <v>0.66949302690819401</v>
          </cell>
          <cell r="E1907">
            <v>171348</v>
          </cell>
          <cell r="F1907">
            <v>114716.29117466501</v>
          </cell>
          <cell r="G1907">
            <v>6.2283887252343385E-2</v>
          </cell>
          <cell r="I1907" t="str">
            <v>GA</v>
          </cell>
          <cell r="J1907" t="str">
            <v>Med</v>
          </cell>
          <cell r="K1907">
            <v>58181.333333333336</v>
          </cell>
        </row>
        <row r="1908">
          <cell r="C1908">
            <v>1916653.51278003</v>
          </cell>
          <cell r="D1908">
            <v>0.63953741301050304</v>
          </cell>
          <cell r="E1908">
            <v>171702</v>
          </cell>
          <cell r="F1908">
            <v>109809.852888729</v>
          </cell>
          <cell r="G1908">
            <v>5.7292490351818548E-2</v>
          </cell>
          <cell r="I1908" t="str">
            <v>GA</v>
          </cell>
          <cell r="J1908" t="str">
            <v>Med</v>
          </cell>
          <cell r="K1908">
            <v>56202.666666666664</v>
          </cell>
        </row>
        <row r="1909">
          <cell r="C1909">
            <v>2048358.08030617</v>
          </cell>
          <cell r="D1909">
            <v>0.70498422687532003</v>
          </cell>
          <cell r="E1909">
            <v>173431</v>
          </cell>
          <cell r="F1909">
            <v>122266.11945121401</v>
          </cell>
          <cell r="G1909">
            <v>5.9689817237881949E-2</v>
          </cell>
          <cell r="I1909" t="str">
            <v>GA</v>
          </cell>
          <cell r="J1909" t="str">
            <v>Med</v>
          </cell>
          <cell r="K1909">
            <v>66036.333333333328</v>
          </cell>
        </row>
        <row r="1910">
          <cell r="C1910">
            <v>2446408.9672627999</v>
          </cell>
          <cell r="D1910">
            <v>0.68476477147166603</v>
          </cell>
          <cell r="E1910">
            <v>191364</v>
          </cell>
          <cell r="F1910">
            <v>131039.325727904</v>
          </cell>
          <cell r="G1910">
            <v>5.3563949233933379E-2</v>
          </cell>
          <cell r="I1910" t="str">
            <v>GA</v>
          </cell>
          <cell r="J1910" t="str">
            <v>Med</v>
          </cell>
          <cell r="K1910">
            <v>82180.666666666672</v>
          </cell>
        </row>
        <row r="1911">
          <cell r="C1911">
            <v>2899986.9871071298</v>
          </cell>
          <cell r="D1911">
            <v>0.64702879288856896</v>
          </cell>
          <cell r="E1911">
            <v>190755</v>
          </cell>
          <cell r="F1911">
            <v>123423.977387459</v>
          </cell>
          <cell r="G1911">
            <v>4.2560183178814916E-2</v>
          </cell>
          <cell r="I1911" t="str">
            <v>GA</v>
          </cell>
          <cell r="J1911" t="str">
            <v>High</v>
          </cell>
          <cell r="K1911">
            <v>108174.33333333333</v>
          </cell>
        </row>
        <row r="1912">
          <cell r="C1912">
            <v>2122581.7102268599</v>
          </cell>
          <cell r="D1912">
            <v>0.62728471908202998</v>
          </cell>
          <cell r="E1912">
            <v>222997</v>
          </cell>
          <cell r="F1912">
            <v>139882.610501135</v>
          </cell>
          <cell r="G1912">
            <v>6.5902108657190137E-2</v>
          </cell>
          <cell r="I1912" t="str">
            <v>GA</v>
          </cell>
          <cell r="J1912" t="str">
            <v>Med</v>
          </cell>
          <cell r="K1912">
            <v>58271.666666666664</v>
          </cell>
        </row>
        <row r="1913">
          <cell r="C1913">
            <v>1814356.4622948801</v>
          </cell>
          <cell r="D1913">
            <v>0.66438209629959</v>
          </cell>
          <cell r="E1913">
            <v>218470</v>
          </cell>
          <cell r="F1913">
            <v>145147.55657857101</v>
          </cell>
          <cell r="G1913">
            <v>7.9999470663544153E-2</v>
          </cell>
          <cell r="I1913" t="str">
            <v>GA</v>
          </cell>
          <cell r="J1913" t="str">
            <v>Low</v>
          </cell>
          <cell r="K1913">
            <v>37901</v>
          </cell>
        </row>
        <row r="1914">
          <cell r="C1914">
            <v>2229098.8835757999</v>
          </cell>
          <cell r="D1914">
            <v>0.66555141552188102</v>
          </cell>
          <cell r="E1914">
            <v>225418</v>
          </cell>
          <cell r="F1914">
            <v>150027.268984111</v>
          </cell>
          <cell r="G1914">
            <v>6.7303998978926124E-2</v>
          </cell>
          <cell r="I1914" t="str">
            <v>GA</v>
          </cell>
          <cell r="J1914" t="str">
            <v>Med</v>
          </cell>
          <cell r="K1914">
            <v>59536.333333333336</v>
          </cell>
        </row>
        <row r="1915">
          <cell r="C1915">
            <v>2401574.45594936</v>
          </cell>
          <cell r="D1915">
            <v>0.68945901409216204</v>
          </cell>
          <cell r="E1915">
            <v>187404</v>
          </cell>
          <cell r="F1915">
            <v>129207.377076927</v>
          </cell>
          <cell r="G1915">
            <v>5.3801112331472722E-2</v>
          </cell>
          <cell r="I1915" t="str">
            <v>GA</v>
          </cell>
          <cell r="J1915" t="str">
            <v>No Data</v>
          </cell>
          <cell r="K1915">
            <v>0</v>
          </cell>
        </row>
        <row r="1916">
          <cell r="C1916">
            <v>2846266.3406104902</v>
          </cell>
          <cell r="D1916">
            <v>0.65276255639768599</v>
          </cell>
          <cell r="E1916">
            <v>182568</v>
          </cell>
          <cell r="F1916">
            <v>119173.554396413</v>
          </cell>
          <cell r="G1916">
            <v>4.1870134462135999E-2</v>
          </cell>
          <cell r="I1916" t="str">
            <v>GA</v>
          </cell>
          <cell r="J1916" t="str">
            <v>High</v>
          </cell>
          <cell r="K1916">
            <v>100405.66666666667</v>
          </cell>
        </row>
        <row r="1917">
          <cell r="C1917">
            <v>3454980.8653102098</v>
          </cell>
          <cell r="D1917">
            <v>0.67118491632253396</v>
          </cell>
          <cell r="E1917">
            <v>184304</v>
          </cell>
          <cell r="F1917">
            <v>123702.064817908</v>
          </cell>
          <cell r="G1917">
            <v>3.5803979715181795E-2</v>
          </cell>
          <cell r="I1917" t="str">
            <v>GA</v>
          </cell>
          <cell r="J1917" t="str">
            <v>High</v>
          </cell>
          <cell r="K1917">
            <v>130423.66666666667</v>
          </cell>
        </row>
        <row r="1918">
          <cell r="C1918">
            <v>1994084.93369765</v>
          </cell>
          <cell r="D1918">
            <v>0.69033376192549201</v>
          </cell>
          <cell r="E1918">
            <v>200652</v>
          </cell>
          <cell r="F1918">
            <v>138516.849997874</v>
          </cell>
          <cell r="G1918">
            <v>6.9463866687474007E-2</v>
          </cell>
          <cell r="I1918" t="str">
            <v>GA</v>
          </cell>
          <cell r="J1918" t="str">
            <v>Med</v>
          </cell>
          <cell r="K1918">
            <v>48417.666666666664</v>
          </cell>
        </row>
        <row r="1919">
          <cell r="C1919">
            <v>2110806.4223767901</v>
          </cell>
          <cell r="D1919">
            <v>0.68673262222954401</v>
          </cell>
          <cell r="E1919">
            <v>202471</v>
          </cell>
          <cell r="F1919">
            <v>139043.440755438</v>
          </cell>
          <cell r="G1919">
            <v>6.5872189548709839E-2</v>
          </cell>
          <cell r="I1919" t="str">
            <v>GA</v>
          </cell>
          <cell r="J1919" t="str">
            <v>Med</v>
          </cell>
          <cell r="K1919">
            <v>58178.333333333336</v>
          </cell>
        </row>
        <row r="1920">
          <cell r="C1920">
            <v>2239871.3147255802</v>
          </cell>
          <cell r="D1920">
            <v>0.66587035414854501</v>
          </cell>
          <cell r="E1920">
            <v>211870</v>
          </cell>
          <cell r="F1920">
            <v>141077.95193345199</v>
          </cell>
          <cell r="G1920">
            <v>6.2984846944538098E-2</v>
          </cell>
          <cell r="I1920" t="str">
            <v>GA</v>
          </cell>
          <cell r="J1920" t="str">
            <v>Low</v>
          </cell>
          <cell r="K1920">
            <v>38900</v>
          </cell>
        </row>
        <row r="1921">
          <cell r="C1921">
            <v>2455730.1791456402</v>
          </cell>
          <cell r="D1921">
            <v>0.64905161622969898</v>
          </cell>
          <cell r="E1921">
            <v>213575</v>
          </cell>
          <cell r="F1921">
            <v>138621.19893625801</v>
          </cell>
          <cell r="G1921">
            <v>5.6448057735921521E-2</v>
          </cell>
          <cell r="I1921" t="str">
            <v>GA</v>
          </cell>
          <cell r="J1921" t="str">
            <v>Med</v>
          </cell>
          <cell r="K1921">
            <v>76305.666666666672</v>
          </cell>
        </row>
        <row r="1922">
          <cell r="C1922">
            <v>2151228.9382601501</v>
          </cell>
          <cell r="D1922">
            <v>0.64305213331026301</v>
          </cell>
          <cell r="E1922">
            <v>233119</v>
          </cell>
          <cell r="F1922">
            <v>149907.670265155</v>
          </cell>
          <cell r="G1922">
            <v>6.9684666098995415E-2</v>
          </cell>
          <cell r="I1922" t="str">
            <v>GA</v>
          </cell>
          <cell r="J1922" t="str">
            <v>Med</v>
          </cell>
          <cell r="K1922">
            <v>52832</v>
          </cell>
        </row>
        <row r="1923">
          <cell r="C1923">
            <v>2353456.1328416299</v>
          </cell>
          <cell r="D1923">
            <v>0.63400927013401498</v>
          </cell>
          <cell r="E1923">
            <v>200809</v>
          </cell>
          <cell r="F1923">
            <v>127314.76752634101</v>
          </cell>
          <cell r="G1923">
            <v>5.4096936734749135E-2</v>
          </cell>
          <cell r="I1923" t="str">
            <v>GA</v>
          </cell>
          <cell r="J1923" t="str">
            <v>No Data</v>
          </cell>
          <cell r="K1923">
            <v>0</v>
          </cell>
        </row>
        <row r="1924">
          <cell r="C1924">
            <v>2146633.8157872199</v>
          </cell>
          <cell r="D1924">
            <v>0.65392520156477196</v>
          </cell>
          <cell r="E1924">
            <v>219461</v>
          </cell>
          <cell r="F1924">
            <v>143511.078660606</v>
          </cell>
          <cell r="G1924">
            <v>6.6854010034299763E-2</v>
          </cell>
          <cell r="I1924" t="str">
            <v>GA</v>
          </cell>
          <cell r="J1924" t="str">
            <v>Med</v>
          </cell>
          <cell r="K1924">
            <v>59176</v>
          </cell>
        </row>
        <row r="1925">
          <cell r="C1925">
            <v>2103120.10107073</v>
          </cell>
          <cell r="D1925">
            <v>0.68604722862716605</v>
          </cell>
          <cell r="E1925">
            <v>197685</v>
          </cell>
          <cell r="F1925">
            <v>135621.246391161</v>
          </cell>
          <cell r="G1925">
            <v>6.4485735418587931E-2</v>
          </cell>
          <cell r="I1925" t="str">
            <v>GA</v>
          </cell>
          <cell r="J1925" t="str">
            <v>Med</v>
          </cell>
          <cell r="K1925">
            <v>58181.333333333336</v>
          </cell>
        </row>
        <row r="1926">
          <cell r="C1926">
            <v>2098894.0514339502</v>
          </cell>
          <cell r="D1926">
            <v>0.61374285725970201</v>
          </cell>
          <cell r="E1926">
            <v>206238</v>
          </cell>
          <cell r="F1926">
            <v>126577.09939552601</v>
          </cell>
          <cell r="G1926">
            <v>6.0306569218703247E-2</v>
          </cell>
          <cell r="I1926" t="str">
            <v>GA</v>
          </cell>
          <cell r="J1926" t="str">
            <v>Med</v>
          </cell>
          <cell r="K1926">
            <v>56202.666666666664</v>
          </cell>
        </row>
        <row r="1927">
          <cell r="C1927">
            <v>2289521.8770031398</v>
          </cell>
          <cell r="D1927">
            <v>0.68212602167956804</v>
          </cell>
          <cell r="E1927">
            <v>211551</v>
          </cell>
          <cell r="F1927">
            <v>144304.44201233401</v>
          </cell>
          <cell r="G1927">
            <v>6.302819966988947E-2</v>
          </cell>
          <cell r="I1927" t="str">
            <v>GA</v>
          </cell>
          <cell r="J1927" t="str">
            <v>Med</v>
          </cell>
          <cell r="K1927">
            <v>66036.333333333328</v>
          </cell>
        </row>
        <row r="1928">
          <cell r="C1928">
            <v>2638192.3478769399</v>
          </cell>
          <cell r="D1928">
            <v>0.67717818048490297</v>
          </cell>
          <cell r="E1928">
            <v>232589</v>
          </cell>
          <cell r="F1928">
            <v>157504.195820803</v>
          </cell>
          <cell r="G1928">
            <v>5.9701558890333753E-2</v>
          </cell>
          <cell r="I1928" t="str">
            <v>GA</v>
          </cell>
          <cell r="J1928" t="str">
            <v>Med</v>
          </cell>
          <cell r="K1928">
            <v>82180.666666666672</v>
          </cell>
        </row>
        <row r="1929">
          <cell r="C1929">
            <v>3035344.0733564999</v>
          </cell>
          <cell r="D1929">
            <v>0.65339916858743197</v>
          </cell>
          <cell r="E1929">
            <v>221681</v>
          </cell>
          <cell r="F1929">
            <v>144846.18109163101</v>
          </cell>
          <cell r="G1929">
            <v>4.7719855670747505E-2</v>
          </cell>
          <cell r="I1929" t="str">
            <v>GA</v>
          </cell>
          <cell r="J1929" t="str">
            <v>High</v>
          </cell>
          <cell r="K1929">
            <v>108174.33333333333</v>
          </cell>
        </row>
        <row r="1930">
          <cell r="C1930">
            <v>2212942.2295993399</v>
          </cell>
          <cell r="D1930">
            <v>0.62434187794203799</v>
          </cell>
          <cell r="E1930">
            <v>262237</v>
          </cell>
          <cell r="F1930">
            <v>163725.541045886</v>
          </cell>
          <cell r="G1930">
            <v>7.3985456491346829E-2</v>
          </cell>
          <cell r="I1930" t="str">
            <v>GA</v>
          </cell>
          <cell r="J1930" t="str">
            <v>Med</v>
          </cell>
          <cell r="K1930">
            <v>58271.666666666664</v>
          </cell>
        </row>
        <row r="1931">
          <cell r="C1931">
            <v>1915666.2521941201</v>
          </cell>
          <cell r="D1931">
            <v>0.65193985012484801</v>
          </cell>
          <cell r="E1931">
            <v>263906</v>
          </cell>
          <cell r="F1931">
            <v>172050.838087048</v>
          </cell>
          <cell r="G1931">
            <v>8.9812532788521235E-2</v>
          </cell>
          <cell r="I1931" t="str">
            <v>GA</v>
          </cell>
          <cell r="J1931" t="str">
            <v>Low</v>
          </cell>
          <cell r="K1931">
            <v>37901</v>
          </cell>
        </row>
        <row r="1932">
          <cell r="C1932">
            <v>2274437.5935603799</v>
          </cell>
          <cell r="D1932">
            <v>0.65887807747985105</v>
          </cell>
          <cell r="E1932">
            <v>254618</v>
          </cell>
          <cell r="F1932">
            <v>167762.21833176501</v>
          </cell>
          <cell r="G1932">
            <v>7.3759868728317954E-2</v>
          </cell>
          <cell r="I1932" t="str">
            <v>GA</v>
          </cell>
          <cell r="J1932" t="str">
            <v>Med</v>
          </cell>
          <cell r="K1932">
            <v>59536.333333333336</v>
          </cell>
        </row>
        <row r="1933">
          <cell r="C1933">
            <v>2488336.44353793</v>
          </cell>
          <cell r="D1933">
            <v>0.65938374885403805</v>
          </cell>
          <cell r="E1933">
            <v>219250</v>
          </cell>
          <cell r="F1933">
            <v>144569.88693624799</v>
          </cell>
          <cell r="G1933">
            <v>5.8099011213571167E-2</v>
          </cell>
          <cell r="I1933" t="str">
            <v>GA</v>
          </cell>
          <cell r="J1933" t="str">
            <v>No Data</v>
          </cell>
          <cell r="K1933">
            <v>0</v>
          </cell>
        </row>
        <row r="1934">
          <cell r="C1934">
            <v>3005773.6601373502</v>
          </cell>
          <cell r="D1934">
            <v>0.67086734657287905</v>
          </cell>
          <cell r="E1934">
            <v>214639</v>
          </cell>
          <cell r="F1934">
            <v>143994.296401056</v>
          </cell>
          <cell r="G1934">
            <v>4.7905901336056059E-2</v>
          </cell>
          <cell r="I1934" t="str">
            <v>GA</v>
          </cell>
          <cell r="J1934" t="str">
            <v>High</v>
          </cell>
          <cell r="K1934">
            <v>100405.66666666667</v>
          </cell>
        </row>
        <row r="1935">
          <cell r="C1935">
            <v>3634635.9041084298</v>
          </cell>
          <cell r="D1935">
            <v>0.64861507750871195</v>
          </cell>
          <cell r="E1935">
            <v>213202</v>
          </cell>
          <cell r="F1935">
            <v>138286.03175501199</v>
          </cell>
          <cell r="G1935">
            <v>3.8046735740077747E-2</v>
          </cell>
          <cell r="I1935" t="str">
            <v>GA</v>
          </cell>
          <cell r="J1935" t="str">
            <v>High</v>
          </cell>
          <cell r="K1935">
            <v>130423.66666666667</v>
          </cell>
        </row>
        <row r="1936">
          <cell r="C1936">
            <v>2109071.4237533901</v>
          </cell>
          <cell r="D1936">
            <v>0.66050410627586698</v>
          </cell>
          <cell r="E1936">
            <v>256062</v>
          </cell>
          <cell r="F1936">
            <v>169130.002461211</v>
          </cell>
          <cell r="G1936">
            <v>8.0191690312801406E-2</v>
          </cell>
          <cell r="I1936" t="str">
            <v>GA</v>
          </cell>
          <cell r="J1936" t="str">
            <v>Med</v>
          </cell>
          <cell r="K1936">
            <v>48417.666666666664</v>
          </cell>
        </row>
        <row r="1937">
          <cell r="C1937">
            <v>2234872.2048252402</v>
          </cell>
          <cell r="D1937">
            <v>0.67048794296121395</v>
          </cell>
          <cell r="E1937">
            <v>246046</v>
          </cell>
          <cell r="F1937">
            <v>164970.87641383501</v>
          </cell>
          <cell r="G1937">
            <v>7.3816693436721675E-2</v>
          </cell>
          <cell r="I1937" t="str">
            <v>GA</v>
          </cell>
          <cell r="J1937" t="str">
            <v>Med</v>
          </cell>
          <cell r="K1937">
            <v>58178.333333333336</v>
          </cell>
        </row>
        <row r="1938">
          <cell r="C1938">
            <v>2366434.0311796302</v>
          </cell>
          <cell r="D1938">
            <v>0.69089271188702805</v>
          </cell>
          <cell r="E1938">
            <v>238341</v>
          </cell>
          <cell r="F1938">
            <v>164668.05984386601</v>
          </cell>
          <cell r="G1938">
            <v>6.9584893419480431E-2</v>
          </cell>
          <cell r="I1938" t="str">
            <v>GA</v>
          </cell>
          <cell r="J1938" t="str">
            <v>Low</v>
          </cell>
          <cell r="K1938">
            <v>38900</v>
          </cell>
        </row>
        <row r="1939">
          <cell r="C1939">
            <v>2558356.2841190598</v>
          </cell>
          <cell r="D1939">
            <v>0.66545362951309395</v>
          </cell>
          <cell r="E1939">
            <v>232752</v>
          </cell>
          <cell r="F1939">
            <v>154885.66317643199</v>
          </cell>
          <cell r="G1939">
            <v>6.0541084186702739E-2</v>
          </cell>
          <cell r="I1939" t="str">
            <v>GA</v>
          </cell>
          <cell r="J1939" t="str">
            <v>Med</v>
          </cell>
          <cell r="K1939">
            <v>76305.666666666672</v>
          </cell>
        </row>
        <row r="1940">
          <cell r="C1940">
            <v>2187069.6484946599</v>
          </cell>
          <cell r="D1940">
            <v>0.631423593495816</v>
          </cell>
          <cell r="E1940">
            <v>263689</v>
          </cell>
          <cell r="F1940">
            <v>166499.45594531801</v>
          </cell>
          <cell r="G1940">
            <v>7.6129014025647548E-2</v>
          </cell>
          <cell r="I1940" t="str">
            <v>GA</v>
          </cell>
          <cell r="J1940" t="str">
            <v>Med</v>
          </cell>
          <cell r="K1940">
            <v>52832</v>
          </cell>
        </row>
        <row r="1941">
          <cell r="C1941">
            <v>2473141.72705193</v>
          </cell>
          <cell r="D1941">
            <v>0.63130075296260801</v>
          </cell>
          <cell r="E1941">
            <v>236212</v>
          </cell>
          <cell r="F1941">
            <v>149120.81345880401</v>
          </cell>
          <cell r="G1941">
            <v>6.0296105082728577E-2</v>
          </cell>
          <cell r="I1941" t="str">
            <v>GA</v>
          </cell>
          <cell r="J1941" t="str">
            <v>No Data</v>
          </cell>
          <cell r="K1941">
            <v>0</v>
          </cell>
        </row>
        <row r="1942">
          <cell r="C1942">
            <v>2332495.50318316</v>
          </cell>
          <cell r="D1942">
            <v>0.64546156615841699</v>
          </cell>
          <cell r="E1942">
            <v>265394</v>
          </cell>
          <cell r="F1942">
            <v>171301.62688904701</v>
          </cell>
          <cell r="G1942">
            <v>7.3441353543992449E-2</v>
          </cell>
          <cell r="I1942" t="str">
            <v>GA</v>
          </cell>
          <cell r="J1942" t="str">
            <v>Med</v>
          </cell>
          <cell r="K1942">
            <v>59176</v>
          </cell>
        </row>
        <row r="1943">
          <cell r="C1943">
            <v>2175664.6067727599</v>
          </cell>
          <cell r="D1943">
            <v>0.65511282386456204</v>
          </cell>
          <cell r="E1943">
            <v>239205</v>
          </cell>
          <cell r="F1943">
            <v>156706.26303252301</v>
          </cell>
          <cell r="G1943">
            <v>7.2026847587032705E-2</v>
          </cell>
          <cell r="I1943" t="str">
            <v>GA</v>
          </cell>
          <cell r="J1943" t="str">
            <v>Med</v>
          </cell>
          <cell r="K1943">
            <v>58181.333333333336</v>
          </cell>
        </row>
        <row r="1944">
          <cell r="C1944">
            <v>2237744.3303176598</v>
          </cell>
          <cell r="D1944">
            <v>0.62234792770442404</v>
          </cell>
          <cell r="E1944">
            <v>241457</v>
          </cell>
          <cell r="F1944">
            <v>150270.263579727</v>
          </cell>
          <cell r="G1944">
            <v>6.7152561418129184E-2</v>
          </cell>
          <cell r="I1944" t="str">
            <v>GA</v>
          </cell>
          <cell r="J1944" t="str">
            <v>Med</v>
          </cell>
          <cell r="K1944">
            <v>56202.666666666664</v>
          </cell>
        </row>
        <row r="1945">
          <cell r="C1945">
            <v>2415373.2707520402</v>
          </cell>
          <cell r="D1945">
            <v>0.65978906905197199</v>
          </cell>
          <cell r="E1945">
            <v>252136</v>
          </cell>
          <cell r="F1945">
            <v>166356.57671448801</v>
          </cell>
          <cell r="G1945">
            <v>6.8874065441111687E-2</v>
          </cell>
          <cell r="I1945" t="str">
            <v>GA</v>
          </cell>
          <cell r="J1945" t="str">
            <v>Med</v>
          </cell>
          <cell r="K1945">
            <v>66036.333333333328</v>
          </cell>
        </row>
        <row r="1946">
          <cell r="C1946">
            <v>2724099.6611149898</v>
          </cell>
          <cell r="D1946">
            <v>0.70063525737037602</v>
          </cell>
          <cell r="E1946">
            <v>243372</v>
          </cell>
          <cell r="F1946">
            <v>170515.00385674299</v>
          </cell>
          <cell r="G1946">
            <v>6.2594994702561732E-2</v>
          </cell>
          <cell r="I1946" t="str">
            <v>GA</v>
          </cell>
          <cell r="J1946" t="str">
            <v>Med</v>
          </cell>
          <cell r="K1946">
            <v>82180.666666666672</v>
          </cell>
        </row>
        <row r="1947">
          <cell r="C1947">
            <v>3238806.1035862798</v>
          </cell>
          <cell r="D1947">
            <v>0.64187817100463196</v>
          </cell>
          <cell r="E1947">
            <v>247153</v>
          </cell>
          <cell r="F1947">
            <v>158642.11559830801</v>
          </cell>
          <cell r="G1947">
            <v>4.8981665010031337E-2</v>
          </cell>
          <cell r="I1947" t="str">
            <v>GA</v>
          </cell>
          <cell r="J1947" t="str">
            <v>High</v>
          </cell>
          <cell r="K1947">
            <v>108174.33333333333</v>
          </cell>
        </row>
        <row r="1948">
          <cell r="C1948">
            <v>2321619.0970286699</v>
          </cell>
          <cell r="D1948">
            <v>0.63332928467432104</v>
          </cell>
          <cell r="E1948">
            <v>281878</v>
          </cell>
          <cell r="F1948">
            <v>178521.59210542799</v>
          </cell>
          <cell r="G1948">
            <v>7.6895297912525487E-2</v>
          </cell>
          <cell r="I1948" t="str">
            <v>GA</v>
          </cell>
          <cell r="J1948" t="str">
            <v>Med</v>
          </cell>
          <cell r="K1948">
            <v>58271.666666666664</v>
          </cell>
        </row>
        <row r="1949">
          <cell r="C1949">
            <v>1997996.6301869301</v>
          </cell>
          <cell r="D1949">
            <v>0.66641513063209001</v>
          </cell>
          <cell r="E1949">
            <v>276441</v>
          </cell>
          <cell r="F1949">
            <v>184224.46512706601</v>
          </cell>
          <cell r="G1949">
            <v>9.2204592512165645E-2</v>
          </cell>
          <cell r="I1949" t="str">
            <v>GA</v>
          </cell>
          <cell r="J1949" t="str">
            <v>Low</v>
          </cell>
          <cell r="K1949">
            <v>37901</v>
          </cell>
        </row>
        <row r="1950">
          <cell r="C1950">
            <v>2412349.2068224298</v>
          </cell>
          <cell r="D1950">
            <v>0.68046025900150797</v>
          </cell>
          <cell r="E1950">
            <v>271746</v>
          </cell>
          <cell r="F1950">
            <v>184912.35354262401</v>
          </cell>
          <cell r="G1950">
            <v>7.6652398839964137E-2</v>
          </cell>
          <cell r="I1950" t="str">
            <v>GA</v>
          </cell>
          <cell r="J1950" t="str">
            <v>Med</v>
          </cell>
          <cell r="K1950">
            <v>59536.333333333336</v>
          </cell>
        </row>
        <row r="1951">
          <cell r="C1951">
            <v>2617120.6640452598</v>
          </cell>
          <cell r="D1951">
            <v>0.66083889244053695</v>
          </cell>
          <cell r="E1951">
            <v>239876</v>
          </cell>
          <cell r="F1951">
            <v>158519.39016306601</v>
          </cell>
          <cell r="G1951">
            <v>6.0570149607868676E-2</v>
          </cell>
          <cell r="I1951" t="str">
            <v>GA</v>
          </cell>
          <cell r="J1951" t="str">
            <v>No Data</v>
          </cell>
          <cell r="K1951">
            <v>0</v>
          </cell>
        </row>
        <row r="1952">
          <cell r="C1952">
            <v>3180786.4153936799</v>
          </cell>
          <cell r="D1952">
            <v>0.66075481892073396</v>
          </cell>
          <cell r="E1952">
            <v>242658</v>
          </cell>
          <cell r="F1952">
            <v>160337.442849668</v>
          </cell>
          <cell r="G1952">
            <v>5.0408113563897794E-2</v>
          </cell>
          <cell r="I1952" t="str">
            <v>GA</v>
          </cell>
          <cell r="J1952" t="str">
            <v>High</v>
          </cell>
          <cell r="K1952">
            <v>100405.66666666667</v>
          </cell>
        </row>
        <row r="1953">
          <cell r="C1953">
            <v>3846661.4989059302</v>
          </cell>
          <cell r="D1953">
            <v>0.62379228554175203</v>
          </cell>
          <cell r="E1953">
            <v>243650</v>
          </cell>
          <cell r="F1953">
            <v>151986.99037224799</v>
          </cell>
          <cell r="G1953">
            <v>3.9511402398021304E-2</v>
          </cell>
          <cell r="I1953" t="str">
            <v>GA</v>
          </cell>
          <cell r="J1953" t="str">
            <v>High</v>
          </cell>
          <cell r="K1953">
            <v>130423.66666666667</v>
          </cell>
        </row>
        <row r="1954">
          <cell r="C1954">
            <v>2251372.3828709498</v>
          </cell>
          <cell r="D1954">
            <v>0.68388451829782204</v>
          </cell>
          <cell r="E1954">
            <v>267992</v>
          </cell>
          <cell r="F1954">
            <v>183275.57982767001</v>
          </cell>
          <cell r="G1954">
            <v>8.1406159737092004E-2</v>
          </cell>
          <cell r="I1954" t="str">
            <v>GA</v>
          </cell>
          <cell r="J1954" t="str">
            <v>Med</v>
          </cell>
          <cell r="K1954">
            <v>48417.666666666664</v>
          </cell>
        </row>
        <row r="1955">
          <cell r="C1955">
            <v>2348850.1279357299</v>
          </cell>
          <cell r="D1955">
            <v>0.68493586203086299</v>
          </cell>
          <cell r="E1955">
            <v>259733</v>
          </cell>
          <cell r="F1955">
            <v>177900.44625286199</v>
          </cell>
          <cell r="G1955">
            <v>7.5739377381735515E-2</v>
          </cell>
          <cell r="I1955" t="str">
            <v>GA</v>
          </cell>
          <cell r="J1955" t="str">
            <v>Med</v>
          </cell>
          <cell r="K1955">
            <v>58178.333333333336</v>
          </cell>
        </row>
        <row r="1956">
          <cell r="C1956">
            <v>2488297.38909125</v>
          </cell>
          <cell r="D1956">
            <v>0.69334056831853996</v>
          </cell>
          <cell r="E1956">
            <v>261793</v>
          </cell>
          <cell r="F1956">
            <v>181511.70740181499</v>
          </cell>
          <cell r="G1956">
            <v>7.2946147111501325E-2</v>
          </cell>
          <cell r="I1956" t="str">
            <v>GA</v>
          </cell>
          <cell r="J1956" t="str">
            <v>Low</v>
          </cell>
          <cell r="K1956">
            <v>38900</v>
          </cell>
        </row>
        <row r="1957">
          <cell r="C1957">
            <v>2699274.8772246498</v>
          </cell>
          <cell r="D1957">
            <v>0.64188342110653296</v>
          </cell>
          <cell r="E1957">
            <v>263106</v>
          </cell>
          <cell r="F1957">
            <v>168883.37939365601</v>
          </cell>
          <cell r="G1957">
            <v>6.2566202804546958E-2</v>
          </cell>
          <cell r="I1957" t="str">
            <v>GA</v>
          </cell>
          <cell r="J1957" t="str">
            <v>Med</v>
          </cell>
          <cell r="K1957">
            <v>76305.666666666672</v>
          </cell>
        </row>
        <row r="1958">
          <cell r="C1958">
            <v>2373727.04885509</v>
          </cell>
          <cell r="D1958">
            <v>0.62392898112491202</v>
          </cell>
          <cell r="E1958">
            <v>301536</v>
          </cell>
          <cell r="F1958">
            <v>188137.04925248199</v>
          </cell>
          <cell r="G1958">
            <v>7.9258080385959009E-2</v>
          </cell>
          <cell r="I1958" t="str">
            <v>GA</v>
          </cell>
          <cell r="J1958" t="str">
            <v>Med</v>
          </cell>
          <cell r="K1958">
            <v>52832</v>
          </cell>
        </row>
        <row r="1959">
          <cell r="C1959">
            <v>2625847.7851439901</v>
          </cell>
          <cell r="D1959">
            <v>0.64490876764021099</v>
          </cell>
          <cell r="E1959">
            <v>261839</v>
          </cell>
          <cell r="F1959">
            <v>168862.266810145</v>
          </cell>
          <cell r="G1959">
            <v>6.4307713404219785E-2</v>
          </cell>
          <cell r="I1959" t="str">
            <v>GA</v>
          </cell>
          <cell r="J1959" t="str">
            <v>No Data</v>
          </cell>
          <cell r="K1959">
            <v>0</v>
          </cell>
        </row>
        <row r="1960">
          <cell r="C1960">
            <v>2412272.2915000101</v>
          </cell>
          <cell r="D1960">
            <v>0.65445073857112401</v>
          </cell>
          <cell r="E1960">
            <v>282734</v>
          </cell>
          <cell r="F1960">
            <v>185035.475119168</v>
          </cell>
          <cell r="G1960">
            <v>7.6705882570208689E-2</v>
          </cell>
          <cell r="I1960" t="str">
            <v>GA</v>
          </cell>
          <cell r="J1960" t="str">
            <v>Med</v>
          </cell>
          <cell r="K1960">
            <v>59176</v>
          </cell>
        </row>
        <row r="1961">
          <cell r="C1961">
            <v>2253012.2498727101</v>
          </cell>
          <cell r="D1961">
            <v>0.67626795822991803</v>
          </cell>
          <cell r="E1961">
            <v>253489</v>
          </cell>
          <cell r="F1961">
            <v>171426.488463744</v>
          </cell>
          <cell r="G1961">
            <v>7.6087685929550175E-2</v>
          </cell>
          <cell r="I1961" t="str">
            <v>GA</v>
          </cell>
          <cell r="J1961" t="str">
            <v>Med</v>
          </cell>
          <cell r="K1961">
            <v>58181.333333333336</v>
          </cell>
        </row>
        <row r="1962">
          <cell r="C1962">
            <v>2356350.51064339</v>
          </cell>
          <cell r="D1962">
            <v>0.61936554060302595</v>
          </cell>
          <cell r="E1962">
            <v>265253</v>
          </cell>
          <cell r="F1962">
            <v>164288.56774157501</v>
          </cell>
          <cell r="G1962">
            <v>6.9721616966364156E-2</v>
          </cell>
          <cell r="I1962" t="str">
            <v>GA</v>
          </cell>
          <cell r="J1962" t="str">
            <v>Med</v>
          </cell>
          <cell r="K1962">
            <v>56202.666666666664</v>
          </cell>
        </row>
        <row r="1963">
          <cell r="C1963">
            <v>2542649.1550308098</v>
          </cell>
          <cell r="D1963">
            <v>0.68801279552999495</v>
          </cell>
          <cell r="E1963">
            <v>260086</v>
          </cell>
          <cell r="F1963">
            <v>178942.49593821401</v>
          </cell>
          <cell r="G1963">
            <v>7.037640076459771E-2</v>
          </cell>
          <cell r="I1963" t="str">
            <v>GA</v>
          </cell>
          <cell r="J1963" t="str">
            <v>Med</v>
          </cell>
          <cell r="K1963">
            <v>66036.333333333328</v>
          </cell>
        </row>
        <row r="1964">
          <cell r="C1964">
            <v>2680801.54170678</v>
          </cell>
          <cell r="D1964">
            <v>0.68219667384354699</v>
          </cell>
          <cell r="E1964">
            <v>271643</v>
          </cell>
          <cell r="F1964">
            <v>185313.95107288301</v>
          </cell>
          <cell r="G1964">
            <v>6.9126322180081856E-2</v>
          </cell>
          <cell r="I1964" t="str">
            <v>GA</v>
          </cell>
          <cell r="J1964" t="str">
            <v>Med</v>
          </cell>
          <cell r="K1964">
            <v>82180.666666666672</v>
          </cell>
        </row>
        <row r="1965">
          <cell r="C1965">
            <v>3064833.39687336</v>
          </cell>
          <cell r="D1965">
            <v>0.66633645919758799</v>
          </cell>
          <cell r="E1965">
            <v>256001</v>
          </cell>
          <cell r="F1965">
            <v>170582.799891042</v>
          </cell>
          <cell r="G1965">
            <v>5.5658098761604734E-2</v>
          </cell>
          <cell r="I1965" t="str">
            <v>GA</v>
          </cell>
          <cell r="J1965" t="str">
            <v>High</v>
          </cell>
          <cell r="K1965">
            <v>108174.33333333333</v>
          </cell>
        </row>
        <row r="1966">
          <cell r="C1966">
            <v>2176319.8943996402</v>
          </cell>
          <cell r="D1966">
            <v>0.61695803613748501</v>
          </cell>
          <cell r="E1966">
            <v>293980</v>
          </cell>
          <cell r="F1966">
            <v>181373.32346369801</v>
          </cell>
          <cell r="G1966">
            <v>8.3339459392173437E-2</v>
          </cell>
          <cell r="I1966" t="str">
            <v>GA</v>
          </cell>
          <cell r="J1966" t="str">
            <v>Med</v>
          </cell>
          <cell r="K1966">
            <v>58271.666666666664</v>
          </cell>
        </row>
        <row r="1967">
          <cell r="C1967">
            <v>1927719.13131169</v>
          </cell>
          <cell r="D1967">
            <v>0.64990521007079805</v>
          </cell>
          <cell r="E1967">
            <v>307335</v>
          </cell>
          <cell r="F1967">
            <v>199738.61773710899</v>
          </cell>
          <cell r="G1967">
            <v>0.10361396247657696</v>
          </cell>
          <cell r="I1967" t="str">
            <v>GA</v>
          </cell>
          <cell r="J1967" t="str">
            <v>Low</v>
          </cell>
          <cell r="K1967">
            <v>37901</v>
          </cell>
        </row>
        <row r="1968">
          <cell r="C1968">
            <v>2310477.9482464101</v>
          </cell>
          <cell r="D1968">
            <v>0.63879225529749895</v>
          </cell>
          <cell r="E1968">
            <v>305653</v>
          </cell>
          <cell r="F1968">
            <v>195248.769208446</v>
          </cell>
          <cell r="G1968">
            <v>8.4505792126964255E-2</v>
          </cell>
          <cell r="I1968" t="str">
            <v>GA</v>
          </cell>
          <cell r="J1968" t="str">
            <v>Med</v>
          </cell>
          <cell r="K1968">
            <v>59536.333333333336</v>
          </cell>
        </row>
        <row r="1969">
          <cell r="C1969">
            <v>2560431.5106657399</v>
          </cell>
          <cell r="D1969">
            <v>0.67163482031135002</v>
          </cell>
          <cell r="E1969">
            <v>259660</v>
          </cell>
          <cell r="F1969">
            <v>174396.697442045</v>
          </cell>
          <cell r="G1969">
            <v>6.8112229019045303E-2</v>
          </cell>
          <cell r="I1969" t="str">
            <v>GA</v>
          </cell>
          <cell r="J1969" t="str">
            <v>No Data</v>
          </cell>
          <cell r="K1969">
            <v>0</v>
          </cell>
        </row>
        <row r="1970">
          <cell r="C1970">
            <v>2987143.7932357001</v>
          </cell>
          <cell r="D1970">
            <v>0.674523835776772</v>
          </cell>
          <cell r="E1970">
            <v>241629</v>
          </cell>
          <cell r="F1970">
            <v>162984.51991490601</v>
          </cell>
          <cell r="G1970">
            <v>5.4561993394485961E-2</v>
          </cell>
          <cell r="I1970" t="str">
            <v>GA</v>
          </cell>
          <cell r="J1970" t="str">
            <v>High</v>
          </cell>
          <cell r="K1970">
            <v>100405.66666666667</v>
          </cell>
        </row>
        <row r="1971">
          <cell r="C1971">
            <v>3625095.3801771798</v>
          </cell>
          <cell r="D1971">
            <v>0.66773835259014003</v>
          </cell>
          <cell r="E1971">
            <v>239554</v>
          </cell>
          <cell r="F1971">
            <v>159959.393316378</v>
          </cell>
          <cell r="G1971">
            <v>4.4125568168791145E-2</v>
          </cell>
          <cell r="I1971" t="str">
            <v>GA</v>
          </cell>
          <cell r="J1971" t="str">
            <v>High</v>
          </cell>
          <cell r="K1971">
            <v>130423.66666666667</v>
          </cell>
        </row>
        <row r="1972">
          <cell r="C1972">
            <v>2169279.8910852098</v>
          </cell>
          <cell r="D1972">
            <v>0.66524472797483702</v>
          </cell>
          <cell r="E1972">
            <v>290555</v>
          </cell>
          <cell r="F1972">
            <v>193290.181936729</v>
          </cell>
          <cell r="G1972">
            <v>8.9103385289776113E-2</v>
          </cell>
          <cell r="I1972" t="str">
            <v>GA</v>
          </cell>
          <cell r="J1972" t="str">
            <v>Med</v>
          </cell>
          <cell r="K1972">
            <v>48417.666666666664</v>
          </cell>
        </row>
        <row r="1973">
          <cell r="C1973">
            <v>2227829.4464636701</v>
          </cell>
          <cell r="D1973">
            <v>0.68417374033738798</v>
          </cell>
          <cell r="E1973">
            <v>263575</v>
          </cell>
          <cell r="F1973">
            <v>180331.09360942699</v>
          </cell>
          <cell r="G1973">
            <v>8.094474821475868E-2</v>
          </cell>
          <cell r="I1973" t="str">
            <v>GA</v>
          </cell>
          <cell r="J1973" t="str">
            <v>Med</v>
          </cell>
          <cell r="K1973">
            <v>58178.333333333336</v>
          </cell>
        </row>
        <row r="1974">
          <cell r="C1974">
            <v>2350459.1780357002</v>
          </cell>
          <cell r="D1974">
            <v>0.68209698269453001</v>
          </cell>
          <cell r="E1974">
            <v>278075</v>
          </cell>
          <cell r="F1974">
            <v>189674.11846278101</v>
          </cell>
          <cell r="G1974">
            <v>8.0696623125909112E-2</v>
          </cell>
          <cell r="I1974" t="str">
            <v>GA</v>
          </cell>
          <cell r="J1974" t="str">
            <v>Low</v>
          </cell>
          <cell r="K1974">
            <v>38900</v>
          </cell>
        </row>
        <row r="1975">
          <cell r="C1975">
            <v>2593083.14890722</v>
          </cell>
          <cell r="D1975">
            <v>0.63760155297939303</v>
          </cell>
          <cell r="E1975">
            <v>281046</v>
          </cell>
          <cell r="F1975">
            <v>179195.36605864699</v>
          </cell>
          <cell r="G1975">
            <v>6.910513692326592E-2</v>
          </cell>
          <cell r="I1975" t="str">
            <v>GA</v>
          </cell>
          <cell r="J1975" t="str">
            <v>Med</v>
          </cell>
          <cell r="K1975">
            <v>76305.666666666672</v>
          </cell>
        </row>
        <row r="1976">
          <cell r="C1976">
            <v>2199293.0279640001</v>
          </cell>
          <cell r="D1976">
            <v>0.63070839152047098</v>
          </cell>
          <cell r="E1976">
            <v>305610</v>
          </cell>
          <cell r="F1976">
            <v>192750.79153257099</v>
          </cell>
          <cell r="G1976">
            <v>8.7642160040406453E-2</v>
          </cell>
          <cell r="I1976" t="str">
            <v>GA</v>
          </cell>
          <cell r="J1976" t="str">
            <v>Med</v>
          </cell>
          <cell r="K1976">
            <v>52832</v>
          </cell>
        </row>
        <row r="1977">
          <cell r="C1977">
            <v>2454313.9841099</v>
          </cell>
          <cell r="D1977">
            <v>0.61880570697635395</v>
          </cell>
          <cell r="E1977">
            <v>280027</v>
          </cell>
          <cell r="F1977">
            <v>173282.30570746699</v>
          </cell>
          <cell r="G1977">
            <v>7.0603152990757562E-2</v>
          </cell>
          <cell r="I1977" t="str">
            <v>GA</v>
          </cell>
          <cell r="J1977" t="str">
            <v>No Data</v>
          </cell>
          <cell r="K1977">
            <v>0</v>
          </cell>
        </row>
        <row r="1978">
          <cell r="C1978">
            <v>2284622.1279263701</v>
          </cell>
          <cell r="D1978">
            <v>0.63811006116800595</v>
          </cell>
          <cell r="E1978">
            <v>301535</v>
          </cell>
          <cell r="F1978">
            <v>192412.51729429499</v>
          </cell>
          <cell r="G1978">
            <v>8.4220718578497528E-2</v>
          </cell>
          <cell r="I1978" t="str">
            <v>GA</v>
          </cell>
          <cell r="J1978" t="str">
            <v>Med</v>
          </cell>
          <cell r="K1978">
            <v>59176</v>
          </cell>
        </row>
        <row r="1979">
          <cell r="C1979">
            <v>2199370.75010113</v>
          </cell>
          <cell r="D1979">
            <v>0.694114343694609</v>
          </cell>
          <cell r="E1979">
            <v>264139</v>
          </cell>
          <cell r="F1979">
            <v>183342.66862914999</v>
          </cell>
          <cell r="G1979">
            <v>8.3361419906452627E-2</v>
          </cell>
          <cell r="I1979" t="str">
            <v>GA</v>
          </cell>
          <cell r="J1979" t="str">
            <v>Med</v>
          </cell>
          <cell r="K1979">
            <v>58181.333333333336</v>
          </cell>
        </row>
        <row r="1980">
          <cell r="C1980">
            <v>2262583.9810075201</v>
          </cell>
          <cell r="D1980">
            <v>0.63575408718455195</v>
          </cell>
          <cell r="E1980">
            <v>270494</v>
          </cell>
          <cell r="F1980">
            <v>171967.666058898</v>
          </cell>
          <cell r="G1980">
            <v>7.6004986998237933E-2</v>
          </cell>
          <cell r="I1980" t="str">
            <v>GA</v>
          </cell>
          <cell r="J1980" t="str">
            <v>Med</v>
          </cell>
          <cell r="K1980">
            <v>56202.666666666664</v>
          </cell>
        </row>
        <row r="1981">
          <cell r="C1981">
            <v>2417301.500424</v>
          </cell>
          <cell r="D1981">
            <v>0.69826637019677396</v>
          </cell>
          <cell r="E1981">
            <v>271924</v>
          </cell>
          <cell r="F1981">
            <v>189875.38444938799</v>
          </cell>
          <cell r="G1981">
            <v>7.8548490710026633E-2</v>
          </cell>
          <cell r="I1981" t="str">
            <v>GA</v>
          </cell>
          <cell r="J1981" t="str">
            <v>Med</v>
          </cell>
          <cell r="K1981">
            <v>66036.333333333328</v>
          </cell>
        </row>
        <row r="1982">
          <cell r="C1982">
            <v>2495053.5689071501</v>
          </cell>
          <cell r="D1982">
            <v>0.68387473679797794</v>
          </cell>
          <cell r="E1982">
            <v>270606</v>
          </cell>
          <cell r="F1982">
            <v>185060.607025954</v>
          </cell>
          <cell r="G1982">
            <v>7.41709954977086E-2</v>
          </cell>
          <cell r="I1982" t="str">
            <v>GA</v>
          </cell>
          <cell r="J1982" t="str">
            <v>Med</v>
          </cell>
          <cell r="K1982">
            <v>82180.666666666672</v>
          </cell>
        </row>
        <row r="1983">
          <cell r="C1983">
            <v>2927792.56906047</v>
          </cell>
          <cell r="D1983">
            <v>0.645510789643859</v>
          </cell>
          <cell r="E1983">
            <v>269013</v>
          </cell>
          <cell r="F1983">
            <v>173650.794054464</v>
          </cell>
          <cell r="G1983">
            <v>5.9311167016927235E-2</v>
          </cell>
          <cell r="I1983" t="str">
            <v>GA</v>
          </cell>
          <cell r="J1983" t="str">
            <v>High</v>
          </cell>
          <cell r="K1983">
            <v>108174.33333333333</v>
          </cell>
        </row>
        <row r="1984">
          <cell r="C1984">
            <v>2109451.0708832801</v>
          </cell>
          <cell r="D1984">
            <v>0.64535181296709798</v>
          </cell>
          <cell r="E1984">
            <v>294774</v>
          </cell>
          <cell r="F1984">
            <v>190232.93531556299</v>
          </cell>
          <cell r="G1984">
            <v>9.0181250440621835E-2</v>
          </cell>
          <cell r="I1984" t="str">
            <v>GA</v>
          </cell>
          <cell r="J1984" t="str">
            <v>Med</v>
          </cell>
          <cell r="K1984">
            <v>58271.666666666664</v>
          </cell>
        </row>
        <row r="1985">
          <cell r="C1985">
            <v>1794583.5831796001</v>
          </cell>
          <cell r="D1985">
            <v>0.64225553272993097</v>
          </cell>
          <cell r="E1985">
            <v>311819</v>
          </cell>
          <cell r="F1985">
            <v>200267.47796031399</v>
          </cell>
          <cell r="G1985">
            <v>0.11159551432287422</v>
          </cell>
          <cell r="I1985" t="str">
            <v>GA</v>
          </cell>
          <cell r="J1985" t="str">
            <v>Low</v>
          </cell>
          <cell r="K1985">
            <v>37901</v>
          </cell>
        </row>
        <row r="1986">
          <cell r="C1986">
            <v>2184112.1900009601</v>
          </cell>
          <cell r="D1986">
            <v>0.66670751543658102</v>
          </cell>
          <cell r="E1986">
            <v>300840</v>
          </cell>
          <cell r="F1986">
            <v>200572.28894394101</v>
          </cell>
          <cell r="G1986">
            <v>9.1832411293786526E-2</v>
          </cell>
          <cell r="I1986" t="str">
            <v>GA</v>
          </cell>
          <cell r="J1986" t="str">
            <v>Med</v>
          </cell>
          <cell r="K1986">
            <v>59536.333333333336</v>
          </cell>
        </row>
        <row r="1987">
          <cell r="C1987">
            <v>2437029.44878974</v>
          </cell>
          <cell r="D1987">
            <v>0.66761670449281896</v>
          </cell>
          <cell r="E1987">
            <v>265401</v>
          </cell>
          <cell r="F1987">
            <v>177186.14098909899</v>
          </cell>
          <cell r="G1987">
            <v>7.2705785757776503E-2</v>
          </cell>
          <cell r="I1987" t="str">
            <v>GA</v>
          </cell>
          <cell r="J1987" t="str">
            <v>No Data</v>
          </cell>
          <cell r="K1987">
            <v>0</v>
          </cell>
        </row>
        <row r="1988">
          <cell r="C1988">
            <v>2931469.7081043799</v>
          </cell>
          <cell r="D1988">
            <v>0.67001583688788102</v>
          </cell>
          <cell r="E1988">
            <v>259859</v>
          </cell>
          <cell r="F1988">
            <v>174109.645357848</v>
          </cell>
          <cell r="G1988">
            <v>5.9393295068511938E-2</v>
          </cell>
          <cell r="I1988" t="str">
            <v>GA</v>
          </cell>
          <cell r="J1988" t="str">
            <v>High</v>
          </cell>
          <cell r="K1988">
            <v>100405.66666666667</v>
          </cell>
        </row>
        <row r="1989">
          <cell r="C1989">
            <v>3500324.4292008602</v>
          </cell>
          <cell r="D1989">
            <v>0.66269383293344697</v>
          </cell>
          <cell r="E1989">
            <v>253956</v>
          </cell>
          <cell r="F1989">
            <v>168295.07503644601</v>
          </cell>
          <cell r="G1989">
            <v>4.8079850436854657E-2</v>
          </cell>
          <cell r="I1989" t="str">
            <v>GA</v>
          </cell>
          <cell r="J1989" t="str">
            <v>High</v>
          </cell>
          <cell r="K1989">
            <v>130423.66666666667</v>
          </cell>
        </row>
        <row r="1990">
          <cell r="C1990">
            <v>2042603.47732769</v>
          </cell>
          <cell r="D1990">
            <v>0.65025529019616801</v>
          </cell>
          <cell r="E1990">
            <v>310055</v>
          </cell>
          <cell r="F1990">
            <v>201614.90400177299</v>
          </cell>
          <cell r="G1990">
            <v>9.8704866725059626E-2</v>
          </cell>
          <cell r="I1990" t="str">
            <v>GA</v>
          </cell>
          <cell r="J1990" t="str">
            <v>Med</v>
          </cell>
          <cell r="K1990">
            <v>48417.666666666664</v>
          </cell>
        </row>
        <row r="1991">
          <cell r="C1991">
            <v>2091323.1072255201</v>
          </cell>
          <cell r="D1991">
            <v>0.68898648969606002</v>
          </cell>
          <cell r="E1991">
            <v>273344</v>
          </cell>
          <cell r="F1991">
            <v>188330.32303947999</v>
          </cell>
          <cell r="G1991">
            <v>9.0053192827449211E-2</v>
          </cell>
          <cell r="I1991" t="str">
            <v>GA</v>
          </cell>
          <cell r="J1991" t="str">
            <v>Med</v>
          </cell>
          <cell r="K1991">
            <v>58178.333333333336</v>
          </cell>
        </row>
        <row r="1992">
          <cell r="C1992">
            <v>2225283.9362203698</v>
          </cell>
          <cell r="D1992">
            <v>0.67894538432810803</v>
          </cell>
          <cell r="E1992">
            <v>286383</v>
          </cell>
          <cell r="F1992">
            <v>194438.41600003699</v>
          </cell>
          <cell r="G1992">
            <v>8.7376901812489319E-2</v>
          </cell>
          <cell r="I1992" t="str">
            <v>GA</v>
          </cell>
          <cell r="J1992" t="str">
            <v>Low</v>
          </cell>
          <cell r="K1992">
            <v>38900</v>
          </cell>
        </row>
        <row r="1993">
          <cell r="C1993">
            <v>2468397.6984921</v>
          </cell>
          <cell r="D1993">
            <v>0.65730986337073605</v>
          </cell>
          <cell r="E1993">
            <v>283587</v>
          </cell>
          <cell r="F1993">
            <v>186404.53222371699</v>
          </cell>
          <cell r="G1993">
            <v>7.5516409830388431E-2</v>
          </cell>
          <cell r="I1993" t="str">
            <v>GA</v>
          </cell>
          <cell r="J1993" t="str">
            <v>Med</v>
          </cell>
          <cell r="K1993">
            <v>76305.666666666672</v>
          </cell>
        </row>
        <row r="1994">
          <cell r="C1994">
            <v>2124211.3039441402</v>
          </cell>
          <cell r="D1994">
            <v>0.62996212949439601</v>
          </cell>
          <cell r="E1994">
            <v>328920</v>
          </cell>
          <cell r="F1994">
            <v>207207.143633297</v>
          </cell>
          <cell r="G1994">
            <v>9.7545448161660789E-2</v>
          </cell>
          <cell r="I1994" t="str">
            <v>GA</v>
          </cell>
          <cell r="J1994" t="str">
            <v>Med</v>
          </cell>
          <cell r="K1994">
            <v>52832</v>
          </cell>
        </row>
        <row r="1995">
          <cell r="C1995">
            <v>2398701.46312619</v>
          </cell>
          <cell r="D1995">
            <v>0.63748286486901196</v>
          </cell>
          <cell r="E1995">
            <v>278980</v>
          </cell>
          <cell r="F1995">
            <v>177844.96964115699</v>
          </cell>
          <cell r="G1995">
            <v>7.4142185834736779E-2</v>
          </cell>
          <cell r="I1995" t="str">
            <v>GA</v>
          </cell>
          <cell r="J1995" t="str">
            <v>No Data</v>
          </cell>
          <cell r="K1995">
            <v>0</v>
          </cell>
        </row>
        <row r="1996">
          <cell r="C1996">
            <v>2221605.3054465898</v>
          </cell>
          <cell r="D1996">
            <v>0.62835634499776605</v>
          </cell>
          <cell r="E1996">
            <v>320350</v>
          </cell>
          <cell r="F1996">
            <v>201293.95512003399</v>
          </cell>
          <cell r="G1996">
            <v>9.0607433564608653E-2</v>
          </cell>
          <cell r="I1996" t="str">
            <v>GA</v>
          </cell>
          <cell r="J1996" t="str">
            <v>Med</v>
          </cell>
          <cell r="K1996">
            <v>59176</v>
          </cell>
        </row>
        <row r="1997">
          <cell r="C1997">
            <v>2059421.16318468</v>
          </cell>
          <cell r="D1997">
            <v>0.66460452897989497</v>
          </cell>
          <cell r="E1997">
            <v>281979</v>
          </cell>
          <cell r="F1997">
            <v>187404.52047722199</v>
          </cell>
          <cell r="G1997">
            <v>9.0998637785881756E-2</v>
          </cell>
          <cell r="I1997" t="str">
            <v>GA</v>
          </cell>
          <cell r="J1997" t="str">
            <v>Med</v>
          </cell>
          <cell r="K1997">
            <v>58181.333333333336</v>
          </cell>
        </row>
        <row r="1998">
          <cell r="C1998">
            <v>2109260.5640859399</v>
          </cell>
          <cell r="D1998">
            <v>0.61240119458182196</v>
          </cell>
          <cell r="E1998">
            <v>285479</v>
          </cell>
          <cell r="F1998">
            <v>174827.68062802401</v>
          </cell>
          <cell r="G1998">
            <v>8.2885767460307389E-2</v>
          </cell>
          <cell r="I1998" t="str">
            <v>GA</v>
          </cell>
          <cell r="J1998" t="str">
            <v>Med</v>
          </cell>
          <cell r="K1998">
            <v>56202.666666666664</v>
          </cell>
        </row>
        <row r="1999">
          <cell r="C1999">
            <v>2283225.55382137</v>
          </cell>
          <cell r="D1999">
            <v>0.71132436354174799</v>
          </cell>
          <cell r="E1999">
            <v>276459</v>
          </cell>
          <cell r="F1999">
            <v>196652.022220388</v>
          </cell>
          <cell r="G1999">
            <v>8.612903875889838E-2</v>
          </cell>
          <cell r="I1999" t="str">
            <v>GA</v>
          </cell>
          <cell r="J1999" t="str">
            <v>Med</v>
          </cell>
          <cell r="K1999">
            <v>66036.333333333328</v>
          </cell>
        </row>
        <row r="2000">
          <cell r="C2000">
            <v>2405479.91227456</v>
          </cell>
          <cell r="D2000">
            <v>0.67716325258714904</v>
          </cell>
          <cell r="E2000">
            <v>244613</v>
          </cell>
          <cell r="F2000">
            <v>165642.93470509999</v>
          </cell>
          <cell r="G2000">
            <v>6.8860660136825791E-2</v>
          </cell>
          <cell r="I2000" t="str">
            <v>GA</v>
          </cell>
          <cell r="J2000" t="str">
            <v>Med</v>
          </cell>
          <cell r="K2000">
            <v>82180.666666666672</v>
          </cell>
        </row>
        <row r="2001">
          <cell r="C2001">
            <v>2780943.5642090999</v>
          </cell>
          <cell r="D2001">
            <v>0.64427537142295399</v>
          </cell>
          <cell r="E2001">
            <v>234947</v>
          </cell>
          <cell r="F2001">
            <v>151370.56568970901</v>
          </cell>
          <cell r="G2001">
            <v>5.4431369135949648E-2</v>
          </cell>
          <cell r="I2001" t="str">
            <v>GA</v>
          </cell>
          <cell r="J2001" t="str">
            <v>High</v>
          </cell>
          <cell r="K2001">
            <v>108174.33333333333</v>
          </cell>
        </row>
        <row r="2002">
          <cell r="C2002">
            <v>2035375.7503459801</v>
          </cell>
          <cell r="D2002">
            <v>0.63439621536368695</v>
          </cell>
          <cell r="E2002">
            <v>269126</v>
          </cell>
          <cell r="F2002">
            <v>170732.515855968</v>
          </cell>
          <cell r="G2002">
            <v>8.3882553787400838E-2</v>
          </cell>
          <cell r="I2002" t="str">
            <v>GA</v>
          </cell>
          <cell r="J2002" t="str">
            <v>Med</v>
          </cell>
          <cell r="K2002">
            <v>58271.666666666664</v>
          </cell>
        </row>
        <row r="2003">
          <cell r="C2003">
            <v>1729876.76779477</v>
          </cell>
          <cell r="D2003">
            <v>0.66253379797957501</v>
          </cell>
          <cell r="E2003">
            <v>268162</v>
          </cell>
          <cell r="F2003">
            <v>177666.388333799</v>
          </cell>
          <cell r="G2003">
            <v>0.10270465020481567</v>
          </cell>
          <cell r="I2003" t="str">
            <v>GA</v>
          </cell>
          <cell r="J2003" t="str">
            <v>Low</v>
          </cell>
          <cell r="K2003">
            <v>37901</v>
          </cell>
        </row>
        <row r="2004">
          <cell r="C2004">
            <v>2114374.6586045302</v>
          </cell>
          <cell r="D2004">
            <v>0.67452733534139397</v>
          </cell>
          <cell r="E2004">
            <v>258288</v>
          </cell>
          <cell r="F2004">
            <v>174222.316390658</v>
          </cell>
          <cell r="G2004">
            <v>8.2398980559880194E-2</v>
          </cell>
          <cell r="I2004" t="str">
            <v>GA</v>
          </cell>
          <cell r="J2004" t="str">
            <v>Med</v>
          </cell>
          <cell r="K2004">
            <v>59536.333333333336</v>
          </cell>
        </row>
        <row r="2005">
          <cell r="C2005">
            <v>2246063.09678477</v>
          </cell>
          <cell r="D2005">
            <v>0.66454486381163302</v>
          </cell>
          <cell r="E2005">
            <v>227462</v>
          </cell>
          <cell r="F2005">
            <v>151158.703812322</v>
          </cell>
          <cell r="G2005">
            <v>6.7299402242396958E-2</v>
          </cell>
          <cell r="I2005" t="str">
            <v>GA</v>
          </cell>
          <cell r="J2005" t="str">
            <v>No Data</v>
          </cell>
          <cell r="K2005">
            <v>0</v>
          </cell>
        </row>
        <row r="2006">
          <cell r="C2006">
            <v>2698227.1634461801</v>
          </cell>
          <cell r="D2006">
            <v>0.66065937868301705</v>
          </cell>
          <cell r="E2006">
            <v>219847</v>
          </cell>
          <cell r="F2006">
            <v>145243.982425325</v>
          </cell>
          <cell r="G2006">
            <v>5.3829412287073393E-2</v>
          </cell>
          <cell r="I2006" t="str">
            <v>GA</v>
          </cell>
          <cell r="J2006" t="str">
            <v>High</v>
          </cell>
          <cell r="K2006">
            <v>100405.66666666667</v>
          </cell>
        </row>
        <row r="2007">
          <cell r="C2007">
            <v>3262830.5447194702</v>
          </cell>
          <cell r="D2007">
            <v>0.66413185374630002</v>
          </cell>
          <cell r="E2007">
            <v>213672</v>
          </cell>
          <cell r="F2007">
            <v>141906.381453679</v>
          </cell>
          <cell r="G2007">
            <v>4.3491802442311558E-2</v>
          </cell>
          <cell r="I2007" t="str">
            <v>GA</v>
          </cell>
          <cell r="J2007" t="str">
            <v>High</v>
          </cell>
          <cell r="K2007">
            <v>130423.66666666667</v>
          </cell>
        </row>
        <row r="2008">
          <cell r="C2008">
            <v>1938352.4792850399</v>
          </cell>
          <cell r="D2008">
            <v>0.67861053926529102</v>
          </cell>
          <cell r="E2008">
            <v>256565</v>
          </cell>
          <cell r="F2008">
            <v>174107.71300660001</v>
          </cell>
          <cell r="G2008">
            <v>8.982252447233928E-2</v>
          </cell>
          <cell r="I2008" t="str">
            <v>GA</v>
          </cell>
          <cell r="J2008" t="str">
            <v>Med</v>
          </cell>
          <cell r="K2008">
            <v>48417.666666666664</v>
          </cell>
        </row>
        <row r="2009">
          <cell r="C2009">
            <v>1988777.83336017</v>
          </cell>
          <cell r="D2009">
            <v>0.681440219143015</v>
          </cell>
          <cell r="E2009">
            <v>241520</v>
          </cell>
          <cell r="F2009">
            <v>164581.44172742101</v>
          </cell>
          <cell r="G2009">
            <v>8.2755066436631552E-2</v>
          </cell>
          <cell r="I2009" t="str">
            <v>GA</v>
          </cell>
          <cell r="J2009" t="str">
            <v>Med</v>
          </cell>
          <cell r="K2009">
            <v>58178.333333333336</v>
          </cell>
        </row>
        <row r="2010">
          <cell r="C2010">
            <v>2142167.2094667102</v>
          </cell>
          <cell r="D2010">
            <v>0.69452542783822302</v>
          </cell>
          <cell r="E2010">
            <v>249351</v>
          </cell>
          <cell r="F2010">
            <v>173180.60995688901</v>
          </cell>
          <cell r="G2010">
            <v>8.084364712127308E-2</v>
          </cell>
          <cell r="I2010" t="str">
            <v>GA</v>
          </cell>
          <cell r="J2010" t="str">
            <v>Low</v>
          </cell>
          <cell r="K2010">
            <v>38900</v>
          </cell>
        </row>
        <row r="2011">
          <cell r="C2011">
            <v>2327396.5400433298</v>
          </cell>
          <cell r="D2011">
            <v>0.64771205972285195</v>
          </cell>
          <cell r="E2011">
            <v>247421</v>
          </cell>
          <cell r="F2011">
            <v>160257.56552868799</v>
          </cell>
          <cell r="G2011">
            <v>6.8857009440129374E-2</v>
          </cell>
          <cell r="I2011" t="str">
            <v>GA</v>
          </cell>
          <cell r="J2011" t="str">
            <v>Med</v>
          </cell>
          <cell r="K2011">
            <v>76305.666666666672</v>
          </cell>
        </row>
        <row r="2012">
          <cell r="C2012">
            <v>1986270.0195551701</v>
          </cell>
          <cell r="D2012">
            <v>0.64208256984884204</v>
          </cell>
          <cell r="E2012">
            <v>270412</v>
          </cell>
          <cell r="F2012">
            <v>173626.83187796501</v>
          </cell>
          <cell r="G2012">
            <v>8.7413508822354963E-2</v>
          </cell>
          <cell r="I2012" t="str">
            <v>GA</v>
          </cell>
          <cell r="J2012" t="str">
            <v>Med</v>
          </cell>
          <cell r="K2012">
            <v>52832</v>
          </cell>
        </row>
        <row r="2013">
          <cell r="C2013">
            <v>2244379.2301963698</v>
          </cell>
          <cell r="D2013">
            <v>0.646058330586052</v>
          </cell>
          <cell r="E2013">
            <v>239517</v>
          </cell>
          <cell r="F2013">
            <v>154741.95316697899</v>
          </cell>
          <cell r="G2013">
            <v>6.8946437876917968E-2</v>
          </cell>
          <cell r="I2013" t="str">
            <v>GA</v>
          </cell>
          <cell r="J2013" t="str">
            <v>No Data</v>
          </cell>
          <cell r="K2013">
            <v>0</v>
          </cell>
        </row>
        <row r="2014">
          <cell r="C2014">
            <v>2091668.5952611</v>
          </cell>
          <cell r="D2014">
            <v>0.64406364746811096</v>
          </cell>
          <cell r="E2014">
            <v>277150</v>
          </cell>
          <cell r="F2014">
            <v>178502.239895787</v>
          </cell>
          <cell r="G2014">
            <v>8.5339637598519674E-2</v>
          </cell>
          <cell r="I2014" t="str">
            <v>GA</v>
          </cell>
          <cell r="J2014" t="str">
            <v>Med</v>
          </cell>
          <cell r="K2014">
            <v>59176</v>
          </cell>
        </row>
        <row r="2015">
          <cell r="C2015">
            <v>1983009.9609205499</v>
          </cell>
          <cell r="D2015">
            <v>0.66827795545264101</v>
          </cell>
          <cell r="E2015">
            <v>246061</v>
          </cell>
          <cell r="F2015">
            <v>164437.14199663201</v>
          </cell>
          <cell r="G2015">
            <v>8.292300353362686E-2</v>
          </cell>
          <cell r="I2015" t="str">
            <v>GA</v>
          </cell>
          <cell r="J2015" t="str">
            <v>Med</v>
          </cell>
          <cell r="K2015">
            <v>58181.333333333336</v>
          </cell>
        </row>
        <row r="2016">
          <cell r="C2016">
            <v>2036144.7180742901</v>
          </cell>
          <cell r="D2016">
            <v>0.62353951578124001</v>
          </cell>
          <cell r="E2016">
            <v>251687</v>
          </cell>
          <cell r="F2016">
            <v>156936.79010843299</v>
          </cell>
          <cell r="G2016">
            <v>7.7075459674034355E-2</v>
          </cell>
          <cell r="I2016" t="str">
            <v>GA</v>
          </cell>
          <cell r="J2016" t="str">
            <v>Med</v>
          </cell>
          <cell r="K2016">
            <v>56202.666666666664</v>
          </cell>
        </row>
        <row r="2017">
          <cell r="C2017">
            <v>2200954.20736789</v>
          </cell>
          <cell r="D2017">
            <v>0.70218666733462598</v>
          </cell>
          <cell r="E2017">
            <v>245817</v>
          </cell>
          <cell r="F2017">
            <v>172609.420004196</v>
          </cell>
          <cell r="G2017">
            <v>7.8424812032149793E-2</v>
          </cell>
          <cell r="I2017" t="str">
            <v>GA</v>
          </cell>
          <cell r="J2017" t="str">
            <v>Med</v>
          </cell>
          <cell r="K2017">
            <v>66036.333333333328</v>
          </cell>
        </row>
        <row r="2018">
          <cell r="C2018">
            <v>2360532.38352123</v>
          </cell>
          <cell r="D2018">
            <v>0.67116630864118099</v>
          </cell>
          <cell r="E2018">
            <v>231185</v>
          </cell>
          <cell r="F2018">
            <v>155163.583063211</v>
          </cell>
          <cell r="G2018">
            <v>6.5732452622298668E-2</v>
          </cell>
          <cell r="I2018" t="str">
            <v>GA</v>
          </cell>
          <cell r="J2018" t="str">
            <v>Med</v>
          </cell>
          <cell r="K2018">
            <v>82180.666666666672</v>
          </cell>
        </row>
        <row r="2019">
          <cell r="C2019">
            <v>2779739.8275512699</v>
          </cell>
          <cell r="D2019">
            <v>0.62286895297512601</v>
          </cell>
          <cell r="E2019">
            <v>226241</v>
          </cell>
          <cell r="F2019">
            <v>140918.49479004601</v>
          </cell>
          <cell r="G2019">
            <v>5.0694850429287841E-2</v>
          </cell>
          <cell r="I2019" t="str">
            <v>GA</v>
          </cell>
          <cell r="J2019" t="str">
            <v>High</v>
          </cell>
          <cell r="K2019">
            <v>108174.33333333333</v>
          </cell>
        </row>
        <row r="2020">
          <cell r="C2020">
            <v>2017341.0996757401</v>
          </cell>
          <cell r="D2020">
            <v>0.62667739625598695</v>
          </cell>
          <cell r="E2020">
            <v>257195</v>
          </cell>
          <cell r="F2020">
            <v>161178.29293005899</v>
          </cell>
          <cell r="G2020">
            <v>7.9896400740542189E-2</v>
          </cell>
          <cell r="I2020" t="str">
            <v>GA</v>
          </cell>
          <cell r="J2020" t="str">
            <v>Med</v>
          </cell>
          <cell r="K2020">
            <v>58271.666666666664</v>
          </cell>
        </row>
        <row r="2021">
          <cell r="C2021">
            <v>1731545.2777567101</v>
          </cell>
          <cell r="D2021">
            <v>0.672205284383803</v>
          </cell>
          <cell r="E2021">
            <v>252963</v>
          </cell>
          <cell r="F2021">
            <v>170043.06535357999</v>
          </cell>
          <cell r="G2021">
            <v>9.8203071867619868E-2</v>
          </cell>
          <cell r="I2021" t="str">
            <v>GA</v>
          </cell>
          <cell r="J2021" t="str">
            <v>Low</v>
          </cell>
          <cell r="K2021">
            <v>37901</v>
          </cell>
        </row>
        <row r="2022">
          <cell r="C2022">
            <v>2090716.71239375</v>
          </cell>
          <cell r="D2022">
            <v>0.65999065611527696</v>
          </cell>
          <cell r="E2022">
            <v>250644</v>
          </cell>
          <cell r="F2022">
            <v>165422.69801135699</v>
          </cell>
          <cell r="G2022">
            <v>7.9122483228231122E-2</v>
          </cell>
          <cell r="I2022" t="str">
            <v>GA</v>
          </cell>
          <cell r="J2022" t="str">
            <v>Med</v>
          </cell>
          <cell r="K2022">
            <v>59536.333333333336</v>
          </cell>
        </row>
        <row r="2023">
          <cell r="C2023">
            <v>2278546.9472981701</v>
          </cell>
          <cell r="D2023">
            <v>0.67054318552076997</v>
          </cell>
          <cell r="E2023">
            <v>219130</v>
          </cell>
          <cell r="F2023">
            <v>146936.12824316599</v>
          </cell>
          <cell r="G2023">
            <v>6.4486767945421658E-2</v>
          </cell>
          <cell r="I2023" t="str">
            <v>GA</v>
          </cell>
          <cell r="J2023" t="str">
            <v>No Data</v>
          </cell>
          <cell r="K2023">
            <v>0</v>
          </cell>
        </row>
        <row r="2024">
          <cell r="C2024">
            <v>2699287.4721718701</v>
          </cell>
          <cell r="D2024">
            <v>0.69995156212976495</v>
          </cell>
          <cell r="E2024">
            <v>201819</v>
          </cell>
          <cell r="F2024">
            <v>141263.524317467</v>
          </cell>
          <cell r="G2024">
            <v>5.2333634625364729E-2</v>
          </cell>
          <cell r="I2024" t="str">
            <v>GA</v>
          </cell>
          <cell r="J2024" t="str">
            <v>High</v>
          </cell>
          <cell r="K2024">
            <v>100405.66666666667</v>
          </cell>
        </row>
        <row r="2025">
          <cell r="C2025">
            <v>3225143.5764934602</v>
          </cell>
          <cell r="D2025">
            <v>0.66490032444674196</v>
          </cell>
          <cell r="E2025">
            <v>205484</v>
          </cell>
          <cell r="F2025">
            <v>136626.378268614</v>
          </cell>
          <cell r="G2025">
            <v>4.2362882466510571E-2</v>
          </cell>
          <cell r="I2025" t="str">
            <v>GA</v>
          </cell>
          <cell r="J2025" t="str">
            <v>High</v>
          </cell>
          <cell r="K2025">
            <v>130423.66666666667</v>
          </cell>
        </row>
        <row r="2026">
          <cell r="C2026">
            <v>1921648.1086452201</v>
          </cell>
          <cell r="D2026">
            <v>0.67159706865693902</v>
          </cell>
          <cell r="E2026">
            <v>243992</v>
          </cell>
          <cell r="F2026">
            <v>163864.311975744</v>
          </cell>
          <cell r="G2026">
            <v>8.5272798510061171E-2</v>
          </cell>
          <cell r="I2026" t="str">
            <v>GA</v>
          </cell>
          <cell r="J2026" t="str">
            <v>Med</v>
          </cell>
          <cell r="K2026">
            <v>48417.666666666664</v>
          </cell>
        </row>
        <row r="2027">
          <cell r="C2027">
            <v>2008294.9288349201</v>
          </cell>
          <cell r="D2027">
            <v>0.70159652207993395</v>
          </cell>
          <cell r="E2027">
            <v>223761</v>
          </cell>
          <cell r="F2027">
            <v>156989.939377128</v>
          </cell>
          <cell r="G2027">
            <v>7.8170759246104948E-2</v>
          </cell>
          <cell r="I2027" t="str">
            <v>GA</v>
          </cell>
          <cell r="J2027" t="str">
            <v>Med</v>
          </cell>
          <cell r="K2027">
            <v>58178.333333333336</v>
          </cell>
        </row>
        <row r="2028">
          <cell r="C2028">
            <v>2106087.6228366401</v>
          </cell>
          <cell r="D2028">
            <v>0.679248095691801</v>
          </cell>
          <cell r="E2028">
            <v>241765</v>
          </cell>
          <cell r="F2028">
            <v>164218.415854928</v>
          </cell>
          <cell r="G2028">
            <v>7.7973211595890796E-2</v>
          </cell>
          <cell r="I2028" t="str">
            <v>GA</v>
          </cell>
          <cell r="J2028" t="str">
            <v>Low</v>
          </cell>
          <cell r="K2028">
            <v>38900</v>
          </cell>
        </row>
        <row r="2029">
          <cell r="C2029">
            <v>2284213.3957648599</v>
          </cell>
          <cell r="D2029">
            <v>0.65822822903713896</v>
          </cell>
          <cell r="E2029">
            <v>230933</v>
          </cell>
          <cell r="F2029">
            <v>152006.61961623401</v>
          </cell>
          <cell r="G2029">
            <v>6.6546593193993239E-2</v>
          </cell>
          <cell r="I2029" t="str">
            <v>GA</v>
          </cell>
          <cell r="J2029" t="str">
            <v>Med</v>
          </cell>
          <cell r="K2029">
            <v>76305.666666666672</v>
          </cell>
        </row>
        <row r="2030">
          <cell r="C2030">
            <v>2014444.1805165601</v>
          </cell>
          <cell r="D2030">
            <v>0.65117820093461998</v>
          </cell>
          <cell r="E2030">
            <v>263938</v>
          </cell>
          <cell r="F2030">
            <v>171870.67199828199</v>
          </cell>
          <cell r="G2030">
            <v>8.5319153372723153E-2</v>
          </cell>
          <cell r="I2030" t="str">
            <v>GA</v>
          </cell>
          <cell r="J2030" t="str">
            <v>Med</v>
          </cell>
          <cell r="K2030">
            <v>52832</v>
          </cell>
        </row>
        <row r="2031">
          <cell r="C2031">
            <v>2257380.8793870201</v>
          </cell>
          <cell r="D2031">
            <v>0.65928057961736297</v>
          </cell>
          <cell r="E2031">
            <v>229687</v>
          </cell>
          <cell r="F2031">
            <v>151428.17849057299</v>
          </cell>
          <cell r="G2031">
            <v>6.7081359585048184E-2</v>
          </cell>
          <cell r="I2031" t="str">
            <v>GA</v>
          </cell>
          <cell r="J2031" t="str">
            <v>No Data</v>
          </cell>
          <cell r="K2031">
            <v>0</v>
          </cell>
        </row>
        <row r="2032">
          <cell r="C2032">
            <v>2065176.9528171101</v>
          </cell>
          <cell r="D2032">
            <v>0.62808083263853898</v>
          </cell>
          <cell r="E2032">
            <v>267883</v>
          </cell>
          <cell r="F2032">
            <v>168252.17768970999</v>
          </cell>
          <cell r="G2032">
            <v>8.1471070776863455E-2</v>
          </cell>
          <cell r="I2032" t="str">
            <v>GA</v>
          </cell>
          <cell r="J2032" t="str">
            <v>Med</v>
          </cell>
          <cell r="K2032">
            <v>59176</v>
          </cell>
        </row>
        <row r="2033">
          <cell r="C2033">
            <v>1929394.90236022</v>
          </cell>
          <cell r="D2033">
            <v>0.65610750747964797</v>
          </cell>
          <cell r="E2033">
            <v>233086</v>
          </cell>
          <cell r="F2033">
            <v>152929.474488401</v>
          </cell>
          <cell r="G2033">
            <v>7.9262920359809738E-2</v>
          </cell>
          <cell r="I2033" t="str">
            <v>GA</v>
          </cell>
          <cell r="J2033" t="str">
            <v>Med</v>
          </cell>
          <cell r="K2033">
            <v>58181.333333333336</v>
          </cell>
        </row>
        <row r="2034">
          <cell r="C2034">
            <v>1997113.4026031899</v>
          </cell>
          <cell r="D2034">
            <v>0.63205516020178898</v>
          </cell>
          <cell r="E2034">
            <v>229529</v>
          </cell>
          <cell r="F2034">
            <v>145074.98886595599</v>
          </cell>
          <cell r="G2034">
            <v>7.2642339026343816E-2</v>
          </cell>
          <cell r="I2034" t="str">
            <v>GA</v>
          </cell>
          <cell r="J2034" t="str">
            <v>Med</v>
          </cell>
          <cell r="K2034">
            <v>56202.666666666664</v>
          </cell>
        </row>
        <row r="2035">
          <cell r="C2035">
            <v>2199161.6448687301</v>
          </cell>
          <cell r="D2035">
            <v>0.70176026235340405</v>
          </cell>
          <cell r="E2035">
            <v>233785</v>
          </cell>
          <cell r="F2035">
            <v>164061.02293429</v>
          </cell>
          <cell r="G2035">
            <v>7.4601620720828349E-2</v>
          </cell>
          <cell r="I2035" t="str">
            <v>GA</v>
          </cell>
          <cell r="J2035" t="str">
            <v>Med</v>
          </cell>
          <cell r="K2035">
            <v>66036.333333333328</v>
          </cell>
        </row>
        <row r="2036">
          <cell r="C2036">
            <v>2882393.6516769002</v>
          </cell>
          <cell r="D2036">
            <v>0.66987122050985604</v>
          </cell>
          <cell r="E2036">
            <v>218135</v>
          </cell>
          <cell r="F2036">
            <v>146122.35868591699</v>
          </cell>
          <cell r="G2036">
            <v>5.0694796181259584E-2</v>
          </cell>
          <cell r="I2036" t="str">
            <v>GA</v>
          </cell>
          <cell r="J2036" t="str">
            <v>Med</v>
          </cell>
          <cell r="K2036">
            <v>82180.666666666672</v>
          </cell>
        </row>
        <row r="2037">
          <cell r="C2037">
            <v>3421854.1449986501</v>
          </cell>
          <cell r="D2037">
            <v>0.66375910170296204</v>
          </cell>
          <cell r="E2037">
            <v>211301</v>
          </cell>
          <cell r="F2037">
            <v>140252.96194893701</v>
          </cell>
          <cell r="G2037">
            <v>4.0987416764659425E-2</v>
          </cell>
          <cell r="I2037" t="str">
            <v>GA</v>
          </cell>
          <cell r="J2037" t="str">
            <v>High</v>
          </cell>
          <cell r="K2037">
            <v>108174.33333333333</v>
          </cell>
        </row>
        <row r="2038">
          <cell r="C2038">
            <v>2482666.7126710098</v>
          </cell>
          <cell r="D2038">
            <v>0.62149516879357203</v>
          </cell>
          <cell r="E2038">
            <v>250090</v>
          </cell>
          <cell r="F2038">
            <v>155429.72676358401</v>
          </cell>
          <cell r="G2038">
            <v>6.2605957525552383E-2</v>
          </cell>
          <cell r="I2038" t="str">
            <v>GA</v>
          </cell>
          <cell r="J2038" t="str">
            <v>Med</v>
          </cell>
          <cell r="K2038">
            <v>58271.666666666664</v>
          </cell>
        </row>
        <row r="2039">
          <cell r="C2039">
            <v>2067242.0459352201</v>
          </cell>
          <cell r="D2039">
            <v>0.67878602971398505</v>
          </cell>
          <cell r="E2039">
            <v>231141</v>
          </cell>
          <cell r="F2039">
            <v>156895.28169412</v>
          </cell>
          <cell r="G2039">
            <v>7.5895941649706811E-2</v>
          </cell>
          <cell r="I2039" t="str">
            <v>GA</v>
          </cell>
          <cell r="J2039" t="str">
            <v>Low</v>
          </cell>
          <cell r="K2039">
            <v>37901</v>
          </cell>
        </row>
        <row r="2040">
          <cell r="C2040">
            <v>2557976.0430884399</v>
          </cell>
          <cell r="D2040">
            <v>0.64635418540787204</v>
          </cell>
          <cell r="E2040">
            <v>252490</v>
          </cell>
          <cell r="F2040">
            <v>163197.968273634</v>
          </cell>
          <cell r="G2040">
            <v>6.3799646878863109E-2</v>
          </cell>
          <cell r="I2040" t="str">
            <v>GA</v>
          </cell>
          <cell r="J2040" t="str">
            <v>Med</v>
          </cell>
          <cell r="K2040">
            <v>59536.333333333336</v>
          </cell>
        </row>
        <row r="2041">
          <cell r="C2041">
            <v>2790640.1704729102</v>
          </cell>
          <cell r="D2041">
            <v>0.69934796824644296</v>
          </cell>
          <cell r="E2041">
            <v>201846</v>
          </cell>
          <cell r="F2041">
            <v>141160.58999867199</v>
          </cell>
          <cell r="G2041">
            <v>5.0583587053701196E-2</v>
          </cell>
          <cell r="I2041" t="str">
            <v>GA</v>
          </cell>
          <cell r="J2041" t="str">
            <v>No Data</v>
          </cell>
          <cell r="K2041">
            <v>0</v>
          </cell>
        </row>
        <row r="2042">
          <cell r="C2042">
            <v>3349673.0514345998</v>
          </cell>
          <cell r="D2042">
            <v>0.67187677827910997</v>
          </cell>
          <cell r="E2042">
            <v>199808</v>
          </cell>
          <cell r="F2042">
            <v>134246.35531439201</v>
          </cell>
          <cell r="G2042">
            <v>4.007745032217306E-2</v>
          </cell>
          <cell r="I2042" t="str">
            <v>GA</v>
          </cell>
          <cell r="J2042" t="str">
            <v>High</v>
          </cell>
          <cell r="K2042">
            <v>100405.66666666667</v>
          </cell>
        </row>
        <row r="2043">
          <cell r="C2043">
            <v>3969354.0711707701</v>
          </cell>
          <cell r="D2043">
            <v>0.65972444267865105</v>
          </cell>
          <cell r="E2043">
            <v>197194</v>
          </cell>
          <cell r="F2043">
            <v>130093.701749574</v>
          </cell>
          <cell r="G2043">
            <v>3.2774526892029705E-2</v>
          </cell>
          <cell r="I2043" t="str">
            <v>GA</v>
          </cell>
          <cell r="J2043" t="str">
            <v>High</v>
          </cell>
          <cell r="K2043">
            <v>130423.66666666667</v>
          </cell>
        </row>
        <row r="2044">
          <cell r="C2044">
            <v>2360086.7868520599</v>
          </cell>
          <cell r="D2044">
            <v>0.68258631351043997</v>
          </cell>
          <cell r="E2044">
            <v>229694</v>
          </cell>
          <cell r="F2044">
            <v>156785.98069546701</v>
          </cell>
          <cell r="G2044">
            <v>6.6432294595654209E-2</v>
          </cell>
          <cell r="I2044" t="str">
            <v>GA</v>
          </cell>
          <cell r="J2044" t="str">
            <v>Med</v>
          </cell>
          <cell r="K2044">
            <v>48417.666666666664</v>
          </cell>
        </row>
        <row r="2045">
          <cell r="C2045">
            <v>2459444.19299688</v>
          </cell>
          <cell r="D2045">
            <v>0.68823250751498499</v>
          </cell>
          <cell r="E2045">
            <v>224030</v>
          </cell>
          <cell r="F2045">
            <v>154184.728658582</v>
          </cell>
          <cell r="G2045">
            <v>6.2690883207520531E-2</v>
          </cell>
          <cell r="I2045" t="str">
            <v>GA</v>
          </cell>
          <cell r="J2045" t="str">
            <v>Med</v>
          </cell>
          <cell r="K2045">
            <v>58178.333333333336</v>
          </cell>
        </row>
        <row r="2046">
          <cell r="C2046">
            <v>2643135.4777198802</v>
          </cell>
          <cell r="D2046">
            <v>0.69872933755280398</v>
          </cell>
          <cell r="E2046">
            <v>228702</v>
          </cell>
          <cell r="F2046">
            <v>159800.796957001</v>
          </cell>
          <cell r="G2046">
            <v>6.0458799143680034E-2</v>
          </cell>
          <cell r="I2046" t="str">
            <v>GA</v>
          </cell>
          <cell r="J2046" t="str">
            <v>Low</v>
          </cell>
          <cell r="K2046">
            <v>38900</v>
          </cell>
        </row>
        <row r="2047">
          <cell r="C2047">
            <v>2802738.7085718601</v>
          </cell>
          <cell r="D2047">
            <v>0.65098067999718401</v>
          </cell>
          <cell r="E2047">
            <v>222397</v>
          </cell>
          <cell r="F2047">
            <v>144776.15028933401</v>
          </cell>
          <cell r="G2047">
            <v>5.1655243439765713E-2</v>
          </cell>
          <cell r="I2047" t="str">
            <v>GA</v>
          </cell>
          <cell r="J2047" t="str">
            <v>Med</v>
          </cell>
          <cell r="K2047">
            <v>76305.666666666672</v>
          </cell>
        </row>
        <row r="2048">
          <cell r="C2048">
            <v>2414517.6248899102</v>
          </cell>
          <cell r="D2048">
            <v>0.64943041923308298</v>
          </cell>
          <cell r="E2048">
            <v>243917</v>
          </cell>
          <cell r="F2048">
            <v>158407.11956807601</v>
          </cell>
          <cell r="G2048">
            <v>6.5606114420183034E-2</v>
          </cell>
          <cell r="I2048" t="str">
            <v>GA</v>
          </cell>
          <cell r="J2048" t="str">
            <v>Med</v>
          </cell>
          <cell r="K2048">
            <v>52832</v>
          </cell>
        </row>
        <row r="2049">
          <cell r="C2049">
            <v>2740372.56158341</v>
          </cell>
          <cell r="D2049">
            <v>0.62862984077295603</v>
          </cell>
          <cell r="E2049">
            <v>225995</v>
          </cell>
          <cell r="F2049">
            <v>142067.20086548399</v>
          </cell>
          <cell r="G2049">
            <v>5.184229431322155E-2</v>
          </cell>
          <cell r="I2049" t="str">
            <v>GA</v>
          </cell>
          <cell r="J2049" t="str">
            <v>No Data</v>
          </cell>
          <cell r="K2049">
            <v>0</v>
          </cell>
        </row>
        <row r="2050">
          <cell r="C2050">
            <v>2503193.0531625501</v>
          </cell>
          <cell r="D2050">
            <v>0.66349586399254101</v>
          </cell>
          <cell r="E2050">
            <v>236613</v>
          </cell>
          <cell r="F2050">
            <v>156991.746866867</v>
          </cell>
          <cell r="G2050">
            <v>6.2716595776950809E-2</v>
          </cell>
          <cell r="I2050" t="str">
            <v>GA</v>
          </cell>
          <cell r="J2050" t="str">
            <v>Med</v>
          </cell>
          <cell r="K2050">
            <v>59176</v>
          </cell>
        </row>
        <row r="2051">
          <cell r="C2051">
            <v>2439090.9759718501</v>
          </cell>
          <cell r="D2051">
            <v>0.66079374462835105</v>
          </cell>
          <cell r="E2051">
            <v>229879</v>
          </cell>
          <cell r="F2051">
            <v>151902.60522142099</v>
          </cell>
          <cell r="G2051">
            <v>6.2278367932092307E-2</v>
          </cell>
          <cell r="I2051" t="str">
            <v>GA</v>
          </cell>
          <cell r="J2051" t="str">
            <v>Med</v>
          </cell>
          <cell r="K2051">
            <v>58181.333333333336</v>
          </cell>
        </row>
        <row r="2052">
          <cell r="C2052">
            <v>2484309.6674255598</v>
          </cell>
          <cell r="D2052">
            <v>0.63684429821507105</v>
          </cell>
          <cell r="E2052">
            <v>226655</v>
          </cell>
          <cell r="F2052">
            <v>144343.944411937</v>
          </cell>
          <cell r="G2052">
            <v>5.8102235121726083E-2</v>
          </cell>
          <cell r="I2052" t="str">
            <v>GA</v>
          </cell>
          <cell r="J2052" t="str">
            <v>Med</v>
          </cell>
          <cell r="K2052">
            <v>56202.666666666664</v>
          </cell>
        </row>
        <row r="2053">
          <cell r="C2053">
            <v>2709814.9949109801</v>
          </cell>
          <cell r="D2053">
            <v>0.69147398659300496</v>
          </cell>
          <cell r="E2053">
            <v>233597</v>
          </cell>
          <cell r="F2053">
            <v>161526.24884616601</v>
          </cell>
          <cell r="G2053">
            <v>5.9607851144639595E-2</v>
          </cell>
          <cell r="I2053" t="str">
            <v>GA</v>
          </cell>
          <cell r="J2053" t="str">
            <v>Med</v>
          </cell>
          <cell r="K2053">
            <v>66036.333333333328</v>
          </cell>
        </row>
        <row r="2054">
          <cell r="C2054">
            <v>3359813.9742996902</v>
          </cell>
          <cell r="D2054">
            <v>0.68881995805631002</v>
          </cell>
          <cell r="E2054">
            <v>209809</v>
          </cell>
          <cell r="F2054">
            <v>144520.62657983601</v>
          </cell>
          <cell r="G2054">
            <v>4.3014472731324201E-2</v>
          </cell>
          <cell r="I2054" t="str">
            <v>GA</v>
          </cell>
          <cell r="J2054" t="str">
            <v>Med</v>
          </cell>
          <cell r="K2054">
            <v>82180.666666666672</v>
          </cell>
        </row>
        <row r="2055">
          <cell r="C2055">
            <v>3901767.2748438399</v>
          </cell>
          <cell r="D2055">
            <v>0.652662730753377</v>
          </cell>
          <cell r="E2055">
            <v>204015</v>
          </cell>
          <cell r="F2055">
            <v>133152.98701464999</v>
          </cell>
          <cell r="G2055">
            <v>3.4126327285878208E-2</v>
          </cell>
          <cell r="I2055" t="str">
            <v>GA</v>
          </cell>
          <cell r="J2055" t="str">
            <v>High</v>
          </cell>
          <cell r="K2055">
            <v>108174.33333333333</v>
          </cell>
        </row>
        <row r="2056">
          <cell r="C2056">
            <v>2773415.7208116702</v>
          </cell>
          <cell r="D2056">
            <v>0.64829365326294996</v>
          </cell>
          <cell r="E2056">
            <v>225620</v>
          </cell>
          <cell r="F2056">
            <v>146268.01404918701</v>
          </cell>
          <cell r="G2056">
            <v>5.2739303722696175E-2</v>
          </cell>
          <cell r="I2056" t="str">
            <v>GA</v>
          </cell>
          <cell r="J2056" t="str">
            <v>Med</v>
          </cell>
          <cell r="K2056">
            <v>58271.666666666664</v>
          </cell>
        </row>
        <row r="2057">
          <cell r="C2057">
            <v>2390309.05142667</v>
          </cell>
          <cell r="D2057">
            <v>0.66917601628005297</v>
          </cell>
          <cell r="E2057">
            <v>228501</v>
          </cell>
          <cell r="F2057">
            <v>152907.38889600799</v>
          </cell>
          <cell r="G2057">
            <v>6.3969715047827946E-2</v>
          </cell>
          <cell r="I2057" t="str">
            <v>GA</v>
          </cell>
          <cell r="J2057" t="str">
            <v>Low</v>
          </cell>
          <cell r="K2057">
            <v>37901</v>
          </cell>
        </row>
        <row r="2058">
          <cell r="C2058">
            <v>2867444.5754918102</v>
          </cell>
          <cell r="D2058">
            <v>0.65992356075685998</v>
          </cell>
          <cell r="E2058">
            <v>223783</v>
          </cell>
          <cell r="F2058">
            <v>147679.67419685199</v>
          </cell>
          <cell r="G2058">
            <v>5.1502189600830452E-2</v>
          </cell>
          <cell r="I2058" t="str">
            <v>GA</v>
          </cell>
          <cell r="J2058" t="str">
            <v>Med</v>
          </cell>
          <cell r="K2058">
            <v>59536.333333333336</v>
          </cell>
        </row>
        <row r="2059">
          <cell r="C2059">
            <v>3166787.4421634199</v>
          </cell>
          <cell r="D2059">
            <v>0.68850093061338502</v>
          </cell>
          <cell r="E2059">
            <v>194357</v>
          </cell>
          <cell r="F2059">
            <v>133814.975371226</v>
          </cell>
          <cell r="G2059">
            <v>4.2255749024888475E-2</v>
          </cell>
          <cell r="I2059" t="str">
            <v>GA</v>
          </cell>
          <cell r="J2059" t="str">
            <v>No Data</v>
          </cell>
          <cell r="K2059">
            <v>0</v>
          </cell>
        </row>
        <row r="2060">
          <cell r="C2060">
            <v>3723461.4727143301</v>
          </cell>
          <cell r="D2060">
            <v>0.66718393483369398</v>
          </cell>
          <cell r="E2060">
            <v>189471</v>
          </cell>
          <cell r="F2060">
            <v>126412.007316875</v>
          </cell>
          <cell r="G2060">
            <v>3.3950131683442165E-2</v>
          </cell>
          <cell r="I2060" t="str">
            <v>GA</v>
          </cell>
          <cell r="J2060" t="str">
            <v>High</v>
          </cell>
          <cell r="K2060">
            <v>100405.66666666667</v>
          </cell>
        </row>
        <row r="2061">
          <cell r="C2061">
            <v>4601987.1522003403</v>
          </cell>
          <cell r="D2061">
            <v>0.65110094257589302</v>
          </cell>
          <cell r="E2061">
            <v>192547</v>
          </cell>
          <cell r="F2061">
            <v>125367.533190161</v>
          </cell>
          <cell r="G2061">
            <v>2.7242043283458372E-2</v>
          </cell>
          <cell r="I2061" t="str">
            <v>GA</v>
          </cell>
          <cell r="J2061" t="str">
            <v>High</v>
          </cell>
          <cell r="K2061">
            <v>130423.66666666667</v>
          </cell>
        </row>
        <row r="2062">
          <cell r="C2062">
            <v>2683765.3388276701</v>
          </cell>
          <cell r="D2062">
            <v>0.66793241261608005</v>
          </cell>
          <cell r="E2062">
            <v>229744</v>
          </cell>
          <cell r="F2062">
            <v>153453.46420406899</v>
          </cell>
          <cell r="G2062">
            <v>5.7178420923753699E-2</v>
          </cell>
          <cell r="I2062" t="str">
            <v>GA</v>
          </cell>
          <cell r="J2062" t="str">
            <v>Med</v>
          </cell>
          <cell r="K2062">
            <v>48417.666666666664</v>
          </cell>
        </row>
        <row r="2063">
          <cell r="C2063">
            <v>2768831.3109258302</v>
          </cell>
          <cell r="D2063">
            <v>0.69650979216289399</v>
          </cell>
          <cell r="E2063">
            <v>203821</v>
          </cell>
          <cell r="F2063">
            <v>141963.32234843299</v>
          </cell>
          <cell r="G2063">
            <v>5.1271928986155499E-2</v>
          </cell>
          <cell r="I2063" t="str">
            <v>GA</v>
          </cell>
          <cell r="J2063" t="str">
            <v>Med</v>
          </cell>
          <cell r="K2063">
            <v>58178.333333333336</v>
          </cell>
        </row>
        <row r="2064">
          <cell r="C2064">
            <v>2946521.41399789</v>
          </cell>
          <cell r="D2064">
            <v>0.65841155135374396</v>
          </cell>
          <cell r="E2064">
            <v>223035</v>
          </cell>
          <cell r="F2064">
            <v>146848.820356182</v>
          </cell>
          <cell r="G2064">
            <v>4.9838029229502541E-2</v>
          </cell>
          <cell r="I2064" t="str">
            <v>GA</v>
          </cell>
          <cell r="J2064" t="str">
            <v>Low</v>
          </cell>
          <cell r="K2064">
            <v>38900</v>
          </cell>
        </row>
        <row r="2065">
          <cell r="C2065">
            <v>3219602.0094387499</v>
          </cell>
          <cell r="D2065">
            <v>0.63620321746717601</v>
          </cell>
          <cell r="E2065">
            <v>219290</v>
          </cell>
          <cell r="F2065">
            <v>139513.00355837701</v>
          </cell>
          <cell r="G2065">
            <v>4.3332375600889039E-2</v>
          </cell>
          <cell r="I2065" t="str">
            <v>GA</v>
          </cell>
          <cell r="J2065" t="str">
            <v>Med</v>
          </cell>
          <cell r="K2065">
            <v>76305.666666666672</v>
          </cell>
        </row>
        <row r="2066">
          <cell r="C2066">
            <v>2795277.8184285602</v>
          </cell>
          <cell r="D2066">
            <v>0.63272240477543495</v>
          </cell>
          <cell r="E2066">
            <v>246163</v>
          </cell>
          <cell r="F2066">
            <v>155752.845326735</v>
          </cell>
          <cell r="G2066">
            <v>5.5719987580445801E-2</v>
          </cell>
          <cell r="I2066" t="str">
            <v>GA</v>
          </cell>
          <cell r="J2066" t="str">
            <v>Med</v>
          </cell>
          <cell r="K2066">
            <v>52832</v>
          </cell>
        </row>
        <row r="2067">
          <cell r="C2067">
            <v>3182916.9700675402</v>
          </cell>
          <cell r="D2067">
            <v>0.64426354003008801</v>
          </cell>
          <cell r="E2067">
            <v>212680</v>
          </cell>
          <cell r="F2067">
            <v>137021.96969359901</v>
          </cell>
          <cell r="G2067">
            <v>4.3049181295700421E-2</v>
          </cell>
          <cell r="I2067" t="str">
            <v>GA</v>
          </cell>
          <cell r="J2067" t="str">
            <v>No Data</v>
          </cell>
          <cell r="K2067">
            <v>0</v>
          </cell>
        </row>
        <row r="2068">
          <cell r="C2068">
            <v>2872637.5434886501</v>
          </cell>
          <cell r="D2068">
            <v>0.64854338434785397</v>
          </cell>
          <cell r="E2068">
            <v>234622</v>
          </cell>
          <cell r="F2068">
            <v>152162.54592246201</v>
          </cell>
          <cell r="G2068">
            <v>5.296962934546539E-2</v>
          </cell>
          <cell r="I2068" t="str">
            <v>GA</v>
          </cell>
          <cell r="J2068" t="str">
            <v>Med</v>
          </cell>
          <cell r="K2068">
            <v>59176</v>
          </cell>
        </row>
        <row r="2069">
          <cell r="C2069">
            <v>2729286.3982665902</v>
          </cell>
          <cell r="D2069">
            <v>0.69454827323393797</v>
          </cell>
          <cell r="E2069">
            <v>203243</v>
          </cell>
          <cell r="F2069">
            <v>141162.07469688501</v>
          </cell>
          <cell r="G2069">
            <v>5.1721239217159154E-2</v>
          </cell>
          <cell r="I2069" t="str">
            <v>GA</v>
          </cell>
          <cell r="J2069" t="str">
            <v>Med</v>
          </cell>
          <cell r="K2069">
            <v>58181.333333333336</v>
          </cell>
        </row>
        <row r="2070">
          <cell r="C2070">
            <v>2789992.5789416102</v>
          </cell>
          <cell r="D2070">
            <v>0.63811615525404897</v>
          </cell>
          <cell r="E2070">
            <v>210514</v>
          </cell>
          <cell r="F2070">
            <v>134332.38430715099</v>
          </cell>
          <cell r="G2070">
            <v>4.8147936063009274E-2</v>
          </cell>
          <cell r="I2070" t="str">
            <v>GA</v>
          </cell>
          <cell r="J2070" t="str">
            <v>Med</v>
          </cell>
          <cell r="K2070">
            <v>56202.666666666664</v>
          </cell>
        </row>
        <row r="2071">
          <cell r="C2071">
            <v>3024180.5031185499</v>
          </cell>
          <cell r="D2071">
            <v>0.66740633614397704</v>
          </cell>
          <cell r="E2071">
            <v>222522</v>
          </cell>
          <cell r="F2071">
            <v>148512.59273142999</v>
          </cell>
          <cell r="G2071">
            <v>4.9108375832157859E-2</v>
          </cell>
          <cell r="I2071" t="str">
            <v>GA</v>
          </cell>
          <cell r="J2071" t="str">
            <v>Med</v>
          </cell>
          <cell r="K2071">
            <v>66036.333333333328</v>
          </cell>
        </row>
        <row r="2072">
          <cell r="C2072">
            <v>3411174.2649949701</v>
          </cell>
          <cell r="D2072">
            <v>0.69615515215807799</v>
          </cell>
          <cell r="E2072">
            <v>198017</v>
          </cell>
          <cell r="F2072">
            <v>137850.55476488601</v>
          </cell>
          <cell r="G2072">
            <v>4.0411466567243606E-2</v>
          </cell>
          <cell r="I2072" t="str">
            <v>GA</v>
          </cell>
          <cell r="J2072" t="str">
            <v>Med</v>
          </cell>
          <cell r="K2072">
            <v>82180.666666666672</v>
          </cell>
        </row>
        <row r="2073">
          <cell r="C2073">
            <v>4059651.6215021401</v>
          </cell>
          <cell r="D2073">
            <v>0.61593258700137898</v>
          </cell>
          <cell r="E2073">
            <v>204808</v>
          </cell>
          <cell r="F2073">
            <v>126147.921278578</v>
          </cell>
          <cell r="G2073">
            <v>3.1073582917910854E-2</v>
          </cell>
          <cell r="I2073" t="str">
            <v>GA</v>
          </cell>
          <cell r="J2073" t="str">
            <v>High</v>
          </cell>
          <cell r="K2073">
            <v>108174.33333333333</v>
          </cell>
        </row>
        <row r="2074">
          <cell r="C2074">
            <v>2918940.5629801401</v>
          </cell>
          <cell r="D2074">
            <v>0.64075183124767499</v>
          </cell>
          <cell r="E2074">
            <v>221651</v>
          </cell>
          <cell r="F2074">
            <v>142023.284147878</v>
          </cell>
          <cell r="G2074">
            <v>4.8655764337618784E-2</v>
          </cell>
          <cell r="I2074" t="str">
            <v>GA</v>
          </cell>
          <cell r="J2074" t="str">
            <v>Med</v>
          </cell>
          <cell r="K2074">
            <v>58271.666666666664</v>
          </cell>
        </row>
        <row r="2075">
          <cell r="C2075">
            <v>2504700.2378016599</v>
          </cell>
          <cell r="D2075">
            <v>0.67079855793014498</v>
          </cell>
          <cell r="E2075">
            <v>219882</v>
          </cell>
          <cell r="F2075">
            <v>147496.52851479599</v>
          </cell>
          <cell r="G2075">
            <v>5.8887896558931785E-2</v>
          </cell>
          <cell r="I2075" t="str">
            <v>GA</v>
          </cell>
          <cell r="J2075" t="str">
            <v>Low</v>
          </cell>
          <cell r="K2075">
            <v>37901</v>
          </cell>
        </row>
        <row r="2076">
          <cell r="C2076">
            <v>3033589.2689226102</v>
          </cell>
          <cell r="D2076">
            <v>0.64917518644906502</v>
          </cell>
          <cell r="E2076">
            <v>225021</v>
          </cell>
          <cell r="F2076">
            <v>146078.049629955</v>
          </cell>
          <cell r="G2076">
            <v>4.8153535854850625E-2</v>
          </cell>
          <cell r="I2076" t="str">
            <v>GA</v>
          </cell>
          <cell r="J2076" t="str">
            <v>Med</v>
          </cell>
          <cell r="K2076">
            <v>59536.333333333336</v>
          </cell>
        </row>
        <row r="2077">
          <cell r="C2077">
            <v>3354011.17479546</v>
          </cell>
          <cell r="D2077">
            <v>0.67190062300530096</v>
          </cell>
          <cell r="E2077">
            <v>200575</v>
          </cell>
          <cell r="F2077">
            <v>134766.46745928799</v>
          </cell>
          <cell r="G2077">
            <v>4.0180685285733E-2</v>
          </cell>
          <cell r="I2077" t="str">
            <v>GA</v>
          </cell>
          <cell r="J2077" t="str">
            <v>No Data</v>
          </cell>
          <cell r="K2077">
            <v>0</v>
          </cell>
        </row>
        <row r="2078">
          <cell r="C2078">
            <v>3928213.7082122699</v>
          </cell>
          <cell r="D2078">
            <v>0.68576605080323305</v>
          </cell>
          <cell r="E2078">
            <v>184874</v>
          </cell>
          <cell r="F2078">
            <v>126780.312876197</v>
          </cell>
          <cell r="G2078">
            <v>3.2274291139291075E-2</v>
          </cell>
          <cell r="I2078" t="str">
            <v>GA</v>
          </cell>
          <cell r="J2078" t="str">
            <v>High</v>
          </cell>
          <cell r="K2078">
            <v>100405.66666666667</v>
          </cell>
        </row>
        <row r="2079">
          <cell r="C2079">
            <v>4737206.6016396098</v>
          </cell>
          <cell r="D2079">
            <v>0.66919664437336002</v>
          </cell>
          <cell r="E2079">
            <v>182260</v>
          </cell>
          <cell r="F2079">
            <v>121967.780403488</v>
          </cell>
          <cell r="G2079">
            <v>2.5746772446292154E-2</v>
          </cell>
          <cell r="I2079" t="str">
            <v>GA</v>
          </cell>
          <cell r="J2079" t="str">
            <v>High</v>
          </cell>
          <cell r="K2079">
            <v>130423.66666666667</v>
          </cell>
        </row>
        <row r="2080">
          <cell r="C2080">
            <v>2824586.97664954</v>
          </cell>
          <cell r="D2080">
            <v>0.65293470576672896</v>
          </cell>
          <cell r="E2080">
            <v>226032</v>
          </cell>
          <cell r="F2080">
            <v>147584.13741386501</v>
          </cell>
          <cell r="G2080">
            <v>5.2249811612785212E-2</v>
          </cell>
          <cell r="I2080" t="str">
            <v>GA</v>
          </cell>
          <cell r="J2080" t="str">
            <v>Med</v>
          </cell>
          <cell r="K2080">
            <v>48417.666666666664</v>
          </cell>
        </row>
        <row r="2081">
          <cell r="C2081">
            <v>2986316.5962172402</v>
          </cell>
          <cell r="D2081">
            <v>0.68679522598478504</v>
          </cell>
          <cell r="E2081">
            <v>213164</v>
          </cell>
          <cell r="F2081">
            <v>146400.01755182099</v>
          </cell>
          <cell r="G2081">
            <v>4.9023609130145654E-2</v>
          </cell>
          <cell r="I2081" t="str">
            <v>GA</v>
          </cell>
          <cell r="J2081" t="str">
            <v>Med</v>
          </cell>
          <cell r="K2081">
            <v>58178.333333333336</v>
          </cell>
        </row>
        <row r="2082">
          <cell r="C2082">
            <v>3095004.6851149299</v>
          </cell>
          <cell r="D2082">
            <v>0.70085741668591395</v>
          </cell>
          <cell r="E2082">
            <v>205279</v>
          </cell>
          <cell r="F2082">
            <v>143871.30963986801</v>
          </cell>
          <cell r="G2082">
            <v>4.6485005444999991E-2</v>
          </cell>
          <cell r="I2082" t="str">
            <v>GA</v>
          </cell>
          <cell r="J2082" t="str">
            <v>Low</v>
          </cell>
          <cell r="K2082">
            <v>38900</v>
          </cell>
        </row>
        <row r="2083">
          <cell r="C2083">
            <v>3362341.14313896</v>
          </cell>
          <cell r="D2083">
            <v>0.65606543292881403</v>
          </cell>
          <cell r="E2083">
            <v>209312</v>
          </cell>
          <cell r="F2083">
            <v>137322.367897196</v>
          </cell>
          <cell r="G2083">
            <v>4.0841295410315448E-2</v>
          </cell>
          <cell r="I2083" t="str">
            <v>GA</v>
          </cell>
          <cell r="J2083" t="str">
            <v>Med</v>
          </cell>
          <cell r="K2083">
            <v>76305.666666666672</v>
          </cell>
        </row>
        <row r="2084">
          <cell r="C2084">
            <v>2920026.5721433</v>
          </cell>
          <cell r="D2084">
            <v>0.64858867225809003</v>
          </cell>
          <cell r="E2084">
            <v>229031</v>
          </cell>
          <cell r="F2084">
            <v>148546.912195943</v>
          </cell>
          <cell r="G2084">
            <v>5.0871767268511378E-2</v>
          </cell>
          <cell r="I2084" t="str">
            <v>GA</v>
          </cell>
          <cell r="J2084" t="str">
            <v>Med</v>
          </cell>
          <cell r="K2084">
            <v>52832</v>
          </cell>
        </row>
        <row r="2085">
          <cell r="C2085">
            <v>3236093.1622254699</v>
          </cell>
          <cell r="D2085">
            <v>0.62336216959828605</v>
          </cell>
          <cell r="E2085">
            <v>211269</v>
          </cell>
          <cell r="F2085">
            <v>131697.10220885999</v>
          </cell>
          <cell r="G2085">
            <v>4.0696325972980188E-2</v>
          </cell>
          <cell r="I2085" t="str">
            <v>GA</v>
          </cell>
          <cell r="J2085" t="str">
            <v>No Data</v>
          </cell>
          <cell r="K2085">
            <v>0</v>
          </cell>
        </row>
        <row r="2086">
          <cell r="C2086">
            <v>2985658.6481165802</v>
          </cell>
          <cell r="D2086">
            <v>0.65236869314900203</v>
          </cell>
          <cell r="E2086">
            <v>223862</v>
          </cell>
          <cell r="F2086">
            <v>146040.560385722</v>
          </cell>
          <cell r="G2086">
            <v>4.8914017842544601E-2</v>
          </cell>
          <cell r="I2086" t="str">
            <v>GA</v>
          </cell>
          <cell r="J2086" t="str">
            <v>Med</v>
          </cell>
          <cell r="K2086">
            <v>59176</v>
          </cell>
        </row>
        <row r="2087">
          <cell r="C2087">
            <v>2843838.9386509899</v>
          </cell>
          <cell r="D2087">
            <v>0.67519476442130899</v>
          </cell>
          <cell r="E2087">
            <v>206243</v>
          </cell>
          <cell r="F2087">
            <v>139254.193798544</v>
          </cell>
          <cell r="G2087">
            <v>4.8966976260828944E-2</v>
          </cell>
          <cell r="I2087" t="str">
            <v>GA</v>
          </cell>
          <cell r="J2087" t="str">
            <v>Med</v>
          </cell>
          <cell r="K2087">
            <v>58181.333333333336</v>
          </cell>
        </row>
        <row r="2088">
          <cell r="C2088">
            <v>2924635.4086314701</v>
          </cell>
          <cell r="D2088">
            <v>0.63947655235978296</v>
          </cell>
          <cell r="E2088">
            <v>205201</v>
          </cell>
          <cell r="F2088">
            <v>131221.22802077999</v>
          </cell>
          <cell r="G2088">
            <v>4.4867550886345378E-2</v>
          </cell>
          <cell r="I2088" t="str">
            <v>GA</v>
          </cell>
          <cell r="J2088" t="str">
            <v>Med</v>
          </cell>
          <cell r="K2088">
            <v>56202.666666666664</v>
          </cell>
        </row>
        <row r="2089">
          <cell r="C2089">
            <v>3107433.0033724499</v>
          </cell>
          <cell r="D2089">
            <v>0.68292792612525299</v>
          </cell>
          <cell r="E2089">
            <v>210487</v>
          </cell>
          <cell r="F2089">
            <v>143747.450386326</v>
          </cell>
          <cell r="G2089">
            <v>4.6259227545797151E-2</v>
          </cell>
          <cell r="I2089" t="str">
            <v>GA</v>
          </cell>
          <cell r="J2089" t="str">
            <v>Med</v>
          </cell>
          <cell r="K2089">
            <v>66036.333333333328</v>
          </cell>
        </row>
        <row r="2090">
          <cell r="C2090">
            <v>1993933.70260145</v>
          </cell>
          <cell r="D2090">
            <v>0.71030806097154398</v>
          </cell>
          <cell r="E2090">
            <v>142169</v>
          </cell>
          <cell r="F2090">
            <v>100983.786720263</v>
          </cell>
          <cell r="G2090">
            <v>5.0645508719026733E-2</v>
          </cell>
          <cell r="I2090" t="str">
            <v>GA</v>
          </cell>
          <cell r="J2090" t="str">
            <v>Med</v>
          </cell>
          <cell r="K2090">
            <v>82180.666666666672</v>
          </cell>
        </row>
        <row r="2091">
          <cell r="C2091">
            <v>2307593.41771622</v>
          </cell>
          <cell r="D2091">
            <v>0.67458383858363302</v>
          </cell>
          <cell r="E2091">
            <v>141425</v>
          </cell>
          <cell r="F2091">
            <v>95403.019371690301</v>
          </cell>
          <cell r="G2091">
            <v>4.1343080041417693E-2</v>
          </cell>
          <cell r="I2091" t="str">
            <v>GA</v>
          </cell>
          <cell r="J2091" t="str">
            <v>High</v>
          </cell>
          <cell r="K2091">
            <v>108174.33333333333</v>
          </cell>
        </row>
        <row r="2092">
          <cell r="C2092">
            <v>1693544.9876325</v>
          </cell>
          <cell r="D2092">
            <v>0.653567242269672</v>
          </cell>
          <cell r="E2092">
            <v>161240</v>
          </cell>
          <cell r="F2092">
            <v>105381.18214356199</v>
          </cell>
          <cell r="G2092">
            <v>6.2225203884828689E-2</v>
          </cell>
          <cell r="I2092" t="str">
            <v>GA</v>
          </cell>
          <cell r="J2092" t="str">
            <v>Med</v>
          </cell>
          <cell r="K2092">
            <v>58271.666666666664</v>
          </cell>
        </row>
        <row r="2093">
          <cell r="C2093">
            <v>1446553.3807957501</v>
          </cell>
          <cell r="D2093">
            <v>0.677763968027432</v>
          </cell>
          <cell r="E2093">
            <v>163147</v>
          </cell>
          <cell r="F2093">
            <v>110575.15809177099</v>
          </cell>
          <cell r="G2093">
            <v>7.6440426989941787E-2</v>
          </cell>
          <cell r="I2093" t="str">
            <v>GA</v>
          </cell>
          <cell r="J2093" t="str">
            <v>Low</v>
          </cell>
          <cell r="K2093">
            <v>37901</v>
          </cell>
        </row>
        <row r="2094">
          <cell r="C2094">
            <v>1762353.81359917</v>
          </cell>
          <cell r="D2094">
            <v>0.66769796863894804</v>
          </cell>
          <cell r="E2094">
            <v>166629</v>
          </cell>
          <cell r="F2094">
            <v>111257.844816339</v>
          </cell>
          <cell r="G2094">
            <v>6.3130254525407978E-2</v>
          </cell>
          <cell r="I2094" t="str">
            <v>GA</v>
          </cell>
          <cell r="J2094" t="str">
            <v>Med</v>
          </cell>
          <cell r="K2094">
            <v>59536.333333333336</v>
          </cell>
        </row>
        <row r="2095">
          <cell r="C2095">
            <v>1933550.9913542699</v>
          </cell>
          <cell r="D2095">
            <v>0.68658500768082997</v>
          </cell>
          <cell r="E2095">
            <v>142592</v>
          </cell>
          <cell r="F2095">
            <v>97901.529415224999</v>
          </cell>
          <cell r="G2095">
            <v>5.0633021757887142E-2</v>
          </cell>
          <cell r="I2095" t="str">
            <v>GA</v>
          </cell>
          <cell r="J2095" t="str">
            <v>No Data</v>
          </cell>
          <cell r="K2095">
            <v>0</v>
          </cell>
        </row>
        <row r="2096">
          <cell r="C2096">
            <v>2303664.7452238202</v>
          </cell>
          <cell r="D2096">
            <v>0.68271650608017098</v>
          </cell>
          <cell r="E2096">
            <v>134600</v>
          </cell>
          <cell r="F2096">
            <v>91893.641718390994</v>
          </cell>
          <cell r="G2096">
            <v>3.9890197525014763E-2</v>
          </cell>
          <cell r="I2096" t="str">
            <v>GA</v>
          </cell>
          <cell r="J2096" t="str">
            <v>High</v>
          </cell>
          <cell r="K2096">
            <v>100405.66666666667</v>
          </cell>
        </row>
        <row r="2097">
          <cell r="C2097">
            <v>2759751.8679766501</v>
          </cell>
          <cell r="D2097">
            <v>0.68772323097861499</v>
          </cell>
          <cell r="E2097">
            <v>136983</v>
          </cell>
          <cell r="F2097">
            <v>94206.391349143698</v>
          </cell>
          <cell r="G2097">
            <v>3.4135819398217276E-2</v>
          </cell>
          <cell r="I2097" t="str">
            <v>GA</v>
          </cell>
          <cell r="J2097" t="str">
            <v>High</v>
          </cell>
          <cell r="K2097">
            <v>130423.66666666667</v>
          </cell>
        </row>
        <row r="2098">
          <cell r="C2098">
            <v>1581790.72377318</v>
          </cell>
          <cell r="D2098">
            <v>0.68526294687115996</v>
          </cell>
          <cell r="E2098">
            <v>157428</v>
          </cell>
          <cell r="F2098">
            <v>107879.575200033</v>
          </cell>
          <cell r="G2098">
            <v>6.820091531621747E-2</v>
          </cell>
          <cell r="I2098" t="str">
            <v>GA</v>
          </cell>
          <cell r="J2098" t="str">
            <v>Med</v>
          </cell>
          <cell r="K2098">
            <v>48417.666666666664</v>
          </cell>
        </row>
        <row r="2099">
          <cell r="C2099">
            <v>1702256.1827684201</v>
          </cell>
          <cell r="D2099">
            <v>0.67347134607532999</v>
          </cell>
          <cell r="E2099">
            <v>155542</v>
          </cell>
          <cell r="F2099">
            <v>104753.080111249</v>
          </cell>
          <cell r="G2099">
            <v>6.153778800843393E-2</v>
          </cell>
          <cell r="I2099" t="str">
            <v>GA</v>
          </cell>
          <cell r="J2099" t="str">
            <v>Med</v>
          </cell>
          <cell r="K2099">
            <v>58178.333333333336</v>
          </cell>
        </row>
        <row r="2100">
          <cell r="C2100">
            <v>1786600.43786182</v>
          </cell>
          <cell r="D2100">
            <v>0.70699569122619998</v>
          </cell>
          <cell r="E2100">
            <v>151867</v>
          </cell>
          <cell r="F2100">
            <v>107369.314639449</v>
          </cell>
          <cell r="G2100">
            <v>6.0096993353447953E-2</v>
          </cell>
          <cell r="I2100" t="str">
            <v>GA</v>
          </cell>
          <cell r="J2100" t="str">
            <v>Low</v>
          </cell>
          <cell r="K2100">
            <v>38900</v>
          </cell>
        </row>
        <row r="2101">
          <cell r="C2101">
            <v>1955329.3555898</v>
          </cell>
          <cell r="D2101">
            <v>0.66365793846931997</v>
          </cell>
          <cell r="E2101">
            <v>154219</v>
          </cell>
          <cell r="F2101">
            <v>102348.6636128</v>
          </cell>
          <cell r="G2101">
            <v>5.2343439390510164E-2</v>
          </cell>
          <cell r="I2101" t="str">
            <v>GA</v>
          </cell>
          <cell r="J2101" t="str">
            <v>Med</v>
          </cell>
          <cell r="K2101">
            <v>76305.666666666672</v>
          </cell>
        </row>
        <row r="2102">
          <cell r="C2102">
            <v>1649613.7735437299</v>
          </cell>
          <cell r="D2102">
            <v>0.64487881451114504</v>
          </cell>
          <cell r="E2102">
            <v>167730</v>
          </cell>
          <cell r="F2102">
            <v>108165.523557954</v>
          </cell>
          <cell r="G2102">
            <v>6.5570211217132898E-2</v>
          </cell>
          <cell r="I2102" t="str">
            <v>GA</v>
          </cell>
          <cell r="J2102" t="str">
            <v>Med</v>
          </cell>
          <cell r="K2102">
            <v>52832</v>
          </cell>
        </row>
        <row r="2103">
          <cell r="C2103">
            <v>1924209.1513376201</v>
          </cell>
          <cell r="D2103">
            <v>0.64191634405506903</v>
          </cell>
          <cell r="E2103">
            <v>156773</v>
          </cell>
          <cell r="F2103">
            <v>100635.151006545</v>
          </cell>
          <cell r="G2103">
            <v>5.2299486745808352E-2</v>
          </cell>
          <cell r="I2103" t="str">
            <v>GA</v>
          </cell>
          <cell r="J2103" t="str">
            <v>No Data</v>
          </cell>
          <cell r="K2103">
            <v>0</v>
          </cell>
        </row>
        <row r="2104">
          <cell r="C2104">
            <v>1699848.1547423</v>
          </cell>
          <cell r="D2104">
            <v>0.672121342335537</v>
          </cell>
          <cell r="E2104">
            <v>159949</v>
          </cell>
          <cell r="F2104">
            <v>107505.136585227</v>
          </cell>
          <cell r="G2104">
            <v>6.324396463607948E-2</v>
          </cell>
          <cell r="I2104" t="str">
            <v>GA</v>
          </cell>
          <cell r="J2104" t="str">
            <v>Med</v>
          </cell>
          <cell r="K2104">
            <v>59176</v>
          </cell>
        </row>
        <row r="2105">
          <cell r="C2105">
            <v>1642224.5520252199</v>
          </cell>
          <cell r="D2105">
            <v>0.698138150598969</v>
          </cell>
          <cell r="E2105">
            <v>147075</v>
          </cell>
          <cell r="F2105">
            <v>102678.668499343</v>
          </cell>
          <cell r="G2105">
            <v>6.2524134335172302E-2</v>
          </cell>
          <cell r="I2105" t="str">
            <v>GA</v>
          </cell>
          <cell r="J2105" t="str">
            <v>Med</v>
          </cell>
          <cell r="K2105">
            <v>58181.333333333336</v>
          </cell>
        </row>
        <row r="2106">
          <cell r="C2106">
            <v>1676084.67473328</v>
          </cell>
          <cell r="D2106">
            <v>0.65263955235864402</v>
          </cell>
          <cell r="E2106">
            <v>146851</v>
          </cell>
          <cell r="F2106">
            <v>95840.770903419296</v>
          </cell>
          <cell r="G2106">
            <v>5.718134193827093E-2</v>
          </cell>
          <cell r="I2106" t="str">
            <v>GA</v>
          </cell>
          <cell r="J2106" t="str">
            <v>Med</v>
          </cell>
          <cell r="K2106">
            <v>56202.666666666664</v>
          </cell>
        </row>
        <row r="2107">
          <cell r="C2107">
            <v>1805502.7649034699</v>
          </cell>
          <cell r="D2107">
            <v>0.69868938665223501</v>
          </cell>
          <cell r="E2107">
            <v>155859</v>
          </cell>
          <cell r="F2107">
            <v>108897.029114231</v>
          </cell>
          <cell r="G2107">
            <v>6.0313964193820062E-2</v>
          </cell>
          <cell r="I2107" t="str">
            <v>GA</v>
          </cell>
          <cell r="J2107" t="str">
            <v>Med</v>
          </cell>
          <cell r="K2107">
            <v>66036.333333333328</v>
          </cell>
        </row>
        <row r="2108">
          <cell r="C2108">
            <v>2258599.7706159502</v>
          </cell>
          <cell r="D2108">
            <v>0.69251092317335305</v>
          </cell>
          <cell r="E2108">
            <v>166102</v>
          </cell>
          <cell r="F2108">
            <v>115027.44936093999</v>
          </cell>
          <cell r="G2108">
            <v>5.0928655380838225E-2</v>
          </cell>
          <cell r="I2108" t="str">
            <v>GA</v>
          </cell>
          <cell r="J2108" t="str">
            <v>Med</v>
          </cell>
          <cell r="K2108">
            <v>82180.666666666672</v>
          </cell>
        </row>
        <row r="2109">
          <cell r="C2109">
            <v>2636052.4870878402</v>
          </cell>
          <cell r="D2109">
            <v>0.67017223902960399</v>
          </cell>
          <cell r="E2109">
            <v>162344</v>
          </cell>
          <cell r="F2109">
            <v>108798.441973022</v>
          </cell>
          <cell r="G2109">
            <v>4.1273245698235803E-2</v>
          </cell>
          <cell r="I2109" t="str">
            <v>GA</v>
          </cell>
          <cell r="J2109" t="str">
            <v>High</v>
          </cell>
          <cell r="K2109">
            <v>108174.33333333333</v>
          </cell>
        </row>
        <row r="2110">
          <cell r="C2110">
            <v>1920286.9066438901</v>
          </cell>
          <cell r="D2110">
            <v>0.63438621730979206</v>
          </cell>
          <cell r="E2110">
            <v>192123</v>
          </cell>
          <cell r="F2110">
            <v>121880.183228209</v>
          </cell>
          <cell r="G2110">
            <v>6.3469777774624606E-2</v>
          </cell>
          <cell r="I2110" t="str">
            <v>GA</v>
          </cell>
          <cell r="J2110" t="str">
            <v>Med</v>
          </cell>
          <cell r="K2110">
            <v>58271.666666666664</v>
          </cell>
        </row>
        <row r="2111">
          <cell r="C2111">
            <v>1601958.9687783399</v>
          </cell>
          <cell r="D2111">
            <v>0.65943348432547899</v>
          </cell>
          <cell r="E2111">
            <v>192566</v>
          </cell>
          <cell r="F2111">
            <v>126984.46834262001</v>
          </cell>
          <cell r="G2111">
            <v>7.9268240209334984E-2</v>
          </cell>
          <cell r="I2111" t="str">
            <v>GA</v>
          </cell>
          <cell r="J2111" t="str">
            <v>Low</v>
          </cell>
          <cell r="K2111">
            <v>37901</v>
          </cell>
        </row>
        <row r="2112">
          <cell r="C2112">
            <v>1970984.9138207301</v>
          </cell>
          <cell r="D2112">
            <v>0.69448247932655804</v>
          </cell>
          <cell r="E2112">
            <v>178617</v>
          </cell>
          <cell r="F2112">
            <v>124046.377009872</v>
          </cell>
          <cell r="G2112">
            <v>6.2936238699772495E-2</v>
          </cell>
          <cell r="I2112" t="str">
            <v>GA</v>
          </cell>
          <cell r="J2112" t="str">
            <v>Med</v>
          </cell>
          <cell r="K2112">
            <v>59536.333333333336</v>
          </cell>
        </row>
        <row r="2113">
          <cell r="C2113">
            <v>2155870.3293355401</v>
          </cell>
          <cell r="D2113">
            <v>0.70054756497056503</v>
          </cell>
          <cell r="E2113">
            <v>157467</v>
          </cell>
          <cell r="F2113">
            <v>110313.12341322</v>
          </cell>
          <cell r="G2113">
            <v>5.1168719153539988E-2</v>
          </cell>
          <cell r="I2113" t="str">
            <v>GA</v>
          </cell>
          <cell r="J2113" t="str">
            <v>No Data</v>
          </cell>
          <cell r="K2113">
            <v>0</v>
          </cell>
        </row>
        <row r="2114">
          <cell r="C2114">
            <v>2608941.8408754999</v>
          </cell>
          <cell r="D2114">
            <v>0.67670533010676304</v>
          </cell>
          <cell r="E2114">
            <v>154997</v>
          </cell>
          <cell r="F2114">
            <v>104887.296050558</v>
          </cell>
          <cell r="G2114">
            <v>4.0203002768110875E-2</v>
          </cell>
          <cell r="I2114" t="str">
            <v>GA</v>
          </cell>
          <cell r="J2114" t="str">
            <v>High</v>
          </cell>
          <cell r="K2114">
            <v>100405.66666666667</v>
          </cell>
        </row>
        <row r="2115">
          <cell r="C2115">
            <v>3132215.1385266799</v>
          </cell>
          <cell r="D2115">
            <v>0.69673100566260904</v>
          </cell>
          <cell r="E2115">
            <v>151859</v>
          </cell>
          <cell r="F2115">
            <v>105804.873788918</v>
          </cell>
          <cell r="G2115">
            <v>3.3779567848805599E-2</v>
          </cell>
          <cell r="I2115" t="str">
            <v>GA</v>
          </cell>
          <cell r="J2115" t="str">
            <v>High</v>
          </cell>
          <cell r="K2115">
            <v>130423.66666666667</v>
          </cell>
        </row>
        <row r="2116">
          <cell r="C2116">
            <v>1880312.98870707</v>
          </cell>
          <cell r="D2116">
            <v>0.66215617746025801</v>
          </cell>
          <cell r="E2116">
            <v>191896</v>
          </cell>
          <cell r="F2116">
            <v>127065.121829914</v>
          </cell>
          <cell r="G2116">
            <v>6.7576580384782536E-2</v>
          </cell>
          <cell r="I2116" t="str">
            <v>GA</v>
          </cell>
          <cell r="J2116" t="str">
            <v>Med</v>
          </cell>
          <cell r="K2116">
            <v>48417.666666666664</v>
          </cell>
        </row>
        <row r="2117">
          <cell r="C2117">
            <v>1906642.33929438</v>
          </cell>
          <cell r="D2117">
            <v>0.70298794682864396</v>
          </cell>
          <cell r="E2117">
            <v>171037</v>
          </cell>
          <cell r="F2117">
            <v>120236.949461731</v>
          </cell>
          <cell r="G2117">
            <v>6.3062141747166331E-2</v>
          </cell>
          <cell r="I2117" t="str">
            <v>GA</v>
          </cell>
          <cell r="J2117" t="str">
            <v>Med</v>
          </cell>
          <cell r="K2117">
            <v>58178.333333333336</v>
          </cell>
        </row>
        <row r="2118">
          <cell r="C2118">
            <v>2029985.75032888</v>
          </cell>
          <cell r="D2118">
            <v>0.68387550048839496</v>
          </cell>
          <cell r="E2118">
            <v>179434</v>
          </cell>
          <cell r="F2118">
            <v>122710.516554635</v>
          </cell>
          <cell r="G2118">
            <v>6.0448954646481902E-2</v>
          </cell>
          <cell r="I2118" t="str">
            <v>GA</v>
          </cell>
          <cell r="J2118" t="str">
            <v>Low</v>
          </cell>
          <cell r="K2118">
            <v>38900</v>
          </cell>
        </row>
        <row r="2119">
          <cell r="C2119">
            <v>2187815.42143154</v>
          </cell>
          <cell r="D2119">
            <v>0.656255490745697</v>
          </cell>
          <cell r="E2119">
            <v>172625</v>
          </cell>
          <cell r="F2119">
            <v>113286.104089976</v>
          </cell>
          <cell r="G2119">
            <v>5.1780466935300321E-2</v>
          </cell>
          <cell r="I2119" t="str">
            <v>GA</v>
          </cell>
          <cell r="J2119" t="str">
            <v>Med</v>
          </cell>
          <cell r="K2119">
            <v>76305.666666666672</v>
          </cell>
        </row>
        <row r="2120">
          <cell r="C2120">
            <v>1902456.81714645</v>
          </cell>
          <cell r="D2120">
            <v>0.66101068217841796</v>
          </cell>
          <cell r="E2120">
            <v>189229</v>
          </cell>
          <cell r="F2120">
            <v>125082.39037794</v>
          </cell>
          <cell r="G2120">
            <v>6.5747821054648006E-2</v>
          </cell>
          <cell r="I2120" t="str">
            <v>GA</v>
          </cell>
          <cell r="J2120" t="str">
            <v>Med</v>
          </cell>
          <cell r="K2120">
            <v>52832</v>
          </cell>
        </row>
        <row r="2121">
          <cell r="C2121">
            <v>2156317.5925292801</v>
          </cell>
          <cell r="D2121">
            <v>0.65354618883804305</v>
          </cell>
          <cell r="E2121">
            <v>172729</v>
          </cell>
          <cell r="F2121">
            <v>112886.379651806</v>
          </cell>
          <cell r="G2121">
            <v>5.2351462531729606E-2</v>
          </cell>
          <cell r="I2121" t="str">
            <v>GA</v>
          </cell>
          <cell r="J2121" t="str">
            <v>No Data</v>
          </cell>
          <cell r="K2121">
            <v>0</v>
          </cell>
        </row>
        <row r="2122">
          <cell r="C2122">
            <v>1974378.05493884</v>
          </cell>
          <cell r="D2122">
            <v>0.68786963568411696</v>
          </cell>
          <cell r="E2122">
            <v>180006</v>
          </cell>
          <cell r="F2122">
            <v>123820.661640955</v>
          </cell>
          <cell r="G2122">
            <v>6.2713755013241668E-2</v>
          </cell>
          <cell r="I2122" t="str">
            <v>GA</v>
          </cell>
          <cell r="J2122" t="str">
            <v>Med</v>
          </cell>
          <cell r="K2122">
            <v>59176</v>
          </cell>
        </row>
        <row r="2123">
          <cell r="C2123">
            <v>1860871.82572989</v>
          </cell>
          <cell r="D2123">
            <v>0.68879534407934995</v>
          </cell>
          <cell r="E2123">
            <v>166816</v>
          </cell>
          <cell r="F2123">
            <v>114902.08411794101</v>
          </cell>
          <cell r="G2123">
            <v>6.1746372065616582E-2</v>
          </cell>
          <cell r="I2123" t="str">
            <v>GA</v>
          </cell>
          <cell r="J2123" t="str">
            <v>Med</v>
          </cell>
          <cell r="K2123">
            <v>58181.333333333336</v>
          </cell>
        </row>
        <row r="2124">
          <cell r="C2124">
            <v>1886754.92342808</v>
          </cell>
          <cell r="D2124">
            <v>0.67456220307025705</v>
          </cell>
          <cell r="E2124">
            <v>160324</v>
          </cell>
          <cell r="F2124">
            <v>108148.510645036</v>
          </cell>
          <cell r="G2124">
            <v>5.731985076712505E-2</v>
          </cell>
          <cell r="I2124" t="str">
            <v>GA</v>
          </cell>
          <cell r="J2124" t="str">
            <v>Med</v>
          </cell>
          <cell r="K2124">
            <v>56202.666666666664</v>
          </cell>
        </row>
        <row r="2125">
          <cell r="C2125">
            <v>2060479.8489429001</v>
          </cell>
          <cell r="D2125">
            <v>0.708832008977622</v>
          </cell>
          <cell r="E2125">
            <v>171896</v>
          </cell>
          <cell r="F2125">
            <v>121845.387015217</v>
          </cell>
          <cell r="G2125">
            <v>5.9134471554151836E-2</v>
          </cell>
          <cell r="I2125" t="str">
            <v>GA</v>
          </cell>
          <cell r="J2125" t="str">
            <v>Med</v>
          </cell>
          <cell r="K2125">
            <v>66036.333333333328</v>
          </cell>
        </row>
        <row r="2126">
          <cell r="C2126">
            <v>2510321.3316637999</v>
          </cell>
          <cell r="D2126">
            <v>0.69451536369520495</v>
          </cell>
          <cell r="E2126">
            <v>191149</v>
          </cell>
          <cell r="F2126">
            <v>132755.91725497501</v>
          </cell>
          <cell r="G2126">
            <v>5.2884033442438444E-2</v>
          </cell>
          <cell r="I2126" t="str">
            <v>GA</v>
          </cell>
          <cell r="J2126" t="str">
            <v>Med</v>
          </cell>
          <cell r="K2126">
            <v>82180.666666666672</v>
          </cell>
        </row>
        <row r="2127">
          <cell r="C2127">
            <v>2985597.8842711998</v>
          </cell>
          <cell r="D2127">
            <v>0.63829923149652201</v>
          </cell>
          <cell r="E2127">
            <v>194849</v>
          </cell>
          <cell r="F2127">
            <v>124371.966957866</v>
          </cell>
          <cell r="G2127">
            <v>4.1657306770307365E-2</v>
          </cell>
          <cell r="I2127" t="str">
            <v>GA</v>
          </cell>
          <cell r="J2127" t="str">
            <v>High</v>
          </cell>
          <cell r="K2127">
            <v>108174.33333333333</v>
          </cell>
        </row>
        <row r="2128">
          <cell r="C2128">
            <v>2124549.5293259299</v>
          </cell>
          <cell r="D2128">
            <v>0.63238187890880304</v>
          </cell>
          <cell r="E2128">
            <v>220985</v>
          </cell>
          <cell r="F2128">
            <v>139746.90951066199</v>
          </cell>
          <cell r="G2128">
            <v>6.5777195392098212E-2</v>
          </cell>
          <cell r="I2128" t="str">
            <v>GA</v>
          </cell>
          <cell r="J2128" t="str">
            <v>Med</v>
          </cell>
          <cell r="K2128">
            <v>58271.666666666664</v>
          </cell>
        </row>
        <row r="2129">
          <cell r="C2129">
            <v>1831628.9531268701</v>
          </cell>
          <cell r="D2129">
            <v>0.70391957711469699</v>
          </cell>
          <cell r="E2129">
            <v>205123</v>
          </cell>
          <cell r="F2129">
            <v>144390.09541649799</v>
          </cell>
          <cell r="G2129">
            <v>7.8831520527125359E-2</v>
          </cell>
          <cell r="I2129" t="str">
            <v>GA</v>
          </cell>
          <cell r="J2129" t="str">
            <v>Low</v>
          </cell>
          <cell r="K2129">
            <v>37901</v>
          </cell>
        </row>
        <row r="2130">
          <cell r="C2130">
            <v>2227448.8786458401</v>
          </cell>
          <cell r="D2130">
            <v>0.66205411301674</v>
          </cell>
          <cell r="E2130">
            <v>228620</v>
          </cell>
          <cell r="F2130">
            <v>151358.81131788701</v>
          </cell>
          <cell r="G2130">
            <v>6.795164314159452E-2</v>
          </cell>
          <cell r="I2130" t="str">
            <v>GA</v>
          </cell>
          <cell r="J2130" t="str">
            <v>Med</v>
          </cell>
          <cell r="K2130">
            <v>59536.333333333336</v>
          </cell>
        </row>
        <row r="2131">
          <cell r="C2131">
            <v>2433737.9768109801</v>
          </cell>
          <cell r="D2131">
            <v>0.72418606811853703</v>
          </cell>
          <cell r="E2131">
            <v>175120</v>
          </cell>
          <cell r="F2131">
            <v>126819.464248918</v>
          </cell>
          <cell r="G2131">
            <v>5.2108922758847848E-2</v>
          </cell>
          <cell r="I2131" t="str">
            <v>GA</v>
          </cell>
          <cell r="J2131" t="str">
            <v>No Data</v>
          </cell>
          <cell r="K2131">
            <v>0</v>
          </cell>
        </row>
        <row r="2132">
          <cell r="C2132">
            <v>2932356.4933668198</v>
          </cell>
          <cell r="D2132">
            <v>0.70720272938784801</v>
          </cell>
          <cell r="E2132">
            <v>178784</v>
          </cell>
          <cell r="F2132">
            <v>126436.53277087701</v>
          </cell>
          <cell r="G2132">
            <v>4.3117722233597666E-2</v>
          </cell>
          <cell r="I2132" t="str">
            <v>GA</v>
          </cell>
          <cell r="J2132" t="str">
            <v>High</v>
          </cell>
          <cell r="K2132">
            <v>100405.66666666667</v>
          </cell>
        </row>
        <row r="2133">
          <cell r="C2133">
            <v>3447099.6352942698</v>
          </cell>
          <cell r="D2133">
            <v>0.68226028057427102</v>
          </cell>
          <cell r="E2133">
            <v>173718</v>
          </cell>
          <cell r="F2133">
            <v>118520.891420801</v>
          </cell>
          <cell r="G2133">
            <v>3.4382786678773557E-2</v>
          </cell>
          <cell r="I2133" t="str">
            <v>GA</v>
          </cell>
          <cell r="J2133" t="str">
            <v>High</v>
          </cell>
          <cell r="K2133">
            <v>130423.66666666667</v>
          </cell>
        </row>
        <row r="2134">
          <cell r="C2134">
            <v>2002899.7161022699</v>
          </cell>
          <cell r="D2134">
            <v>0.69718447512973902</v>
          </cell>
          <cell r="E2134">
            <v>204405</v>
          </cell>
          <cell r="F2134">
            <v>142507.99263889401</v>
          </cell>
          <cell r="G2134">
            <v>7.1150837704556061E-2</v>
          </cell>
          <cell r="I2134" t="str">
            <v>GA</v>
          </cell>
          <cell r="J2134" t="str">
            <v>Med</v>
          </cell>
          <cell r="K2134">
            <v>48417.666666666664</v>
          </cell>
        </row>
        <row r="2135">
          <cell r="C2135">
            <v>2139450.49644008</v>
          </cell>
          <cell r="D2135">
            <v>0.708732492357939</v>
          </cell>
          <cell r="E2135">
            <v>198164</v>
          </cell>
          <cell r="F2135">
            <v>140445.26561561899</v>
          </cell>
          <cell r="G2135">
            <v>6.5645485066988779E-2</v>
          </cell>
          <cell r="I2135" t="str">
            <v>GA</v>
          </cell>
          <cell r="J2135" t="str">
            <v>Med</v>
          </cell>
          <cell r="K2135">
            <v>58178.333333333336</v>
          </cell>
        </row>
        <row r="2136">
          <cell r="C2136">
            <v>2259137.8603069498</v>
          </cell>
          <cell r="D2136">
            <v>0.71220437031236405</v>
          </cell>
          <cell r="E2136">
            <v>200781</v>
          </cell>
          <cell r="F2136">
            <v>142997.10567568699</v>
          </cell>
          <cell r="G2136">
            <v>6.3297202082327961E-2</v>
          </cell>
          <cell r="I2136" t="str">
            <v>GA</v>
          </cell>
          <cell r="J2136" t="str">
            <v>Low</v>
          </cell>
          <cell r="K2136">
            <v>38900</v>
          </cell>
        </row>
        <row r="2137">
          <cell r="C2137">
            <v>2471204.6613157801</v>
          </cell>
          <cell r="D2137">
            <v>0.65174002856743496</v>
          </cell>
          <cell r="E2137">
            <v>207019</v>
          </cell>
          <cell r="F2137">
            <v>134922.568974002</v>
          </cell>
          <cell r="G2137">
            <v>5.4597893523785752E-2</v>
          </cell>
          <cell r="I2137" t="str">
            <v>GA</v>
          </cell>
          <cell r="J2137" t="str">
            <v>Med</v>
          </cell>
          <cell r="K2137">
            <v>76305.666666666672</v>
          </cell>
        </row>
        <row r="2138">
          <cell r="C2138">
            <v>2112532.2865653499</v>
          </cell>
          <cell r="D2138">
            <v>0.674990071897556</v>
          </cell>
          <cell r="E2138">
            <v>215055</v>
          </cell>
          <cell r="F2138">
            <v>145159.98991192901</v>
          </cell>
          <cell r="G2138">
            <v>6.8713737931994714E-2</v>
          </cell>
          <cell r="I2138" t="str">
            <v>GA</v>
          </cell>
          <cell r="J2138" t="str">
            <v>Med</v>
          </cell>
          <cell r="K2138">
            <v>52832</v>
          </cell>
        </row>
        <row r="2139">
          <cell r="C2139">
            <v>2393121.0361269298</v>
          </cell>
          <cell r="D2139">
            <v>0.66691395312535295</v>
          </cell>
          <cell r="E2139">
            <v>199380</v>
          </cell>
          <cell r="F2139">
            <v>132969.30397413301</v>
          </cell>
          <cell r="G2139">
            <v>5.5563133651331288E-2</v>
          </cell>
          <cell r="I2139" t="str">
            <v>GA</v>
          </cell>
          <cell r="J2139" t="str">
            <v>No Data</v>
          </cell>
          <cell r="K2139">
            <v>0</v>
          </cell>
        </row>
        <row r="2140">
          <cell r="C2140">
            <v>2183272.6447558599</v>
          </cell>
          <cell r="D2140">
            <v>0.66716733332550304</v>
          </cell>
          <cell r="E2140">
            <v>220407</v>
          </cell>
          <cell r="F2140">
            <v>147048.35043627399</v>
          </cell>
          <cell r="G2140">
            <v>6.7352261656132908E-2</v>
          </cell>
          <cell r="I2140" t="str">
            <v>GA</v>
          </cell>
          <cell r="J2140" t="str">
            <v>Med</v>
          </cell>
          <cell r="K2140">
            <v>59176</v>
          </cell>
        </row>
        <row r="2141">
          <cell r="C2141">
            <v>2070384.9296919501</v>
          </cell>
          <cell r="D2141">
            <v>0.681929883800384</v>
          </cell>
          <cell r="E2141">
            <v>201609</v>
          </cell>
          <cell r="F2141">
            <v>137483.20194311201</v>
          </cell>
          <cell r="G2141">
            <v>6.6404657400383982E-2</v>
          </cell>
          <cell r="I2141" t="str">
            <v>GA</v>
          </cell>
          <cell r="J2141" t="str">
            <v>Med</v>
          </cell>
          <cell r="K2141">
            <v>58181.333333333336</v>
          </cell>
        </row>
        <row r="2142">
          <cell r="C2142">
            <v>2118003.66927219</v>
          </cell>
          <cell r="D2142">
            <v>0.648630129518321</v>
          </cell>
          <cell r="E2142">
            <v>199496</v>
          </cell>
          <cell r="F2142">
            <v>129399.11631838699</v>
          </cell>
          <cell r="G2142">
            <v>6.1094849926701229E-2</v>
          </cell>
          <cell r="I2142" t="str">
            <v>GA</v>
          </cell>
          <cell r="J2142" t="str">
            <v>Med</v>
          </cell>
          <cell r="K2142">
            <v>56202.666666666664</v>
          </cell>
        </row>
        <row r="2143">
          <cell r="C2143">
            <v>2311242.1699643498</v>
          </cell>
          <cell r="D2143">
            <v>0.70475721055056695</v>
          </cell>
          <cell r="E2143">
            <v>206722</v>
          </cell>
          <cell r="F2143">
            <v>145688.82007943399</v>
          </cell>
          <cell r="G2143">
            <v>6.3034857174521522E-2</v>
          </cell>
          <cell r="I2143" t="str">
            <v>GA</v>
          </cell>
          <cell r="J2143" t="str">
            <v>Med</v>
          </cell>
          <cell r="K2143">
            <v>66036.333333333328</v>
          </cell>
        </row>
        <row r="2144">
          <cell r="C2144">
            <v>2684080.4822986498</v>
          </cell>
          <cell r="D2144">
            <v>0.70980048942339402</v>
          </cell>
          <cell r="E2144">
            <v>225980</v>
          </cell>
          <cell r="F2144">
            <v>160400.71459989899</v>
          </cell>
          <cell r="G2144">
            <v>5.9760024208563078E-2</v>
          </cell>
          <cell r="I2144" t="str">
            <v>GA</v>
          </cell>
          <cell r="J2144" t="str">
            <v>Med</v>
          </cell>
          <cell r="K2144">
            <v>82180.666666666672</v>
          </cell>
        </row>
        <row r="2145">
          <cell r="C2145">
            <v>3092035.1626669499</v>
          </cell>
          <cell r="D2145">
            <v>0.655247904725071</v>
          </cell>
          <cell r="E2145">
            <v>223047</v>
          </cell>
          <cell r="F2145">
            <v>146151.07940521301</v>
          </cell>
          <cell r="G2145">
            <v>4.7266952578622817E-2</v>
          </cell>
          <cell r="I2145" t="str">
            <v>GA</v>
          </cell>
          <cell r="J2145" t="str">
            <v>High</v>
          </cell>
          <cell r="K2145">
            <v>108174.33333333333</v>
          </cell>
        </row>
        <row r="2146">
          <cell r="C2146">
            <v>2251831.0360170598</v>
          </cell>
          <cell r="D2146">
            <v>0.66596886861972304</v>
          </cell>
          <cell r="E2146">
            <v>245579</v>
          </cell>
          <cell r="F2146">
            <v>163547.968786763</v>
          </cell>
          <cell r="G2146">
            <v>7.2628881195295841E-2</v>
          </cell>
          <cell r="I2146" t="str">
            <v>GA</v>
          </cell>
          <cell r="J2146" t="str">
            <v>Med</v>
          </cell>
          <cell r="K2146">
            <v>58271.666666666664</v>
          </cell>
        </row>
        <row r="2147">
          <cell r="C2147">
            <v>1899375.37314875</v>
          </cell>
          <cell r="D2147">
            <v>0.67272055986567703</v>
          </cell>
          <cell r="E2147">
            <v>256294</v>
          </cell>
          <cell r="F2147">
            <v>172414.243170214</v>
          </cell>
          <cell r="G2147">
            <v>9.0774180610959904E-2</v>
          </cell>
          <cell r="I2147" t="str">
            <v>GA</v>
          </cell>
          <cell r="J2147" t="str">
            <v>Low</v>
          </cell>
          <cell r="K2147">
            <v>37901</v>
          </cell>
        </row>
        <row r="2148">
          <cell r="C2148">
            <v>2311880.3268760298</v>
          </cell>
          <cell r="D2148">
            <v>0.68470215999244799</v>
          </cell>
          <cell r="E2148">
            <v>248647</v>
          </cell>
          <cell r="F2148">
            <v>170249.13797564199</v>
          </cell>
          <cell r="G2148">
            <v>7.3640982189460566E-2</v>
          </cell>
          <cell r="I2148" t="str">
            <v>GA</v>
          </cell>
          <cell r="J2148" t="str">
            <v>Med</v>
          </cell>
          <cell r="K2148">
            <v>59536.333333333336</v>
          </cell>
        </row>
        <row r="2149">
          <cell r="C2149">
            <v>2542516.1868269201</v>
          </cell>
          <cell r="D2149">
            <v>0.708802243632074</v>
          </cell>
          <cell r="E2149">
            <v>213485</v>
          </cell>
          <cell r="F2149">
            <v>151318.64698179299</v>
          </cell>
          <cell r="G2149">
            <v>5.9515313123980472E-2</v>
          </cell>
          <cell r="I2149" t="str">
            <v>GA</v>
          </cell>
          <cell r="J2149" t="str">
            <v>No Data</v>
          </cell>
          <cell r="K2149">
            <v>0</v>
          </cell>
        </row>
        <row r="2150">
          <cell r="C2150">
            <v>3014582.5231088898</v>
          </cell>
          <cell r="D2150">
            <v>0.69409829423514102</v>
          </cell>
          <cell r="E2150">
            <v>204344</v>
          </cell>
          <cell r="F2150">
            <v>141834.821837186</v>
          </cell>
          <cell r="G2150">
            <v>4.7049573448370574E-2</v>
          </cell>
          <cell r="I2150" t="str">
            <v>GA</v>
          </cell>
          <cell r="J2150" t="str">
            <v>High</v>
          </cell>
          <cell r="K2150">
            <v>100405.66666666667</v>
          </cell>
        </row>
        <row r="2151">
          <cell r="C2151">
            <v>3648898.9504200201</v>
          </cell>
          <cell r="D2151">
            <v>0.66794956442335096</v>
          </cell>
          <cell r="E2151">
            <v>206271</v>
          </cell>
          <cell r="F2151">
            <v>137778.62460316901</v>
          </cell>
          <cell r="G2151">
            <v>3.7758958654448213E-2</v>
          </cell>
          <cell r="I2151" t="str">
            <v>GA</v>
          </cell>
          <cell r="J2151" t="str">
            <v>High</v>
          </cell>
          <cell r="K2151">
            <v>130423.66666666667</v>
          </cell>
        </row>
        <row r="2152">
          <cell r="C2152">
            <v>2117298.2044696799</v>
          </cell>
          <cell r="D2152">
            <v>0.68707960189274098</v>
          </cell>
          <cell r="E2152">
            <v>241469</v>
          </cell>
          <cell r="F2152">
            <v>165908.42438943801</v>
          </cell>
          <cell r="G2152">
            <v>7.8358553386197724E-2</v>
          </cell>
          <cell r="I2152" t="str">
            <v>GA</v>
          </cell>
          <cell r="J2152" t="str">
            <v>Med</v>
          </cell>
          <cell r="K2152">
            <v>48417.666666666664</v>
          </cell>
        </row>
        <row r="2153">
          <cell r="C2153">
            <v>2254391.0280317101</v>
          </cell>
          <cell r="D2153">
            <v>0.69264182007535702</v>
          </cell>
          <cell r="E2153">
            <v>236338</v>
          </cell>
          <cell r="F2153">
            <v>163697.58247297001</v>
          </cell>
          <cell r="G2153">
            <v>7.2612772335193781E-2</v>
          </cell>
          <cell r="I2153" t="str">
            <v>GA</v>
          </cell>
          <cell r="J2153" t="str">
            <v>Med</v>
          </cell>
          <cell r="K2153">
            <v>58178.333333333336</v>
          </cell>
        </row>
        <row r="2154">
          <cell r="C2154">
            <v>2429808.7969143102</v>
          </cell>
          <cell r="D2154">
            <v>0.71823683402776595</v>
          </cell>
          <cell r="E2154">
            <v>233798</v>
          </cell>
          <cell r="F2154">
            <v>167922.33532202401</v>
          </cell>
          <cell r="G2154">
            <v>6.9109279518320049E-2</v>
          </cell>
          <cell r="I2154" t="str">
            <v>GA</v>
          </cell>
          <cell r="J2154" t="str">
            <v>Low</v>
          </cell>
          <cell r="K2154">
            <v>38900</v>
          </cell>
        </row>
        <row r="2155">
          <cell r="C2155">
            <v>2610216.44511515</v>
          </cell>
          <cell r="D2155">
            <v>0.65679797195118295</v>
          </cell>
          <cell r="E2155">
            <v>242445</v>
          </cell>
          <cell r="F2155">
            <v>159237.38430970401</v>
          </cell>
          <cell r="G2155">
            <v>6.1005432943197643E-2</v>
          </cell>
          <cell r="I2155" t="str">
            <v>GA</v>
          </cell>
          <cell r="J2155" t="str">
            <v>Med</v>
          </cell>
          <cell r="K2155">
            <v>76305.666666666672</v>
          </cell>
        </row>
        <row r="2156">
          <cell r="C2156">
            <v>2297201.7920702202</v>
          </cell>
          <cell r="D2156">
            <v>0.655309523293506</v>
          </cell>
          <cell r="E2156">
            <v>270591</v>
          </cell>
          <cell r="F2156">
            <v>177320.859217513</v>
          </cell>
          <cell r="G2156">
            <v>7.7189935960180853E-2</v>
          </cell>
          <cell r="I2156" t="str">
            <v>GA</v>
          </cell>
          <cell r="J2156" t="str">
            <v>Med</v>
          </cell>
          <cell r="K2156">
            <v>52832</v>
          </cell>
        </row>
        <row r="2157">
          <cell r="C2157">
            <v>2531669.32076093</v>
          </cell>
          <cell r="D2157">
            <v>0.65827980497716598</v>
          </cell>
          <cell r="E2157">
            <v>234011</v>
          </cell>
          <cell r="F2157">
            <v>154044.71544251201</v>
          </cell>
          <cell r="G2157">
            <v>6.0847091750597049E-2</v>
          </cell>
          <cell r="I2157" t="str">
            <v>GA</v>
          </cell>
          <cell r="J2157" t="str">
            <v>No Data</v>
          </cell>
          <cell r="K2157">
            <v>0</v>
          </cell>
        </row>
        <row r="2158">
          <cell r="C2158">
            <v>2290333.7210323</v>
          </cell>
          <cell r="D2158">
            <v>0.68135677191417399</v>
          </cell>
          <cell r="E2158">
            <v>246619</v>
          </cell>
          <cell r="F2158">
            <v>168035.52573270199</v>
          </cell>
          <cell r="G2158">
            <v>7.336726704480645E-2</v>
          </cell>
          <cell r="I2158" t="str">
            <v>GA</v>
          </cell>
          <cell r="J2158" t="str">
            <v>Med</v>
          </cell>
          <cell r="K2158">
            <v>59176</v>
          </cell>
        </row>
        <row r="2159">
          <cell r="C2159">
            <v>2177533.5627609398</v>
          </cell>
          <cell r="D2159">
            <v>0.68305253248101605</v>
          </cell>
          <cell r="E2159">
            <v>230740</v>
          </cell>
          <cell r="F2159">
            <v>157607.54134467</v>
          </cell>
          <cell r="G2159">
            <v>7.2378926341248276E-2</v>
          </cell>
          <cell r="I2159" t="str">
            <v>GA</v>
          </cell>
          <cell r="J2159" t="str">
            <v>Med</v>
          </cell>
          <cell r="K2159">
            <v>58181.333333333336</v>
          </cell>
        </row>
        <row r="2160">
          <cell r="C2160">
            <v>2231303.9652834502</v>
          </cell>
          <cell r="D2160">
            <v>0.61649302399652695</v>
          </cell>
          <cell r="E2160">
            <v>239355</v>
          </cell>
          <cell r="F2160">
            <v>147560.68775868899</v>
          </cell>
          <cell r="G2160">
            <v>6.6132042094920879E-2</v>
          </cell>
          <cell r="I2160" t="str">
            <v>GA</v>
          </cell>
          <cell r="J2160" t="str">
            <v>Med</v>
          </cell>
          <cell r="K2160">
            <v>56202.666666666664</v>
          </cell>
        </row>
        <row r="2161">
          <cell r="C2161">
            <v>2423855.2724672798</v>
          </cell>
          <cell r="D2161">
            <v>0.696935416979239</v>
          </cell>
          <cell r="E2161">
            <v>245302</v>
          </cell>
          <cell r="F2161">
            <v>170959.65165584101</v>
          </cell>
          <cell r="G2161">
            <v>7.053212029520993E-2</v>
          </cell>
          <cell r="I2161" t="str">
            <v>GA</v>
          </cell>
          <cell r="J2161" t="str">
            <v>Med</v>
          </cell>
          <cell r="K2161">
            <v>66036.333333333328</v>
          </cell>
        </row>
        <row r="2162">
          <cell r="C2162">
            <v>2756659.60864275</v>
          </cell>
          <cell r="D2162">
            <v>0.69979521296401304</v>
          </cell>
          <cell r="E2162">
            <v>249831</v>
          </cell>
          <cell r="F2162">
            <v>174830.53785001201</v>
          </cell>
          <cell r="G2162">
            <v>6.3421155554308856E-2</v>
          </cell>
          <cell r="I2162" t="str">
            <v>GA</v>
          </cell>
          <cell r="J2162" t="str">
            <v>Med</v>
          </cell>
          <cell r="K2162">
            <v>82180.666666666672</v>
          </cell>
        </row>
        <row r="2163">
          <cell r="C2163">
            <v>3308707.2636837899</v>
          </cell>
          <cell r="D2163">
            <v>0.65051051027647799</v>
          </cell>
          <cell r="E2163">
            <v>251348</v>
          </cell>
          <cell r="F2163">
            <v>163504.51573697201</v>
          </cell>
          <cell r="G2163">
            <v>4.9416434488354297E-2</v>
          </cell>
          <cell r="I2163" t="str">
            <v>GA</v>
          </cell>
          <cell r="J2163" t="str">
            <v>High</v>
          </cell>
          <cell r="K2163">
            <v>108174.33333333333</v>
          </cell>
        </row>
        <row r="2164">
          <cell r="C2164">
            <v>2376484.5193880699</v>
          </cell>
          <cell r="D2164">
            <v>0.65143163397631898</v>
          </cell>
          <cell r="E2164">
            <v>285017</v>
          </cell>
          <cell r="F2164">
            <v>185669.09002102801</v>
          </cell>
          <cell r="G2164">
            <v>7.8127624441179475E-2</v>
          </cell>
          <cell r="I2164" t="str">
            <v>GA</v>
          </cell>
          <cell r="J2164" t="str">
            <v>Med</v>
          </cell>
          <cell r="K2164">
            <v>58271.666666666664</v>
          </cell>
        </row>
        <row r="2165">
          <cell r="C2165">
            <v>2027336.49807358</v>
          </cell>
          <cell r="D2165">
            <v>0.69765396378542599</v>
          </cell>
          <cell r="E2165">
            <v>267083</v>
          </cell>
          <cell r="F2165">
            <v>186331.51360970299</v>
          </cell>
          <cell r="G2165">
            <v>9.1909514669498288E-2</v>
          </cell>
          <cell r="I2165" t="str">
            <v>GA</v>
          </cell>
          <cell r="J2165" t="str">
            <v>Low</v>
          </cell>
          <cell r="K2165">
            <v>37901</v>
          </cell>
        </row>
        <row r="2166">
          <cell r="C2166">
            <v>2483150.8728086599</v>
          </cell>
          <cell r="D2166">
            <v>0.67522222648197205</v>
          </cell>
          <cell r="E2166">
            <v>286794</v>
          </cell>
          <cell r="F2166">
            <v>193649.683221671</v>
          </cell>
          <cell r="G2166">
            <v>7.7985468117221707E-2</v>
          </cell>
          <cell r="I2166" t="str">
            <v>GA</v>
          </cell>
          <cell r="J2166" t="str">
            <v>Med</v>
          </cell>
          <cell r="K2166">
            <v>59536.333333333336</v>
          </cell>
        </row>
        <row r="2167">
          <cell r="C2167">
            <v>2661865.6404706598</v>
          </cell>
          <cell r="D2167">
            <v>0.68431484372748097</v>
          </cell>
          <cell r="E2167">
            <v>237743</v>
          </cell>
          <cell r="F2167">
            <v>162691.06389230301</v>
          </cell>
          <cell r="G2167">
            <v>6.1119187016342669E-2</v>
          </cell>
          <cell r="I2167" t="str">
            <v>GA</v>
          </cell>
          <cell r="J2167" t="str">
            <v>No Data</v>
          </cell>
          <cell r="K2167">
            <v>0</v>
          </cell>
        </row>
        <row r="2168">
          <cell r="C2168">
            <v>3152621.23340216</v>
          </cell>
          <cell r="D2168">
            <v>0.65623340387068996</v>
          </cell>
          <cell r="E2168">
            <v>235521</v>
          </cell>
          <cell r="F2168">
            <v>154556.747513029</v>
          </cell>
          <cell r="G2168">
            <v>4.9024838720076326E-2</v>
          </cell>
          <cell r="I2168" t="str">
            <v>GA</v>
          </cell>
          <cell r="J2168" t="str">
            <v>High</v>
          </cell>
          <cell r="K2168">
            <v>100405.66666666667</v>
          </cell>
        </row>
        <row r="2169">
          <cell r="C2169">
            <v>3867720.68148831</v>
          </cell>
          <cell r="D2169">
            <v>0.674631970318601</v>
          </cell>
          <cell r="E2169">
            <v>234109</v>
          </cell>
          <cell r="F2169">
            <v>157937.415939317</v>
          </cell>
          <cell r="G2169">
            <v>4.0834752285819724E-2</v>
          </cell>
          <cell r="I2169" t="str">
            <v>GA</v>
          </cell>
          <cell r="J2169" t="str">
            <v>High</v>
          </cell>
          <cell r="K2169">
            <v>130423.66666666667</v>
          </cell>
        </row>
        <row r="2170">
          <cell r="C2170">
            <v>2252212.9969675802</v>
          </cell>
          <cell r="D2170">
            <v>0.67239442985528697</v>
          </cell>
          <cell r="E2170">
            <v>278239</v>
          </cell>
          <cell r="F2170">
            <v>187086.35376850501</v>
          </cell>
          <cell r="G2170">
            <v>8.306778889048301E-2</v>
          </cell>
          <cell r="I2170" t="str">
            <v>GA</v>
          </cell>
          <cell r="J2170" t="str">
            <v>Med</v>
          </cell>
          <cell r="K2170">
            <v>48417.666666666664</v>
          </cell>
        </row>
        <row r="2171">
          <cell r="C2171">
            <v>2370685.7105419398</v>
          </cell>
          <cell r="D2171">
            <v>0.72333016301014397</v>
          </cell>
          <cell r="E2171">
            <v>252151</v>
          </cell>
          <cell r="F2171">
            <v>182388.423933171</v>
          </cell>
          <cell r="G2171">
            <v>7.6934881381419781E-2</v>
          </cell>
          <cell r="I2171" t="str">
            <v>GA</v>
          </cell>
          <cell r="J2171" t="str">
            <v>Med</v>
          </cell>
          <cell r="K2171">
            <v>58178.333333333336</v>
          </cell>
        </row>
        <row r="2172">
          <cell r="C2172">
            <v>2470519.05681438</v>
          </cell>
          <cell r="D2172">
            <v>0.68532462695116603</v>
          </cell>
          <cell r="E2172">
            <v>271699</v>
          </cell>
          <cell r="F2172">
            <v>186202.01581800499</v>
          </cell>
          <cell r="G2172">
            <v>7.5369593002898694E-2</v>
          </cell>
          <cell r="I2172" t="str">
            <v>GA</v>
          </cell>
          <cell r="J2172" t="str">
            <v>Low</v>
          </cell>
          <cell r="K2172">
            <v>38900</v>
          </cell>
        </row>
        <row r="2173">
          <cell r="C2173">
            <v>2759232.13460259</v>
          </cell>
          <cell r="D2173">
            <v>0.643528127180795</v>
          </cell>
          <cell r="E2173">
            <v>275926</v>
          </cell>
          <cell r="F2173">
            <v>177566.14202048801</v>
          </cell>
          <cell r="G2173">
            <v>6.4353462615084664E-2</v>
          </cell>
          <cell r="I2173" t="str">
            <v>GA</v>
          </cell>
          <cell r="J2173" t="str">
            <v>Med</v>
          </cell>
          <cell r="K2173">
            <v>76305.666666666672</v>
          </cell>
        </row>
        <row r="2174">
          <cell r="C2174">
            <v>2365839.7286288799</v>
          </cell>
          <cell r="D2174">
            <v>0.66292957379693596</v>
          </cell>
          <cell r="E2174">
            <v>284512</v>
          </cell>
          <cell r="F2174">
            <v>188611.41890011399</v>
          </cell>
          <cell r="G2174">
            <v>7.9722821718537784E-2</v>
          </cell>
          <cell r="I2174" t="str">
            <v>GA</v>
          </cell>
          <cell r="J2174" t="str">
            <v>Med</v>
          </cell>
          <cell r="K2174">
            <v>52832</v>
          </cell>
        </row>
        <row r="2175">
          <cell r="C2175">
            <v>2656060.1318466198</v>
          </cell>
          <cell r="D2175">
            <v>0.65420808685403398</v>
          </cell>
          <cell r="E2175">
            <v>261913</v>
          </cell>
          <cell r="F2175">
            <v>171345.60265220099</v>
          </cell>
          <cell r="G2175">
            <v>6.4511191067452733E-2</v>
          </cell>
          <cell r="I2175" t="str">
            <v>GA</v>
          </cell>
          <cell r="J2175" t="str">
            <v>No Data</v>
          </cell>
          <cell r="K2175">
            <v>0</v>
          </cell>
        </row>
        <row r="2176">
          <cell r="C2176">
            <v>2432380.1806434202</v>
          </cell>
          <cell r="D2176">
            <v>0.64718892177638698</v>
          </cell>
          <cell r="E2176">
            <v>293898</v>
          </cell>
          <cell r="F2176">
            <v>190207.52973223699</v>
          </cell>
          <cell r="G2176">
            <v>7.8198108686250989E-2</v>
          </cell>
          <cell r="I2176" t="str">
            <v>GA</v>
          </cell>
          <cell r="J2176" t="str">
            <v>Med</v>
          </cell>
          <cell r="K2176">
            <v>59176</v>
          </cell>
        </row>
        <row r="2177">
          <cell r="C2177">
            <v>2344096.99254876</v>
          </cell>
          <cell r="D2177">
            <v>0.66470452064716901</v>
          </cell>
          <cell r="E2177">
            <v>275850</v>
          </cell>
          <cell r="F2177">
            <v>183358.74202052099</v>
          </cell>
          <cell r="G2177">
            <v>7.8221482559539146E-2</v>
          </cell>
          <cell r="I2177" t="str">
            <v>GA</v>
          </cell>
          <cell r="J2177" t="str">
            <v>Med</v>
          </cell>
          <cell r="K2177">
            <v>58181.333333333336</v>
          </cell>
        </row>
        <row r="2178">
          <cell r="C2178">
            <v>2386373.4235104001</v>
          </cell>
          <cell r="D2178">
            <v>0.65678234355712295</v>
          </cell>
          <cell r="E2178">
            <v>255735</v>
          </cell>
          <cell r="F2178">
            <v>167962.23262958101</v>
          </cell>
          <cell r="G2178">
            <v>7.0383885009289701E-2</v>
          </cell>
          <cell r="I2178" t="str">
            <v>GA</v>
          </cell>
          <cell r="J2178" t="str">
            <v>Med</v>
          </cell>
          <cell r="K2178">
            <v>56202.666666666664</v>
          </cell>
        </row>
        <row r="2179">
          <cell r="C2179">
            <v>2597973.3144514798</v>
          </cell>
          <cell r="D2179">
            <v>0.68044744040384797</v>
          </cell>
          <cell r="E2179">
            <v>274555</v>
          </cell>
          <cell r="F2179">
            <v>186820.247000078</v>
          </cell>
          <cell r="G2179">
            <v>7.1909994594968385E-2</v>
          </cell>
          <cell r="I2179" t="str">
            <v>GA</v>
          </cell>
          <cell r="J2179" t="str">
            <v>Med</v>
          </cell>
          <cell r="K2179">
            <v>66036.333333333328</v>
          </cell>
        </row>
        <row r="2180">
          <cell r="C2180">
            <v>2625090.7288121199</v>
          </cell>
          <cell r="D2180">
            <v>0.70073126263764896</v>
          </cell>
          <cell r="E2180">
            <v>254827</v>
          </cell>
          <cell r="F2180">
            <v>178565.24546416401</v>
          </cell>
          <cell r="G2180">
            <v>6.8022504328818609E-2</v>
          </cell>
          <cell r="I2180" t="str">
            <v>GA</v>
          </cell>
          <cell r="J2180" t="str">
            <v>Med</v>
          </cell>
          <cell r="K2180">
            <v>82180.666666666672</v>
          </cell>
        </row>
        <row r="2181">
          <cell r="C2181">
            <v>3102060.3142590602</v>
          </cell>
          <cell r="D2181">
            <v>0.65353171219355</v>
          </cell>
          <cell r="E2181">
            <v>255604</v>
          </cell>
          <cell r="F2181">
            <v>167045.31976352</v>
          </cell>
          <cell r="G2181">
            <v>5.3849797502541298E-2</v>
          </cell>
          <cell r="I2181" t="str">
            <v>GA</v>
          </cell>
          <cell r="J2181" t="str">
            <v>High</v>
          </cell>
          <cell r="K2181">
            <v>108174.33333333333</v>
          </cell>
        </row>
        <row r="2182">
          <cell r="C2182">
            <v>2248309.55289499</v>
          </cell>
          <cell r="D2182">
            <v>0.63458274537803006</v>
          </cell>
          <cell r="E2182">
            <v>296976</v>
          </cell>
          <cell r="F2182">
            <v>188455.84539138601</v>
          </cell>
          <cell r="G2182">
            <v>8.3821129145105797E-2</v>
          </cell>
          <cell r="I2182" t="str">
            <v>GA</v>
          </cell>
          <cell r="J2182" t="str">
            <v>Med</v>
          </cell>
          <cell r="K2182">
            <v>58271.666666666664</v>
          </cell>
        </row>
        <row r="2183">
          <cell r="C2183">
            <v>1904258.5133168299</v>
          </cell>
          <cell r="D2183">
            <v>0.68751057584283304</v>
          </cell>
          <cell r="E2183">
            <v>284428</v>
          </cell>
          <cell r="F2183">
            <v>195547.25806582501</v>
          </cell>
          <cell r="G2183">
            <v>0.10268944930445477</v>
          </cell>
          <cell r="I2183" t="str">
            <v>GA</v>
          </cell>
          <cell r="J2183" t="str">
            <v>Low</v>
          </cell>
          <cell r="K2183">
            <v>37901</v>
          </cell>
        </row>
        <row r="2184">
          <cell r="C2184">
            <v>2337079.0899382699</v>
          </cell>
          <cell r="D2184">
            <v>0.67341120950618605</v>
          </cell>
          <cell r="E2184">
            <v>289550</v>
          </cell>
          <cell r="F2184">
            <v>194986.21571251599</v>
          </cell>
          <cell r="G2184">
            <v>8.3431586270221694E-2</v>
          </cell>
          <cell r="I2184" t="str">
            <v>GA</v>
          </cell>
          <cell r="J2184" t="str">
            <v>Med</v>
          </cell>
          <cell r="K2184">
            <v>59536.333333333336</v>
          </cell>
        </row>
        <row r="2185">
          <cell r="C2185">
            <v>2591302.9366864101</v>
          </cell>
          <cell r="D2185">
            <v>0.70016969319389399</v>
          </cell>
          <cell r="E2185">
            <v>246491</v>
          </cell>
          <cell r="F2185">
            <v>172585.527845056</v>
          </cell>
          <cell r="G2185">
            <v>6.6601833927509513E-2</v>
          </cell>
          <cell r="I2185" t="str">
            <v>GA</v>
          </cell>
          <cell r="J2185" t="str">
            <v>No Data</v>
          </cell>
          <cell r="K2185">
            <v>0</v>
          </cell>
        </row>
        <row r="2186">
          <cell r="C2186">
            <v>3007517.3241221402</v>
          </cell>
          <cell r="D2186">
            <v>0.69898785444386902</v>
          </cell>
          <cell r="E2186">
            <v>233972</v>
          </cell>
          <cell r="F2186">
            <v>163543.586279941</v>
          </cell>
          <cell r="G2186">
            <v>5.4378269068716831E-2</v>
          </cell>
          <cell r="I2186" t="str">
            <v>GA</v>
          </cell>
          <cell r="J2186" t="str">
            <v>High</v>
          </cell>
          <cell r="K2186">
            <v>100405.66666666667</v>
          </cell>
        </row>
        <row r="2187">
          <cell r="C2187">
            <v>3684385.5930290599</v>
          </cell>
          <cell r="D2187">
            <v>0.66241431719281996</v>
          </cell>
          <cell r="E2187">
            <v>240270</v>
          </cell>
          <cell r="F2187">
            <v>159158.287991919</v>
          </cell>
          <cell r="G2187">
            <v>4.31980540508708E-2</v>
          </cell>
          <cell r="I2187" t="str">
            <v>GA</v>
          </cell>
          <cell r="J2187" t="str">
            <v>High</v>
          </cell>
          <cell r="K2187">
            <v>130423.66666666667</v>
          </cell>
        </row>
        <row r="2188">
          <cell r="C2188">
            <v>2169446.5493376399</v>
          </cell>
          <cell r="D2188">
            <v>0.70988341323621096</v>
          </cell>
          <cell r="E2188">
            <v>269760</v>
          </cell>
          <cell r="F2188">
            <v>191498.14955460001</v>
          </cell>
          <cell r="G2188">
            <v>8.8270508260766725E-2</v>
          </cell>
          <cell r="I2188" t="str">
            <v>GA</v>
          </cell>
          <cell r="J2188" t="str">
            <v>Med</v>
          </cell>
          <cell r="K2188">
            <v>48417.666666666664</v>
          </cell>
        </row>
        <row r="2189">
          <cell r="C2189">
            <v>2263871.6535371998</v>
          </cell>
          <cell r="D2189">
            <v>0.70304678332040305</v>
          </cell>
          <cell r="E2189">
            <v>271588</v>
          </cell>
          <cell r="F2189">
            <v>190939.069788422</v>
          </cell>
          <cell r="G2189">
            <v>8.4341826308964155E-2</v>
          </cell>
          <cell r="I2189" t="str">
            <v>GA</v>
          </cell>
          <cell r="J2189" t="str">
            <v>Med</v>
          </cell>
          <cell r="K2189">
            <v>58178.333333333336</v>
          </cell>
        </row>
        <row r="2190">
          <cell r="C2190">
            <v>2382869.61458033</v>
          </cell>
          <cell r="D2190">
            <v>0.69151707033717502</v>
          </cell>
          <cell r="E2190">
            <v>277640</v>
          </cell>
          <cell r="F2190">
            <v>191992.799408413</v>
          </cell>
          <cell r="G2190">
            <v>8.0572096028102114E-2</v>
          </cell>
          <cell r="I2190" t="str">
            <v>GA</v>
          </cell>
          <cell r="J2190" t="str">
            <v>Low</v>
          </cell>
          <cell r="K2190">
            <v>38900</v>
          </cell>
        </row>
        <row r="2191">
          <cell r="C2191">
            <v>2624739.1321988599</v>
          </cell>
          <cell r="D2191">
            <v>0.64151778239844404</v>
          </cell>
          <cell r="E2191">
            <v>285892</v>
          </cell>
          <cell r="F2191">
            <v>183404.80184545601</v>
          </cell>
          <cell r="G2191">
            <v>6.987544003727704E-2</v>
          </cell>
          <cell r="I2191" t="str">
            <v>GA</v>
          </cell>
          <cell r="J2191" t="str">
            <v>Med</v>
          </cell>
          <cell r="K2191">
            <v>76305.666666666672</v>
          </cell>
        </row>
        <row r="2192">
          <cell r="C2192">
            <v>2212518.4254920301</v>
          </cell>
          <cell r="D2192">
            <v>0.67783306590729997</v>
          </cell>
          <cell r="E2192">
            <v>281470</v>
          </cell>
          <cell r="F2192">
            <v>190789.67306092801</v>
          </cell>
          <cell r="G2192">
            <v>8.6231902461331736E-2</v>
          </cell>
          <cell r="I2192" t="str">
            <v>GA</v>
          </cell>
          <cell r="J2192" t="str">
            <v>Med</v>
          </cell>
          <cell r="K2192">
            <v>52832</v>
          </cell>
        </row>
        <row r="2193">
          <cell r="C2193">
            <v>2531614.8759057401</v>
          </cell>
          <cell r="D2193">
            <v>0.64463728774834905</v>
          </cell>
          <cell r="E2193">
            <v>272204</v>
          </cell>
          <cell r="F2193">
            <v>175472.84827425101</v>
          </cell>
          <cell r="G2193">
            <v>6.9312615415672893E-2</v>
          </cell>
          <cell r="I2193" t="str">
            <v>GA</v>
          </cell>
          <cell r="J2193" t="str">
            <v>No Data</v>
          </cell>
          <cell r="K2193">
            <v>0</v>
          </cell>
        </row>
        <row r="2194">
          <cell r="C2194">
            <v>2301588.48092103</v>
          </cell>
          <cell r="D2194">
            <v>0.63419301202007905</v>
          </cell>
          <cell r="E2194">
            <v>306230</v>
          </cell>
          <cell r="F2194">
            <v>194208.92607090899</v>
          </cell>
          <cell r="G2194">
            <v>8.4380386711525479E-2</v>
          </cell>
          <cell r="I2194" t="str">
            <v>GA</v>
          </cell>
          <cell r="J2194" t="str">
            <v>Med</v>
          </cell>
          <cell r="K2194">
            <v>59176</v>
          </cell>
        </row>
        <row r="2195">
          <cell r="C2195">
            <v>2204047.3324267301</v>
          </cell>
          <cell r="D2195">
            <v>0.70655373416358702</v>
          </cell>
          <cell r="E2195">
            <v>254559</v>
          </cell>
          <cell r="F2195">
            <v>179859.612014949</v>
          </cell>
          <cell r="G2195">
            <v>8.1604242054510473E-2</v>
          </cell>
          <cell r="I2195" t="str">
            <v>GA</v>
          </cell>
          <cell r="J2195" t="str">
            <v>Med</v>
          </cell>
          <cell r="K2195">
            <v>58181.333333333336</v>
          </cell>
        </row>
        <row r="2196">
          <cell r="C2196">
            <v>2260395.84201256</v>
          </cell>
          <cell r="D2196">
            <v>0.60061552331029699</v>
          </cell>
          <cell r="E2196">
            <v>285486</v>
          </cell>
          <cell r="F2196">
            <v>171467.32328776401</v>
          </cell>
          <cell r="G2196">
            <v>7.5857210538441272E-2</v>
          </cell>
          <cell r="I2196" t="str">
            <v>GA</v>
          </cell>
          <cell r="J2196" t="str">
            <v>Med</v>
          </cell>
          <cell r="K2196">
            <v>56202.666666666664</v>
          </cell>
        </row>
        <row r="2197">
          <cell r="C2197">
            <v>2437926.4089871901</v>
          </cell>
          <cell r="D2197">
            <v>0.71011908087095998</v>
          </cell>
          <cell r="E2197">
            <v>274140</v>
          </cell>
          <cell r="F2197">
            <v>194672.04482996499</v>
          </cell>
          <cell r="G2197">
            <v>7.9851485308303202E-2</v>
          </cell>
          <cell r="I2197" t="str">
            <v>GA</v>
          </cell>
          <cell r="J2197" t="str">
            <v>Med</v>
          </cell>
          <cell r="K2197">
            <v>66036.333333333328</v>
          </cell>
        </row>
        <row r="2198">
          <cell r="C2198">
            <v>2545853.7856060201</v>
          </cell>
          <cell r="D2198">
            <v>0.68508541686317104</v>
          </cell>
          <cell r="E2198">
            <v>271170</v>
          </cell>
          <cell r="F2198">
            <v>185774.61249078601</v>
          </cell>
          <cell r="G2198">
            <v>7.2971438321059692E-2</v>
          </cell>
          <cell r="I2198" t="str">
            <v>GA</v>
          </cell>
          <cell r="J2198" t="str">
            <v>Med</v>
          </cell>
          <cell r="K2198">
            <v>82180.666666666672</v>
          </cell>
        </row>
        <row r="2199">
          <cell r="C2199">
            <v>3006661.2054928001</v>
          </cell>
          <cell r="D2199">
            <v>0.65098115774937604</v>
          </cell>
          <cell r="E2199">
            <v>270123</v>
          </cell>
          <cell r="F2199">
            <v>175844.98327473499</v>
          </cell>
          <cell r="G2199">
            <v>5.8485133926458967E-2</v>
          </cell>
          <cell r="I2199" t="str">
            <v>GA</v>
          </cell>
          <cell r="J2199" t="str">
            <v>High</v>
          </cell>
          <cell r="K2199">
            <v>108174.33333333333</v>
          </cell>
        </row>
        <row r="2200">
          <cell r="C2200">
            <v>2137559.9391330802</v>
          </cell>
          <cell r="D2200">
            <v>0.665236742213552</v>
          </cell>
          <cell r="E2200">
            <v>292067</v>
          </cell>
          <cell r="F2200">
            <v>194293.699588085</v>
          </cell>
          <cell r="G2200">
            <v>9.0895088381420436E-2</v>
          </cell>
          <cell r="I2200" t="str">
            <v>GA</v>
          </cell>
          <cell r="J2200" t="str">
            <v>Med</v>
          </cell>
          <cell r="K2200">
            <v>58271.666666666664</v>
          </cell>
        </row>
        <row r="2201">
          <cell r="C2201">
            <v>1838294.5067851001</v>
          </cell>
          <cell r="D2201">
            <v>0.67151217011549402</v>
          </cell>
          <cell r="E2201">
            <v>304595</v>
          </cell>
          <cell r="F2201">
            <v>204539.24945632901</v>
          </cell>
          <cell r="G2201">
            <v>0.11126576764570618</v>
          </cell>
          <cell r="I2201" t="str">
            <v>GA</v>
          </cell>
          <cell r="J2201" t="str">
            <v>Low</v>
          </cell>
          <cell r="K2201">
            <v>37901</v>
          </cell>
        </row>
        <row r="2202">
          <cell r="C2202">
            <v>2225383.8641588599</v>
          </cell>
          <cell r="D2202">
            <v>0.67562032234452896</v>
          </cell>
          <cell r="E2202">
            <v>298091</v>
          </cell>
          <cell r="F2202">
            <v>201396.33750800299</v>
          </cell>
          <cell r="G2202">
            <v>9.0499594587527862E-2</v>
          </cell>
          <cell r="I2202" t="str">
            <v>GA</v>
          </cell>
          <cell r="J2202" t="str">
            <v>Med</v>
          </cell>
          <cell r="K2202">
            <v>59536.333333333336</v>
          </cell>
        </row>
        <row r="2203">
          <cell r="C2203">
            <v>2436720.82598641</v>
          </cell>
          <cell r="D2203">
            <v>0.70602116766898604</v>
          </cell>
          <cell r="E2203">
            <v>251873</v>
          </cell>
          <cell r="F2203">
            <v>177827.66956429099</v>
          </cell>
          <cell r="G2203">
            <v>7.2978269676135132E-2</v>
          </cell>
          <cell r="I2203" t="str">
            <v>GA</v>
          </cell>
          <cell r="J2203" t="str">
            <v>No Data</v>
          </cell>
          <cell r="K2203">
            <v>0</v>
          </cell>
        </row>
        <row r="2204">
          <cell r="C2204">
            <v>2889660.1650630501</v>
          </cell>
          <cell r="D2204">
            <v>0.69309825328610897</v>
          </cell>
          <cell r="E2204">
            <v>247470</v>
          </cell>
          <cell r="F2204">
            <v>171521.02474071301</v>
          </cell>
          <cell r="G2204">
            <v>5.9356815314983782E-2</v>
          </cell>
          <cell r="I2204" t="str">
            <v>GA</v>
          </cell>
          <cell r="J2204" t="str">
            <v>High</v>
          </cell>
          <cell r="K2204">
            <v>100405.66666666667</v>
          </cell>
        </row>
        <row r="2205">
          <cell r="C2205">
            <v>3490072.95681488</v>
          </cell>
          <cell r="D2205">
            <v>0.69536290991690997</v>
          </cell>
          <cell r="E2205">
            <v>246118</v>
          </cell>
          <cell r="F2205">
            <v>171141.32866293</v>
          </cell>
          <cell r="G2205">
            <v>4.9036604902127169E-2</v>
          </cell>
          <cell r="I2205" t="str">
            <v>GA</v>
          </cell>
          <cell r="J2205" t="str">
            <v>High</v>
          </cell>
          <cell r="K2205">
            <v>130423.66666666667</v>
          </cell>
        </row>
        <row r="2206">
          <cell r="C2206">
            <v>2061151.96782405</v>
          </cell>
          <cell r="D2206">
            <v>0.67590824662391502</v>
          </cell>
          <cell r="E2206">
            <v>292735</v>
          </cell>
          <cell r="F2206">
            <v>197862.000575452</v>
          </cell>
          <cell r="G2206">
            <v>9.5995833235107908E-2</v>
          </cell>
          <cell r="I2206" t="str">
            <v>GA</v>
          </cell>
          <cell r="J2206" t="str">
            <v>Med</v>
          </cell>
          <cell r="K2206">
            <v>48417.666666666664</v>
          </cell>
        </row>
        <row r="2207">
          <cell r="C2207">
            <v>2109768.9305648501</v>
          </cell>
          <cell r="D2207">
            <v>0.70840345375317904</v>
          </cell>
          <cell r="E2207">
            <v>267576</v>
          </cell>
          <cell r="F2207">
            <v>189551.76254146101</v>
          </cell>
          <cell r="G2207">
            <v>8.9844797596252482E-2</v>
          </cell>
          <cell r="I2207" t="str">
            <v>GA</v>
          </cell>
          <cell r="J2207" t="str">
            <v>Med</v>
          </cell>
          <cell r="K2207">
            <v>58178.333333333336</v>
          </cell>
        </row>
        <row r="2208">
          <cell r="C2208">
            <v>2268223.58973129</v>
          </cell>
          <cell r="D2208">
            <v>0.698583502907694</v>
          </cell>
          <cell r="E2208">
            <v>285767</v>
          </cell>
          <cell r="F2208">
            <v>199632.111875423</v>
          </cell>
          <cell r="G2208">
            <v>8.8012536673720443E-2</v>
          </cell>
          <cell r="I2208" t="str">
            <v>GA</v>
          </cell>
          <cell r="J2208" t="str">
            <v>Low</v>
          </cell>
          <cell r="K2208">
            <v>38900</v>
          </cell>
        </row>
        <row r="2209">
          <cell r="C2209">
            <v>2501913.0887818602</v>
          </cell>
          <cell r="D2209">
            <v>0.64160996722705699</v>
          </cell>
          <cell r="E2209">
            <v>288266</v>
          </cell>
          <cell r="F2209">
            <v>184954.33881267501</v>
          </cell>
          <cell r="G2209">
            <v>7.3925165363248571E-2</v>
          </cell>
          <cell r="I2209" t="str">
            <v>GA</v>
          </cell>
          <cell r="J2209" t="str">
            <v>Med</v>
          </cell>
          <cell r="K2209">
            <v>76305.666666666672</v>
          </cell>
        </row>
        <row r="2210">
          <cell r="C2210">
            <v>2116655.0519292899</v>
          </cell>
          <cell r="D2210">
            <v>0.64868578118639997</v>
          </cell>
          <cell r="E2210">
            <v>307667</v>
          </cell>
          <cell r="F2210">
            <v>199579.208240276</v>
          </cell>
          <cell r="G2210">
            <v>9.4289907114701296E-2</v>
          </cell>
          <cell r="I2210" t="str">
            <v>GA</v>
          </cell>
          <cell r="J2210" t="str">
            <v>Med</v>
          </cell>
          <cell r="K2210">
            <v>52832</v>
          </cell>
        </row>
        <row r="2211">
          <cell r="C2211">
            <v>2466916.41556847</v>
          </cell>
          <cell r="D2211">
            <v>0.66180438819048804</v>
          </cell>
          <cell r="E2211">
            <v>282851</v>
          </cell>
          <cell r="F2211">
            <v>187192.03300406801</v>
          </cell>
          <cell r="G2211">
            <v>7.5880979113324337E-2</v>
          </cell>
          <cell r="I2211" t="str">
            <v>GA</v>
          </cell>
          <cell r="J2211" t="str">
            <v>No Data</v>
          </cell>
          <cell r="K2211">
            <v>0</v>
          </cell>
        </row>
        <row r="2212">
          <cell r="C2212">
            <v>2210567.43670779</v>
          </cell>
          <cell r="D2212">
            <v>0.66024409800702999</v>
          </cell>
          <cell r="E2212">
            <v>302326</v>
          </cell>
          <cell r="F2212">
            <v>199608.95717407399</v>
          </cell>
          <cell r="G2212">
            <v>9.0297610405115122E-2</v>
          </cell>
          <cell r="I2212" t="str">
            <v>GA</v>
          </cell>
          <cell r="J2212" t="str">
            <v>Med</v>
          </cell>
          <cell r="K2212">
            <v>59176</v>
          </cell>
        </row>
        <row r="2213">
          <cell r="C2213">
            <v>2074874.8984831099</v>
          </cell>
          <cell r="D2213">
            <v>0.712824085169385</v>
          </cell>
          <cell r="E2213">
            <v>258571</v>
          </cell>
          <cell r="F2213">
            <v>184315.63652633299</v>
          </cell>
          <cell r="G2213">
            <v>8.8832168465232106E-2</v>
          </cell>
          <cell r="I2213" t="str">
            <v>GA</v>
          </cell>
          <cell r="J2213" t="str">
            <v>Med</v>
          </cell>
          <cell r="K2213">
            <v>58181.333333333336</v>
          </cell>
        </row>
        <row r="2214">
          <cell r="C2214">
            <v>2134905.5163329002</v>
          </cell>
          <cell r="D2214">
            <v>0.64812335068857996</v>
          </cell>
          <cell r="E2214">
            <v>273298</v>
          </cell>
          <cell r="F2214">
            <v>177130.81549648699</v>
          </cell>
          <cell r="G2214">
            <v>8.2968924920266418E-2</v>
          </cell>
          <cell r="I2214" t="str">
            <v>GA</v>
          </cell>
          <cell r="J2214" t="str">
            <v>Med</v>
          </cell>
          <cell r="K2214">
            <v>56202.666666666664</v>
          </cell>
        </row>
        <row r="2215">
          <cell r="C2215">
            <v>2325481.91953651</v>
          </cell>
          <cell r="D2215">
            <v>0.69000374671720399</v>
          </cell>
          <cell r="E2215">
            <v>288713</v>
          </cell>
          <cell r="F2215">
            <v>199213.051725964</v>
          </cell>
          <cell r="G2215">
            <v>8.5665276540042509E-2</v>
          </cell>
          <cell r="I2215" t="str">
            <v>GA</v>
          </cell>
          <cell r="J2215" t="str">
            <v>Med</v>
          </cell>
          <cell r="K2215">
            <v>66036.333333333328</v>
          </cell>
        </row>
        <row r="2216">
          <cell r="C2216">
            <v>2448953.47444537</v>
          </cell>
          <cell r="D2216">
            <v>0.69671265008717598</v>
          </cell>
          <cell r="E2216">
            <v>237567</v>
          </cell>
          <cell r="F2216">
            <v>165515.93414326</v>
          </cell>
          <cell r="G2216">
            <v>6.7586393890453733E-2</v>
          </cell>
          <cell r="I2216" t="str">
            <v>GA</v>
          </cell>
          <cell r="J2216" t="str">
            <v>Med</v>
          </cell>
          <cell r="K2216">
            <v>82180.666666666672</v>
          </cell>
        </row>
        <row r="2217">
          <cell r="C2217">
            <v>2804749.9056050698</v>
          </cell>
          <cell r="D2217">
            <v>0.67736710180030402</v>
          </cell>
          <cell r="E2217">
            <v>227083</v>
          </cell>
          <cell r="F2217">
            <v>153818.55357811801</v>
          </cell>
          <cell r="G2217">
            <v>5.4842163741845161E-2</v>
          </cell>
          <cell r="I2217" t="str">
            <v>GA</v>
          </cell>
          <cell r="J2217" t="str">
            <v>High</v>
          </cell>
          <cell r="K2217">
            <v>108174.33333333333</v>
          </cell>
        </row>
        <row r="2218">
          <cell r="C2218">
            <v>2006984.59055168</v>
          </cell>
          <cell r="D2218">
            <v>0.65619090444488903</v>
          </cell>
          <cell r="E2218">
            <v>255956</v>
          </cell>
          <cell r="F2218">
            <v>167955.999138096</v>
          </cell>
          <cell r="G2218">
            <v>8.3685744239784254E-2</v>
          </cell>
          <cell r="I2218" t="str">
            <v>GA</v>
          </cell>
          <cell r="J2218" t="str">
            <v>Med</v>
          </cell>
          <cell r="K2218">
            <v>58271.666666666664</v>
          </cell>
        </row>
        <row r="2219">
          <cell r="C2219">
            <v>1726332.09175205</v>
          </cell>
          <cell r="D2219">
            <v>0.67789773448527901</v>
          </cell>
          <cell r="E2219">
            <v>264621</v>
          </cell>
          <cell r="F2219">
            <v>179385.97639722901</v>
          </cell>
          <cell r="G2219">
            <v>0.10391162700055621</v>
          </cell>
          <cell r="I2219" t="str">
            <v>GA</v>
          </cell>
          <cell r="J2219" t="str">
            <v>Low</v>
          </cell>
          <cell r="K2219">
            <v>37901</v>
          </cell>
        </row>
        <row r="2220">
          <cell r="C2220">
            <v>2091720.2110171199</v>
          </cell>
          <cell r="D2220">
            <v>0.68180341479739803</v>
          </cell>
          <cell r="E2220">
            <v>259427</v>
          </cell>
          <cell r="F2220">
            <v>176878.21449064501</v>
          </cell>
          <cell r="G2220">
            <v>8.4561125125160119E-2</v>
          </cell>
          <cell r="I2220" t="str">
            <v>GA</v>
          </cell>
          <cell r="J2220" t="str">
            <v>Med</v>
          </cell>
          <cell r="K2220">
            <v>59536.333333333336</v>
          </cell>
        </row>
        <row r="2221">
          <cell r="C2221">
            <v>2323421.84817767</v>
          </cell>
          <cell r="D2221">
            <v>0.69411539396967703</v>
          </cell>
          <cell r="E2221">
            <v>226409</v>
          </cell>
          <cell r="F2221">
            <v>157153.97223328101</v>
          </cell>
          <cell r="G2221">
            <v>6.7639018009812382E-2</v>
          </cell>
          <cell r="I2221" t="str">
            <v>GA</v>
          </cell>
          <cell r="J2221" t="str">
            <v>No Data</v>
          </cell>
          <cell r="K2221">
            <v>0</v>
          </cell>
        </row>
        <row r="2222">
          <cell r="C2222">
            <v>2765158.4209988001</v>
          </cell>
          <cell r="D2222">
            <v>0.68593332589855105</v>
          </cell>
          <cell r="E2222">
            <v>217292</v>
          </cell>
          <cell r="F2222">
            <v>149047.82425114801</v>
          </cell>
          <cell r="G2222">
            <v>5.3902092234306989E-2</v>
          </cell>
          <cell r="I2222" t="str">
            <v>GA</v>
          </cell>
          <cell r="J2222" t="str">
            <v>High</v>
          </cell>
          <cell r="K2222">
            <v>100405.66666666667</v>
          </cell>
        </row>
        <row r="2223">
          <cell r="C2223">
            <v>3237571.0298767802</v>
          </cell>
          <cell r="D2223">
            <v>0.67935395270427701</v>
          </cell>
          <cell r="E2223">
            <v>210484</v>
          </cell>
          <cell r="F2223">
            <v>142993.13738100699</v>
          </cell>
          <cell r="G2223">
            <v>4.4166795434430736E-2</v>
          </cell>
          <cell r="I2223" t="str">
            <v>GA</v>
          </cell>
          <cell r="J2223" t="str">
            <v>High</v>
          </cell>
          <cell r="K2223">
            <v>130423.66666666667</v>
          </cell>
        </row>
        <row r="2224">
          <cell r="C2224">
            <v>1948092.31410194</v>
          </cell>
          <cell r="D2224">
            <v>0.66124520082298999</v>
          </cell>
          <cell r="E2224">
            <v>268813</v>
          </cell>
          <cell r="F2224">
            <v>177751.30616882999</v>
          </cell>
          <cell r="G2224">
            <v>9.1243779815830942E-2</v>
          </cell>
          <cell r="I2224" t="str">
            <v>GA</v>
          </cell>
          <cell r="J2224" t="str">
            <v>Med</v>
          </cell>
          <cell r="K2224">
            <v>48417.666666666664</v>
          </cell>
        </row>
        <row r="2225">
          <cell r="C2225">
            <v>2021821.41658064</v>
          </cell>
          <cell r="D2225">
            <v>0.69718209894140404</v>
          </cell>
          <cell r="E2225">
            <v>243419</v>
          </cell>
          <cell r="F2225">
            <v>169707.36934221801</v>
          </cell>
          <cell r="G2225">
            <v>8.3937863131963344E-2</v>
          </cell>
          <cell r="I2225" t="str">
            <v>GA</v>
          </cell>
          <cell r="J2225" t="str">
            <v>Med</v>
          </cell>
          <cell r="K2225">
            <v>58178.333333333336</v>
          </cell>
        </row>
        <row r="2226">
          <cell r="C2226">
            <v>2165705.6005120398</v>
          </cell>
          <cell r="D2226">
            <v>0.66240218126279604</v>
          </cell>
          <cell r="E2226">
            <v>262031</v>
          </cell>
          <cell r="F2226">
            <v>173569.90595847199</v>
          </cell>
          <cell r="G2226">
            <v>8.0144737085887707E-2</v>
          </cell>
          <cell r="I2226" t="str">
            <v>GA</v>
          </cell>
          <cell r="J2226" t="str">
            <v>Low</v>
          </cell>
          <cell r="K2226">
            <v>38900</v>
          </cell>
        </row>
        <row r="2227">
          <cell r="C2227">
            <v>2332768.8253214201</v>
          </cell>
          <cell r="D2227">
            <v>0.65470126358027703</v>
          </cell>
          <cell r="E2227">
            <v>249671</v>
          </cell>
          <cell r="F2227">
            <v>163459.91917935101</v>
          </cell>
          <cell r="G2227">
            <v>7.0071203543638202E-2</v>
          </cell>
          <cell r="I2227" t="str">
            <v>GA</v>
          </cell>
          <cell r="J2227" t="str">
            <v>Med</v>
          </cell>
          <cell r="K2227">
            <v>76305.666666666672</v>
          </cell>
        </row>
        <row r="2228">
          <cell r="C2228">
            <v>2010566.9458248799</v>
          </cell>
          <cell r="D2228">
            <v>0.65540960754202104</v>
          </cell>
          <cell r="E2228">
            <v>270674</v>
          </cell>
          <cell r="F2228">
            <v>177402.34011182899</v>
          </cell>
          <cell r="G2228">
            <v>8.8234982913760043E-2</v>
          </cell>
          <cell r="I2228" t="str">
            <v>GA</v>
          </cell>
          <cell r="J2228" t="str">
            <v>Med</v>
          </cell>
          <cell r="K2228">
            <v>52832</v>
          </cell>
        </row>
        <row r="2229">
          <cell r="C2229">
            <v>2308822.4644122301</v>
          </cell>
          <cell r="D2229">
            <v>0.69623490525432397</v>
          </cell>
          <cell r="E2229">
            <v>232778</v>
          </cell>
          <cell r="F2229">
            <v>162068.16877529101</v>
          </cell>
          <cell r="G2229">
            <v>7.0195162804148142E-2</v>
          </cell>
          <cell r="I2229" t="str">
            <v>GA</v>
          </cell>
          <cell r="J2229" t="str">
            <v>No Data</v>
          </cell>
          <cell r="K2229">
            <v>0</v>
          </cell>
        </row>
        <row r="2230">
          <cell r="C2230">
            <v>2107656.6675586202</v>
          </cell>
          <cell r="D2230">
            <v>0.65111933625089702</v>
          </cell>
          <cell r="E2230">
            <v>276796</v>
          </cell>
          <cell r="F2230">
            <v>180227.227796903</v>
          </cell>
          <cell r="G2230">
            <v>8.5510714610680466E-2</v>
          </cell>
          <cell r="I2230" t="str">
            <v>GA</v>
          </cell>
          <cell r="J2230" t="str">
            <v>Med</v>
          </cell>
          <cell r="K2230">
            <v>59176</v>
          </cell>
        </row>
        <row r="2231">
          <cell r="C2231">
            <v>2017907.2055518001</v>
          </cell>
          <cell r="D2231">
            <v>0.68493989210981698</v>
          </cell>
          <cell r="E2231">
            <v>243340</v>
          </cell>
          <cell r="F2231">
            <v>166673.273346003</v>
          </cell>
          <cell r="G2231">
            <v>8.2597095093094694E-2</v>
          </cell>
          <cell r="I2231" t="str">
            <v>GA</v>
          </cell>
          <cell r="J2231" t="str">
            <v>Med</v>
          </cell>
          <cell r="K2231">
            <v>58181.333333333336</v>
          </cell>
        </row>
        <row r="2232">
          <cell r="C2232">
            <v>2068450.1190245801</v>
          </cell>
          <cell r="D2232">
            <v>0.66173957923828697</v>
          </cell>
          <cell r="E2232">
            <v>240377</v>
          </cell>
          <cell r="F2232">
            <v>159066.97483856199</v>
          </cell>
          <cell r="G2232">
            <v>7.6901528045343087E-2</v>
          </cell>
          <cell r="I2232" t="str">
            <v>GA</v>
          </cell>
          <cell r="J2232" t="str">
            <v>Med</v>
          </cell>
          <cell r="K2232">
            <v>56202.666666666664</v>
          </cell>
        </row>
        <row r="2233">
          <cell r="C2233">
            <v>2185354.2654943601</v>
          </cell>
          <cell r="D2233">
            <v>0.691065390477132</v>
          </cell>
          <cell r="E2233">
            <v>250287</v>
          </cell>
          <cell r="F2233">
            <v>172964.68338634999</v>
          </cell>
          <cell r="G2233">
            <v>7.9147205612094554E-2</v>
          </cell>
          <cell r="I2233" t="str">
            <v>GA</v>
          </cell>
          <cell r="J2233" t="str">
            <v>Med</v>
          </cell>
          <cell r="K2233">
            <v>66036.333333333328</v>
          </cell>
        </row>
        <row r="2234">
          <cell r="C2234">
            <v>2410733.1858267402</v>
          </cell>
          <cell r="D2234">
            <v>0.692660120661169</v>
          </cell>
          <cell r="E2234">
            <v>227039</v>
          </cell>
          <cell r="F2234">
            <v>157260.86113479099</v>
          </cell>
          <cell r="G2234">
            <v>6.5233623554594958E-2</v>
          </cell>
          <cell r="I2234" t="str">
            <v>GA</v>
          </cell>
          <cell r="J2234" t="str">
            <v>Med</v>
          </cell>
          <cell r="K2234">
            <v>82180.666666666672</v>
          </cell>
        </row>
        <row r="2235">
          <cell r="C2235">
            <v>2799982.7122824602</v>
          </cell>
          <cell r="D2235">
            <v>0.66958036416951605</v>
          </cell>
          <cell r="E2235">
            <v>215815</v>
          </cell>
          <cell r="F2235">
            <v>144505.486293244</v>
          </cell>
          <cell r="G2235">
            <v>5.1609420893690999E-2</v>
          </cell>
          <cell r="I2235" t="str">
            <v>GA</v>
          </cell>
          <cell r="J2235" t="str">
            <v>High</v>
          </cell>
          <cell r="K2235">
            <v>108174.33333333333</v>
          </cell>
        </row>
        <row r="2236">
          <cell r="C2236">
            <v>2025046.46506948</v>
          </cell>
          <cell r="D2236">
            <v>0.64485972039553097</v>
          </cell>
          <cell r="E2236">
            <v>256025</v>
          </cell>
          <cell r="F2236">
            <v>165100.20991426599</v>
          </cell>
          <cell r="G2236">
            <v>8.1529097115606852E-2</v>
          </cell>
          <cell r="I2236" t="str">
            <v>GA</v>
          </cell>
          <cell r="J2236" t="str">
            <v>Med</v>
          </cell>
          <cell r="K2236">
            <v>58271.666666666664</v>
          </cell>
        </row>
        <row r="2237">
          <cell r="C2237">
            <v>1754396.45700206</v>
          </cell>
          <cell r="D2237">
            <v>0.66267008016988305</v>
          </cell>
          <cell r="E2237">
            <v>265190</v>
          </cell>
          <cell r="F2237">
            <v>175733.47856025101</v>
          </cell>
          <cell r="G2237">
            <v>0.10016748372859069</v>
          </cell>
          <cell r="I2237" t="str">
            <v>GA</v>
          </cell>
          <cell r="J2237" t="str">
            <v>Low</v>
          </cell>
          <cell r="K2237">
            <v>37901</v>
          </cell>
        </row>
        <row r="2238">
          <cell r="C2238">
            <v>2123003.7958150199</v>
          </cell>
          <cell r="D2238">
            <v>0.662981691732352</v>
          </cell>
          <cell r="E2238">
            <v>256014</v>
          </cell>
          <cell r="F2238">
            <v>169732.594827166</v>
          </cell>
          <cell r="G2238">
            <v>7.9949265828799784E-2</v>
          </cell>
          <cell r="I2238" t="str">
            <v>GA</v>
          </cell>
          <cell r="J2238" t="str">
            <v>Med</v>
          </cell>
          <cell r="K2238">
            <v>59536.333333333336</v>
          </cell>
        </row>
        <row r="2239">
          <cell r="C2239">
            <v>2314610.5888650599</v>
          </cell>
          <cell r="D2239">
            <v>0.68355679960585702</v>
          </cell>
          <cell r="E2239">
            <v>218082</v>
          </cell>
          <cell r="F2239">
            <v>149071.433971644</v>
          </cell>
          <cell r="G2239">
            <v>6.4404541605739093E-2</v>
          </cell>
          <cell r="I2239" t="str">
            <v>GA</v>
          </cell>
          <cell r="J2239" t="str">
            <v>No Data</v>
          </cell>
          <cell r="K2239">
            <v>0</v>
          </cell>
        </row>
        <row r="2240">
          <cell r="C2240">
            <v>2754635.06279463</v>
          </cell>
          <cell r="D2240">
            <v>0.67804816356021103</v>
          </cell>
          <cell r="E2240">
            <v>206692</v>
          </cell>
          <cell r="F2240">
            <v>140147.13102258701</v>
          </cell>
          <cell r="G2240">
            <v>5.0876841333895265E-2</v>
          </cell>
          <cell r="I2240" t="str">
            <v>GA</v>
          </cell>
          <cell r="J2240" t="str">
            <v>High</v>
          </cell>
          <cell r="K2240">
            <v>100405.66666666667</v>
          </cell>
        </row>
        <row r="2241">
          <cell r="C2241">
            <v>3332033.4422893501</v>
          </cell>
          <cell r="D2241">
            <v>0.68493206399328799</v>
          </cell>
          <cell r="E2241">
            <v>209775</v>
          </cell>
          <cell r="F2241">
            <v>143681.623724192</v>
          </cell>
          <cell r="G2241">
            <v>4.312130301593619E-2</v>
          </cell>
          <cell r="I2241" t="str">
            <v>GA</v>
          </cell>
          <cell r="J2241" t="str">
            <v>High</v>
          </cell>
          <cell r="K2241">
            <v>130423.66666666667</v>
          </cell>
        </row>
        <row r="2242">
          <cell r="C2242">
            <v>1938282.3285296401</v>
          </cell>
          <cell r="D2242">
            <v>0.64706859398123695</v>
          </cell>
          <cell r="E2242">
            <v>260117</v>
          </cell>
          <cell r="F2242">
            <v>168313.54146061701</v>
          </cell>
          <cell r="G2242">
            <v>8.6836442237131592E-2</v>
          </cell>
          <cell r="I2242" t="str">
            <v>GA</v>
          </cell>
          <cell r="J2242" t="str">
            <v>Med</v>
          </cell>
          <cell r="K2242">
            <v>48417.666666666664</v>
          </cell>
        </row>
        <row r="2243">
          <cell r="C2243">
            <v>2031581.04828024</v>
          </cell>
          <cell r="D2243">
            <v>0.71225702522071599</v>
          </cell>
          <cell r="E2243">
            <v>228550</v>
          </cell>
          <cell r="F2243">
            <v>162786.34311419501</v>
          </cell>
          <cell r="G2243">
            <v>8.0127909862122301E-2</v>
          </cell>
          <cell r="I2243" t="str">
            <v>GA</v>
          </cell>
          <cell r="J2243" t="str">
            <v>Med</v>
          </cell>
          <cell r="K2243">
            <v>58178.333333333336</v>
          </cell>
        </row>
        <row r="2244">
          <cell r="C2244">
            <v>2146610.9937841101</v>
          </cell>
          <cell r="D2244">
            <v>0.69935044236170596</v>
          </cell>
          <cell r="E2244">
            <v>239172</v>
          </cell>
          <cell r="F2244">
            <v>167265.04400053399</v>
          </cell>
          <cell r="G2244">
            <v>7.7920519593386681E-2</v>
          </cell>
          <cell r="I2244" t="str">
            <v>GA</v>
          </cell>
          <cell r="J2244" t="str">
            <v>Low</v>
          </cell>
          <cell r="K2244">
            <v>38900</v>
          </cell>
        </row>
        <row r="2245">
          <cell r="C2245">
            <v>2375314.9304195</v>
          </cell>
          <cell r="D2245">
            <v>0.65212694117263303</v>
          </cell>
          <cell r="E2245">
            <v>241759</v>
          </cell>
          <cell r="F2245">
            <v>157657.557170955</v>
          </cell>
          <cell r="G2245">
            <v>6.6373328080378546E-2</v>
          </cell>
          <cell r="I2245" t="str">
            <v>GA</v>
          </cell>
          <cell r="J2245" t="str">
            <v>Med</v>
          </cell>
          <cell r="K2245">
            <v>76305.666666666672</v>
          </cell>
        </row>
        <row r="2246">
          <cell r="C2246">
            <v>2038808.2596080301</v>
          </cell>
          <cell r="D2246">
            <v>0.62917251477015301</v>
          </cell>
          <cell r="E2246">
            <v>274033</v>
          </cell>
          <cell r="F2246">
            <v>172414.031740009</v>
          </cell>
          <cell r="G2246">
            <v>8.4566084587648457E-2</v>
          </cell>
          <cell r="I2246" t="str">
            <v>GA</v>
          </cell>
          <cell r="J2246" t="str">
            <v>Med</v>
          </cell>
          <cell r="K2246">
            <v>52832</v>
          </cell>
        </row>
        <row r="2247">
          <cell r="C2247">
            <v>2267055.7389777298</v>
          </cell>
          <cell r="D2247">
            <v>0.67038066317595202</v>
          </cell>
          <cell r="E2247">
            <v>224189</v>
          </cell>
          <cell r="F2247">
            <v>150291.97049675399</v>
          </cell>
          <cell r="G2247">
            <v>6.6293901783166687E-2</v>
          </cell>
          <cell r="I2247" t="str">
            <v>GA</v>
          </cell>
          <cell r="J2247" t="str">
            <v>No Data</v>
          </cell>
          <cell r="K2247">
            <v>0</v>
          </cell>
        </row>
        <row r="2248">
          <cell r="C2248">
            <v>2121086.37177015</v>
          </cell>
          <cell r="D2248">
            <v>0.66775032679609103</v>
          </cell>
          <cell r="E2248">
            <v>260051</v>
          </cell>
          <cell r="F2248">
            <v>173649.14023364999</v>
          </cell>
          <cell r="G2248">
            <v>8.1868019400233721E-2</v>
          </cell>
          <cell r="I2248" t="str">
            <v>GA</v>
          </cell>
          <cell r="J2248" t="str">
            <v>Med</v>
          </cell>
          <cell r="K2248">
            <v>59176</v>
          </cell>
        </row>
        <row r="2249">
          <cell r="C2249">
            <v>2006575.7377716601</v>
          </cell>
          <cell r="D2249">
            <v>0.68043256989483603</v>
          </cell>
          <cell r="E2249">
            <v>236037</v>
          </cell>
          <cell r="F2249">
            <v>160607.26250026701</v>
          </cell>
          <cell r="G2249">
            <v>8.004046868354163E-2</v>
          </cell>
          <cell r="I2249" t="str">
            <v>GA</v>
          </cell>
          <cell r="J2249" t="str">
            <v>Med</v>
          </cell>
          <cell r="K2249">
            <v>58181.333333333336</v>
          </cell>
        </row>
        <row r="2250">
          <cell r="C2250">
            <v>2043944.80870943</v>
          </cell>
          <cell r="D2250">
            <v>0.642406208705256</v>
          </cell>
          <cell r="E2250">
            <v>232657</v>
          </cell>
          <cell r="F2250">
            <v>149460.30129873901</v>
          </cell>
          <cell r="G2250">
            <v>7.3123452581437334E-2</v>
          </cell>
          <cell r="I2250" t="str">
            <v>GA</v>
          </cell>
          <cell r="J2250" t="str">
            <v>Med</v>
          </cell>
          <cell r="K2250">
            <v>56202.666666666664</v>
          </cell>
        </row>
        <row r="2251">
          <cell r="C2251">
            <v>2181583.20180539</v>
          </cell>
          <cell r="D2251">
            <v>0.68860310733769603</v>
          </cell>
          <cell r="E2251">
            <v>240577</v>
          </cell>
          <cell r="F2251">
            <v>165662.06975398099</v>
          </cell>
          <cell r="G2251">
            <v>7.5936626949128394E-2</v>
          </cell>
          <cell r="I2251" t="str">
            <v>GA</v>
          </cell>
          <cell r="J2251" t="str">
            <v>Med</v>
          </cell>
          <cell r="K2251">
            <v>66036.333333333328</v>
          </cell>
        </row>
        <row r="2252">
          <cell r="C2252">
            <v>2945885.5802530302</v>
          </cell>
          <cell r="D2252">
            <v>0.67772542431984895</v>
          </cell>
          <cell r="E2252">
            <v>218681</v>
          </cell>
          <cell r="F2252">
            <v>148205.67351568901</v>
          </cell>
          <cell r="G2252">
            <v>5.0309378785498932E-2</v>
          </cell>
          <cell r="I2252" t="str">
            <v>GA</v>
          </cell>
          <cell r="J2252" t="str">
            <v>Med</v>
          </cell>
          <cell r="K2252">
            <v>82180.666666666672</v>
          </cell>
        </row>
        <row r="2253">
          <cell r="C2253">
            <v>3450747.9257737701</v>
          </cell>
          <cell r="D2253">
            <v>0.65283562536101403</v>
          </cell>
          <cell r="E2253">
            <v>213901</v>
          </cell>
          <cell r="F2253">
            <v>139642.19310034599</v>
          </cell>
          <cell r="G2253">
            <v>4.0467225107158084E-2</v>
          </cell>
          <cell r="I2253" t="str">
            <v>GA</v>
          </cell>
          <cell r="J2253" t="str">
            <v>High</v>
          </cell>
          <cell r="K2253">
            <v>108174.33333333333</v>
          </cell>
        </row>
        <row r="2254">
          <cell r="C2254">
            <v>2435317.36868391</v>
          </cell>
          <cell r="D2254">
            <v>0.65057646362457999</v>
          </cell>
          <cell r="E2254">
            <v>233268</v>
          </cell>
          <cell r="F2254">
            <v>151758.67051677799</v>
          </cell>
          <cell r="G2254">
            <v>6.2315767328014068E-2</v>
          </cell>
          <cell r="I2254" t="str">
            <v>GA</v>
          </cell>
          <cell r="J2254" t="str">
            <v>Med</v>
          </cell>
          <cell r="K2254">
            <v>58271.666666666664</v>
          </cell>
        </row>
        <row r="2255">
          <cell r="C2255">
            <v>2105193.4804991698</v>
          </cell>
          <cell r="D2255">
            <v>0.66906247764586502</v>
          </cell>
          <cell r="E2255">
            <v>245156</v>
          </cell>
          <cell r="F2255">
            <v>164024.68076975</v>
          </cell>
          <cell r="G2255">
            <v>7.7914302076813172E-2</v>
          </cell>
          <cell r="I2255" t="str">
            <v>GA</v>
          </cell>
          <cell r="J2255" t="str">
            <v>Low</v>
          </cell>
          <cell r="K2255">
            <v>37901</v>
          </cell>
        </row>
        <row r="2256">
          <cell r="C2256">
            <v>2615321.06837718</v>
          </cell>
          <cell r="D2256">
            <v>0.684633284473396</v>
          </cell>
          <cell r="E2256">
            <v>235948</v>
          </cell>
          <cell r="F2256">
            <v>161537.854204929</v>
          </cell>
          <cell r="G2256">
            <v>6.1765974418262939E-2</v>
          </cell>
          <cell r="I2256" t="str">
            <v>GA</v>
          </cell>
          <cell r="J2256" t="str">
            <v>Med</v>
          </cell>
          <cell r="K2256">
            <v>59536.333333333336</v>
          </cell>
        </row>
        <row r="2257">
          <cell r="C2257">
            <v>2809334.9547572299</v>
          </cell>
          <cell r="D2257">
            <v>0.70639410209775</v>
          </cell>
          <cell r="E2257">
            <v>199038</v>
          </cell>
          <cell r="F2257">
            <v>140599.26929333201</v>
          </cell>
          <cell r="G2257">
            <v>5.0047171860103795E-2</v>
          </cell>
          <cell r="I2257" t="str">
            <v>GA</v>
          </cell>
          <cell r="J2257" t="str">
            <v>No Data</v>
          </cell>
          <cell r="K2257">
            <v>0</v>
          </cell>
        </row>
        <row r="2258">
          <cell r="C2258">
            <v>3388913.0704552098</v>
          </cell>
          <cell r="D2258">
            <v>0.68415808691309199</v>
          </cell>
          <cell r="E2258">
            <v>200408</v>
          </cell>
          <cell r="F2258">
            <v>137110.75388207901</v>
          </cell>
          <cell r="G2258">
            <v>4.0458622287311091E-2</v>
          </cell>
          <cell r="I2258" t="str">
            <v>GA</v>
          </cell>
          <cell r="J2258" t="str">
            <v>High</v>
          </cell>
          <cell r="K2258">
            <v>100405.66666666667</v>
          </cell>
        </row>
        <row r="2259">
          <cell r="C2259">
            <v>4058501.8047664501</v>
          </cell>
          <cell r="D2259">
            <v>0.68681944042206799</v>
          </cell>
          <cell r="E2259">
            <v>195815</v>
          </cell>
          <cell r="F2259">
            <v>134489.54872624701</v>
          </cell>
          <cell r="G2259">
            <v>3.3137732886627684E-2</v>
          </cell>
          <cell r="I2259" t="str">
            <v>GA</v>
          </cell>
          <cell r="J2259" t="str">
            <v>High</v>
          </cell>
          <cell r="K2259">
            <v>130423.66666666667</v>
          </cell>
        </row>
        <row r="2260">
          <cell r="C2260">
            <v>2396429.58986458</v>
          </cell>
          <cell r="D2260">
            <v>0.68953451855166703</v>
          </cell>
          <cell r="E2260">
            <v>230637</v>
          </cell>
          <cell r="F2260">
            <v>159032.172755201</v>
          </cell>
          <cell r="G2260">
            <v>6.6362130324132643E-2</v>
          </cell>
          <cell r="I2260" t="str">
            <v>GA</v>
          </cell>
          <cell r="J2260" t="str">
            <v>Med</v>
          </cell>
          <cell r="K2260">
            <v>48417.666666666664</v>
          </cell>
        </row>
        <row r="2261">
          <cell r="C2261">
            <v>2506083.77151467</v>
          </cell>
          <cell r="D2261">
            <v>0.71111631683018905</v>
          </cell>
          <cell r="E2261">
            <v>216355</v>
          </cell>
          <cell r="F2261">
            <v>153853.570727796</v>
          </cell>
          <cell r="G2261">
            <v>6.1392030257155901E-2</v>
          </cell>
          <cell r="I2261" t="str">
            <v>GA</v>
          </cell>
          <cell r="J2261" t="str">
            <v>Med</v>
          </cell>
          <cell r="K2261">
            <v>58178.333333333336</v>
          </cell>
        </row>
        <row r="2262">
          <cell r="C2262">
            <v>2620485.5860913699</v>
          </cell>
          <cell r="D2262">
            <v>0.71232540663051902</v>
          </cell>
          <cell r="E2262">
            <v>220704</v>
          </cell>
          <cell r="F2262">
            <v>157213.06654498199</v>
          </cell>
          <cell r="G2262">
            <v>5.9993868075220301E-2</v>
          </cell>
          <cell r="I2262" t="str">
            <v>GA</v>
          </cell>
          <cell r="J2262" t="str">
            <v>Low</v>
          </cell>
          <cell r="K2262">
            <v>38900</v>
          </cell>
        </row>
        <row r="2263">
          <cell r="C2263">
            <v>2853396.9370089602</v>
          </cell>
          <cell r="D2263">
            <v>0.69063257825365398</v>
          </cell>
          <cell r="E2263">
            <v>214689</v>
          </cell>
          <cell r="F2263">
            <v>148271.21759269899</v>
          </cell>
          <cell r="G2263">
            <v>5.1963053464311404E-2</v>
          </cell>
          <cell r="I2263" t="str">
            <v>GA</v>
          </cell>
          <cell r="J2263" t="str">
            <v>Med</v>
          </cell>
          <cell r="K2263">
            <v>76305.666666666672</v>
          </cell>
        </row>
        <row r="2264">
          <cell r="C2264">
            <v>2514893.5367667801</v>
          </cell>
          <cell r="D2264">
            <v>0.66709823643302701</v>
          </cell>
          <cell r="E2264">
            <v>251053</v>
          </cell>
          <cell r="F2264">
            <v>167477.013551221</v>
          </cell>
          <cell r="G2264">
            <v>6.6594076887459136E-2</v>
          </cell>
          <cell r="I2264" t="str">
            <v>GA</v>
          </cell>
          <cell r="J2264" t="str">
            <v>Med</v>
          </cell>
          <cell r="K2264">
            <v>52832</v>
          </cell>
        </row>
        <row r="2265">
          <cell r="C2265">
            <v>2806491.8738540001</v>
          </cell>
          <cell r="D2265">
            <v>0.64252668501380095</v>
          </cell>
          <cell r="E2265">
            <v>229147</v>
          </cell>
          <cell r="F2265">
            <v>147233.06229085801</v>
          </cell>
          <cell r="G2265">
            <v>5.2461602922324158E-2</v>
          </cell>
          <cell r="I2265" t="str">
            <v>GA</v>
          </cell>
          <cell r="J2265" t="str">
            <v>No Data</v>
          </cell>
          <cell r="K2265">
            <v>0</v>
          </cell>
        </row>
        <row r="2266">
          <cell r="C2266">
            <v>2577648.19000598</v>
          </cell>
          <cell r="D2266">
            <v>0.66920335449380497</v>
          </cell>
          <cell r="E2266">
            <v>240257</v>
          </cell>
          <cell r="F2266">
            <v>160780.790340618</v>
          </cell>
          <cell r="G2266">
            <v>6.2374993982497275E-2</v>
          </cell>
          <cell r="I2266" t="str">
            <v>GA</v>
          </cell>
          <cell r="J2266" t="str">
            <v>Med</v>
          </cell>
          <cell r="K2266">
            <v>59176</v>
          </cell>
        </row>
        <row r="2267">
          <cell r="C2267">
            <v>2461705.66014728</v>
          </cell>
          <cell r="D2267">
            <v>0.68878297554725598</v>
          </cell>
          <cell r="E2267">
            <v>223390</v>
          </cell>
          <cell r="F2267">
            <v>153867.22890750199</v>
          </cell>
          <cell r="G2267">
            <v>6.2504316173322028E-2</v>
          </cell>
          <cell r="I2267" t="str">
            <v>GA</v>
          </cell>
          <cell r="J2267" t="str">
            <v>Med</v>
          </cell>
          <cell r="K2267">
            <v>58181.333333333336</v>
          </cell>
        </row>
        <row r="2268">
          <cell r="C2268">
            <v>2469558.9998372099</v>
          </cell>
          <cell r="D2268">
            <v>0.62056642426814601</v>
          </cell>
          <cell r="E2268">
            <v>231475</v>
          </cell>
          <cell r="F2268">
            <v>143645.61305746899</v>
          </cell>
          <cell r="G2268">
            <v>5.8166503844183481E-2</v>
          </cell>
          <cell r="I2268" t="str">
            <v>GA</v>
          </cell>
          <cell r="J2268" t="str">
            <v>Med</v>
          </cell>
          <cell r="K2268">
            <v>56202.666666666664</v>
          </cell>
        </row>
        <row r="2269">
          <cell r="C2269">
            <v>2679805.0748253502</v>
          </cell>
          <cell r="D2269">
            <v>0.71026664255049898</v>
          </cell>
          <cell r="E2269">
            <v>223285</v>
          </cell>
          <cell r="F2269">
            <v>158591.88728188799</v>
          </cell>
          <cell r="G2269">
            <v>5.9180381726914907E-2</v>
          </cell>
          <cell r="I2269" t="str">
            <v>GA</v>
          </cell>
          <cell r="J2269" t="str">
            <v>Med</v>
          </cell>
          <cell r="K2269">
            <v>66036.333333333328</v>
          </cell>
        </row>
        <row r="2270">
          <cell r="C2270">
            <v>3313980.4809827898</v>
          </cell>
          <cell r="D2270">
            <v>0.69920897102158197</v>
          </cell>
          <cell r="E2270">
            <v>203151</v>
          </cell>
          <cell r="F2270">
            <v>142045.00167200499</v>
          </cell>
          <cell r="G2270">
            <v>4.2862353139110916E-2</v>
          </cell>
          <cell r="I2270" t="str">
            <v>GA</v>
          </cell>
          <cell r="J2270" t="str">
            <v>Med</v>
          </cell>
          <cell r="K2270">
            <v>82180.666666666672</v>
          </cell>
        </row>
        <row r="2271">
          <cell r="C2271">
            <v>3944660.9972851202</v>
          </cell>
          <cell r="D2271">
            <v>0.66043756556466604</v>
          </cell>
          <cell r="E2271">
            <v>201353</v>
          </cell>
          <cell r="F2271">
            <v>132981.085139142</v>
          </cell>
          <cell r="G2271">
            <v>3.3711663747699766E-2</v>
          </cell>
          <cell r="I2271" t="str">
            <v>GA</v>
          </cell>
          <cell r="J2271" t="str">
            <v>High</v>
          </cell>
          <cell r="K2271">
            <v>108174.33333333333</v>
          </cell>
        </row>
        <row r="2272">
          <cell r="C2272">
            <v>2895685.9938775599</v>
          </cell>
          <cell r="D2272">
            <v>0.65048796846282197</v>
          </cell>
          <cell r="E2272">
            <v>231891</v>
          </cell>
          <cell r="F2272">
            <v>150842.305494812</v>
          </cell>
          <cell r="G2272">
            <v>5.2092079670842291E-2</v>
          </cell>
          <cell r="I2272" t="str">
            <v>GA</v>
          </cell>
          <cell r="J2272" t="str">
            <v>Med</v>
          </cell>
          <cell r="K2272">
            <v>58271.666666666664</v>
          </cell>
        </row>
        <row r="2273">
          <cell r="C2273">
            <v>2425272.73203468</v>
          </cell>
          <cell r="D2273">
            <v>0.69513357209337201</v>
          </cell>
          <cell r="E2273">
            <v>220356</v>
          </cell>
          <cell r="F2273">
            <v>153176.85341220701</v>
          </cell>
          <cell r="G2273">
            <v>6.3158609499435331E-2</v>
          </cell>
          <cell r="I2273" t="str">
            <v>GA</v>
          </cell>
          <cell r="J2273" t="str">
            <v>Low</v>
          </cell>
          <cell r="K2273">
            <v>37901</v>
          </cell>
        </row>
        <row r="2274">
          <cell r="C2274">
            <v>2931210.82412792</v>
          </cell>
          <cell r="D2274">
            <v>0.703075229372917</v>
          </cell>
          <cell r="E2274">
            <v>218859</v>
          </cell>
          <cell r="F2274">
            <v>153874.34162532701</v>
          </cell>
          <cell r="G2274">
            <v>5.2495146496706523E-2</v>
          </cell>
          <cell r="I2274" t="str">
            <v>GA</v>
          </cell>
          <cell r="J2274" t="str">
            <v>Med</v>
          </cell>
          <cell r="K2274">
            <v>59536.333333333336</v>
          </cell>
        </row>
        <row r="2275">
          <cell r="C2275">
            <v>3175419.0473497198</v>
          </cell>
          <cell r="D2275">
            <v>0.69498794215058501</v>
          </cell>
          <cell r="E2275">
            <v>193052</v>
          </cell>
          <cell r="F2275">
            <v>134168.81220805499</v>
          </cell>
          <cell r="G2275">
            <v>4.2252317003652E-2</v>
          </cell>
          <cell r="I2275" t="str">
            <v>GA</v>
          </cell>
          <cell r="J2275" t="str">
            <v>No Data</v>
          </cell>
          <cell r="K2275">
            <v>0</v>
          </cell>
        </row>
        <row r="2276">
          <cell r="C2276">
            <v>3827456.0627666102</v>
          </cell>
          <cell r="D2276">
            <v>0.67405076061952895</v>
          </cell>
          <cell r="E2276">
            <v>190796</v>
          </cell>
          <cell r="F2276">
            <v>128606.18892316399</v>
          </cell>
          <cell r="G2276">
            <v>3.3600957611046547E-2</v>
          </cell>
          <cell r="I2276" t="str">
            <v>GA</v>
          </cell>
          <cell r="J2276" t="str">
            <v>High</v>
          </cell>
          <cell r="K2276">
            <v>100405.66666666667</v>
          </cell>
        </row>
        <row r="2277">
          <cell r="C2277">
            <v>4586046.2427053005</v>
          </cell>
          <cell r="D2277">
            <v>0.680614880341739</v>
          </cell>
          <cell r="E2277">
            <v>187408</v>
          </cell>
          <cell r="F2277">
            <v>127552.67349508499</v>
          </cell>
          <cell r="G2277">
            <v>2.7813211368719629E-2</v>
          </cell>
          <cell r="I2277" t="str">
            <v>GA</v>
          </cell>
          <cell r="J2277" t="str">
            <v>High</v>
          </cell>
          <cell r="K2277">
            <v>130423.66666666667</v>
          </cell>
        </row>
        <row r="2278">
          <cell r="C2278">
            <v>2698661.9846414002</v>
          </cell>
          <cell r="D2278">
            <v>0.70092783041382001</v>
          </cell>
          <cell r="E2278">
            <v>213914</v>
          </cell>
          <cell r="F2278">
            <v>149938.275915142</v>
          </cell>
          <cell r="G2278">
            <v>5.5560228279224785E-2</v>
          </cell>
          <cell r="I2278" t="str">
            <v>GA</v>
          </cell>
          <cell r="J2278" t="str">
            <v>Med</v>
          </cell>
          <cell r="K2278">
            <v>48417.666666666664</v>
          </cell>
        </row>
        <row r="2279">
          <cell r="C2279">
            <v>2827373.4253454702</v>
          </cell>
          <cell r="D2279">
            <v>0.70261142126614995</v>
          </cell>
          <cell r="E2279">
            <v>209314</v>
          </cell>
          <cell r="F2279">
            <v>147066.40703090301</v>
          </cell>
          <cell r="G2279">
            <v>5.2015204540211489E-2</v>
          </cell>
          <cell r="I2279" t="str">
            <v>GA</v>
          </cell>
          <cell r="J2279" t="str">
            <v>Med</v>
          </cell>
          <cell r="K2279">
            <v>58178.333333333336</v>
          </cell>
        </row>
        <row r="2280">
          <cell r="C2280">
            <v>3021419.7699489798</v>
          </cell>
          <cell r="D2280">
            <v>0.73471331145312802</v>
          </cell>
          <cell r="E2280">
            <v>203390</v>
          </cell>
          <cell r="F2280">
            <v>149433.340416452</v>
          </cell>
          <cell r="G2280">
            <v>4.9457987235906435E-2</v>
          </cell>
          <cell r="I2280" t="str">
            <v>GA</v>
          </cell>
          <cell r="J2280" t="str">
            <v>Low</v>
          </cell>
          <cell r="K2280">
            <v>38900</v>
          </cell>
        </row>
        <row r="2281">
          <cell r="C2281">
            <v>3308385.3975746902</v>
          </cell>
          <cell r="D2281">
            <v>0.68206538496432401</v>
          </cell>
          <cell r="E2281">
            <v>212595</v>
          </cell>
          <cell r="F2281">
            <v>145003.69051648999</v>
          </cell>
          <cell r="G2281">
            <v>4.3829141134158443E-2</v>
          </cell>
          <cell r="I2281" t="str">
            <v>GA</v>
          </cell>
          <cell r="J2281" t="str">
            <v>Med</v>
          </cell>
          <cell r="K2281">
            <v>76305.666666666672</v>
          </cell>
        </row>
        <row r="2282">
          <cell r="C2282">
            <v>2801746.81837238</v>
          </cell>
          <cell r="D2282">
            <v>0.66767482314345905</v>
          </cell>
          <cell r="E2282">
            <v>232175</v>
          </cell>
          <cell r="F2282">
            <v>155017.40206333299</v>
          </cell>
          <cell r="G2282">
            <v>5.5328840224537962E-2</v>
          </cell>
          <cell r="I2282" t="str">
            <v>GA</v>
          </cell>
          <cell r="J2282" t="str">
            <v>Med</v>
          </cell>
          <cell r="K2282">
            <v>52832</v>
          </cell>
        </row>
        <row r="2283">
          <cell r="C2283">
            <v>3159347.51873963</v>
          </cell>
          <cell r="D2283">
            <v>0.65339045471621504</v>
          </cell>
          <cell r="E2283">
            <v>212011</v>
          </cell>
          <cell r="F2283">
            <v>138525.96369484</v>
          </cell>
          <cell r="G2283">
            <v>4.3846383746382757E-2</v>
          </cell>
          <cell r="I2283" t="str">
            <v>GA</v>
          </cell>
          <cell r="J2283" t="str">
            <v>No Data</v>
          </cell>
          <cell r="K2283">
            <v>0</v>
          </cell>
        </row>
        <row r="2284">
          <cell r="C2284">
            <v>2940502.8263803199</v>
          </cell>
          <cell r="D2284">
            <v>0.66543629252918901</v>
          </cell>
          <cell r="E2284">
            <v>234345</v>
          </cell>
          <cell r="F2284">
            <v>155941.667972753</v>
          </cell>
          <cell r="G2284">
            <v>5.3032313580433796E-2</v>
          </cell>
          <cell r="I2284" t="str">
            <v>GA</v>
          </cell>
          <cell r="J2284" t="str">
            <v>Med</v>
          </cell>
          <cell r="K2284">
            <v>59176</v>
          </cell>
        </row>
        <row r="2285">
          <cell r="C2285">
            <v>2787804.18842516</v>
          </cell>
          <cell r="D2285">
            <v>0.689111069432358</v>
          </cell>
          <cell r="E2285">
            <v>210063</v>
          </cell>
          <cell r="F2285">
            <v>144756.738578169</v>
          </cell>
          <cell r="G2285">
            <v>5.1925002186018872E-2</v>
          </cell>
          <cell r="I2285" t="str">
            <v>GA</v>
          </cell>
          <cell r="J2285" t="str">
            <v>Med</v>
          </cell>
          <cell r="K2285">
            <v>58181.333333333336</v>
          </cell>
        </row>
        <row r="2286">
          <cell r="C2286">
            <v>2922578.8109109998</v>
          </cell>
          <cell r="D2286">
            <v>0.647332556803484</v>
          </cell>
          <cell r="E2286">
            <v>215769</v>
          </cell>
          <cell r="F2286">
            <v>139674.29844893099</v>
          </cell>
          <cell r="G2286">
            <v>4.7791456616149551E-2</v>
          </cell>
          <cell r="I2286" t="str">
            <v>GA</v>
          </cell>
          <cell r="J2286" t="str">
            <v>Med</v>
          </cell>
          <cell r="K2286">
            <v>56202.666666666664</v>
          </cell>
        </row>
        <row r="2287">
          <cell r="C2287">
            <v>3100027.9164504199</v>
          </cell>
          <cell r="D2287">
            <v>0.68662497009986001</v>
          </cell>
          <cell r="E2287">
            <v>220816</v>
          </cell>
          <cell r="F2287">
            <v>151617.77939757099</v>
          </cell>
          <cell r="G2287">
            <v>4.8908520659767384E-2</v>
          </cell>
          <cell r="I2287" t="str">
            <v>GA</v>
          </cell>
          <cell r="J2287" t="str">
            <v>Med</v>
          </cell>
          <cell r="K2287">
            <v>66036.333333333328</v>
          </cell>
        </row>
        <row r="2288">
          <cell r="C2288">
            <v>3507691.2577064401</v>
          </cell>
          <cell r="D2288">
            <v>0.69311379613317303</v>
          </cell>
          <cell r="E2288">
            <v>204508</v>
          </cell>
          <cell r="F2288">
            <v>141747.316219603</v>
          </cell>
          <cell r="G2288">
            <v>4.0410431194074573E-2</v>
          </cell>
          <cell r="I2288" t="str">
            <v>GA</v>
          </cell>
          <cell r="J2288" t="str">
            <v>Med</v>
          </cell>
          <cell r="K2288">
            <v>82180.666666666672</v>
          </cell>
        </row>
        <row r="2289">
          <cell r="C2289">
            <v>4145766.2877088501</v>
          </cell>
          <cell r="D2289">
            <v>0.64982081528352098</v>
          </cell>
          <cell r="E2289">
            <v>197645</v>
          </cell>
          <cell r="F2289">
            <v>128433.835036711</v>
          </cell>
          <cell r="G2289">
            <v>3.0979516481062831E-2</v>
          </cell>
          <cell r="I2289" t="str">
            <v>GA</v>
          </cell>
          <cell r="J2289" t="str">
            <v>High</v>
          </cell>
          <cell r="K2289">
            <v>108174.33333333333</v>
          </cell>
        </row>
        <row r="2290">
          <cell r="C2290">
            <v>2926006.0730229099</v>
          </cell>
          <cell r="D2290">
            <v>0.65906620097866297</v>
          </cell>
          <cell r="E2290">
            <v>217340</v>
          </cell>
          <cell r="F2290">
            <v>143241.44812070299</v>
          </cell>
          <cell r="G2290">
            <v>4.8954596998740219E-2</v>
          </cell>
          <cell r="I2290" t="str">
            <v>GA</v>
          </cell>
          <cell r="J2290" t="str">
            <v>Med</v>
          </cell>
          <cell r="K2290">
            <v>58271.666666666664</v>
          </cell>
        </row>
        <row r="2291">
          <cell r="C2291">
            <v>2502441.2472335901</v>
          </cell>
          <cell r="D2291">
            <v>0.68330878133596595</v>
          </cell>
          <cell r="E2291">
            <v>218394</v>
          </cell>
          <cell r="F2291">
            <v>149230.53799108701</v>
          </cell>
          <cell r="G2291">
            <v>5.9633982678338221E-2</v>
          </cell>
          <cell r="I2291" t="str">
            <v>GA</v>
          </cell>
          <cell r="J2291" t="str">
            <v>Low</v>
          </cell>
          <cell r="K2291">
            <v>37901</v>
          </cell>
        </row>
        <row r="2292">
          <cell r="C2292">
            <v>3024377.7801803499</v>
          </cell>
          <cell r="D2292">
            <v>0.68916393985121605</v>
          </cell>
          <cell r="E2292">
            <v>214026</v>
          </cell>
          <cell r="F2292">
            <v>147499.00139059601</v>
          </cell>
          <cell r="G2292">
            <v>4.8770032089642035E-2</v>
          </cell>
          <cell r="I2292" t="str">
            <v>GA</v>
          </cell>
          <cell r="J2292" t="str">
            <v>Med</v>
          </cell>
          <cell r="K2292">
            <v>59536.333333333336</v>
          </cell>
        </row>
        <row r="2293">
          <cell r="C2293">
            <v>3367331.8258759798</v>
          </cell>
          <cell r="D2293">
            <v>0.72872083862598902</v>
          </cell>
          <cell r="E2293">
            <v>182422</v>
          </cell>
          <cell r="F2293">
            <v>132934.71282382999</v>
          </cell>
          <cell r="G2293">
            <v>3.9477758563116444E-2</v>
          </cell>
          <cell r="I2293" t="str">
            <v>GA</v>
          </cell>
          <cell r="J2293" t="str">
            <v>No Data</v>
          </cell>
          <cell r="K2293">
            <v>0</v>
          </cell>
        </row>
        <row r="2294">
          <cell r="C2294">
            <v>4032413.2829846698</v>
          </cell>
          <cell r="D2294">
            <v>0.68958042006817499</v>
          </cell>
          <cell r="E2294">
            <v>186819</v>
          </cell>
          <cell r="F2294">
            <v>128826.72449671599</v>
          </cell>
          <cell r="G2294">
            <v>3.1947797870897389E-2</v>
          </cell>
          <cell r="I2294" t="str">
            <v>GA</v>
          </cell>
          <cell r="J2294" t="str">
            <v>High</v>
          </cell>
          <cell r="K2294">
            <v>100405.66666666667</v>
          </cell>
        </row>
        <row r="2295">
          <cell r="C2295">
            <v>4803621.8026412698</v>
          </cell>
          <cell r="D2295">
            <v>0.69619268706620197</v>
          </cell>
          <cell r="E2295">
            <v>180357</v>
          </cell>
          <cell r="F2295">
            <v>125563.224461199</v>
          </cell>
          <cell r="G2295">
            <v>2.6139281904366016E-2</v>
          </cell>
          <cell r="I2295" t="str">
            <v>GA</v>
          </cell>
          <cell r="J2295" t="str">
            <v>High</v>
          </cell>
          <cell r="K2295">
            <v>130423.66666666667</v>
          </cell>
        </row>
        <row r="2296">
          <cell r="C2296">
            <v>2843058.0495641101</v>
          </cell>
          <cell r="D2296">
            <v>0.69141160843806404</v>
          </cell>
          <cell r="E2296">
            <v>213024</v>
          </cell>
          <cell r="F2296">
            <v>147287.26647591</v>
          </cell>
          <cell r="G2296">
            <v>5.1805930061291458E-2</v>
          </cell>
          <cell r="I2296" t="str">
            <v>GA</v>
          </cell>
          <cell r="J2296" t="str">
            <v>Med</v>
          </cell>
          <cell r="K2296">
            <v>48417.666666666664</v>
          </cell>
        </row>
        <row r="2297">
          <cell r="C2297">
            <v>2948935.6806538901</v>
          </cell>
          <cell r="D2297">
            <v>0.69388062002454698</v>
          </cell>
          <cell r="E2297">
            <v>209586</v>
          </cell>
          <cell r="F2297">
            <v>145427.663628465</v>
          </cell>
          <cell r="G2297">
            <v>4.9315305376961702E-2</v>
          </cell>
          <cell r="I2297" t="str">
            <v>GA</v>
          </cell>
          <cell r="J2297" t="str">
            <v>Med</v>
          </cell>
          <cell r="K2297">
            <v>58178.333333333336</v>
          </cell>
        </row>
        <row r="2298">
          <cell r="C2298">
            <v>3109496.72055677</v>
          </cell>
          <cell r="D2298">
            <v>0.68894141142818699</v>
          </cell>
          <cell r="E2298">
            <v>210258</v>
          </cell>
          <cell r="F2298">
            <v>144855.44328406799</v>
          </cell>
          <cell r="G2298">
            <v>4.6584851602008107E-2</v>
          </cell>
          <cell r="I2298" t="str">
            <v>GA</v>
          </cell>
          <cell r="J2298" t="str">
            <v>Low</v>
          </cell>
          <cell r="K2298">
            <v>38900</v>
          </cell>
        </row>
        <row r="2299">
          <cell r="C2299">
            <v>3414161.74105332</v>
          </cell>
          <cell r="D2299">
            <v>0.66895224996118097</v>
          </cell>
          <cell r="E2299">
            <v>204202</v>
          </cell>
          <cell r="F2299">
            <v>136601.387346573</v>
          </cell>
          <cell r="G2299">
            <v>4.0010227314078398E-2</v>
          </cell>
          <cell r="I2299" t="str">
            <v>GA</v>
          </cell>
          <cell r="J2299" t="str">
            <v>Med</v>
          </cell>
          <cell r="K2299">
            <v>76305.666666666672</v>
          </cell>
        </row>
        <row r="2300">
          <cell r="C2300">
            <v>2959800.3035733998</v>
          </cell>
          <cell r="D2300">
            <v>0.64357531878350405</v>
          </cell>
          <cell r="E2300">
            <v>237245</v>
          </cell>
          <cell r="F2300">
            <v>152685.02650479201</v>
          </cell>
          <cell r="G2300">
            <v>5.158625949205211E-2</v>
          </cell>
          <cell r="I2300" t="str">
            <v>GA</v>
          </cell>
          <cell r="J2300" t="str">
            <v>Med</v>
          </cell>
          <cell r="K2300">
            <v>52832</v>
          </cell>
        </row>
        <row r="2301">
          <cell r="C2301">
            <v>3308020.5057924301</v>
          </cell>
          <cell r="D2301">
            <v>0.66298213925935601</v>
          </cell>
          <cell r="E2301">
            <v>199866</v>
          </cell>
          <cell r="F2301">
            <v>132507.58824521099</v>
          </cell>
          <cell r="G2301">
            <v>4.0056459146243728E-2</v>
          </cell>
          <cell r="I2301" t="str">
            <v>GA</v>
          </cell>
          <cell r="J2301" t="str">
            <v>No Data</v>
          </cell>
          <cell r="K2301">
            <v>0</v>
          </cell>
        </row>
        <row r="2302">
          <cell r="C2302">
            <v>3018375.7950168601</v>
          </cell>
          <cell r="D2302">
            <v>0.68853929038996997</v>
          </cell>
          <cell r="E2302">
            <v>213910</v>
          </cell>
          <cell r="F2302">
            <v>147285.439607318</v>
          </cell>
          <cell r="G2302">
            <v>4.8796256533224447E-2</v>
          </cell>
          <cell r="I2302" t="str">
            <v>GA</v>
          </cell>
          <cell r="J2302" t="str">
            <v>Med</v>
          </cell>
          <cell r="K2302">
            <v>59176</v>
          </cell>
        </row>
        <row r="2303">
          <cell r="C2303">
            <v>2895931.8297025198</v>
          </cell>
          <cell r="D2303">
            <v>0.68176909668896302</v>
          </cell>
          <cell r="E2303">
            <v>206457</v>
          </cell>
          <cell r="F2303">
            <v>140756.002395113</v>
          </cell>
          <cell r="G2303">
            <v>4.8604736116862238E-2</v>
          </cell>
          <cell r="I2303" t="str">
            <v>GA</v>
          </cell>
          <cell r="J2303" t="str">
            <v>Med</v>
          </cell>
          <cell r="K2303">
            <v>58181.333333333336</v>
          </cell>
        </row>
        <row r="2304">
          <cell r="C2304">
            <v>2946499.9474356198</v>
          </cell>
          <cell r="D2304">
            <v>0.662329740379623</v>
          </cell>
          <cell r="E2304">
            <v>199466</v>
          </cell>
          <cell r="F2304">
            <v>132112.263994562</v>
          </cell>
          <cell r="G2304">
            <v>4.4837015561307293E-2</v>
          </cell>
          <cell r="I2304" t="str">
            <v>GA</v>
          </cell>
          <cell r="J2304" t="str">
            <v>Med</v>
          </cell>
          <cell r="K2304">
            <v>56202.666666666664</v>
          </cell>
        </row>
        <row r="2305">
          <cell r="C2305">
            <v>3179720.9086154602</v>
          </cell>
          <cell r="D2305">
            <v>0.72154593202893502</v>
          </cell>
          <cell r="E2305">
            <v>201854</v>
          </cell>
          <cell r="F2305">
            <v>145646.93256376899</v>
          </cell>
          <cell r="G2305">
            <v>4.5804942241672322E-2</v>
          </cell>
          <cell r="I2305" t="str">
            <v>GA</v>
          </cell>
          <cell r="J2305" t="str">
            <v>Med</v>
          </cell>
          <cell r="K2305">
            <v>66036.333333333328</v>
          </cell>
        </row>
        <row r="2306">
          <cell r="C2306">
            <v>2022491.6147233299</v>
          </cell>
          <cell r="D2306">
            <v>0.73970531364313996</v>
          </cell>
          <cell r="E2306">
            <v>140892</v>
          </cell>
          <cell r="F2306">
            <v>104218.561049809</v>
          </cell>
          <cell r="G2306">
            <v>5.1529786472843175E-2</v>
          </cell>
          <cell r="I2306" t="str">
            <v>GA</v>
          </cell>
          <cell r="J2306" t="str">
            <v>Med</v>
          </cell>
          <cell r="K2306">
            <v>82180.666666666672</v>
          </cell>
        </row>
        <row r="2307">
          <cell r="C2307">
            <v>2390077.3830876201</v>
          </cell>
          <cell r="D2307">
            <v>0.67141672905109295</v>
          </cell>
          <cell r="E2307">
            <v>145142</v>
          </cell>
          <cell r="F2307">
            <v>97450.7668879337</v>
          </cell>
          <cell r="G2307">
            <v>4.0773059306574412E-2</v>
          </cell>
          <cell r="I2307" t="str">
            <v>GA</v>
          </cell>
          <cell r="J2307" t="str">
            <v>High</v>
          </cell>
          <cell r="K2307">
            <v>108174.33333333333</v>
          </cell>
        </row>
        <row r="2308">
          <cell r="C2308">
            <v>1739420.4903164799</v>
          </cell>
          <cell r="D2308">
            <v>0.67259496895122695</v>
          </cell>
          <cell r="E2308">
            <v>161328</v>
          </cell>
          <cell r="F2308">
            <v>108508.401150964</v>
          </cell>
          <cell r="G2308">
            <v>6.2381926483584982E-2</v>
          </cell>
          <cell r="I2308" t="str">
            <v>GA</v>
          </cell>
          <cell r="J2308" t="str">
            <v>Med</v>
          </cell>
          <cell r="K2308">
            <v>58271.666666666664</v>
          </cell>
        </row>
        <row r="2309">
          <cell r="C2309">
            <v>1454381.6518527099</v>
          </cell>
          <cell r="D2309">
            <v>0.68601131577019203</v>
          </cell>
          <cell r="E2309">
            <v>166822</v>
          </cell>
          <cell r="F2309">
            <v>114441.779719415</v>
          </cell>
          <cell r="G2309">
            <v>7.8687584908424646E-2</v>
          </cell>
          <cell r="I2309" t="str">
            <v>GA</v>
          </cell>
          <cell r="J2309" t="str">
            <v>Low</v>
          </cell>
          <cell r="K2309">
            <v>37901</v>
          </cell>
        </row>
        <row r="2310">
          <cell r="C2310">
            <v>1776308.7346425001</v>
          </cell>
          <cell r="D2310">
            <v>0.69228753190548098</v>
          </cell>
          <cell r="E2310">
            <v>164505</v>
          </cell>
          <cell r="F2310">
            <v>113884.760436111</v>
          </cell>
          <cell r="G2310">
            <v>6.4113156803809468E-2</v>
          </cell>
          <cell r="I2310" t="str">
            <v>GA</v>
          </cell>
          <cell r="J2310" t="str">
            <v>Med</v>
          </cell>
          <cell r="K2310">
            <v>59536.333333333336</v>
          </cell>
        </row>
        <row r="2311">
          <cell r="C2311">
            <v>1999545.4272948599</v>
          </cell>
          <cell r="D2311">
            <v>0.68298561808259795</v>
          </cell>
          <cell r="E2311">
            <v>146399</v>
          </cell>
          <cell r="F2311">
            <v>99988.411501674302</v>
          </cell>
          <cell r="G2311">
            <v>5.0005571334754008E-2</v>
          </cell>
          <cell r="I2311" t="str">
            <v>GA</v>
          </cell>
          <cell r="J2311" t="str">
            <v>No Data</v>
          </cell>
          <cell r="K2311">
            <v>0</v>
          </cell>
        </row>
        <row r="2312">
          <cell r="C2312">
            <v>2279943.07811129</v>
          </cell>
          <cell r="D2312">
            <v>0.70889268367853298</v>
          </cell>
          <cell r="E2312">
            <v>132263</v>
          </cell>
          <cell r="F2312">
            <v>93760.273021373898</v>
          </cell>
          <cell r="G2312">
            <v>4.1123953453717416E-2</v>
          </cell>
          <cell r="I2312" t="str">
            <v>GA</v>
          </cell>
          <cell r="J2312" t="str">
            <v>High</v>
          </cell>
          <cell r="K2312">
            <v>100405.66666666667</v>
          </cell>
        </row>
        <row r="2313">
          <cell r="C2313">
            <v>2766818.2637209101</v>
          </cell>
          <cell r="D2313">
            <v>0.68663347689054999</v>
          </cell>
          <cell r="E2313">
            <v>135841</v>
          </cell>
          <cell r="F2313">
            <v>93272.978134289195</v>
          </cell>
          <cell r="G2313">
            <v>3.3711277447204847E-2</v>
          </cell>
          <cell r="I2313" t="str">
            <v>GA</v>
          </cell>
          <cell r="J2313" t="str">
            <v>High</v>
          </cell>
          <cell r="K2313">
            <v>130423.66666666667</v>
          </cell>
        </row>
        <row r="2314">
          <cell r="C2314">
            <v>1667607.0458514299</v>
          </cell>
          <cell r="D2314">
            <v>0.69738635408805805</v>
          </cell>
          <cell r="E2314">
            <v>159590</v>
          </cell>
          <cell r="F2314">
            <v>111295.888248913</v>
          </cell>
          <cell r="G2314">
            <v>6.6739876474969359E-2</v>
          </cell>
          <cell r="I2314" t="str">
            <v>GA</v>
          </cell>
          <cell r="J2314" t="str">
            <v>Med</v>
          </cell>
          <cell r="K2314">
            <v>48417.666666666664</v>
          </cell>
        </row>
        <row r="2315">
          <cell r="C2315">
            <v>1723883.73530533</v>
          </cell>
          <cell r="D2315">
            <v>0.71347292218424696</v>
          </cell>
          <cell r="E2315">
            <v>149407</v>
          </cell>
          <cell r="F2315">
            <v>106597.848884782</v>
          </cell>
          <cell r="G2315">
            <v>6.1835869033187232E-2</v>
          </cell>
          <cell r="I2315" t="str">
            <v>GA</v>
          </cell>
          <cell r="J2315" t="str">
            <v>Med</v>
          </cell>
          <cell r="K2315">
            <v>58178.333333333336</v>
          </cell>
        </row>
        <row r="2316">
          <cell r="C2316">
            <v>1803184.81618707</v>
          </cell>
          <cell r="D2316">
            <v>0.69068387673319798</v>
          </cell>
          <cell r="E2316">
            <v>156497</v>
          </cell>
          <cell r="F2316">
            <v>108089.954657115</v>
          </cell>
          <cell r="G2316">
            <v>5.9943913506146834E-2</v>
          </cell>
          <cell r="I2316" t="str">
            <v>GA</v>
          </cell>
          <cell r="J2316" t="str">
            <v>Low</v>
          </cell>
          <cell r="K2316">
            <v>38900</v>
          </cell>
        </row>
        <row r="2317">
          <cell r="C2317">
            <v>1970368.5520140701</v>
          </cell>
          <cell r="D2317">
            <v>0.67805511525280504</v>
          </cell>
          <cell r="E2317">
            <v>152217</v>
          </cell>
          <cell r="F2317">
            <v>103211.51547843601</v>
          </cell>
          <cell r="G2317">
            <v>5.2381832511960935E-2</v>
          </cell>
          <cell r="I2317" t="str">
            <v>GA</v>
          </cell>
          <cell r="J2317" t="str">
            <v>Med</v>
          </cell>
          <cell r="K2317">
            <v>76305.666666666672</v>
          </cell>
        </row>
        <row r="2318">
          <cell r="C2318">
            <v>1687437.77843559</v>
          </cell>
          <cell r="D2318">
            <v>0.67632579618744504</v>
          </cell>
          <cell r="E2318">
            <v>165140</v>
          </cell>
          <cell r="F2318">
            <v>111688.441982395</v>
          </cell>
          <cell r="G2318">
            <v>6.618818389021755E-2</v>
          </cell>
          <cell r="I2318" t="str">
            <v>GA</v>
          </cell>
          <cell r="J2318" t="str">
            <v>Med</v>
          </cell>
          <cell r="K2318">
            <v>52832</v>
          </cell>
        </row>
        <row r="2319">
          <cell r="C2319">
            <v>1903760.22305401</v>
          </cell>
          <cell r="D2319">
            <v>0.69048140120637902</v>
          </cell>
          <cell r="E2319">
            <v>144377</v>
          </cell>
          <cell r="F2319">
            <v>99689.6332619733</v>
          </cell>
          <cell r="G2319">
            <v>5.2364595107492744E-2</v>
          </cell>
          <cell r="I2319" t="str">
            <v>GA</v>
          </cell>
          <cell r="J2319" t="str">
            <v>No Data</v>
          </cell>
          <cell r="K2319">
            <v>0</v>
          </cell>
        </row>
        <row r="2320">
          <cell r="C2320">
            <v>1750732.1102205201</v>
          </cell>
          <cell r="D2320">
            <v>0.68690917220907799</v>
          </cell>
          <cell r="E2320">
            <v>163690</v>
          </cell>
          <cell r="F2320">
            <v>112440.16239890399</v>
          </cell>
          <cell r="G2320">
            <v>6.4224653070846557E-2</v>
          </cell>
          <cell r="I2320" t="str">
            <v>GA</v>
          </cell>
          <cell r="J2320" t="str">
            <v>Med</v>
          </cell>
          <cell r="K2320">
            <v>59176</v>
          </cell>
        </row>
        <row r="2321">
          <cell r="C2321">
            <v>1689586.9412964201</v>
          </cell>
          <cell r="D2321">
            <v>0.71885411414596501</v>
          </cell>
          <cell r="E2321">
            <v>147653</v>
          </cell>
          <cell r="F2321">
            <v>106140.96651599401</v>
          </cell>
          <cell r="G2321">
            <v>6.2820659843968757E-2</v>
          </cell>
          <cell r="I2321" t="str">
            <v>GA</v>
          </cell>
          <cell r="J2321" t="str">
            <v>Med</v>
          </cell>
          <cell r="K2321">
            <v>58181.333333333336</v>
          </cell>
        </row>
        <row r="2322">
          <cell r="C2322">
            <v>1735098.96791033</v>
          </cell>
          <cell r="D2322">
            <v>0.67535798967883498</v>
          </cell>
          <cell r="E2322">
            <v>148717</v>
          </cell>
          <cell r="F2322">
            <v>100437.214151067</v>
          </cell>
          <cell r="G2322">
            <v>5.7885582326193626E-2</v>
          </cell>
          <cell r="I2322" t="str">
            <v>GA</v>
          </cell>
          <cell r="J2322" t="str">
            <v>Med</v>
          </cell>
          <cell r="K2322">
            <v>56202.666666666664</v>
          </cell>
        </row>
        <row r="2323">
          <cell r="C2323">
            <v>1865193.87028861</v>
          </cell>
          <cell r="D2323">
            <v>0.67913410527732399</v>
          </cell>
          <cell r="E2323">
            <v>160977</v>
          </cell>
          <cell r="F2323">
            <v>109324.970865228</v>
          </cell>
          <cell r="G2323">
            <v>5.8613194374433387E-2</v>
          </cell>
          <cell r="I2323" t="str">
            <v>GA</v>
          </cell>
          <cell r="J2323" t="str">
            <v>Med</v>
          </cell>
          <cell r="K2323">
            <v>66036.333333333328</v>
          </cell>
        </row>
        <row r="2324">
          <cell r="C2324">
            <v>2292891.4877850101</v>
          </cell>
          <cell r="D2324">
            <v>0.71591167922400401</v>
          </cell>
          <cell r="E2324">
            <v>166690</v>
          </cell>
          <cell r="F2324">
            <v>119335.317809849</v>
          </cell>
          <cell r="G2324">
            <v>5.2045776455443983E-2</v>
          </cell>
          <cell r="I2324" t="str">
            <v>GA</v>
          </cell>
          <cell r="J2324" t="str">
            <v>Med</v>
          </cell>
          <cell r="K2324">
            <v>82180.666666666672</v>
          </cell>
        </row>
        <row r="2325">
          <cell r="C2325">
            <v>2673911.3889231002</v>
          </cell>
          <cell r="D2325">
            <v>0.67853536046637197</v>
          </cell>
          <cell r="E2325">
            <v>159583</v>
          </cell>
          <cell r="F2325">
            <v>108282.708429305</v>
          </cell>
          <cell r="G2325">
            <v>4.0495997316094733E-2</v>
          </cell>
          <cell r="I2325" t="str">
            <v>GA</v>
          </cell>
          <cell r="J2325" t="str">
            <v>High</v>
          </cell>
          <cell r="K2325">
            <v>108174.33333333333</v>
          </cell>
        </row>
        <row r="2326">
          <cell r="C2326">
            <v>1958753.2089579999</v>
          </cell>
          <cell r="D2326">
            <v>0.65807971450208602</v>
          </cell>
          <cell r="E2326">
            <v>187882</v>
          </cell>
          <cell r="F2326">
            <v>123641.332920081</v>
          </cell>
          <cell r="G2326">
            <v>6.3122466043516845E-2</v>
          </cell>
          <cell r="I2326" t="str">
            <v>GA</v>
          </cell>
          <cell r="J2326" t="str">
            <v>Med</v>
          </cell>
          <cell r="K2326">
            <v>58271.666666666664</v>
          </cell>
        </row>
        <row r="2327">
          <cell r="C2327">
            <v>1686658.1756689299</v>
          </cell>
          <cell r="D2327">
            <v>0.69643376474901697</v>
          </cell>
          <cell r="E2327">
            <v>188691</v>
          </cell>
          <cell r="F2327">
            <v>131410.78350425701</v>
          </cell>
          <cell r="G2327">
            <v>7.7911923945193806E-2</v>
          </cell>
          <cell r="I2327" t="str">
            <v>GA</v>
          </cell>
          <cell r="J2327" t="str">
            <v>Low</v>
          </cell>
          <cell r="K2327">
            <v>37901</v>
          </cell>
        </row>
        <row r="2328">
          <cell r="C2328">
            <v>2038609.9159251901</v>
          </cell>
          <cell r="D2328">
            <v>0.68552363596467103</v>
          </cell>
          <cell r="E2328">
            <v>189147</v>
          </cell>
          <cell r="F2328">
            <v>129664.73917181</v>
          </cell>
          <cell r="G2328">
            <v>6.360448762605167E-2</v>
          </cell>
          <cell r="I2328" t="str">
            <v>GA</v>
          </cell>
          <cell r="J2328" t="str">
            <v>Med</v>
          </cell>
          <cell r="K2328">
            <v>59536.333333333336</v>
          </cell>
        </row>
        <row r="2329">
          <cell r="C2329">
            <v>2205587.8690998401</v>
          </cell>
          <cell r="D2329">
            <v>0.69602498318331296</v>
          </cell>
          <cell r="E2329">
            <v>157820</v>
          </cell>
          <cell r="F2329">
            <v>109846.66284598999</v>
          </cell>
          <cell r="G2329">
            <v>4.9803802598361854E-2</v>
          </cell>
          <cell r="I2329" t="str">
            <v>GA</v>
          </cell>
          <cell r="J2329" t="str">
            <v>No Data</v>
          </cell>
          <cell r="K2329">
            <v>0</v>
          </cell>
        </row>
        <row r="2330">
          <cell r="C2330">
            <v>2670929.8714860198</v>
          </cell>
          <cell r="D2330">
            <v>0.68647047090784896</v>
          </cell>
          <cell r="E2330">
            <v>156691</v>
          </cell>
          <cell r="F2330">
            <v>107563.744557022</v>
          </cell>
          <cell r="G2330">
            <v>4.0272021255719818E-2</v>
          </cell>
          <cell r="I2330" t="str">
            <v>GA</v>
          </cell>
          <cell r="J2330" t="str">
            <v>High</v>
          </cell>
          <cell r="K2330">
            <v>100405.66666666667</v>
          </cell>
        </row>
        <row r="2331">
          <cell r="C2331">
            <v>3117891.6692002602</v>
          </cell>
          <cell r="D2331">
            <v>0.687339826428085</v>
          </cell>
          <cell r="E2331">
            <v>148583</v>
          </cell>
          <cell r="F2331">
            <v>102127.01343016401</v>
          </cell>
          <cell r="G2331">
            <v>3.2755151321969954E-2</v>
          </cell>
          <cell r="I2331" t="str">
            <v>GA</v>
          </cell>
          <cell r="J2331" t="str">
            <v>High</v>
          </cell>
          <cell r="K2331">
            <v>130423.66666666667</v>
          </cell>
        </row>
        <row r="2332">
          <cell r="C2332">
            <v>1864499.3981061201</v>
          </cell>
          <cell r="D2332">
            <v>0.69680166404700405</v>
          </cell>
          <cell r="E2332">
            <v>178981</v>
          </cell>
          <cell r="F2332">
            <v>124714.25863279701</v>
          </cell>
          <cell r="G2332">
            <v>6.68888704171621E-2</v>
          </cell>
          <cell r="I2332" t="str">
            <v>GA</v>
          </cell>
          <cell r="J2332" t="str">
            <v>Med</v>
          </cell>
          <cell r="K2332">
            <v>48417.666666666664</v>
          </cell>
        </row>
        <row r="2333">
          <cell r="C2333">
            <v>1928890.0808413101</v>
          </cell>
          <cell r="D2333">
            <v>0.72552953557125699</v>
          </cell>
          <cell r="E2333">
            <v>166999</v>
          </cell>
          <cell r="F2333">
            <v>121162.706910864</v>
          </cell>
          <cell r="G2333">
            <v>6.2814728591489954E-2</v>
          </cell>
          <cell r="I2333" t="str">
            <v>GA</v>
          </cell>
          <cell r="J2333" t="str">
            <v>Med</v>
          </cell>
          <cell r="K2333">
            <v>58178.333333333336</v>
          </cell>
        </row>
        <row r="2334">
          <cell r="C2334">
            <v>2049581.16296946</v>
          </cell>
          <cell r="D2334">
            <v>0.72918012121555098</v>
          </cell>
          <cell r="E2334">
            <v>170198</v>
          </cell>
          <cell r="F2334">
            <v>124104.99827064401</v>
          </cell>
          <cell r="G2334">
            <v>6.0551394847344842E-2</v>
          </cell>
          <cell r="I2334" t="str">
            <v>GA</v>
          </cell>
          <cell r="J2334" t="str">
            <v>Low</v>
          </cell>
          <cell r="K2334">
            <v>38900</v>
          </cell>
        </row>
        <row r="2335">
          <cell r="C2335">
            <v>2232727.2677115798</v>
          </cell>
          <cell r="D2335">
            <v>0.67284849413214798</v>
          </cell>
          <cell r="E2335">
            <v>173487</v>
          </cell>
          <cell r="F2335">
            <v>116730.466701504</v>
          </cell>
          <cell r="G2335">
            <v>5.2281560936525036E-2</v>
          </cell>
          <cell r="I2335" t="str">
            <v>GA</v>
          </cell>
          <cell r="J2335" t="str">
            <v>Med</v>
          </cell>
          <cell r="K2335">
            <v>76305.666666666672</v>
          </cell>
        </row>
        <row r="2336">
          <cell r="C2336">
            <v>1926676.6817238301</v>
          </cell>
          <cell r="D2336">
            <v>0.67383083164499602</v>
          </cell>
          <cell r="E2336">
            <v>188587</v>
          </cell>
          <cell r="F2336">
            <v>127075.735047435</v>
          </cell>
          <cell r="G2336">
            <v>6.5955921018226157E-2</v>
          </cell>
          <cell r="I2336" t="str">
            <v>GA</v>
          </cell>
          <cell r="J2336" t="str">
            <v>Med</v>
          </cell>
          <cell r="K2336">
            <v>52832</v>
          </cell>
        </row>
        <row r="2337">
          <cell r="C2337">
            <v>2201915.9858172098</v>
          </cell>
          <cell r="D2337">
            <v>0.69043996473376101</v>
          </cell>
          <cell r="E2337">
            <v>169136</v>
          </cell>
          <cell r="F2337">
            <v>116778.253875209</v>
          </cell>
          <cell r="G2337">
            <v>5.303483630955539E-2</v>
          </cell>
          <cell r="I2337" t="str">
            <v>GA</v>
          </cell>
          <cell r="J2337" t="str">
            <v>No Data</v>
          </cell>
          <cell r="K2337">
            <v>0</v>
          </cell>
        </row>
        <row r="2338">
          <cell r="C2338">
            <v>1998211.62346879</v>
          </cell>
          <cell r="D2338">
            <v>0.68647228855386799</v>
          </cell>
          <cell r="E2338">
            <v>184000</v>
          </cell>
          <cell r="F2338">
            <v>126310.90109391201</v>
          </cell>
          <cell r="G2338">
            <v>6.3211973952309888E-2</v>
          </cell>
          <cell r="I2338" t="str">
            <v>GA</v>
          </cell>
          <cell r="J2338" t="str">
            <v>Med</v>
          </cell>
          <cell r="K2338">
            <v>59176</v>
          </cell>
        </row>
        <row r="2339">
          <cell r="C2339">
            <v>1900879.2770156299</v>
          </cell>
          <cell r="D2339">
            <v>0.70261411393411199</v>
          </cell>
          <cell r="E2339">
            <v>172531</v>
          </cell>
          <cell r="F2339">
            <v>121222.715691166</v>
          </cell>
          <cell r="G2339">
            <v>6.3771917110635762E-2</v>
          </cell>
          <cell r="I2339" t="str">
            <v>GA</v>
          </cell>
          <cell r="J2339" t="str">
            <v>Med</v>
          </cell>
          <cell r="K2339">
            <v>58181.333333333336</v>
          </cell>
        </row>
        <row r="2340">
          <cell r="C2340">
            <v>1961358.0036128601</v>
          </cell>
          <cell r="D2340">
            <v>0.67029619463079004</v>
          </cell>
          <cell r="E2340">
            <v>170485</v>
          </cell>
          <cell r="F2340">
            <v>114275.44674163</v>
          </cell>
          <cell r="G2340">
            <v>5.8263431016230785E-2</v>
          </cell>
          <cell r="I2340" t="str">
            <v>GA</v>
          </cell>
          <cell r="J2340" t="str">
            <v>Med</v>
          </cell>
          <cell r="K2340">
            <v>56202.666666666664</v>
          </cell>
        </row>
        <row r="2341">
          <cell r="C2341">
            <v>2075875.25757124</v>
          </cell>
          <cell r="D2341">
            <v>0.71189423582242695</v>
          </cell>
          <cell r="E2341">
            <v>172630</v>
          </cell>
          <cell r="F2341">
            <v>122894.30193002601</v>
          </cell>
          <cell r="G2341">
            <v>5.9201197895586227E-2</v>
          </cell>
          <cell r="I2341" t="str">
            <v>GA</v>
          </cell>
          <cell r="J2341" t="str">
            <v>Med</v>
          </cell>
          <cell r="K2341">
            <v>66036.333333333328</v>
          </cell>
        </row>
        <row r="2342">
          <cell r="C2342">
            <v>2549150.3977218401</v>
          </cell>
          <cell r="D2342">
            <v>0.73170367001790304</v>
          </cell>
          <cell r="E2342">
            <v>188345</v>
          </cell>
          <cell r="F2342">
            <v>137812.72772952201</v>
          </cell>
          <cell r="G2342">
            <v>5.4062219260458073E-2</v>
          </cell>
          <cell r="I2342" t="str">
            <v>GA</v>
          </cell>
          <cell r="J2342" t="str">
            <v>Med</v>
          </cell>
          <cell r="K2342">
            <v>82180.666666666672</v>
          </cell>
        </row>
        <row r="2343">
          <cell r="C2343">
            <v>3039311.0302714198</v>
          </cell>
          <cell r="D2343">
            <v>0.68267941902125895</v>
          </cell>
          <cell r="E2343">
            <v>192316</v>
          </cell>
          <cell r="F2343">
            <v>131290.175148493</v>
          </cell>
          <cell r="G2343">
            <v>4.3197347635976692E-2</v>
          </cell>
          <cell r="I2343" t="str">
            <v>GA</v>
          </cell>
          <cell r="J2343" t="str">
            <v>High</v>
          </cell>
          <cell r="K2343">
            <v>108174.33333333333</v>
          </cell>
        </row>
        <row r="2344">
          <cell r="C2344">
            <v>2153540.0254212902</v>
          </cell>
          <cell r="D2344">
            <v>0.67091567142310304</v>
          </cell>
          <cell r="E2344">
            <v>212462</v>
          </cell>
          <cell r="F2344">
            <v>142544.08538189501</v>
          </cell>
          <cell r="G2344">
            <v>6.619059023711879E-2</v>
          </cell>
          <cell r="I2344" t="str">
            <v>GA</v>
          </cell>
          <cell r="J2344" t="str">
            <v>Med</v>
          </cell>
          <cell r="K2344">
            <v>58271.666666666664</v>
          </cell>
        </row>
        <row r="2345">
          <cell r="C2345">
            <v>1849018.3903596699</v>
          </cell>
          <cell r="D2345">
            <v>0.67917656303530405</v>
          </cell>
          <cell r="E2345">
            <v>221232</v>
          </cell>
          <cell r="F2345">
            <v>150255.58939342599</v>
          </cell>
          <cell r="G2345">
            <v>8.1262355299883404E-2</v>
          </cell>
          <cell r="I2345" t="str">
            <v>GA</v>
          </cell>
          <cell r="J2345" t="str">
            <v>Low</v>
          </cell>
          <cell r="K2345">
            <v>37901</v>
          </cell>
        </row>
        <row r="2346">
          <cell r="C2346">
            <v>2264294.91974515</v>
          </cell>
          <cell r="D2346">
            <v>0.70136939519070696</v>
          </cell>
          <cell r="E2346">
            <v>214867</v>
          </cell>
          <cell r="F2346">
            <v>150701.13783644201</v>
          </cell>
          <cell r="G2346">
            <v>6.6555436980534163E-2</v>
          </cell>
          <cell r="I2346" t="str">
            <v>GA</v>
          </cell>
          <cell r="J2346" t="str">
            <v>Med</v>
          </cell>
          <cell r="K2346">
            <v>59536.333333333336</v>
          </cell>
        </row>
        <row r="2347">
          <cell r="C2347">
            <v>2518579.1894817301</v>
          </cell>
          <cell r="D2347">
            <v>0.71562721808857299</v>
          </cell>
          <cell r="E2347">
            <v>184914</v>
          </cell>
          <cell r="F2347">
            <v>132329.49140562999</v>
          </cell>
          <cell r="G2347">
            <v>5.2541326458295949E-2</v>
          </cell>
          <cell r="I2347" t="str">
            <v>GA</v>
          </cell>
          <cell r="J2347" t="str">
            <v>No Data</v>
          </cell>
          <cell r="K2347">
            <v>0</v>
          </cell>
        </row>
        <row r="2348">
          <cell r="C2348">
            <v>2976047.8852123702</v>
          </cell>
          <cell r="D2348">
            <v>0.70620616306350903</v>
          </cell>
          <cell r="E2348">
            <v>181167</v>
          </cell>
          <cell r="F2348">
            <v>127941.25194372699</v>
          </cell>
          <cell r="G2348">
            <v>4.2990320343786109E-2</v>
          </cell>
          <cell r="I2348" t="str">
            <v>GA</v>
          </cell>
          <cell r="J2348" t="str">
            <v>High</v>
          </cell>
          <cell r="K2348">
            <v>100405.66666666667</v>
          </cell>
        </row>
        <row r="2349">
          <cell r="C2349">
            <v>3578631.4022609401</v>
          </cell>
          <cell r="D2349">
            <v>0.703684800285034</v>
          </cell>
          <cell r="E2349">
            <v>182051</v>
          </cell>
          <cell r="F2349">
            <v>128106.521576691</v>
          </cell>
          <cell r="G2349">
            <v>3.5797629645722862E-2</v>
          </cell>
          <cell r="I2349" t="str">
            <v>GA</v>
          </cell>
          <cell r="J2349" t="str">
            <v>High</v>
          </cell>
          <cell r="K2349">
            <v>130423.66666666667</v>
          </cell>
        </row>
        <row r="2350">
          <cell r="C2350">
            <v>2095137.5911541099</v>
          </cell>
          <cell r="D2350">
            <v>0.69669443337470005</v>
          </cell>
          <cell r="E2350">
            <v>214241</v>
          </cell>
          <cell r="F2350">
            <v>149260.51210062901</v>
          </cell>
          <cell r="G2350">
            <v>7.1241388981240425E-2</v>
          </cell>
          <cell r="I2350" t="str">
            <v>GA</v>
          </cell>
          <cell r="J2350" t="str">
            <v>Med</v>
          </cell>
          <cell r="K2350">
            <v>48417.666666666664</v>
          </cell>
        </row>
        <row r="2351">
          <cell r="C2351">
            <v>2161062.4764408302</v>
          </cell>
          <cell r="D2351">
            <v>0.70798387134542395</v>
          </cell>
          <cell r="E2351">
            <v>202809</v>
          </cell>
          <cell r="F2351">
            <v>143585.50096369401</v>
          </cell>
          <cell r="G2351">
            <v>6.644208694982881E-2</v>
          </cell>
          <cell r="I2351" t="str">
            <v>GA</v>
          </cell>
          <cell r="J2351" t="str">
            <v>Med</v>
          </cell>
          <cell r="K2351">
            <v>58178.333333333336</v>
          </cell>
        </row>
        <row r="2352">
          <cell r="C2352">
            <v>2328892.2711835601</v>
          </cell>
          <cell r="D2352">
            <v>0.75489988230730098</v>
          </cell>
          <cell r="E2352">
            <v>196807</v>
          </cell>
          <cell r="F2352">
            <v>148569.581137253</v>
          </cell>
          <cell r="G2352">
            <v>6.3794097724300849E-2</v>
          </cell>
          <cell r="I2352" t="str">
            <v>GA</v>
          </cell>
          <cell r="J2352" t="str">
            <v>Low</v>
          </cell>
          <cell r="K2352">
            <v>38900</v>
          </cell>
        </row>
        <row r="2353">
          <cell r="C2353">
            <v>2551833.94119904</v>
          </cell>
          <cell r="D2353">
            <v>0.69041747694099598</v>
          </cell>
          <cell r="E2353">
            <v>204244</v>
          </cell>
          <cell r="F2353">
            <v>141013.627160337</v>
          </cell>
          <cell r="G2353">
            <v>5.5259719248846727E-2</v>
          </cell>
          <cell r="I2353" t="str">
            <v>GA</v>
          </cell>
          <cell r="J2353" t="str">
            <v>Med</v>
          </cell>
          <cell r="K2353">
            <v>76305.666666666672</v>
          </cell>
        </row>
        <row r="2354">
          <cell r="C2354">
            <v>2168691.22167406</v>
          </cell>
          <cell r="D2354">
            <v>0.68274686555896003</v>
          </cell>
          <cell r="E2354">
            <v>220585</v>
          </cell>
          <cell r="F2354">
            <v>150603.71733932299</v>
          </cell>
          <cell r="G2354">
            <v>6.9444518350135945E-2</v>
          </cell>
          <cell r="I2354" t="str">
            <v>GA</v>
          </cell>
          <cell r="J2354" t="str">
            <v>Med</v>
          </cell>
          <cell r="K2354">
            <v>52832</v>
          </cell>
        </row>
        <row r="2355">
          <cell r="C2355">
            <v>2446723.2795889899</v>
          </cell>
          <cell r="D2355">
            <v>0.67122294373458102</v>
          </cell>
          <cell r="E2355">
            <v>204116</v>
          </cell>
          <cell r="F2355">
            <v>137007.34238332801</v>
          </cell>
          <cell r="G2355">
            <v>5.5996255696861244E-2</v>
          </cell>
          <cell r="I2355" t="str">
            <v>GA</v>
          </cell>
          <cell r="J2355" t="str">
            <v>No Data</v>
          </cell>
          <cell r="K2355">
            <v>0</v>
          </cell>
        </row>
        <row r="2356">
          <cell r="C2356">
            <v>2221527.3023594599</v>
          </cell>
          <cell r="D2356">
            <v>0.67855913707695403</v>
          </cell>
          <cell r="E2356">
            <v>217817</v>
          </cell>
          <cell r="F2356">
            <v>147801.71556069099</v>
          </cell>
          <cell r="G2356">
            <v>6.6531577353882806E-2</v>
          </cell>
          <cell r="I2356" t="str">
            <v>GA</v>
          </cell>
          <cell r="J2356" t="str">
            <v>Med</v>
          </cell>
          <cell r="K2356">
            <v>59176</v>
          </cell>
        </row>
        <row r="2357">
          <cell r="C2357">
            <v>2110294.37722165</v>
          </cell>
          <cell r="D2357">
            <v>0.69412135222404503</v>
          </cell>
          <cell r="E2357">
            <v>200359</v>
          </cell>
          <cell r="F2357">
            <v>139073.460010257</v>
          </cell>
          <cell r="G2357">
            <v>6.5902398031006906E-2</v>
          </cell>
          <cell r="I2357" t="str">
            <v>GA</v>
          </cell>
          <cell r="J2357" t="str">
            <v>Med</v>
          </cell>
          <cell r="K2357">
            <v>58181.333333333336</v>
          </cell>
        </row>
        <row r="2358">
          <cell r="C2358">
            <v>2123420.74474415</v>
          </cell>
          <cell r="D2358">
            <v>0.65514735510162603</v>
          </cell>
          <cell r="E2358">
            <v>196748</v>
          </cell>
          <cell r="F2358">
            <v>128898.93182153501</v>
          </cell>
          <cell r="G2358">
            <v>6.0703434371442003E-2</v>
          </cell>
          <cell r="I2358" t="str">
            <v>GA</v>
          </cell>
          <cell r="J2358" t="str">
            <v>Med</v>
          </cell>
          <cell r="K2358">
            <v>56202.666666666664</v>
          </cell>
        </row>
        <row r="2359">
          <cell r="C2359">
            <v>2325507.6086168699</v>
          </cell>
          <cell r="D2359">
            <v>0.69719435866149304</v>
          </cell>
          <cell r="E2359">
            <v>208323</v>
          </cell>
          <cell r="F2359">
            <v>145241.62037943801</v>
          </cell>
          <cell r="G2359">
            <v>6.2455878381676259E-2</v>
          </cell>
          <cell r="I2359" t="str">
            <v>GA</v>
          </cell>
          <cell r="J2359" t="str">
            <v>Med</v>
          </cell>
          <cell r="K2359">
            <v>66036.333333333328</v>
          </cell>
        </row>
        <row r="2360">
          <cell r="C2360">
            <v>2726980.91772237</v>
          </cell>
          <cell r="D2360">
            <v>0.69596055419695801</v>
          </cell>
          <cell r="E2360">
            <v>233285</v>
          </cell>
          <cell r="F2360">
            <v>162357.15788583699</v>
          </cell>
          <cell r="G2360">
            <v>5.9537328197162814E-2</v>
          </cell>
          <cell r="I2360" t="str">
            <v>GA</v>
          </cell>
          <cell r="J2360" t="str">
            <v>Med</v>
          </cell>
          <cell r="K2360">
            <v>82180.666666666672</v>
          </cell>
        </row>
        <row r="2361">
          <cell r="C2361">
            <v>3202286.4714380801</v>
          </cell>
          <cell r="D2361">
            <v>0.66464692107929901</v>
          </cell>
          <cell r="E2361">
            <v>223013</v>
          </cell>
          <cell r="F2361">
            <v>148224.903810658</v>
          </cell>
          <cell r="G2361">
            <v>4.6287209196525535E-2</v>
          </cell>
          <cell r="I2361" t="str">
            <v>GA</v>
          </cell>
          <cell r="J2361" t="str">
            <v>High</v>
          </cell>
          <cell r="K2361">
            <v>108174.33333333333</v>
          </cell>
        </row>
        <row r="2362">
          <cell r="C2362">
            <v>2286169.2674430502</v>
          </cell>
          <cell r="D2362">
            <v>0.661725454788467</v>
          </cell>
          <cell r="E2362">
            <v>248772</v>
          </cell>
          <cell r="F2362">
            <v>164618.764838637</v>
          </cell>
          <cell r="G2362">
            <v>7.200637642319184E-2</v>
          </cell>
          <cell r="I2362" t="str">
            <v>GA</v>
          </cell>
          <cell r="J2362" t="str">
            <v>Med</v>
          </cell>
          <cell r="K2362">
            <v>58271.666666666664</v>
          </cell>
        </row>
        <row r="2363">
          <cell r="C2363">
            <v>1925118.07044167</v>
          </cell>
          <cell r="D2363">
            <v>0.70785289209492097</v>
          </cell>
          <cell r="E2363">
            <v>245300</v>
          </cell>
          <cell r="F2363">
            <v>173636.314430884</v>
          </cell>
          <cell r="G2363">
            <v>9.0195150675120669E-2</v>
          </cell>
          <cell r="I2363" t="str">
            <v>GA</v>
          </cell>
          <cell r="J2363" t="str">
            <v>Low</v>
          </cell>
          <cell r="K2363">
            <v>37901</v>
          </cell>
        </row>
        <row r="2364">
          <cell r="C2364">
            <v>2374758.2333075199</v>
          </cell>
          <cell r="D2364">
            <v>0.69941464248017604</v>
          </cell>
          <cell r="E2364">
            <v>247216</v>
          </cell>
          <cell r="F2364">
            <v>172906.490255379</v>
          </cell>
          <cell r="G2364">
            <v>7.2810144557140036E-2</v>
          </cell>
          <cell r="I2364" t="str">
            <v>GA</v>
          </cell>
          <cell r="J2364" t="str">
            <v>Med</v>
          </cell>
          <cell r="K2364">
            <v>59536.333333333336</v>
          </cell>
        </row>
        <row r="2365">
          <cell r="C2365">
            <v>2679103.76329043</v>
          </cell>
          <cell r="D2365">
            <v>0.71001530571208904</v>
          </cell>
          <cell r="E2365">
            <v>216968</v>
          </cell>
          <cell r="F2365">
            <v>154050.60084974</v>
          </cell>
          <cell r="G2365">
            <v>5.7500796706932193E-2</v>
          </cell>
          <cell r="I2365" t="str">
            <v>GA</v>
          </cell>
          <cell r="J2365" t="str">
            <v>No Data</v>
          </cell>
          <cell r="K2365">
            <v>0</v>
          </cell>
        </row>
        <row r="2366">
          <cell r="C2366">
            <v>3107436.9975734502</v>
          </cell>
          <cell r="D2366">
            <v>0.69062995847118103</v>
          </cell>
          <cell r="E2366">
            <v>210361</v>
          </cell>
          <cell r="F2366">
            <v>145281.60869395599</v>
          </cell>
          <cell r="G2366">
            <v>4.675287344760462E-2</v>
          </cell>
          <cell r="I2366" t="str">
            <v>GA</v>
          </cell>
          <cell r="J2366" t="str">
            <v>High</v>
          </cell>
          <cell r="K2366">
            <v>100405.66666666667</v>
          </cell>
        </row>
        <row r="2367">
          <cell r="C2367">
            <v>3698294.14549794</v>
          </cell>
          <cell r="D2367">
            <v>0.68084195307926998</v>
          </cell>
          <cell r="E2367">
            <v>207834</v>
          </cell>
          <cell r="F2367">
            <v>141502.106476277</v>
          </cell>
          <cell r="G2367">
            <v>3.8261452688540837E-2</v>
          </cell>
          <cell r="I2367" t="str">
            <v>GA</v>
          </cell>
          <cell r="J2367" t="str">
            <v>High</v>
          </cell>
          <cell r="K2367">
            <v>130423.66666666667</v>
          </cell>
        </row>
        <row r="2368">
          <cell r="C2368">
            <v>2185470.92069906</v>
          </cell>
          <cell r="D2368">
            <v>0.72555387862012699</v>
          </cell>
          <cell r="E2368">
            <v>237255</v>
          </cell>
          <cell r="F2368">
            <v>172141.285472018</v>
          </cell>
          <cell r="G2368">
            <v>7.8766220973992968E-2</v>
          </cell>
          <cell r="I2368" t="str">
            <v>GA</v>
          </cell>
          <cell r="J2368" t="str">
            <v>Med</v>
          </cell>
          <cell r="K2368">
            <v>48417.666666666664</v>
          </cell>
        </row>
        <row r="2369">
          <cell r="C2369">
            <v>2307880.1376773398</v>
          </cell>
          <cell r="D2369">
            <v>0.71405498421526103</v>
          </cell>
          <cell r="E2369">
            <v>238654</v>
          </cell>
          <cell r="F2369">
            <v>170412.078202909</v>
          </cell>
          <cell r="G2369">
            <v>7.3839223892455882E-2</v>
          </cell>
          <cell r="I2369" t="str">
            <v>GA</v>
          </cell>
          <cell r="J2369" t="str">
            <v>Med</v>
          </cell>
          <cell r="K2369">
            <v>58178.333333333336</v>
          </cell>
        </row>
        <row r="2370">
          <cell r="C2370">
            <v>2434449.5749578299</v>
          </cell>
          <cell r="D2370">
            <v>0.75287846723359997</v>
          </cell>
          <cell r="E2370">
            <v>227188</v>
          </cell>
          <cell r="F2370">
            <v>171044.953213867</v>
          </cell>
          <cell r="G2370">
            <v>7.0260216097032896E-2</v>
          </cell>
          <cell r="I2370" t="str">
            <v>GA</v>
          </cell>
          <cell r="J2370" t="str">
            <v>Low</v>
          </cell>
          <cell r="K2370">
            <v>38900</v>
          </cell>
        </row>
        <row r="2371">
          <cell r="C2371">
            <v>2576918.1160836201</v>
          </cell>
          <cell r="D2371">
            <v>0.65361505023852096</v>
          </cell>
          <cell r="E2371">
            <v>234915</v>
          </cell>
          <cell r="F2371">
            <v>153543.979526782</v>
          </cell>
          <cell r="G2371">
            <v>5.9584345567074877E-2</v>
          </cell>
          <cell r="I2371" t="str">
            <v>GA</v>
          </cell>
          <cell r="J2371" t="str">
            <v>Med</v>
          </cell>
          <cell r="K2371">
            <v>76305.666666666672</v>
          </cell>
        </row>
        <row r="2372">
          <cell r="C2372">
            <v>2301324.5279907598</v>
          </cell>
          <cell r="D2372">
            <v>0.66156118468629499</v>
          </cell>
          <cell r="E2372">
            <v>267258</v>
          </cell>
          <cell r="F2372">
            <v>176807.51909689</v>
          </cell>
          <cell r="G2372">
            <v>7.6828590208116845E-2</v>
          </cell>
          <cell r="I2372" t="str">
            <v>GA</v>
          </cell>
          <cell r="J2372" t="str">
            <v>Med</v>
          </cell>
          <cell r="K2372">
            <v>52832</v>
          </cell>
        </row>
        <row r="2373">
          <cell r="C2373">
            <v>2503762.45334356</v>
          </cell>
          <cell r="D2373">
            <v>0.68429678427743701</v>
          </cell>
          <cell r="E2373">
            <v>221221</v>
          </cell>
          <cell r="F2373">
            <v>151380.81891463901</v>
          </cell>
          <cell r="G2373">
            <v>6.0461334385968971E-2</v>
          </cell>
          <cell r="I2373" t="str">
            <v>GA</v>
          </cell>
          <cell r="J2373" t="str">
            <v>No Data</v>
          </cell>
          <cell r="K2373">
            <v>0</v>
          </cell>
        </row>
        <row r="2374">
          <cell r="C2374">
            <v>2331588.8717718101</v>
          </cell>
          <cell r="D2374">
            <v>0.68005537897742296</v>
          </cell>
          <cell r="E2374">
            <v>253195</v>
          </cell>
          <cell r="F2374">
            <v>172186.62168018901</v>
          </cell>
          <cell r="G2374">
            <v>7.3849478252716899E-2</v>
          </cell>
          <cell r="I2374" t="str">
            <v>GA</v>
          </cell>
          <cell r="J2374" t="str">
            <v>Med</v>
          </cell>
          <cell r="K2374">
            <v>59176</v>
          </cell>
        </row>
        <row r="2375">
          <cell r="C2375">
            <v>2266127.9092222201</v>
          </cell>
          <cell r="D2375">
            <v>0.73615239033320901</v>
          </cell>
          <cell r="E2375">
            <v>221736</v>
          </cell>
          <cell r="F2375">
            <v>163231.486422924</v>
          </cell>
          <cell r="G2375">
            <v>7.2031011911833462E-2</v>
          </cell>
          <cell r="I2375" t="str">
            <v>GA</v>
          </cell>
          <cell r="J2375" t="str">
            <v>Med</v>
          </cell>
          <cell r="K2375">
            <v>58181.333333333336</v>
          </cell>
        </row>
        <row r="2376">
          <cell r="C2376">
            <v>2308188.59180866</v>
          </cell>
          <cell r="D2376">
            <v>0.66505013941355795</v>
          </cell>
          <cell r="E2376">
            <v>234211</v>
          </cell>
          <cell r="F2376">
            <v>155762.05820218899</v>
          </cell>
          <cell r="G2376">
            <v>6.7482379366642781E-2</v>
          </cell>
          <cell r="I2376" t="str">
            <v>GA</v>
          </cell>
          <cell r="J2376" t="str">
            <v>Med</v>
          </cell>
          <cell r="K2376">
            <v>56202.666666666664</v>
          </cell>
        </row>
        <row r="2377">
          <cell r="C2377">
            <v>2428034.5888004401</v>
          </cell>
          <cell r="D2377">
            <v>0.72382429092771094</v>
          </cell>
          <cell r="E2377">
            <v>228636</v>
          </cell>
          <cell r="F2377">
            <v>165492.290580548</v>
          </cell>
          <cell r="G2377">
            <v>6.8158951006669452E-2</v>
          </cell>
          <cell r="I2377" t="str">
            <v>GA</v>
          </cell>
          <cell r="J2377" t="str">
            <v>Med</v>
          </cell>
          <cell r="K2377">
            <v>66036.333333333328</v>
          </cell>
        </row>
        <row r="2378">
          <cell r="C2378">
            <v>2849841.0250730999</v>
          </cell>
          <cell r="D2378">
            <v>0.70457845682526499</v>
          </cell>
          <cell r="E2378">
            <v>251460</v>
          </cell>
          <cell r="F2378">
            <v>177173.29875328101</v>
          </cell>
          <cell r="G2378">
            <v>6.2169537596833642E-2</v>
          </cell>
          <cell r="I2378" t="str">
            <v>GA</v>
          </cell>
          <cell r="J2378" t="str">
            <v>Med</v>
          </cell>
          <cell r="K2378">
            <v>82180.666666666672</v>
          </cell>
        </row>
        <row r="2379">
          <cell r="C2379">
            <v>3354619.4990662802</v>
          </cell>
          <cell r="D2379">
            <v>0.68006342787011997</v>
          </cell>
          <cell r="E2379">
            <v>245483</v>
          </cell>
          <cell r="F2379">
            <v>166944.010463841</v>
          </cell>
          <cell r="G2379">
            <v>4.9765408717831618E-2</v>
          </cell>
          <cell r="I2379" t="str">
            <v>GA</v>
          </cell>
          <cell r="J2379" t="str">
            <v>High</v>
          </cell>
          <cell r="K2379">
            <v>108174.33333333333</v>
          </cell>
        </row>
        <row r="2380">
          <cell r="C2380">
            <v>2438786.0161516201</v>
          </cell>
          <cell r="D2380">
            <v>0.68178680894634303</v>
          </cell>
          <cell r="E2380">
            <v>275564</v>
          </cell>
          <cell r="F2380">
            <v>187875.90022049</v>
          </cell>
          <cell r="G2380">
            <v>7.7036648142240982E-2</v>
          </cell>
          <cell r="I2380" t="str">
            <v>GA</v>
          </cell>
          <cell r="J2380" t="str">
            <v>Med</v>
          </cell>
          <cell r="K2380">
            <v>58271.666666666664</v>
          </cell>
        </row>
        <row r="2381">
          <cell r="C2381">
            <v>2092151.72602008</v>
          </cell>
          <cell r="D2381">
            <v>0.69404138863960596</v>
          </cell>
          <cell r="E2381">
            <v>284082</v>
          </cell>
          <cell r="F2381">
            <v>197164.66576751601</v>
          </cell>
          <cell r="G2381">
            <v>9.4240137230670276E-2</v>
          </cell>
          <cell r="I2381" t="str">
            <v>GA</v>
          </cell>
          <cell r="J2381" t="str">
            <v>Low</v>
          </cell>
          <cell r="K2381">
            <v>37901</v>
          </cell>
        </row>
        <row r="2382">
          <cell r="C2382">
            <v>2527321.7703488902</v>
          </cell>
          <cell r="D2382">
            <v>0.69676778639284298</v>
          </cell>
          <cell r="E2382">
            <v>276447</v>
          </cell>
          <cell r="F2382">
            <v>192619.364244942</v>
          </cell>
          <cell r="G2382">
            <v>7.6214816215646103E-2</v>
          </cell>
          <cell r="I2382" t="str">
            <v>GA</v>
          </cell>
          <cell r="J2382" t="str">
            <v>Med</v>
          </cell>
          <cell r="K2382">
            <v>59536.333333333336</v>
          </cell>
        </row>
        <row r="2383">
          <cell r="C2383">
            <v>2779241.7087505599</v>
          </cell>
          <cell r="D2383">
            <v>0.69662865852260003</v>
          </cell>
          <cell r="E2383">
            <v>242424</v>
          </cell>
          <cell r="F2383">
            <v>168879.50591368301</v>
          </cell>
          <cell r="G2383">
            <v>6.0764598265044295E-2</v>
          </cell>
          <cell r="I2383" t="str">
            <v>GA</v>
          </cell>
          <cell r="J2383" t="str">
            <v>No Data</v>
          </cell>
          <cell r="K2383">
            <v>0</v>
          </cell>
        </row>
        <row r="2384">
          <cell r="C2384">
            <v>3234473.2976664901</v>
          </cell>
          <cell r="D2384">
            <v>0.66873050544855195</v>
          </cell>
          <cell r="E2384">
            <v>237878</v>
          </cell>
          <cell r="F2384">
            <v>159076.275175091</v>
          </cell>
          <cell r="G2384">
            <v>4.9181508250464315E-2</v>
          </cell>
          <cell r="I2384" t="str">
            <v>GA</v>
          </cell>
          <cell r="J2384" t="str">
            <v>High</v>
          </cell>
          <cell r="K2384">
            <v>100405.66666666667</v>
          </cell>
        </row>
        <row r="2385">
          <cell r="C2385">
            <v>3943698.99505929</v>
          </cell>
          <cell r="D2385">
            <v>0.69724611696244898</v>
          </cell>
          <cell r="E2385">
            <v>227992</v>
          </cell>
          <cell r="F2385">
            <v>158966.53669850301</v>
          </cell>
          <cell r="G2385">
            <v>4.0308993383536135E-2</v>
          </cell>
          <cell r="I2385" t="str">
            <v>GA</v>
          </cell>
          <cell r="J2385" t="str">
            <v>High</v>
          </cell>
          <cell r="K2385">
            <v>130423.66666666667</v>
          </cell>
        </row>
        <row r="2386">
          <cell r="C2386">
            <v>2289228.0546037802</v>
          </cell>
          <cell r="D2386">
            <v>0.69218382330708905</v>
          </cell>
          <cell r="E2386">
            <v>270443</v>
          </cell>
          <cell r="F2386">
            <v>187196.269726639</v>
          </cell>
          <cell r="G2386">
            <v>8.1772661028758423E-2</v>
          </cell>
          <cell r="I2386" t="str">
            <v>GA</v>
          </cell>
          <cell r="J2386" t="str">
            <v>Med</v>
          </cell>
          <cell r="K2386">
            <v>48417.666666666664</v>
          </cell>
        </row>
        <row r="2387">
          <cell r="C2387">
            <v>2444991.0469887699</v>
          </cell>
          <cell r="D2387">
            <v>0.71098028976326799</v>
          </cell>
          <cell r="E2387">
            <v>261152</v>
          </cell>
          <cell r="F2387">
            <v>185673.924632257</v>
          </cell>
          <cell r="G2387">
            <v>7.594053354957328E-2</v>
          </cell>
          <cell r="I2387" t="str">
            <v>GA</v>
          </cell>
          <cell r="J2387" t="str">
            <v>Med</v>
          </cell>
          <cell r="K2387">
            <v>58178.333333333336</v>
          </cell>
        </row>
        <row r="2388">
          <cell r="C2388">
            <v>2521309.4940812299</v>
          </cell>
          <cell r="D2388">
            <v>0.73285340845438596</v>
          </cell>
          <cell r="E2388">
            <v>255248</v>
          </cell>
          <cell r="F2388">
            <v>187059.36680116499</v>
          </cell>
          <cell r="G2388">
            <v>7.4191354627540396E-2</v>
          </cell>
          <cell r="I2388" t="str">
            <v>GA</v>
          </cell>
          <cell r="J2388" t="str">
            <v>Low</v>
          </cell>
          <cell r="K2388">
            <v>38900</v>
          </cell>
        </row>
        <row r="2389">
          <cell r="C2389">
            <v>2787979.8030879698</v>
          </cell>
          <cell r="D2389">
            <v>0.65593250931319602</v>
          </cell>
          <cell r="E2389">
            <v>270104</v>
          </cell>
          <cell r="F2389">
            <v>177169.99449553201</v>
          </cell>
          <cell r="G2389">
            <v>6.3547804148114104E-2</v>
          </cell>
          <cell r="I2389" t="str">
            <v>GA</v>
          </cell>
          <cell r="J2389" t="str">
            <v>Med</v>
          </cell>
          <cell r="K2389">
            <v>76305.666666666672</v>
          </cell>
        </row>
        <row r="2390">
          <cell r="C2390">
            <v>2395471.8147727102</v>
          </cell>
          <cell r="D2390">
            <v>0.69264751512964495</v>
          </cell>
          <cell r="E2390">
            <v>284991</v>
          </cell>
          <cell r="F2390">
            <v>197398.307984313</v>
          </cell>
          <cell r="G2390">
            <v>8.2404771689222639E-2</v>
          </cell>
          <cell r="I2390" t="str">
            <v>GA</v>
          </cell>
          <cell r="J2390" t="str">
            <v>Med</v>
          </cell>
          <cell r="K2390">
            <v>52832</v>
          </cell>
        </row>
        <row r="2391">
          <cell r="C2391">
            <v>2693244.3418116299</v>
          </cell>
          <cell r="D2391">
            <v>0.67555621148714795</v>
          </cell>
          <cell r="E2391">
            <v>254503</v>
          </cell>
          <cell r="F2391">
            <v>171931.08249211399</v>
          </cell>
          <cell r="G2391">
            <v>6.3837907249241016E-2</v>
          </cell>
          <cell r="I2391" t="str">
            <v>GA</v>
          </cell>
          <cell r="J2391" t="str">
            <v>No Data</v>
          </cell>
          <cell r="K2391">
            <v>0</v>
          </cell>
        </row>
        <row r="2392">
          <cell r="C2392">
            <v>2514318.1900708401</v>
          </cell>
          <cell r="D2392">
            <v>0.67603260697005496</v>
          </cell>
          <cell r="E2392">
            <v>289059</v>
          </cell>
          <cell r="F2392">
            <v>195413.30933815701</v>
          </cell>
          <cell r="G2392">
            <v>7.7720198704306118E-2</v>
          </cell>
          <cell r="I2392" t="str">
            <v>GA</v>
          </cell>
          <cell r="J2392" t="str">
            <v>Med</v>
          </cell>
          <cell r="K2392">
            <v>59176</v>
          </cell>
        </row>
        <row r="2393">
          <cell r="C2393">
            <v>2366365.85929072</v>
          </cell>
          <cell r="D2393">
            <v>0.69941743276761803</v>
          </cell>
          <cell r="E2393">
            <v>262066</v>
          </cell>
          <cell r="F2393">
            <v>183293.528935679</v>
          </cell>
          <cell r="G2393">
            <v>7.7457814993417071E-2</v>
          </cell>
          <cell r="I2393" t="str">
            <v>GA</v>
          </cell>
          <cell r="J2393" t="str">
            <v>Med</v>
          </cell>
          <cell r="K2393">
            <v>58181.333333333336</v>
          </cell>
        </row>
        <row r="2394">
          <cell r="C2394">
            <v>2408769.8574177502</v>
          </cell>
          <cell r="D2394">
            <v>0.67351635110599195</v>
          </cell>
          <cell r="E2394">
            <v>248934</v>
          </cell>
          <cell r="F2394">
            <v>167661.119346219</v>
          </cell>
          <cell r="G2394">
            <v>6.9604457574022907E-2</v>
          </cell>
          <cell r="I2394" t="str">
            <v>GA</v>
          </cell>
          <cell r="J2394" t="str">
            <v>Med</v>
          </cell>
          <cell r="K2394">
            <v>56202.666666666664</v>
          </cell>
        </row>
        <row r="2395">
          <cell r="C2395">
            <v>2588197.0205747299</v>
          </cell>
          <cell r="D2395">
            <v>0.731191352545147</v>
          </cell>
          <cell r="E2395">
            <v>253412</v>
          </cell>
          <cell r="F2395">
            <v>185292.66303117099</v>
          </cell>
          <cell r="G2395">
            <v>7.1591405738511082E-2</v>
          </cell>
          <cell r="I2395" t="str">
            <v>GA</v>
          </cell>
          <cell r="J2395" t="str">
            <v>Med</v>
          </cell>
          <cell r="K2395">
            <v>66036.333333333328</v>
          </cell>
        </row>
        <row r="2396">
          <cell r="C2396">
            <v>2718917.3211808498</v>
          </cell>
          <cell r="D2396">
            <v>0.748770841625372</v>
          </cell>
          <cell r="E2396">
            <v>244476</v>
          </cell>
          <cell r="F2396">
            <v>183056.500277204</v>
          </cell>
          <cell r="G2396">
            <v>6.7326983005757943E-2</v>
          </cell>
          <cell r="I2396" t="str">
            <v>GA</v>
          </cell>
          <cell r="J2396" t="str">
            <v>Med</v>
          </cell>
          <cell r="K2396">
            <v>82180.666666666672</v>
          </cell>
        </row>
        <row r="2397">
          <cell r="C2397">
            <v>3191698.3133774898</v>
          </cell>
          <cell r="D2397">
            <v>0.72213666925520104</v>
          </cell>
          <cell r="E2397">
            <v>241880</v>
          </cell>
          <cell r="F2397">
            <v>174670.41755944799</v>
          </cell>
          <cell r="G2397">
            <v>5.4726481142451669E-2</v>
          </cell>
          <cell r="I2397" t="str">
            <v>GA</v>
          </cell>
          <cell r="J2397" t="str">
            <v>High</v>
          </cell>
          <cell r="K2397">
            <v>108174.33333333333</v>
          </cell>
        </row>
        <row r="2398">
          <cell r="C2398">
            <v>2285652.1589791402</v>
          </cell>
          <cell r="D2398">
            <v>0.67804452624440703</v>
          </cell>
          <cell r="E2398">
            <v>285349</v>
          </cell>
          <cell r="F2398">
            <v>193479.327519315</v>
          </cell>
          <cell r="G2398">
            <v>8.4649506601096422E-2</v>
          </cell>
          <cell r="I2398" t="str">
            <v>GA</v>
          </cell>
          <cell r="J2398" t="str">
            <v>Med</v>
          </cell>
          <cell r="K2398">
            <v>58271.666666666664</v>
          </cell>
        </row>
        <row r="2399">
          <cell r="C2399">
            <v>1989919.2281897501</v>
          </cell>
          <cell r="D2399">
            <v>0.70190196590361298</v>
          </cell>
          <cell r="E2399">
            <v>288347</v>
          </cell>
          <cell r="F2399">
            <v>202391.32616240901</v>
          </cell>
          <cell r="G2399">
            <v>0.1017083122245753</v>
          </cell>
          <cell r="I2399" t="str">
            <v>GA</v>
          </cell>
          <cell r="J2399" t="str">
            <v>Low</v>
          </cell>
          <cell r="K2399">
            <v>37901</v>
          </cell>
        </row>
        <row r="2400">
          <cell r="C2400">
            <v>2427921.5146029601</v>
          </cell>
          <cell r="D2400">
            <v>0.70263005027720404</v>
          </cell>
          <cell r="E2400">
            <v>291400</v>
          </cell>
          <cell r="F2400">
            <v>204746.39665077699</v>
          </cell>
          <cell r="G2400">
            <v>8.4329907461716008E-2</v>
          </cell>
          <cell r="I2400" t="str">
            <v>GA</v>
          </cell>
          <cell r="J2400" t="str">
            <v>Med</v>
          </cell>
          <cell r="K2400">
            <v>59536.333333333336</v>
          </cell>
        </row>
        <row r="2401">
          <cell r="C2401">
            <v>2624893.1580866301</v>
          </cell>
          <cell r="D2401">
            <v>0.71066736502472405</v>
          </cell>
          <cell r="E2401">
            <v>248244</v>
          </cell>
          <cell r="F2401">
            <v>176418.90936319699</v>
          </cell>
          <cell r="G2401">
            <v>6.7209939124453527E-2</v>
          </cell>
          <cell r="I2401" t="str">
            <v>GA</v>
          </cell>
          <cell r="J2401" t="str">
            <v>No Data</v>
          </cell>
          <cell r="K2401">
            <v>0</v>
          </cell>
        </row>
        <row r="2402">
          <cell r="C2402">
            <v>3115118.1607399299</v>
          </cell>
          <cell r="D2402">
            <v>0.69843405979088702</v>
          </cell>
          <cell r="E2402">
            <v>236530</v>
          </cell>
          <cell r="F2402">
            <v>165200.60816233899</v>
          </cell>
          <cell r="G2402">
            <v>5.3031891452585897E-2</v>
          </cell>
          <cell r="I2402" t="str">
            <v>GA</v>
          </cell>
          <cell r="J2402" t="str">
            <v>High</v>
          </cell>
          <cell r="K2402">
            <v>100405.66666666667</v>
          </cell>
        </row>
        <row r="2403">
          <cell r="C2403">
            <v>3725427.51012222</v>
          </cell>
          <cell r="D2403">
            <v>0.72197472412791996</v>
          </cell>
          <cell r="E2403">
            <v>234113</v>
          </cell>
          <cell r="F2403">
            <v>169023.66858976</v>
          </cell>
          <cell r="G2403">
            <v>4.5370274453203581E-2</v>
          </cell>
          <cell r="I2403" t="str">
            <v>GA</v>
          </cell>
          <cell r="J2403" t="str">
            <v>High</v>
          </cell>
          <cell r="K2403">
            <v>130423.66666666667</v>
          </cell>
        </row>
        <row r="2404">
          <cell r="C2404">
            <v>2185890.7065658998</v>
          </cell>
          <cell r="D2404">
            <v>0.71633391958713</v>
          </cell>
          <cell r="E2404">
            <v>272441</v>
          </cell>
          <cell r="F2404">
            <v>195158.72938623701</v>
          </cell>
          <cell r="G2404">
            <v>8.9281101200543223E-2</v>
          </cell>
          <cell r="I2404" t="str">
            <v>GA</v>
          </cell>
          <cell r="J2404" t="str">
            <v>Med</v>
          </cell>
          <cell r="K2404">
            <v>48417.666666666664</v>
          </cell>
        </row>
        <row r="2405">
          <cell r="C2405">
            <v>2288857.4830571502</v>
          </cell>
          <cell r="D2405">
            <v>0.73848179931823799</v>
          </cell>
          <cell r="E2405">
            <v>260707</v>
          </cell>
          <cell r="F2405">
            <v>192527.37445485999</v>
          </cell>
          <cell r="G2405">
            <v>8.411505560307217E-2</v>
          </cell>
          <cell r="I2405" t="str">
            <v>GA</v>
          </cell>
          <cell r="J2405" t="str">
            <v>Med</v>
          </cell>
          <cell r="K2405">
            <v>58178.333333333336</v>
          </cell>
        </row>
        <row r="2406">
          <cell r="C2406">
            <v>2434289.56389861</v>
          </cell>
          <cell r="D2406">
            <v>0.711822408229704</v>
          </cell>
          <cell r="E2406">
            <v>277140</v>
          </cell>
          <cell r="F2406">
            <v>197274.46221678</v>
          </cell>
          <cell r="G2406">
            <v>8.1039850452645917E-2</v>
          </cell>
          <cell r="I2406" t="str">
            <v>GA</v>
          </cell>
          <cell r="J2406" t="str">
            <v>Low</v>
          </cell>
          <cell r="K2406">
            <v>38900</v>
          </cell>
        </row>
        <row r="2407">
          <cell r="C2407">
            <v>2675207.0930248299</v>
          </cell>
          <cell r="D2407">
            <v>0.69932109105547502</v>
          </cell>
          <cell r="E2407">
            <v>266817</v>
          </cell>
          <cell r="F2407">
            <v>186590.755552149</v>
          </cell>
          <cell r="G2407">
            <v>6.9748153718138028E-2</v>
          </cell>
          <cell r="I2407" t="str">
            <v>GA</v>
          </cell>
          <cell r="J2407" t="str">
            <v>Med</v>
          </cell>
          <cell r="K2407">
            <v>76305.666666666672</v>
          </cell>
        </row>
        <row r="2408">
          <cell r="C2408">
            <v>2305539.4511264302</v>
          </cell>
          <cell r="D2408">
            <v>0.69537204789942197</v>
          </cell>
          <cell r="E2408">
            <v>291539</v>
          </cell>
          <cell r="F2408">
            <v>202728.07147254999</v>
          </cell>
          <cell r="G2408">
            <v>8.793086206939639E-2</v>
          </cell>
          <cell r="I2408" t="str">
            <v>GA</v>
          </cell>
          <cell r="J2408" t="str">
            <v>Med</v>
          </cell>
          <cell r="K2408">
            <v>52832</v>
          </cell>
        </row>
        <row r="2409">
          <cell r="C2409">
            <v>2599117.8605500399</v>
          </cell>
          <cell r="D2409">
            <v>0.69421409982583204</v>
          </cell>
          <cell r="E2409">
            <v>260512</v>
          </cell>
          <cell r="F2409">
            <v>180851.10357382699</v>
          </cell>
          <cell r="G2409">
            <v>6.9581724753164625E-2</v>
          </cell>
          <cell r="I2409" t="str">
            <v>GA</v>
          </cell>
          <cell r="J2409" t="str">
            <v>No Data</v>
          </cell>
          <cell r="K2409">
            <v>0</v>
          </cell>
        </row>
        <row r="2410">
          <cell r="C2410">
            <v>2399657.54764594</v>
          </cell>
          <cell r="D2410">
            <v>0.68080134077251797</v>
          </cell>
          <cell r="E2410">
            <v>298721</v>
          </cell>
          <cell r="F2410">
            <v>203369.65731690699</v>
          </cell>
          <cell r="G2410">
            <v>8.4749449985649941E-2</v>
          </cell>
          <cell r="I2410" t="str">
            <v>GA</v>
          </cell>
          <cell r="J2410" t="str">
            <v>Med</v>
          </cell>
          <cell r="K2410">
            <v>59176</v>
          </cell>
        </row>
        <row r="2411">
          <cell r="C2411">
            <v>2290588.92779942</v>
          </cell>
          <cell r="D2411">
            <v>0.71318841991738302</v>
          </cell>
          <cell r="E2411">
            <v>262729</v>
          </cell>
          <cell r="F2411">
            <v>187375.28037647399</v>
          </cell>
          <cell r="G2411">
            <v>8.1802229157060646E-2</v>
          </cell>
          <cell r="I2411" t="str">
            <v>GA</v>
          </cell>
          <cell r="J2411" t="str">
            <v>Med</v>
          </cell>
          <cell r="K2411">
            <v>58181.333333333336</v>
          </cell>
        </row>
        <row r="2412">
          <cell r="C2412">
            <v>2285972.6280648299</v>
          </cell>
          <cell r="D2412">
            <v>0.68432036048234002</v>
          </cell>
          <cell r="E2412">
            <v>258694</v>
          </cell>
          <cell r="F2412">
            <v>177029.57133461899</v>
          </cell>
          <cell r="G2412">
            <v>7.7441684629654478E-2</v>
          </cell>
          <cell r="I2412" t="str">
            <v>GA</v>
          </cell>
          <cell r="J2412" t="str">
            <v>Med</v>
          </cell>
          <cell r="K2412">
            <v>56202.666666666664</v>
          </cell>
        </row>
        <row r="2413">
          <cell r="C2413">
            <v>2535045.3592892</v>
          </cell>
          <cell r="D2413">
            <v>0.74433203243290202</v>
          </cell>
          <cell r="E2413">
            <v>267675</v>
          </cell>
          <cell r="F2413">
            <v>199239.07678147699</v>
          </cell>
          <cell r="G2413">
            <v>7.8593890263699867E-2</v>
          </cell>
          <cell r="I2413" t="str">
            <v>GA</v>
          </cell>
          <cell r="J2413" t="str">
            <v>Med</v>
          </cell>
          <cell r="K2413">
            <v>66036.333333333328</v>
          </cell>
        </row>
        <row r="2414">
          <cell r="C2414">
            <v>2593725.6341458</v>
          </cell>
          <cell r="D2414">
            <v>0.73350610608670996</v>
          </cell>
          <cell r="E2414">
            <v>262350</v>
          </cell>
          <cell r="F2414">
            <v>192435.32693184799</v>
          </cell>
          <cell r="G2414">
            <v>7.419263024526622E-2</v>
          </cell>
          <cell r="I2414" t="str">
            <v>GA</v>
          </cell>
          <cell r="J2414" t="str">
            <v>Med</v>
          </cell>
          <cell r="K2414">
            <v>82180.666666666672</v>
          </cell>
        </row>
        <row r="2415">
          <cell r="C2415">
            <v>3050699.7875036299</v>
          </cell>
          <cell r="D2415">
            <v>0.68050342898108696</v>
          </cell>
          <cell r="E2415">
            <v>259603</v>
          </cell>
          <cell r="F2415">
            <v>176660.73167377699</v>
          </cell>
          <cell r="G2415">
            <v>5.7908264981503622E-2</v>
          </cell>
          <cell r="I2415" t="str">
            <v>GA</v>
          </cell>
          <cell r="J2415" t="str">
            <v>High</v>
          </cell>
          <cell r="K2415">
            <v>108174.33333333333</v>
          </cell>
        </row>
        <row r="2416">
          <cell r="C2416">
            <v>2188419.3840904702</v>
          </cell>
          <cell r="D2416">
            <v>0.660343544210102</v>
          </cell>
          <cell r="E2416">
            <v>298391</v>
          </cell>
          <cell r="F2416">
            <v>197040.57050039701</v>
          </cell>
          <cell r="G2416">
            <v>9.0037847376447502E-2</v>
          </cell>
          <cell r="I2416" t="str">
            <v>GA</v>
          </cell>
          <cell r="J2416" t="str">
            <v>Med</v>
          </cell>
          <cell r="K2416">
            <v>58271.666666666664</v>
          </cell>
        </row>
        <row r="2417">
          <cell r="C2417">
            <v>1900085.6309469</v>
          </cell>
          <cell r="D2417">
            <v>0.70346769714707802</v>
          </cell>
          <cell r="E2417">
            <v>298855</v>
          </cell>
          <cell r="F2417">
            <v>210234.83863089001</v>
          </cell>
          <cell r="G2417">
            <v>0.1106449284215261</v>
          </cell>
          <cell r="I2417" t="str">
            <v>GA</v>
          </cell>
          <cell r="J2417" t="str">
            <v>Low</v>
          </cell>
          <cell r="K2417">
            <v>37901</v>
          </cell>
        </row>
        <row r="2418">
          <cell r="C2418">
            <v>2272654.0015639602</v>
          </cell>
          <cell r="D2418">
            <v>0.70330294227673196</v>
          </cell>
          <cell r="E2418">
            <v>291716</v>
          </cell>
          <cell r="F2418">
            <v>205164.72110919899</v>
          </cell>
          <cell r="G2418">
            <v>9.0275387704424809E-2</v>
          </cell>
          <cell r="I2418" t="str">
            <v>GA</v>
          </cell>
          <cell r="J2418" t="str">
            <v>Med</v>
          </cell>
          <cell r="K2418">
            <v>59536.333333333336</v>
          </cell>
        </row>
        <row r="2419">
          <cell r="C2419">
            <v>2471815.94948899</v>
          </cell>
          <cell r="D2419">
            <v>0.71076129450015801</v>
          </cell>
          <cell r="E2419">
            <v>251191</v>
          </cell>
          <cell r="F2419">
            <v>178536.84032678901</v>
          </cell>
          <cell r="G2419">
            <v>7.2229018654766247E-2</v>
          </cell>
          <cell r="I2419" t="str">
            <v>GA</v>
          </cell>
          <cell r="J2419" t="str">
            <v>No Data</v>
          </cell>
          <cell r="K2419">
            <v>0</v>
          </cell>
        </row>
        <row r="2420">
          <cell r="C2420">
            <v>3012050.11506256</v>
          </cell>
          <cell r="D2420">
            <v>0.67765934448010501</v>
          </cell>
          <cell r="E2420">
            <v>254437</v>
          </cell>
          <cell r="F2420">
            <v>172421.610631485</v>
          </cell>
          <cell r="G2420">
            <v>5.7243938196527594E-2</v>
          </cell>
          <cell r="I2420" t="str">
            <v>GA</v>
          </cell>
          <cell r="J2420" t="str">
            <v>High</v>
          </cell>
          <cell r="K2420">
            <v>100405.66666666667</v>
          </cell>
        </row>
        <row r="2421">
          <cell r="C2421">
            <v>3500939.06576982</v>
          </cell>
          <cell r="D2421">
            <v>0.71309119358108697</v>
          </cell>
          <cell r="E2421">
            <v>239874</v>
          </cell>
          <cell r="F2421">
            <v>171052.03696907</v>
          </cell>
          <cell r="G2421">
            <v>4.885890149917746E-2</v>
          </cell>
          <cell r="I2421" t="str">
            <v>GA</v>
          </cell>
          <cell r="J2421" t="str">
            <v>High</v>
          </cell>
          <cell r="K2421">
            <v>130423.66666666667</v>
          </cell>
        </row>
        <row r="2422">
          <cell r="C2422">
            <v>2110923.3067211299</v>
          </cell>
          <cell r="D2422">
            <v>0.71424040967084901</v>
          </cell>
          <cell r="E2422">
            <v>282102</v>
          </cell>
          <cell r="F2422">
            <v>201488.64804896599</v>
          </cell>
          <cell r="G2422">
            <v>9.5450482453545746E-2</v>
          </cell>
          <cell r="I2422" t="str">
            <v>GA</v>
          </cell>
          <cell r="J2422" t="str">
            <v>Med</v>
          </cell>
          <cell r="K2422">
            <v>48417.666666666664</v>
          </cell>
        </row>
        <row r="2423">
          <cell r="C2423">
            <v>2169576.3678615801</v>
          </cell>
          <cell r="D2423">
            <v>0.71072118504659898</v>
          </cell>
          <cell r="E2423">
            <v>276071</v>
          </cell>
          <cell r="F2423">
            <v>196209.50827699999</v>
          </cell>
          <cell r="G2423">
            <v>9.04367835046027E-2</v>
          </cell>
          <cell r="I2423" t="str">
            <v>GA</v>
          </cell>
          <cell r="J2423" t="str">
            <v>Med</v>
          </cell>
          <cell r="K2423">
            <v>58178.333333333336</v>
          </cell>
        </row>
        <row r="2424">
          <cell r="C2424">
            <v>2292500.3879588</v>
          </cell>
          <cell r="D2424">
            <v>0.69956059073976595</v>
          </cell>
          <cell r="E2424">
            <v>288594</v>
          </cell>
          <cell r="F2424">
            <v>201888.98912395199</v>
          </cell>
          <cell r="G2424">
            <v>8.8064974900052356E-2</v>
          </cell>
          <cell r="I2424" t="str">
            <v>GA</v>
          </cell>
          <cell r="J2424" t="str">
            <v>Low</v>
          </cell>
          <cell r="K2424">
            <v>38900</v>
          </cell>
        </row>
        <row r="2425">
          <cell r="C2425">
            <v>2562711.66205063</v>
          </cell>
          <cell r="D2425">
            <v>0.71305720453344601</v>
          </cell>
          <cell r="E2425">
            <v>270399</v>
          </cell>
          <cell r="F2425">
            <v>192809.95504863901</v>
          </cell>
          <cell r="G2425">
            <v>7.5236694749481248E-2</v>
          </cell>
          <cell r="I2425" t="str">
            <v>GA</v>
          </cell>
          <cell r="J2425" t="str">
            <v>Med</v>
          </cell>
          <cell r="K2425">
            <v>76305.666666666672</v>
          </cell>
        </row>
        <row r="2426">
          <cell r="C2426">
            <v>2178013.1490748599</v>
          </cell>
          <cell r="D2426">
            <v>0.67595613694651602</v>
          </cell>
          <cell r="E2426">
            <v>302170</v>
          </cell>
          <cell r="F2426">
            <v>204253.66590112899</v>
          </cell>
          <cell r="G2426">
            <v>9.3779813031839798E-2</v>
          </cell>
          <cell r="I2426" t="str">
            <v>GA</v>
          </cell>
          <cell r="J2426" t="str">
            <v>Med</v>
          </cell>
          <cell r="K2426">
            <v>52832</v>
          </cell>
        </row>
        <row r="2427">
          <cell r="C2427">
            <v>2438492.7211297299</v>
          </cell>
          <cell r="D2427">
            <v>0.67103995728280796</v>
          </cell>
          <cell r="E2427">
            <v>275555</v>
          </cell>
          <cell r="F2427">
            <v>184908.41542906401</v>
          </cell>
          <cell r="G2427">
            <v>7.5828979855801143E-2</v>
          </cell>
          <cell r="I2427" t="str">
            <v>GA</v>
          </cell>
          <cell r="J2427" t="str">
            <v>No Data</v>
          </cell>
          <cell r="K2427">
            <v>0</v>
          </cell>
        </row>
        <row r="2428">
          <cell r="C2428">
            <v>2237552.7452710802</v>
          </cell>
          <cell r="D2428">
            <v>0.70688634970750497</v>
          </cell>
          <cell r="E2428">
            <v>292690</v>
          </cell>
          <cell r="F2428">
            <v>206898.56569588999</v>
          </cell>
          <cell r="G2428">
            <v>9.2466452973301499E-2</v>
          </cell>
          <cell r="I2428" t="str">
            <v>GA</v>
          </cell>
          <cell r="J2428" t="str">
            <v>Med</v>
          </cell>
          <cell r="K2428">
            <v>59176</v>
          </cell>
        </row>
        <row r="2429">
          <cell r="C2429">
            <v>2135513.7922321698</v>
          </cell>
          <cell r="D2429">
            <v>0.72673435647639195</v>
          </cell>
          <cell r="E2429">
            <v>264353</v>
          </cell>
          <cell r="F2429">
            <v>192114.407337604</v>
          </cell>
          <cell r="G2429">
            <v>8.9961679496714589E-2</v>
          </cell>
          <cell r="I2429" t="str">
            <v>GA</v>
          </cell>
          <cell r="J2429" t="str">
            <v>Med</v>
          </cell>
          <cell r="K2429">
            <v>58181.333333333336</v>
          </cell>
        </row>
        <row r="2430">
          <cell r="C2430">
            <v>2194128.0764273298</v>
          </cell>
          <cell r="D2430">
            <v>0.67933081821187702</v>
          </cell>
          <cell r="E2430">
            <v>272788</v>
          </cell>
          <cell r="F2430">
            <v>185313.29523838201</v>
          </cell>
          <cell r="G2430">
            <v>8.4458741141549595E-2</v>
          </cell>
          <cell r="I2430" t="str">
            <v>GA</v>
          </cell>
          <cell r="J2430" t="str">
            <v>Med</v>
          </cell>
          <cell r="K2430">
            <v>56202.666666666664</v>
          </cell>
        </row>
        <row r="2431">
          <cell r="C2431">
            <v>2341552.95137621</v>
          </cell>
          <cell r="D2431">
            <v>0.76030353016529295</v>
          </cell>
          <cell r="E2431">
            <v>262337</v>
          </cell>
          <cell r="F2431">
            <v>199455.74719297301</v>
          </cell>
          <cell r="G2431">
            <v>8.5180968073237939E-2</v>
          </cell>
          <cell r="I2431" t="str">
            <v>GA</v>
          </cell>
          <cell r="J2431" t="str">
            <v>Med</v>
          </cell>
          <cell r="K2431">
            <v>66036.333333333328</v>
          </cell>
        </row>
        <row r="2432">
          <cell r="C2432">
            <v>2478529.7986642099</v>
          </cell>
          <cell r="D2432">
            <v>0.73649690004562796</v>
          </cell>
          <cell r="E2432">
            <v>227399</v>
          </cell>
          <cell r="F2432">
            <v>167478.65857347599</v>
          </cell>
          <cell r="G2432">
            <v>6.757177527731871E-2</v>
          </cell>
          <cell r="I2432" t="str">
            <v>GA</v>
          </cell>
          <cell r="J2432" t="str">
            <v>Med</v>
          </cell>
          <cell r="K2432">
            <v>82180.666666666672</v>
          </cell>
        </row>
        <row r="2433">
          <cell r="C2433">
            <v>2885020.2039068602</v>
          </cell>
          <cell r="D2433">
            <v>0.67770593739297502</v>
          </cell>
          <cell r="E2433">
            <v>223931</v>
          </cell>
          <cell r="F2433">
            <v>151759.36826634599</v>
          </cell>
          <cell r="G2433">
            <v>5.2602532232126228E-2</v>
          </cell>
          <cell r="I2433" t="str">
            <v>GA</v>
          </cell>
          <cell r="J2433" t="str">
            <v>High</v>
          </cell>
          <cell r="K2433">
            <v>108174.33333333333</v>
          </cell>
        </row>
        <row r="2434">
          <cell r="C2434">
            <v>2098142.7207679101</v>
          </cell>
          <cell r="D2434">
            <v>0.65857844383005804</v>
          </cell>
          <cell r="E2434">
            <v>267302</v>
          </cell>
          <cell r="F2434">
            <v>176039.33519266199</v>
          </cell>
          <cell r="G2434">
            <v>8.3902459756518583E-2</v>
          </cell>
          <cell r="I2434" t="str">
            <v>GA</v>
          </cell>
          <cell r="J2434" t="str">
            <v>Med</v>
          </cell>
          <cell r="K2434">
            <v>58271.666666666664</v>
          </cell>
        </row>
        <row r="2435">
          <cell r="C2435">
            <v>1766638.36508228</v>
          </cell>
          <cell r="D2435">
            <v>0.69460422505361397</v>
          </cell>
          <cell r="E2435">
            <v>266254</v>
          </cell>
          <cell r="F2435">
            <v>184941.153337425</v>
          </cell>
          <cell r="G2435">
            <v>0.10468534873508846</v>
          </cell>
          <cell r="I2435" t="str">
            <v>GA</v>
          </cell>
          <cell r="J2435" t="str">
            <v>Low</v>
          </cell>
          <cell r="K2435">
            <v>37901</v>
          </cell>
        </row>
        <row r="2436">
          <cell r="C2436">
            <v>2188459.2794814799</v>
          </cell>
          <cell r="D2436">
            <v>0.71418482164632502</v>
          </cell>
          <cell r="E2436">
            <v>256042</v>
          </cell>
          <cell r="F2436">
            <v>182861.31010396799</v>
          </cell>
          <cell r="G2436">
            <v>8.355709965382313E-2</v>
          </cell>
          <cell r="I2436" t="str">
            <v>GA</v>
          </cell>
          <cell r="J2436" t="str">
            <v>Med</v>
          </cell>
          <cell r="K2436">
            <v>59536.333333333336</v>
          </cell>
        </row>
        <row r="2437">
          <cell r="C2437">
            <v>2414100.3390752501</v>
          </cell>
          <cell r="D2437">
            <v>0.726393279433587</v>
          </cell>
          <cell r="E2437">
            <v>222946</v>
          </cell>
          <cell r="F2437">
            <v>161946.4760766</v>
          </cell>
          <cell r="G2437">
            <v>6.7083572896823138E-2</v>
          </cell>
          <cell r="I2437" t="str">
            <v>GA</v>
          </cell>
          <cell r="J2437" t="str">
            <v>No Data</v>
          </cell>
          <cell r="K2437">
            <v>0</v>
          </cell>
        </row>
        <row r="2438">
          <cell r="C2438">
            <v>2769689.3744973498</v>
          </cell>
          <cell r="D2438">
            <v>0.716794862761583</v>
          </cell>
          <cell r="E2438">
            <v>205123</v>
          </cell>
          <cell r="F2438">
            <v>147031.112634244</v>
          </cell>
          <cell r="G2438">
            <v>5.3085777050694567E-2</v>
          </cell>
          <cell r="I2438" t="str">
            <v>GA</v>
          </cell>
          <cell r="J2438" t="str">
            <v>High</v>
          </cell>
          <cell r="K2438">
            <v>100405.66666666667</v>
          </cell>
        </row>
        <row r="2439">
          <cell r="C2439">
            <v>3428564.2220943901</v>
          </cell>
          <cell r="D2439">
            <v>0.70177997955195304</v>
          </cell>
          <cell r="E2439">
            <v>216664</v>
          </cell>
          <cell r="F2439">
            <v>152050.457489644</v>
          </cell>
          <cell r="G2439">
            <v>4.4348143316026815E-2</v>
          </cell>
          <cell r="I2439" t="str">
            <v>GA</v>
          </cell>
          <cell r="J2439" t="str">
            <v>High</v>
          </cell>
          <cell r="K2439">
            <v>130423.66666666667</v>
          </cell>
        </row>
        <row r="2440">
          <cell r="C2440">
            <v>1953095.13342744</v>
          </cell>
          <cell r="D2440">
            <v>0.70238947008493202</v>
          </cell>
          <cell r="E2440">
            <v>251490</v>
          </cell>
          <cell r="F2440">
            <v>176643.92783166</v>
          </cell>
          <cell r="G2440">
            <v>9.0443074076822769E-2</v>
          </cell>
          <cell r="I2440" t="str">
            <v>GA</v>
          </cell>
          <cell r="J2440" t="str">
            <v>Med</v>
          </cell>
          <cell r="K2440">
            <v>48417.666666666664</v>
          </cell>
        </row>
        <row r="2441">
          <cell r="C2441">
            <v>2095109.5968893101</v>
          </cell>
          <cell r="D2441">
            <v>0.72906291121153999</v>
          </cell>
          <cell r="E2441">
            <v>238877</v>
          </cell>
          <cell r="F2441">
            <v>174156.36104147899</v>
          </cell>
          <cell r="G2441">
            <v>8.3125179370117749E-2</v>
          </cell>
          <cell r="I2441" t="str">
            <v>GA</v>
          </cell>
          <cell r="J2441" t="str">
            <v>Med</v>
          </cell>
          <cell r="K2441">
            <v>58178.333333333336</v>
          </cell>
        </row>
        <row r="2442">
          <cell r="C2442">
            <v>2214065.6602246198</v>
          </cell>
          <cell r="D2442">
            <v>0.756423004631536</v>
          </cell>
          <cell r="E2442">
            <v>236001</v>
          </cell>
          <cell r="F2442">
            <v>178516.58551604699</v>
          </cell>
          <cell r="G2442">
            <v>8.0628406249675655E-2</v>
          </cell>
          <cell r="I2442" t="str">
            <v>GA</v>
          </cell>
          <cell r="J2442" t="str">
            <v>Low</v>
          </cell>
          <cell r="K2442">
            <v>38900</v>
          </cell>
        </row>
        <row r="2443">
          <cell r="C2443">
            <v>2388336.5124935899</v>
          </cell>
          <cell r="D2443">
            <v>0.69588057457628105</v>
          </cell>
          <cell r="E2443">
            <v>238045</v>
          </cell>
          <cell r="F2443">
            <v>165650.89137501101</v>
          </cell>
          <cell r="G2443">
            <v>6.9358271126567478E-2</v>
          </cell>
          <cell r="I2443" t="str">
            <v>GA</v>
          </cell>
          <cell r="J2443" t="str">
            <v>Med</v>
          </cell>
          <cell r="K2443">
            <v>76305.666666666672</v>
          </cell>
        </row>
        <row r="2444">
          <cell r="C2444">
            <v>2061735.16176236</v>
          </cell>
          <cell r="D2444">
            <v>0.68588710617036897</v>
          </cell>
          <cell r="E2444">
            <v>263015</v>
          </cell>
          <cell r="F2444">
            <v>180398.59722940001</v>
          </cell>
          <cell r="G2444">
            <v>8.7498433637420367E-2</v>
          </cell>
          <cell r="I2444" t="str">
            <v>GA</v>
          </cell>
          <cell r="J2444" t="str">
            <v>Med</v>
          </cell>
          <cell r="K2444">
            <v>52832</v>
          </cell>
        </row>
        <row r="2445">
          <cell r="C2445">
            <v>2351130.43585396</v>
          </cell>
          <cell r="D2445">
            <v>0.68884250738117703</v>
          </cell>
          <cell r="E2445">
            <v>237772</v>
          </cell>
          <cell r="F2445">
            <v>163787.46066503701</v>
          </cell>
          <cell r="G2445">
            <v>6.9663281189053794E-2</v>
          </cell>
          <cell r="I2445" t="str">
            <v>GA</v>
          </cell>
          <cell r="J2445" t="str">
            <v>No Data</v>
          </cell>
          <cell r="K2445">
            <v>0</v>
          </cell>
        </row>
        <row r="2446">
          <cell r="C2446">
            <v>2176854.1255077599</v>
          </cell>
          <cell r="D2446">
            <v>0.67691512843204105</v>
          </cell>
          <cell r="E2446">
            <v>271971</v>
          </cell>
          <cell r="F2446">
            <v>184101.284394791</v>
          </cell>
          <cell r="G2446">
            <v>8.4572173319996183E-2</v>
          </cell>
          <cell r="I2446" t="str">
            <v>GA</v>
          </cell>
          <cell r="J2446" t="str">
            <v>Med</v>
          </cell>
          <cell r="K2446">
            <v>59176</v>
          </cell>
        </row>
        <row r="2447">
          <cell r="C2447">
            <v>2065391.73084409</v>
          </cell>
          <cell r="D2447">
            <v>0.70854261580190303</v>
          </cell>
          <cell r="E2447">
            <v>244639</v>
          </cell>
          <cell r="F2447">
            <v>173337.15698716199</v>
          </cell>
          <cell r="G2447">
            <v>8.3924591349226557E-2</v>
          </cell>
          <cell r="I2447" t="str">
            <v>GA</v>
          </cell>
          <cell r="J2447" t="str">
            <v>Med</v>
          </cell>
          <cell r="K2447">
            <v>58181.333333333336</v>
          </cell>
        </row>
        <row r="2448">
          <cell r="C2448">
            <v>2052433.2078241101</v>
          </cell>
          <cell r="D2448">
            <v>0.667179707913923</v>
          </cell>
          <cell r="E2448">
            <v>235383</v>
          </cell>
          <cell r="F2448">
            <v>157042.761187903</v>
          </cell>
          <cell r="G2448">
            <v>7.6515406488863097E-2</v>
          </cell>
          <cell r="I2448" t="str">
            <v>GA</v>
          </cell>
          <cell r="J2448" t="str">
            <v>Med</v>
          </cell>
          <cell r="K2448">
            <v>56202.666666666664</v>
          </cell>
        </row>
        <row r="2449">
          <cell r="C2449">
            <v>2290253.4213689798</v>
          </cell>
          <cell r="D2449">
            <v>0.72626582990660704</v>
          </cell>
          <cell r="E2449">
            <v>245463</v>
          </cell>
          <cell r="F2449">
            <v>178271.38940636499</v>
          </cell>
          <cell r="G2449">
            <v>7.78391542800555E-2</v>
          </cell>
          <cell r="I2449" t="str">
            <v>GA</v>
          </cell>
          <cell r="J2449" t="str">
            <v>Med</v>
          </cell>
          <cell r="K2449">
            <v>66036.333333333328</v>
          </cell>
        </row>
        <row r="2450">
          <cell r="C2450">
            <v>2431077.4248869</v>
          </cell>
          <cell r="D2450">
            <v>0.72833760552592497</v>
          </cell>
          <cell r="E2450">
            <v>217269</v>
          </cell>
          <cell r="F2450">
            <v>158245.18321501199</v>
          </cell>
          <cell r="G2450">
            <v>6.5092613503403313E-2</v>
          </cell>
          <cell r="I2450" t="str">
            <v>GA</v>
          </cell>
          <cell r="J2450" t="str">
            <v>Med</v>
          </cell>
          <cell r="K2450">
            <v>82180.666666666672</v>
          </cell>
        </row>
        <row r="2451">
          <cell r="C2451">
            <v>2873797.0214549098</v>
          </cell>
          <cell r="D2451">
            <v>0.694339377987513</v>
          </cell>
          <cell r="E2451">
            <v>215946</v>
          </cell>
          <cell r="F2451">
            <v>149939.811318892</v>
          </cell>
          <cell r="G2451">
            <v>5.2174809215642638E-2</v>
          </cell>
          <cell r="I2451" t="str">
            <v>GA</v>
          </cell>
          <cell r="J2451" t="str">
            <v>High</v>
          </cell>
          <cell r="K2451">
            <v>108174.33333333333</v>
          </cell>
        </row>
        <row r="2452">
          <cell r="C2452">
            <v>2123275.7178209</v>
          </cell>
          <cell r="D2452">
            <v>0.69720499471783504</v>
          </cell>
          <cell r="E2452">
            <v>240488</v>
          </cell>
          <cell r="F2452">
            <v>167669.43476970299</v>
          </cell>
          <cell r="G2452">
            <v>7.8967339645263174E-2</v>
          </cell>
          <cell r="I2452" t="str">
            <v>GA</v>
          </cell>
          <cell r="J2452" t="str">
            <v>Med</v>
          </cell>
          <cell r="K2452">
            <v>58271.666666666664</v>
          </cell>
        </row>
        <row r="2453">
          <cell r="C2453">
            <v>1777839.3307012001</v>
          </cell>
          <cell r="D2453">
            <v>0.710054097220438</v>
          </cell>
          <cell r="E2453">
            <v>248249</v>
          </cell>
          <cell r="F2453">
            <v>176270.219580876</v>
          </cell>
          <cell r="G2453">
            <v>9.9148565641954275E-2</v>
          </cell>
          <cell r="I2453" t="str">
            <v>GA</v>
          </cell>
          <cell r="J2453" t="str">
            <v>Low</v>
          </cell>
          <cell r="K2453">
            <v>37901</v>
          </cell>
        </row>
        <row r="2454">
          <cell r="C2454">
            <v>2165780.6624448802</v>
          </cell>
          <cell r="D2454">
            <v>0.71310858078279205</v>
          </cell>
          <cell r="E2454">
            <v>245643</v>
          </cell>
          <cell r="F2454">
            <v>175170.13110922699</v>
          </cell>
          <cell r="G2454">
            <v>8.0880827013887477E-2</v>
          </cell>
          <cell r="I2454" t="str">
            <v>GA</v>
          </cell>
          <cell r="J2454" t="str">
            <v>Med</v>
          </cell>
          <cell r="K2454">
            <v>59536.333333333336</v>
          </cell>
        </row>
        <row r="2455">
          <cell r="C2455">
            <v>2407632.1093595098</v>
          </cell>
          <cell r="D2455">
            <v>0.716647859944606</v>
          </cell>
          <cell r="E2455">
            <v>214190</v>
          </cell>
          <cell r="F2455">
            <v>153498.805121535</v>
          </cell>
          <cell r="G2455">
            <v>6.3755091371650432E-2</v>
          </cell>
          <cell r="I2455" t="str">
            <v>GA</v>
          </cell>
          <cell r="J2455" t="str">
            <v>No Data</v>
          </cell>
          <cell r="K2455">
            <v>0</v>
          </cell>
        </row>
        <row r="2456">
          <cell r="C2456">
            <v>2877136.2763614999</v>
          </cell>
          <cell r="D2456">
            <v>0.71986555239897998</v>
          </cell>
          <cell r="E2456">
            <v>205981</v>
          </cell>
          <cell r="F2456">
            <v>148278.626348694</v>
          </cell>
          <cell r="G2456">
            <v>5.1536879767200651E-2</v>
          </cell>
          <cell r="I2456" t="str">
            <v>GA</v>
          </cell>
          <cell r="J2456" t="str">
            <v>High</v>
          </cell>
          <cell r="K2456">
            <v>100405.66666666667</v>
          </cell>
        </row>
        <row r="2457">
          <cell r="C2457">
            <v>3364044.0316115599</v>
          </cell>
          <cell r="D2457">
            <v>0.72273429177606596</v>
          </cell>
          <cell r="E2457">
            <v>201446</v>
          </cell>
          <cell r="F2457">
            <v>145591.93214112101</v>
          </cell>
          <cell r="G2457">
            <v>4.3278842599267217E-2</v>
          </cell>
          <cell r="I2457" t="str">
            <v>GA</v>
          </cell>
          <cell r="J2457" t="str">
            <v>High</v>
          </cell>
          <cell r="K2457">
            <v>130423.66666666667</v>
          </cell>
        </row>
        <row r="2458">
          <cell r="C2458">
            <v>1963450.05151283</v>
          </cell>
          <cell r="D2458">
            <v>0.72517746712549402</v>
          </cell>
          <cell r="E2458">
            <v>233778</v>
          </cell>
          <cell r="F2458">
            <v>169530.53790966401</v>
          </cell>
          <cell r="G2458">
            <v>8.6343188500793006E-2</v>
          </cell>
          <cell r="I2458" t="str">
            <v>GA</v>
          </cell>
          <cell r="J2458" t="str">
            <v>Med</v>
          </cell>
          <cell r="K2458">
            <v>48417.666666666664</v>
          </cell>
        </row>
        <row r="2459">
          <cell r="C2459">
            <v>2075900.1006167899</v>
          </cell>
          <cell r="D2459">
            <v>0.74000678933837805</v>
          </cell>
          <cell r="E2459">
            <v>225042</v>
          </cell>
          <cell r="F2459">
            <v>166532.60788628701</v>
          </cell>
          <cell r="G2459">
            <v>8.0221879577349109E-2</v>
          </cell>
          <cell r="I2459" t="str">
            <v>GA</v>
          </cell>
          <cell r="J2459" t="str">
            <v>Med</v>
          </cell>
          <cell r="K2459">
            <v>58178.333333333336</v>
          </cell>
        </row>
        <row r="2460">
          <cell r="C2460">
            <v>2272033.11542325</v>
          </cell>
          <cell r="D2460">
            <v>0.73567353716877604</v>
          </cell>
          <cell r="E2460">
            <v>234885</v>
          </cell>
          <cell r="F2460">
            <v>172798.67877788801</v>
          </cell>
          <cell r="G2460">
            <v>7.6054647973604853E-2</v>
          </cell>
          <cell r="I2460" t="str">
            <v>GA</v>
          </cell>
          <cell r="J2460" t="str">
            <v>Low</v>
          </cell>
          <cell r="K2460">
            <v>38900</v>
          </cell>
        </row>
        <row r="2461">
          <cell r="C2461">
            <v>2394213.1717664702</v>
          </cell>
          <cell r="D2461">
            <v>0.689189501574903</v>
          </cell>
          <cell r="E2461">
            <v>229308</v>
          </cell>
          <cell r="F2461">
            <v>158036.66622713799</v>
          </cell>
          <cell r="G2461">
            <v>6.6007767433063302E-2</v>
          </cell>
          <cell r="I2461" t="str">
            <v>GA</v>
          </cell>
          <cell r="J2461" t="str">
            <v>Med</v>
          </cell>
          <cell r="K2461">
            <v>76305.666666666672</v>
          </cell>
        </row>
        <row r="2462">
          <cell r="C2462">
            <v>2102665.4855363099</v>
          </cell>
          <cell r="D2462">
            <v>0.68851925679065196</v>
          </cell>
          <cell r="E2462">
            <v>264411</v>
          </cell>
          <cell r="F2462">
            <v>182052.065207273</v>
          </cell>
          <cell r="G2462">
            <v>8.658156347719688E-2</v>
          </cell>
          <cell r="I2462" t="str">
            <v>GA</v>
          </cell>
          <cell r="J2462" t="str">
            <v>Med</v>
          </cell>
          <cell r="K2462">
            <v>52832</v>
          </cell>
        </row>
        <row r="2463">
          <cell r="C2463">
            <v>2312070.20468398</v>
          </cell>
          <cell r="D2463">
            <v>0.70307225974264198</v>
          </cell>
          <cell r="E2463">
            <v>221998</v>
          </cell>
          <cell r="F2463">
            <v>156080.635518347</v>
          </cell>
          <cell r="G2463">
            <v>6.7506875527458529E-2</v>
          </cell>
          <cell r="I2463" t="str">
            <v>GA</v>
          </cell>
          <cell r="J2463" t="str">
            <v>No Data</v>
          </cell>
          <cell r="K2463">
            <v>0</v>
          </cell>
        </row>
        <row r="2464">
          <cell r="C2464">
            <v>2136833.0431505502</v>
          </cell>
          <cell r="D2464">
            <v>0.67731279088944296</v>
          </cell>
          <cell r="E2464">
            <v>257147</v>
          </cell>
          <cell r="F2464">
            <v>174168.952238848</v>
          </cell>
          <cell r="G2464">
            <v>8.1507983413647053E-2</v>
          </cell>
          <cell r="I2464" t="str">
            <v>GA</v>
          </cell>
          <cell r="J2464" t="str">
            <v>Med</v>
          </cell>
          <cell r="K2464">
            <v>59176</v>
          </cell>
        </row>
        <row r="2465">
          <cell r="C2465">
            <v>2087384.0907993801</v>
          </cell>
          <cell r="D2465">
            <v>0.72857170590700004</v>
          </cell>
          <cell r="E2465">
            <v>225946</v>
          </cell>
          <cell r="F2465">
            <v>164617.86266286299</v>
          </cell>
          <cell r="G2465">
            <v>7.8863235275411767E-2</v>
          </cell>
          <cell r="I2465" t="str">
            <v>GA</v>
          </cell>
          <cell r="J2465" t="str">
            <v>Med</v>
          </cell>
          <cell r="K2465">
            <v>58181.333333333336</v>
          </cell>
        </row>
        <row r="2466">
          <cell r="C2466">
            <v>2129513.5865552002</v>
          </cell>
          <cell r="D2466">
            <v>0.67735115116712596</v>
          </cell>
          <cell r="E2466">
            <v>228988</v>
          </cell>
          <cell r="F2466">
            <v>155105.28540345799</v>
          </cell>
          <cell r="G2466">
            <v>7.283601587833187E-2</v>
          </cell>
          <cell r="I2466" t="str">
            <v>GA</v>
          </cell>
          <cell r="J2466" t="str">
            <v>Med</v>
          </cell>
          <cell r="K2466">
            <v>56202.666666666664</v>
          </cell>
        </row>
        <row r="2467">
          <cell r="C2467">
            <v>2260524.2708017998</v>
          </cell>
          <cell r="D2467">
            <v>0.74857919894716596</v>
          </cell>
          <cell r="E2467">
            <v>230646</v>
          </cell>
          <cell r="F2467">
            <v>172656.797920368</v>
          </cell>
          <cell r="G2467">
            <v>7.6379094951777388E-2</v>
          </cell>
          <cell r="I2467" t="str">
            <v>GA</v>
          </cell>
          <cell r="J2467" t="str">
            <v>Med</v>
          </cell>
          <cell r="K2467">
            <v>66036.333333333328</v>
          </cell>
        </row>
        <row r="2468">
          <cell r="C2468">
            <v>3045858.1128083202</v>
          </cell>
          <cell r="D2468">
            <v>0.76405335802111596</v>
          </cell>
          <cell r="E2468">
            <v>204396</v>
          </cell>
          <cell r="F2468">
            <v>156169.45016608399</v>
          </cell>
          <cell r="G2468">
            <v>5.1272726562464115E-2</v>
          </cell>
          <cell r="I2468" t="str">
            <v>GA</v>
          </cell>
          <cell r="J2468" t="str">
            <v>Med</v>
          </cell>
          <cell r="K2468">
            <v>82180.666666666672</v>
          </cell>
        </row>
        <row r="2469">
          <cell r="C2469">
            <v>3517186.8075179998</v>
          </cell>
          <cell r="D2469">
            <v>0.70148197627789699</v>
          </cell>
          <cell r="E2469">
            <v>200319</v>
          </cell>
          <cell r="F2469">
            <v>140520.16800601201</v>
          </cell>
          <cell r="G2469">
            <v>3.995243235464481E-2</v>
          </cell>
          <cell r="I2469" t="str">
            <v>GA</v>
          </cell>
          <cell r="J2469" t="str">
            <v>High</v>
          </cell>
          <cell r="K2469">
            <v>108174.33333333333</v>
          </cell>
        </row>
        <row r="2470">
          <cell r="C2470">
            <v>2538649.4348196499</v>
          </cell>
          <cell r="D2470">
            <v>0.67317963978170803</v>
          </cell>
          <cell r="E2470">
            <v>234503</v>
          </cell>
          <cell r="F2470">
            <v>157862.64506772999</v>
          </cell>
          <cell r="G2470">
            <v>6.2183711899136171E-2</v>
          </cell>
          <cell r="I2470" t="str">
            <v>GA</v>
          </cell>
          <cell r="J2470" t="str">
            <v>Med</v>
          </cell>
          <cell r="K2470">
            <v>58271.666666666664</v>
          </cell>
        </row>
        <row r="2471">
          <cell r="C2471">
            <v>2178591.5880414001</v>
          </cell>
          <cell r="D2471">
            <v>0.71822562365695797</v>
          </cell>
          <cell r="E2471">
            <v>230611</v>
          </cell>
          <cell r="F2471">
            <v>165630.72929715499</v>
          </cell>
          <cell r="G2471">
            <v>7.602651649181319E-2</v>
          </cell>
          <cell r="I2471" t="str">
            <v>GA</v>
          </cell>
          <cell r="J2471" t="str">
            <v>Low</v>
          </cell>
          <cell r="K2471">
            <v>37901</v>
          </cell>
        </row>
        <row r="2472">
          <cell r="C2472">
            <v>2632161.6780995899</v>
          </cell>
          <cell r="D2472">
            <v>0.70868872327100496</v>
          </cell>
          <cell r="E2472">
            <v>232268</v>
          </cell>
          <cell r="F2472">
            <v>164605.71237671</v>
          </cell>
          <cell r="G2472">
            <v>6.2536322805046937E-2</v>
          </cell>
          <cell r="I2472" t="str">
            <v>GA</v>
          </cell>
          <cell r="J2472" t="str">
            <v>Med</v>
          </cell>
          <cell r="K2472">
            <v>59536.333333333336</v>
          </cell>
        </row>
        <row r="2473">
          <cell r="C2473">
            <v>2914192.7385482099</v>
          </cell>
          <cell r="D2473">
            <v>0.72529350366310696</v>
          </cell>
          <cell r="E2473">
            <v>202586</v>
          </cell>
          <cell r="F2473">
            <v>146934.30973309401</v>
          </cell>
          <cell r="G2473">
            <v>5.0420244271932958E-2</v>
          </cell>
          <cell r="I2473" t="str">
            <v>GA</v>
          </cell>
          <cell r="J2473" t="str">
            <v>No Data</v>
          </cell>
          <cell r="K2473">
            <v>0</v>
          </cell>
        </row>
        <row r="2474">
          <cell r="C2474">
            <v>3485039.6128601502</v>
          </cell>
          <cell r="D2474">
            <v>0.70402709632000104</v>
          </cell>
          <cell r="E2474">
            <v>203646</v>
          </cell>
          <cell r="F2474">
            <v>143372.302057183</v>
          </cell>
          <cell r="G2474">
            <v>4.1139360806151139E-2</v>
          </cell>
          <cell r="I2474" t="str">
            <v>GA</v>
          </cell>
          <cell r="J2474" t="str">
            <v>High</v>
          </cell>
          <cell r="K2474">
            <v>100405.66666666667</v>
          </cell>
        </row>
        <row r="2475">
          <cell r="C2475">
            <v>4171179.7247020798</v>
          </cell>
          <cell r="D2475">
            <v>0.70265442266067701</v>
          </cell>
          <cell r="E2475">
            <v>193429</v>
          </cell>
          <cell r="F2475">
            <v>135913.74232083201</v>
          </cell>
          <cell r="G2475">
            <v>3.2584005315316265E-2</v>
          </cell>
          <cell r="I2475" t="str">
            <v>GA</v>
          </cell>
          <cell r="J2475" t="str">
            <v>High</v>
          </cell>
          <cell r="K2475">
            <v>130423.66666666667</v>
          </cell>
        </row>
        <row r="2476">
          <cell r="C2476">
            <v>2391857.3161699502</v>
          </cell>
          <cell r="D2476">
            <v>0.71023810927497</v>
          </cell>
          <cell r="E2476">
            <v>227935</v>
          </cell>
          <cell r="F2476">
            <v>161888.12343758999</v>
          </cell>
          <cell r="G2476">
            <v>6.7683018691440736E-2</v>
          </cell>
          <cell r="I2476" t="str">
            <v>GA</v>
          </cell>
          <cell r="J2476" t="str">
            <v>Med</v>
          </cell>
          <cell r="K2476">
            <v>48417.666666666664</v>
          </cell>
        </row>
        <row r="2477">
          <cell r="C2477">
            <v>2499572.56409697</v>
          </cell>
          <cell r="D2477">
            <v>0.72149654318388301</v>
          </cell>
          <cell r="E2477">
            <v>215664</v>
          </cell>
          <cell r="F2477">
            <v>155600.83048920901</v>
          </cell>
          <cell r="G2477">
            <v>6.2250975516457356E-2</v>
          </cell>
          <cell r="I2477" t="str">
            <v>GA</v>
          </cell>
          <cell r="J2477" t="str">
            <v>Med</v>
          </cell>
          <cell r="K2477">
            <v>58178.333333333336</v>
          </cell>
        </row>
        <row r="2478">
          <cell r="C2478">
            <v>2669568.01162377</v>
          </cell>
          <cell r="D2478">
            <v>0.71865969628555904</v>
          </cell>
          <cell r="E2478">
            <v>224254</v>
          </cell>
          <cell r="F2478">
            <v>161162.31153082199</v>
          </cell>
          <cell r="G2478">
            <v>6.0370183800934403E-2</v>
          </cell>
          <cell r="I2478" t="str">
            <v>GA</v>
          </cell>
          <cell r="J2478" t="str">
            <v>Low</v>
          </cell>
          <cell r="K2478">
            <v>38900</v>
          </cell>
        </row>
        <row r="2479">
          <cell r="C2479">
            <v>2923200.6902795201</v>
          </cell>
          <cell r="D2479">
            <v>0.69954343470882197</v>
          </cell>
          <cell r="E2479">
            <v>215190</v>
          </cell>
          <cell r="F2479">
            <v>150534.751714991</v>
          </cell>
          <cell r="G2479">
            <v>5.1496550413237856E-2</v>
          </cell>
          <cell r="I2479" t="str">
            <v>GA</v>
          </cell>
          <cell r="J2479" t="str">
            <v>Med</v>
          </cell>
          <cell r="K2479">
            <v>76305.666666666672</v>
          </cell>
        </row>
        <row r="2480">
          <cell r="C2480">
            <v>2540696.2099788901</v>
          </cell>
          <cell r="D2480">
            <v>0.66790243380428105</v>
          </cell>
          <cell r="E2480">
            <v>245911</v>
          </cell>
          <cell r="F2480">
            <v>164244.555399245</v>
          </cell>
          <cell r="G2480">
            <v>6.4645491560208865E-2</v>
          </cell>
          <cell r="I2480" t="str">
            <v>GA</v>
          </cell>
          <cell r="J2480" t="str">
            <v>Med</v>
          </cell>
          <cell r="K2480">
            <v>52832</v>
          </cell>
        </row>
        <row r="2481">
          <cell r="C2481">
            <v>2880856.2148716501</v>
          </cell>
          <cell r="D2481">
            <v>0.676118392207533</v>
          </cell>
          <cell r="E2481">
            <v>221311</v>
          </cell>
          <cell r="F2481">
            <v>149632.43749784099</v>
          </cell>
          <cell r="G2481">
            <v>5.1940265788137409E-2</v>
          </cell>
          <cell r="I2481" t="str">
            <v>GA</v>
          </cell>
          <cell r="J2481" t="str">
            <v>No Data</v>
          </cell>
          <cell r="K2481">
            <v>0</v>
          </cell>
        </row>
        <row r="2482">
          <cell r="C2482">
            <v>2622576.7083075801</v>
          </cell>
          <cell r="D2482">
            <v>0.71277381720512001</v>
          </cell>
          <cell r="E2482">
            <v>234689</v>
          </cell>
          <cell r="F2482">
            <v>167280.17438605201</v>
          </cell>
          <cell r="G2482">
            <v>6.3784664088625431E-2</v>
          </cell>
          <cell r="I2482" t="str">
            <v>GA</v>
          </cell>
          <cell r="J2482" t="str">
            <v>Med</v>
          </cell>
          <cell r="K2482">
            <v>59176</v>
          </cell>
        </row>
        <row r="2483">
          <cell r="C2483">
            <v>2497258.4700766299</v>
          </cell>
          <cell r="D2483">
            <v>0.68631000539568199</v>
          </cell>
          <cell r="E2483">
            <v>228144</v>
          </cell>
          <cell r="F2483">
            <v>156577.50987099201</v>
          </cell>
          <cell r="G2483">
            <v>6.2699761257066569E-2</v>
          </cell>
          <cell r="I2483" t="str">
            <v>GA</v>
          </cell>
          <cell r="J2483" t="str">
            <v>Med</v>
          </cell>
          <cell r="K2483">
            <v>58181.333333333336</v>
          </cell>
        </row>
        <row r="2484">
          <cell r="C2484">
            <v>2557661.7454477102</v>
          </cell>
          <cell r="D2484">
            <v>0.70087346299217002</v>
          </cell>
          <cell r="E2484">
            <v>210547</v>
          </cell>
          <cell r="F2484">
            <v>147566.80501261199</v>
          </cell>
          <cell r="G2484">
            <v>5.7695981603220529E-2</v>
          </cell>
          <cell r="I2484" t="str">
            <v>GA</v>
          </cell>
          <cell r="J2484" t="str">
            <v>Med</v>
          </cell>
          <cell r="K2484">
            <v>56202.666666666664</v>
          </cell>
        </row>
        <row r="2485">
          <cell r="C2485">
            <v>2782743.5468735001</v>
          </cell>
          <cell r="D2485">
            <v>0.74216715884334805</v>
          </cell>
          <cell r="E2485">
            <v>222258</v>
          </cell>
          <cell r="F2485">
            <v>164952.588390205</v>
          </cell>
          <cell r="G2485">
            <v>5.9276963763166178E-2</v>
          </cell>
          <cell r="I2485" t="str">
            <v>GA</v>
          </cell>
          <cell r="J2485" t="str">
            <v>Med</v>
          </cell>
          <cell r="K2485">
            <v>66036.333333333328</v>
          </cell>
        </row>
        <row r="2486">
          <cell r="C2486">
            <v>3514907.9263108699</v>
          </cell>
          <cell r="D2486">
            <v>0.69980743955111901</v>
          </cell>
          <cell r="E2486">
            <v>211744</v>
          </cell>
          <cell r="F2486">
            <v>148180.02648031199</v>
          </cell>
          <cell r="G2486">
            <v>4.2157584092348273E-2</v>
          </cell>
          <cell r="I2486" t="str">
            <v>GA</v>
          </cell>
          <cell r="J2486" t="str">
            <v>Med</v>
          </cell>
          <cell r="K2486">
            <v>82180.666666666672</v>
          </cell>
        </row>
        <row r="2487">
          <cell r="C2487">
            <v>4024846.7816774398</v>
          </cell>
          <cell r="D2487">
            <v>0.682369275456705</v>
          </cell>
          <cell r="E2487">
            <v>197341</v>
          </cell>
          <cell r="F2487">
            <v>134659.43518790201</v>
          </cell>
          <cell r="G2487">
            <v>3.3457033892798235E-2</v>
          </cell>
          <cell r="I2487" t="str">
            <v>GA</v>
          </cell>
          <cell r="J2487" t="str">
            <v>High</v>
          </cell>
          <cell r="K2487">
            <v>108174.33333333333</v>
          </cell>
        </row>
        <row r="2488">
          <cell r="C2488">
            <v>2877261.4339507101</v>
          </cell>
          <cell r="D2488">
            <v>0.69094558690457497</v>
          </cell>
          <cell r="E2488">
            <v>218226</v>
          </cell>
          <cell r="F2488">
            <v>150782.29164783799</v>
          </cell>
          <cell r="G2488">
            <v>5.2404793623776424E-2</v>
          </cell>
          <cell r="I2488" t="str">
            <v>GA</v>
          </cell>
          <cell r="J2488" t="str">
            <v>Med</v>
          </cell>
          <cell r="K2488">
            <v>58271.666666666664</v>
          </cell>
        </row>
        <row r="2489">
          <cell r="C2489">
            <v>2485897.0180819398</v>
          </cell>
          <cell r="D2489">
            <v>0.71941871710262095</v>
          </cell>
          <cell r="E2489">
            <v>222046</v>
          </cell>
          <cell r="F2489">
            <v>159744.04845776901</v>
          </cell>
          <cell r="G2489">
            <v>6.4260123124900717E-2</v>
          </cell>
          <cell r="I2489" t="str">
            <v>GA</v>
          </cell>
          <cell r="J2489" t="str">
            <v>Low</v>
          </cell>
          <cell r="K2489">
            <v>37901</v>
          </cell>
        </row>
        <row r="2490">
          <cell r="C2490">
            <v>3002595.9755495102</v>
          </cell>
          <cell r="D2490">
            <v>0.69739772804040401</v>
          </cell>
          <cell r="E2490">
            <v>225298</v>
          </cell>
          <cell r="F2490">
            <v>157122.31333204699</v>
          </cell>
          <cell r="G2490">
            <v>5.2328822995671861E-2</v>
          </cell>
          <cell r="I2490" t="str">
            <v>GA</v>
          </cell>
          <cell r="J2490" t="str">
            <v>Med</v>
          </cell>
          <cell r="K2490">
            <v>59536.333333333336</v>
          </cell>
        </row>
        <row r="2491">
          <cell r="C2491">
            <v>3332271.1170990798</v>
          </cell>
          <cell r="D2491">
            <v>0.75061999994137996</v>
          </cell>
          <cell r="E2491">
            <v>187067</v>
          </cell>
          <cell r="F2491">
            <v>140416.231529034</v>
          </cell>
          <cell r="G2491">
            <v>4.2138297453801973E-2</v>
          </cell>
          <cell r="I2491" t="str">
            <v>GA</v>
          </cell>
          <cell r="J2491" t="str">
            <v>No Data</v>
          </cell>
          <cell r="K2491">
            <v>0</v>
          </cell>
        </row>
        <row r="2492">
          <cell r="C2492">
            <v>4005730.9472467201</v>
          </cell>
          <cell r="D2492">
            <v>0.731386695679342</v>
          </cell>
          <cell r="E2492">
            <v>187325</v>
          </cell>
          <cell r="F2492">
            <v>137007.01276813299</v>
          </cell>
          <cell r="G2492">
            <v>3.4202749653543939E-2</v>
          </cell>
          <cell r="I2492" t="str">
            <v>GA</v>
          </cell>
          <cell r="J2492" t="str">
            <v>High</v>
          </cell>
          <cell r="K2492">
            <v>100405.66666666667</v>
          </cell>
        </row>
        <row r="2493">
          <cell r="C2493">
            <v>4726779.5652141497</v>
          </cell>
          <cell r="D2493">
            <v>0.71509335621280701</v>
          </cell>
          <cell r="E2493">
            <v>184261</v>
          </cell>
          <cell r="F2493">
            <v>131763.81690912801</v>
          </cell>
          <cell r="G2493">
            <v>2.7876023218603038E-2</v>
          </cell>
          <cell r="I2493" t="str">
            <v>GA</v>
          </cell>
          <cell r="J2493" t="str">
            <v>High</v>
          </cell>
          <cell r="K2493">
            <v>130423.66666666667</v>
          </cell>
        </row>
        <row r="2494">
          <cell r="C2494">
            <v>2784813.3084031502</v>
          </cell>
          <cell r="D2494">
            <v>0.71321261455264395</v>
          </cell>
          <cell r="E2494">
            <v>218784</v>
          </cell>
          <cell r="F2494">
            <v>156039.50866228601</v>
          </cell>
          <cell r="G2494">
            <v>5.6032304999203406E-2</v>
          </cell>
          <cell r="I2494" t="str">
            <v>GA</v>
          </cell>
          <cell r="J2494" t="str">
            <v>Med</v>
          </cell>
          <cell r="K2494">
            <v>48417.666666666664</v>
          </cell>
        </row>
        <row r="2495">
          <cell r="C2495">
            <v>2902520.5809534499</v>
          </cell>
          <cell r="D2495">
            <v>0.74104132934243105</v>
          </cell>
          <cell r="E2495">
            <v>206148</v>
          </cell>
          <cell r="F2495">
            <v>152764.18796128299</v>
          </cell>
          <cell r="G2495">
            <v>5.2631560638616189E-2</v>
          </cell>
          <cell r="I2495" t="str">
            <v>GA</v>
          </cell>
          <cell r="J2495" t="str">
            <v>Med</v>
          </cell>
          <cell r="K2495">
            <v>58178.333333333336</v>
          </cell>
        </row>
        <row r="2496">
          <cell r="C2496">
            <v>3039560.89966367</v>
          </cell>
          <cell r="D2496">
            <v>0.74034514985004896</v>
          </cell>
          <cell r="E2496">
            <v>207065</v>
          </cell>
          <cell r="F2496">
            <v>153299.56845369999</v>
          </cell>
          <cell r="G2496">
            <v>5.0434774467148433E-2</v>
          </cell>
          <cell r="I2496" t="str">
            <v>GA</v>
          </cell>
          <cell r="J2496" t="str">
            <v>Low</v>
          </cell>
          <cell r="K2496">
            <v>38900</v>
          </cell>
        </row>
        <row r="2497">
          <cell r="C2497">
            <v>3312463.54022075</v>
          </cell>
          <cell r="D2497">
            <v>0.68720233448924495</v>
          </cell>
          <cell r="E2497">
            <v>210226</v>
          </cell>
          <cell r="F2497">
            <v>144467.79797033599</v>
          </cell>
          <cell r="G2497">
            <v>4.3613400182725734E-2</v>
          </cell>
          <cell r="I2497" t="str">
            <v>GA</v>
          </cell>
          <cell r="J2497" t="str">
            <v>Med</v>
          </cell>
          <cell r="K2497">
            <v>76305.666666666672</v>
          </cell>
        </row>
        <row r="2498">
          <cell r="C2498">
            <v>2843061.3513311399</v>
          </cell>
          <cell r="D2498">
            <v>0.67876509159434595</v>
          </cell>
          <cell r="E2498">
            <v>233817</v>
          </cell>
          <cell r="F2498">
            <v>158706.81742131501</v>
          </cell>
          <cell r="G2498">
            <v>5.5822508841396418E-2</v>
          </cell>
          <cell r="I2498" t="str">
            <v>GA</v>
          </cell>
          <cell r="J2498" t="str">
            <v>Med</v>
          </cell>
          <cell r="K2498">
            <v>52832</v>
          </cell>
        </row>
        <row r="2499">
          <cell r="C2499">
            <v>3304596.0591793801</v>
          </cell>
          <cell r="D2499">
            <v>0.70353858280721404</v>
          </cell>
          <cell r="E2499">
            <v>208969</v>
          </cell>
          <cell r="F2499">
            <v>147017.75411064099</v>
          </cell>
          <cell r="G2499">
            <v>4.4488872914515747E-2</v>
          </cell>
          <cell r="I2499" t="str">
            <v>GA</v>
          </cell>
          <cell r="J2499" t="str">
            <v>No Data</v>
          </cell>
          <cell r="K2499">
            <v>0</v>
          </cell>
        </row>
        <row r="2500">
          <cell r="C2500">
            <v>3023736.2399384198</v>
          </cell>
          <cell r="D2500">
            <v>0.69106151733551702</v>
          </cell>
          <cell r="E2500">
            <v>229927</v>
          </cell>
          <cell r="F2500">
            <v>158893.70149640299</v>
          </cell>
          <cell r="G2500">
            <v>5.2548796881714446E-2</v>
          </cell>
          <cell r="I2500" t="str">
            <v>GA</v>
          </cell>
          <cell r="J2500" t="str">
            <v>Med</v>
          </cell>
          <cell r="K2500">
            <v>59176</v>
          </cell>
        </row>
        <row r="2501">
          <cell r="C2501">
            <v>2881958.1296501402</v>
          </cell>
          <cell r="D2501">
            <v>0.71884897804452697</v>
          </cell>
          <cell r="E2501">
            <v>207585</v>
          </cell>
          <cell r="F2501">
            <v>149222.26510737301</v>
          </cell>
          <cell r="G2501">
            <v>5.1778082260163887E-2</v>
          </cell>
          <cell r="I2501" t="str">
            <v>GA</v>
          </cell>
          <cell r="J2501" t="str">
            <v>Med</v>
          </cell>
          <cell r="K2501">
            <v>58181.333333333336</v>
          </cell>
        </row>
        <row r="2502">
          <cell r="C2502">
            <v>2886129.8395972499</v>
          </cell>
          <cell r="D2502">
            <v>0.67783342742296404</v>
          </cell>
          <cell r="E2502">
            <v>203743</v>
          </cell>
          <cell r="F2502">
            <v>138103.81600343701</v>
          </cell>
          <cell r="G2502">
            <v>4.7850867313269922E-2</v>
          </cell>
          <cell r="I2502" t="str">
            <v>GA</v>
          </cell>
          <cell r="J2502" t="str">
            <v>Med</v>
          </cell>
          <cell r="K2502">
            <v>56202.666666666664</v>
          </cell>
        </row>
        <row r="2503">
          <cell r="C2503">
            <v>3143987.0477632601</v>
          </cell>
          <cell r="D2503">
            <v>0.76392644933647202</v>
          </cell>
          <cell r="E2503">
            <v>206246</v>
          </cell>
          <cell r="F2503">
            <v>157556.77446985</v>
          </cell>
          <cell r="G2503">
            <v>5.0113684336562797E-2</v>
          </cell>
          <cell r="I2503" t="str">
            <v>GA</v>
          </cell>
          <cell r="J2503" t="str">
            <v>Med</v>
          </cell>
          <cell r="K2503">
            <v>66036.333333333328</v>
          </cell>
        </row>
        <row r="2504">
          <cell r="C2504">
            <v>3510841.6262514899</v>
          </cell>
          <cell r="D2504">
            <v>0.74585706304736799</v>
          </cell>
          <cell r="E2504">
            <v>186283</v>
          </cell>
          <cell r="F2504">
            <v>138940.49127565301</v>
          </cell>
          <cell r="G2504">
            <v>3.9574696345388599E-2</v>
          </cell>
          <cell r="I2504" t="str">
            <v>GA</v>
          </cell>
          <cell r="J2504" t="str">
            <v>Med</v>
          </cell>
          <cell r="K2504">
            <v>82180.666666666672</v>
          </cell>
        </row>
        <row r="2505">
          <cell r="C2505">
            <v>4168719.8070092802</v>
          </cell>
          <cell r="D2505">
            <v>0.68600915150261299</v>
          </cell>
          <cell r="E2505">
            <v>191119</v>
          </cell>
          <cell r="F2505">
            <v>131109.38302602799</v>
          </cell>
          <cell r="G2505">
            <v>3.1450754451182075E-2</v>
          </cell>
          <cell r="I2505" t="str">
            <v>GA</v>
          </cell>
          <cell r="J2505" t="str">
            <v>High</v>
          </cell>
          <cell r="K2505">
            <v>108174.33333333333</v>
          </cell>
        </row>
        <row r="2506">
          <cell r="C2506">
            <v>2998746.83559947</v>
          </cell>
          <cell r="D2506">
            <v>0.65519526576013798</v>
          </cell>
          <cell r="E2506">
            <v>221755</v>
          </cell>
          <cell r="F2506">
            <v>145292.82615864</v>
          </cell>
          <cell r="G2506">
            <v>4.8451181151340832E-2</v>
          </cell>
          <cell r="I2506" t="str">
            <v>GA</v>
          </cell>
          <cell r="J2506" t="str">
            <v>Med</v>
          </cell>
          <cell r="K2506">
            <v>58271.666666666664</v>
          </cell>
        </row>
        <row r="2507">
          <cell r="C2507">
            <v>2589442.7758235098</v>
          </cell>
          <cell r="D2507">
            <v>0.68260921443799205</v>
          </cell>
          <cell r="E2507">
            <v>230580</v>
          </cell>
          <cell r="F2507">
            <v>157396.032665112</v>
          </cell>
          <cell r="G2507">
            <v>6.0783746269525492E-2</v>
          </cell>
          <cell r="I2507" t="str">
            <v>GA</v>
          </cell>
          <cell r="J2507" t="str">
            <v>Low</v>
          </cell>
          <cell r="K2507">
            <v>37901</v>
          </cell>
        </row>
        <row r="2508">
          <cell r="C2508">
            <v>3112228.81888784</v>
          </cell>
          <cell r="D2508">
            <v>0.71331922093356104</v>
          </cell>
          <cell r="E2508">
            <v>216190</v>
          </cell>
          <cell r="F2508">
            <v>154212.48237362699</v>
          </cell>
          <cell r="G2508">
            <v>4.9550496235278442E-2</v>
          </cell>
          <cell r="I2508" t="str">
            <v>GA</v>
          </cell>
          <cell r="J2508" t="str">
            <v>Med</v>
          </cell>
          <cell r="K2508">
            <v>59536.333333333336</v>
          </cell>
        </row>
        <row r="2509">
          <cell r="C2509">
            <v>3457709.39072493</v>
          </cell>
          <cell r="D2509">
            <v>0.74369763191122695</v>
          </cell>
          <cell r="E2509">
            <v>183257</v>
          </cell>
          <cell r="F2509">
            <v>136287.79693115599</v>
          </cell>
          <cell r="G2509">
            <v>3.9415630849931667E-2</v>
          </cell>
          <cell r="I2509" t="str">
            <v>GA</v>
          </cell>
          <cell r="J2509" t="str">
            <v>No Data</v>
          </cell>
          <cell r="K2509">
            <v>0</v>
          </cell>
        </row>
        <row r="2510">
          <cell r="C2510">
            <v>4148836.3536980101</v>
          </cell>
          <cell r="D2510">
            <v>0.71075697717068398</v>
          </cell>
          <cell r="E2510">
            <v>186419</v>
          </cell>
          <cell r="F2510">
            <v>132498.60492718199</v>
          </cell>
          <cell r="G2510">
            <v>3.1936329522633769E-2</v>
          </cell>
          <cell r="I2510" t="str">
            <v>GA</v>
          </cell>
          <cell r="J2510" t="str">
            <v>High</v>
          </cell>
          <cell r="K2510">
            <v>100405.66666666667</v>
          </cell>
        </row>
        <row r="2511">
          <cell r="C2511">
            <v>4867072.2847741898</v>
          </cell>
          <cell r="D2511">
            <v>0.74086723418100098</v>
          </cell>
          <cell r="E2511">
            <v>172984</v>
          </cell>
          <cell r="F2511">
            <v>128158.177637566</v>
          </cell>
          <cell r="G2511">
            <v>2.6331677472407205E-2</v>
          </cell>
          <cell r="I2511" t="str">
            <v>GA</v>
          </cell>
          <cell r="J2511" t="str">
            <v>High</v>
          </cell>
          <cell r="K2511">
            <v>130423.66666666667</v>
          </cell>
        </row>
        <row r="2512">
          <cell r="C2512">
            <v>2887703.1140424502</v>
          </cell>
          <cell r="D2512">
            <v>0.73854337599583098</v>
          </cell>
          <cell r="E2512">
            <v>200023</v>
          </cell>
          <cell r="F2512">
            <v>147725.661696814</v>
          </cell>
          <cell r="G2512">
            <v>5.1156803820464482E-2</v>
          </cell>
          <cell r="I2512" t="str">
            <v>GA</v>
          </cell>
          <cell r="J2512" t="str">
            <v>Med</v>
          </cell>
          <cell r="K2512">
            <v>48417.666666666664</v>
          </cell>
        </row>
        <row r="2513">
          <cell r="C2513">
            <v>2999811.9537612</v>
          </cell>
          <cell r="D2513">
            <v>0.74415658116823502</v>
          </cell>
          <cell r="E2513">
            <v>194216</v>
          </cell>
          <cell r="F2513">
            <v>144527.11456817001</v>
          </cell>
          <cell r="G2513">
            <v>4.8178724798719534E-2</v>
          </cell>
          <cell r="I2513" t="str">
            <v>GA</v>
          </cell>
          <cell r="J2513" t="str">
            <v>Med</v>
          </cell>
          <cell r="K2513">
            <v>58178.333333333336</v>
          </cell>
        </row>
        <row r="2514">
          <cell r="C2514">
            <v>3208552.9317666502</v>
          </cell>
          <cell r="D2514">
            <v>0.76315678872341897</v>
          </cell>
          <cell r="E2514">
            <v>198211</v>
          </cell>
          <cell r="F2514">
            <v>151266.07024965799</v>
          </cell>
          <cell r="G2514">
            <v>4.7144639177378288E-2</v>
          </cell>
          <cell r="I2514" t="str">
            <v>GA</v>
          </cell>
          <cell r="J2514" t="str">
            <v>Low</v>
          </cell>
          <cell r="K2514">
            <v>38900</v>
          </cell>
        </row>
        <row r="2515">
          <cell r="C2515">
            <v>3477960.49457822</v>
          </cell>
          <cell r="D2515">
            <v>0.69802620426850004</v>
          </cell>
          <cell r="E2515">
            <v>202652</v>
          </cell>
          <cell r="F2515">
            <v>141456.40634742001</v>
          </cell>
          <cell r="G2515">
            <v>4.0672229189473511E-2</v>
          </cell>
          <cell r="I2515" t="str">
            <v>GA</v>
          </cell>
          <cell r="J2515" t="str">
            <v>Med</v>
          </cell>
          <cell r="K2515">
            <v>76305.666666666672</v>
          </cell>
        </row>
        <row r="2516">
          <cell r="C2516">
            <v>3020715.8531553601</v>
          </cell>
          <cell r="D2516">
            <v>0.65769098820454897</v>
          </cell>
          <cell r="E2516">
            <v>236444</v>
          </cell>
          <cell r="F2516">
            <v>155507.08801503599</v>
          </cell>
          <cell r="G2516">
            <v>5.1480210511226136E-2</v>
          </cell>
          <cell r="I2516" t="str">
            <v>GA</v>
          </cell>
          <cell r="J2516" t="str">
            <v>Med</v>
          </cell>
          <cell r="K2516">
            <v>52832</v>
          </cell>
        </row>
        <row r="2517">
          <cell r="C2517">
            <v>3365921.8645719802</v>
          </cell>
          <cell r="D2517">
            <v>0.69071644626891704</v>
          </cell>
          <cell r="E2517">
            <v>198557</v>
          </cell>
          <cell r="F2517">
            <v>137146.585421817</v>
          </cell>
          <cell r="G2517">
            <v>4.0745623618110023E-2</v>
          </cell>
          <cell r="I2517" t="str">
            <v>GA</v>
          </cell>
          <cell r="J2517" t="str">
            <v>No Data</v>
          </cell>
          <cell r="K2517">
            <v>0</v>
          </cell>
        </row>
        <row r="2518">
          <cell r="C2518">
            <v>3175619.6928695301</v>
          </cell>
          <cell r="D2518">
            <v>0.68560586763805897</v>
          </cell>
          <cell r="E2518">
            <v>230445</v>
          </cell>
          <cell r="F2518">
            <v>157994.44416785301</v>
          </cell>
          <cell r="G2518">
            <v>4.975231905842202E-2</v>
          </cell>
          <cell r="I2518" t="str">
            <v>GA</v>
          </cell>
          <cell r="J2518" t="str">
            <v>Med</v>
          </cell>
          <cell r="K2518">
            <v>59176</v>
          </cell>
        </row>
        <row r="2519">
          <cell r="C2519">
            <v>2971012.0047808602</v>
          </cell>
          <cell r="D2519">
            <v>0.71371673900578503</v>
          </cell>
          <cell r="E2519">
            <v>202536</v>
          </cell>
          <cell r="F2519">
            <v>144553.333451276</v>
          </cell>
          <cell r="G2519">
            <v>4.865457736914737E-2</v>
          </cell>
          <cell r="I2519" t="str">
            <v>GA</v>
          </cell>
          <cell r="J2519" t="str">
            <v>Med</v>
          </cell>
          <cell r="K2519">
            <v>58181.333333333336</v>
          </cell>
        </row>
        <row r="2520">
          <cell r="C2520">
            <v>3084213.6660917099</v>
          </cell>
          <cell r="D2520">
            <v>0.70559070658607104</v>
          </cell>
          <cell r="E2520">
            <v>196221</v>
          </cell>
          <cell r="F2520">
            <v>138451.714037025</v>
          </cell>
          <cell r="G2520">
            <v>4.4890441787215692E-2</v>
          </cell>
          <cell r="I2520" t="str">
            <v>GA</v>
          </cell>
          <cell r="J2520" t="str">
            <v>Med</v>
          </cell>
          <cell r="K2520">
            <v>56202.666666666664</v>
          </cell>
        </row>
        <row r="2521">
          <cell r="C2521">
            <v>3285068.4457299099</v>
          </cell>
          <cell r="D2521">
            <v>0.73868772827882501</v>
          </cell>
          <cell r="E2521">
            <v>205185</v>
          </cell>
          <cell r="F2521">
            <v>151567.64152689101</v>
          </cell>
          <cell r="G2521">
            <v>4.6138351157920594E-2</v>
          </cell>
          <cell r="I2521" t="str">
            <v>GA</v>
          </cell>
          <cell r="J2521" t="str">
            <v>Med</v>
          </cell>
          <cell r="K2521">
            <v>66036.333333333328</v>
          </cell>
        </row>
        <row r="2522">
          <cell r="C2522">
            <v>2482271.2740611499</v>
          </cell>
          <cell r="D2522">
            <v>0.67687395239527604</v>
          </cell>
          <cell r="E2522">
            <v>126046</v>
          </cell>
          <cell r="F2522">
            <v>85317.254203614997</v>
          </cell>
          <cell r="G2522">
            <v>3.4370640749522383E-2</v>
          </cell>
          <cell r="I2522" t="str">
            <v>MD</v>
          </cell>
          <cell r="J2522" t="str">
            <v>High</v>
          </cell>
          <cell r="K2522">
            <v>122386.66666666667</v>
          </cell>
        </row>
        <row r="2523">
          <cell r="C2523">
            <v>2466696.93717949</v>
          </cell>
          <cell r="D2523">
            <v>0.72457759019471901</v>
          </cell>
          <cell r="E2523">
            <v>133827</v>
          </cell>
          <cell r="F2523">
            <v>96968.045162988594</v>
          </cell>
          <cell r="G2523">
            <v>3.9310887244164393E-2</v>
          </cell>
          <cell r="I2523" t="str">
            <v>MD</v>
          </cell>
          <cell r="J2523" t="str">
            <v>High</v>
          </cell>
          <cell r="K2523">
            <v>117833.33333333333</v>
          </cell>
        </row>
        <row r="2524">
          <cell r="C2524">
            <v>2507621.9883457799</v>
          </cell>
          <cell r="D2524">
            <v>0.69610183959077798</v>
          </cell>
          <cell r="E2524">
            <v>139822</v>
          </cell>
          <cell r="F2524">
            <v>97330.351415261699</v>
          </cell>
          <cell r="G2524">
            <v>3.881380521769482E-2</v>
          </cell>
          <cell r="I2524" t="str">
            <v>MD</v>
          </cell>
          <cell r="J2524" t="str">
            <v>High</v>
          </cell>
          <cell r="K2524">
            <v>119910</v>
          </cell>
        </row>
        <row r="2525">
          <cell r="C2525">
            <v>1957889.2970525201</v>
          </cell>
          <cell r="D2525">
            <v>0.675750862502983</v>
          </cell>
          <cell r="E2525">
            <v>149491</v>
          </cell>
          <cell r="F2525">
            <v>101018.672186433</v>
          </cell>
          <cell r="G2525">
            <v>5.1595701727625919E-2</v>
          </cell>
          <cell r="I2525" t="str">
            <v>MD</v>
          </cell>
          <cell r="J2525" t="str">
            <v>Med</v>
          </cell>
          <cell r="K2525">
            <v>78620</v>
          </cell>
        </row>
        <row r="2526">
          <cell r="C2526">
            <v>1945290.6563959201</v>
          </cell>
          <cell r="D2526">
            <v>0.71238608817961502</v>
          </cell>
          <cell r="E2526">
            <v>145662</v>
          </cell>
          <cell r="F2526">
            <v>103767.582376419</v>
          </cell>
          <cell r="G2526">
            <v>5.334297064309728E-2</v>
          </cell>
          <cell r="I2526" t="str">
            <v>MD</v>
          </cell>
          <cell r="J2526" t="str">
            <v>Med</v>
          </cell>
          <cell r="K2526">
            <v>82411.666666666672</v>
          </cell>
        </row>
        <row r="2527">
          <cell r="C2527">
            <v>1758796.8467320299</v>
          </cell>
          <cell r="D2527">
            <v>0.669641372577647</v>
          </cell>
          <cell r="E2527">
            <v>159649</v>
          </cell>
          <cell r="F2527">
            <v>106907.575490649</v>
          </cell>
          <cell r="G2527">
            <v>6.0784493495818409E-2</v>
          </cell>
          <cell r="I2527" t="str">
            <v>MD</v>
          </cell>
          <cell r="J2527" t="str">
            <v>Med</v>
          </cell>
          <cell r="K2527">
            <v>64581.333333333336</v>
          </cell>
        </row>
        <row r="2528">
          <cell r="C2528">
            <v>2659094.5587221598</v>
          </cell>
          <cell r="D2528">
            <v>0.74927128651948105</v>
          </cell>
          <cell r="E2528">
            <v>119293</v>
          </cell>
          <cell r="F2528">
            <v>89382.819582768498</v>
          </cell>
          <cell r="G2528">
            <v>3.3614005673315288E-2</v>
          </cell>
          <cell r="I2528" t="str">
            <v>MD</v>
          </cell>
          <cell r="J2528" t="str">
            <v>High</v>
          </cell>
          <cell r="K2528">
            <v>130716.66666666667</v>
          </cell>
        </row>
        <row r="2529">
          <cell r="C2529">
            <v>1603264.6817509499</v>
          </cell>
          <cell r="D2529">
            <v>0.71117972793721795</v>
          </cell>
          <cell r="E2529">
            <v>135420</v>
          </cell>
          <cell r="F2529">
            <v>96307.958757258093</v>
          </cell>
          <cell r="G2529">
            <v>6.0069906019559229E-2</v>
          </cell>
          <cell r="I2529" t="str">
            <v>MD</v>
          </cell>
          <cell r="J2529" t="str">
            <v>Med</v>
          </cell>
          <cell r="K2529">
            <v>51362.666666666664</v>
          </cell>
        </row>
        <row r="2530">
          <cell r="C2530">
            <v>1985816.3054726301</v>
          </cell>
          <cell r="D2530">
            <v>0.72486508065102295</v>
          </cell>
          <cell r="E2530">
            <v>130290</v>
          </cell>
          <cell r="F2530">
            <v>94442.671358021806</v>
          </cell>
          <cell r="G2530">
            <v>4.7558614106325496E-2</v>
          </cell>
          <cell r="I2530" t="str">
            <v>MD</v>
          </cell>
          <cell r="J2530" t="str">
            <v>Low</v>
          </cell>
          <cell r="K2530">
            <v>25885.333333333332</v>
          </cell>
        </row>
        <row r="2531">
          <cell r="C2531">
            <v>2837392.1951246099</v>
          </cell>
          <cell r="D2531">
            <v>0.70734051152893895</v>
          </cell>
          <cell r="E2531">
            <v>82702</v>
          </cell>
          <cell r="F2531">
            <v>58498.474984466302</v>
          </cell>
          <cell r="G2531">
            <v>2.0616985936939614E-2</v>
          </cell>
          <cell r="I2531" t="str">
            <v>MD</v>
          </cell>
          <cell r="J2531" t="str">
            <v>High</v>
          </cell>
          <cell r="K2531">
            <v>159532</v>
          </cell>
        </row>
        <row r="2532">
          <cell r="C2532">
            <v>2203432.64953337</v>
          </cell>
          <cell r="D2532">
            <v>0.68290516726667005</v>
          </cell>
          <cell r="E2532">
            <v>146852</v>
          </cell>
          <cell r="F2532">
            <v>100285.989623445</v>
          </cell>
          <cell r="G2532">
            <v>4.5513526199533701E-2</v>
          </cell>
          <cell r="I2532" t="str">
            <v>MD</v>
          </cell>
          <cell r="J2532" t="str">
            <v>Med</v>
          </cell>
          <cell r="K2532">
            <v>93825.333333333328</v>
          </cell>
        </row>
        <row r="2533">
          <cell r="C2533">
            <v>2435666.8331681499</v>
          </cell>
          <cell r="D2533">
            <v>0.70618843075678395</v>
          </cell>
          <cell r="E2533">
            <v>142756</v>
          </cell>
          <cell r="F2533">
            <v>100812.635621115</v>
          </cell>
          <cell r="G2533">
            <v>4.1390158230296535E-2</v>
          </cell>
          <cell r="I2533" t="str">
            <v>MD</v>
          </cell>
          <cell r="J2533" t="str">
            <v>High</v>
          </cell>
          <cell r="K2533">
            <v>114162</v>
          </cell>
        </row>
        <row r="2534">
          <cell r="C2534">
            <v>2998267.7315120599</v>
          </cell>
          <cell r="D2534">
            <v>0.69624799554605599</v>
          </cell>
          <cell r="E2534">
            <v>101664</v>
          </cell>
          <cell r="F2534">
            <v>70783.356219194204</v>
          </cell>
          <cell r="G2534">
            <v>2.3608083919676302E-2</v>
          </cell>
          <cell r="I2534" t="str">
            <v>MD</v>
          </cell>
          <cell r="J2534" t="str">
            <v>High</v>
          </cell>
          <cell r="K2534">
            <v>156214.66666666666</v>
          </cell>
        </row>
        <row r="2535">
          <cell r="C2535">
            <v>2834105.7599168899</v>
          </cell>
          <cell r="D2535">
            <v>0.68483053260039795</v>
          </cell>
          <cell r="E2535">
            <v>144565</v>
          </cell>
          <cell r="F2535">
            <v>99002.525945376503</v>
          </cell>
          <cell r="G2535">
            <v>3.4932544630331561E-2</v>
          </cell>
          <cell r="I2535" t="str">
            <v>MD</v>
          </cell>
          <cell r="J2535" t="str">
            <v>High</v>
          </cell>
          <cell r="K2535">
            <v>122386.66666666667</v>
          </cell>
        </row>
        <row r="2536">
          <cell r="C2536">
            <v>2811060.3489937801</v>
          </cell>
          <cell r="D2536">
            <v>0.73602529637430003</v>
          </cell>
          <cell r="E2536">
            <v>147116</v>
          </cell>
          <cell r="F2536">
            <v>108281.09750140199</v>
          </cell>
          <cell r="G2536">
            <v>3.851966306598905E-2</v>
          </cell>
          <cell r="I2536" t="str">
            <v>MD</v>
          </cell>
          <cell r="J2536" t="str">
            <v>High</v>
          </cell>
          <cell r="K2536">
            <v>117833.33333333333</v>
          </cell>
        </row>
        <row r="2537">
          <cell r="C2537">
            <v>2851829.90822091</v>
          </cell>
          <cell r="D2537">
            <v>0.70621465671602701</v>
          </cell>
          <cell r="E2537">
            <v>156531</v>
          </cell>
          <cell r="F2537">
            <v>110544.486430416</v>
          </cell>
          <cell r="G2537">
            <v>3.876265064467966E-2</v>
          </cell>
          <cell r="I2537" t="str">
            <v>MD</v>
          </cell>
          <cell r="J2537" t="str">
            <v>High</v>
          </cell>
          <cell r="K2537">
            <v>119910</v>
          </cell>
        </row>
        <row r="2538">
          <cell r="C2538">
            <v>2198282.0481717698</v>
          </cell>
          <cell r="D2538">
            <v>0.66805304208314098</v>
          </cell>
          <cell r="E2538">
            <v>166274</v>
          </cell>
          <cell r="F2538">
            <v>111079.85151933201</v>
          </cell>
          <cell r="G2538">
            <v>5.0530300063958138E-2</v>
          </cell>
          <cell r="I2538" t="str">
            <v>MD</v>
          </cell>
          <cell r="J2538" t="str">
            <v>Med</v>
          </cell>
          <cell r="K2538">
            <v>78620</v>
          </cell>
        </row>
        <row r="2539">
          <cell r="C2539">
            <v>2231723.0989047401</v>
          </cell>
          <cell r="D2539">
            <v>0.71812168182055802</v>
          </cell>
          <cell r="E2539">
            <v>167262</v>
          </cell>
          <cell r="F2539">
            <v>120114.46874467</v>
          </cell>
          <cell r="G2539">
            <v>5.3821403203479154E-2</v>
          </cell>
          <cell r="I2539" t="str">
            <v>MD</v>
          </cell>
          <cell r="J2539" t="str">
            <v>Med</v>
          </cell>
          <cell r="K2539">
            <v>82411.666666666672</v>
          </cell>
        </row>
        <row r="2540">
          <cell r="C2540">
            <v>1990766.6190257999</v>
          </cell>
          <cell r="D2540">
            <v>0.67797991109214795</v>
          </cell>
          <cell r="E2540">
            <v>179703</v>
          </cell>
          <cell r="F2540">
            <v>121835.023962992</v>
          </cell>
          <cell r="G2540">
            <v>6.1200053687163539E-2</v>
          </cell>
          <cell r="I2540" t="str">
            <v>MD</v>
          </cell>
          <cell r="J2540" t="str">
            <v>Med</v>
          </cell>
          <cell r="K2540">
            <v>64581.333333333336</v>
          </cell>
        </row>
        <row r="2541">
          <cell r="C2541">
            <v>3015362.2580699502</v>
          </cell>
          <cell r="D2541">
            <v>0.72144089754553198</v>
          </cell>
          <cell r="E2541">
            <v>138608</v>
          </cell>
          <cell r="F2541">
            <v>99997.479926991102</v>
          </cell>
          <cell r="G2541">
            <v>3.3162675449482051E-2</v>
          </cell>
          <cell r="I2541" t="str">
            <v>MD</v>
          </cell>
          <cell r="J2541" t="str">
            <v>High</v>
          </cell>
          <cell r="K2541">
            <v>130716.66666666667</v>
          </cell>
        </row>
        <row r="2542">
          <cell r="C2542">
            <v>1886831.42070561</v>
          </cell>
          <cell r="D2542">
            <v>0.71843670210782196</v>
          </cell>
          <cell r="E2542">
            <v>157254</v>
          </cell>
          <cell r="F2542">
            <v>112977.045153263</v>
          </cell>
          <cell r="G2542">
            <v>5.9876597301423716E-2</v>
          </cell>
          <cell r="I2542" t="str">
            <v>MD</v>
          </cell>
          <cell r="J2542" t="str">
            <v>Med</v>
          </cell>
          <cell r="K2542">
            <v>51362.666666666664</v>
          </cell>
        </row>
        <row r="2543">
          <cell r="C2543">
            <v>2203527.0166468602</v>
          </cell>
          <cell r="D2543">
            <v>0.71817751915846895</v>
          </cell>
          <cell r="E2543">
            <v>147471</v>
          </cell>
          <cell r="F2543">
            <v>105910.356927819</v>
          </cell>
          <cell r="G2543">
            <v>4.8064015611201522E-2</v>
          </cell>
          <cell r="I2543" t="str">
            <v>MD</v>
          </cell>
          <cell r="J2543" t="str">
            <v>Low</v>
          </cell>
          <cell r="K2543">
            <v>25885.333333333332</v>
          </cell>
        </row>
        <row r="2544">
          <cell r="C2544">
            <v>3273545.8966093599</v>
          </cell>
          <cell r="D2544">
            <v>0.73568648463597597</v>
          </cell>
          <cell r="E2544">
            <v>92127</v>
          </cell>
          <cell r="F2544">
            <v>67776.588770058603</v>
          </cell>
          <cell r="G2544">
            <v>2.0704334355067251E-2</v>
          </cell>
          <cell r="I2544" t="str">
            <v>MD</v>
          </cell>
          <cell r="J2544" t="str">
            <v>High</v>
          </cell>
          <cell r="K2544">
            <v>159532</v>
          </cell>
        </row>
        <row r="2545">
          <cell r="C2545">
            <v>2485558.2310247598</v>
          </cell>
          <cell r="D2545">
            <v>0.69334045630989505</v>
          </cell>
          <cell r="E2545">
            <v>162324</v>
          </cell>
          <cell r="F2545">
            <v>112545.796230047</v>
          </cell>
          <cell r="G2545">
            <v>4.5279887159853822E-2</v>
          </cell>
          <cell r="I2545" t="str">
            <v>MD</v>
          </cell>
          <cell r="J2545" t="str">
            <v>Med</v>
          </cell>
          <cell r="K2545">
            <v>93825.333333333328</v>
          </cell>
        </row>
        <row r="2546">
          <cell r="C2546">
            <v>2779719.1673184098</v>
          </cell>
          <cell r="D2546">
            <v>0.70692003392216896</v>
          </cell>
          <cell r="E2546">
            <v>160638</v>
          </cell>
          <cell r="F2546">
            <v>113558.220409189</v>
          </cell>
          <cell r="G2546">
            <v>4.0852407590058253E-2</v>
          </cell>
          <cell r="I2546" t="str">
            <v>MD</v>
          </cell>
          <cell r="J2546" t="str">
            <v>High</v>
          </cell>
          <cell r="K2546">
            <v>114162</v>
          </cell>
        </row>
        <row r="2547">
          <cell r="C2547">
            <v>3347414.7651220998</v>
          </cell>
          <cell r="D2547">
            <v>0.72141840457413198</v>
          </cell>
          <cell r="E2547">
            <v>109401</v>
          </cell>
          <cell r="F2547">
            <v>78923.894878814695</v>
          </cell>
          <cell r="G2547">
            <v>2.3577566694498307E-2</v>
          </cell>
          <cell r="I2547" t="str">
            <v>MD</v>
          </cell>
          <cell r="J2547" t="str">
            <v>High</v>
          </cell>
          <cell r="K2547">
            <v>156214.66666666666</v>
          </cell>
        </row>
        <row r="2548">
          <cell r="C2548">
            <v>3148534.2587814401</v>
          </cell>
          <cell r="D2548">
            <v>0.68097579467359504</v>
          </cell>
          <cell r="E2548">
            <v>171479</v>
          </cell>
          <cell r="F2548">
            <v>116773.048294833</v>
          </cell>
          <cell r="G2548">
            <v>3.7088066604054365E-2</v>
          </cell>
          <cell r="I2548" t="str">
            <v>MD</v>
          </cell>
          <cell r="J2548" t="str">
            <v>High</v>
          </cell>
          <cell r="K2548">
            <v>122386.66666666667</v>
          </cell>
        </row>
        <row r="2549">
          <cell r="C2549">
            <v>3050868.7122305301</v>
          </cell>
          <cell r="D2549">
            <v>0.72384125563304702</v>
          </cell>
          <cell r="E2549">
            <v>172678</v>
          </cell>
          <cell r="F2549">
            <v>124991.460340203</v>
          </cell>
          <cell r="G2549">
            <v>4.09691376882685E-2</v>
          </cell>
          <cell r="I2549" t="str">
            <v>MD</v>
          </cell>
          <cell r="J2549" t="str">
            <v>High</v>
          </cell>
          <cell r="K2549">
            <v>117833.33333333333</v>
          </cell>
        </row>
        <row r="2550">
          <cell r="C2550">
            <v>3231600.0005358402</v>
          </cell>
          <cell r="D2550">
            <v>0.66809457838446695</v>
          </cell>
          <cell r="E2550">
            <v>197641</v>
          </cell>
          <cell r="F2550">
            <v>132042.880566484</v>
          </cell>
          <cell r="G2550">
            <v>4.0859908573025627E-2</v>
          </cell>
          <cell r="I2550" t="str">
            <v>MD</v>
          </cell>
          <cell r="J2550" t="str">
            <v>High</v>
          </cell>
          <cell r="K2550">
            <v>119910</v>
          </cell>
        </row>
        <row r="2551">
          <cell r="C2551">
            <v>2423952.8564742599</v>
          </cell>
          <cell r="D2551">
            <v>0.68302929568844495</v>
          </cell>
          <cell r="E2551">
            <v>191740</v>
          </cell>
          <cell r="F2551">
            <v>130964.03715530199</v>
          </cell>
          <cell r="G2551">
            <v>5.4029118926757769E-2</v>
          </cell>
          <cell r="I2551" t="str">
            <v>MD</v>
          </cell>
          <cell r="J2551" t="str">
            <v>Med</v>
          </cell>
          <cell r="K2551">
            <v>78620</v>
          </cell>
        </row>
        <row r="2552">
          <cell r="C2552">
            <v>2471673.0406214199</v>
          </cell>
          <cell r="D2552">
            <v>0.70754077620628297</v>
          </cell>
          <cell r="E2552">
            <v>196941</v>
          </cell>
          <cell r="F2552">
            <v>139343.78800684199</v>
          </cell>
          <cell r="G2552">
            <v>5.6376302899597365E-2</v>
          </cell>
          <cell r="I2552" t="str">
            <v>MD</v>
          </cell>
          <cell r="J2552" t="str">
            <v>Med</v>
          </cell>
          <cell r="K2552">
            <v>82411.666666666672</v>
          </cell>
        </row>
        <row r="2553">
          <cell r="C2553">
            <v>2217310.52280187</v>
          </cell>
          <cell r="D2553">
            <v>0.69469161278560898</v>
          </cell>
          <cell r="E2553">
            <v>203664</v>
          </cell>
          <cell r="F2553">
            <v>141483.672626368</v>
          </cell>
          <cell r="G2553">
            <v>6.3808686772290402E-2</v>
          </cell>
          <cell r="I2553" t="str">
            <v>MD</v>
          </cell>
          <cell r="J2553" t="str">
            <v>Med</v>
          </cell>
          <cell r="K2553">
            <v>64581.333333333336</v>
          </cell>
        </row>
        <row r="2554">
          <cell r="C2554">
            <v>3389808.4484727299</v>
          </cell>
          <cell r="D2554">
            <v>0.76240574640296899</v>
          </cell>
          <cell r="E2554">
            <v>157463</v>
          </cell>
          <cell r="F2554">
            <v>120050.696045851</v>
          </cell>
          <cell r="G2554">
            <v>3.5415185804949997E-2</v>
          </cell>
          <cell r="I2554" t="str">
            <v>MD</v>
          </cell>
          <cell r="J2554" t="str">
            <v>High</v>
          </cell>
          <cell r="K2554">
            <v>130716.66666666667</v>
          </cell>
        </row>
        <row r="2555">
          <cell r="C2555">
            <v>2109151.3341647</v>
          </cell>
          <cell r="D2555">
            <v>0.70676535849014399</v>
          </cell>
          <cell r="E2555">
            <v>186870</v>
          </cell>
          <cell r="F2555">
            <v>132073.24254105301</v>
          </cell>
          <cell r="G2555">
            <v>6.2619139936375773E-2</v>
          </cell>
          <cell r="I2555" t="str">
            <v>MD</v>
          </cell>
          <cell r="J2555" t="str">
            <v>Med</v>
          </cell>
          <cell r="K2555">
            <v>51362.666666666664</v>
          </cell>
        </row>
        <row r="2556">
          <cell r="C2556">
            <v>2451357.5186062302</v>
          </cell>
          <cell r="D2556">
            <v>0.74517820328392403</v>
          </cell>
          <cell r="E2556">
            <v>166795</v>
          </cell>
          <cell r="F2556">
            <v>124291.998416742</v>
          </cell>
          <cell r="G2556">
            <v>5.0703333754192975E-2</v>
          </cell>
          <cell r="I2556" t="str">
            <v>MD</v>
          </cell>
          <cell r="J2556" t="str">
            <v>Low</v>
          </cell>
          <cell r="K2556">
            <v>25885.333333333332</v>
          </cell>
        </row>
        <row r="2557">
          <cell r="C2557">
            <v>3675555.6256615901</v>
          </cell>
          <cell r="D2557">
            <v>0.74564825712685601</v>
          </cell>
          <cell r="E2557">
            <v>109555</v>
          </cell>
          <cell r="F2557">
            <v>81689.494809532698</v>
          </cell>
          <cell r="G2557">
            <v>2.2225073738294684E-2</v>
          </cell>
          <cell r="I2557" t="str">
            <v>MD</v>
          </cell>
          <cell r="J2557" t="str">
            <v>High</v>
          </cell>
          <cell r="K2557">
            <v>159532</v>
          </cell>
        </row>
        <row r="2558">
          <cell r="C2558">
            <v>2768761.5107849999</v>
          </cell>
          <cell r="D2558">
            <v>0.70880350118601998</v>
          </cell>
          <cell r="E2558">
            <v>190168</v>
          </cell>
          <cell r="F2558">
            <v>134791.74421354299</v>
          </cell>
          <cell r="G2558">
            <v>4.8683046079807286E-2</v>
          </cell>
          <cell r="I2558" t="str">
            <v>MD</v>
          </cell>
          <cell r="J2558" t="str">
            <v>Med</v>
          </cell>
          <cell r="K2558">
            <v>93825.333333333328</v>
          </cell>
        </row>
        <row r="2559">
          <cell r="C2559">
            <v>3040907.1063037398</v>
          </cell>
          <cell r="D2559">
            <v>0.71143197481698195</v>
          </cell>
          <cell r="E2559">
            <v>189736</v>
          </cell>
          <cell r="F2559">
            <v>134984.257173875</v>
          </cell>
          <cell r="G2559">
            <v>4.4389470791151533E-2</v>
          </cell>
          <cell r="I2559" t="str">
            <v>MD</v>
          </cell>
          <cell r="J2559" t="str">
            <v>High</v>
          </cell>
          <cell r="K2559">
            <v>114162</v>
          </cell>
        </row>
        <row r="2560">
          <cell r="C2560">
            <v>3692944.8452788801</v>
          </cell>
          <cell r="D2560">
            <v>0.71484924305567299</v>
          </cell>
          <cell r="E2560">
            <v>126916</v>
          </cell>
          <cell r="F2560">
            <v>90725.806531653798</v>
          </cell>
          <cell r="G2560">
            <v>2.4567333207707969E-2</v>
          </cell>
          <cell r="I2560" t="str">
            <v>MD</v>
          </cell>
          <cell r="J2560" t="str">
            <v>High</v>
          </cell>
          <cell r="K2560">
            <v>156214.66666666666</v>
          </cell>
        </row>
        <row r="2561">
          <cell r="C2561">
            <v>3356510.43660546</v>
          </cell>
          <cell r="D2561">
            <v>0.68422799255032996</v>
          </cell>
          <cell r="E2561">
            <v>199607</v>
          </cell>
          <cell r="F2561">
            <v>136576.696908994</v>
          </cell>
          <cell r="G2561">
            <v>4.0690085578020167E-2</v>
          </cell>
          <cell r="I2561" t="str">
            <v>MD</v>
          </cell>
          <cell r="J2561" t="str">
            <v>High</v>
          </cell>
          <cell r="K2561">
            <v>122386.66666666667</v>
          </cell>
        </row>
        <row r="2562">
          <cell r="C2562">
            <v>3297164.4112227401</v>
          </cell>
          <cell r="D2562">
            <v>0.70994456088281799</v>
          </cell>
          <cell r="E2562">
            <v>209161</v>
          </cell>
          <cell r="F2562">
            <v>148492.71429881101</v>
          </cell>
          <cell r="G2562">
            <v>4.5036490686778674E-2</v>
          </cell>
          <cell r="I2562" t="str">
            <v>MD</v>
          </cell>
          <cell r="J2562" t="str">
            <v>High</v>
          </cell>
          <cell r="K2562">
            <v>117833.33333333333</v>
          </cell>
        </row>
        <row r="2563">
          <cell r="C2563">
            <v>3347786.5456512002</v>
          </cell>
          <cell r="D2563">
            <v>0.68462519574999703</v>
          </cell>
          <cell r="E2563">
            <v>219089</v>
          </cell>
          <cell r="F2563">
            <v>149993.849511671</v>
          </cell>
          <cell r="G2563">
            <v>4.4803886826809233E-2</v>
          </cell>
          <cell r="I2563" t="str">
            <v>MD</v>
          </cell>
          <cell r="J2563" t="str">
            <v>High</v>
          </cell>
          <cell r="K2563">
            <v>119910</v>
          </cell>
        </row>
        <row r="2564">
          <cell r="C2564">
            <v>2601571.0774347498</v>
          </cell>
          <cell r="D2564">
            <v>0.69915394270859699</v>
          </cell>
          <cell r="E2564">
            <v>221157</v>
          </cell>
          <cell r="F2564">
            <v>154622.788507605</v>
          </cell>
          <cell r="G2564">
            <v>5.9434389415210245E-2</v>
          </cell>
          <cell r="I2564" t="str">
            <v>MD</v>
          </cell>
          <cell r="J2564" t="str">
            <v>Med</v>
          </cell>
          <cell r="K2564">
            <v>78620</v>
          </cell>
        </row>
        <row r="2565">
          <cell r="C2565">
            <v>2577446.6599737201</v>
          </cell>
          <cell r="D2565">
            <v>0.73189412931459996</v>
          </cell>
          <cell r="E2565">
            <v>221781</v>
          </cell>
          <cell r="F2565">
            <v>162320.21189352099</v>
          </cell>
          <cell r="G2565">
            <v>6.2977137185518325E-2</v>
          </cell>
          <cell r="I2565" t="str">
            <v>MD</v>
          </cell>
          <cell r="J2565" t="str">
            <v>Med</v>
          </cell>
          <cell r="K2565">
            <v>82411.666666666672</v>
          </cell>
        </row>
        <row r="2566">
          <cell r="C2566">
            <v>2315571.6417130302</v>
          </cell>
          <cell r="D2566">
            <v>0.68012387550055597</v>
          </cell>
          <cell r="E2566">
            <v>241636</v>
          </cell>
          <cell r="F2566">
            <v>164342.412780452</v>
          </cell>
          <cell r="G2566">
            <v>7.0972717846412042E-2</v>
          </cell>
          <cell r="I2566" t="str">
            <v>MD</v>
          </cell>
          <cell r="J2566" t="str">
            <v>Med</v>
          </cell>
          <cell r="K2566">
            <v>64581.333333333336</v>
          </cell>
        </row>
        <row r="2567">
          <cell r="C2567">
            <v>3553748.0062115402</v>
          </cell>
          <cell r="D2567">
            <v>0.73703950731774004</v>
          </cell>
          <cell r="E2567">
            <v>187493</v>
          </cell>
          <cell r="F2567">
            <v>138189.748345525</v>
          </cell>
          <cell r="G2567">
            <v>3.8885635139009667E-2</v>
          </cell>
          <cell r="I2567" t="str">
            <v>MD</v>
          </cell>
          <cell r="J2567" t="str">
            <v>High</v>
          </cell>
          <cell r="K2567">
            <v>130716.66666666667</v>
          </cell>
        </row>
        <row r="2568">
          <cell r="C2568">
            <v>2172174.9635268701</v>
          </cell>
          <cell r="D2568">
            <v>0.70223491435822805</v>
          </cell>
          <cell r="E2568">
            <v>219718</v>
          </cell>
          <cell r="F2568">
            <v>154293.65091296099</v>
          </cell>
          <cell r="G2568">
            <v>7.1031870592247692E-2</v>
          </cell>
          <cell r="I2568" t="str">
            <v>MD</v>
          </cell>
          <cell r="J2568" t="str">
            <v>Med</v>
          </cell>
          <cell r="K2568">
            <v>51362.666666666664</v>
          </cell>
        </row>
        <row r="2569">
          <cell r="C2569">
            <v>2579707.3585542701</v>
          </cell>
          <cell r="D2569">
            <v>0.72999926876530896</v>
          </cell>
          <cell r="E2569">
            <v>198201</v>
          </cell>
          <cell r="F2569">
            <v>144686.58506855299</v>
          </cell>
          <cell r="G2569">
            <v>5.6086433443225447E-2</v>
          </cell>
          <cell r="I2569" t="str">
            <v>MD</v>
          </cell>
          <cell r="J2569" t="str">
            <v>Low</v>
          </cell>
          <cell r="K2569">
            <v>25885.333333333332</v>
          </cell>
        </row>
        <row r="2570">
          <cell r="C2570">
            <v>3831699.3706925898</v>
          </cell>
          <cell r="D2570">
            <v>0.74670526876038301</v>
          </cell>
          <cell r="E2570">
            <v>125528</v>
          </cell>
          <cell r="F2570">
            <v>93732.418976953399</v>
          </cell>
          <cell r="G2570">
            <v>2.4462362494793274E-2</v>
          </cell>
          <cell r="I2570" t="str">
            <v>MD</v>
          </cell>
          <cell r="J2570" t="str">
            <v>High</v>
          </cell>
          <cell r="K2570">
            <v>159532</v>
          </cell>
        </row>
        <row r="2571">
          <cell r="C2571">
            <v>2949658.1719783</v>
          </cell>
          <cell r="D2571">
            <v>0.70620290735828195</v>
          </cell>
          <cell r="E2571">
            <v>217490</v>
          </cell>
          <cell r="F2571">
            <v>153592.07032135301</v>
          </cell>
          <cell r="G2571">
            <v>5.2071142270136567E-2</v>
          </cell>
          <cell r="I2571" t="str">
            <v>MD</v>
          </cell>
          <cell r="J2571" t="str">
            <v>Med</v>
          </cell>
          <cell r="K2571">
            <v>93825.333333333328</v>
          </cell>
        </row>
        <row r="2572">
          <cell r="C2572">
            <v>3238857.2961416398</v>
          </cell>
          <cell r="D2572">
            <v>0.68969180414532605</v>
          </cell>
          <cell r="E2572">
            <v>226899</v>
          </cell>
          <cell r="F2572">
            <v>156490.38066877</v>
          </cell>
          <cell r="G2572">
            <v>4.8316540792085104E-2</v>
          </cell>
          <cell r="I2572" t="str">
            <v>MD</v>
          </cell>
          <cell r="J2572" t="str">
            <v>High</v>
          </cell>
          <cell r="K2572">
            <v>114162</v>
          </cell>
        </row>
        <row r="2573">
          <cell r="C2573">
            <v>3926277.3180211699</v>
          </cell>
          <cell r="D2573">
            <v>0.70711868959256297</v>
          </cell>
          <cell r="E2573">
            <v>152082</v>
          </cell>
          <cell r="F2573">
            <v>107540.024550616</v>
          </cell>
          <cell r="G2573">
            <v>2.7389818864046973E-2</v>
          </cell>
          <cell r="I2573" t="str">
            <v>MD</v>
          </cell>
          <cell r="J2573" t="str">
            <v>High</v>
          </cell>
          <cell r="K2573">
            <v>156214.66666666666</v>
          </cell>
        </row>
        <row r="2574">
          <cell r="C2574">
            <v>3513105.6688127802</v>
          </cell>
          <cell r="D2574">
            <v>0.67165617494877905</v>
          </cell>
          <cell r="E2574">
            <v>221155</v>
          </cell>
          <cell r="F2574">
            <v>148540.12137079699</v>
          </cell>
          <cell r="G2574">
            <v>4.2281711788360377E-2</v>
          </cell>
          <cell r="I2574" t="str">
            <v>MD</v>
          </cell>
          <cell r="J2574" t="str">
            <v>High</v>
          </cell>
          <cell r="K2574">
            <v>122386.66666666667</v>
          </cell>
        </row>
        <row r="2575">
          <cell r="C2575">
            <v>3395847.6104091899</v>
          </cell>
          <cell r="D2575">
            <v>0.74302548178727801</v>
          </cell>
          <cell r="E2575">
            <v>217837</v>
          </cell>
          <cell r="F2575">
            <v>161858.44187609499</v>
          </cell>
          <cell r="G2575">
            <v>4.7663635252640654E-2</v>
          </cell>
          <cell r="I2575" t="str">
            <v>MD</v>
          </cell>
          <cell r="J2575" t="str">
            <v>High</v>
          </cell>
          <cell r="K2575">
            <v>117833.33333333333</v>
          </cell>
        </row>
        <row r="2576">
          <cell r="C2576">
            <v>3563809.2151606502</v>
          </cell>
          <cell r="D2576">
            <v>0.66599573471428597</v>
          </cell>
          <cell r="E2576">
            <v>246928</v>
          </cell>
          <cell r="F2576">
            <v>164452.99478152901</v>
          </cell>
          <cell r="G2576">
            <v>4.6145285803161538E-2</v>
          </cell>
          <cell r="I2576" t="str">
            <v>MD</v>
          </cell>
          <cell r="J2576" t="str">
            <v>High</v>
          </cell>
          <cell r="K2576">
            <v>119910</v>
          </cell>
        </row>
        <row r="2577">
          <cell r="C2577">
            <v>2738109.32965597</v>
          </cell>
          <cell r="D2577">
            <v>0.69247639275183903</v>
          </cell>
          <cell r="E2577">
            <v>250119</v>
          </cell>
          <cell r="F2577">
            <v>173201.50287869701</v>
          </cell>
          <cell r="G2577">
            <v>6.3255875506059114E-2</v>
          </cell>
          <cell r="I2577" t="str">
            <v>MD</v>
          </cell>
          <cell r="J2577" t="str">
            <v>Med</v>
          </cell>
          <cell r="K2577">
            <v>78620</v>
          </cell>
        </row>
        <row r="2578">
          <cell r="C2578">
            <v>2746784.6677075098</v>
          </cell>
          <cell r="D2578">
            <v>0.73611154047082505</v>
          </cell>
          <cell r="E2578">
            <v>244493</v>
          </cell>
          <cell r="F2578">
            <v>179974.11886433401</v>
          </cell>
          <cell r="G2578">
            <v>6.5521742923715223E-2</v>
          </cell>
          <cell r="I2578" t="str">
            <v>MD</v>
          </cell>
          <cell r="J2578" t="str">
            <v>Med</v>
          </cell>
          <cell r="K2578">
            <v>82411.666666666672</v>
          </cell>
        </row>
        <row r="2579">
          <cell r="C2579">
            <v>2434760.7182185901</v>
          </cell>
          <cell r="D2579">
            <v>0.68393548036609098</v>
          </cell>
          <cell r="E2579">
            <v>266561</v>
          </cell>
          <cell r="F2579">
            <v>182310.52558186499</v>
          </cell>
          <cell r="G2579">
            <v>7.4878210502448792E-2</v>
          </cell>
          <cell r="I2579" t="str">
            <v>MD</v>
          </cell>
          <cell r="J2579" t="str">
            <v>Med</v>
          </cell>
          <cell r="K2579">
            <v>64581.333333333336</v>
          </cell>
        </row>
        <row r="2580">
          <cell r="C2580">
            <v>3688600.8354841401</v>
          </cell>
          <cell r="D2580">
            <v>0.74435714243727702</v>
          </cell>
          <cell r="E2580">
            <v>201833</v>
          </cell>
          <cell r="F2580">
            <v>150235.835129543</v>
          </cell>
          <cell r="G2580">
            <v>4.0729762267655102E-2</v>
          </cell>
          <cell r="I2580" t="str">
            <v>MD</v>
          </cell>
          <cell r="J2580" t="str">
            <v>High</v>
          </cell>
          <cell r="K2580">
            <v>130716.66666666667</v>
          </cell>
        </row>
        <row r="2581">
          <cell r="C2581">
            <v>2294025.6407844299</v>
          </cell>
          <cell r="D2581">
            <v>0.736273450345445</v>
          </cell>
          <cell r="E2581">
            <v>227505</v>
          </cell>
          <cell r="F2581">
            <v>167505.89132084101</v>
          </cell>
          <cell r="G2581">
            <v>7.301831694590967E-2</v>
          </cell>
          <cell r="I2581" t="str">
            <v>MD</v>
          </cell>
          <cell r="J2581" t="str">
            <v>Med</v>
          </cell>
          <cell r="K2581">
            <v>51362.666666666664</v>
          </cell>
        </row>
        <row r="2582">
          <cell r="C2582">
            <v>2722563.8098823498</v>
          </cell>
          <cell r="D2582">
            <v>0.73298228078467498</v>
          </cell>
          <cell r="E2582">
            <v>223966</v>
          </cell>
          <cell r="F2582">
            <v>164163.10949822099</v>
          </cell>
          <cell r="G2582">
            <v>6.0297249563937665E-2</v>
          </cell>
          <cell r="I2582" t="str">
            <v>MD</v>
          </cell>
          <cell r="J2582" t="str">
            <v>Low</v>
          </cell>
          <cell r="K2582">
            <v>25885.333333333332</v>
          </cell>
        </row>
        <row r="2583">
          <cell r="C2583">
            <v>4054520.5693750302</v>
          </cell>
          <cell r="D2583">
            <v>0.71821717957925002</v>
          </cell>
          <cell r="E2583">
            <v>141797</v>
          </cell>
          <cell r="F2583">
            <v>101841.04141279899</v>
          </cell>
          <cell r="G2583">
            <v>2.5117899803501778E-2</v>
          </cell>
          <cell r="I2583" t="str">
            <v>MD</v>
          </cell>
          <cell r="J2583" t="str">
            <v>High</v>
          </cell>
          <cell r="K2583">
            <v>159532</v>
          </cell>
        </row>
        <row r="2584">
          <cell r="C2584">
            <v>3052238.4367038701</v>
          </cell>
          <cell r="D2584">
            <v>0.69397294265322795</v>
          </cell>
          <cell r="E2584">
            <v>245662</v>
          </cell>
          <cell r="F2584">
            <v>170482.781038077</v>
          </cell>
          <cell r="G2584">
            <v>5.5855001033989445E-2</v>
          </cell>
          <cell r="I2584" t="str">
            <v>MD</v>
          </cell>
          <cell r="J2584" t="str">
            <v>Med</v>
          </cell>
          <cell r="K2584">
            <v>93825.333333333328</v>
          </cell>
        </row>
        <row r="2585">
          <cell r="C2585">
            <v>3386764.9605412902</v>
          </cell>
          <cell r="D2585">
            <v>0.72278079561158903</v>
          </cell>
          <cell r="E2585">
            <v>235632</v>
          </cell>
          <cell r="F2585">
            <v>170310.28443155001</v>
          </cell>
          <cell r="G2585">
            <v>5.0287010293247558E-2</v>
          </cell>
          <cell r="I2585" t="str">
            <v>MD</v>
          </cell>
          <cell r="J2585" t="str">
            <v>High</v>
          </cell>
          <cell r="K2585">
            <v>114162</v>
          </cell>
        </row>
        <row r="2586">
          <cell r="C2586">
            <v>4155823.0034787799</v>
          </cell>
          <cell r="D2586">
            <v>0.70945960106884798</v>
          </cell>
          <cell r="E2586">
            <v>168814</v>
          </cell>
          <cell r="F2586">
            <v>119766.713094837</v>
          </cell>
          <cell r="G2586">
            <v>2.8819012021104363E-2</v>
          </cell>
          <cell r="I2586" t="str">
            <v>MD</v>
          </cell>
          <cell r="J2586" t="str">
            <v>High</v>
          </cell>
          <cell r="K2586">
            <v>156214.66666666666</v>
          </cell>
        </row>
        <row r="2587">
          <cell r="C2587">
            <v>3257553.5894339699</v>
          </cell>
          <cell r="D2587">
            <v>0.68817972010360895</v>
          </cell>
          <cell r="E2587">
            <v>219060</v>
          </cell>
          <cell r="F2587">
            <v>150752.64948589701</v>
          </cell>
          <cell r="G2587">
            <v>4.6277872442335381E-2</v>
          </cell>
          <cell r="I2587" t="str">
            <v>MD</v>
          </cell>
          <cell r="J2587" t="str">
            <v>High</v>
          </cell>
          <cell r="K2587">
            <v>122386.66666666667</v>
          </cell>
        </row>
        <row r="2588">
          <cell r="C2588">
            <v>3264788.8071082099</v>
          </cell>
          <cell r="D2588">
            <v>0.72934158152344597</v>
          </cell>
          <cell r="E2588">
            <v>231672</v>
          </cell>
          <cell r="F2588">
            <v>168968.02287469999</v>
          </cell>
          <cell r="G2588">
            <v>5.175465638292346E-2</v>
          </cell>
          <cell r="I2588" t="str">
            <v>MD</v>
          </cell>
          <cell r="J2588" t="str">
            <v>High</v>
          </cell>
          <cell r="K2588">
            <v>117833.33333333333</v>
          </cell>
        </row>
        <row r="2589">
          <cell r="C2589">
            <v>3355514.1224141899</v>
          </cell>
          <cell r="D2589">
            <v>0.67354289459495797</v>
          </cell>
          <cell r="E2589">
            <v>248952</v>
          </cell>
          <cell r="F2589">
            <v>167679.85069520399</v>
          </cell>
          <cell r="G2589">
            <v>4.9971433460862164E-2</v>
          </cell>
          <cell r="I2589" t="str">
            <v>MD</v>
          </cell>
          <cell r="J2589" t="str">
            <v>High</v>
          </cell>
          <cell r="K2589">
            <v>119910</v>
          </cell>
        </row>
        <row r="2590">
          <cell r="C2590">
            <v>2584243.6336368802</v>
          </cell>
          <cell r="D2590">
            <v>0.67049506234928302</v>
          </cell>
          <cell r="E2590">
            <v>266879</v>
          </cell>
          <cell r="F2590">
            <v>178941.051744714</v>
          </cell>
          <cell r="G2590">
            <v>6.9243104409968156E-2</v>
          </cell>
          <cell r="I2590" t="str">
            <v>MD</v>
          </cell>
          <cell r="J2590" t="str">
            <v>Med</v>
          </cell>
          <cell r="K2590">
            <v>78620</v>
          </cell>
        </row>
        <row r="2591">
          <cell r="C2591">
            <v>2554140.0677452399</v>
          </cell>
          <cell r="D2591">
            <v>0.71972209082178096</v>
          </cell>
          <cell r="E2591">
            <v>248121</v>
          </cell>
          <cell r="F2591">
            <v>178578.16489679099</v>
          </cell>
          <cell r="G2591">
            <v>6.9917138512469029E-2</v>
          </cell>
          <cell r="I2591" t="str">
            <v>MD</v>
          </cell>
          <cell r="J2591" t="str">
            <v>Med</v>
          </cell>
          <cell r="K2591">
            <v>82411.666666666672</v>
          </cell>
        </row>
        <row r="2592">
          <cell r="C2592">
            <v>2257158.0730240801</v>
          </cell>
          <cell r="D2592">
            <v>0.67948598382004899</v>
          </cell>
          <cell r="E2592">
            <v>272228</v>
          </cell>
          <cell r="F2592">
            <v>184975.110403364</v>
          </cell>
          <cell r="G2592">
            <v>8.1950445834544181E-2</v>
          </cell>
          <cell r="I2592" t="str">
            <v>MD</v>
          </cell>
          <cell r="J2592" t="str">
            <v>Med</v>
          </cell>
          <cell r="K2592">
            <v>64581.333333333336</v>
          </cell>
        </row>
        <row r="2593">
          <cell r="C2593">
            <v>3504939.4179984201</v>
          </cell>
          <cell r="D2593">
            <v>0.76334872049874802</v>
          </cell>
          <cell r="E2593">
            <v>210448</v>
          </cell>
          <cell r="F2593">
            <v>160645.211531521</v>
          </cell>
          <cell r="G2593">
            <v>4.5833948143748887E-2</v>
          </cell>
          <cell r="I2593" t="str">
            <v>MD</v>
          </cell>
          <cell r="J2593" t="str">
            <v>High</v>
          </cell>
          <cell r="K2593">
            <v>130716.66666666667</v>
          </cell>
        </row>
        <row r="2594">
          <cell r="C2594">
            <v>2187196.9055208699</v>
          </cell>
          <cell r="D2594">
            <v>0.74397965393219101</v>
          </cell>
          <cell r="E2594">
            <v>231033</v>
          </cell>
          <cell r="F2594">
            <v>171883.85138691601</v>
          </cell>
          <cell r="G2594">
            <v>7.8586363647941762E-2</v>
          </cell>
          <cell r="I2594" t="str">
            <v>MD</v>
          </cell>
          <cell r="J2594" t="str">
            <v>Med</v>
          </cell>
          <cell r="K2594">
            <v>51362.666666666664</v>
          </cell>
        </row>
        <row r="2595">
          <cell r="C2595">
            <v>2562415.73223241</v>
          </cell>
          <cell r="D2595">
            <v>0.71112156098006596</v>
          </cell>
          <cell r="E2595">
            <v>232944</v>
          </cell>
          <cell r="F2595">
            <v>165651.500900941</v>
          </cell>
          <cell r="G2595">
            <v>6.4646614059235136E-2</v>
          </cell>
          <cell r="I2595" t="str">
            <v>MD</v>
          </cell>
          <cell r="J2595" t="str">
            <v>Low</v>
          </cell>
          <cell r="K2595">
            <v>25885.333333333332</v>
          </cell>
        </row>
        <row r="2596">
          <cell r="C2596">
            <v>3862362.37064627</v>
          </cell>
          <cell r="D2596">
            <v>0.73287409627307198</v>
          </cell>
          <cell r="E2596">
            <v>146537</v>
          </cell>
          <cell r="F2596">
            <v>107393.171445567</v>
          </cell>
          <cell r="G2596">
            <v>2.780504808708496E-2</v>
          </cell>
          <cell r="I2596" t="str">
            <v>MD</v>
          </cell>
          <cell r="J2596" t="str">
            <v>High</v>
          </cell>
          <cell r="K2596">
            <v>159532</v>
          </cell>
        </row>
        <row r="2597">
          <cell r="C2597">
            <v>2934365.4208569401</v>
          </cell>
          <cell r="D2597">
            <v>0.68720870545327195</v>
          </cell>
          <cell r="E2597">
            <v>260999</v>
          </cell>
          <cell r="F2597">
            <v>179360.78491459801</v>
          </cell>
          <cell r="G2597">
            <v>6.112421569574597E-2</v>
          </cell>
          <cell r="I2597" t="str">
            <v>MD</v>
          </cell>
          <cell r="J2597" t="str">
            <v>Med</v>
          </cell>
          <cell r="K2597">
            <v>93825.333333333328</v>
          </cell>
        </row>
        <row r="2598">
          <cell r="C2598">
            <v>3238337.1786686098</v>
          </cell>
          <cell r="D2598">
            <v>0.72578798426327695</v>
          </cell>
          <cell r="E2598">
            <v>246696</v>
          </cell>
          <cell r="F2598">
            <v>179048.99256581301</v>
          </cell>
          <cell r="G2598">
            <v>5.5290410691398763E-2</v>
          </cell>
          <cell r="I2598" t="str">
            <v>MD</v>
          </cell>
          <cell r="J2598" t="str">
            <v>High</v>
          </cell>
          <cell r="K2598">
            <v>114162</v>
          </cell>
        </row>
        <row r="2599">
          <cell r="C2599">
            <v>3997580.8209257298</v>
          </cell>
          <cell r="D2599">
            <v>0.72263056711700102</v>
          </cell>
          <cell r="E2599">
            <v>176558</v>
          </cell>
          <cell r="F2599">
            <v>127586.207669043</v>
          </cell>
          <cell r="G2599">
            <v>3.1915854459071961E-2</v>
          </cell>
          <cell r="I2599" t="str">
            <v>MD</v>
          </cell>
          <cell r="J2599" t="str">
            <v>High</v>
          </cell>
          <cell r="K2599">
            <v>156214.66666666666</v>
          </cell>
        </row>
        <row r="2600">
          <cell r="C2600">
            <v>3151825.7751788502</v>
          </cell>
          <cell r="D2600">
            <v>0.68076852515051001</v>
          </cell>
          <cell r="E2600">
            <v>230955</v>
          </cell>
          <cell r="F2600">
            <v>157226.894726136</v>
          </cell>
          <cell r="G2600">
            <v>4.9884386365618247E-2</v>
          </cell>
          <cell r="I2600" t="str">
            <v>MD</v>
          </cell>
          <cell r="J2600" t="str">
            <v>High</v>
          </cell>
          <cell r="K2600">
            <v>122386.66666666667</v>
          </cell>
        </row>
        <row r="2601">
          <cell r="C2601">
            <v>3065602.8323264401</v>
          </cell>
          <cell r="D2601">
            <v>0.72723863286109702</v>
          </cell>
          <cell r="E2601">
            <v>237924</v>
          </cell>
          <cell r="F2601">
            <v>173027.52448484401</v>
          </cell>
          <cell r="G2601">
            <v>5.6441598585533666E-2</v>
          </cell>
          <cell r="I2601" t="str">
            <v>MD</v>
          </cell>
          <cell r="J2601" t="str">
            <v>High</v>
          </cell>
          <cell r="K2601">
            <v>117833.33333333333</v>
          </cell>
        </row>
        <row r="2602">
          <cell r="C2602">
            <v>3211209.8317304701</v>
          </cell>
          <cell r="D2602">
            <v>0.67483082119305104</v>
          </cell>
          <cell r="E2602">
            <v>259751</v>
          </cell>
          <cell r="F2602">
            <v>175287.980635716</v>
          </cell>
          <cell r="G2602">
            <v>5.4586274276961867E-2</v>
          </cell>
          <cell r="I2602" t="str">
            <v>MD</v>
          </cell>
          <cell r="J2602" t="str">
            <v>High</v>
          </cell>
          <cell r="K2602">
            <v>119910</v>
          </cell>
        </row>
        <row r="2603">
          <cell r="C2603">
            <v>2469644.6632008199</v>
          </cell>
          <cell r="D2603">
            <v>0.68142347718252005</v>
          </cell>
          <cell r="E2603">
            <v>271417</v>
          </cell>
          <cell r="F2603">
            <v>184949.915906448</v>
          </cell>
          <cell r="G2603">
            <v>7.488928211508003E-2</v>
          </cell>
          <cell r="I2603" t="str">
            <v>MD</v>
          </cell>
          <cell r="J2603" t="str">
            <v>Med</v>
          </cell>
          <cell r="K2603">
            <v>78620</v>
          </cell>
        </row>
        <row r="2604">
          <cell r="C2604">
            <v>2451951.4350059298</v>
          </cell>
          <cell r="D2604">
            <v>0.72718856403286203</v>
          </cell>
          <cell r="E2604">
            <v>258181</v>
          </cell>
          <cell r="F2604">
            <v>187746.27065056801</v>
          </cell>
          <cell r="G2604">
            <v>7.657014244660762E-2</v>
          </cell>
          <cell r="I2604" t="str">
            <v>MD</v>
          </cell>
          <cell r="J2604" t="str">
            <v>Med</v>
          </cell>
          <cell r="K2604">
            <v>82411.666666666672</v>
          </cell>
        </row>
        <row r="2605">
          <cell r="C2605">
            <v>2211380.2626359202</v>
          </cell>
          <cell r="D2605">
            <v>0.68206007346088604</v>
          </cell>
          <cell r="E2605">
            <v>287385</v>
          </cell>
          <cell r="F2605">
            <v>196013.834211557</v>
          </cell>
          <cell r="G2605">
            <v>8.8638683053954961E-2</v>
          </cell>
          <cell r="I2605" t="str">
            <v>MD</v>
          </cell>
          <cell r="J2605" t="str">
            <v>Med</v>
          </cell>
          <cell r="K2605">
            <v>64581.333333333336</v>
          </cell>
        </row>
        <row r="2606">
          <cell r="C2606">
            <v>3389938.5700934501</v>
          </cell>
          <cell r="D2606">
            <v>0.75212961909229203</v>
          </cell>
          <cell r="E2606">
            <v>214776</v>
          </cell>
          <cell r="F2606">
            <v>161539.39107016599</v>
          </cell>
          <cell r="G2606">
            <v>4.7652601287613554E-2</v>
          </cell>
          <cell r="I2606" t="str">
            <v>MD</v>
          </cell>
          <cell r="J2606" t="str">
            <v>High</v>
          </cell>
          <cell r="K2606">
            <v>130716.66666666667</v>
          </cell>
        </row>
        <row r="2607">
          <cell r="C2607">
            <v>2130490.1348476401</v>
          </cell>
          <cell r="D2607">
            <v>0.71671022954346797</v>
          </cell>
          <cell r="E2607">
            <v>259424</v>
          </cell>
          <cell r="F2607">
            <v>185931.83458908499</v>
          </cell>
          <cell r="G2607">
            <v>8.7271858971729871E-2</v>
          </cell>
          <cell r="I2607" t="str">
            <v>MD</v>
          </cell>
          <cell r="J2607" t="str">
            <v>Med</v>
          </cell>
          <cell r="K2607">
            <v>51362.666666666664</v>
          </cell>
        </row>
        <row r="2608">
          <cell r="C2608">
            <v>2462176.9502591598</v>
          </cell>
          <cell r="D2608">
            <v>0.70477556879435899</v>
          </cell>
          <cell r="E2608">
            <v>243624</v>
          </cell>
          <cell r="F2608">
            <v>171700.243171957</v>
          </cell>
          <cell r="G2608">
            <v>6.9735135467775558E-2</v>
          </cell>
          <cell r="I2608" t="str">
            <v>MD</v>
          </cell>
          <cell r="J2608" t="str">
            <v>Low</v>
          </cell>
          <cell r="K2608">
            <v>25885.333333333332</v>
          </cell>
        </row>
        <row r="2609">
          <cell r="C2609">
            <v>3698347.5499585201</v>
          </cell>
          <cell r="D2609">
            <v>0.749228936344426</v>
          </cell>
          <cell r="E2609">
            <v>151365</v>
          </cell>
          <cell r="F2609">
            <v>113407.03794977401</v>
          </cell>
          <cell r="G2609">
            <v>3.0664245698337884E-2</v>
          </cell>
          <cell r="I2609" t="str">
            <v>MD</v>
          </cell>
          <cell r="J2609" t="str">
            <v>High</v>
          </cell>
          <cell r="K2609">
            <v>159532</v>
          </cell>
        </row>
        <row r="2610">
          <cell r="C2610">
            <v>2786156.4568207902</v>
          </cell>
          <cell r="D2610">
            <v>0.68893227416698999</v>
          </cell>
          <cell r="E2610">
            <v>262350</v>
          </cell>
          <cell r="F2610">
            <v>180741.38212771001</v>
          </cell>
          <cell r="G2610">
            <v>6.487122490384091E-2</v>
          </cell>
          <cell r="I2610" t="str">
            <v>MD</v>
          </cell>
          <cell r="J2610" t="str">
            <v>Med</v>
          </cell>
          <cell r="K2610">
            <v>93825.333333333328</v>
          </cell>
        </row>
        <row r="2611">
          <cell r="C2611">
            <v>3076934.99043235</v>
          </cell>
          <cell r="D2611">
            <v>0.70666985260207105</v>
          </cell>
          <cell r="E2611">
            <v>259065</v>
          </cell>
          <cell r="F2611">
            <v>183073.42536435599</v>
          </cell>
          <cell r="G2611">
            <v>5.9498632871223506E-2</v>
          </cell>
          <cell r="I2611" t="str">
            <v>MD</v>
          </cell>
          <cell r="J2611" t="str">
            <v>High</v>
          </cell>
          <cell r="K2611">
            <v>114162</v>
          </cell>
        </row>
        <row r="2612">
          <cell r="C2612">
            <v>3738994.5719417799</v>
          </cell>
          <cell r="D2612">
            <v>0.69834306337739505</v>
          </cell>
          <cell r="E2612">
            <v>176327</v>
          </cell>
          <cell r="F2612">
            <v>123136.737336146</v>
          </cell>
          <cell r="G2612">
            <v>3.2933114763041005E-2</v>
          </cell>
          <cell r="I2612" t="str">
            <v>MD</v>
          </cell>
          <cell r="J2612" t="str">
            <v>High</v>
          </cell>
          <cell r="K2612">
            <v>156214.66666666666</v>
          </cell>
        </row>
        <row r="2613">
          <cell r="C2613">
            <v>3070248.2221988798</v>
          </cell>
          <cell r="D2613">
            <v>0.69215879416128701</v>
          </cell>
          <cell r="E2613">
            <v>204330</v>
          </cell>
          <cell r="F2613">
            <v>141428.80641097599</v>
          </cell>
          <cell r="G2613">
            <v>4.606429062914208E-2</v>
          </cell>
          <cell r="I2613" t="str">
            <v>MD</v>
          </cell>
          <cell r="J2613" t="str">
            <v>High</v>
          </cell>
          <cell r="K2613">
            <v>122386.66666666667</v>
          </cell>
        </row>
        <row r="2614">
          <cell r="C2614">
            <v>2953270.38452867</v>
          </cell>
          <cell r="D2614">
            <v>0.73969849949397304</v>
          </cell>
          <cell r="E2614">
            <v>204886</v>
          </cell>
          <cell r="F2614">
            <v>151553.866767322</v>
          </cell>
          <cell r="G2614">
            <v>5.1317301511324159E-2</v>
          </cell>
          <cell r="I2614" t="str">
            <v>MD</v>
          </cell>
          <cell r="J2614" t="str">
            <v>High</v>
          </cell>
          <cell r="K2614">
            <v>117833.33333333333</v>
          </cell>
        </row>
        <row r="2615">
          <cell r="C2615">
            <v>3061682.6159790298</v>
          </cell>
          <cell r="D2615">
            <v>0.670469170134672</v>
          </cell>
          <cell r="E2615">
            <v>232827</v>
          </cell>
          <cell r="F2615">
            <v>156103.32547494501</v>
          </cell>
          <cell r="G2615">
            <v>5.0986122683075064E-2</v>
          </cell>
          <cell r="I2615" t="str">
            <v>MD</v>
          </cell>
          <cell r="J2615" t="str">
            <v>High</v>
          </cell>
          <cell r="K2615">
            <v>119910</v>
          </cell>
        </row>
        <row r="2616">
          <cell r="C2616">
            <v>2334569.10777053</v>
          </cell>
          <cell r="D2616">
            <v>0.67964456217791402</v>
          </cell>
          <cell r="E2616">
            <v>232707</v>
          </cell>
          <cell r="F2616">
            <v>158158.047130736</v>
          </cell>
          <cell r="G2616">
            <v>6.7746140649386888E-2</v>
          </cell>
          <cell r="I2616" t="str">
            <v>MD</v>
          </cell>
          <cell r="J2616" t="str">
            <v>Med</v>
          </cell>
          <cell r="K2616">
            <v>78620</v>
          </cell>
        </row>
        <row r="2617">
          <cell r="C2617">
            <v>2345862.4300896698</v>
          </cell>
          <cell r="D2617">
            <v>0.71258517942892396</v>
          </cell>
          <cell r="E2617">
            <v>233112</v>
          </cell>
          <cell r="F2617">
            <v>166112.15634703499</v>
          </cell>
          <cell r="G2617">
            <v>7.0810698111007903E-2</v>
          </cell>
          <cell r="I2617" t="str">
            <v>MD</v>
          </cell>
          <cell r="J2617" t="str">
            <v>Med</v>
          </cell>
          <cell r="K2617">
            <v>82411.666666666672</v>
          </cell>
        </row>
        <row r="2618">
          <cell r="C2618">
            <v>2063935.6538799601</v>
          </cell>
          <cell r="D2618">
            <v>0.67419245581092602</v>
          </cell>
          <cell r="E2618">
            <v>249683</v>
          </cell>
          <cell r="F2618">
            <v>168334.394944239</v>
          </cell>
          <cell r="G2618">
            <v>8.1559904557969062E-2</v>
          </cell>
          <cell r="I2618" t="str">
            <v>MD</v>
          </cell>
          <cell r="J2618" t="str">
            <v>Med</v>
          </cell>
          <cell r="K2618">
            <v>64581.333333333336</v>
          </cell>
        </row>
        <row r="2619">
          <cell r="C2619">
            <v>3223261.7884062901</v>
          </cell>
          <cell r="D2619">
            <v>0.72948166052613495</v>
          </cell>
          <cell r="E2619">
            <v>193042</v>
          </cell>
          <cell r="F2619">
            <v>140820.598711286</v>
          </cell>
          <cell r="G2619">
            <v>4.3688849356822906E-2</v>
          </cell>
          <cell r="I2619" t="str">
            <v>MD</v>
          </cell>
          <cell r="J2619" t="str">
            <v>High</v>
          </cell>
          <cell r="K2619">
            <v>130716.66666666667</v>
          </cell>
        </row>
        <row r="2620">
          <cell r="C2620">
            <v>1980119.1859609</v>
          </cell>
          <cell r="D2620">
            <v>0.72118540496223604</v>
          </cell>
          <cell r="E2620">
            <v>219554</v>
          </cell>
          <cell r="F2620">
            <v>158339.140401079</v>
          </cell>
          <cell r="G2620">
            <v>7.9964449374415381E-2</v>
          </cell>
          <cell r="I2620" t="str">
            <v>MD</v>
          </cell>
          <cell r="J2620" t="str">
            <v>Med</v>
          </cell>
          <cell r="K2620">
            <v>51362.666666666664</v>
          </cell>
        </row>
        <row r="2621">
          <cell r="C2621">
            <v>2330402.72010653</v>
          </cell>
          <cell r="D2621">
            <v>0.72937648823141898</v>
          </cell>
          <cell r="E2621">
            <v>205579</v>
          </cell>
          <cell r="F2621">
            <v>149944.48907412699</v>
          </cell>
          <cell r="G2621">
            <v>6.4342736892820204E-2</v>
          </cell>
          <cell r="I2621" t="str">
            <v>MD</v>
          </cell>
          <cell r="J2621" t="str">
            <v>Low</v>
          </cell>
          <cell r="K2621">
            <v>25885.333333333332</v>
          </cell>
        </row>
        <row r="2622">
          <cell r="C2622">
            <v>3478185.2297601998</v>
          </cell>
          <cell r="D2622">
            <v>0.72643038356601397</v>
          </cell>
          <cell r="E2622">
            <v>130294</v>
          </cell>
          <cell r="F2622">
            <v>94649.520396350199</v>
          </cell>
          <cell r="G2622">
            <v>2.7212328885335334E-2</v>
          </cell>
          <cell r="I2622" t="str">
            <v>MD</v>
          </cell>
          <cell r="J2622" t="str">
            <v>High</v>
          </cell>
          <cell r="K2622">
            <v>159532</v>
          </cell>
        </row>
        <row r="2623">
          <cell r="C2623">
            <v>2598902.6868913001</v>
          </cell>
          <cell r="D2623">
            <v>0.68492165612036204</v>
          </cell>
          <cell r="E2623">
            <v>229720</v>
          </cell>
          <cell r="F2623">
            <v>157340.20284397001</v>
          </cell>
          <cell r="G2623">
            <v>6.0541013573760953E-2</v>
          </cell>
          <cell r="I2623" t="str">
            <v>MD</v>
          </cell>
          <cell r="J2623" t="str">
            <v>Med</v>
          </cell>
          <cell r="K2623">
            <v>93825.333333333328</v>
          </cell>
        </row>
        <row r="2624">
          <cell r="C2624">
            <v>2942702.15571032</v>
          </cell>
          <cell r="D2624">
            <v>0.70878171436228299</v>
          </cell>
          <cell r="E2624">
            <v>227921</v>
          </cell>
          <cell r="F2624">
            <v>161546.23711916601</v>
          </cell>
          <cell r="G2624">
            <v>5.4897243611856938E-2</v>
          </cell>
          <cell r="I2624" t="str">
            <v>MD</v>
          </cell>
          <cell r="J2624" t="str">
            <v>High</v>
          </cell>
          <cell r="K2624">
            <v>114162</v>
          </cell>
        </row>
        <row r="2625">
          <cell r="C2625">
            <v>3597710.49721399</v>
          </cell>
          <cell r="D2625">
            <v>0.71042837364952605</v>
          </cell>
          <cell r="E2625">
            <v>159785</v>
          </cell>
          <cell r="F2625">
            <v>113515.797683589</v>
          </cell>
          <cell r="G2625">
            <v>3.1552232390986944E-2</v>
          </cell>
          <cell r="I2625" t="str">
            <v>MD</v>
          </cell>
          <cell r="J2625" t="str">
            <v>High</v>
          </cell>
          <cell r="K2625">
            <v>156214.66666666666</v>
          </cell>
        </row>
        <row r="2626">
          <cell r="C2626">
            <v>2952876.6670761402</v>
          </cell>
          <cell r="D2626">
            <v>0.69665141155272103</v>
          </cell>
          <cell r="E2626">
            <v>192105</v>
          </cell>
          <cell r="F2626">
            <v>133830.21941633601</v>
          </cell>
          <cell r="G2626">
            <v>4.532198073441758E-2</v>
          </cell>
          <cell r="I2626" t="str">
            <v>MD</v>
          </cell>
          <cell r="J2626" t="str">
            <v>High</v>
          </cell>
          <cell r="K2626">
            <v>122386.66666666667</v>
          </cell>
        </row>
        <row r="2627">
          <cell r="C2627">
            <v>2896670.4705134998</v>
          </cell>
          <cell r="D2627">
            <v>0.73297412933635098</v>
          </cell>
          <cell r="E2627">
            <v>192838</v>
          </cell>
          <cell r="F2627">
            <v>141345.26515296299</v>
          </cell>
          <cell r="G2627">
            <v>4.8795769692058337E-2</v>
          </cell>
          <cell r="I2627" t="str">
            <v>MD</v>
          </cell>
          <cell r="J2627" t="str">
            <v>High</v>
          </cell>
          <cell r="K2627">
            <v>117833.33333333333</v>
          </cell>
        </row>
        <row r="2628">
          <cell r="C2628">
            <v>3026706.4746689801</v>
          </cell>
          <cell r="D2628">
            <v>0.66299869205253004</v>
          </cell>
          <cell r="E2628">
            <v>219723</v>
          </cell>
          <cell r="F2628">
            <v>145676.06161385801</v>
          </cell>
          <cell r="G2628">
            <v>4.8130224332304988E-2</v>
          </cell>
          <cell r="I2628" t="str">
            <v>MD</v>
          </cell>
          <cell r="J2628" t="str">
            <v>High</v>
          </cell>
          <cell r="K2628">
            <v>119910</v>
          </cell>
        </row>
        <row r="2629">
          <cell r="C2629">
            <v>2349764.3219141499</v>
          </cell>
          <cell r="D2629">
            <v>0.65310086911116405</v>
          </cell>
          <cell r="E2629">
            <v>236276</v>
          </cell>
          <cell r="F2629">
            <v>154312.06095010901</v>
          </cell>
          <cell r="G2629">
            <v>6.5671292865832731E-2</v>
          </cell>
          <cell r="I2629" t="str">
            <v>MD</v>
          </cell>
          <cell r="J2629" t="str">
            <v>Med</v>
          </cell>
          <cell r="K2629">
            <v>78620</v>
          </cell>
        </row>
        <row r="2630">
          <cell r="C2630">
            <v>2339434.6823054999</v>
          </cell>
          <cell r="D2630">
            <v>0.71707932873275404</v>
          </cell>
          <cell r="E2630">
            <v>224798</v>
          </cell>
          <cell r="F2630">
            <v>161197.998940466</v>
          </cell>
          <cell r="G2630">
            <v>6.8904680331406509E-2</v>
          </cell>
          <cell r="I2630" t="str">
            <v>MD</v>
          </cell>
          <cell r="J2630" t="str">
            <v>Med</v>
          </cell>
          <cell r="K2630">
            <v>82411.666666666672</v>
          </cell>
        </row>
        <row r="2631">
          <cell r="C2631">
            <v>2095699.15085287</v>
          </cell>
          <cell r="D2631">
            <v>0.68107341388626497</v>
          </cell>
          <cell r="E2631">
            <v>240399</v>
          </cell>
          <cell r="F2631">
            <v>163729.36762484399</v>
          </cell>
          <cell r="G2631">
            <v>7.8126370170170822E-2</v>
          </cell>
          <cell r="I2631" t="str">
            <v>MD</v>
          </cell>
          <cell r="J2631" t="str">
            <v>Med</v>
          </cell>
          <cell r="K2631">
            <v>64581.333333333336</v>
          </cell>
        </row>
        <row r="2632">
          <cell r="C2632">
            <v>3244546.2552041002</v>
          </cell>
          <cell r="D2632">
            <v>0.75077742772613199</v>
          </cell>
          <cell r="E2632">
            <v>188991</v>
          </cell>
          <cell r="F2632">
            <v>141890.176843389</v>
          </cell>
          <cell r="G2632">
            <v>4.3731901376287609E-2</v>
          </cell>
          <cell r="I2632" t="str">
            <v>MD</v>
          </cell>
          <cell r="J2632" t="str">
            <v>High</v>
          </cell>
          <cell r="K2632">
            <v>130716.66666666667</v>
          </cell>
        </row>
        <row r="2633">
          <cell r="C2633">
            <v>1984706.13675871</v>
          </cell>
          <cell r="D2633">
            <v>0.73123782115826597</v>
          </cell>
          <cell r="E2633">
            <v>208160</v>
          </cell>
          <cell r="F2633">
            <v>152214.46485230501</v>
          </cell>
          <cell r="G2633">
            <v>7.6693703935884205E-2</v>
          </cell>
          <cell r="I2633" t="str">
            <v>MD</v>
          </cell>
          <cell r="J2633" t="str">
            <v>Med</v>
          </cell>
          <cell r="K2633">
            <v>51362.666666666664</v>
          </cell>
        </row>
        <row r="2634">
          <cell r="C2634">
            <v>2388082.1140406299</v>
          </cell>
          <cell r="D2634">
            <v>0.74329297679009598</v>
          </cell>
          <cell r="E2634">
            <v>197973</v>
          </cell>
          <cell r="F2634">
            <v>147151.94049406599</v>
          </cell>
          <cell r="G2634">
            <v>6.161929676910699E-2</v>
          </cell>
          <cell r="I2634" t="str">
            <v>MD</v>
          </cell>
          <cell r="J2634" t="str">
            <v>Low</v>
          </cell>
          <cell r="K2634">
            <v>25885.333333333332</v>
          </cell>
        </row>
        <row r="2635">
          <cell r="C2635">
            <v>3473139.21794326</v>
          </cell>
          <cell r="D2635">
            <v>0.73334761809139104</v>
          </cell>
          <cell r="E2635">
            <v>126822</v>
          </cell>
          <cell r="F2635">
            <v>93004.611621586402</v>
          </cell>
          <cell r="G2635">
            <v>2.6778256149680723E-2</v>
          </cell>
          <cell r="I2635" t="str">
            <v>MD</v>
          </cell>
          <cell r="J2635" t="str">
            <v>High</v>
          </cell>
          <cell r="K2635">
            <v>159532</v>
          </cell>
        </row>
        <row r="2636">
          <cell r="C2636">
            <v>2642510.6030303701</v>
          </cell>
          <cell r="D2636">
            <v>0.70629321925153099</v>
          </cell>
          <cell r="E2636">
            <v>219418</v>
          </cell>
          <cell r="F2636">
            <v>154973.445581732</v>
          </cell>
          <cell r="G2636">
            <v>5.8646290918951106E-2</v>
          </cell>
          <cell r="I2636" t="str">
            <v>MD</v>
          </cell>
          <cell r="J2636" t="str">
            <v>Med</v>
          </cell>
          <cell r="K2636">
            <v>93825.333333333328</v>
          </cell>
        </row>
        <row r="2637">
          <cell r="C2637">
            <v>2953069.44009382</v>
          </cell>
          <cell r="D2637">
            <v>0.70828122960808504</v>
          </cell>
          <cell r="E2637">
            <v>219502</v>
          </cell>
          <cell r="F2637">
            <v>155469.14646143399</v>
          </cell>
          <cell r="G2637">
            <v>5.2646627387297293E-2</v>
          </cell>
          <cell r="I2637" t="str">
            <v>MD</v>
          </cell>
          <cell r="J2637" t="str">
            <v>High</v>
          </cell>
          <cell r="K2637">
            <v>114162</v>
          </cell>
        </row>
        <row r="2638">
          <cell r="C2638">
            <v>3575896.8454967299</v>
          </cell>
          <cell r="D2638">
            <v>0.70914287494258299</v>
          </cell>
          <cell r="E2638">
            <v>152902</v>
          </cell>
          <cell r="F2638">
            <v>108429.363864471</v>
          </cell>
          <cell r="G2638">
            <v>3.0322285163516514E-2</v>
          </cell>
          <cell r="I2638" t="str">
            <v>MD</v>
          </cell>
          <cell r="J2638" t="str">
            <v>High</v>
          </cell>
          <cell r="K2638">
            <v>156214.66666666666</v>
          </cell>
        </row>
        <row r="2639">
          <cell r="C2639">
            <v>3705582.32894328</v>
          </cell>
          <cell r="D2639">
            <v>0.72084752916968797</v>
          </cell>
          <cell r="E2639">
            <v>182876</v>
          </cell>
          <cell r="F2639">
            <v>131825.71274443599</v>
          </cell>
          <cell r="G2639">
            <v>3.5574897827739989E-2</v>
          </cell>
          <cell r="I2639" t="str">
            <v>MD</v>
          </cell>
          <cell r="J2639" t="str">
            <v>High</v>
          </cell>
          <cell r="K2639">
            <v>122386.66666666667</v>
          </cell>
        </row>
        <row r="2640">
          <cell r="C2640">
            <v>3608572.8866329701</v>
          </cell>
          <cell r="D2640">
            <v>0.70718596637542896</v>
          </cell>
          <cell r="E2640">
            <v>196772</v>
          </cell>
          <cell r="F2640">
            <v>139154.396975626</v>
          </cell>
          <cell r="G2640">
            <v>3.8562168853811342E-2</v>
          </cell>
          <cell r="I2640" t="str">
            <v>MD</v>
          </cell>
          <cell r="J2640" t="str">
            <v>High</v>
          </cell>
          <cell r="K2640">
            <v>117833.33333333333</v>
          </cell>
        </row>
        <row r="2641">
          <cell r="C2641">
            <v>3645278.89511863</v>
          </cell>
          <cell r="D2641">
            <v>0.69383982037894099</v>
          </cell>
          <cell r="E2641">
            <v>204508</v>
          </cell>
          <cell r="F2641">
            <v>141895.793986056</v>
          </cell>
          <cell r="G2641">
            <v>3.8925908845018078E-2</v>
          </cell>
          <cell r="I2641" t="str">
            <v>MD</v>
          </cell>
          <cell r="J2641" t="str">
            <v>High</v>
          </cell>
          <cell r="K2641">
            <v>119910</v>
          </cell>
        </row>
        <row r="2642">
          <cell r="C2642">
            <v>2917241.7821750599</v>
          </cell>
          <cell r="D2642">
            <v>0.69804485990102305</v>
          </cell>
          <cell r="E2642">
            <v>211821</v>
          </cell>
          <cell r="F2642">
            <v>147860.56026909401</v>
          </cell>
          <cell r="G2642">
            <v>5.0685055031280603E-2</v>
          </cell>
          <cell r="I2642" t="str">
            <v>MD</v>
          </cell>
          <cell r="J2642" t="str">
            <v>Med</v>
          </cell>
          <cell r="K2642">
            <v>78620</v>
          </cell>
        </row>
        <row r="2643">
          <cell r="C2643">
            <v>2857484.8534632698</v>
          </cell>
          <cell r="D2643">
            <v>0.73966551868672503</v>
          </cell>
          <cell r="E2643">
            <v>206918</v>
          </cell>
          <cell r="F2643">
            <v>153050.10979562</v>
          </cell>
          <cell r="G2643">
            <v>5.3561127230516502E-2</v>
          </cell>
          <cell r="I2643" t="str">
            <v>MD</v>
          </cell>
          <cell r="J2643" t="str">
            <v>Med</v>
          </cell>
          <cell r="K2643">
            <v>82411.666666666672</v>
          </cell>
        </row>
        <row r="2644">
          <cell r="C2644">
            <v>2563207.4838451101</v>
          </cell>
          <cell r="D2644">
            <v>0.68247675097266902</v>
          </cell>
          <cell r="E2644">
            <v>226990</v>
          </cell>
          <cell r="F2644">
            <v>154915.397703286</v>
          </cell>
          <cell r="G2644">
            <v>6.0438102915841535E-2</v>
          </cell>
          <cell r="I2644" t="str">
            <v>MD</v>
          </cell>
          <cell r="J2644" t="str">
            <v>Med</v>
          </cell>
          <cell r="K2644">
            <v>64581.333333333336</v>
          </cell>
        </row>
        <row r="2645">
          <cell r="C2645">
            <v>3893621.4328520098</v>
          </cell>
          <cell r="D2645">
            <v>0.78171601356158105</v>
          </cell>
          <cell r="E2645">
            <v>170654</v>
          </cell>
          <cell r="F2645">
            <v>133402.964578338</v>
          </cell>
          <cell r="G2645">
            <v>3.4261924760523692E-2</v>
          </cell>
          <cell r="I2645" t="str">
            <v>MD</v>
          </cell>
          <cell r="J2645" t="str">
            <v>High</v>
          </cell>
          <cell r="K2645">
            <v>130716.66666666667</v>
          </cell>
        </row>
        <row r="2646">
          <cell r="C2646">
            <v>2464687.6958378898</v>
          </cell>
          <cell r="D2646">
            <v>0.74779688023997004</v>
          </cell>
          <cell r="E2646">
            <v>193887</v>
          </cell>
          <cell r="F2646">
            <v>144988.09371908699</v>
          </cell>
          <cell r="G2646">
            <v>5.8826152280440205E-2</v>
          </cell>
          <cell r="I2646" t="str">
            <v>MD</v>
          </cell>
          <cell r="J2646" t="str">
            <v>Med</v>
          </cell>
          <cell r="K2646">
            <v>51362.666666666664</v>
          </cell>
        </row>
        <row r="2647">
          <cell r="C2647">
            <v>2867454.7634668499</v>
          </cell>
          <cell r="D2647">
            <v>0.72683027112600396</v>
          </cell>
          <cell r="E2647">
            <v>193542</v>
          </cell>
          <cell r="F2647">
            <v>140672.184334269</v>
          </cell>
          <cell r="G2647">
            <v>4.9058205251053921E-2</v>
          </cell>
          <cell r="I2647" t="str">
            <v>MD</v>
          </cell>
          <cell r="J2647" t="str">
            <v>Low</v>
          </cell>
          <cell r="K2647">
            <v>25885.333333333332</v>
          </cell>
        </row>
        <row r="2648">
          <cell r="C2648">
            <v>4334220.41364644</v>
          </cell>
          <cell r="D2648">
            <v>0.72065856895122804</v>
          </cell>
          <cell r="E2648">
            <v>123495</v>
          </cell>
          <cell r="F2648">
            <v>88997.729972631903</v>
          </cell>
          <cell r="G2648">
            <v>2.053373420798341E-2</v>
          </cell>
          <cell r="I2648" t="str">
            <v>MD</v>
          </cell>
          <cell r="J2648" t="str">
            <v>High</v>
          </cell>
          <cell r="K2648">
            <v>159532</v>
          </cell>
        </row>
        <row r="2649">
          <cell r="C2649">
            <v>3219411.1224726499</v>
          </cell>
          <cell r="D2649">
            <v>0.68741529415335301</v>
          </cell>
          <cell r="E2649">
            <v>213145</v>
          </cell>
          <cell r="F2649">
            <v>146519.132872316</v>
          </cell>
          <cell r="G2649">
            <v>4.5511159432096028E-2</v>
          </cell>
          <cell r="I2649" t="str">
            <v>MD</v>
          </cell>
          <cell r="J2649" t="str">
            <v>Med</v>
          </cell>
          <cell r="K2649">
            <v>93825.333333333328</v>
          </cell>
        </row>
        <row r="2650">
          <cell r="C2650">
            <v>3582525.6916057901</v>
          </cell>
          <cell r="D2650">
            <v>0.74342682298623397</v>
          </cell>
          <cell r="E2650">
            <v>197919</v>
          </cell>
          <cell r="F2650">
            <v>147138.293378612</v>
          </cell>
          <cell r="G2650">
            <v>4.1071106265440464E-2</v>
          </cell>
          <cell r="I2650" t="str">
            <v>MD</v>
          </cell>
          <cell r="J2650" t="str">
            <v>High</v>
          </cell>
          <cell r="K2650">
            <v>114162</v>
          </cell>
        </row>
        <row r="2651">
          <cell r="C2651">
            <v>4418233.8490925301</v>
          </cell>
          <cell r="D2651">
            <v>0.736028294811919</v>
          </cell>
          <cell r="E2651">
            <v>144189</v>
          </cell>
          <cell r="F2651">
            <v>106127.183800636</v>
          </cell>
          <cell r="G2651">
            <v>2.4020273128465955E-2</v>
          </cell>
          <cell r="I2651" t="str">
            <v>MD</v>
          </cell>
          <cell r="J2651" t="str">
            <v>High</v>
          </cell>
          <cell r="K2651">
            <v>156214.66666666666</v>
          </cell>
        </row>
        <row r="2652">
          <cell r="C2652">
            <v>4228518.7399693299</v>
          </cell>
          <cell r="D2652">
            <v>0.66316907854671303</v>
          </cell>
          <cell r="E2652">
            <v>184187</v>
          </cell>
          <cell r="F2652">
            <v>122147.12307028301</v>
          </cell>
          <cell r="G2652">
            <v>2.8886503899275367E-2</v>
          </cell>
          <cell r="I2652" t="str">
            <v>MD</v>
          </cell>
          <cell r="J2652" t="str">
            <v>High</v>
          </cell>
          <cell r="K2652">
            <v>122386.66666666667</v>
          </cell>
        </row>
        <row r="2653">
          <cell r="C2653">
            <v>4085370.7341778702</v>
          </cell>
          <cell r="D2653">
            <v>0.73497622971953303</v>
          </cell>
          <cell r="E2653">
            <v>180311</v>
          </cell>
          <cell r="F2653">
            <v>132524.29895695901</v>
          </cell>
          <cell r="G2653">
            <v>3.2438744872839029E-2</v>
          </cell>
          <cell r="I2653" t="str">
            <v>MD</v>
          </cell>
          <cell r="J2653" t="str">
            <v>High</v>
          </cell>
          <cell r="K2653">
            <v>117833.33333333333</v>
          </cell>
        </row>
        <row r="2654">
          <cell r="C2654">
            <v>4237001.5312764803</v>
          </cell>
          <cell r="D2654">
            <v>0.684836557690222</v>
          </cell>
          <cell r="E2654">
            <v>196385</v>
          </cell>
          <cell r="F2654">
            <v>134491.62738199401</v>
          </cell>
          <cell r="G2654">
            <v>3.1742171058757145E-2</v>
          </cell>
          <cell r="I2654" t="str">
            <v>MD</v>
          </cell>
          <cell r="J2654" t="str">
            <v>High</v>
          </cell>
          <cell r="K2654">
            <v>119910</v>
          </cell>
        </row>
        <row r="2655">
          <cell r="C2655">
            <v>3232500.46083656</v>
          </cell>
          <cell r="D2655">
            <v>0.68748549810455195</v>
          </cell>
          <cell r="E2655">
            <v>199297</v>
          </cell>
          <cell r="F2655">
            <v>137013.797315743</v>
          </cell>
          <cell r="G2655">
            <v>4.2386319499637226E-2</v>
          </cell>
          <cell r="I2655" t="str">
            <v>MD</v>
          </cell>
          <cell r="J2655" t="str">
            <v>Med</v>
          </cell>
          <cell r="K2655">
            <v>78620</v>
          </cell>
        </row>
        <row r="2656">
          <cell r="C2656">
            <v>3265221.2953558099</v>
          </cell>
          <cell r="D2656">
            <v>0.715692876730043</v>
          </cell>
          <cell r="E2656">
            <v>200732</v>
          </cell>
          <cell r="F2656">
            <v>143662.462531775</v>
          </cell>
          <cell r="G2656">
            <v>4.3997772137560481E-2</v>
          </cell>
          <cell r="I2656" t="str">
            <v>MD</v>
          </cell>
          <cell r="J2656" t="str">
            <v>Med</v>
          </cell>
          <cell r="K2656">
            <v>82411.666666666672</v>
          </cell>
        </row>
        <row r="2657">
          <cell r="C2657">
            <v>2907775.4205635302</v>
          </cell>
          <cell r="D2657">
            <v>0.69864103105041597</v>
          </cell>
          <cell r="E2657">
            <v>212225</v>
          </cell>
          <cell r="F2657">
            <v>148269.09281467501</v>
          </cell>
          <cell r="G2657">
            <v>5.0990558543871412E-2</v>
          </cell>
          <cell r="I2657" t="str">
            <v>MD</v>
          </cell>
          <cell r="J2657" t="str">
            <v>Med</v>
          </cell>
          <cell r="K2657">
            <v>64581.333333333336</v>
          </cell>
        </row>
        <row r="2658">
          <cell r="C2658">
            <v>4462550.3600824196</v>
          </cell>
          <cell r="D2658">
            <v>0.74071288347417097</v>
          </cell>
          <cell r="E2658">
            <v>171955</v>
          </cell>
          <cell r="F2658">
            <v>127369.283877801</v>
          </cell>
          <cell r="G2658">
            <v>2.854181434390549E-2</v>
          </cell>
          <cell r="I2658" t="str">
            <v>MD</v>
          </cell>
          <cell r="J2658" t="str">
            <v>High</v>
          </cell>
          <cell r="K2658">
            <v>130716.66666666667</v>
          </cell>
        </row>
        <row r="2659">
          <cell r="C2659">
            <v>2777951.8068853701</v>
          </cell>
          <cell r="D2659">
            <v>0.72775969966544396</v>
          </cell>
          <cell r="E2659">
            <v>190134</v>
          </cell>
          <cell r="F2659">
            <v>138371.86273619</v>
          </cell>
          <cell r="G2659">
            <v>4.9810749917699994E-2</v>
          </cell>
          <cell r="I2659" t="str">
            <v>MD</v>
          </cell>
          <cell r="J2659" t="str">
            <v>Med</v>
          </cell>
          <cell r="K2659">
            <v>51362.666666666664</v>
          </cell>
        </row>
        <row r="2660">
          <cell r="C2660">
            <v>3303920.98308664</v>
          </cell>
          <cell r="D2660">
            <v>0.70857774226110903</v>
          </cell>
          <cell r="E2660">
            <v>184515</v>
          </cell>
          <cell r="F2660">
            <v>130743.22211330901</v>
          </cell>
          <cell r="G2660">
            <v>3.957213952228484E-2</v>
          </cell>
          <cell r="I2660" t="str">
            <v>MD</v>
          </cell>
          <cell r="J2660" t="str">
            <v>Low</v>
          </cell>
          <cell r="K2660">
            <v>25885.333333333332</v>
          </cell>
        </row>
        <row r="2661">
          <cell r="C2661">
            <v>4870709.5292932298</v>
          </cell>
          <cell r="D2661">
            <v>0.72188216161472996</v>
          </cell>
          <cell r="E2661">
            <v>114465</v>
          </cell>
          <cell r="F2661">
            <v>82630.241629230106</v>
          </cell>
          <cell r="G2661">
            <v>1.6964723749646443E-2</v>
          </cell>
          <cell r="I2661" t="str">
            <v>MD</v>
          </cell>
          <cell r="J2661" t="str">
            <v>High</v>
          </cell>
          <cell r="K2661">
            <v>159532</v>
          </cell>
        </row>
        <row r="2662">
          <cell r="C2662">
            <v>3714464.8555351398</v>
          </cell>
          <cell r="D2662">
            <v>0.69712712988649095</v>
          </cell>
          <cell r="E2662">
            <v>203652</v>
          </cell>
          <cell r="F2662">
            <v>141971.334255644</v>
          </cell>
          <cell r="G2662">
            <v>3.8221208108641616E-2</v>
          </cell>
          <cell r="I2662" t="str">
            <v>MD</v>
          </cell>
          <cell r="J2662" t="str">
            <v>Med</v>
          </cell>
          <cell r="K2662">
            <v>93825.333333333328</v>
          </cell>
        </row>
        <row r="2663">
          <cell r="C2663">
            <v>4102642.4400424999</v>
          </cell>
          <cell r="D2663">
            <v>0.69795243531981399</v>
          </cell>
          <cell r="E2663">
            <v>199317</v>
          </cell>
          <cell r="F2663">
            <v>139113.785550639</v>
          </cell>
          <cell r="G2663">
            <v>3.3908337756384618E-2</v>
          </cell>
          <cell r="I2663" t="str">
            <v>MD</v>
          </cell>
          <cell r="J2663" t="str">
            <v>High</v>
          </cell>
          <cell r="K2663">
            <v>114162</v>
          </cell>
        </row>
        <row r="2664">
          <cell r="C2664">
            <v>5020547.8509351797</v>
          </cell>
          <cell r="D2664">
            <v>0.72785947596240097</v>
          </cell>
          <cell r="E2664">
            <v>136194</v>
          </cell>
          <cell r="F2664">
            <v>99130.093469223197</v>
          </cell>
          <cell r="G2664">
            <v>1.9744875741152072E-2</v>
          </cell>
          <cell r="I2664" t="str">
            <v>MD</v>
          </cell>
          <cell r="J2664" t="str">
            <v>High</v>
          </cell>
          <cell r="K2664">
            <v>156214.66666666666</v>
          </cell>
        </row>
        <row r="2665">
          <cell r="C2665">
            <v>4371520.7247378696</v>
          </cell>
          <cell r="D2665">
            <v>0.671215438819871</v>
          </cell>
          <cell r="E2665">
            <v>177515</v>
          </cell>
          <cell r="F2665">
            <v>119150.80862210901</v>
          </cell>
          <cell r="G2665">
            <v>2.7256146344646157E-2</v>
          </cell>
          <cell r="I2665" t="str">
            <v>MD</v>
          </cell>
          <cell r="J2665" t="str">
            <v>High</v>
          </cell>
          <cell r="K2665">
            <v>122386.66666666667</v>
          </cell>
        </row>
        <row r="2666">
          <cell r="C2666">
            <v>4279302.0871459497</v>
          </cell>
          <cell r="D2666">
            <v>0.73955916441042302</v>
          </cell>
          <cell r="E2666">
            <v>175611</v>
          </cell>
          <cell r="F2666">
            <v>129874.724421279</v>
          </cell>
          <cell r="G2666">
            <v>3.0349510685724463E-2</v>
          </cell>
          <cell r="I2666" t="str">
            <v>MD</v>
          </cell>
          <cell r="J2666" t="str">
            <v>High</v>
          </cell>
          <cell r="K2666">
            <v>117833.33333333333</v>
          </cell>
        </row>
        <row r="2667">
          <cell r="C2667">
            <v>4363761.92735474</v>
          </cell>
          <cell r="D2667">
            <v>0.67173085126180399</v>
          </cell>
          <cell r="E2667">
            <v>193911</v>
          </cell>
          <cell r="F2667">
            <v>130256.001099028</v>
          </cell>
          <cell r="G2667">
            <v>2.9849474665999395E-2</v>
          </cell>
          <cell r="I2667" t="str">
            <v>MD</v>
          </cell>
          <cell r="J2667" t="str">
            <v>High</v>
          </cell>
          <cell r="K2667">
            <v>119910</v>
          </cell>
        </row>
        <row r="2668">
          <cell r="C2668">
            <v>3441417.7276390898</v>
          </cell>
          <cell r="D2668">
            <v>0.67102754599728898</v>
          </cell>
          <cell r="E2668">
            <v>204422</v>
          </cell>
          <cell r="F2668">
            <v>137172.79300785801</v>
          </cell>
          <cell r="G2668">
            <v>3.9859384667598155E-2</v>
          </cell>
          <cell r="I2668" t="str">
            <v>MD</v>
          </cell>
          <cell r="J2668" t="str">
            <v>Med</v>
          </cell>
          <cell r="K2668">
            <v>78620</v>
          </cell>
        </row>
        <row r="2669">
          <cell r="C2669">
            <v>3387407.96066208</v>
          </cell>
          <cell r="D2669">
            <v>0.72241439434404497</v>
          </cell>
          <cell r="E2669">
            <v>199685</v>
          </cell>
          <cell r="F2669">
            <v>144255.31833459099</v>
          </cell>
          <cell r="G2669">
            <v>4.2585752885340632E-2</v>
          </cell>
          <cell r="I2669" t="str">
            <v>MD</v>
          </cell>
          <cell r="J2669" t="str">
            <v>Med</v>
          </cell>
          <cell r="K2669">
            <v>82411.666666666672</v>
          </cell>
        </row>
        <row r="2670">
          <cell r="C2670">
            <v>3029918.39856312</v>
          </cell>
          <cell r="D2670">
            <v>0.69519692675015099</v>
          </cell>
          <cell r="E2670">
            <v>204575</v>
          </cell>
          <cell r="F2670">
            <v>142219.91128991201</v>
          </cell>
          <cell r="G2670">
            <v>4.6938528561481077E-2</v>
          </cell>
          <cell r="I2670" t="str">
            <v>MD</v>
          </cell>
          <cell r="J2670" t="str">
            <v>Med</v>
          </cell>
          <cell r="K2670">
            <v>64581.333333333336</v>
          </cell>
        </row>
        <row r="2671">
          <cell r="C2671">
            <v>4678979.2660223097</v>
          </cell>
          <cell r="D2671">
            <v>0.75048219709350705</v>
          </cell>
          <cell r="E2671">
            <v>164218</v>
          </cell>
          <cell r="F2671">
            <v>123242.685442302</v>
          </cell>
          <cell r="G2671">
            <v>2.633965197009154E-2</v>
          </cell>
          <cell r="I2671" t="str">
            <v>MD</v>
          </cell>
          <cell r="J2671" t="str">
            <v>High</v>
          </cell>
          <cell r="K2671">
            <v>130716.66666666667</v>
          </cell>
        </row>
        <row r="2672">
          <cell r="C2672">
            <v>2934775.6641683201</v>
          </cell>
          <cell r="D2672">
            <v>0.74307597374907297</v>
          </cell>
          <cell r="E2672">
            <v>180212</v>
          </cell>
          <cell r="F2672">
            <v>133911.207381268</v>
          </cell>
          <cell r="G2672">
            <v>4.5629111967989834E-2</v>
          </cell>
          <cell r="I2672" t="str">
            <v>MD</v>
          </cell>
          <cell r="J2672" t="str">
            <v>Med</v>
          </cell>
          <cell r="K2672">
            <v>51362.666666666664</v>
          </cell>
        </row>
        <row r="2673">
          <cell r="C2673">
            <v>3430514.2391379299</v>
          </cell>
          <cell r="D2673">
            <v>0.72334162350978704</v>
          </cell>
          <cell r="E2673">
            <v>179589</v>
          </cell>
          <cell r="F2673">
            <v>129904.19882449901</v>
          </cell>
          <cell r="G2673">
            <v>3.7867267053566654E-2</v>
          </cell>
          <cell r="I2673" t="str">
            <v>MD</v>
          </cell>
          <cell r="J2673" t="str">
            <v>Low</v>
          </cell>
          <cell r="K2673">
            <v>25885.333333333332</v>
          </cell>
        </row>
        <row r="2674">
          <cell r="C2674">
            <v>5192524.18777302</v>
          </cell>
          <cell r="D2674">
            <v>0.73381287693743502</v>
          </cell>
          <cell r="E2674">
            <v>113312</v>
          </cell>
          <cell r="F2674">
            <v>83149.804711534598</v>
          </cell>
          <cell r="G2674">
            <v>1.6013368778778101E-2</v>
          </cell>
          <cell r="I2674" t="str">
            <v>MD</v>
          </cell>
          <cell r="J2674" t="str">
            <v>High</v>
          </cell>
          <cell r="K2674">
            <v>159532</v>
          </cell>
        </row>
        <row r="2675">
          <cell r="C2675">
            <v>3857734.9851132901</v>
          </cell>
          <cell r="D2675">
            <v>0.67632781138835496</v>
          </cell>
          <cell r="E2675">
            <v>207339</v>
          </cell>
          <cell r="F2675">
            <v>140229.13208544999</v>
          </cell>
          <cell r="G2675">
            <v>3.6350120634668706E-2</v>
          </cell>
          <cell r="I2675" t="str">
            <v>MD</v>
          </cell>
          <cell r="J2675" t="str">
            <v>Med</v>
          </cell>
          <cell r="K2675">
            <v>93825.333333333328</v>
          </cell>
        </row>
        <row r="2676">
          <cell r="C2676">
            <v>4216069.3653528905</v>
          </cell>
          <cell r="D2676">
            <v>0.71576360751704304</v>
          </cell>
          <cell r="E2676">
            <v>187935</v>
          </cell>
          <cell r="F2676">
            <v>134517.03357871599</v>
          </cell>
          <cell r="G2676">
            <v>3.1905792320249628E-2</v>
          </cell>
          <cell r="I2676" t="str">
            <v>MD</v>
          </cell>
          <cell r="J2676" t="str">
            <v>High</v>
          </cell>
          <cell r="K2676">
            <v>114162</v>
          </cell>
        </row>
        <row r="2677">
          <cell r="C2677">
            <v>5229425.1611526702</v>
          </cell>
          <cell r="D2677">
            <v>0.70807331611589897</v>
          </cell>
          <cell r="E2677">
            <v>136495</v>
          </cell>
          <cell r="F2677">
            <v>96648.467283239705</v>
          </cell>
          <cell r="G2677">
            <v>1.848166180887393E-2</v>
          </cell>
          <cell r="I2677" t="str">
            <v>MD</v>
          </cell>
          <cell r="J2677" t="str">
            <v>High</v>
          </cell>
          <cell r="K2677">
            <v>156214.66666666666</v>
          </cell>
        </row>
        <row r="2678">
          <cell r="C2678">
            <v>2533372.1527666799</v>
          </cell>
          <cell r="D2678">
            <v>0.70100223430705799</v>
          </cell>
          <cell r="E2678">
            <v>127806</v>
          </cell>
          <cell r="F2678">
            <v>89592.291557847901</v>
          </cell>
          <cell r="G2678">
            <v>3.5364836334845128E-2</v>
          </cell>
          <cell r="I2678" t="str">
            <v>MD</v>
          </cell>
          <cell r="J2678" t="str">
            <v>High</v>
          </cell>
          <cell r="K2678">
            <v>122386.66666666667</v>
          </cell>
        </row>
        <row r="2679">
          <cell r="C2679">
            <v>2433371.3448588899</v>
          </cell>
          <cell r="D2679">
            <v>0.74942304970972096</v>
          </cell>
          <cell r="E2679">
            <v>127318</v>
          </cell>
          <cell r="F2679">
            <v>95415.043842942207</v>
          </cell>
          <cell r="G2679">
            <v>3.9211049330604854E-2</v>
          </cell>
          <cell r="I2679" t="str">
            <v>MD</v>
          </cell>
          <cell r="J2679" t="str">
            <v>High</v>
          </cell>
          <cell r="K2679">
            <v>117833.33333333333</v>
          </cell>
        </row>
        <row r="2680">
          <cell r="C2680">
            <v>2554786.1020636498</v>
          </cell>
          <cell r="D2680">
            <v>0.67539089560965104</v>
          </cell>
          <cell r="E2680">
            <v>141181</v>
          </cell>
          <cell r="F2680">
            <v>95352.362033066107</v>
          </cell>
          <cell r="G2680">
            <v>3.7323031449108181E-2</v>
          </cell>
          <cell r="I2680" t="str">
            <v>MD</v>
          </cell>
          <cell r="J2680" t="str">
            <v>High</v>
          </cell>
          <cell r="K2680">
            <v>119910</v>
          </cell>
        </row>
        <row r="2681">
          <cell r="C2681">
            <v>2003936.4454139599</v>
          </cell>
          <cell r="D2681">
            <v>0.70536468568580202</v>
          </cell>
          <cell r="E2681">
            <v>144451</v>
          </cell>
          <cell r="F2681">
            <v>101890.634212</v>
          </cell>
          <cell r="G2681">
            <v>5.0845242345473739E-2</v>
          </cell>
          <cell r="I2681" t="str">
            <v>MD</v>
          </cell>
          <cell r="J2681" t="str">
            <v>Med</v>
          </cell>
          <cell r="K2681">
            <v>78620</v>
          </cell>
        </row>
        <row r="2682">
          <cell r="C2682">
            <v>1931041.0330246401</v>
          </cell>
          <cell r="D2682">
            <v>0.733713221380208</v>
          </cell>
          <cell r="E2682">
            <v>142651</v>
          </cell>
          <cell r="F2682">
            <v>104664.924743108</v>
          </cell>
          <cell r="G2682">
            <v>5.4201295028500039E-2</v>
          </cell>
          <cell r="I2682" t="str">
            <v>MD</v>
          </cell>
          <cell r="J2682" t="str">
            <v>Med</v>
          </cell>
          <cell r="K2682">
            <v>82411.666666666672</v>
          </cell>
        </row>
        <row r="2683">
          <cell r="C2683">
            <v>1749585.17554342</v>
          </cell>
          <cell r="D2683">
            <v>0.68997938119607605</v>
          </cell>
          <cell r="E2683">
            <v>155101</v>
          </cell>
          <cell r="F2683">
            <v>107016.49200289301</v>
          </cell>
          <cell r="G2683">
            <v>6.1166780273874781E-2</v>
          </cell>
          <cell r="I2683" t="str">
            <v>MD</v>
          </cell>
          <cell r="J2683" t="str">
            <v>Med</v>
          </cell>
          <cell r="K2683">
            <v>64581.333333333336</v>
          </cell>
        </row>
        <row r="2684">
          <cell r="C2684">
            <v>2668471.5952983401</v>
          </cell>
          <cell r="D2684">
            <v>0.79815829007819605</v>
          </cell>
          <cell r="E2684">
            <v>111839</v>
          </cell>
          <cell r="F2684">
            <v>89265.225004055406</v>
          </cell>
          <cell r="G2684">
            <v>3.3451817572776293E-2</v>
          </cell>
          <cell r="I2684" t="str">
            <v>MD</v>
          </cell>
          <cell r="J2684" t="str">
            <v>High</v>
          </cell>
          <cell r="K2684">
            <v>130716.66666666667</v>
          </cell>
        </row>
        <row r="2685">
          <cell r="C2685">
            <v>1674351.75653544</v>
          </cell>
          <cell r="D2685">
            <v>0.73678435169472001</v>
          </cell>
          <cell r="E2685">
            <v>135614</v>
          </cell>
          <cell r="F2685">
            <v>99918.273070727795</v>
          </cell>
          <cell r="G2685">
            <v>5.9675795531446849E-2</v>
          </cell>
          <cell r="I2685" t="str">
            <v>MD</v>
          </cell>
          <cell r="J2685" t="str">
            <v>Med</v>
          </cell>
          <cell r="K2685">
            <v>51362.666666666664</v>
          </cell>
        </row>
        <row r="2686">
          <cell r="C2686">
            <v>1991152.78457859</v>
          </cell>
          <cell r="D2686">
            <v>0.74020011578689904</v>
          </cell>
          <cell r="E2686">
            <v>128354</v>
          </cell>
          <cell r="F2686">
            <v>95007.645661711605</v>
          </cell>
          <cell r="G2686">
            <v>4.7714894807441482E-2</v>
          </cell>
          <cell r="I2686" t="str">
            <v>MD</v>
          </cell>
          <cell r="J2686" t="str">
            <v>Low</v>
          </cell>
          <cell r="K2686">
            <v>25885.333333333332</v>
          </cell>
        </row>
        <row r="2687">
          <cell r="C2687">
            <v>2906611.0717141302</v>
          </cell>
          <cell r="D2687">
            <v>0.77865866650888704</v>
          </cell>
          <cell r="E2687">
            <v>80135</v>
          </cell>
          <cell r="F2687">
            <v>62397.812240689702</v>
          </cell>
          <cell r="G2687">
            <v>2.1467547842199449E-2</v>
          </cell>
          <cell r="I2687" t="str">
            <v>MD</v>
          </cell>
          <cell r="J2687" t="str">
            <v>High</v>
          </cell>
          <cell r="K2687">
            <v>159532</v>
          </cell>
        </row>
        <row r="2688">
          <cell r="C2688">
            <v>2248726.20967995</v>
          </cell>
          <cell r="D2688">
            <v>0.71103953975649503</v>
          </cell>
          <cell r="E2688">
            <v>145757</v>
          </cell>
          <cell r="F2688">
            <v>103638.99019628701</v>
          </cell>
          <cell r="G2688">
            <v>4.6087865098987497E-2</v>
          </cell>
          <cell r="I2688" t="str">
            <v>MD</v>
          </cell>
          <cell r="J2688" t="str">
            <v>Med</v>
          </cell>
          <cell r="K2688">
            <v>93825.333333333328</v>
          </cell>
        </row>
        <row r="2689">
          <cell r="C2689">
            <v>2491051.63424318</v>
          </cell>
          <cell r="D2689">
            <v>0.749138849954743</v>
          </cell>
          <cell r="E2689">
            <v>136775</v>
          </cell>
          <cell r="F2689">
            <v>102463.46620256</v>
          </cell>
          <cell r="G2689">
            <v>4.1132614352126819E-2</v>
          </cell>
          <cell r="I2689" t="str">
            <v>MD</v>
          </cell>
          <cell r="J2689" t="str">
            <v>High</v>
          </cell>
          <cell r="K2689">
            <v>114162</v>
          </cell>
        </row>
        <row r="2690">
          <cell r="C2690">
            <v>2994814.2199261198</v>
          </cell>
          <cell r="D2690">
            <v>0.74239975012692705</v>
          </cell>
          <cell r="E2690">
            <v>94167</v>
          </cell>
          <cell r="F2690">
            <v>69909.557270202306</v>
          </cell>
          <cell r="G2690">
            <v>2.3343537240158734E-2</v>
          </cell>
          <cell r="I2690" t="str">
            <v>MD</v>
          </cell>
          <cell r="J2690" t="str">
            <v>High</v>
          </cell>
          <cell r="K2690">
            <v>156214.66666666666</v>
          </cell>
        </row>
        <row r="2691">
          <cell r="C2691">
            <v>2837200.9385476802</v>
          </cell>
          <cell r="D2691">
            <v>0.73674943353400102</v>
          </cell>
          <cell r="E2691">
            <v>138537</v>
          </cell>
          <cell r="F2691">
            <v>102067.0562735</v>
          </cell>
          <cell r="G2691">
            <v>3.5974560309340153E-2</v>
          </cell>
          <cell r="I2691" t="str">
            <v>MD</v>
          </cell>
          <cell r="J2691" t="str">
            <v>High</v>
          </cell>
          <cell r="K2691">
            <v>122386.66666666667</v>
          </cell>
        </row>
        <row r="2692">
          <cell r="C2692">
            <v>2796187.7457352499</v>
          </cell>
          <cell r="D2692">
            <v>0.74944265535898702</v>
          </cell>
          <cell r="E2692">
            <v>145831</v>
          </cell>
          <cell r="F2692">
            <v>109291.971873656</v>
          </cell>
          <cell r="G2692">
            <v>3.9086063530729756E-2</v>
          </cell>
          <cell r="I2692" t="str">
            <v>MD</v>
          </cell>
          <cell r="J2692" t="str">
            <v>High</v>
          </cell>
          <cell r="K2692">
            <v>117833.33333333333</v>
          </cell>
        </row>
        <row r="2693">
          <cell r="C2693">
            <v>2904504.43930384</v>
          </cell>
          <cell r="D2693">
            <v>0.695585081500117</v>
          </cell>
          <cell r="E2693">
            <v>161053</v>
          </cell>
          <cell r="F2693">
            <v>112026.064130838</v>
          </cell>
          <cell r="G2693">
            <v>3.8569768603173051E-2</v>
          </cell>
          <cell r="I2693" t="str">
            <v>MD</v>
          </cell>
          <cell r="J2693" t="str">
            <v>High</v>
          </cell>
          <cell r="K2693">
            <v>119910</v>
          </cell>
        </row>
        <row r="2694">
          <cell r="C2694">
            <v>2276052.9460996399</v>
          </cell>
          <cell r="D2694">
            <v>0.70367868263768196</v>
          </cell>
          <cell r="E2694">
            <v>165525</v>
          </cell>
          <cell r="F2694">
            <v>116476.41394360201</v>
          </cell>
          <cell r="G2694">
            <v>5.1174738330758918E-2</v>
          </cell>
          <cell r="I2694" t="str">
            <v>MD</v>
          </cell>
          <cell r="J2694" t="str">
            <v>Med</v>
          </cell>
          <cell r="K2694">
            <v>78620</v>
          </cell>
        </row>
        <row r="2695">
          <cell r="C2695">
            <v>2219290.6250285301</v>
          </cell>
          <cell r="D2695">
            <v>0.726307819095803</v>
          </cell>
          <cell r="E2695">
            <v>164131</v>
          </cell>
          <cell r="F2695">
            <v>119209.628656013</v>
          </cell>
          <cell r="G2695">
            <v>5.3715194986902852E-2</v>
          </cell>
          <cell r="I2695" t="str">
            <v>MD</v>
          </cell>
          <cell r="J2695" t="str">
            <v>Med</v>
          </cell>
          <cell r="K2695">
            <v>82411.666666666672</v>
          </cell>
        </row>
        <row r="2696">
          <cell r="C2696">
            <v>1996975.6987760901</v>
          </cell>
          <cell r="D2696">
            <v>0.71886923213061404</v>
          </cell>
          <cell r="E2696">
            <v>169420</v>
          </cell>
          <cell r="F2696">
            <v>121790.825307569</v>
          </cell>
          <cell r="G2696">
            <v>6.0987635143588563E-2</v>
          </cell>
          <cell r="I2696" t="str">
            <v>MD</v>
          </cell>
          <cell r="J2696" t="str">
            <v>Med</v>
          </cell>
          <cell r="K2696">
            <v>64581.333333333336</v>
          </cell>
        </row>
        <row r="2697">
          <cell r="C2697">
            <v>3052785.2448588498</v>
          </cell>
          <cell r="D2697">
            <v>0.76638470710531104</v>
          </cell>
          <cell r="E2697">
            <v>135689</v>
          </cell>
          <cell r="F2697">
            <v>103989.974522413</v>
          </cell>
          <cell r="G2697">
            <v>3.4063966568739473E-2</v>
          </cell>
          <cell r="I2697" t="str">
            <v>MD</v>
          </cell>
          <cell r="J2697" t="str">
            <v>High</v>
          </cell>
          <cell r="K2697">
            <v>130716.66666666667</v>
          </cell>
        </row>
        <row r="2698">
          <cell r="C2698">
            <v>1893373.76551731</v>
          </cell>
          <cell r="D2698">
            <v>0.75202724073385396</v>
          </cell>
          <cell r="E2698">
            <v>150295</v>
          </cell>
          <cell r="F2698">
            <v>113025.93414609499</v>
          </cell>
          <cell r="G2698">
            <v>5.9695521404467072E-2</v>
          </cell>
          <cell r="I2698" t="str">
            <v>MD</v>
          </cell>
          <cell r="J2698" t="str">
            <v>Med</v>
          </cell>
          <cell r="K2698">
            <v>51362.666666666664</v>
          </cell>
        </row>
        <row r="2699">
          <cell r="C2699">
            <v>2270820.4814156801</v>
          </cell>
          <cell r="D2699">
            <v>0.72778736128371702</v>
          </cell>
          <cell r="E2699">
            <v>149709</v>
          </cell>
          <cell r="F2699">
            <v>108956.31807042399</v>
          </cell>
          <cell r="G2699">
            <v>4.798103547247301E-2</v>
          </cell>
          <cell r="I2699" t="str">
            <v>MD</v>
          </cell>
          <cell r="J2699" t="str">
            <v>Low</v>
          </cell>
          <cell r="K2699">
            <v>25885.333333333332</v>
          </cell>
        </row>
        <row r="2700">
          <cell r="C2700">
            <v>3297699.3783238898</v>
          </cell>
          <cell r="D2700">
            <v>0.76193609887973801</v>
          </cell>
          <cell r="E2700">
            <v>91872</v>
          </cell>
          <cell r="F2700">
            <v>70000.593276279295</v>
          </cell>
          <cell r="G2700">
            <v>2.1227099636916647E-2</v>
          </cell>
          <cell r="I2700" t="str">
            <v>MD</v>
          </cell>
          <cell r="J2700" t="str">
            <v>High</v>
          </cell>
          <cell r="K2700">
            <v>159532</v>
          </cell>
        </row>
        <row r="2701">
          <cell r="C2701">
            <v>2510595.4590837001</v>
          </cell>
          <cell r="D2701">
            <v>0.73681395763102597</v>
          </cell>
          <cell r="E2701">
            <v>157785</v>
          </cell>
          <cell r="F2701">
            <v>116258.190304811</v>
          </cell>
          <cell r="G2701">
            <v>4.6307018474112158E-2</v>
          </cell>
          <cell r="I2701" t="str">
            <v>MD</v>
          </cell>
          <cell r="J2701" t="str">
            <v>Med</v>
          </cell>
          <cell r="K2701">
            <v>93825.333333333328</v>
          </cell>
        </row>
        <row r="2702">
          <cell r="C2702">
            <v>2792460.1692730398</v>
          </cell>
          <cell r="D2702">
            <v>0.755592144276925</v>
          </cell>
          <cell r="E2702">
            <v>153990</v>
          </cell>
          <cell r="F2702">
            <v>116353.634297204</v>
          </cell>
          <cell r="G2702">
            <v>4.1667070340879492E-2</v>
          </cell>
          <cell r="I2702" t="str">
            <v>MD</v>
          </cell>
          <cell r="J2702" t="str">
            <v>High</v>
          </cell>
          <cell r="K2702">
            <v>114162</v>
          </cell>
        </row>
        <row r="2703">
          <cell r="C2703">
            <v>3414243.8845178699</v>
          </cell>
          <cell r="D2703">
            <v>0.74901897724348099</v>
          </cell>
          <cell r="E2703">
            <v>110221</v>
          </cell>
          <cell r="F2703">
            <v>82557.620690753698</v>
          </cell>
          <cell r="G2703">
            <v>2.4180352512343087E-2</v>
          </cell>
          <cell r="I2703" t="str">
            <v>MD</v>
          </cell>
          <cell r="J2703" t="str">
            <v>High</v>
          </cell>
          <cell r="K2703">
            <v>156214.66666666666</v>
          </cell>
        </row>
        <row r="2704">
          <cell r="C2704">
            <v>3201187.8017873098</v>
          </cell>
          <cell r="D2704">
            <v>0.71069274938433002</v>
          </cell>
          <cell r="E2704">
            <v>168040</v>
          </cell>
          <cell r="F2704">
            <v>119424.809606543</v>
          </cell>
          <cell r="G2704">
            <v>3.7306405309886818E-2</v>
          </cell>
          <cell r="I2704" t="str">
            <v>MD</v>
          </cell>
          <cell r="J2704" t="str">
            <v>High</v>
          </cell>
          <cell r="K2704">
            <v>122386.66666666667</v>
          </cell>
        </row>
        <row r="2705">
          <cell r="C2705">
            <v>3077164.3883239999</v>
          </cell>
          <cell r="D2705">
            <v>0.75376023664112801</v>
          </cell>
          <cell r="E2705">
            <v>171077</v>
          </cell>
          <cell r="F2705">
            <v>128951.040003854</v>
          </cell>
          <cell r="G2705">
            <v>4.1905801488261771E-2</v>
          </cell>
          <cell r="I2705" t="str">
            <v>MD</v>
          </cell>
          <cell r="J2705" t="str">
            <v>High</v>
          </cell>
          <cell r="K2705">
            <v>117833.33333333333</v>
          </cell>
        </row>
        <row r="2706">
          <cell r="C2706">
            <v>3192132.4487437499</v>
          </cell>
          <cell r="D2706">
            <v>0.70099418105869504</v>
          </cell>
          <cell r="E2706">
            <v>182441</v>
          </cell>
          <cell r="F2706">
            <v>127890.079386529</v>
          </cell>
          <cell r="G2706">
            <v>4.0064151923539265E-2</v>
          </cell>
          <cell r="I2706" t="str">
            <v>MD</v>
          </cell>
          <cell r="J2706" t="str">
            <v>High</v>
          </cell>
          <cell r="K2706">
            <v>119910</v>
          </cell>
        </row>
        <row r="2707">
          <cell r="C2707">
            <v>2518263.32509659</v>
          </cell>
          <cell r="D2707">
            <v>0.71372084268684899</v>
          </cell>
          <cell r="E2707">
            <v>193705</v>
          </cell>
          <cell r="F2707">
            <v>138251.295832656</v>
          </cell>
          <cell r="G2707">
            <v>5.4899459661293865E-2</v>
          </cell>
          <cell r="I2707" t="str">
            <v>MD</v>
          </cell>
          <cell r="J2707" t="str">
            <v>Med</v>
          </cell>
          <cell r="K2707">
            <v>78620</v>
          </cell>
        </row>
        <row r="2708">
          <cell r="C2708">
            <v>2474281.6801291602</v>
          </cell>
          <cell r="D2708">
            <v>0.74295400494102204</v>
          </cell>
          <cell r="E2708">
            <v>186953</v>
          </cell>
          <cell r="F2708">
            <v>138897.48008573899</v>
          </cell>
          <cell r="G2708">
            <v>5.6136486480588742E-2</v>
          </cell>
          <cell r="I2708" t="str">
            <v>MD</v>
          </cell>
          <cell r="J2708" t="str">
            <v>Med</v>
          </cell>
          <cell r="K2708">
            <v>82411.666666666672</v>
          </cell>
        </row>
        <row r="2709">
          <cell r="C2709">
            <v>2210326.5292753899</v>
          </cell>
          <cell r="D2709">
            <v>0.71482075045676596</v>
          </cell>
          <cell r="E2709">
            <v>200159</v>
          </cell>
          <cell r="F2709">
            <v>143077.80659067599</v>
          </cell>
          <cell r="G2709">
            <v>6.4731524820263148E-2</v>
          </cell>
          <cell r="I2709" t="str">
            <v>MD</v>
          </cell>
          <cell r="J2709" t="str">
            <v>Med</v>
          </cell>
          <cell r="K2709">
            <v>64581.333333333336</v>
          </cell>
        </row>
        <row r="2710">
          <cell r="C2710">
            <v>3426234.1144744898</v>
          </cell>
          <cell r="D2710">
            <v>0.75606350485940099</v>
          </cell>
          <cell r="E2710">
            <v>162916</v>
          </cell>
          <cell r="F2710">
            <v>123174.841957674</v>
          </cell>
          <cell r="G2710">
            <v>3.5950503626506078E-2</v>
          </cell>
          <cell r="I2710" t="str">
            <v>MD</v>
          </cell>
          <cell r="J2710" t="str">
            <v>High</v>
          </cell>
          <cell r="K2710">
            <v>130716.66666666667</v>
          </cell>
        </row>
        <row r="2711">
          <cell r="C2711">
            <v>2080805.0480517601</v>
          </cell>
          <cell r="D2711">
            <v>0.74829770269937301</v>
          </cell>
          <cell r="E2711">
            <v>176601</v>
          </cell>
          <cell r="F2711">
            <v>132150.12259441201</v>
          </cell>
          <cell r="G2711">
            <v>6.3509132063161347E-2</v>
          </cell>
          <cell r="I2711" t="str">
            <v>MD</v>
          </cell>
          <cell r="J2711" t="str">
            <v>Med</v>
          </cell>
          <cell r="K2711">
            <v>51362.666666666664</v>
          </cell>
        </row>
        <row r="2712">
          <cell r="C2712">
            <v>2535132.1984783802</v>
          </cell>
          <cell r="D2712">
            <v>0.76360607777462997</v>
          </cell>
          <cell r="E2712">
            <v>170233</v>
          </cell>
          <cell r="F2712">
            <v>129990.953437809</v>
          </cell>
          <cell r="G2712">
            <v>5.1275808620880318E-2</v>
          </cell>
          <cell r="I2712" t="str">
            <v>MD</v>
          </cell>
          <cell r="J2712" t="str">
            <v>Low</v>
          </cell>
          <cell r="K2712">
            <v>25885.333333333332</v>
          </cell>
        </row>
        <row r="2713">
          <cell r="C2713">
            <v>3612821.5822340902</v>
          </cell>
          <cell r="D2713">
            <v>0.78065994672585703</v>
          </cell>
          <cell r="E2713">
            <v>104219</v>
          </cell>
          <cell r="F2713">
            <v>81359.598987822101</v>
          </cell>
          <cell r="G2713">
            <v>2.251968361457559E-2</v>
          </cell>
          <cell r="I2713" t="str">
            <v>MD</v>
          </cell>
          <cell r="J2713" t="str">
            <v>High</v>
          </cell>
          <cell r="K2713">
            <v>159532</v>
          </cell>
        </row>
        <row r="2714">
          <cell r="C2714">
            <v>2849435.99844616</v>
          </cell>
          <cell r="D2714">
            <v>0.70245666850645705</v>
          </cell>
          <cell r="E2714">
            <v>196184</v>
          </cell>
          <cell r="F2714">
            <v>137810.75905427101</v>
          </cell>
          <cell r="G2714">
            <v>4.8364223351365421E-2</v>
          </cell>
          <cell r="I2714" t="str">
            <v>MD</v>
          </cell>
          <cell r="J2714" t="str">
            <v>Med</v>
          </cell>
          <cell r="K2714">
            <v>93825.333333333328</v>
          </cell>
        </row>
        <row r="2715">
          <cell r="C2715">
            <v>3083011.52169109</v>
          </cell>
          <cell r="D2715">
            <v>0.74386024613881896</v>
          </cell>
          <cell r="E2715">
            <v>180209</v>
          </cell>
          <cell r="F2715">
            <v>134050.31109643099</v>
          </cell>
          <cell r="G2715">
            <v>4.3480314670670407E-2</v>
          </cell>
          <cell r="I2715" t="str">
            <v>MD</v>
          </cell>
          <cell r="J2715" t="str">
            <v>High</v>
          </cell>
          <cell r="K2715">
            <v>114162</v>
          </cell>
        </row>
        <row r="2716">
          <cell r="C2716">
            <v>3774689.7649314501</v>
          </cell>
          <cell r="D2716">
            <v>0.73471609653215697</v>
          </cell>
          <cell r="E2716">
            <v>127622</v>
          </cell>
          <cell r="F2716">
            <v>93765.937671627005</v>
          </cell>
          <cell r="G2716">
            <v>2.4840700431265728E-2</v>
          </cell>
          <cell r="I2716" t="str">
            <v>MD</v>
          </cell>
          <cell r="J2716" t="str">
            <v>High</v>
          </cell>
          <cell r="K2716">
            <v>156214.66666666666</v>
          </cell>
        </row>
        <row r="2717">
          <cell r="C2717">
            <v>3377297.1655579801</v>
          </cell>
          <cell r="D2717">
            <v>0.71564648907608597</v>
          </cell>
          <cell r="E2717">
            <v>194159</v>
          </cell>
          <cell r="F2717">
            <v>138949.20667252399</v>
          </cell>
          <cell r="G2717">
            <v>4.1142132261721628E-2</v>
          </cell>
          <cell r="I2717" t="str">
            <v>MD</v>
          </cell>
          <cell r="J2717" t="str">
            <v>High</v>
          </cell>
          <cell r="K2717">
            <v>122386.66666666667</v>
          </cell>
        </row>
        <row r="2718">
          <cell r="C2718">
            <v>3251144.07199015</v>
          </cell>
          <cell r="D2718">
            <v>0.74579087417761003</v>
          </cell>
          <cell r="E2718">
            <v>197408</v>
          </cell>
          <cell r="F2718">
            <v>147225.08488965401</v>
          </cell>
          <cell r="G2718">
            <v>4.5284085118852298E-2</v>
          </cell>
          <cell r="I2718" t="str">
            <v>MD</v>
          </cell>
          <cell r="J2718" t="str">
            <v>High</v>
          </cell>
          <cell r="K2718">
            <v>117833.33333333333</v>
          </cell>
        </row>
        <row r="2719">
          <cell r="C2719">
            <v>3353896.05029224</v>
          </cell>
          <cell r="D2719">
            <v>0.69480462135712395</v>
          </cell>
          <cell r="E2719">
            <v>214511</v>
          </cell>
          <cell r="F2719">
            <v>149043.23413193799</v>
          </cell>
          <cell r="G2719">
            <v>4.4438835282015129E-2</v>
          </cell>
          <cell r="I2719" t="str">
            <v>MD</v>
          </cell>
          <cell r="J2719" t="str">
            <v>High</v>
          </cell>
          <cell r="K2719">
            <v>119910</v>
          </cell>
        </row>
        <row r="2720">
          <cell r="C2720">
            <v>2628196.6450739498</v>
          </cell>
          <cell r="D2720">
            <v>0.69611060708113504</v>
          </cell>
          <cell r="E2720">
            <v>220626</v>
          </cell>
          <cell r="F2720">
            <v>153580.098797882</v>
          </cell>
          <cell r="G2720">
            <v>5.8435543278596916E-2</v>
          </cell>
          <cell r="I2720" t="str">
            <v>MD</v>
          </cell>
          <cell r="J2720" t="str">
            <v>Med</v>
          </cell>
          <cell r="K2720">
            <v>78620</v>
          </cell>
        </row>
        <row r="2721">
          <cell r="C2721">
            <v>2564145.7502273801</v>
          </cell>
          <cell r="D2721">
            <v>0.72947811035798305</v>
          </cell>
          <cell r="E2721">
            <v>223306</v>
          </cell>
          <cell r="F2721">
            <v>162896.8389116</v>
          </cell>
          <cell r="G2721">
            <v>6.3528697187808E-2</v>
          </cell>
          <cell r="I2721" t="str">
            <v>MD</v>
          </cell>
          <cell r="J2721" t="str">
            <v>Med</v>
          </cell>
          <cell r="K2721">
            <v>82411.666666666672</v>
          </cell>
        </row>
        <row r="2722">
          <cell r="C2722">
            <v>2360488.5145648001</v>
          </cell>
          <cell r="D2722">
            <v>0.70402121749247903</v>
          </cell>
          <cell r="E2722">
            <v>238510</v>
          </cell>
          <cell r="F2722">
            <v>167916.100584131</v>
          </cell>
          <cell r="G2722">
            <v>7.1136165055685291E-2</v>
          </cell>
          <cell r="I2722" t="str">
            <v>MD</v>
          </cell>
          <cell r="J2722" t="str">
            <v>Med</v>
          </cell>
          <cell r="K2722">
            <v>64581.333333333336</v>
          </cell>
        </row>
        <row r="2723">
          <cell r="C2723">
            <v>3613652.3610747401</v>
          </cell>
          <cell r="D2723">
            <v>0.76048338310921404</v>
          </cell>
          <cell r="E2723">
            <v>187913</v>
          </cell>
          <cell r="F2723">
            <v>142904.71397020199</v>
          </cell>
          <cell r="G2723">
            <v>3.9545783515185881E-2</v>
          </cell>
          <cell r="I2723" t="str">
            <v>MD</v>
          </cell>
          <cell r="J2723" t="str">
            <v>High</v>
          </cell>
          <cell r="K2723">
            <v>130716.66666666667</v>
          </cell>
        </row>
        <row r="2724">
          <cell r="C2724">
            <v>2194781.2014381401</v>
          </cell>
          <cell r="D2724">
            <v>0.74510509185275797</v>
          </cell>
          <cell r="E2724">
            <v>205366</v>
          </cell>
          <cell r="F2724">
            <v>153019.25229343399</v>
          </cell>
          <cell r="G2724">
            <v>6.971959309345617E-2</v>
          </cell>
          <cell r="I2724" t="str">
            <v>MD</v>
          </cell>
          <cell r="J2724" t="str">
            <v>Med</v>
          </cell>
          <cell r="K2724">
            <v>51362.666666666664</v>
          </cell>
        </row>
        <row r="2725">
          <cell r="C2725">
            <v>2614126.2610152899</v>
          </cell>
          <cell r="D2725">
            <v>0.72779837547966897</v>
          </cell>
          <cell r="E2725">
            <v>198816</v>
          </cell>
          <cell r="F2725">
            <v>144697.961819366</v>
          </cell>
          <cell r="G2725">
            <v>5.5352323251275301E-2</v>
          </cell>
          <cell r="I2725" t="str">
            <v>MD</v>
          </cell>
          <cell r="J2725" t="str">
            <v>Low</v>
          </cell>
          <cell r="K2725">
            <v>25885.333333333332</v>
          </cell>
        </row>
        <row r="2726">
          <cell r="C2726">
            <v>3882298.5310325702</v>
          </cell>
          <cell r="D2726">
            <v>0.72891488467043097</v>
          </cell>
          <cell r="E2726">
            <v>127172</v>
          </cell>
          <cell r="F2726">
            <v>92697.563713308002</v>
          </cell>
          <cell r="G2726">
            <v>2.3876979828404216E-2</v>
          </cell>
          <cell r="I2726" t="str">
            <v>MD</v>
          </cell>
          <cell r="J2726" t="str">
            <v>High</v>
          </cell>
          <cell r="K2726">
            <v>159532</v>
          </cell>
        </row>
        <row r="2727">
          <cell r="C2727">
            <v>2953649.3229117198</v>
          </cell>
          <cell r="D2727">
            <v>0.72058014256995395</v>
          </cell>
          <cell r="E2727">
            <v>219262</v>
          </cell>
          <cell r="F2727">
            <v>157995.843220173</v>
          </cell>
          <cell r="G2727">
            <v>5.3491740537573378E-2</v>
          </cell>
          <cell r="I2727" t="str">
            <v>MD</v>
          </cell>
          <cell r="J2727" t="str">
            <v>Med</v>
          </cell>
          <cell r="K2727">
            <v>93825.333333333328</v>
          </cell>
        </row>
        <row r="2728">
          <cell r="C2728">
            <v>3276756.7407414401</v>
          </cell>
          <cell r="D2728">
            <v>0.72387309202352901</v>
          </cell>
          <cell r="E2728">
            <v>216964</v>
          </cell>
          <cell r="F2728">
            <v>157054.40153779299</v>
          </cell>
          <cell r="G2728">
            <v>4.7929832442262982E-2</v>
          </cell>
          <cell r="I2728" t="str">
            <v>MD</v>
          </cell>
          <cell r="J2728" t="str">
            <v>High</v>
          </cell>
          <cell r="K2728">
            <v>114162</v>
          </cell>
        </row>
        <row r="2729">
          <cell r="C2729">
            <v>4064206.43786524</v>
          </cell>
          <cell r="D2729">
            <v>0.73823195303835998</v>
          </cell>
          <cell r="E2729">
            <v>150610</v>
          </cell>
          <cell r="F2729">
            <v>111185.114447107</v>
          </cell>
          <cell r="G2729">
            <v>2.7357152287153002E-2</v>
          </cell>
          <cell r="I2729" t="str">
            <v>MD</v>
          </cell>
          <cell r="J2729" t="str">
            <v>High</v>
          </cell>
          <cell r="K2729">
            <v>156214.66666666666</v>
          </cell>
        </row>
        <row r="2730">
          <cell r="C2730">
            <v>3558732.2223566999</v>
          </cell>
          <cell r="D2730">
            <v>0.71048467534990101</v>
          </cell>
          <cell r="E2730">
            <v>215691</v>
          </cell>
          <cell r="F2730">
            <v>153245.15011089499</v>
          </cell>
          <cell r="G2730">
            <v>4.3061725506678167E-2</v>
          </cell>
          <cell r="I2730" t="str">
            <v>MD</v>
          </cell>
          <cell r="J2730" t="str">
            <v>High</v>
          </cell>
          <cell r="K2730">
            <v>122386.66666666667</v>
          </cell>
        </row>
        <row r="2731">
          <cell r="C2731">
            <v>3403911.1207560999</v>
          </cell>
          <cell r="D2731">
            <v>0.73665864946915305</v>
          </cell>
          <cell r="E2731">
            <v>221397</v>
          </cell>
          <cell r="F2731">
            <v>163094.015016522</v>
          </cell>
          <cell r="G2731">
            <v>4.7913711383948954E-2</v>
          </cell>
          <cell r="I2731" t="str">
            <v>MD</v>
          </cell>
          <cell r="J2731" t="str">
            <v>High</v>
          </cell>
          <cell r="K2731">
            <v>117833.33333333333</v>
          </cell>
        </row>
        <row r="2732">
          <cell r="C2732">
            <v>3530950.40209259</v>
          </cell>
          <cell r="D2732">
            <v>0.67914504988747704</v>
          </cell>
          <cell r="E2732">
            <v>243169</v>
          </cell>
          <cell r="F2732">
            <v>165147.02263608799</v>
          </cell>
          <cell r="G2732">
            <v>4.6771266608053995E-2</v>
          </cell>
          <cell r="I2732" t="str">
            <v>MD</v>
          </cell>
          <cell r="J2732" t="str">
            <v>High</v>
          </cell>
          <cell r="K2732">
            <v>119910</v>
          </cell>
        </row>
        <row r="2733">
          <cell r="C2733">
            <v>2743562.1461682301</v>
          </cell>
          <cell r="D2733">
            <v>0.69167386791788998</v>
          </cell>
          <cell r="E2733">
            <v>247389</v>
          </cell>
          <cell r="F2733">
            <v>171112.50651033901</v>
          </cell>
          <cell r="G2733">
            <v>6.2368737208785906E-2</v>
          </cell>
          <cell r="I2733" t="str">
            <v>MD</v>
          </cell>
          <cell r="J2733" t="str">
            <v>Med</v>
          </cell>
          <cell r="K2733">
            <v>78620</v>
          </cell>
        </row>
        <row r="2734">
          <cell r="C2734">
            <v>2720183.47853158</v>
          </cell>
          <cell r="D2734">
            <v>0.75111206428838995</v>
          </cell>
          <cell r="E2734">
            <v>241348</v>
          </cell>
          <cell r="F2734">
            <v>181279.394491874</v>
          </cell>
          <cell r="G2734">
            <v>6.664234082832271E-2</v>
          </cell>
          <cell r="I2734" t="str">
            <v>MD</v>
          </cell>
          <cell r="J2734" t="str">
            <v>Med</v>
          </cell>
          <cell r="K2734">
            <v>82411.666666666672</v>
          </cell>
        </row>
        <row r="2735">
          <cell r="C2735">
            <v>2468943.3678874802</v>
          </cell>
          <cell r="D2735">
            <v>0.70725281448434196</v>
          </cell>
          <cell r="E2735">
            <v>261276</v>
          </cell>
          <cell r="F2735">
            <v>184788.186357211</v>
          </cell>
          <cell r="G2735">
            <v>7.4845048598794983E-2</v>
          </cell>
          <cell r="I2735" t="str">
            <v>MD</v>
          </cell>
          <cell r="J2735" t="str">
            <v>Med</v>
          </cell>
          <cell r="K2735">
            <v>64581.333333333336</v>
          </cell>
        </row>
        <row r="2736">
          <cell r="C2736">
            <v>3834369.9453148302</v>
          </cell>
          <cell r="D2736">
            <v>0.73767034128870901</v>
          </cell>
          <cell r="E2736">
            <v>211966</v>
          </cell>
          <cell r="F2736">
            <v>156361.03156160301</v>
          </cell>
          <cell r="G2736">
            <v>4.0778806894378739E-2</v>
          </cell>
          <cell r="I2736" t="str">
            <v>MD</v>
          </cell>
          <cell r="J2736" t="str">
            <v>High</v>
          </cell>
          <cell r="K2736">
            <v>130716.66666666667</v>
          </cell>
        </row>
        <row r="2737">
          <cell r="C2737">
            <v>2360815.1144238901</v>
          </cell>
          <cell r="D2737">
            <v>0.72164005774217499</v>
          </cell>
          <cell r="E2737">
            <v>241991</v>
          </cell>
          <cell r="F2737">
            <v>174630.39921308699</v>
          </cell>
          <cell r="G2737">
            <v>7.3970383426531922E-2</v>
          </cell>
          <cell r="I2737" t="str">
            <v>MD</v>
          </cell>
          <cell r="J2737" t="str">
            <v>Med</v>
          </cell>
          <cell r="K2737">
            <v>51362.666666666664</v>
          </cell>
        </row>
        <row r="2738">
          <cell r="C2738">
            <v>2787298.0691193701</v>
          </cell>
          <cell r="D2738">
            <v>0.740508487732916</v>
          </cell>
          <cell r="E2738">
            <v>223774</v>
          </cell>
          <cell r="F2738">
            <v>165706.54633394501</v>
          </cell>
          <cell r="G2738">
            <v>5.9450601343938425E-2</v>
          </cell>
          <cell r="I2738" t="str">
            <v>MD</v>
          </cell>
          <cell r="J2738" t="str">
            <v>Low</v>
          </cell>
          <cell r="K2738">
            <v>25885.333333333332</v>
          </cell>
        </row>
        <row r="2739">
          <cell r="C2739">
            <v>4095480.5024237898</v>
          </cell>
          <cell r="D2739">
            <v>0.73071245586745204</v>
          </cell>
          <cell r="E2739">
            <v>142877</v>
          </cell>
          <cell r="F2739">
            <v>104402.003556974</v>
          </cell>
          <cell r="G2739">
            <v>2.5492003562264973E-2</v>
          </cell>
          <cell r="I2739" t="str">
            <v>MD</v>
          </cell>
          <cell r="J2739" t="str">
            <v>High</v>
          </cell>
          <cell r="K2739">
            <v>159532</v>
          </cell>
        </row>
        <row r="2740">
          <cell r="C2740">
            <v>3168416.0696259602</v>
          </cell>
          <cell r="D2740">
            <v>0.731312014193787</v>
          </cell>
          <cell r="E2740">
            <v>243310</v>
          </cell>
          <cell r="F2740">
            <v>177935.52617349001</v>
          </cell>
          <cell r="G2740">
            <v>5.6159141433244832E-2</v>
          </cell>
          <cell r="I2740" t="str">
            <v>MD</v>
          </cell>
          <cell r="J2740" t="str">
            <v>Med</v>
          </cell>
          <cell r="K2740">
            <v>93825.333333333328</v>
          </cell>
        </row>
        <row r="2741">
          <cell r="C2741">
            <v>3402964.3151340098</v>
          </cell>
          <cell r="D2741">
            <v>0.70797123737822898</v>
          </cell>
          <cell r="E2741">
            <v>238185</v>
          </cell>
          <cell r="F2741">
            <v>168628.129174934</v>
          </cell>
          <cell r="G2741">
            <v>4.9553305165438787E-2</v>
          </cell>
          <cell r="I2741" t="str">
            <v>MD</v>
          </cell>
          <cell r="J2741" t="str">
            <v>High</v>
          </cell>
          <cell r="K2741">
            <v>114162</v>
          </cell>
        </row>
        <row r="2742">
          <cell r="C2742">
            <v>4187837.0138651598</v>
          </cell>
          <cell r="D2742">
            <v>0.73573441190494904</v>
          </cell>
          <cell r="E2742">
            <v>169892</v>
          </cell>
          <cell r="F2742">
            <v>124995.390707356</v>
          </cell>
          <cell r="G2742">
            <v>2.9847243408355959E-2</v>
          </cell>
          <cell r="I2742" t="str">
            <v>MD</v>
          </cell>
          <cell r="J2742" t="str">
            <v>High</v>
          </cell>
          <cell r="K2742">
            <v>156214.66666666666</v>
          </cell>
        </row>
        <row r="2743">
          <cell r="C2743">
            <v>3426211.1858159401</v>
          </cell>
          <cell r="D2743">
            <v>0.67993200435270096</v>
          </cell>
          <cell r="E2743">
            <v>233663</v>
          </cell>
          <cell r="F2743">
            <v>158874.95193306499</v>
          </cell>
          <cell r="G2743">
            <v>4.6370449256247316E-2</v>
          </cell>
          <cell r="I2743" t="str">
            <v>MD</v>
          </cell>
          <cell r="J2743" t="str">
            <v>High</v>
          </cell>
          <cell r="K2743">
            <v>122386.66666666667</v>
          </cell>
        </row>
        <row r="2744">
          <cell r="C2744">
            <v>3268886.3849826702</v>
          </cell>
          <cell r="D2744">
            <v>0.75376850125821304</v>
          </cell>
          <cell r="E2744">
            <v>225655</v>
          </cell>
          <cell r="F2744">
            <v>170091.63115142201</v>
          </cell>
          <cell r="G2744">
            <v>5.2033509617472905E-2</v>
          </cell>
          <cell r="I2744" t="str">
            <v>MD</v>
          </cell>
          <cell r="J2744" t="str">
            <v>High</v>
          </cell>
          <cell r="K2744">
            <v>117833.33333333333</v>
          </cell>
        </row>
        <row r="2745">
          <cell r="C2745">
            <v>3421419.8481259402</v>
          </cell>
          <cell r="D2745">
            <v>0.69896490224183605</v>
          </cell>
          <cell r="E2745">
            <v>250166</v>
          </cell>
          <cell r="F2745">
            <v>174857.253734231</v>
          </cell>
          <cell r="G2745">
            <v>5.1106634524847303E-2</v>
          </cell>
          <cell r="I2745" t="str">
            <v>MD</v>
          </cell>
          <cell r="J2745" t="str">
            <v>High</v>
          </cell>
          <cell r="K2745">
            <v>119910</v>
          </cell>
        </row>
        <row r="2746">
          <cell r="C2746">
            <v>2589526.7546773599</v>
          </cell>
          <cell r="D2746">
            <v>0.67995473577694998</v>
          </cell>
          <cell r="E2746">
            <v>256147</v>
          </cell>
          <cell r="F2746">
            <v>174168.365705059</v>
          </cell>
          <cell r="G2746">
            <v>6.7258762779903919E-2</v>
          </cell>
          <cell r="I2746" t="str">
            <v>MD</v>
          </cell>
          <cell r="J2746" t="str">
            <v>Med</v>
          </cell>
          <cell r="K2746">
            <v>78620</v>
          </cell>
        </row>
        <row r="2747">
          <cell r="C2747">
            <v>2622283.03250618</v>
          </cell>
          <cell r="D2747">
            <v>0.75241859718289295</v>
          </cell>
          <cell r="E2747">
            <v>248304</v>
          </cell>
          <cell r="F2747">
            <v>186828.54735490101</v>
          </cell>
          <cell r="G2747">
            <v>7.124652260604547E-2</v>
          </cell>
          <cell r="I2747" t="str">
            <v>MD</v>
          </cell>
          <cell r="J2747" t="str">
            <v>Med</v>
          </cell>
          <cell r="K2747">
            <v>82411.666666666672</v>
          </cell>
        </row>
        <row r="2748">
          <cell r="C2748">
            <v>2321205.12029084</v>
          </cell>
          <cell r="D2748">
            <v>0.71669731755308697</v>
          </cell>
          <cell r="E2748">
            <v>261995</v>
          </cell>
          <cell r="F2748">
            <v>187771.11371232101</v>
          </cell>
          <cell r="G2748">
            <v>8.0893804718470491E-2</v>
          </cell>
          <cell r="I2748" t="str">
            <v>MD</v>
          </cell>
          <cell r="J2748" t="str">
            <v>Med</v>
          </cell>
          <cell r="K2748">
            <v>64581.333333333336</v>
          </cell>
        </row>
        <row r="2749">
          <cell r="C2749">
            <v>3599499.5994150499</v>
          </cell>
          <cell r="D2749">
            <v>0.76403046281465803</v>
          </cell>
          <cell r="E2749">
            <v>207602</v>
          </cell>
          <cell r="F2749">
            <v>158614.25214124899</v>
          </cell>
          <cell r="G2749">
            <v>4.4065639614746778E-2</v>
          </cell>
          <cell r="I2749" t="str">
            <v>MD</v>
          </cell>
          <cell r="J2749" t="str">
            <v>High</v>
          </cell>
          <cell r="K2749">
            <v>130716.66666666667</v>
          </cell>
        </row>
        <row r="2750">
          <cell r="C2750">
            <v>2232160.4298460199</v>
          </cell>
          <cell r="D2750">
            <v>0.71471866295392406</v>
          </cell>
          <cell r="E2750">
            <v>254650</v>
          </cell>
          <cell r="F2750">
            <v>182003.107521217</v>
          </cell>
          <cell r="G2750">
            <v>8.1536750265648258E-2</v>
          </cell>
          <cell r="I2750" t="str">
            <v>MD</v>
          </cell>
          <cell r="J2750" t="str">
            <v>Med</v>
          </cell>
          <cell r="K2750">
            <v>51362.666666666664</v>
          </cell>
        </row>
        <row r="2751">
          <cell r="C2751">
            <v>2632222.0832759999</v>
          </cell>
          <cell r="D2751">
            <v>0.74891845059669604</v>
          </cell>
          <cell r="E2751">
            <v>222590</v>
          </cell>
          <cell r="F2751">
            <v>166701.757918319</v>
          </cell>
          <cell r="G2751">
            <v>6.3331190395168338E-2</v>
          </cell>
          <cell r="I2751" t="str">
            <v>MD</v>
          </cell>
          <cell r="J2751" t="str">
            <v>Low</v>
          </cell>
          <cell r="K2751">
            <v>25885.333333333332</v>
          </cell>
        </row>
        <row r="2752">
          <cell r="C2752">
            <v>3937681.4716595099</v>
          </cell>
          <cell r="D2752">
            <v>0.73703180487151598</v>
          </cell>
          <cell r="E2752">
            <v>147343</v>
          </cell>
          <cell r="F2752">
            <v>108596.477225184</v>
          </cell>
          <cell r="G2752">
            <v>2.7578786655746621E-2</v>
          </cell>
          <cell r="I2752" t="str">
            <v>MD</v>
          </cell>
          <cell r="J2752" t="str">
            <v>High</v>
          </cell>
          <cell r="K2752">
            <v>159532</v>
          </cell>
        </row>
        <row r="2753">
          <cell r="C2753">
            <v>2980190.0528372698</v>
          </cell>
          <cell r="D2753">
            <v>0.70555446008651401</v>
          </cell>
          <cell r="E2753">
            <v>255053</v>
          </cell>
          <cell r="F2753">
            <v>179953.78170844601</v>
          </cell>
          <cell r="G2753">
            <v>6.0383324055834034E-2</v>
          </cell>
          <cell r="I2753" t="str">
            <v>MD</v>
          </cell>
          <cell r="J2753" t="str">
            <v>Med</v>
          </cell>
          <cell r="K2753">
            <v>93825.333333333328</v>
          </cell>
        </row>
        <row r="2754">
          <cell r="C2754">
            <v>3304004.8644426302</v>
          </cell>
          <cell r="D2754">
            <v>0.72202854507168901</v>
          </cell>
          <cell r="E2754">
            <v>251289</v>
          </cell>
          <cell r="F2754">
            <v>181437.83106252001</v>
          </cell>
          <cell r="G2754">
            <v>5.4914516929177613E-2</v>
          </cell>
          <cell r="I2754" t="str">
            <v>MD</v>
          </cell>
          <cell r="J2754" t="str">
            <v>High</v>
          </cell>
          <cell r="K2754">
            <v>114162</v>
          </cell>
        </row>
        <row r="2755">
          <cell r="C2755">
            <v>3978352.2751585301</v>
          </cell>
          <cell r="D2755">
            <v>0.72402010525028404</v>
          </cell>
          <cell r="E2755">
            <v>173464</v>
          </cell>
          <cell r="F2755">
            <v>125591.42353713499</v>
          </cell>
          <cell r="G2755">
            <v>3.1568703536222265E-2</v>
          </cell>
          <cell r="I2755" t="str">
            <v>MD</v>
          </cell>
          <cell r="J2755" t="str">
            <v>High</v>
          </cell>
          <cell r="K2755">
            <v>156214.66666666666</v>
          </cell>
        </row>
        <row r="2756">
          <cell r="C2756">
            <v>3249252.9032392399</v>
          </cell>
          <cell r="D2756">
            <v>0.71274417212659702</v>
          </cell>
          <cell r="E2756">
            <v>232508</v>
          </cell>
          <cell r="F2756">
            <v>165718.72197281101</v>
          </cell>
          <cell r="G2756">
            <v>5.1002100146653087E-2</v>
          </cell>
          <cell r="I2756" t="str">
            <v>MD</v>
          </cell>
          <cell r="J2756" t="str">
            <v>High</v>
          </cell>
          <cell r="K2756">
            <v>122386.66666666667</v>
          </cell>
        </row>
        <row r="2757">
          <cell r="C2757">
            <v>3074276.54049653</v>
          </cell>
          <cell r="D2757">
            <v>0.75551652837989702</v>
          </cell>
          <cell r="E2757">
            <v>229286</v>
          </cell>
          <cell r="F2757">
            <v>173229.362726113</v>
          </cell>
          <cell r="G2757">
            <v>5.634800918011576E-2</v>
          </cell>
          <cell r="I2757" t="str">
            <v>MD</v>
          </cell>
          <cell r="J2757" t="str">
            <v>High</v>
          </cell>
          <cell r="K2757">
            <v>117833.33333333333</v>
          </cell>
        </row>
        <row r="2758">
          <cell r="C2758">
            <v>3246816.3000277099</v>
          </cell>
          <cell r="D2758">
            <v>0.69287835701016198</v>
          </cell>
          <cell r="E2758">
            <v>253694</v>
          </cell>
          <cell r="F2758">
            <v>175779.08190333599</v>
          </cell>
          <cell r="G2758">
            <v>5.4138905826558711E-2</v>
          </cell>
          <cell r="I2758" t="str">
            <v>MD</v>
          </cell>
          <cell r="J2758" t="str">
            <v>High</v>
          </cell>
          <cell r="K2758">
            <v>119910</v>
          </cell>
        </row>
        <row r="2759">
          <cell r="C2759">
            <v>2502727.6400284301</v>
          </cell>
          <cell r="D2759">
            <v>0.71163961027053502</v>
          </cell>
          <cell r="E2759">
            <v>260259</v>
          </cell>
          <cell r="F2759">
            <v>185210.613329399</v>
          </cell>
          <cell r="G2759">
            <v>7.400350336455111E-2</v>
          </cell>
          <cell r="I2759" t="str">
            <v>MD</v>
          </cell>
          <cell r="J2759" t="str">
            <v>Med</v>
          </cell>
          <cell r="K2759">
            <v>78620</v>
          </cell>
        </row>
        <row r="2760">
          <cell r="C2760">
            <v>2465660.3684477699</v>
          </cell>
          <cell r="D2760">
            <v>0.75108931952181501</v>
          </cell>
          <cell r="E2760">
            <v>259626</v>
          </cell>
          <cell r="F2760">
            <v>195002.315670171</v>
          </cell>
          <cell r="G2760">
            <v>7.9087257176840065E-2</v>
          </cell>
          <cell r="I2760" t="str">
            <v>MD</v>
          </cell>
          <cell r="J2760" t="str">
            <v>Med</v>
          </cell>
          <cell r="K2760">
            <v>82411.666666666672</v>
          </cell>
        </row>
        <row r="2761">
          <cell r="C2761">
            <v>2252263.1998836598</v>
          </cell>
          <cell r="D2761">
            <v>0.69899277387936698</v>
          </cell>
          <cell r="E2761">
            <v>283718</v>
          </cell>
          <cell r="F2761">
            <v>198316.83181950601</v>
          </cell>
          <cell r="G2761">
            <v>8.8052245328054918E-2</v>
          </cell>
          <cell r="I2761" t="str">
            <v>MD</v>
          </cell>
          <cell r="J2761" t="str">
            <v>Med</v>
          </cell>
          <cell r="K2761">
            <v>64581.333333333336</v>
          </cell>
        </row>
        <row r="2762">
          <cell r="C2762">
            <v>3419888.31461319</v>
          </cell>
          <cell r="D2762">
            <v>0.76336737753959005</v>
          </cell>
          <cell r="E2762">
            <v>216924</v>
          </cell>
          <cell r="F2762">
            <v>165592.70500539799</v>
          </cell>
          <cell r="G2762">
            <v>4.8420500838527392E-2</v>
          </cell>
          <cell r="I2762" t="str">
            <v>MD</v>
          </cell>
          <cell r="J2762" t="str">
            <v>High</v>
          </cell>
          <cell r="K2762">
            <v>130716.66666666667</v>
          </cell>
        </row>
        <row r="2763">
          <cell r="C2763">
            <v>2132799.7844743999</v>
          </cell>
          <cell r="D2763">
            <v>0.73898997300963698</v>
          </cell>
          <cell r="E2763">
            <v>256784</v>
          </cell>
          <cell r="F2763">
            <v>189760.80122930699</v>
          </cell>
          <cell r="G2763">
            <v>8.8972627721861389E-2</v>
          </cell>
          <cell r="I2763" t="str">
            <v>MD</v>
          </cell>
          <cell r="J2763" t="str">
            <v>Med</v>
          </cell>
          <cell r="K2763">
            <v>51362.666666666664</v>
          </cell>
        </row>
        <row r="2764">
          <cell r="C2764">
            <v>2514179.5534169902</v>
          </cell>
          <cell r="D2764">
            <v>0.74572561810907401</v>
          </cell>
          <cell r="E2764">
            <v>234513</v>
          </cell>
          <cell r="F2764">
            <v>174882.35187961301</v>
          </cell>
          <cell r="G2764">
            <v>6.9558417831348834E-2</v>
          </cell>
          <cell r="I2764" t="str">
            <v>MD</v>
          </cell>
          <cell r="J2764" t="str">
            <v>Low</v>
          </cell>
          <cell r="K2764">
            <v>25885.333333333332</v>
          </cell>
        </row>
        <row r="2765">
          <cell r="C2765">
            <v>3783892.2018940798</v>
          </cell>
          <cell r="D2765">
            <v>0.73945485063812</v>
          </cell>
          <cell r="E2765">
            <v>153657</v>
          </cell>
          <cell r="F2765">
            <v>113622.413984502</v>
          </cell>
          <cell r="G2765">
            <v>3.0027920438015311E-2</v>
          </cell>
          <cell r="I2765" t="str">
            <v>MD</v>
          </cell>
          <cell r="J2765" t="str">
            <v>High</v>
          </cell>
          <cell r="K2765">
            <v>159532</v>
          </cell>
        </row>
        <row r="2766">
          <cell r="C2766">
            <v>2859267.26420731</v>
          </cell>
          <cell r="D2766">
            <v>0.70825348850067105</v>
          </cell>
          <cell r="E2766">
            <v>263886</v>
          </cell>
          <cell r="F2766">
            <v>186898.18006648801</v>
          </cell>
          <cell r="G2766">
            <v>6.5365760803862027E-2</v>
          </cell>
          <cell r="I2766" t="str">
            <v>MD</v>
          </cell>
          <cell r="J2766" t="str">
            <v>Med</v>
          </cell>
          <cell r="K2766">
            <v>93825.333333333328</v>
          </cell>
        </row>
        <row r="2767">
          <cell r="C2767">
            <v>3162180.0975385299</v>
          </cell>
          <cell r="D2767">
            <v>0.73318597155427701</v>
          </cell>
          <cell r="E2767">
            <v>256056</v>
          </cell>
          <cell r="F2767">
            <v>187736.66713230201</v>
          </cell>
          <cell r="G2767">
            <v>5.9369378511501592E-2</v>
          </cell>
          <cell r="I2767" t="str">
            <v>MD</v>
          </cell>
          <cell r="J2767" t="str">
            <v>High</v>
          </cell>
          <cell r="K2767">
            <v>114162</v>
          </cell>
        </row>
        <row r="2768">
          <cell r="C2768">
            <v>3820845.3950230498</v>
          </cell>
          <cell r="D2768">
            <v>0.73240325869245404</v>
          </cell>
          <cell r="E2768">
            <v>178186</v>
          </cell>
          <cell r="F2768">
            <v>130504.00705337401</v>
          </cell>
          <cell r="G2768">
            <v>3.4155793695124566E-2</v>
          </cell>
          <cell r="I2768" t="str">
            <v>MD</v>
          </cell>
          <cell r="J2768" t="str">
            <v>High</v>
          </cell>
          <cell r="K2768">
            <v>156214.66666666666</v>
          </cell>
        </row>
        <row r="2769">
          <cell r="C2769">
            <v>3121507.1489139898</v>
          </cell>
          <cell r="D2769">
            <v>0.712122783462808</v>
          </cell>
          <cell r="E2769">
            <v>205531</v>
          </cell>
          <cell r="F2769">
            <v>146363.30780789399</v>
          </cell>
          <cell r="G2769">
            <v>4.6888666540076819E-2</v>
          </cell>
          <cell r="I2769" t="str">
            <v>MD</v>
          </cell>
          <cell r="J2769" t="str">
            <v>High</v>
          </cell>
          <cell r="K2769">
            <v>122386.66666666667</v>
          </cell>
        </row>
        <row r="2770">
          <cell r="C2770">
            <v>2928520.8989106999</v>
          </cell>
          <cell r="D2770">
            <v>0.73166413895801397</v>
          </cell>
          <cell r="E2770">
            <v>205676</v>
          </cell>
          <cell r="F2770">
            <v>150485.75344432899</v>
          </cell>
          <cell r="G2770">
            <v>5.1386265845090623E-2</v>
          </cell>
          <cell r="I2770" t="str">
            <v>MD</v>
          </cell>
          <cell r="J2770" t="str">
            <v>High</v>
          </cell>
          <cell r="K2770">
            <v>117833.33333333333</v>
          </cell>
        </row>
        <row r="2771">
          <cell r="C2771">
            <v>3114046.6519063301</v>
          </cell>
          <cell r="D2771">
            <v>0.69968515807601095</v>
          </cell>
          <cell r="E2771">
            <v>228139</v>
          </cell>
          <cell r="F2771">
            <v>159625.472278303</v>
          </cell>
          <cell r="G2771">
            <v>5.1259820459203735E-2</v>
          </cell>
          <cell r="I2771" t="str">
            <v>MD</v>
          </cell>
          <cell r="J2771" t="str">
            <v>High</v>
          </cell>
          <cell r="K2771">
            <v>119910</v>
          </cell>
        </row>
        <row r="2772">
          <cell r="C2772">
            <v>2415109.6488150302</v>
          </cell>
          <cell r="D2772">
            <v>0.71280964422357995</v>
          </cell>
          <cell r="E2772">
            <v>230539</v>
          </cell>
          <cell r="F2772">
            <v>164330.42256966</v>
          </cell>
          <cell r="G2772">
            <v>6.8042634275544578E-2</v>
          </cell>
          <cell r="I2772" t="str">
            <v>MD</v>
          </cell>
          <cell r="J2772" t="str">
            <v>Med</v>
          </cell>
          <cell r="K2772">
            <v>78620</v>
          </cell>
        </row>
        <row r="2773">
          <cell r="C2773">
            <v>2372564.55216461</v>
          </cell>
          <cell r="D2773">
            <v>0.74917783050285203</v>
          </cell>
          <cell r="E2773">
            <v>226269</v>
          </cell>
          <cell r="F2773">
            <v>169515.71853005001</v>
          </cell>
          <cell r="G2773">
            <v>7.1448306169538067E-2</v>
          </cell>
          <cell r="I2773" t="str">
            <v>MD</v>
          </cell>
          <cell r="J2773" t="str">
            <v>Med</v>
          </cell>
          <cell r="K2773">
            <v>82411.666666666672</v>
          </cell>
        </row>
        <row r="2774">
          <cell r="C2774">
            <v>2080539.7184389599</v>
          </cell>
          <cell r="D2774">
            <v>0.69846229988137298</v>
          </cell>
          <cell r="E2774">
            <v>245914</v>
          </cell>
          <cell r="F2774">
            <v>171761.65801302801</v>
          </cell>
          <cell r="G2774">
            <v>8.2556298488692975E-2</v>
          </cell>
          <cell r="I2774" t="str">
            <v>MD</v>
          </cell>
          <cell r="J2774" t="str">
            <v>Med</v>
          </cell>
          <cell r="K2774">
            <v>64581.333333333336</v>
          </cell>
        </row>
        <row r="2775">
          <cell r="C2775">
            <v>3245349.0116832699</v>
          </cell>
          <cell r="D2775">
            <v>0.78767839136717599</v>
          </cell>
          <cell r="E2775">
            <v>188724</v>
          </cell>
          <cell r="F2775">
            <v>148653.816732379</v>
          </cell>
          <cell r="G2775">
            <v>4.5805186498347215E-2</v>
          </cell>
          <cell r="I2775" t="str">
            <v>MD</v>
          </cell>
          <cell r="J2775" t="str">
            <v>High</v>
          </cell>
          <cell r="K2775">
            <v>130716.66666666667</v>
          </cell>
        </row>
        <row r="2776">
          <cell r="C2776">
            <v>2050399.6926048801</v>
          </cell>
          <cell r="D2776">
            <v>0.762872585831466</v>
          </cell>
          <cell r="E2776">
            <v>212054</v>
          </cell>
          <cell r="F2776">
            <v>161770.183315906</v>
          </cell>
          <cell r="G2776">
            <v>7.8896901857407636E-2</v>
          </cell>
          <cell r="I2776" t="str">
            <v>MD</v>
          </cell>
          <cell r="J2776" t="str">
            <v>Med</v>
          </cell>
          <cell r="K2776">
            <v>51362.666666666664</v>
          </cell>
        </row>
        <row r="2777">
          <cell r="C2777">
            <v>2376570.87457979</v>
          </cell>
          <cell r="D2777">
            <v>0.737868368786739</v>
          </cell>
          <cell r="E2777">
            <v>207000</v>
          </cell>
          <cell r="F2777">
            <v>152738.752338855</v>
          </cell>
          <cell r="G2777">
            <v>6.4268545059007046E-2</v>
          </cell>
          <cell r="I2777" t="str">
            <v>MD</v>
          </cell>
          <cell r="J2777" t="str">
            <v>Low</v>
          </cell>
          <cell r="K2777">
            <v>25885.333333333332</v>
          </cell>
        </row>
        <row r="2778">
          <cell r="C2778">
            <v>3467343.5856752801</v>
          </cell>
          <cell r="D2778">
            <v>0.74046220053733902</v>
          </cell>
          <cell r="E2778">
            <v>130023</v>
          </cell>
          <cell r="F2778">
            <v>96277.116700466504</v>
          </cell>
          <cell r="G2778">
            <v>2.7766823310565032E-2</v>
          </cell>
          <cell r="I2778" t="str">
            <v>MD</v>
          </cell>
          <cell r="J2778" t="str">
            <v>High</v>
          </cell>
          <cell r="K2778">
            <v>159532</v>
          </cell>
        </row>
        <row r="2779">
          <cell r="C2779">
            <v>2645519.1544294399</v>
          </cell>
          <cell r="D2779">
            <v>0.71552910737805397</v>
          </cell>
          <cell r="E2779">
            <v>223288</v>
          </cell>
          <cell r="F2779">
            <v>159769.06332823099</v>
          </cell>
          <cell r="G2779">
            <v>6.0392329067331378E-2</v>
          </cell>
          <cell r="I2779" t="str">
            <v>MD</v>
          </cell>
          <cell r="J2779" t="str">
            <v>Med</v>
          </cell>
          <cell r="K2779">
            <v>93825.333333333328</v>
          </cell>
        </row>
        <row r="2780">
          <cell r="C2780">
            <v>3004963.5361966798</v>
          </cell>
          <cell r="D2780">
            <v>0.74639061869990397</v>
          </cell>
          <cell r="E2780">
            <v>224845</v>
          </cell>
          <cell r="F2780">
            <v>167822.19866158001</v>
          </cell>
          <cell r="G2780">
            <v>5.5848331149465164E-2</v>
          </cell>
          <cell r="I2780" t="str">
            <v>MD</v>
          </cell>
          <cell r="J2780" t="str">
            <v>High</v>
          </cell>
          <cell r="K2780">
            <v>114162</v>
          </cell>
        </row>
        <row r="2781">
          <cell r="C2781">
            <v>3615869.7895916798</v>
          </cell>
          <cell r="D2781">
            <v>0.71016846541755296</v>
          </cell>
          <cell r="E2781">
            <v>156452</v>
          </cell>
          <cell r="F2781">
            <v>111107.276751507</v>
          </cell>
          <cell r="G2781">
            <v>3.0727676386835195E-2</v>
          </cell>
          <cell r="I2781" t="str">
            <v>MD</v>
          </cell>
          <cell r="J2781" t="str">
            <v>High</v>
          </cell>
          <cell r="K2781">
            <v>156214.66666666666</v>
          </cell>
        </row>
        <row r="2782">
          <cell r="C2782">
            <v>3039429.1805269099</v>
          </cell>
          <cell r="D2782">
            <v>0.71979356084888202</v>
          </cell>
          <cell r="E2782">
            <v>195867</v>
          </cell>
          <cell r="F2782">
            <v>140983.80538278801</v>
          </cell>
          <cell r="G2782">
            <v>4.6384961454620011E-2</v>
          </cell>
          <cell r="I2782" t="str">
            <v>MD</v>
          </cell>
          <cell r="J2782" t="str">
            <v>High</v>
          </cell>
          <cell r="K2782">
            <v>122386.66666666667</v>
          </cell>
        </row>
        <row r="2783">
          <cell r="C2783">
            <v>2928717.1194561301</v>
          </cell>
          <cell r="D2783">
            <v>0.722373463091742</v>
          </cell>
          <cell r="E2783">
            <v>197813</v>
          </cell>
          <cell r="F2783">
            <v>142894.86185456699</v>
          </cell>
          <cell r="G2783">
            <v>4.8790940205622489E-2</v>
          </cell>
          <cell r="I2783" t="str">
            <v>MD</v>
          </cell>
          <cell r="J2783" t="str">
            <v>High</v>
          </cell>
          <cell r="K2783">
            <v>117833.33333333333</v>
          </cell>
        </row>
        <row r="2784">
          <cell r="C2784">
            <v>3117967.2883800198</v>
          </cell>
          <cell r="D2784">
            <v>0.68748480331334905</v>
          </cell>
          <cell r="E2784">
            <v>221979</v>
          </cell>
          <cell r="F2784">
            <v>152607.189154694</v>
          </cell>
          <cell r="G2784">
            <v>4.894444843068993E-2</v>
          </cell>
          <cell r="I2784" t="str">
            <v>MD</v>
          </cell>
          <cell r="J2784" t="str">
            <v>High</v>
          </cell>
          <cell r="K2784">
            <v>119910</v>
          </cell>
        </row>
        <row r="2785">
          <cell r="C2785">
            <v>2387765.4197668699</v>
          </cell>
          <cell r="D2785">
            <v>0.69171493195759104</v>
          </cell>
          <cell r="E2785">
            <v>226947</v>
          </cell>
          <cell r="F2785">
            <v>156982.628662979</v>
          </cell>
          <cell r="G2785">
            <v>6.5744577487978711E-2</v>
          </cell>
          <cell r="I2785" t="str">
            <v>MD</v>
          </cell>
          <cell r="J2785" t="str">
            <v>Med</v>
          </cell>
          <cell r="K2785">
            <v>78620</v>
          </cell>
        </row>
        <row r="2786">
          <cell r="C2786">
            <v>2370044.5344318398</v>
          </cell>
          <cell r="D2786">
            <v>0.71764694457249301</v>
          </cell>
          <cell r="E2786">
            <v>226981</v>
          </cell>
          <cell r="F2786">
            <v>162892.22112600901</v>
          </cell>
          <cell r="G2786">
            <v>6.8729603498804484E-2</v>
          </cell>
          <cell r="I2786" t="str">
            <v>MD</v>
          </cell>
          <cell r="J2786" t="str">
            <v>Med</v>
          </cell>
          <cell r="K2786">
            <v>82411.666666666672</v>
          </cell>
        </row>
        <row r="2787">
          <cell r="C2787">
            <v>2126819.7498679501</v>
          </cell>
          <cell r="D2787">
            <v>0.69521253397657601</v>
          </cell>
          <cell r="E2787">
            <v>239664</v>
          </cell>
          <cell r="F2787">
            <v>166617.416742962</v>
          </cell>
          <cell r="G2787">
            <v>7.8341108480540933E-2</v>
          </cell>
          <cell r="I2787" t="str">
            <v>MD</v>
          </cell>
          <cell r="J2787" t="str">
            <v>Med</v>
          </cell>
          <cell r="K2787">
            <v>64581.333333333336</v>
          </cell>
        </row>
        <row r="2788">
          <cell r="C2788">
            <v>3235889.9679044699</v>
          </cell>
          <cell r="D2788">
            <v>0.76880179157127904</v>
          </cell>
          <cell r="E2788">
            <v>178935</v>
          </cell>
          <cell r="F2788">
            <v>137565.54857480701</v>
          </cell>
          <cell r="G2788">
            <v>4.2512430873504974E-2</v>
          </cell>
          <cell r="I2788" t="str">
            <v>MD</v>
          </cell>
          <cell r="J2788" t="str">
            <v>High</v>
          </cell>
          <cell r="K2788">
            <v>130716.66666666667</v>
          </cell>
        </row>
        <row r="2789">
          <cell r="C2789">
            <v>2008701.4388042199</v>
          </cell>
          <cell r="D2789">
            <v>0.75378200790178795</v>
          </cell>
          <cell r="E2789">
            <v>200166</v>
          </cell>
          <cell r="F2789">
            <v>150881.52939366901</v>
          </cell>
          <cell r="G2789">
            <v>7.5113964912321057E-2</v>
          </cell>
          <cell r="I2789" t="str">
            <v>MD</v>
          </cell>
          <cell r="J2789" t="str">
            <v>Med</v>
          </cell>
          <cell r="K2789">
            <v>51362.666666666664</v>
          </cell>
        </row>
        <row r="2790">
          <cell r="C2790">
            <v>2401694.75747249</v>
          </cell>
          <cell r="D2790">
            <v>0.74820327652205398</v>
          </cell>
          <cell r="E2790">
            <v>199374</v>
          </cell>
          <cell r="F2790">
            <v>149172.280053308</v>
          </cell>
          <cell r="G2790">
            <v>6.2111256890236471E-2</v>
          </cell>
          <cell r="I2790" t="str">
            <v>MD</v>
          </cell>
          <cell r="J2790" t="str">
            <v>Low</v>
          </cell>
          <cell r="K2790">
            <v>25885.333333333332</v>
          </cell>
        </row>
        <row r="2791">
          <cell r="C2791">
            <v>3509656.6053536101</v>
          </cell>
          <cell r="D2791">
            <v>0.72702499357351302</v>
          </cell>
          <cell r="E2791">
            <v>128060</v>
          </cell>
          <cell r="F2791">
            <v>93102.820677024094</v>
          </cell>
          <cell r="G2791">
            <v>2.6527615418273566E-2</v>
          </cell>
          <cell r="I2791" t="str">
            <v>MD</v>
          </cell>
          <cell r="J2791" t="str">
            <v>High</v>
          </cell>
          <cell r="K2791">
            <v>159532</v>
          </cell>
        </row>
        <row r="2792">
          <cell r="C2792">
            <v>2676353.14455174</v>
          </cell>
          <cell r="D2792">
            <v>0.67122928512504199</v>
          </cell>
          <cell r="E2792">
            <v>227873</v>
          </cell>
          <cell r="F2792">
            <v>152955.030889299</v>
          </cell>
          <cell r="G2792">
            <v>5.7150541288121866E-2</v>
          </cell>
          <cell r="I2792" t="str">
            <v>MD</v>
          </cell>
          <cell r="J2792" t="str">
            <v>Med</v>
          </cell>
          <cell r="K2792">
            <v>93825.333333333328</v>
          </cell>
        </row>
        <row r="2793">
          <cell r="C2793">
            <v>2963782.9058255102</v>
          </cell>
          <cell r="D2793">
            <v>0.71881029805087904</v>
          </cell>
          <cell r="E2793">
            <v>213893</v>
          </cell>
          <cell r="F2793">
            <v>153748.49108099699</v>
          </cell>
          <cell r="G2793">
            <v>5.187576012358875E-2</v>
          </cell>
          <cell r="I2793" t="str">
            <v>MD</v>
          </cell>
          <cell r="J2793" t="str">
            <v>High</v>
          </cell>
          <cell r="K2793">
            <v>114162</v>
          </cell>
        </row>
        <row r="2794">
          <cell r="C2794">
            <v>3653404.10758329</v>
          </cell>
          <cell r="D2794">
            <v>0.74104538722189495</v>
          </cell>
          <cell r="E2794">
            <v>150274</v>
          </cell>
          <cell r="F2794">
            <v>111359.85451938301</v>
          </cell>
          <cell r="G2794">
            <v>3.048112150753754E-2</v>
          </cell>
          <cell r="I2794" t="str">
            <v>MD</v>
          </cell>
          <cell r="J2794" t="str">
            <v>High</v>
          </cell>
          <cell r="K2794">
            <v>156214.66666666666</v>
          </cell>
        </row>
        <row r="2795">
          <cell r="C2795">
            <v>3707152.2041738098</v>
          </cell>
          <cell r="D2795">
            <v>0.71924140754668398</v>
          </cell>
          <cell r="E2795">
            <v>181180</v>
          </cell>
          <cell r="F2795">
            <v>130312.158219308</v>
          </cell>
          <cell r="G2795">
            <v>3.5151553279250874E-2</v>
          </cell>
          <cell r="I2795" t="str">
            <v>MD</v>
          </cell>
          <cell r="J2795" t="str">
            <v>High</v>
          </cell>
          <cell r="K2795">
            <v>122386.66666666667</v>
          </cell>
        </row>
        <row r="2796">
          <cell r="C2796">
            <v>3601258.5235545998</v>
          </cell>
          <cell r="D2796">
            <v>0.75449784672849696</v>
          </cell>
          <cell r="E2796">
            <v>183842</v>
          </cell>
          <cell r="F2796">
            <v>138708.39313826</v>
          </cell>
          <cell r="G2796">
            <v>3.8516644176200029E-2</v>
          </cell>
          <cell r="I2796" t="str">
            <v>MD</v>
          </cell>
          <cell r="J2796" t="str">
            <v>High</v>
          </cell>
          <cell r="K2796">
            <v>117833.33333333333</v>
          </cell>
        </row>
        <row r="2797">
          <cell r="C2797">
            <v>3805778.75775686</v>
          </cell>
          <cell r="D2797">
            <v>0.69990107728957995</v>
          </cell>
          <cell r="E2797">
            <v>209476</v>
          </cell>
          <cell r="F2797">
            <v>146612.478066312</v>
          </cell>
          <cell r="G2797">
            <v>3.8523647168792842E-2</v>
          </cell>
          <cell r="I2797" t="str">
            <v>MD</v>
          </cell>
          <cell r="J2797" t="str">
            <v>High</v>
          </cell>
          <cell r="K2797">
            <v>119910</v>
          </cell>
        </row>
        <row r="2798">
          <cell r="C2798">
            <v>2948038.8189996402</v>
          </cell>
          <cell r="D2798">
            <v>0.70544614725230004</v>
          </cell>
          <cell r="E2798">
            <v>212925</v>
          </cell>
          <cell r="F2798">
            <v>150207.12090369599</v>
          </cell>
          <cell r="G2798">
            <v>5.0951541050150033E-2</v>
          </cell>
          <cell r="I2798" t="str">
            <v>MD</v>
          </cell>
          <cell r="J2798" t="str">
            <v>Med</v>
          </cell>
          <cell r="K2798">
            <v>78620</v>
          </cell>
        </row>
        <row r="2799">
          <cell r="C2799">
            <v>2878751.5075670001</v>
          </cell>
          <cell r="D2799">
            <v>0.76207810622400396</v>
          </cell>
          <cell r="E2799">
            <v>203611</v>
          </cell>
          <cell r="F2799">
            <v>155167.485286376</v>
          </cell>
          <cell r="G2799">
            <v>5.3900965358943759E-2</v>
          </cell>
          <cell r="I2799" t="str">
            <v>MD</v>
          </cell>
          <cell r="J2799" t="str">
            <v>Med</v>
          </cell>
          <cell r="K2799">
            <v>82411.666666666672</v>
          </cell>
        </row>
        <row r="2800">
          <cell r="C2800">
            <v>2552362.0723363999</v>
          </cell>
          <cell r="D2800">
            <v>0.71791956592228801</v>
          </cell>
          <cell r="E2800">
            <v>216849</v>
          </cell>
          <cell r="F2800">
            <v>155680.139950682</v>
          </cell>
          <cell r="G2800">
            <v>6.0994535860726992E-2</v>
          </cell>
          <cell r="I2800" t="str">
            <v>MD</v>
          </cell>
          <cell r="J2800" t="str">
            <v>Med</v>
          </cell>
          <cell r="K2800">
            <v>64581.333333333336</v>
          </cell>
        </row>
        <row r="2801">
          <cell r="C2801">
            <v>3993264.8487555301</v>
          </cell>
          <cell r="D2801">
            <v>0.77081980382773896</v>
          </cell>
          <cell r="E2801">
            <v>173788</v>
          </cell>
          <cell r="F2801">
            <v>133959.232067615</v>
          </cell>
          <cell r="G2801">
            <v>3.3546292855922727E-2</v>
          </cell>
          <cell r="I2801" t="str">
            <v>MD</v>
          </cell>
          <cell r="J2801" t="str">
            <v>High</v>
          </cell>
          <cell r="K2801">
            <v>130716.66666666667</v>
          </cell>
        </row>
        <row r="2802">
          <cell r="C2802">
            <v>2444159.7444901201</v>
          </cell>
          <cell r="D2802">
            <v>0.73169624322895599</v>
          </cell>
          <cell r="E2802">
            <v>203431</v>
          </cell>
          <cell r="F2802">
            <v>148849.69845631</v>
          </cell>
          <cell r="G2802">
            <v>6.0900151388166228E-2</v>
          </cell>
          <cell r="I2802" t="str">
            <v>MD</v>
          </cell>
          <cell r="J2802" t="str">
            <v>Med</v>
          </cell>
          <cell r="K2802">
            <v>51362.666666666664</v>
          </cell>
        </row>
        <row r="2803">
          <cell r="C2803">
            <v>2914150.9883342199</v>
          </cell>
          <cell r="D2803">
            <v>0.75811178972751903</v>
          </cell>
          <cell r="E2803">
            <v>183571</v>
          </cell>
          <cell r="F2803">
            <v>139167.33935207</v>
          </cell>
          <cell r="G2803">
            <v>4.7755706519386806E-2</v>
          </cell>
          <cell r="I2803" t="str">
            <v>MD</v>
          </cell>
          <cell r="J2803" t="str">
            <v>Low</v>
          </cell>
          <cell r="K2803">
            <v>25885.333333333332</v>
          </cell>
        </row>
        <row r="2804">
          <cell r="C2804">
            <v>4302782.8499058699</v>
          </cell>
          <cell r="D2804">
            <v>0.75472105000635503</v>
          </cell>
          <cell r="E2804">
            <v>121310</v>
          </cell>
          <cell r="F2804">
            <v>91555.210576270896</v>
          </cell>
          <cell r="G2804">
            <v>2.1278138769720581E-2</v>
          </cell>
          <cell r="I2804" t="str">
            <v>MD</v>
          </cell>
          <cell r="J2804" t="str">
            <v>High</v>
          </cell>
          <cell r="K2804">
            <v>159532</v>
          </cell>
        </row>
        <row r="2805">
          <cell r="C2805">
            <v>3341776.73639201</v>
          </cell>
          <cell r="D2805">
            <v>0.72956402152857402</v>
          </cell>
          <cell r="E2805">
            <v>210084</v>
          </cell>
          <cell r="F2805">
            <v>153269.72789880901</v>
          </cell>
          <cell r="G2805">
            <v>4.5864742018728796E-2</v>
          </cell>
          <cell r="I2805" t="str">
            <v>MD</v>
          </cell>
          <cell r="J2805" t="str">
            <v>Med</v>
          </cell>
          <cell r="K2805">
            <v>93825.333333333328</v>
          </cell>
        </row>
        <row r="2806">
          <cell r="C2806">
            <v>3668130.97967656</v>
          </cell>
          <cell r="D2806">
            <v>0.71640326763441398</v>
          </cell>
          <cell r="E2806">
            <v>210022</v>
          </cell>
          <cell r="F2806">
            <v>150460.44707511499</v>
          </cell>
          <cell r="G2806">
            <v>4.1018286399462742E-2</v>
          </cell>
          <cell r="I2806" t="str">
            <v>MD</v>
          </cell>
          <cell r="J2806" t="str">
            <v>High</v>
          </cell>
          <cell r="K2806">
            <v>114162</v>
          </cell>
        </row>
        <row r="2807">
          <cell r="C2807">
            <v>4430321.5116816498</v>
          </cell>
          <cell r="D2807">
            <v>0.73660673577472902</v>
          </cell>
          <cell r="E2807">
            <v>145623</v>
          </cell>
          <cell r="F2807">
            <v>107266.882683723</v>
          </cell>
          <cell r="G2807">
            <v>2.4211986060354098E-2</v>
          </cell>
          <cell r="I2807" t="str">
            <v>MD</v>
          </cell>
          <cell r="J2807" t="str">
            <v>High</v>
          </cell>
          <cell r="K2807">
            <v>156214.66666666666</v>
          </cell>
        </row>
        <row r="2808">
          <cell r="C2808">
            <v>4293382.8980706101</v>
          </cell>
          <cell r="D2808">
            <v>0.68549139406536297</v>
          </cell>
          <cell r="E2808">
            <v>177767</v>
          </cell>
          <cell r="F2808">
            <v>121857.748648817</v>
          </cell>
          <cell r="G2808">
            <v>2.8382688323368099E-2</v>
          </cell>
          <cell r="I2808" t="str">
            <v>MD</v>
          </cell>
          <cell r="J2808" t="str">
            <v>High</v>
          </cell>
          <cell r="K2808">
            <v>122386.66666666667</v>
          </cell>
        </row>
        <row r="2809">
          <cell r="C2809">
            <v>4122265.4068453298</v>
          </cell>
          <cell r="D2809">
            <v>0.76225879936711205</v>
          </cell>
          <cell r="E2809">
            <v>178103</v>
          </cell>
          <cell r="F2809">
            <v>135760.578943681</v>
          </cell>
          <cell r="G2809">
            <v>3.2933488153926334E-2</v>
          </cell>
          <cell r="I2809" t="str">
            <v>MD</v>
          </cell>
          <cell r="J2809" t="str">
            <v>High</v>
          </cell>
          <cell r="K2809">
            <v>117833.33333333333</v>
          </cell>
        </row>
        <row r="2810">
          <cell r="C2810">
            <v>4339135.3682326097</v>
          </cell>
          <cell r="D2810">
            <v>0.71007948205730997</v>
          </cell>
          <cell r="E2810">
            <v>195472</v>
          </cell>
          <cell r="F2810">
            <v>138800.65651670599</v>
          </cell>
          <cell r="G2810">
            <v>3.1988090883931432E-2</v>
          </cell>
          <cell r="I2810" t="str">
            <v>MD</v>
          </cell>
          <cell r="J2810" t="str">
            <v>High</v>
          </cell>
          <cell r="K2810">
            <v>119910</v>
          </cell>
        </row>
        <row r="2811">
          <cell r="C2811">
            <v>3354926.89028482</v>
          </cell>
          <cell r="D2811">
            <v>0.74065684122873698</v>
          </cell>
          <cell r="E2811">
            <v>193951</v>
          </cell>
          <cell r="F2811">
            <v>143651.135013155</v>
          </cell>
          <cell r="G2811">
            <v>4.2817962868025299E-2</v>
          </cell>
          <cell r="I2811" t="str">
            <v>MD</v>
          </cell>
          <cell r="J2811" t="str">
            <v>Med</v>
          </cell>
          <cell r="K2811">
            <v>78620</v>
          </cell>
        </row>
        <row r="2812">
          <cell r="C2812">
            <v>3319283.2530602799</v>
          </cell>
          <cell r="D2812">
            <v>0.75725025750192798</v>
          </cell>
          <cell r="E2812">
            <v>198633</v>
          </cell>
          <cell r="F2812">
            <v>150414.89039838</v>
          </cell>
          <cell r="G2812">
            <v>4.5315472929193967E-2</v>
          </cell>
          <cell r="I2812" t="str">
            <v>MD</v>
          </cell>
          <cell r="J2812" t="str">
            <v>Med</v>
          </cell>
          <cell r="K2812">
            <v>82411.666666666672</v>
          </cell>
        </row>
        <row r="2813">
          <cell r="C2813">
            <v>2995606.2947122701</v>
          </cell>
          <cell r="D2813">
            <v>0.71568088323227197</v>
          </cell>
          <cell r="E2813">
            <v>205264</v>
          </cell>
          <cell r="F2813">
            <v>146903.520815789</v>
          </cell>
          <cell r="G2813">
            <v>4.9039662212987563E-2</v>
          </cell>
          <cell r="I2813" t="str">
            <v>MD</v>
          </cell>
          <cell r="J2813" t="str">
            <v>Med</v>
          </cell>
          <cell r="K2813">
            <v>64581.333333333336</v>
          </cell>
        </row>
        <row r="2814">
          <cell r="C2814">
            <v>4576214.8213765696</v>
          </cell>
          <cell r="D2814">
            <v>0.80127788722068005</v>
          </cell>
          <cell r="E2814">
            <v>164746</v>
          </cell>
          <cell r="F2814">
            <v>132007.32680805799</v>
          </cell>
          <cell r="G2814">
            <v>2.8846400783333181E-2</v>
          </cell>
          <cell r="I2814" t="str">
            <v>MD</v>
          </cell>
          <cell r="J2814" t="str">
            <v>High</v>
          </cell>
          <cell r="K2814">
            <v>130716.66666666667</v>
          </cell>
        </row>
        <row r="2815">
          <cell r="C2815">
            <v>2848710.6439578901</v>
          </cell>
          <cell r="D2815">
            <v>0.75219825336744905</v>
          </cell>
          <cell r="E2815">
            <v>188403</v>
          </cell>
          <cell r="F2815">
            <v>141716.407529188</v>
          </cell>
          <cell r="G2815">
            <v>4.9747561350173712E-2</v>
          </cell>
          <cell r="I2815" t="str">
            <v>MD</v>
          </cell>
          <cell r="J2815" t="str">
            <v>Med</v>
          </cell>
          <cell r="K2815">
            <v>51362.666666666664</v>
          </cell>
        </row>
        <row r="2816">
          <cell r="C2816">
            <v>3318255.5509433602</v>
          </cell>
          <cell r="D2816">
            <v>0.767078681898541</v>
          </cell>
          <cell r="E2816">
            <v>172378</v>
          </cell>
          <cell r="F2816">
            <v>132227.489028307</v>
          </cell>
          <cell r="G2816">
            <v>3.984849478838829E-2</v>
          </cell>
          <cell r="I2816" t="str">
            <v>MD</v>
          </cell>
          <cell r="J2816" t="str">
            <v>Low</v>
          </cell>
          <cell r="K2816">
            <v>25885.333333333332</v>
          </cell>
        </row>
        <row r="2817">
          <cell r="C2817">
            <v>4929469.9125227202</v>
          </cell>
          <cell r="D2817">
            <v>0.76603733859904299</v>
          </cell>
          <cell r="E2817">
            <v>112816</v>
          </cell>
          <cell r="F2817">
            <v>86421.268391389705</v>
          </cell>
          <cell r="G2817">
            <v>1.7531554086951003E-2</v>
          </cell>
          <cell r="I2817" t="str">
            <v>MD</v>
          </cell>
          <cell r="J2817" t="str">
            <v>High</v>
          </cell>
          <cell r="K2817">
            <v>159532</v>
          </cell>
        </row>
        <row r="2818">
          <cell r="C2818">
            <v>3766676.9942397</v>
          </cell>
          <cell r="D2818">
            <v>0.71794355874818405</v>
          </cell>
          <cell r="E2818">
            <v>200453</v>
          </cell>
          <cell r="F2818">
            <v>143913.94018174999</v>
          </cell>
          <cell r="G2818">
            <v>3.8207135998609532E-2</v>
          </cell>
          <cell r="I2818" t="str">
            <v>MD</v>
          </cell>
          <cell r="J2818" t="str">
            <v>Med</v>
          </cell>
          <cell r="K2818">
            <v>93825.333333333328</v>
          </cell>
        </row>
        <row r="2819">
          <cell r="C2819">
            <v>4132925.1709505101</v>
          </cell>
          <cell r="D2819">
            <v>0.72311417865857797</v>
          </cell>
          <cell r="E2819">
            <v>198054</v>
          </cell>
          <cell r="F2819">
            <v>143215.65554004599</v>
          </cell>
          <cell r="G2819">
            <v>3.4652370806681834E-2</v>
          </cell>
          <cell r="I2819" t="str">
            <v>MD</v>
          </cell>
          <cell r="J2819" t="str">
            <v>High</v>
          </cell>
          <cell r="K2819">
            <v>114162</v>
          </cell>
        </row>
        <row r="2820">
          <cell r="C2820">
            <v>5096847.1152908998</v>
          </cell>
          <cell r="D2820">
            <v>0.74917725502476795</v>
          </cell>
          <cell r="E2820">
            <v>135375</v>
          </cell>
          <cell r="F2820">
            <v>101419.870898978</v>
          </cell>
          <cell r="G2820">
            <v>1.98985507324148E-2</v>
          </cell>
          <cell r="I2820" t="str">
            <v>MD</v>
          </cell>
          <cell r="J2820" t="str">
            <v>High</v>
          </cell>
          <cell r="K2820">
            <v>156214.66666666666</v>
          </cell>
        </row>
        <row r="2821">
          <cell r="C2821">
            <v>4452284.5982190603</v>
          </cell>
          <cell r="D2821">
            <v>0.70019862470574901</v>
          </cell>
          <cell r="E2821">
            <v>173358</v>
          </cell>
          <cell r="F2821">
            <v>121385.033181739</v>
          </cell>
          <cell r="G2821">
            <v>2.7263538640430515E-2</v>
          </cell>
          <cell r="I2821" t="str">
            <v>MD</v>
          </cell>
          <cell r="J2821" t="str">
            <v>High</v>
          </cell>
          <cell r="K2821">
            <v>122386.66666666667</v>
          </cell>
        </row>
        <row r="2822">
          <cell r="C2822">
            <v>4297929.3216306204</v>
          </cell>
          <cell r="D2822">
            <v>0.75030617849264103</v>
          </cell>
          <cell r="E2822">
            <v>175134</v>
          </cell>
          <cell r="F2822">
            <v>131404.12226413001</v>
          </cell>
          <cell r="G2822">
            <v>3.0573821119579445E-2</v>
          </cell>
          <cell r="I2822" t="str">
            <v>MD</v>
          </cell>
          <cell r="J2822" t="str">
            <v>High</v>
          </cell>
          <cell r="K2822">
            <v>117833.33333333333</v>
          </cell>
        </row>
        <row r="2823">
          <cell r="C2823">
            <v>4520055.7410863396</v>
          </cell>
          <cell r="D2823">
            <v>0.70949984894822804</v>
          </cell>
          <cell r="E2823">
            <v>189583</v>
          </cell>
          <cell r="F2823">
            <v>134509.109863152</v>
          </cell>
          <cell r="G2823">
            <v>2.9758285642474045E-2</v>
          </cell>
          <cell r="I2823" t="str">
            <v>MD</v>
          </cell>
          <cell r="J2823" t="str">
            <v>High</v>
          </cell>
          <cell r="K2823">
            <v>119910</v>
          </cell>
        </row>
        <row r="2824">
          <cell r="C2824">
            <v>3503957.3878213898</v>
          </cell>
          <cell r="D2824">
            <v>0.69800185773047196</v>
          </cell>
          <cell r="E2824">
            <v>197453</v>
          </cell>
          <cell r="F2824">
            <v>137822.56081445501</v>
          </cell>
          <cell r="G2824">
            <v>3.9333400940742363E-2</v>
          </cell>
          <cell r="I2824" t="str">
            <v>MD</v>
          </cell>
          <cell r="J2824" t="str">
            <v>Med</v>
          </cell>
          <cell r="K2824">
            <v>78620</v>
          </cell>
        </row>
        <row r="2825">
          <cell r="C2825">
            <v>3463461.55155697</v>
          </cell>
          <cell r="D2825">
            <v>0.77411014209843498</v>
          </cell>
          <cell r="E2825">
            <v>185164</v>
          </cell>
          <cell r="F2825">
            <v>143337.330351515</v>
          </cell>
          <cell r="G2825">
            <v>4.138556996166997E-2</v>
          </cell>
          <cell r="I2825" t="str">
            <v>MD</v>
          </cell>
          <cell r="J2825" t="str">
            <v>Med</v>
          </cell>
          <cell r="K2825">
            <v>82411.666666666672</v>
          </cell>
        </row>
        <row r="2826">
          <cell r="C2826">
            <v>3060453.1338283098</v>
          </cell>
          <cell r="D2826">
            <v>0.720150338464003</v>
          </cell>
          <cell r="E2826">
            <v>201034</v>
          </cell>
          <cell r="F2826">
            <v>144774.70314277199</v>
          </cell>
          <cell r="G2826">
            <v>4.7304989428697389E-2</v>
          </cell>
          <cell r="I2826" t="str">
            <v>MD</v>
          </cell>
          <cell r="J2826" t="str">
            <v>Med</v>
          </cell>
          <cell r="K2826">
            <v>64581.333333333336</v>
          </cell>
        </row>
        <row r="2827">
          <cell r="C2827">
            <v>4676193.4517197199</v>
          </cell>
          <cell r="D2827">
            <v>0.77605247689582901</v>
          </cell>
          <cell r="E2827">
            <v>161053</v>
          </cell>
          <cell r="F2827">
            <v>124985.579561504</v>
          </cell>
          <cell r="G2827">
            <v>2.6728060088176894E-2</v>
          </cell>
          <cell r="I2827" t="str">
            <v>MD</v>
          </cell>
          <cell r="J2827" t="str">
            <v>High</v>
          </cell>
          <cell r="K2827">
            <v>130716.66666666667</v>
          </cell>
        </row>
        <row r="2828">
          <cell r="C2828">
            <v>2948848.2908985601</v>
          </cell>
          <cell r="D2828">
            <v>0.715853462931617</v>
          </cell>
          <cell r="E2828">
            <v>196335</v>
          </cell>
          <cell r="F2828">
            <v>140547.08964467901</v>
          </cell>
          <cell r="G2828">
            <v>4.7661688828980794E-2</v>
          </cell>
          <cell r="I2828" t="str">
            <v>MD</v>
          </cell>
          <cell r="J2828" t="str">
            <v>Med</v>
          </cell>
          <cell r="K2828">
            <v>51362.666666666664</v>
          </cell>
        </row>
        <row r="2829">
          <cell r="C2829">
            <v>3501274.2547155302</v>
          </cell>
          <cell r="D2829">
            <v>0.76277760969450803</v>
          </cell>
          <cell r="E2829">
            <v>173764</v>
          </cell>
          <cell r="F2829">
            <v>132543.288570957</v>
          </cell>
          <cell r="G2829">
            <v>3.7855728780014065E-2</v>
          </cell>
          <cell r="I2829" t="str">
            <v>MD</v>
          </cell>
          <cell r="J2829" t="str">
            <v>Low</v>
          </cell>
          <cell r="K2829">
            <v>25885.333333333332</v>
          </cell>
        </row>
        <row r="2830">
          <cell r="C2830">
            <v>5226838.2029154897</v>
          </cell>
          <cell r="D2830">
            <v>0.75942607143226804</v>
          </cell>
          <cell r="E2830">
            <v>112287</v>
          </cell>
          <cell r="F2830">
            <v>85273.675282915094</v>
          </cell>
          <cell r="G2830">
            <v>1.6314581009098408E-2</v>
          </cell>
          <cell r="I2830" t="str">
            <v>MD</v>
          </cell>
          <cell r="J2830" t="str">
            <v>High</v>
          </cell>
          <cell r="K2830">
            <v>159532</v>
          </cell>
        </row>
        <row r="2831">
          <cell r="C2831">
            <v>3924775.1327191698</v>
          </cell>
          <cell r="D2831">
            <v>0.69781200692643097</v>
          </cell>
          <cell r="E2831">
            <v>199060</v>
          </cell>
          <cell r="F2831">
            <v>138906.45809877501</v>
          </cell>
          <cell r="G2831">
            <v>3.5392208063277648E-2</v>
          </cell>
          <cell r="I2831" t="str">
            <v>MD</v>
          </cell>
          <cell r="J2831" t="str">
            <v>Med</v>
          </cell>
          <cell r="K2831">
            <v>93825.333333333328</v>
          </cell>
        </row>
        <row r="2832">
          <cell r="C2832">
            <v>4289789.0053042499</v>
          </cell>
          <cell r="D2832">
            <v>0.72995369420050704</v>
          </cell>
          <cell r="E2832">
            <v>190254</v>
          </cell>
          <cell r="F2832">
            <v>138876.610136423</v>
          </cell>
          <cell r="G2832">
            <v>3.237376243090382E-2</v>
          </cell>
          <cell r="I2832" t="str">
            <v>MD</v>
          </cell>
          <cell r="J2832" t="str">
            <v>High</v>
          </cell>
          <cell r="K2832">
            <v>114162</v>
          </cell>
        </row>
        <row r="2833">
          <cell r="C2833">
            <v>5271724.1778915804</v>
          </cell>
          <cell r="D2833">
            <v>0.73268104952133295</v>
          </cell>
          <cell r="E2833">
            <v>133334</v>
          </cell>
          <cell r="F2833">
            <v>97691.295056877498</v>
          </cell>
          <cell r="G2833">
            <v>1.8531184819299294E-2</v>
          </cell>
          <cell r="I2833" t="str">
            <v>MD</v>
          </cell>
          <cell r="J2833" t="str">
            <v>High</v>
          </cell>
          <cell r="K2833">
            <v>156214.66666666666</v>
          </cell>
        </row>
        <row r="2834">
          <cell r="C2834">
            <v>2518900.80663634</v>
          </cell>
          <cell r="D2834">
            <v>0.72016119687713398</v>
          </cell>
          <cell r="E2834">
            <v>122967</v>
          </cell>
          <cell r="F2834">
            <v>88556.0618963905</v>
          </cell>
          <cell r="G2834">
            <v>3.5156629297620277E-2</v>
          </cell>
          <cell r="I2834" t="str">
            <v>MD</v>
          </cell>
          <cell r="J2834" t="str">
            <v>High</v>
          </cell>
          <cell r="K2834">
            <v>122386.66666666667</v>
          </cell>
        </row>
        <row r="2835">
          <cell r="C2835">
            <v>2476429.0781689901</v>
          </cell>
          <cell r="D2835">
            <v>0.76366003549777295</v>
          </cell>
          <cell r="E2835">
            <v>126250</v>
          </cell>
          <cell r="F2835">
            <v>96412.079481593901</v>
          </cell>
          <cell r="G2835">
            <v>3.8931896064182299E-2</v>
          </cell>
          <cell r="I2835" t="str">
            <v>MD</v>
          </cell>
          <cell r="J2835" t="str">
            <v>High</v>
          </cell>
          <cell r="K2835">
            <v>117833.33333333333</v>
          </cell>
        </row>
        <row r="2836">
          <cell r="C2836">
            <v>2601205.8550475198</v>
          </cell>
          <cell r="D2836">
            <v>0.72548633782306304</v>
          </cell>
          <cell r="E2836">
            <v>138549</v>
          </cell>
          <cell r="F2836">
            <v>100515.406619047</v>
          </cell>
          <cell r="G2836">
            <v>3.8641850057349943E-2</v>
          </cell>
          <cell r="I2836" t="str">
            <v>MD</v>
          </cell>
          <cell r="J2836" t="str">
            <v>High</v>
          </cell>
          <cell r="K2836">
            <v>119910</v>
          </cell>
        </row>
        <row r="2837">
          <cell r="C2837">
            <v>2015982.29349791</v>
          </cell>
          <cell r="D2837">
            <v>0.72133432504297901</v>
          </cell>
          <cell r="E2837">
            <v>140685</v>
          </cell>
          <cell r="F2837">
            <v>101480.919518672</v>
          </cell>
          <cell r="G2837">
            <v>5.0338199817516013E-2</v>
          </cell>
          <cell r="I2837" t="str">
            <v>MD</v>
          </cell>
          <cell r="J2837" t="str">
            <v>Med</v>
          </cell>
          <cell r="K2837">
            <v>78620</v>
          </cell>
        </row>
        <row r="2838">
          <cell r="C2838">
            <v>2024834.7146671501</v>
          </cell>
          <cell r="D2838">
            <v>0.751058158165819</v>
          </cell>
          <cell r="E2838">
            <v>142554</v>
          </cell>
          <cell r="F2838">
            <v>107066.34467917</v>
          </cell>
          <cell r="G2838">
            <v>5.2876584890421519E-2</v>
          </cell>
          <cell r="I2838" t="str">
            <v>MD</v>
          </cell>
          <cell r="J2838" t="str">
            <v>Med</v>
          </cell>
          <cell r="K2838">
            <v>82411.666666666672</v>
          </cell>
        </row>
        <row r="2839">
          <cell r="C2839">
            <v>1797193.86108028</v>
          </cell>
          <cell r="D2839">
            <v>0.70960753957038702</v>
          </cell>
          <cell r="E2839">
            <v>154825</v>
          </cell>
          <cell r="F2839">
            <v>109864.987313985</v>
          </cell>
          <cell r="G2839">
            <v>6.113140585064427E-2</v>
          </cell>
          <cell r="I2839" t="str">
            <v>MD</v>
          </cell>
          <cell r="J2839" t="str">
            <v>Med</v>
          </cell>
          <cell r="K2839">
            <v>64581.333333333336</v>
          </cell>
        </row>
        <row r="2840">
          <cell r="C2840">
            <v>2763326.0926788799</v>
          </cell>
          <cell r="D2840">
            <v>0.79317819751565999</v>
          </cell>
          <cell r="E2840">
            <v>117741</v>
          </cell>
          <cell r="F2840">
            <v>93389.594153691403</v>
          </cell>
          <cell r="G2840">
            <v>3.3796081613790198E-2</v>
          </cell>
          <cell r="I2840" t="str">
            <v>MD</v>
          </cell>
          <cell r="J2840" t="str">
            <v>High</v>
          </cell>
          <cell r="K2840">
            <v>130716.66666666667</v>
          </cell>
        </row>
        <row r="2841">
          <cell r="C2841">
            <v>1707328.2441398301</v>
          </cell>
          <cell r="D2841">
            <v>0.77364369819919299</v>
          </cell>
          <cell r="E2841">
            <v>130328</v>
          </cell>
          <cell r="F2841">
            <v>100827.435898904</v>
          </cell>
          <cell r="G2841">
            <v>5.9055683196819558E-2</v>
          </cell>
          <cell r="I2841" t="str">
            <v>MD</v>
          </cell>
          <cell r="J2841" t="str">
            <v>Med</v>
          </cell>
          <cell r="K2841">
            <v>51362.666666666664</v>
          </cell>
        </row>
        <row r="2842">
          <cell r="C2842">
            <v>1988585.29402189</v>
          </cell>
          <cell r="D2842">
            <v>0.76742113312396099</v>
          </cell>
          <cell r="E2842">
            <v>123804</v>
          </cell>
          <cell r="F2842">
            <v>95009.805965278894</v>
          </cell>
          <cell r="G2842">
            <v>4.7777586533953843E-2</v>
          </cell>
          <cell r="I2842" t="str">
            <v>MD</v>
          </cell>
          <cell r="J2842" t="str">
            <v>Low</v>
          </cell>
          <cell r="K2842">
            <v>25885.333333333332</v>
          </cell>
        </row>
        <row r="2843">
          <cell r="C2843">
            <v>3013970.8229098399</v>
          </cell>
          <cell r="D2843">
            <v>0.759163353726655</v>
          </cell>
          <cell r="E2843">
            <v>81797</v>
          </cell>
          <cell r="F2843">
            <v>62097.284844779198</v>
          </cell>
          <cell r="G2843">
            <v>2.0603147307453804E-2</v>
          </cell>
          <cell r="I2843" t="str">
            <v>MD</v>
          </cell>
          <cell r="J2843" t="str">
            <v>High</v>
          </cell>
          <cell r="K2843">
            <v>159532</v>
          </cell>
        </row>
        <row r="2844">
          <cell r="C2844">
            <v>2274681.2398380199</v>
          </cell>
          <cell r="D2844">
            <v>0.72164200508870302</v>
          </cell>
          <cell r="E2844">
            <v>145103</v>
          </cell>
          <cell r="F2844">
            <v>104712.419864386</v>
          </cell>
          <cell r="G2844">
            <v>4.6033887311543738E-2</v>
          </cell>
          <cell r="I2844" t="str">
            <v>MD</v>
          </cell>
          <cell r="J2844" t="str">
            <v>Med</v>
          </cell>
          <cell r="K2844">
            <v>93825.333333333328</v>
          </cell>
        </row>
        <row r="2845">
          <cell r="C2845">
            <v>2528004.6959706699</v>
          </cell>
          <cell r="D2845">
            <v>0.75716391620990997</v>
          </cell>
          <cell r="E2845">
            <v>137244</v>
          </cell>
          <cell r="F2845">
            <v>103916.204516313</v>
          </cell>
          <cell r="G2845">
            <v>4.1106017200815609E-2</v>
          </cell>
          <cell r="I2845" t="str">
            <v>MD</v>
          </cell>
          <cell r="J2845" t="str">
            <v>High</v>
          </cell>
          <cell r="K2845">
            <v>114162</v>
          </cell>
        </row>
        <row r="2846">
          <cell r="C2846">
            <v>3000318.9727555402</v>
          </cell>
          <cell r="D2846">
            <v>0.79972045706363104</v>
          </cell>
          <cell r="E2846">
            <v>92845</v>
          </cell>
          <cell r="F2846">
            <v>74250.045836072793</v>
          </cell>
          <cell r="G2846">
            <v>2.4747384031598606E-2</v>
          </cell>
          <cell r="I2846" t="str">
            <v>MD</v>
          </cell>
          <cell r="J2846" t="str">
            <v>High</v>
          </cell>
          <cell r="K2846">
            <v>156214.66666666666</v>
          </cell>
        </row>
        <row r="2847">
          <cell r="C2847">
            <v>2956195.8398156101</v>
          </cell>
          <cell r="D2847">
            <v>0.74227079092326897</v>
          </cell>
          <cell r="E2847">
            <v>142934</v>
          </cell>
          <cell r="F2847">
            <v>106095.733229827</v>
          </cell>
          <cell r="G2847">
            <v>3.5889277632040993E-2</v>
          </cell>
          <cell r="I2847" t="str">
            <v>MD</v>
          </cell>
          <cell r="J2847" t="str">
            <v>High</v>
          </cell>
          <cell r="K2847">
            <v>122386.66666666667</v>
          </cell>
        </row>
        <row r="2848">
          <cell r="C2848">
            <v>2794989.9708727798</v>
          </cell>
          <cell r="D2848">
            <v>0.74702676246769595</v>
          </cell>
          <cell r="E2848">
            <v>143855</v>
          </cell>
          <cell r="F2848">
            <v>107463.53491479</v>
          </cell>
          <cell r="G2848">
            <v>3.8448629882286416E-2</v>
          </cell>
          <cell r="I2848" t="str">
            <v>MD</v>
          </cell>
          <cell r="J2848" t="str">
            <v>High</v>
          </cell>
          <cell r="K2848">
            <v>117833.33333333333</v>
          </cell>
        </row>
        <row r="2849">
          <cell r="C2849">
            <v>2890068.9461320699</v>
          </cell>
          <cell r="D2849">
            <v>0.70808143691443304</v>
          </cell>
          <cell r="E2849">
            <v>156933</v>
          </cell>
          <cell r="F2849">
            <v>111121.344139293</v>
          </cell>
          <cell r="G2849">
            <v>3.8449374810940927E-2</v>
          </cell>
          <cell r="I2849" t="str">
            <v>MD</v>
          </cell>
          <cell r="J2849" t="str">
            <v>High</v>
          </cell>
          <cell r="K2849">
            <v>119910</v>
          </cell>
        </row>
        <row r="2850">
          <cell r="C2850">
            <v>2246461.62470735</v>
          </cell>
          <cell r="D2850">
            <v>0.721805185787326</v>
          </cell>
          <cell r="E2850">
            <v>159884</v>
          </cell>
          <cell r="F2850">
            <v>115405.100324421</v>
          </cell>
          <cell r="G2850">
            <v>5.1371943796037468E-2</v>
          </cell>
          <cell r="I2850" t="str">
            <v>MD</v>
          </cell>
          <cell r="J2850" t="str">
            <v>Med</v>
          </cell>
          <cell r="K2850">
            <v>78620</v>
          </cell>
        </row>
        <row r="2851">
          <cell r="C2851">
            <v>2283520.9984647599</v>
          </cell>
          <cell r="D2851">
            <v>0.77704793601664901</v>
          </cell>
          <cell r="E2851">
            <v>158968</v>
          </cell>
          <cell r="F2851">
            <v>123525.756292695</v>
          </cell>
          <cell r="G2851">
            <v>5.4094425396457022E-2</v>
          </cell>
          <cell r="I2851" t="str">
            <v>MD</v>
          </cell>
          <cell r="J2851" t="str">
            <v>Med</v>
          </cell>
          <cell r="K2851">
            <v>82411.666666666672</v>
          </cell>
        </row>
        <row r="2852">
          <cell r="C2852">
            <v>1985902.2909456899</v>
          </cell>
          <cell r="D2852">
            <v>0.72383012356270104</v>
          </cell>
          <cell r="E2852">
            <v>168538</v>
          </cell>
          <cell r="F2852">
            <v>121992.881365011</v>
          </cell>
          <cell r="G2852">
            <v>6.1429447924609519E-2</v>
          </cell>
          <cell r="I2852" t="str">
            <v>MD</v>
          </cell>
          <cell r="J2852" t="str">
            <v>Med</v>
          </cell>
          <cell r="K2852">
            <v>64581.333333333336</v>
          </cell>
        </row>
        <row r="2853">
          <cell r="C2853">
            <v>3080468.2422601799</v>
          </cell>
          <cell r="D2853">
            <v>0.79270413179490096</v>
          </cell>
          <cell r="E2853">
            <v>132107</v>
          </cell>
          <cell r="F2853">
            <v>104721.76473902899</v>
          </cell>
          <cell r="G2853">
            <v>3.3995404757749835E-2</v>
          </cell>
          <cell r="I2853" t="str">
            <v>MD</v>
          </cell>
          <cell r="J2853" t="str">
            <v>High</v>
          </cell>
          <cell r="K2853">
            <v>130716.66666666667</v>
          </cell>
        </row>
        <row r="2854">
          <cell r="C2854">
            <v>1907825.60179242</v>
          </cell>
          <cell r="D2854">
            <v>0.77981226546960303</v>
          </cell>
          <cell r="E2854">
            <v>143176</v>
          </cell>
          <cell r="F2854">
            <v>111650.400920876</v>
          </cell>
          <cell r="G2854">
            <v>5.8522330770684382E-2</v>
          </cell>
          <cell r="I2854" t="str">
            <v>MD</v>
          </cell>
          <cell r="J2854" t="str">
            <v>Med</v>
          </cell>
          <cell r="K2854">
            <v>51362.666666666664</v>
          </cell>
        </row>
        <row r="2855">
          <cell r="C2855">
            <v>2295720.72335268</v>
          </cell>
          <cell r="D2855">
            <v>0.73229655488795897</v>
          </cell>
          <cell r="E2855">
            <v>149680</v>
          </cell>
          <cell r="F2855">
            <v>109610.14833563</v>
          </cell>
          <cell r="G2855">
            <v>4.7745419214387234E-2</v>
          </cell>
          <cell r="I2855" t="str">
            <v>MD</v>
          </cell>
          <cell r="J2855" t="str">
            <v>Low</v>
          </cell>
          <cell r="K2855">
            <v>25885.333333333332</v>
          </cell>
        </row>
        <row r="2856">
          <cell r="C2856">
            <v>3344091.73301053</v>
          </cell>
          <cell r="D2856">
            <v>0.77723435452724698</v>
          </cell>
          <cell r="E2856">
            <v>90113</v>
          </cell>
          <cell r="F2856">
            <v>70038.919389513801</v>
          </cell>
          <cell r="G2856">
            <v>2.0944078387006754E-2</v>
          </cell>
          <cell r="I2856" t="str">
            <v>MD</v>
          </cell>
          <cell r="J2856" t="str">
            <v>High</v>
          </cell>
          <cell r="K2856">
            <v>159532</v>
          </cell>
        </row>
        <row r="2857">
          <cell r="C2857">
            <v>2574690.5879151099</v>
          </cell>
          <cell r="D2857">
            <v>0.74483819107647098</v>
          </cell>
          <cell r="E2857">
            <v>157347</v>
          </cell>
          <cell r="F2857">
            <v>117198.054851309</v>
          </cell>
          <cell r="G2857">
            <v>4.5519277307108072E-2</v>
          </cell>
          <cell r="I2857" t="str">
            <v>MD</v>
          </cell>
          <cell r="J2857" t="str">
            <v>Med</v>
          </cell>
          <cell r="K2857">
            <v>93825.333333333328</v>
          </cell>
        </row>
        <row r="2858">
          <cell r="C2858">
            <v>2810844.4262685501</v>
          </cell>
          <cell r="D2858">
            <v>0.74782677584719304</v>
          </cell>
          <cell r="E2858">
            <v>155094</v>
          </cell>
          <cell r="F2858">
            <v>115983.44597324501</v>
          </cell>
          <cell r="G2858">
            <v>4.1262847879210182E-2</v>
          </cell>
          <cell r="I2858" t="str">
            <v>MD</v>
          </cell>
          <cell r="J2858" t="str">
            <v>High</v>
          </cell>
          <cell r="K2858">
            <v>114162</v>
          </cell>
        </row>
        <row r="2859">
          <cell r="C2859">
            <v>3447458.4863273301</v>
          </cell>
          <cell r="D2859">
            <v>0.76952290841600202</v>
          </cell>
          <cell r="E2859">
            <v>106390</v>
          </cell>
          <cell r="F2859">
            <v>81869.5422263785</v>
          </cell>
          <cell r="G2859">
            <v>2.3747796398730914E-2</v>
          </cell>
          <cell r="I2859" t="str">
            <v>MD</v>
          </cell>
          <cell r="J2859" t="str">
            <v>High</v>
          </cell>
          <cell r="K2859">
            <v>156214.66666666666</v>
          </cell>
        </row>
        <row r="2860">
          <cell r="C2860">
            <v>3277228.8662244398</v>
          </cell>
          <cell r="D2860">
            <v>0.71272379945041997</v>
          </cell>
          <cell r="E2860">
            <v>169828</v>
          </cell>
          <cell r="F2860">
            <v>121040.457413066</v>
          </cell>
          <cell r="G2860">
            <v>3.6933782275789521E-2</v>
          </cell>
          <cell r="I2860" t="str">
            <v>MD</v>
          </cell>
          <cell r="J2860" t="str">
            <v>High</v>
          </cell>
          <cell r="K2860">
            <v>122386.66666666667</v>
          </cell>
        </row>
        <row r="2861">
          <cell r="C2861">
            <v>3140133.90783381</v>
          </cell>
          <cell r="D2861">
            <v>0.75218976081980504</v>
          </cell>
          <cell r="E2861">
            <v>168780</v>
          </cell>
          <cell r="F2861">
            <v>126954.58783116699</v>
          </cell>
          <cell r="G2861">
            <v>4.0429673242420847E-2</v>
          </cell>
          <cell r="I2861" t="str">
            <v>MD</v>
          </cell>
          <cell r="J2861" t="str">
            <v>High</v>
          </cell>
          <cell r="K2861">
            <v>117833.33333333333</v>
          </cell>
        </row>
        <row r="2862">
          <cell r="C2862">
            <v>3317856.0751565299</v>
          </cell>
          <cell r="D2862">
            <v>0.70469935254518301</v>
          </cell>
          <cell r="E2862">
            <v>193139</v>
          </cell>
          <cell r="F2862">
            <v>136104.92825122399</v>
          </cell>
          <cell r="G2862">
            <v>4.1021950671806286E-2</v>
          </cell>
          <cell r="I2862" t="str">
            <v>MD</v>
          </cell>
          <cell r="J2862" t="str">
            <v>High</v>
          </cell>
          <cell r="K2862">
            <v>119910</v>
          </cell>
        </row>
        <row r="2863">
          <cell r="C2863">
            <v>2556638.6807598099</v>
          </cell>
          <cell r="D2863">
            <v>0.73918898309558501</v>
          </cell>
          <cell r="E2863">
            <v>188883</v>
          </cell>
          <cell r="F2863">
            <v>139620.23269404299</v>
          </cell>
          <cell r="G2863">
            <v>5.4610858290131604E-2</v>
          </cell>
          <cell r="I2863" t="str">
            <v>MD</v>
          </cell>
          <cell r="J2863" t="str">
            <v>Med</v>
          </cell>
          <cell r="K2863">
            <v>78620</v>
          </cell>
        </row>
        <row r="2864">
          <cell r="C2864">
            <v>2550181.5282624201</v>
          </cell>
          <cell r="D2864">
            <v>0.77115490926415697</v>
          </cell>
          <cell r="E2864">
            <v>187301</v>
          </cell>
          <cell r="F2864">
            <v>144438.08566008601</v>
          </cell>
          <cell r="G2864">
            <v>5.6638354587447613E-2</v>
          </cell>
          <cell r="I2864" t="str">
            <v>MD</v>
          </cell>
          <cell r="J2864" t="str">
            <v>Med</v>
          </cell>
          <cell r="K2864">
            <v>82411.666666666672</v>
          </cell>
        </row>
        <row r="2865">
          <cell r="C2865">
            <v>2284920.6365089598</v>
          </cell>
          <cell r="D2865">
            <v>0.72101983848506201</v>
          </cell>
          <cell r="E2865">
            <v>203405</v>
          </cell>
          <cell r="F2865">
            <v>146659.04024705401</v>
          </cell>
          <cell r="G2865">
            <v>6.418561673596182E-2</v>
          </cell>
          <cell r="I2865" t="str">
            <v>MD</v>
          </cell>
          <cell r="J2865" t="str">
            <v>Med</v>
          </cell>
          <cell r="K2865">
            <v>64581.333333333336</v>
          </cell>
        </row>
        <row r="2866">
          <cell r="C2866">
            <v>3480396.1164551298</v>
          </cell>
          <cell r="D2866">
            <v>0.81207674035711297</v>
          </cell>
          <cell r="E2866">
            <v>155235</v>
          </cell>
          <cell r="F2866">
            <v>126062.73278933601</v>
          </cell>
          <cell r="G2866">
            <v>3.622080032595084E-2</v>
          </cell>
          <cell r="I2866" t="str">
            <v>MD</v>
          </cell>
          <cell r="J2866" t="str">
            <v>High</v>
          </cell>
          <cell r="K2866">
            <v>130716.66666666667</v>
          </cell>
        </row>
        <row r="2867">
          <cell r="C2867">
            <v>2157613.5118889501</v>
          </cell>
          <cell r="D2867">
            <v>0.77755686555951697</v>
          </cell>
          <cell r="E2867">
            <v>176750</v>
          </cell>
          <cell r="F2867">
            <v>137433.17598764499</v>
          </cell>
          <cell r="G2867">
            <v>6.369684618230112E-2</v>
          </cell>
          <cell r="I2867" t="str">
            <v>MD</v>
          </cell>
          <cell r="J2867" t="str">
            <v>Med</v>
          </cell>
          <cell r="K2867">
            <v>51362.666666666664</v>
          </cell>
        </row>
        <row r="2868">
          <cell r="C2868">
            <v>2583720.7412164998</v>
          </cell>
          <cell r="D2868">
            <v>0.76900728291498799</v>
          </cell>
          <cell r="E2868">
            <v>169724</v>
          </cell>
          <cell r="F2868">
            <v>130518.992085463</v>
          </cell>
          <cell r="G2868">
            <v>5.0515905222795254E-2</v>
          </cell>
          <cell r="I2868" t="str">
            <v>MD</v>
          </cell>
          <cell r="J2868" t="str">
            <v>Low</v>
          </cell>
          <cell r="K2868">
            <v>25885.333333333332</v>
          </cell>
        </row>
        <row r="2869">
          <cell r="C2869">
            <v>3773036.44113896</v>
          </cell>
          <cell r="D2869">
            <v>0.78301151288950699</v>
          </cell>
          <cell r="E2869">
            <v>108743</v>
          </cell>
          <cell r="F2869">
            <v>85147.020946143602</v>
          </cell>
          <cell r="G2869">
            <v>2.2567240543385905E-2</v>
          </cell>
          <cell r="I2869" t="str">
            <v>MD</v>
          </cell>
          <cell r="J2869" t="str">
            <v>High</v>
          </cell>
          <cell r="K2869">
            <v>159532</v>
          </cell>
        </row>
        <row r="2870">
          <cell r="C2870">
            <v>2856318.1607546601</v>
          </cell>
          <cell r="D2870">
            <v>0.72099884575639706</v>
          </cell>
          <cell r="E2870">
            <v>192408</v>
          </cell>
          <cell r="F2870">
            <v>138725.94591429699</v>
          </cell>
          <cell r="G2870">
            <v>4.856809994781694E-2</v>
          </cell>
          <cell r="I2870" t="str">
            <v>MD</v>
          </cell>
          <cell r="J2870" t="str">
            <v>Med</v>
          </cell>
          <cell r="K2870">
            <v>93825.333333333328</v>
          </cell>
        </row>
        <row r="2871">
          <cell r="C2871">
            <v>3163703.4186618701</v>
          </cell>
          <cell r="D2871">
            <v>0.74849886067846905</v>
          </cell>
          <cell r="E2871">
            <v>185016</v>
          </cell>
          <cell r="F2871">
            <v>138484.265207288</v>
          </cell>
          <cell r="G2871">
            <v>4.3772834201336652E-2</v>
          </cell>
          <cell r="I2871" t="str">
            <v>MD</v>
          </cell>
          <cell r="J2871" t="str">
            <v>High</v>
          </cell>
          <cell r="K2871">
            <v>114162</v>
          </cell>
        </row>
        <row r="2872">
          <cell r="C2872">
            <v>3862241.5594423101</v>
          </cell>
          <cell r="D2872">
            <v>0.80902681967560097</v>
          </cell>
          <cell r="E2872">
            <v>124411</v>
          </cell>
          <cell r="F2872">
            <v>100651.835662661</v>
          </cell>
          <cell r="G2872">
            <v>2.6060471390400207E-2</v>
          </cell>
          <cell r="I2872" t="str">
            <v>MD</v>
          </cell>
          <cell r="J2872" t="str">
            <v>High</v>
          </cell>
          <cell r="K2872">
            <v>156214.66666666666</v>
          </cell>
        </row>
        <row r="2873">
          <cell r="C2873">
            <v>3417132.74121645</v>
          </cell>
          <cell r="D2873">
            <v>0.71947993545253297</v>
          </cell>
          <cell r="E2873">
            <v>193016</v>
          </cell>
          <cell r="F2873">
            <v>138871.13922130599</v>
          </cell>
          <cell r="G2873">
            <v>4.063966773847652E-2</v>
          </cell>
          <cell r="I2873" t="str">
            <v>MD</v>
          </cell>
          <cell r="J2873" t="str">
            <v>High</v>
          </cell>
          <cell r="K2873">
            <v>122386.66666666667</v>
          </cell>
        </row>
        <row r="2874">
          <cell r="C2874">
            <v>3231571.0175186</v>
          </cell>
          <cell r="D2874">
            <v>0.79162629236979898</v>
          </cell>
          <cell r="E2874">
            <v>186506</v>
          </cell>
          <cell r="F2874">
            <v>147643.053284722</v>
          </cell>
          <cell r="G2874">
            <v>4.5687701889990169E-2</v>
          </cell>
          <cell r="I2874" t="str">
            <v>MD</v>
          </cell>
          <cell r="J2874" t="str">
            <v>High</v>
          </cell>
          <cell r="K2874">
            <v>117833.33333333333</v>
          </cell>
        </row>
        <row r="2875">
          <cell r="C2875">
            <v>3468450.6278846399</v>
          </cell>
          <cell r="D2875">
            <v>0.72759877538012896</v>
          </cell>
          <cell r="E2875">
            <v>213295</v>
          </cell>
          <cell r="F2875">
            <v>155193.180794705</v>
          </cell>
          <cell r="G2875">
            <v>4.4744238118031153E-2</v>
          </cell>
          <cell r="I2875" t="str">
            <v>MD</v>
          </cell>
          <cell r="J2875" t="str">
            <v>High</v>
          </cell>
          <cell r="K2875">
            <v>119910</v>
          </cell>
        </row>
        <row r="2876">
          <cell r="C2876">
            <v>2709796.4100469798</v>
          </cell>
          <cell r="D2876">
            <v>0.72593464316589995</v>
          </cell>
          <cell r="E2876">
            <v>225018</v>
          </cell>
          <cell r="F2876">
            <v>163348.361535904</v>
          </cell>
          <cell r="G2876">
            <v>6.0280676780833146E-2</v>
          </cell>
          <cell r="I2876" t="str">
            <v>MD</v>
          </cell>
          <cell r="J2876" t="str">
            <v>Med</v>
          </cell>
          <cell r="K2876">
            <v>78620</v>
          </cell>
        </row>
        <row r="2877">
          <cell r="C2877">
            <v>2705239.9505119901</v>
          </cell>
          <cell r="D2877">
            <v>0.78441835070690502</v>
          </cell>
          <cell r="E2877">
            <v>215327</v>
          </cell>
          <cell r="F2877">
            <v>168906.45020266599</v>
          </cell>
          <cell r="G2877">
            <v>6.2436772076613384E-2</v>
          </cell>
          <cell r="I2877" t="str">
            <v>MD</v>
          </cell>
          <cell r="J2877" t="str">
            <v>Med</v>
          </cell>
          <cell r="K2877">
            <v>82411.666666666672</v>
          </cell>
        </row>
        <row r="2878">
          <cell r="C2878">
            <v>2344494.7172640199</v>
          </cell>
          <cell r="D2878">
            <v>0.73587237143079698</v>
          </cell>
          <cell r="E2878">
            <v>228468</v>
          </cell>
          <cell r="F2878">
            <v>168123.28895605099</v>
          </cell>
          <cell r="G2878">
            <v>7.1709817777814239E-2</v>
          </cell>
          <cell r="I2878" t="str">
            <v>MD</v>
          </cell>
          <cell r="J2878" t="str">
            <v>Med</v>
          </cell>
          <cell r="K2878">
            <v>64581.333333333336</v>
          </cell>
        </row>
        <row r="2879">
          <cell r="C2879">
            <v>3671605.50625011</v>
          </cell>
          <cell r="D2879">
            <v>0.79445218409051899</v>
          </cell>
          <cell r="E2879">
            <v>181670</v>
          </cell>
          <cell r="F2879">
            <v>144328.128283725</v>
          </cell>
          <cell r="G2879">
            <v>3.9309268939170548E-2</v>
          </cell>
          <cell r="I2879" t="str">
            <v>MD</v>
          </cell>
          <cell r="J2879" t="str">
            <v>High</v>
          </cell>
          <cell r="K2879">
            <v>130716.66666666667</v>
          </cell>
        </row>
        <row r="2880">
          <cell r="C2880">
            <v>2290923.9307250199</v>
          </cell>
          <cell r="D2880">
            <v>0.74432240864852195</v>
          </cell>
          <cell r="E2880">
            <v>212038</v>
          </cell>
          <cell r="F2880">
            <v>157824.634885015</v>
          </cell>
          <cell r="G2880">
            <v>6.8891259447042164E-2</v>
          </cell>
          <cell r="I2880" t="str">
            <v>MD</v>
          </cell>
          <cell r="J2880" t="str">
            <v>Med</v>
          </cell>
          <cell r="K2880">
            <v>51362.666666666664</v>
          </cell>
        </row>
        <row r="2881">
          <cell r="C2881">
            <v>2681259.85753325</v>
          </cell>
          <cell r="D2881">
            <v>0.812069111556321</v>
          </cell>
          <cell r="E2881">
            <v>187141</v>
          </cell>
          <cell r="F2881">
            <v>151971.42560576199</v>
          </cell>
          <cell r="G2881">
            <v>5.6679111194233592E-2</v>
          </cell>
          <cell r="I2881" t="str">
            <v>MD</v>
          </cell>
          <cell r="J2881" t="str">
            <v>Low</v>
          </cell>
          <cell r="K2881">
            <v>25885.333333333332</v>
          </cell>
        </row>
        <row r="2882">
          <cell r="C2882">
            <v>3970034.60836918</v>
          </cell>
          <cell r="D2882">
            <v>0.78396897658438802</v>
          </cell>
          <cell r="E2882">
            <v>123498</v>
          </cell>
          <cell r="F2882">
            <v>96818.600670218802</v>
          </cell>
          <cell r="G2882">
            <v>2.438734424786039E-2</v>
          </cell>
          <cell r="I2882" t="str">
            <v>MD</v>
          </cell>
          <cell r="J2882" t="str">
            <v>High</v>
          </cell>
          <cell r="K2882">
            <v>159532</v>
          </cell>
        </row>
        <row r="2883">
          <cell r="C2883">
            <v>3039258.60397649</v>
          </cell>
          <cell r="D2883">
            <v>0.73236315131792395</v>
          </cell>
          <cell r="E2883">
            <v>220586</v>
          </cell>
          <cell r="F2883">
            <v>161549.05809661601</v>
          </cell>
          <cell r="G2883">
            <v>5.3154100768275939E-2</v>
          </cell>
          <cell r="I2883" t="str">
            <v>MD</v>
          </cell>
          <cell r="J2883" t="str">
            <v>Med</v>
          </cell>
          <cell r="K2883">
            <v>93825.333333333328</v>
          </cell>
        </row>
        <row r="2884">
          <cell r="C2884">
            <v>3349456.4298843499</v>
          </cell>
          <cell r="D2884">
            <v>0.75995905857189205</v>
          </cell>
          <cell r="E2884">
            <v>214310</v>
          </cell>
          <cell r="F2884">
            <v>162866.82584254199</v>
          </cell>
          <cell r="G2884">
            <v>4.8624852793850329E-2</v>
          </cell>
          <cell r="I2884" t="str">
            <v>MD</v>
          </cell>
          <cell r="J2884" t="str">
            <v>High</v>
          </cell>
          <cell r="K2884">
            <v>114162</v>
          </cell>
        </row>
        <row r="2885">
          <cell r="C2885">
            <v>4037438.5731902202</v>
          </cell>
          <cell r="D2885">
            <v>0.75818537825438803</v>
          </cell>
          <cell r="E2885">
            <v>145606</v>
          </cell>
          <cell r="F2885">
            <v>110396.34018610801</v>
          </cell>
          <cell r="G2885">
            <v>2.7343162796128265E-2</v>
          </cell>
          <cell r="I2885" t="str">
            <v>MD</v>
          </cell>
          <cell r="J2885" t="str">
            <v>High</v>
          </cell>
          <cell r="K2885">
            <v>156214.66666666666</v>
          </cell>
        </row>
        <row r="2886">
          <cell r="C2886">
            <v>3671840.7207639101</v>
          </cell>
          <cell r="D2886">
            <v>0.73217156937489902</v>
          </cell>
          <cell r="E2886">
            <v>214711</v>
          </cell>
          <cell r="F2886">
            <v>157205.289832054</v>
          </cell>
          <cell r="G2886">
            <v>4.2813755221753777E-2</v>
          </cell>
          <cell r="I2886" t="str">
            <v>MD</v>
          </cell>
          <cell r="J2886" t="str">
            <v>High</v>
          </cell>
          <cell r="K2886">
            <v>122386.66666666667</v>
          </cell>
        </row>
        <row r="2887">
          <cell r="C2887">
            <v>3518016.75794467</v>
          </cell>
          <cell r="D2887">
            <v>0.780397376891377</v>
          </cell>
          <cell r="E2887">
            <v>216757</v>
          </cell>
          <cell r="F2887">
            <v>169156.594222844</v>
          </cell>
          <cell r="G2887">
            <v>4.8082941572362009E-2</v>
          </cell>
          <cell r="I2887" t="str">
            <v>MD</v>
          </cell>
          <cell r="J2887" t="str">
            <v>High</v>
          </cell>
          <cell r="K2887">
            <v>117833.33333333333</v>
          </cell>
        </row>
        <row r="2888">
          <cell r="C2888">
            <v>3673476.7156470101</v>
          </cell>
          <cell r="D2888">
            <v>0.70343792389457804</v>
          </cell>
          <cell r="E2888">
            <v>241398</v>
          </cell>
          <cell r="F2888">
            <v>169808.50795230301</v>
          </cell>
          <cell r="G2888">
            <v>4.6225557175580086E-2</v>
          </cell>
          <cell r="I2888" t="str">
            <v>MD</v>
          </cell>
          <cell r="J2888" t="str">
            <v>High</v>
          </cell>
          <cell r="K2888">
            <v>119910</v>
          </cell>
        </row>
        <row r="2889">
          <cell r="C2889">
            <v>2792628.58120802</v>
          </cell>
          <cell r="D2889">
            <v>0.72122258685312002</v>
          </cell>
          <cell r="E2889">
            <v>244027</v>
          </cell>
          <cell r="F2889">
            <v>175997.78420200601</v>
          </cell>
          <cell r="G2889">
            <v>6.3022267044862024E-2</v>
          </cell>
          <cell r="I2889" t="str">
            <v>MD</v>
          </cell>
          <cell r="J2889" t="str">
            <v>Med</v>
          </cell>
          <cell r="K2889">
            <v>78620</v>
          </cell>
        </row>
        <row r="2890">
          <cell r="C2890">
            <v>2798916.5732635199</v>
          </cell>
          <cell r="D2890">
            <v>0.79226869935753597</v>
          </cell>
          <cell r="E2890">
            <v>232645</v>
          </cell>
          <cell r="F2890">
            <v>184317.35156203399</v>
          </cell>
          <cell r="G2890">
            <v>6.5853106635158143E-2</v>
          </cell>
          <cell r="I2890" t="str">
            <v>MD</v>
          </cell>
          <cell r="J2890" t="str">
            <v>Med</v>
          </cell>
          <cell r="K2890">
            <v>82411.666666666672</v>
          </cell>
        </row>
        <row r="2891">
          <cell r="C2891">
            <v>2483343.9113147398</v>
          </cell>
          <cell r="D2891">
            <v>0.75471586093961596</v>
          </cell>
          <cell r="E2891">
            <v>248111</v>
          </cell>
          <cell r="F2891">
            <v>187253.306973589</v>
          </cell>
          <cell r="G2891">
            <v>7.540369504216303E-2</v>
          </cell>
          <cell r="I2891" t="str">
            <v>MD</v>
          </cell>
          <cell r="J2891" t="str">
            <v>Med</v>
          </cell>
          <cell r="K2891">
            <v>64581.333333333336</v>
          </cell>
        </row>
        <row r="2892">
          <cell r="C2892">
            <v>3878414.9482907201</v>
          </cell>
          <cell r="D2892">
            <v>0.82499265645743103</v>
          </cell>
          <cell r="E2892">
            <v>197312</v>
          </cell>
          <cell r="F2892">
            <v>162780.95103092899</v>
          </cell>
          <cell r="G2892">
            <v>4.1970999287394242E-2</v>
          </cell>
          <cell r="I2892" t="str">
            <v>MD</v>
          </cell>
          <cell r="J2892" t="str">
            <v>High</v>
          </cell>
          <cell r="K2892">
            <v>130716.66666666667</v>
          </cell>
        </row>
        <row r="2893">
          <cell r="C2893">
            <v>2387374.9603128</v>
          </cell>
          <cell r="D2893">
            <v>0.77047181717781299</v>
          </cell>
          <cell r="E2893">
            <v>222837</v>
          </cell>
          <cell r="F2893">
            <v>171689.628324452</v>
          </cell>
          <cell r="G2893">
            <v>7.1915652622056819E-2</v>
          </cell>
          <cell r="I2893" t="str">
            <v>MD</v>
          </cell>
          <cell r="J2893" t="str">
            <v>Med</v>
          </cell>
          <cell r="K2893">
            <v>51362.666666666664</v>
          </cell>
        </row>
        <row r="2894">
          <cell r="C2894">
            <v>2789854.3531095302</v>
          </cell>
          <cell r="D2894">
            <v>0.78320214426697399</v>
          </cell>
          <cell r="E2894">
            <v>208986</v>
          </cell>
          <cell r="F2894">
            <v>163678.283321778</v>
          </cell>
          <cell r="G2894">
            <v>5.866911408452008E-2</v>
          </cell>
          <cell r="I2894" t="str">
            <v>MD</v>
          </cell>
          <cell r="J2894" t="str">
            <v>Low</v>
          </cell>
          <cell r="K2894">
            <v>25885.333333333332</v>
          </cell>
        </row>
        <row r="2895">
          <cell r="C2895">
            <v>4258128.6238893401</v>
          </cell>
          <cell r="D2895">
            <v>0.80819597735278503</v>
          </cell>
          <cell r="E2895">
            <v>137710</v>
          </cell>
          <cell r="F2895">
            <v>111296.66804125201</v>
          </cell>
          <cell r="G2895">
            <v>2.6137460342753698E-2</v>
          </cell>
          <cell r="I2895" t="str">
            <v>MD</v>
          </cell>
          <cell r="J2895" t="str">
            <v>High</v>
          </cell>
          <cell r="K2895">
            <v>159532</v>
          </cell>
        </row>
        <row r="2896">
          <cell r="C2896">
            <v>3133236.8353111502</v>
          </cell>
          <cell r="D2896">
            <v>0.728080520782594</v>
          </cell>
          <cell r="E2896">
            <v>241326</v>
          </cell>
          <cell r="F2896">
            <v>175704.75975838001</v>
          </cell>
          <cell r="G2896">
            <v>5.6077714195815462E-2</v>
          </cell>
          <cell r="I2896" t="str">
            <v>MD</v>
          </cell>
          <cell r="J2896" t="str">
            <v>Med</v>
          </cell>
          <cell r="K2896">
            <v>93825.333333333328</v>
          </cell>
        </row>
        <row r="2897">
          <cell r="C2897">
            <v>3542149.0948704602</v>
          </cell>
          <cell r="D2897">
            <v>0.73456362516316798</v>
          </cell>
          <cell r="E2897">
            <v>241498</v>
          </cell>
          <cell r="F2897">
            <v>177395.646349655</v>
          </cell>
          <cell r="G2897">
            <v>5.0081360665068936E-2</v>
          </cell>
          <cell r="I2897" t="str">
            <v>MD</v>
          </cell>
          <cell r="J2897" t="str">
            <v>High</v>
          </cell>
          <cell r="K2897">
            <v>114162</v>
          </cell>
        </row>
        <row r="2898">
          <cell r="C2898">
            <v>4280836.6602883805</v>
          </cell>
          <cell r="D2898">
            <v>0.76262037045005004</v>
          </cell>
          <cell r="E2898">
            <v>164055</v>
          </cell>
          <cell r="F2898">
            <v>125111.684874183</v>
          </cell>
          <cell r="G2898">
            <v>2.9225988936881043E-2</v>
          </cell>
          <cell r="I2898" t="str">
            <v>MD</v>
          </cell>
          <cell r="J2898" t="str">
            <v>High</v>
          </cell>
          <cell r="K2898">
            <v>156214.66666666666</v>
          </cell>
        </row>
        <row r="2899">
          <cell r="C2899">
            <v>3413387.95827096</v>
          </cell>
          <cell r="D2899">
            <v>0.74294277644687901</v>
          </cell>
          <cell r="E2899">
            <v>215793</v>
          </cell>
          <cell r="F2899">
            <v>160321.85055780099</v>
          </cell>
          <cell r="G2899">
            <v>4.6968540499279045E-2</v>
          </cell>
          <cell r="I2899" t="str">
            <v>MD</v>
          </cell>
          <cell r="J2899" t="str">
            <v>High</v>
          </cell>
          <cell r="K2899">
            <v>122386.66666666667</v>
          </cell>
        </row>
        <row r="2900">
          <cell r="C2900">
            <v>3325687.5623759399</v>
          </cell>
          <cell r="D2900">
            <v>0.80295429541015795</v>
          </cell>
          <cell r="E2900">
            <v>221926</v>
          </cell>
          <cell r="F2900">
            <v>178196.434963195</v>
          </cell>
          <cell r="G2900">
            <v>5.3581832815313472E-2</v>
          </cell>
          <cell r="I2900" t="str">
            <v>MD</v>
          </cell>
          <cell r="J2900" t="str">
            <v>High</v>
          </cell>
          <cell r="K2900">
            <v>117833.33333333333</v>
          </cell>
        </row>
        <row r="2901">
          <cell r="C2901">
            <v>3533467.09920232</v>
          </cell>
          <cell r="D2901">
            <v>0.75226347918958902</v>
          </cell>
          <cell r="E2901">
            <v>243409</v>
          </cell>
          <cell r="F2901">
            <v>183107.70120605899</v>
          </cell>
          <cell r="G2901">
            <v>5.1820972451503945E-2</v>
          </cell>
          <cell r="I2901" t="str">
            <v>MD</v>
          </cell>
          <cell r="J2901" t="str">
            <v>High</v>
          </cell>
          <cell r="K2901">
            <v>119910</v>
          </cell>
        </row>
        <row r="2902">
          <cell r="C2902">
            <v>2755808.8125912999</v>
          </cell>
          <cell r="D2902">
            <v>0.75683468044610602</v>
          </cell>
          <cell r="E2902">
            <v>252215</v>
          </cell>
          <cell r="F2902">
            <v>190885.05892871501</v>
          </cell>
          <cell r="G2902">
            <v>6.9266437517929588E-2</v>
          </cell>
          <cell r="I2902" t="str">
            <v>MD</v>
          </cell>
          <cell r="J2902" t="str">
            <v>Med</v>
          </cell>
          <cell r="K2902">
            <v>78620</v>
          </cell>
        </row>
        <row r="2903">
          <cell r="C2903">
            <v>2680252.6567418999</v>
          </cell>
          <cell r="D2903">
            <v>0.77981501764438599</v>
          </cell>
          <cell r="E2903">
            <v>242150</v>
          </cell>
          <cell r="F2903">
            <v>188832.20652258801</v>
          </cell>
          <cell r="G2903">
            <v>7.0453136590537466E-2</v>
          </cell>
          <cell r="I2903" t="str">
            <v>MD</v>
          </cell>
          <cell r="J2903" t="str">
            <v>Med</v>
          </cell>
          <cell r="K2903">
            <v>82411.666666666672</v>
          </cell>
        </row>
        <row r="2904">
          <cell r="C2904">
            <v>2379614.4570687502</v>
          </cell>
          <cell r="D2904">
            <v>0.72578239382141196</v>
          </cell>
          <cell r="E2904">
            <v>266661</v>
          </cell>
          <cell r="F2904">
            <v>193537.85891881201</v>
          </cell>
          <cell r="G2904">
            <v>8.1331603253585572E-2</v>
          </cell>
          <cell r="I2904" t="str">
            <v>MD</v>
          </cell>
          <cell r="J2904" t="str">
            <v>Med</v>
          </cell>
          <cell r="K2904">
            <v>64581.333333333336</v>
          </cell>
        </row>
        <row r="2905">
          <cell r="C2905">
            <v>3689279.12910992</v>
          </cell>
          <cell r="D2905">
            <v>0.80931208802899501</v>
          </cell>
          <cell r="E2905">
            <v>204175</v>
          </cell>
          <cell r="F2905">
            <v>165241.29557332001</v>
          </cell>
          <cell r="G2905">
            <v>4.4789588911692435E-2</v>
          </cell>
          <cell r="I2905" t="str">
            <v>MD</v>
          </cell>
          <cell r="J2905" t="str">
            <v>High</v>
          </cell>
          <cell r="K2905">
            <v>130716.66666666667</v>
          </cell>
        </row>
        <row r="2906">
          <cell r="C2906">
            <v>2283970.6255423999</v>
          </cell>
          <cell r="D2906">
            <v>0.77853022059143695</v>
          </cell>
          <cell r="E2906">
            <v>230476</v>
          </cell>
          <cell r="F2906">
            <v>179432.53112103199</v>
          </cell>
          <cell r="G2906">
            <v>7.8561663234359744E-2</v>
          </cell>
          <cell r="I2906" t="str">
            <v>MD</v>
          </cell>
          <cell r="J2906" t="str">
            <v>Med</v>
          </cell>
          <cell r="K2906">
            <v>51362.666666666664</v>
          </cell>
        </row>
        <row r="2907">
          <cell r="C2907">
            <v>2694509.0614893599</v>
          </cell>
          <cell r="D2907">
            <v>0.79875571565083803</v>
          </cell>
          <cell r="E2907">
            <v>212575</v>
          </cell>
          <cell r="F2907">
            <v>169795.49625447701</v>
          </cell>
          <cell r="G2907">
            <v>6.3015373999382451E-2</v>
          </cell>
          <cell r="I2907" t="str">
            <v>MD</v>
          </cell>
          <cell r="J2907" t="str">
            <v>Low</v>
          </cell>
          <cell r="K2907">
            <v>25885.333333333332</v>
          </cell>
        </row>
        <row r="2908">
          <cell r="C2908">
            <v>4012545.1183159398</v>
          </cell>
          <cell r="D2908">
            <v>0.79574353988951496</v>
          </cell>
          <cell r="E2908">
            <v>142703</v>
          </cell>
          <cell r="F2908">
            <v>113554.990372853</v>
          </cell>
          <cell r="G2908">
            <v>2.8299990909637893E-2</v>
          </cell>
          <cell r="I2908" t="str">
            <v>MD</v>
          </cell>
          <cell r="J2908" t="str">
            <v>High</v>
          </cell>
          <cell r="K2908">
            <v>159532</v>
          </cell>
        </row>
        <row r="2909">
          <cell r="C2909">
            <v>3081682.0744079701</v>
          </cell>
          <cell r="D2909">
            <v>0.72000825023209603</v>
          </cell>
          <cell r="E2909">
            <v>258542</v>
          </cell>
          <cell r="F2909">
            <v>186152.37303150599</v>
          </cell>
          <cell r="G2909">
            <v>6.0406092691202812E-2</v>
          </cell>
          <cell r="I2909" t="str">
            <v>MD</v>
          </cell>
          <cell r="J2909" t="str">
            <v>Med</v>
          </cell>
          <cell r="K2909">
            <v>93825.333333333328</v>
          </cell>
        </row>
        <row r="2910">
          <cell r="C2910">
            <v>3346188.98962211</v>
          </cell>
          <cell r="D2910">
            <v>0.76570740979755703</v>
          </cell>
          <cell r="E2910">
            <v>239351</v>
          </cell>
          <cell r="F2910">
            <v>183272.83424245499</v>
          </cell>
          <cell r="G2910">
            <v>5.4770616606192424E-2</v>
          </cell>
          <cell r="I2910" t="str">
            <v>MD</v>
          </cell>
          <cell r="J2910" t="str">
            <v>High</v>
          </cell>
          <cell r="K2910">
            <v>114162</v>
          </cell>
        </row>
        <row r="2911">
          <cell r="C2911">
            <v>4003798.4941548798</v>
          </cell>
          <cell r="D2911">
            <v>0.79379866913442398</v>
          </cell>
          <cell r="E2911">
            <v>159195</v>
          </cell>
          <cell r="F2911">
            <v>126368.77913285499</v>
          </cell>
          <cell r="G2911">
            <v>3.15622225537424E-2</v>
          </cell>
          <cell r="I2911" t="str">
            <v>MD</v>
          </cell>
          <cell r="J2911" t="str">
            <v>High</v>
          </cell>
          <cell r="K2911">
            <v>156214.66666666666</v>
          </cell>
        </row>
        <row r="2912">
          <cell r="C2912">
            <v>3302920.0613404699</v>
          </cell>
          <cell r="D2912">
            <v>0.74613904675020004</v>
          </cell>
          <cell r="E2912">
            <v>223859</v>
          </cell>
          <cell r="F2912">
            <v>167029.94086645299</v>
          </cell>
          <cell r="G2912">
            <v>5.0570385526879785E-2</v>
          </cell>
          <cell r="I2912" t="str">
            <v>MD</v>
          </cell>
          <cell r="J2912" t="str">
            <v>High</v>
          </cell>
          <cell r="K2912">
            <v>122386.66666666667</v>
          </cell>
        </row>
        <row r="2913">
          <cell r="C2913">
            <v>3155565.92922254</v>
          </cell>
          <cell r="D2913">
            <v>0.77382011342715096</v>
          </cell>
          <cell r="E2913">
            <v>230953</v>
          </cell>
          <cell r="F2913">
            <v>178716.076656341</v>
          </cell>
          <cell r="G2913">
            <v>5.6635190220973325E-2</v>
          </cell>
          <cell r="I2913" t="str">
            <v>MD</v>
          </cell>
          <cell r="J2913" t="str">
            <v>High</v>
          </cell>
          <cell r="K2913">
            <v>117833.33333333333</v>
          </cell>
        </row>
        <row r="2914">
          <cell r="C2914">
            <v>3255286.4739442002</v>
          </cell>
          <cell r="D2914">
            <v>0.760135655791634</v>
          </cell>
          <cell r="E2914">
            <v>243321</v>
          </cell>
          <cell r="F2914">
            <v>184956.967902876</v>
          </cell>
          <cell r="G2914">
            <v>5.6817416649287009E-2</v>
          </cell>
          <cell r="I2914" t="str">
            <v>MD</v>
          </cell>
          <cell r="J2914" t="str">
            <v>High</v>
          </cell>
          <cell r="K2914">
            <v>119910</v>
          </cell>
        </row>
        <row r="2915">
          <cell r="C2915">
            <v>2556704.5429608002</v>
          </cell>
          <cell r="D2915">
            <v>0.72963184116215696</v>
          </cell>
          <cell r="E2915">
            <v>259184</v>
          </cell>
          <cell r="F2915">
            <v>189108.89911977199</v>
          </cell>
          <cell r="G2915">
            <v>7.3965879100278756E-2</v>
          </cell>
          <cell r="I2915" t="str">
            <v>MD</v>
          </cell>
          <cell r="J2915" t="str">
            <v>Med</v>
          </cell>
          <cell r="K2915">
            <v>78620</v>
          </cell>
        </row>
        <row r="2916">
          <cell r="C2916">
            <v>2574662.08801792</v>
          </cell>
          <cell r="D2916">
            <v>0.80304357108999302</v>
          </cell>
          <cell r="E2916">
            <v>251518</v>
          </cell>
          <cell r="F2916">
            <v>201979.91291341299</v>
          </cell>
          <cell r="G2916">
            <v>7.8449095845779665E-2</v>
          </cell>
          <cell r="I2916" t="str">
            <v>MD</v>
          </cell>
          <cell r="J2916" t="str">
            <v>Med</v>
          </cell>
          <cell r="K2916">
            <v>82411.666666666672</v>
          </cell>
        </row>
        <row r="2917">
          <cell r="C2917">
            <v>2217559.0014053802</v>
          </cell>
          <cell r="D2917">
            <v>0.73107548345635898</v>
          </cell>
          <cell r="E2917">
            <v>269432</v>
          </cell>
          <cell r="F2917">
            <v>196975.12965861399</v>
          </cell>
          <cell r="G2917">
            <v>8.8825203538566877E-2</v>
          </cell>
          <cell r="I2917" t="str">
            <v>MD</v>
          </cell>
          <cell r="J2917" t="str">
            <v>Med</v>
          </cell>
          <cell r="K2917">
            <v>64581.333333333336</v>
          </cell>
        </row>
        <row r="2918">
          <cell r="C2918">
            <v>3510230.4534138902</v>
          </cell>
          <cell r="D2918">
            <v>0.81650848633025597</v>
          </cell>
          <cell r="E2918">
            <v>210802</v>
          </cell>
          <cell r="F2918">
            <v>172121.62193539101</v>
          </cell>
          <cell r="G2918">
            <v>4.9034279720293963E-2</v>
          </cell>
          <cell r="I2918" t="str">
            <v>MD</v>
          </cell>
          <cell r="J2918" t="str">
            <v>High</v>
          </cell>
          <cell r="K2918">
            <v>130716.66666666667</v>
          </cell>
        </row>
        <row r="2919">
          <cell r="C2919">
            <v>2237235.6289180699</v>
          </cell>
          <cell r="D2919">
            <v>0.76416366179496298</v>
          </cell>
          <cell r="E2919">
            <v>251391</v>
          </cell>
          <cell r="F2919">
            <v>192103.86710229801</v>
          </cell>
          <cell r="G2919">
            <v>8.586662245996847E-2</v>
          </cell>
          <cell r="I2919" t="str">
            <v>MD</v>
          </cell>
          <cell r="J2919" t="str">
            <v>Med</v>
          </cell>
          <cell r="K2919">
            <v>51362.666666666664</v>
          </cell>
        </row>
        <row r="2920">
          <cell r="C2920">
            <v>2598902.9875934198</v>
          </cell>
          <cell r="D2920">
            <v>0.78152314455034499</v>
          </cell>
          <cell r="E2920">
            <v>230068</v>
          </cell>
          <cell r="F2920">
            <v>179803.466820409</v>
          </cell>
          <cell r="G2920">
            <v>6.9184370358859271E-2</v>
          </cell>
          <cell r="I2920" t="str">
            <v>MD</v>
          </cell>
          <cell r="J2920" t="str">
            <v>Low</v>
          </cell>
          <cell r="K2920">
            <v>25885.333333333332</v>
          </cell>
        </row>
        <row r="2921">
          <cell r="C2921">
            <v>3847490.9220582298</v>
          </cell>
          <cell r="D2921">
            <v>0.76841111211115298</v>
          </cell>
          <cell r="E2921">
            <v>152052</v>
          </cell>
          <cell r="F2921">
            <v>116838.446418725</v>
          </cell>
          <cell r="G2921">
            <v>3.0367439140368869E-2</v>
          </cell>
          <cell r="I2921" t="str">
            <v>MD</v>
          </cell>
          <cell r="J2921" t="str">
            <v>High</v>
          </cell>
          <cell r="K2921">
            <v>159532</v>
          </cell>
        </row>
        <row r="2922">
          <cell r="C2922">
            <v>2878942.5631225798</v>
          </cell>
          <cell r="D2922">
            <v>0.73081213784644306</v>
          </cell>
          <cell r="E2922">
            <v>261350</v>
          </cell>
          <cell r="F2922">
            <v>190997.752226168</v>
          </cell>
          <cell r="G2922">
            <v>6.634302284204191E-2</v>
          </cell>
          <cell r="I2922" t="str">
            <v>MD</v>
          </cell>
          <cell r="J2922" t="str">
            <v>Med</v>
          </cell>
          <cell r="K2922">
            <v>93825.333333333328</v>
          </cell>
        </row>
        <row r="2923">
          <cell r="C2923">
            <v>3113033.8899640101</v>
          </cell>
          <cell r="D2923">
            <v>0.80194557690774804</v>
          </cell>
          <cell r="E2923">
            <v>235032</v>
          </cell>
          <cell r="F2923">
            <v>188482.87283178201</v>
          </cell>
          <cell r="G2923">
            <v>6.0546360718855219E-2</v>
          </cell>
          <cell r="I2923" t="str">
            <v>MD</v>
          </cell>
          <cell r="J2923" t="str">
            <v>High</v>
          </cell>
          <cell r="K2923">
            <v>114162</v>
          </cell>
        </row>
        <row r="2924">
          <cell r="C2924">
            <v>3927330.20745371</v>
          </cell>
          <cell r="D2924">
            <v>0.76238174821577998</v>
          </cell>
          <cell r="E2924">
            <v>176297</v>
          </cell>
          <cell r="F2924">
            <v>134405.61506519699</v>
          </cell>
          <cell r="G2924">
            <v>3.4223151088774648E-2</v>
          </cell>
          <cell r="I2924" t="str">
            <v>MD</v>
          </cell>
          <cell r="J2924" t="str">
            <v>High</v>
          </cell>
          <cell r="K2924">
            <v>156214.66666666666</v>
          </cell>
        </row>
        <row r="2925">
          <cell r="C2925">
            <v>3130871.2299146899</v>
          </cell>
          <cell r="D2925">
            <v>0.76561234728109095</v>
          </cell>
          <cell r="E2925">
            <v>196732</v>
          </cell>
          <cell r="F2925">
            <v>150620.44830530399</v>
          </cell>
          <cell r="G2925">
            <v>4.8108158159353015E-2</v>
          </cell>
          <cell r="I2925" t="str">
            <v>MD</v>
          </cell>
          <cell r="J2925" t="str">
            <v>High</v>
          </cell>
          <cell r="K2925">
            <v>122386.66666666667</v>
          </cell>
        </row>
        <row r="2926">
          <cell r="C2926">
            <v>2991229.4351779199</v>
          </cell>
          <cell r="D2926">
            <v>0.77699866136561702</v>
          </cell>
          <cell r="E2926">
            <v>200708</v>
          </cell>
          <cell r="F2926">
            <v>155949.84732537001</v>
          </cell>
          <cell r="G2926">
            <v>5.2135702293961285E-2</v>
          </cell>
          <cell r="I2926" t="str">
            <v>MD</v>
          </cell>
          <cell r="J2926" t="str">
            <v>High</v>
          </cell>
          <cell r="K2926">
            <v>117833.33333333333</v>
          </cell>
        </row>
        <row r="2927">
          <cell r="C2927">
            <v>3191234.9133232199</v>
          </cell>
          <cell r="D2927">
            <v>0.72483601138317899</v>
          </cell>
          <cell r="E2927">
            <v>222338</v>
          </cell>
          <cell r="F2927">
            <v>161158.58909891301</v>
          </cell>
          <cell r="G2927">
            <v>5.0500384169803764E-2</v>
          </cell>
          <cell r="I2927" t="str">
            <v>MD</v>
          </cell>
          <cell r="J2927" t="str">
            <v>High</v>
          </cell>
          <cell r="K2927">
            <v>119910</v>
          </cell>
        </row>
        <row r="2928">
          <cell r="C2928">
            <v>2452039.30502349</v>
          </cell>
          <cell r="D2928">
            <v>0.70759051633088599</v>
          </cell>
          <cell r="E2928">
            <v>231113</v>
          </cell>
          <cell r="F2928">
            <v>163533.36700078001</v>
          </cell>
          <cell r="G2928">
            <v>6.6692800015786619E-2</v>
          </cell>
          <cell r="I2928" t="str">
            <v>MD</v>
          </cell>
          <cell r="J2928" t="str">
            <v>Med</v>
          </cell>
          <cell r="K2928">
            <v>78620</v>
          </cell>
        </row>
        <row r="2929">
          <cell r="C2929">
            <v>2454850.39129321</v>
          </cell>
          <cell r="D2929">
            <v>0.80089782370815599</v>
          </cell>
          <cell r="E2929">
            <v>217818</v>
          </cell>
          <cell r="F2929">
            <v>174449.96216446301</v>
          </cell>
          <cell r="G2929">
            <v>7.1063378356252149E-2</v>
          </cell>
          <cell r="I2929" t="str">
            <v>MD</v>
          </cell>
          <cell r="J2929" t="str">
            <v>Med</v>
          </cell>
          <cell r="K2929">
            <v>82411.666666666672</v>
          </cell>
        </row>
        <row r="2930">
          <cell r="C2930">
            <v>2135056.0300907199</v>
          </cell>
          <cell r="D2930">
            <v>0.72014878738870303</v>
          </cell>
          <cell r="E2930">
            <v>241435</v>
          </cell>
          <cell r="F2930">
            <v>173869.12248319099</v>
          </cell>
          <cell r="G2930">
            <v>8.14353909371658E-2</v>
          </cell>
          <cell r="I2930" t="str">
            <v>MD</v>
          </cell>
          <cell r="J2930" t="str">
            <v>Med</v>
          </cell>
          <cell r="K2930">
            <v>64581.333333333336</v>
          </cell>
        </row>
        <row r="2931">
          <cell r="C2931">
            <v>3314880.9307937399</v>
          </cell>
          <cell r="D2931">
            <v>0.82495651624732502</v>
          </cell>
          <cell r="E2931">
            <v>182791</v>
          </cell>
          <cell r="F2931">
            <v>150794.626561365</v>
          </cell>
          <cell r="G2931">
            <v>4.5490209063182734E-2</v>
          </cell>
          <cell r="I2931" t="str">
            <v>MD</v>
          </cell>
          <cell r="J2931" t="str">
            <v>High</v>
          </cell>
          <cell r="K2931">
            <v>130716.66666666667</v>
          </cell>
        </row>
        <row r="2932">
          <cell r="C2932">
            <v>2081169.7554365899</v>
          </cell>
          <cell r="D2932">
            <v>0.75418027351091699</v>
          </cell>
          <cell r="E2932">
            <v>218795</v>
          </cell>
          <cell r="F2932">
            <v>165010.87294282101</v>
          </cell>
          <cell r="G2932">
            <v>7.9287560523002537E-2</v>
          </cell>
          <cell r="I2932" t="str">
            <v>MD</v>
          </cell>
          <cell r="J2932" t="str">
            <v>Med</v>
          </cell>
          <cell r="K2932">
            <v>51362.666666666664</v>
          </cell>
        </row>
        <row r="2933">
          <cell r="C2933">
            <v>2444848.84624027</v>
          </cell>
          <cell r="D2933">
            <v>0.80553324170129903</v>
          </cell>
          <cell r="E2933">
            <v>190617</v>
          </cell>
          <cell r="F2933">
            <v>153548.32993337701</v>
          </cell>
          <cell r="G2933">
            <v>6.2804835632070358E-2</v>
          </cell>
          <cell r="I2933" t="str">
            <v>MD</v>
          </cell>
          <cell r="J2933" t="str">
            <v>Low</v>
          </cell>
          <cell r="K2933">
            <v>25885.333333333332</v>
          </cell>
        </row>
        <row r="2934">
          <cell r="C2934">
            <v>3656084.7690848801</v>
          </cell>
          <cell r="D2934">
            <v>0.78189136744551102</v>
          </cell>
          <cell r="E2934">
            <v>131453</v>
          </cell>
          <cell r="F2934">
            <v>102781.965924815</v>
          </cell>
          <cell r="G2934">
            <v>2.8112577365251128E-2</v>
          </cell>
          <cell r="I2934" t="str">
            <v>MD</v>
          </cell>
          <cell r="J2934" t="str">
            <v>High</v>
          </cell>
          <cell r="K2934">
            <v>159532</v>
          </cell>
        </row>
        <row r="2935">
          <cell r="C2935">
            <v>2728740.4186655702</v>
          </cell>
          <cell r="D2935">
            <v>0.731801984610152</v>
          </cell>
          <cell r="E2935">
            <v>222458</v>
          </cell>
          <cell r="F2935">
            <v>162795.20589240501</v>
          </cell>
          <cell r="G2935">
            <v>5.9659469540901358E-2</v>
          </cell>
          <cell r="I2935" t="str">
            <v>MD</v>
          </cell>
          <cell r="J2935" t="str">
            <v>Med</v>
          </cell>
          <cell r="K2935">
            <v>93825.333333333328</v>
          </cell>
        </row>
        <row r="2936">
          <cell r="C2936">
            <v>3002190.8776960401</v>
          </cell>
          <cell r="D2936">
            <v>0.78166018242624102</v>
          </cell>
          <cell r="E2936">
            <v>211384</v>
          </cell>
          <cell r="F2936">
            <v>165230.45600198899</v>
          </cell>
          <cell r="G2936">
            <v>5.5036625828665219E-2</v>
          </cell>
          <cell r="I2936" t="str">
            <v>MD</v>
          </cell>
          <cell r="J2936" t="str">
            <v>High</v>
          </cell>
          <cell r="K2936">
            <v>114162</v>
          </cell>
        </row>
        <row r="2937">
          <cell r="C2937">
            <v>3698307.57090306</v>
          </cell>
          <cell r="D2937">
            <v>0.77862287414275599</v>
          </cell>
          <cell r="E2937">
            <v>150573</v>
          </cell>
          <cell r="F2937">
            <v>117239.58202829699</v>
          </cell>
          <cell r="G2937">
            <v>3.1700873921546011E-2</v>
          </cell>
          <cell r="I2937" t="str">
            <v>MD</v>
          </cell>
          <cell r="J2937" t="str">
            <v>High</v>
          </cell>
          <cell r="K2937">
            <v>156214.66666666666</v>
          </cell>
        </row>
        <row r="2938">
          <cell r="C2938">
            <v>3090515.1587123298</v>
          </cell>
          <cell r="D2938">
            <v>0.73944648503129096</v>
          </cell>
          <cell r="E2938">
            <v>186638</v>
          </cell>
          <cell r="F2938">
            <v>138008.81307326999</v>
          </cell>
          <cell r="G2938">
            <v>4.4655601408139241E-2</v>
          </cell>
          <cell r="I2938" t="str">
            <v>MD</v>
          </cell>
          <cell r="J2938" t="str">
            <v>High</v>
          </cell>
          <cell r="K2938">
            <v>122386.66666666667</v>
          </cell>
        </row>
        <row r="2939">
          <cell r="C2939">
            <v>2997108.0483414498</v>
          </cell>
          <cell r="D2939">
            <v>0.75938832750642205</v>
          </cell>
          <cell r="E2939">
            <v>192927</v>
          </cell>
          <cell r="F2939">
            <v>146506.51186083199</v>
          </cell>
          <cell r="G2939">
            <v>4.888262601740577E-2</v>
          </cell>
          <cell r="I2939" t="str">
            <v>MD</v>
          </cell>
          <cell r="J2939" t="str">
            <v>High</v>
          </cell>
          <cell r="K2939">
            <v>117833.33333333333</v>
          </cell>
        </row>
        <row r="2940">
          <cell r="C2940">
            <v>3181024.3053584001</v>
          </cell>
          <cell r="D2940">
            <v>0.75136002418032</v>
          </cell>
          <cell r="E2940">
            <v>209065</v>
          </cell>
          <cell r="F2940">
            <v>157083.08345525901</v>
          </cell>
          <cell r="G2940">
            <v>4.9381289916790104E-2</v>
          </cell>
          <cell r="I2940" t="str">
            <v>MD</v>
          </cell>
          <cell r="J2940" t="str">
            <v>High</v>
          </cell>
          <cell r="K2940">
            <v>119910</v>
          </cell>
        </row>
        <row r="2941">
          <cell r="C2941">
            <v>2497604.9201996499</v>
          </cell>
          <cell r="D2941">
            <v>0.71016031572721405</v>
          </cell>
          <cell r="E2941">
            <v>229524</v>
          </cell>
          <cell r="F2941">
            <v>162998.83630697301</v>
          </cell>
          <cell r="G2941">
            <v>6.5262057657198821E-2</v>
          </cell>
          <cell r="I2941" t="str">
            <v>MD</v>
          </cell>
          <cell r="J2941" t="str">
            <v>Med</v>
          </cell>
          <cell r="K2941">
            <v>78620</v>
          </cell>
        </row>
        <row r="2942">
          <cell r="C2942">
            <v>2399931.51358253</v>
          </cell>
          <cell r="D2942">
            <v>0.77451862913908198</v>
          </cell>
          <cell r="E2942">
            <v>210335</v>
          </cell>
          <cell r="F2942">
            <v>162908.375859969</v>
          </cell>
          <cell r="G2942">
            <v>6.7880426978012109E-2</v>
          </cell>
          <cell r="I2942" t="str">
            <v>MD</v>
          </cell>
          <cell r="J2942" t="str">
            <v>Med</v>
          </cell>
          <cell r="K2942">
            <v>82411.666666666672</v>
          </cell>
        </row>
        <row r="2943">
          <cell r="C2943">
            <v>2162058.54265637</v>
          </cell>
          <cell r="D2943">
            <v>0.74047274908637295</v>
          </cell>
          <cell r="E2943">
            <v>226278</v>
          </cell>
          <cell r="F2943">
            <v>167552.69271776601</v>
          </cell>
          <cell r="G2943">
            <v>7.7496834341916454E-2</v>
          </cell>
          <cell r="I2943" t="str">
            <v>MD</v>
          </cell>
          <cell r="J2943" t="str">
            <v>Med</v>
          </cell>
          <cell r="K2943">
            <v>64581.333333333336</v>
          </cell>
        </row>
        <row r="2944">
          <cell r="C2944">
            <v>3364453.3887854302</v>
          </cell>
          <cell r="D2944">
            <v>0.80295541971255902</v>
          </cell>
          <cell r="E2944">
            <v>182740</v>
          </cell>
          <cell r="F2944">
            <v>146732.073398273</v>
          </cell>
          <cell r="G2944">
            <v>4.3612455410251168E-2</v>
          </cell>
          <cell r="I2944" t="str">
            <v>MD</v>
          </cell>
          <cell r="J2944" t="str">
            <v>High</v>
          </cell>
          <cell r="K2944">
            <v>130716.66666666667</v>
          </cell>
        </row>
        <row r="2945">
          <cell r="C2945">
            <v>2081528.74645657</v>
          </cell>
          <cell r="D2945">
            <v>0.78076062673055502</v>
          </cell>
          <cell r="E2945">
            <v>205780</v>
          </cell>
          <cell r="F2945">
            <v>160664.921768614</v>
          </cell>
          <cell r="G2945">
            <v>7.7186021111703251E-2</v>
          </cell>
          <cell r="I2945" t="str">
            <v>MD</v>
          </cell>
          <cell r="J2945" t="str">
            <v>Med</v>
          </cell>
          <cell r="K2945">
            <v>51362.666666666664</v>
          </cell>
        </row>
        <row r="2946">
          <cell r="C2946">
            <v>2444186.6819779198</v>
          </cell>
          <cell r="D2946">
            <v>0.79214759246904598</v>
          </cell>
          <cell r="E2946">
            <v>189572</v>
          </cell>
          <cell r="F2946">
            <v>150169.00339954201</v>
          </cell>
          <cell r="G2946">
            <v>6.1439252781632904E-2</v>
          </cell>
          <cell r="I2946" t="str">
            <v>MD</v>
          </cell>
          <cell r="J2946" t="str">
            <v>Low</v>
          </cell>
          <cell r="K2946">
            <v>25885.333333333332</v>
          </cell>
        </row>
        <row r="2947">
          <cell r="C2947">
            <v>3634323.4248923399</v>
          </cell>
          <cell r="D2947">
            <v>0.79134212221073996</v>
          </cell>
          <cell r="E2947">
            <v>122012</v>
          </cell>
          <cell r="F2947">
            <v>96553.235015176804</v>
          </cell>
          <cell r="G2947">
            <v>2.6567045286575455E-2</v>
          </cell>
          <cell r="I2947" t="str">
            <v>MD</v>
          </cell>
          <cell r="J2947" t="str">
            <v>High</v>
          </cell>
          <cell r="K2947">
            <v>159532</v>
          </cell>
        </row>
        <row r="2948">
          <cell r="C2948">
            <v>2777058.33022126</v>
          </cell>
          <cell r="D2948">
            <v>0.77190161049147499</v>
          </cell>
          <cell r="E2948">
            <v>210000</v>
          </cell>
          <cell r="F2948">
            <v>162099.33820321001</v>
          </cell>
          <cell r="G2948">
            <v>5.8370879876439206E-2</v>
          </cell>
          <cell r="I2948" t="str">
            <v>MD</v>
          </cell>
          <cell r="J2948" t="str">
            <v>Med</v>
          </cell>
          <cell r="K2948">
            <v>93825.333333333328</v>
          </cell>
        </row>
        <row r="2949">
          <cell r="C2949">
            <v>3072540.37810056</v>
          </cell>
          <cell r="D2949">
            <v>0.76490815652515898</v>
          </cell>
          <cell r="E2949">
            <v>208211</v>
          </cell>
          <cell r="F2949">
            <v>159262.29217825999</v>
          </cell>
          <cell r="G2949">
            <v>5.1834076230013841E-2</v>
          </cell>
          <cell r="I2949" t="str">
            <v>MD</v>
          </cell>
          <cell r="J2949" t="str">
            <v>High</v>
          </cell>
          <cell r="K2949">
            <v>114162</v>
          </cell>
        </row>
        <row r="2950">
          <cell r="C2950">
            <v>3704452.12071884</v>
          </cell>
          <cell r="D2950">
            <v>0.78380562158883804</v>
          </cell>
          <cell r="E2950">
            <v>143817</v>
          </cell>
          <cell r="F2950">
            <v>112724.573080042</v>
          </cell>
          <cell r="G2950">
            <v>3.0429485766485777E-2</v>
          </cell>
          <cell r="I2950" t="str">
            <v>MD</v>
          </cell>
          <cell r="J2950" t="str">
            <v>High</v>
          </cell>
          <cell r="K2950">
            <v>156214.66666666666</v>
          </cell>
        </row>
        <row r="2951">
          <cell r="C2951">
            <v>3793615.5798100499</v>
          </cell>
          <cell r="D2951">
            <v>0.76557431870825499</v>
          </cell>
          <cell r="E2951">
            <v>178679</v>
          </cell>
          <cell r="F2951">
            <v>136792.05369247199</v>
          </cell>
          <cell r="G2951">
            <v>3.6058491118734097E-2</v>
          </cell>
          <cell r="I2951" t="str">
            <v>MD</v>
          </cell>
          <cell r="J2951" t="str">
            <v>High</v>
          </cell>
          <cell r="K2951">
            <v>122386.66666666667</v>
          </cell>
        </row>
        <row r="2952">
          <cell r="C2952">
            <v>3656861.01246604</v>
          </cell>
          <cell r="D2952">
            <v>0.80121030820616201</v>
          </cell>
          <cell r="E2952">
            <v>178947</v>
          </cell>
          <cell r="F2952">
            <v>143374.18102256799</v>
          </cell>
          <cell r="G2952">
            <v>3.9206899177686334E-2</v>
          </cell>
          <cell r="I2952" t="str">
            <v>MD</v>
          </cell>
          <cell r="J2952" t="str">
            <v>High</v>
          </cell>
          <cell r="K2952">
            <v>117833.33333333333</v>
          </cell>
        </row>
        <row r="2953">
          <cell r="C2953">
            <v>3895684.63353553</v>
          </cell>
          <cell r="D2953">
            <v>0.76523622615223696</v>
          </cell>
          <cell r="E2953">
            <v>198935</v>
          </cell>
          <cell r="F2953">
            <v>152232.268649595</v>
          </cell>
          <cell r="G2953">
            <v>3.9077154074311338E-2</v>
          </cell>
          <cell r="I2953" t="str">
            <v>MD</v>
          </cell>
          <cell r="J2953" t="str">
            <v>High</v>
          </cell>
          <cell r="K2953">
            <v>119910</v>
          </cell>
        </row>
        <row r="2954">
          <cell r="C2954">
            <v>3033247.61202069</v>
          </cell>
          <cell r="D2954">
            <v>0.74904444273202997</v>
          </cell>
          <cell r="E2954">
            <v>206806</v>
          </cell>
          <cell r="F2954">
            <v>154906.88502364</v>
          </cell>
          <cell r="G2954">
            <v>5.1069647070601028E-2</v>
          </cell>
          <cell r="I2954" t="str">
            <v>MD</v>
          </cell>
          <cell r="J2954" t="str">
            <v>Med</v>
          </cell>
          <cell r="K2954">
            <v>78620</v>
          </cell>
        </row>
        <row r="2955">
          <cell r="C2955">
            <v>2971446.3946784702</v>
          </cell>
          <cell r="D2955">
            <v>0.80963909049925198</v>
          </cell>
          <cell r="E2955">
            <v>197420</v>
          </cell>
          <cell r="F2955">
            <v>159838.949246362</v>
          </cell>
          <cell r="G2955">
            <v>5.3791631419841786E-2</v>
          </cell>
          <cell r="I2955" t="str">
            <v>MD</v>
          </cell>
          <cell r="J2955" t="str">
            <v>Med</v>
          </cell>
          <cell r="K2955">
            <v>82411.666666666672</v>
          </cell>
        </row>
        <row r="2956">
          <cell r="C2956">
            <v>2656578.4743638802</v>
          </cell>
          <cell r="D2956">
            <v>0.76264005770193699</v>
          </cell>
          <cell r="E2956">
            <v>213381</v>
          </cell>
          <cell r="F2956">
            <v>162732.89815249699</v>
          </cell>
          <cell r="G2956">
            <v>6.1256574847262324E-2</v>
          </cell>
          <cell r="I2956" t="str">
            <v>MD</v>
          </cell>
          <cell r="J2956" t="str">
            <v>Med</v>
          </cell>
          <cell r="K2956">
            <v>64581.333333333336</v>
          </cell>
        </row>
        <row r="2957">
          <cell r="C2957">
            <v>4048052.8347826102</v>
          </cell>
          <cell r="D2957">
            <v>0.81164739093099603</v>
          </cell>
          <cell r="E2957">
            <v>166847</v>
          </cell>
          <cell r="F2957">
            <v>135420.93223466401</v>
          </cell>
          <cell r="G2957">
            <v>3.3453350971871992E-2</v>
          </cell>
          <cell r="I2957" t="str">
            <v>MD</v>
          </cell>
          <cell r="J2957" t="str">
            <v>High</v>
          </cell>
          <cell r="K2957">
            <v>130716.66666666667</v>
          </cell>
        </row>
        <row r="2958">
          <cell r="C2958">
            <v>2539961.5210634898</v>
          </cell>
          <cell r="D2958">
            <v>0.80217138902322005</v>
          </cell>
          <cell r="E2958">
            <v>184101</v>
          </cell>
          <cell r="F2958">
            <v>147680.554890564</v>
          </cell>
          <cell r="G2958">
            <v>5.8142831560979588E-2</v>
          </cell>
          <cell r="I2958" t="str">
            <v>MD</v>
          </cell>
          <cell r="J2958" t="str">
            <v>Med</v>
          </cell>
          <cell r="K2958">
            <v>51362.666666666664</v>
          </cell>
        </row>
        <row r="2959">
          <cell r="C2959">
            <v>2989655.58520093</v>
          </cell>
          <cell r="D2959">
            <v>0.77939428406144395</v>
          </cell>
          <cell r="E2959">
            <v>183251</v>
          </cell>
          <cell r="F2959">
            <v>142824.781948544</v>
          </cell>
          <cell r="G2959">
            <v>4.7772988519326376E-2</v>
          </cell>
          <cell r="I2959" t="str">
            <v>MD</v>
          </cell>
          <cell r="J2959" t="str">
            <v>Low</v>
          </cell>
          <cell r="K2959">
            <v>25885.333333333332</v>
          </cell>
        </row>
        <row r="2960">
          <cell r="C2960">
            <v>4405923.0015662797</v>
          </cell>
          <cell r="D2960">
            <v>0.78736948675782603</v>
          </cell>
          <cell r="E2960">
            <v>115433</v>
          </cell>
          <cell r="F2960">
            <v>90888.421964916197</v>
          </cell>
          <cell r="G2960">
            <v>2.0628690499721828E-2</v>
          </cell>
          <cell r="I2960" t="str">
            <v>MD</v>
          </cell>
          <cell r="J2960" t="str">
            <v>High</v>
          </cell>
          <cell r="K2960">
            <v>159532</v>
          </cell>
        </row>
        <row r="2961">
          <cell r="C2961">
            <v>3417662.2016878002</v>
          </cell>
          <cell r="D2961">
            <v>0.75088906276117895</v>
          </cell>
          <cell r="E2961">
            <v>208596</v>
          </cell>
          <cell r="F2961">
            <v>156632.45493573099</v>
          </cell>
          <cell r="G2961">
            <v>4.5830291495273762E-2</v>
          </cell>
          <cell r="I2961" t="str">
            <v>MD</v>
          </cell>
          <cell r="J2961" t="str">
            <v>Med</v>
          </cell>
          <cell r="K2961">
            <v>93825.333333333328</v>
          </cell>
        </row>
        <row r="2962">
          <cell r="C2962">
            <v>3654501.6750239702</v>
          </cell>
          <cell r="D2962">
            <v>0.76559196452408096</v>
          </cell>
          <cell r="E2962">
            <v>195558</v>
          </cell>
          <cell r="F2962">
            <v>149717.63339840001</v>
          </cell>
          <cell r="G2962">
            <v>4.0968002401426729E-2</v>
          </cell>
          <cell r="I2962" t="str">
            <v>MD</v>
          </cell>
          <cell r="J2962" t="str">
            <v>High</v>
          </cell>
          <cell r="K2962">
            <v>114162</v>
          </cell>
        </row>
        <row r="2963">
          <cell r="C2963">
            <v>4532447.2524679303</v>
          </cell>
          <cell r="D2963">
            <v>0.77674087917063395</v>
          </cell>
          <cell r="E2963">
            <v>139428</v>
          </cell>
          <cell r="F2963">
            <v>108299.427301003</v>
          </cell>
          <cell r="G2963">
            <v>2.3894249898227422E-2</v>
          </cell>
          <cell r="I2963" t="str">
            <v>MD</v>
          </cell>
          <cell r="J2963" t="str">
            <v>High</v>
          </cell>
          <cell r="K2963">
            <v>156214.66666666666</v>
          </cell>
        </row>
        <row r="2964">
          <cell r="C2964">
            <v>4290020.6886846302</v>
          </cell>
          <cell r="D2964">
            <v>0.75012523756332905</v>
          </cell>
          <cell r="E2964">
            <v>169495</v>
          </cell>
          <cell r="F2964">
            <v>127142.47714079601</v>
          </cell>
          <cell r="G2964">
            <v>2.9636798133898825E-2</v>
          </cell>
          <cell r="I2964" t="str">
            <v>MD</v>
          </cell>
          <cell r="J2964" t="str">
            <v>High</v>
          </cell>
          <cell r="K2964">
            <v>122386.66666666667</v>
          </cell>
        </row>
        <row r="2965">
          <cell r="C2965">
            <v>4223409.2511549201</v>
          </cell>
          <cell r="D2965">
            <v>0.77968720668264202</v>
          </cell>
          <cell r="E2965">
            <v>175382</v>
          </cell>
          <cell r="F2965">
            <v>136743.101682415</v>
          </cell>
          <cell r="G2965">
            <v>3.2377421545170329E-2</v>
          </cell>
          <cell r="I2965" t="str">
            <v>MD</v>
          </cell>
          <cell r="J2965" t="str">
            <v>High</v>
          </cell>
          <cell r="K2965">
            <v>117833.33333333333</v>
          </cell>
        </row>
        <row r="2966">
          <cell r="C2966">
            <v>4392112.5020821597</v>
          </cell>
          <cell r="D2966">
            <v>0.75448136321176096</v>
          </cell>
          <cell r="E2966">
            <v>193694</v>
          </cell>
          <cell r="F2966">
            <v>146138.51316593899</v>
          </cell>
          <cell r="G2966">
            <v>3.3272943964131017E-2</v>
          </cell>
          <cell r="I2966" t="str">
            <v>MD</v>
          </cell>
          <cell r="J2966" t="str">
            <v>High</v>
          </cell>
          <cell r="K2966">
            <v>119910</v>
          </cell>
        </row>
        <row r="2967">
          <cell r="C2967">
            <v>3411158.9279306801</v>
          </cell>
          <cell r="D2967">
            <v>0.74548062533128301</v>
          </cell>
          <cell r="E2967">
            <v>193257</v>
          </cell>
          <cell r="F2967">
            <v>144069.349209648</v>
          </cell>
          <cell r="G2967">
            <v>4.2234722055898212E-2</v>
          </cell>
          <cell r="I2967" t="str">
            <v>MD</v>
          </cell>
          <cell r="J2967" t="str">
            <v>Med</v>
          </cell>
          <cell r="K2967">
            <v>78620</v>
          </cell>
        </row>
        <row r="2968">
          <cell r="C2968">
            <v>3336652.54335903</v>
          </cell>
          <cell r="D2968">
            <v>0.79061849518420302</v>
          </cell>
          <cell r="E2968">
            <v>190630</v>
          </cell>
          <cell r="F2968">
            <v>150715.60373696499</v>
          </cell>
          <cell r="G2968">
            <v>4.5169702801970087E-2</v>
          </cell>
          <cell r="I2968" t="str">
            <v>MD</v>
          </cell>
          <cell r="J2968" t="str">
            <v>Med</v>
          </cell>
          <cell r="K2968">
            <v>82411.666666666672</v>
          </cell>
        </row>
        <row r="2969">
          <cell r="C2969">
            <v>2987546.9964719098</v>
          </cell>
          <cell r="D2969">
            <v>0.74098795115779703</v>
          </cell>
          <cell r="E2969">
            <v>205296</v>
          </cell>
          <cell r="F2969">
            <v>152121.862420891</v>
          </cell>
          <cell r="G2969">
            <v>5.0918650853203851E-2</v>
          </cell>
          <cell r="I2969" t="str">
            <v>MD</v>
          </cell>
          <cell r="J2969" t="str">
            <v>Med</v>
          </cell>
          <cell r="K2969">
            <v>64581.333333333336</v>
          </cell>
        </row>
        <row r="2970">
          <cell r="C2970">
            <v>4697848.25466632</v>
          </cell>
          <cell r="D2970">
            <v>0.82964231509244402</v>
          </cell>
          <cell r="E2970">
            <v>162476</v>
          </cell>
          <cell r="F2970">
            <v>134796.96478695999</v>
          </cell>
          <cell r="G2970">
            <v>2.8693341606568001E-2</v>
          </cell>
          <cell r="I2970" t="str">
            <v>MD</v>
          </cell>
          <cell r="J2970" t="str">
            <v>High</v>
          </cell>
          <cell r="K2970">
            <v>130716.66666666667</v>
          </cell>
        </row>
        <row r="2971">
          <cell r="C2971">
            <v>2863878.2150897202</v>
          </cell>
          <cell r="D2971">
            <v>0.79255867211742603</v>
          </cell>
          <cell r="E2971">
            <v>178077</v>
          </cell>
          <cell r="F2971">
            <v>141136.47065465499</v>
          </cell>
          <cell r="G2971">
            <v>4.9281589528147388E-2</v>
          </cell>
          <cell r="I2971" t="str">
            <v>MD</v>
          </cell>
          <cell r="J2971" t="str">
            <v>Med</v>
          </cell>
          <cell r="K2971">
            <v>51362.666666666664</v>
          </cell>
        </row>
        <row r="2972">
          <cell r="C2972">
            <v>3394462.0401828499</v>
          </cell>
          <cell r="D2972">
            <v>0.79533456794901403</v>
          </cell>
          <cell r="E2972">
            <v>170318</v>
          </cell>
          <cell r="F2972">
            <v>135459.79294394</v>
          </cell>
          <cell r="G2972">
            <v>3.9906115119391107E-2</v>
          </cell>
          <cell r="I2972" t="str">
            <v>MD</v>
          </cell>
          <cell r="J2972" t="str">
            <v>Low</v>
          </cell>
          <cell r="K2972">
            <v>25885.333333333332</v>
          </cell>
        </row>
        <row r="2973">
          <cell r="C2973">
            <v>5013539.5685873898</v>
          </cell>
          <cell r="D2973">
            <v>0.79495731428253302</v>
          </cell>
          <cell r="E2973">
            <v>111041</v>
          </cell>
          <cell r="F2973">
            <v>88272.855135246806</v>
          </cell>
          <cell r="G2973">
            <v>1.7606893079756519E-2</v>
          </cell>
          <cell r="I2973" t="str">
            <v>MD</v>
          </cell>
          <cell r="J2973" t="str">
            <v>High</v>
          </cell>
          <cell r="K2973">
            <v>159532</v>
          </cell>
        </row>
        <row r="2974">
          <cell r="C2974">
            <v>3869713.3785063801</v>
          </cell>
          <cell r="D2974">
            <v>0.75719611635745598</v>
          </cell>
          <cell r="E2974">
            <v>195782</v>
          </cell>
          <cell r="F2974">
            <v>148245.37005269501</v>
          </cell>
          <cell r="G2974">
            <v>3.8309134437733032E-2</v>
          </cell>
          <cell r="I2974" t="str">
            <v>MD</v>
          </cell>
          <cell r="J2974" t="str">
            <v>Med</v>
          </cell>
          <cell r="K2974">
            <v>93825.333333333328</v>
          </cell>
        </row>
        <row r="2975">
          <cell r="C2975">
            <v>4250952.3992611403</v>
          </cell>
          <cell r="D2975">
            <v>0.77272525466890496</v>
          </cell>
          <cell r="E2975">
            <v>186817</v>
          </cell>
          <cell r="F2975">
            <v>144358.21390148101</v>
          </cell>
          <cell r="G2975">
            <v>3.3959028552418502E-2</v>
          </cell>
          <cell r="I2975" t="str">
            <v>MD</v>
          </cell>
          <cell r="J2975" t="str">
            <v>High</v>
          </cell>
          <cell r="K2975">
            <v>114162</v>
          </cell>
        </row>
        <row r="2976">
          <cell r="C2976">
            <v>5197731.69378688</v>
          </cell>
          <cell r="D2976">
            <v>0.77944669204805905</v>
          </cell>
          <cell r="E2976">
            <v>131897</v>
          </cell>
          <cell r="F2976">
            <v>102806.68034106299</v>
          </cell>
          <cell r="G2976">
            <v>1.9779143364393584E-2</v>
          </cell>
          <cell r="I2976" t="str">
            <v>MD</v>
          </cell>
          <cell r="J2976" t="str">
            <v>High</v>
          </cell>
          <cell r="K2976">
            <v>156214.66666666666</v>
          </cell>
        </row>
        <row r="2977">
          <cell r="C2977">
            <v>4511660.15167649</v>
          </cell>
          <cell r="D2977">
            <v>0.76133678150335105</v>
          </cell>
          <cell r="E2977">
            <v>163652</v>
          </cell>
          <cell r="F2977">
            <v>124594.28696658601</v>
          </cell>
          <cell r="G2977">
            <v>2.7616062109706546E-2</v>
          </cell>
          <cell r="I2977" t="str">
            <v>MD</v>
          </cell>
          <cell r="J2977" t="str">
            <v>High</v>
          </cell>
          <cell r="K2977">
            <v>122386.66666666667</v>
          </cell>
        </row>
        <row r="2978">
          <cell r="C2978">
            <v>4411229.2956914902</v>
          </cell>
          <cell r="D2978">
            <v>0.81322271168858296</v>
          </cell>
          <cell r="E2978">
            <v>169693</v>
          </cell>
          <cell r="F2978">
            <v>137998.20161457101</v>
          </cell>
          <cell r="G2978">
            <v>3.12833889068872E-2</v>
          </cell>
          <cell r="I2978" t="str">
            <v>MD</v>
          </cell>
          <cell r="J2978" t="str">
            <v>High</v>
          </cell>
          <cell r="K2978">
            <v>117833.33333333333</v>
          </cell>
        </row>
        <row r="2979">
          <cell r="C2979">
            <v>4578177.6625955896</v>
          </cell>
          <cell r="D2979">
            <v>0.74623593020656098</v>
          </cell>
          <cell r="E2979">
            <v>185679</v>
          </cell>
          <cell r="F2979">
            <v>138560.34128482401</v>
          </cell>
          <cell r="G2979">
            <v>3.0265391930261499E-2</v>
          </cell>
          <cell r="I2979" t="str">
            <v>MD</v>
          </cell>
          <cell r="J2979" t="str">
            <v>High</v>
          </cell>
          <cell r="K2979">
            <v>119910</v>
          </cell>
        </row>
        <row r="2980">
          <cell r="C2980">
            <v>3557378.98261058</v>
          </cell>
          <cell r="D2980">
            <v>0.72539656245128203</v>
          </cell>
          <cell r="E2980">
            <v>194203</v>
          </cell>
          <cell r="F2980">
            <v>140874.188617726</v>
          </cell>
          <cell r="G2980">
            <v>3.9600556844338684E-2</v>
          </cell>
          <cell r="I2980" t="str">
            <v>MD</v>
          </cell>
          <cell r="J2980" t="str">
            <v>Med</v>
          </cell>
          <cell r="K2980">
            <v>78620</v>
          </cell>
        </row>
        <row r="2981">
          <cell r="C2981">
            <v>3536127.9694034499</v>
          </cell>
          <cell r="D2981">
            <v>0.79119323069196801</v>
          </cell>
          <cell r="E2981">
            <v>183730</v>
          </cell>
          <cell r="F2981">
            <v>145365.93227503501</v>
          </cell>
          <cell r="G2981">
            <v>4.1108787219473412E-2</v>
          </cell>
          <cell r="I2981" t="str">
            <v>MD</v>
          </cell>
          <cell r="J2981" t="str">
            <v>Med</v>
          </cell>
          <cell r="K2981">
            <v>82411.666666666672</v>
          </cell>
        </row>
        <row r="2982">
          <cell r="C2982">
            <v>3176354.7750341501</v>
          </cell>
          <cell r="D2982">
            <v>0.74466369284626399</v>
          </cell>
          <cell r="E2982">
            <v>201762</v>
          </cell>
          <cell r="F2982">
            <v>150244.835996048</v>
          </cell>
          <cell r="G2982">
            <v>4.7301024802694679E-2</v>
          </cell>
          <cell r="I2982" t="str">
            <v>MD</v>
          </cell>
          <cell r="J2982" t="str">
            <v>Med</v>
          </cell>
          <cell r="K2982">
            <v>64581.333333333336</v>
          </cell>
        </row>
        <row r="2983">
          <cell r="C2983">
            <v>4865186.3663321203</v>
          </cell>
          <cell r="D2983">
            <v>0.82400743971245805</v>
          </cell>
          <cell r="E2983">
            <v>156612</v>
          </cell>
          <cell r="F2983">
            <v>129049.453148247</v>
          </cell>
          <cell r="G2983">
            <v>2.6525079088704634E-2</v>
          </cell>
          <cell r="I2983" t="str">
            <v>MD</v>
          </cell>
          <cell r="J2983" t="str">
            <v>High</v>
          </cell>
          <cell r="K2983">
            <v>130716.66666666667</v>
          </cell>
        </row>
        <row r="2984">
          <cell r="C2984">
            <v>2987225.56345096</v>
          </cell>
          <cell r="D2984">
            <v>0.79561040530386595</v>
          </cell>
          <cell r="E2984">
            <v>173270</v>
          </cell>
          <cell r="F2984">
            <v>137855.41492700099</v>
          </cell>
          <cell r="G2984">
            <v>4.6148311200090636E-2</v>
          </cell>
          <cell r="I2984" t="str">
            <v>MD</v>
          </cell>
          <cell r="J2984" t="str">
            <v>Med</v>
          </cell>
          <cell r="K2984">
            <v>51362.666666666664</v>
          </cell>
        </row>
        <row r="2985">
          <cell r="C2985">
            <v>3580058.4188712202</v>
          </cell>
          <cell r="D2985">
            <v>0.79889400554785395</v>
          </cell>
          <cell r="E2985">
            <v>165635</v>
          </cell>
          <cell r="F2985">
            <v>132324.808608919</v>
          </cell>
          <cell r="G2985">
            <v>3.696163389720343E-2</v>
          </cell>
          <cell r="I2985" t="str">
            <v>MD</v>
          </cell>
          <cell r="J2985" t="str">
            <v>Low</v>
          </cell>
          <cell r="K2985">
            <v>25885.333333333332</v>
          </cell>
        </row>
        <row r="2986">
          <cell r="C2986">
            <v>5266813.2649145704</v>
          </cell>
          <cell r="D2986">
            <v>0.80193247857322902</v>
          </cell>
          <cell r="E2986">
            <v>104094</v>
          </cell>
          <cell r="F2986">
            <v>83476.359424601702</v>
          </cell>
          <cell r="G2986">
            <v>1.5849500490303734E-2</v>
          </cell>
          <cell r="I2986" t="str">
            <v>MD</v>
          </cell>
          <cell r="J2986" t="str">
            <v>High</v>
          </cell>
          <cell r="K2986">
            <v>159532</v>
          </cell>
        </row>
        <row r="2987">
          <cell r="C2987">
            <v>3985654.9819688201</v>
          </cell>
          <cell r="D2987">
            <v>0.74183971801172899</v>
          </cell>
          <cell r="E2987">
            <v>191724</v>
          </cell>
          <cell r="F2987">
            <v>142228.478096081</v>
          </cell>
          <cell r="G2987">
            <v>3.5685095358109362E-2</v>
          </cell>
          <cell r="I2987" t="str">
            <v>MD</v>
          </cell>
          <cell r="J2987" t="str">
            <v>Med</v>
          </cell>
          <cell r="K2987">
            <v>93825.333333333328</v>
          </cell>
        </row>
        <row r="2988">
          <cell r="C2988">
            <v>4407626.9342910601</v>
          </cell>
          <cell r="D2988">
            <v>0.777769594752166</v>
          </cell>
          <cell r="E2988">
            <v>183075</v>
          </cell>
          <cell r="F2988">
            <v>142390.16855925301</v>
          </cell>
          <cell r="G2988">
            <v>3.2305403946841886E-2</v>
          </cell>
          <cell r="I2988" t="str">
            <v>MD</v>
          </cell>
          <cell r="J2988" t="str">
            <v>High</v>
          </cell>
          <cell r="K2988">
            <v>114162</v>
          </cell>
        </row>
        <row r="2989">
          <cell r="C2989">
            <v>5298265.1183531201</v>
          </cell>
          <cell r="D2989">
            <v>0.77234904990674103</v>
          </cell>
          <cell r="E2989">
            <v>126276</v>
          </cell>
          <cell r="F2989">
            <v>97529.148626023598</v>
          </cell>
          <cell r="G2989">
            <v>1.8407751678598323E-2</v>
          </cell>
          <cell r="I2989" t="str">
            <v>MD</v>
          </cell>
          <cell r="J2989" t="str">
            <v>High</v>
          </cell>
          <cell r="K2989">
            <v>156214.66666666666</v>
          </cell>
        </row>
        <row r="2990">
          <cell r="C2990">
            <v>2084651.7545931099</v>
          </cell>
          <cell r="D2990">
            <v>0.65749051039582695</v>
          </cell>
          <cell r="E2990">
            <v>163288</v>
          </cell>
          <cell r="F2990">
            <v>107360.310461514</v>
          </cell>
          <cell r="G2990">
            <v>5.1500357421793451E-2</v>
          </cell>
          <cell r="I2990" t="str">
            <v>MD</v>
          </cell>
          <cell r="J2990" t="str">
            <v>Med</v>
          </cell>
          <cell r="K2990">
            <v>85215.666666666672</v>
          </cell>
        </row>
        <row r="2991">
          <cell r="C2991">
            <v>2083010.1038854001</v>
          </cell>
          <cell r="D2991">
            <v>0.67664289301818703</v>
          </cell>
          <cell r="E2991">
            <v>141107</v>
          </cell>
          <cell r="F2991">
            <v>95479.048705117297</v>
          </cell>
          <cell r="G2991">
            <v>4.5837055003728498E-2</v>
          </cell>
          <cell r="I2991" t="str">
            <v>MD</v>
          </cell>
          <cell r="J2991" t="str">
            <v>Med</v>
          </cell>
          <cell r="K2991">
            <v>85215.666666666672</v>
          </cell>
        </row>
        <row r="2992">
          <cell r="C2992">
            <v>2397697.0691149002</v>
          </cell>
          <cell r="D2992">
            <v>0.73328423480625904</v>
          </cell>
          <cell r="E2992">
            <v>169678</v>
          </cell>
          <cell r="F2992">
            <v>124422.202393456</v>
          </cell>
          <cell r="G2992">
            <v>5.189237789717361E-2</v>
          </cell>
          <cell r="I2992" t="str">
            <v>MD</v>
          </cell>
          <cell r="J2992" t="str">
            <v>Med</v>
          </cell>
          <cell r="K2992">
            <v>85215.666666666672</v>
          </cell>
        </row>
        <row r="2993">
          <cell r="C2993">
            <v>2383726.8371516401</v>
          </cell>
          <cell r="D2993">
            <v>0.692181247378854</v>
          </cell>
          <cell r="E2993">
            <v>157423</v>
          </cell>
          <cell r="F2993">
            <v>108965.248506121</v>
          </cell>
          <cell r="G2993">
            <v>4.5712137317011382E-2</v>
          </cell>
          <cell r="I2993" t="str">
            <v>MD</v>
          </cell>
          <cell r="J2993" t="str">
            <v>Med</v>
          </cell>
          <cell r="K2993">
            <v>85215.666666666672</v>
          </cell>
        </row>
        <row r="2994">
          <cell r="C2994">
            <v>2613810.22449901</v>
          </cell>
          <cell r="D2994">
            <v>0.680323240998851</v>
          </cell>
          <cell r="E2994">
            <v>210457</v>
          </cell>
          <cell r="F2994">
            <v>143178.78833089501</v>
          </cell>
          <cell r="G2994">
            <v>5.4777805591581595E-2</v>
          </cell>
          <cell r="I2994" t="str">
            <v>MD</v>
          </cell>
          <cell r="J2994" t="str">
            <v>Med</v>
          </cell>
          <cell r="K2994">
            <v>85215.666666666672</v>
          </cell>
        </row>
        <row r="2995">
          <cell r="C2995">
            <v>2666526.9393368401</v>
          </cell>
          <cell r="D2995">
            <v>0.681181982547579</v>
          </cell>
          <cell r="E2995">
            <v>188245</v>
          </cell>
          <cell r="F2995">
            <v>128229.102304669</v>
          </cell>
          <cell r="G2995">
            <v>4.8088433089882573E-2</v>
          </cell>
          <cell r="I2995" t="str">
            <v>MD</v>
          </cell>
          <cell r="J2995" t="str">
            <v>Med</v>
          </cell>
          <cell r="K2995">
            <v>85215.666666666672</v>
          </cell>
        </row>
        <row r="2996">
          <cell r="C2996">
            <v>2777055.2269195402</v>
          </cell>
          <cell r="D2996">
            <v>0.69397074860785501</v>
          </cell>
          <cell r="E2996">
            <v>241048</v>
          </cell>
          <cell r="F2996">
            <v>167280.26101042601</v>
          </cell>
          <cell r="G2996">
            <v>6.0236562596553876E-2</v>
          </cell>
          <cell r="I2996" t="str">
            <v>MD</v>
          </cell>
          <cell r="J2996" t="str">
            <v>Med</v>
          </cell>
          <cell r="K2996">
            <v>85215.666666666672</v>
          </cell>
        </row>
        <row r="2997">
          <cell r="C2997">
            <v>2762183.0212532799</v>
          </cell>
          <cell r="D2997">
            <v>0.67675241983582901</v>
          </cell>
          <cell r="E2997">
            <v>220140</v>
          </cell>
          <cell r="F2997">
            <v>148980.27770265899</v>
          </cell>
          <cell r="G2997">
            <v>5.3935701058310921E-2</v>
          </cell>
          <cell r="I2997" t="str">
            <v>MD</v>
          </cell>
          <cell r="J2997" t="str">
            <v>Med</v>
          </cell>
          <cell r="K2997">
            <v>85215.666666666672</v>
          </cell>
        </row>
        <row r="2998">
          <cell r="C2998">
            <v>2942385.2685183501</v>
          </cell>
          <cell r="D2998">
            <v>0.68961555498093996</v>
          </cell>
          <cell r="E2998">
            <v>269759</v>
          </cell>
          <cell r="F2998">
            <v>186030.002496103</v>
          </cell>
          <cell r="G2998">
            <v>6.3224216246086345E-2</v>
          </cell>
          <cell r="I2998" t="str">
            <v>MD</v>
          </cell>
          <cell r="J2998" t="str">
            <v>Med</v>
          </cell>
          <cell r="K2998">
            <v>85215.666666666672</v>
          </cell>
        </row>
        <row r="2999">
          <cell r="C2999">
            <v>2968782.6725623398</v>
          </cell>
          <cell r="D2999">
            <v>0.68225416472716705</v>
          </cell>
          <cell r="E2999">
            <v>240738</v>
          </cell>
          <cell r="F2999">
            <v>164244.503108089</v>
          </cell>
          <cell r="G2999">
            <v>5.5323855338434216E-2</v>
          </cell>
          <cell r="I2999" t="str">
            <v>MD</v>
          </cell>
          <cell r="J2999" t="str">
            <v>Med</v>
          </cell>
          <cell r="K2999">
            <v>85215.666666666672</v>
          </cell>
        </row>
        <row r="3000">
          <cell r="C3000">
            <v>2748888.96998927</v>
          </cell>
          <cell r="D3000">
            <v>0.68749417056098405</v>
          </cell>
          <cell r="E3000">
            <v>277587</v>
          </cell>
          <cell r="F3000">
            <v>190839.444323512</v>
          </cell>
          <cell r="G3000">
            <v>6.9424209710535131E-2</v>
          </cell>
          <cell r="I3000" t="str">
            <v>MD</v>
          </cell>
          <cell r="J3000" t="str">
            <v>Med</v>
          </cell>
          <cell r="K3000">
            <v>85215.666666666672</v>
          </cell>
        </row>
        <row r="3001">
          <cell r="C3001">
            <v>2742700.6298423801</v>
          </cell>
          <cell r="D3001">
            <v>0.66193782651231103</v>
          </cell>
          <cell r="E3001">
            <v>253871</v>
          </cell>
          <cell r="F3001">
            <v>168046.81795450699</v>
          </cell>
          <cell r="G3001">
            <v>6.1270565269153872E-2</v>
          </cell>
          <cell r="I3001" t="str">
            <v>MD</v>
          </cell>
          <cell r="J3001" t="str">
            <v>Med</v>
          </cell>
          <cell r="K3001">
            <v>85215.666666666672</v>
          </cell>
        </row>
        <row r="3002">
          <cell r="C3002">
            <v>2672013.4654244301</v>
          </cell>
          <cell r="D3002">
            <v>0.71748790772187498</v>
          </cell>
          <cell r="E3002">
            <v>281149</v>
          </cell>
          <cell r="F3002">
            <v>201721.007768098</v>
          </cell>
          <cell r="G3002">
            <v>7.5494008686088743E-2</v>
          </cell>
          <cell r="I3002" t="str">
            <v>MD</v>
          </cell>
          <cell r="J3002" t="str">
            <v>Med</v>
          </cell>
          <cell r="K3002">
            <v>85215.666666666672</v>
          </cell>
        </row>
        <row r="3003">
          <cell r="C3003">
            <v>2636528.6147582899</v>
          </cell>
          <cell r="D3003">
            <v>0.69655599455995698</v>
          </cell>
          <cell r="E3003">
            <v>251521</v>
          </cell>
          <cell r="F3003">
            <v>175198.46030771499</v>
          </cell>
          <cell r="G3003">
            <v>6.6450430056787663E-2</v>
          </cell>
          <cell r="I3003" t="str">
            <v>MD</v>
          </cell>
          <cell r="J3003" t="str">
            <v>Med</v>
          </cell>
          <cell r="K3003">
            <v>85215.666666666672</v>
          </cell>
        </row>
        <row r="3004">
          <cell r="C3004">
            <v>2506209.0018220199</v>
          </cell>
          <cell r="D3004">
            <v>0.69338688985569397</v>
          </cell>
          <cell r="E3004">
            <v>245200</v>
          </cell>
          <cell r="F3004">
            <v>170018.465392616</v>
          </cell>
          <cell r="G3004">
            <v>6.7838901412057881E-2</v>
          </cell>
          <cell r="I3004" t="str">
            <v>MD</v>
          </cell>
          <cell r="J3004" t="str">
            <v>Med</v>
          </cell>
          <cell r="K3004">
            <v>85215.666666666672</v>
          </cell>
        </row>
        <row r="3005">
          <cell r="C3005">
            <v>2483393.0973504102</v>
          </cell>
          <cell r="D3005">
            <v>0.67955838123275303</v>
          </cell>
          <cell r="E3005">
            <v>222767</v>
          </cell>
          <cell r="F3005">
            <v>151383.18191207701</v>
          </cell>
          <cell r="G3005">
            <v>6.095820354562121E-2</v>
          </cell>
          <cell r="I3005" t="str">
            <v>MD</v>
          </cell>
          <cell r="J3005" t="str">
            <v>Med</v>
          </cell>
          <cell r="K3005">
            <v>85215.666666666672</v>
          </cell>
        </row>
        <row r="3006">
          <cell r="C3006">
            <v>2513817.1917236401</v>
          </cell>
          <cell r="D3006">
            <v>0.672742300707313</v>
          </cell>
          <cell r="E3006">
            <v>243685</v>
          </cell>
          <cell r="F3006">
            <v>163937.207547862</v>
          </cell>
          <cell r="G3006">
            <v>6.5214450791250961E-2</v>
          </cell>
          <cell r="I3006" t="str">
            <v>MD</v>
          </cell>
          <cell r="J3006" t="str">
            <v>Med</v>
          </cell>
          <cell r="K3006">
            <v>85215.666666666672</v>
          </cell>
        </row>
        <row r="3007">
          <cell r="C3007">
            <v>2469191.7983772601</v>
          </cell>
          <cell r="D3007">
            <v>0.68686173555173502</v>
          </cell>
          <cell r="E3007">
            <v>210971</v>
          </cell>
          <cell r="F3007">
            <v>144907.907211085</v>
          </cell>
          <cell r="G3007">
            <v>5.8686371510839178E-2</v>
          </cell>
          <cell r="I3007" t="str">
            <v>MD</v>
          </cell>
          <cell r="J3007" t="str">
            <v>Med</v>
          </cell>
          <cell r="K3007">
            <v>85215.666666666672</v>
          </cell>
        </row>
        <row r="3008">
          <cell r="C3008">
            <v>3056599.3984601502</v>
          </cell>
          <cell r="D3008">
            <v>0.69777325215893504</v>
          </cell>
          <cell r="E3008">
            <v>228509</v>
          </cell>
          <cell r="F3008">
            <v>159447.468077586</v>
          </cell>
          <cell r="G3008">
            <v>5.216498706304537E-2</v>
          </cell>
          <cell r="I3008" t="str">
            <v>MD</v>
          </cell>
          <cell r="J3008" t="str">
            <v>Med</v>
          </cell>
          <cell r="K3008">
            <v>85215.666666666672</v>
          </cell>
        </row>
        <row r="3009">
          <cell r="C3009">
            <v>3082130.8226014501</v>
          </cell>
          <cell r="D3009">
            <v>0.67983814674202703</v>
          </cell>
          <cell r="E3009">
            <v>205468</v>
          </cell>
          <cell r="F3009">
            <v>139684.98433479099</v>
          </cell>
          <cell r="G3009">
            <v>4.5320913476635263E-2</v>
          </cell>
          <cell r="I3009" t="str">
            <v>MD</v>
          </cell>
          <cell r="J3009" t="str">
            <v>Med</v>
          </cell>
          <cell r="K3009">
            <v>85215.666666666672</v>
          </cell>
        </row>
        <row r="3010">
          <cell r="C3010">
            <v>3544114.3289690898</v>
          </cell>
          <cell r="D3010">
            <v>0.67337254675216696</v>
          </cell>
          <cell r="E3010">
            <v>228531</v>
          </cell>
          <cell r="F3010">
            <v>153886.50148182001</v>
          </cell>
          <cell r="G3010">
            <v>4.3420298330664304E-2</v>
          </cell>
          <cell r="I3010" t="str">
            <v>MD</v>
          </cell>
          <cell r="J3010" t="str">
            <v>Med</v>
          </cell>
          <cell r="K3010">
            <v>85215.666666666672</v>
          </cell>
        </row>
        <row r="3011">
          <cell r="C3011">
            <v>3492080.2061503902</v>
          </cell>
          <cell r="D3011">
            <v>0.66925917973070703</v>
          </cell>
          <cell r="E3011">
            <v>202182</v>
          </cell>
          <cell r="F3011">
            <v>135312.159476314</v>
          </cell>
          <cell r="G3011">
            <v>3.8748296570621961E-2</v>
          </cell>
          <cell r="I3011" t="str">
            <v>MD</v>
          </cell>
          <cell r="J3011" t="str">
            <v>Med</v>
          </cell>
          <cell r="K3011">
            <v>85215.666666666672</v>
          </cell>
        </row>
        <row r="3012">
          <cell r="C3012">
            <v>3668178.2177110701</v>
          </cell>
          <cell r="D3012">
            <v>0.66882698501216598</v>
          </cell>
          <cell r="E3012">
            <v>214867</v>
          </cell>
          <cell r="F3012">
            <v>143708.84778860901</v>
          </cell>
          <cell r="G3012">
            <v>3.9177171680137943E-2</v>
          </cell>
          <cell r="I3012" t="str">
            <v>MD</v>
          </cell>
          <cell r="J3012" t="str">
            <v>Med</v>
          </cell>
          <cell r="K3012">
            <v>85215.666666666672</v>
          </cell>
        </row>
        <row r="3013">
          <cell r="C3013">
            <v>3606749.4793269499</v>
          </cell>
          <cell r="D3013">
            <v>0.66107955007887598</v>
          </cell>
          <cell r="E3013">
            <v>194069</v>
          </cell>
          <cell r="F3013">
            <v>128295.047204257</v>
          </cell>
          <cell r="G3013">
            <v>3.5570822963894334E-2</v>
          </cell>
          <cell r="I3013" t="str">
            <v>MD</v>
          </cell>
          <cell r="J3013" t="str">
            <v>Med</v>
          </cell>
          <cell r="K3013">
            <v>85215.666666666672</v>
          </cell>
        </row>
        <row r="3014">
          <cell r="C3014">
            <v>2097746.42257701</v>
          </cell>
          <cell r="D3014">
            <v>0.70846672290310897</v>
          </cell>
          <cell r="E3014">
            <v>151494</v>
          </cell>
          <cell r="F3014">
            <v>107328.45771948399</v>
          </cell>
          <cell r="G3014">
            <v>5.116369479378477E-2</v>
          </cell>
          <cell r="I3014" t="str">
            <v>MD</v>
          </cell>
          <cell r="J3014" t="str">
            <v>Med</v>
          </cell>
          <cell r="K3014">
            <v>85215.666666666672</v>
          </cell>
        </row>
        <row r="3015">
          <cell r="C3015">
            <v>2091082.3538629401</v>
          </cell>
          <cell r="D3015">
            <v>0.70171251661205503</v>
          </cell>
          <cell r="E3015">
            <v>133762</v>
          </cell>
          <cell r="F3015">
            <v>93862.469647061705</v>
          </cell>
          <cell r="G3015">
            <v>4.4887026794361212E-2</v>
          </cell>
          <cell r="I3015" t="str">
            <v>MD</v>
          </cell>
          <cell r="J3015" t="str">
            <v>Med</v>
          </cell>
          <cell r="K3015">
            <v>85215.666666666672</v>
          </cell>
        </row>
        <row r="3016">
          <cell r="C3016">
            <v>2412020.07790524</v>
          </cell>
          <cell r="D3016">
            <v>0.67684091471314001</v>
          </cell>
          <cell r="E3016">
            <v>180688</v>
          </cell>
          <cell r="F3016">
            <v>122297.031197688</v>
          </cell>
          <cell r="G3016">
            <v>5.0703156378324572E-2</v>
          </cell>
          <cell r="I3016" t="str">
            <v>MD</v>
          </cell>
          <cell r="J3016" t="str">
            <v>Med</v>
          </cell>
          <cell r="K3016">
            <v>85215.666666666672</v>
          </cell>
        </row>
        <row r="3017">
          <cell r="C3017">
            <v>2356059.78257947</v>
          </cell>
          <cell r="D3017">
            <v>0.70398874987070603</v>
          </cell>
          <cell r="E3017">
            <v>153407</v>
          </cell>
          <cell r="F3017">
            <v>107996.802151415</v>
          </cell>
          <cell r="G3017">
            <v>4.5837887030683727E-2</v>
          </cell>
          <cell r="I3017" t="str">
            <v>MD</v>
          </cell>
          <cell r="J3017" t="str">
            <v>Med</v>
          </cell>
          <cell r="K3017">
            <v>85215.666666666672</v>
          </cell>
        </row>
        <row r="3018">
          <cell r="C3018">
            <v>2662611.2230569101</v>
          </cell>
          <cell r="D3018">
            <v>0.72350470975569003</v>
          </cell>
          <cell r="E3018">
            <v>199020</v>
          </cell>
          <cell r="F3018">
            <v>143991.90733557701</v>
          </cell>
          <cell r="G3018">
            <v>5.4079208443454894E-2</v>
          </cell>
          <cell r="I3018" t="str">
            <v>MD</v>
          </cell>
          <cell r="J3018" t="str">
            <v>Med</v>
          </cell>
          <cell r="K3018">
            <v>85215.666666666672</v>
          </cell>
        </row>
        <row r="3019">
          <cell r="C3019">
            <v>2677981.2123651998</v>
          </cell>
          <cell r="D3019">
            <v>0.71024394600196505</v>
          </cell>
          <cell r="E3019">
            <v>182712</v>
          </cell>
          <cell r="F3019">
            <v>129770.091861911</v>
          </cell>
          <cell r="G3019">
            <v>4.8458178594650306E-2</v>
          </cell>
          <cell r="I3019" t="str">
            <v>MD</v>
          </cell>
          <cell r="J3019" t="str">
            <v>Med</v>
          </cell>
          <cell r="K3019">
            <v>85215.666666666672</v>
          </cell>
        </row>
        <row r="3020">
          <cell r="C3020">
            <v>2796846.9501970201</v>
          </cell>
          <cell r="D3020">
            <v>0.71313097030773898</v>
          </cell>
          <cell r="E3020">
            <v>238577</v>
          </cell>
          <cell r="F3020">
            <v>170136.64750310901</v>
          </cell>
          <cell r="G3020">
            <v>6.0831590191634893E-2</v>
          </cell>
          <cell r="I3020" t="str">
            <v>MD</v>
          </cell>
          <cell r="J3020" t="str">
            <v>Med</v>
          </cell>
          <cell r="K3020">
            <v>85215.666666666672</v>
          </cell>
        </row>
        <row r="3021">
          <cell r="C3021">
            <v>2785825.2792132702</v>
          </cell>
          <cell r="D3021">
            <v>0.71248257007212501</v>
          </cell>
          <cell r="E3021">
            <v>205334</v>
          </cell>
          <cell r="F3021">
            <v>146296.89604319001</v>
          </cell>
          <cell r="G3021">
            <v>5.2514742089103637E-2</v>
          </cell>
          <cell r="I3021" t="str">
            <v>MD</v>
          </cell>
          <cell r="J3021" t="str">
            <v>Med</v>
          </cell>
          <cell r="K3021">
            <v>85215.666666666672</v>
          </cell>
        </row>
        <row r="3022">
          <cell r="C3022">
            <v>2949000.4198902701</v>
          </cell>
          <cell r="D3022">
            <v>0.70215227842458305</v>
          </cell>
          <cell r="E3022">
            <v>265524</v>
          </cell>
          <cell r="F3022">
            <v>186438.281576409</v>
          </cell>
          <cell r="G3022">
            <v>6.3220839277922589E-2</v>
          </cell>
          <cell r="I3022" t="str">
            <v>MD</v>
          </cell>
          <cell r="J3022" t="str">
            <v>Med</v>
          </cell>
          <cell r="K3022">
            <v>85215.666666666672</v>
          </cell>
        </row>
        <row r="3023">
          <cell r="C3023">
            <v>2951681.7590081799</v>
          </cell>
          <cell r="D3023">
            <v>0.71652425365880901</v>
          </cell>
          <cell r="E3023">
            <v>235156</v>
          </cell>
          <cell r="F3023">
            <v>168494.97739339099</v>
          </cell>
          <cell r="G3023">
            <v>5.7084398370239091E-2</v>
          </cell>
          <cell r="I3023" t="str">
            <v>MD</v>
          </cell>
          <cell r="J3023" t="str">
            <v>Med</v>
          </cell>
          <cell r="K3023">
            <v>85215.666666666672</v>
          </cell>
        </row>
        <row r="3024">
          <cell r="C3024">
            <v>2796253.16610436</v>
          </cell>
          <cell r="D3024">
            <v>0.72105516177527995</v>
          </cell>
          <cell r="E3024">
            <v>270566</v>
          </cell>
          <cell r="F3024">
            <v>195093.01090088999</v>
          </cell>
          <cell r="G3024">
            <v>6.9769437640972473E-2</v>
          </cell>
          <cell r="I3024" t="str">
            <v>MD</v>
          </cell>
          <cell r="J3024" t="str">
            <v>Med</v>
          </cell>
          <cell r="K3024">
            <v>85215.666666666672</v>
          </cell>
        </row>
        <row r="3025">
          <cell r="C3025">
            <v>2812437.1183080701</v>
          </cell>
          <cell r="D3025">
            <v>0.68502927293611704</v>
          </cell>
          <cell r="E3025">
            <v>246222</v>
          </cell>
          <cell r="F3025">
            <v>168669.277640877</v>
          </cell>
          <cell r="G3025">
            <v>5.9972639581128306E-2</v>
          </cell>
          <cell r="I3025" t="str">
            <v>MD</v>
          </cell>
          <cell r="J3025" t="str">
            <v>Med</v>
          </cell>
          <cell r="K3025">
            <v>85215.666666666672</v>
          </cell>
        </row>
        <row r="3026">
          <cell r="C3026">
            <v>2711367.4986626599</v>
          </cell>
          <cell r="D3026">
            <v>0.72037022831090103</v>
          </cell>
          <cell r="E3026">
            <v>281989</v>
          </cell>
          <cell r="F3026">
            <v>203136.480311163</v>
          </cell>
          <cell r="G3026">
            <v>7.4920305126972619E-2</v>
          </cell>
          <cell r="I3026" t="str">
            <v>MD</v>
          </cell>
          <cell r="J3026" t="str">
            <v>Med</v>
          </cell>
          <cell r="K3026">
            <v>85215.666666666672</v>
          </cell>
        </row>
        <row r="3027">
          <cell r="C3027">
            <v>2709000.8708962002</v>
          </cell>
          <cell r="D3027">
            <v>0.69524376558941803</v>
          </cell>
          <cell r="E3027">
            <v>251988</v>
          </cell>
          <cell r="F3027">
            <v>175193.08600334599</v>
          </cell>
          <cell r="G3027">
            <v>6.4670738162364655E-2</v>
          </cell>
          <cell r="I3027" t="str">
            <v>MD</v>
          </cell>
          <cell r="J3027" t="str">
            <v>Med</v>
          </cell>
          <cell r="K3027">
            <v>85215.666666666672</v>
          </cell>
        </row>
        <row r="3028">
          <cell r="C3028">
            <v>2538247.4928183299</v>
          </cell>
          <cell r="D3028">
            <v>0.71838769829849203</v>
          </cell>
          <cell r="E3028">
            <v>246788</v>
          </cell>
          <cell r="F3028">
            <v>177289.46328768801</v>
          </cell>
          <cell r="G3028">
            <v>6.9847193305344529E-2</v>
          </cell>
          <cell r="I3028" t="str">
            <v>MD</v>
          </cell>
          <cell r="J3028" t="str">
            <v>Med</v>
          </cell>
          <cell r="K3028">
            <v>85215.666666666672</v>
          </cell>
        </row>
        <row r="3029">
          <cell r="C3029">
            <v>2547097.8420006302</v>
          </cell>
          <cell r="D3029">
            <v>0.69249272520051697</v>
          </cell>
          <cell r="E3029">
            <v>227171</v>
          </cell>
          <cell r="F3029">
            <v>157314.26487652701</v>
          </cell>
          <cell r="G3029">
            <v>6.1762160166161408E-2</v>
          </cell>
          <cell r="I3029" t="str">
            <v>MD</v>
          </cell>
          <cell r="J3029" t="str">
            <v>Med</v>
          </cell>
          <cell r="K3029">
            <v>85215.666666666672</v>
          </cell>
        </row>
        <row r="3030">
          <cell r="C3030">
            <v>2540445.4010753599</v>
          </cell>
          <cell r="D3030">
            <v>0.737121734137972</v>
          </cell>
          <cell r="E3030">
            <v>228512</v>
          </cell>
          <cell r="F3030">
            <v>168441.161711336</v>
          </cell>
          <cell r="G3030">
            <v>6.6303791311569049E-2</v>
          </cell>
          <cell r="I3030" t="str">
            <v>MD</v>
          </cell>
          <cell r="J3030" t="str">
            <v>Med</v>
          </cell>
          <cell r="K3030">
            <v>85215.666666666672</v>
          </cell>
        </row>
        <row r="3031">
          <cell r="C3031">
            <v>2539190.1241880599</v>
          </cell>
          <cell r="D3031">
            <v>0.68273496019597102</v>
          </cell>
          <cell r="E3031">
            <v>219865</v>
          </cell>
          <cell r="F3031">
            <v>150109.52202348699</v>
          </cell>
          <cell r="G3031">
            <v>5.9117086425927452E-2</v>
          </cell>
          <cell r="I3031" t="str">
            <v>MD</v>
          </cell>
          <cell r="J3031" t="str">
            <v>Med</v>
          </cell>
          <cell r="K3031">
            <v>85215.666666666672</v>
          </cell>
        </row>
        <row r="3032">
          <cell r="C3032">
            <v>3083817.49380747</v>
          </cell>
          <cell r="D3032">
            <v>0.75385317925020001</v>
          </cell>
          <cell r="E3032">
            <v>213565</v>
          </cell>
          <cell r="F3032">
            <v>160996.65422656899</v>
          </cell>
          <cell r="G3032">
            <v>5.2206933305833432E-2</v>
          </cell>
          <cell r="I3032" t="str">
            <v>MD</v>
          </cell>
          <cell r="J3032" t="str">
            <v>Med</v>
          </cell>
          <cell r="K3032">
            <v>85215.666666666672</v>
          </cell>
        </row>
        <row r="3033">
          <cell r="C3033">
            <v>3139207.4685541699</v>
          </cell>
          <cell r="D3033">
            <v>0.71023476282537301</v>
          </cell>
          <cell r="E3033">
            <v>201491</v>
          </cell>
          <cell r="F3033">
            <v>143105.91259644699</v>
          </cell>
          <cell r="G3033">
            <v>4.5586637401304836E-2</v>
          </cell>
          <cell r="I3033" t="str">
            <v>MD</v>
          </cell>
          <cell r="J3033" t="str">
            <v>Med</v>
          </cell>
          <cell r="K3033">
            <v>85215.666666666672</v>
          </cell>
        </row>
        <row r="3034">
          <cell r="C3034">
            <v>3525437.0873315199</v>
          </cell>
          <cell r="D3034">
            <v>0.72634227977078203</v>
          </cell>
          <cell r="E3034">
            <v>210600</v>
          </cell>
          <cell r="F3034">
            <v>152967.684119727</v>
          </cell>
          <cell r="G3034">
            <v>4.3389707525744434E-2</v>
          </cell>
          <cell r="I3034" t="str">
            <v>MD</v>
          </cell>
          <cell r="J3034" t="str">
            <v>Med</v>
          </cell>
          <cell r="K3034">
            <v>85215.666666666672</v>
          </cell>
        </row>
        <row r="3035">
          <cell r="C3035">
            <v>3491651.01933893</v>
          </cell>
          <cell r="D3035">
            <v>0.71602041293351404</v>
          </cell>
          <cell r="E3035">
            <v>187434</v>
          </cell>
          <cell r="F3035">
            <v>134206.57007777999</v>
          </cell>
          <cell r="G3035">
            <v>3.8436421433430984E-2</v>
          </cell>
          <cell r="I3035" t="str">
            <v>MD</v>
          </cell>
          <cell r="J3035" t="str">
            <v>Med</v>
          </cell>
          <cell r="K3035">
            <v>85215.666666666672</v>
          </cell>
        </row>
        <row r="3036">
          <cell r="C3036">
            <v>3651180.3134507402</v>
          </cell>
          <cell r="D3036">
            <v>0.71910382703597497</v>
          </cell>
          <cell r="E3036">
            <v>201200</v>
          </cell>
          <cell r="F3036">
            <v>144683.68999963801</v>
          </cell>
          <cell r="G3036">
            <v>3.962655294416207E-2</v>
          </cell>
          <cell r="I3036" t="str">
            <v>MD</v>
          </cell>
          <cell r="J3036" t="str">
            <v>Med</v>
          </cell>
          <cell r="K3036">
            <v>85215.666666666672</v>
          </cell>
        </row>
        <row r="3037">
          <cell r="C3037">
            <v>3691649.3062499301</v>
          </cell>
          <cell r="D3037">
            <v>0.68967310687643801</v>
          </cell>
          <cell r="E3037">
            <v>193895</v>
          </cell>
          <cell r="F3037">
            <v>133724.167057807</v>
          </cell>
          <cell r="G3037">
            <v>3.6223421014399487E-2</v>
          </cell>
          <cell r="I3037" t="str">
            <v>MD</v>
          </cell>
          <cell r="J3037" t="str">
            <v>Med</v>
          </cell>
          <cell r="K3037">
            <v>85215.666666666672</v>
          </cell>
        </row>
        <row r="3038">
          <cell r="C3038">
            <v>2139985.5987702701</v>
          </cell>
          <cell r="D3038">
            <v>0.750286624851634</v>
          </cell>
          <cell r="E3038">
            <v>146690</v>
          </cell>
          <cell r="F3038">
            <v>110059.544999486</v>
          </cell>
          <cell r="G3038">
            <v>5.1430040025844594E-2</v>
          </cell>
          <cell r="I3038" t="str">
            <v>MD</v>
          </cell>
          <cell r="J3038" t="str">
            <v>Med</v>
          </cell>
          <cell r="K3038">
            <v>85215.666666666672</v>
          </cell>
        </row>
        <row r="3039">
          <cell r="C3039">
            <v>2158276.6474841801</v>
          </cell>
          <cell r="D3039">
            <v>0.73468167427126796</v>
          </cell>
          <cell r="E3039">
            <v>135502</v>
          </cell>
          <cell r="F3039">
            <v>99550.836227105407</v>
          </cell>
          <cell r="G3039">
            <v>4.6125150982450736E-2</v>
          </cell>
          <cell r="I3039" t="str">
            <v>MD</v>
          </cell>
          <cell r="J3039" t="str">
            <v>Med</v>
          </cell>
          <cell r="K3039">
            <v>85215.666666666672</v>
          </cell>
        </row>
        <row r="3040">
          <cell r="C3040">
            <v>2418804.1798942299</v>
          </cell>
          <cell r="D3040">
            <v>0.71877760216481901</v>
          </cell>
          <cell r="E3040">
            <v>173516</v>
          </cell>
          <cell r="F3040">
            <v>124719.414417231</v>
          </cell>
          <cell r="G3040">
            <v>5.1562427191888173E-2</v>
          </cell>
          <cell r="I3040" t="str">
            <v>MD</v>
          </cell>
          <cell r="J3040" t="str">
            <v>Med</v>
          </cell>
          <cell r="K3040">
            <v>85215.666666666672</v>
          </cell>
        </row>
        <row r="3041">
          <cell r="C3041">
            <v>2439748.9622587902</v>
          </cell>
          <cell r="D3041">
            <v>0.69979589887092297</v>
          </cell>
          <cell r="E3041">
            <v>157878</v>
          </cell>
          <cell r="F3041">
            <v>110482.376921944</v>
          </cell>
          <cell r="G3041">
            <v>4.5284321719582257E-2</v>
          </cell>
          <cell r="I3041" t="str">
            <v>MD</v>
          </cell>
          <cell r="J3041" t="str">
            <v>Med</v>
          </cell>
          <cell r="K3041">
            <v>85215.666666666672</v>
          </cell>
        </row>
        <row r="3042">
          <cell r="C3042">
            <v>2737487.5231838198</v>
          </cell>
          <cell r="D3042">
            <v>0.74366887774122303</v>
          </cell>
          <cell r="E3042">
            <v>199114</v>
          </cell>
          <cell r="F3042">
            <v>148074.88492256601</v>
          </cell>
          <cell r="G3042">
            <v>5.4091528698676339E-2</v>
          </cell>
          <cell r="I3042" t="str">
            <v>MD</v>
          </cell>
          <cell r="J3042" t="str">
            <v>Med</v>
          </cell>
          <cell r="K3042">
            <v>85215.666666666672</v>
          </cell>
        </row>
        <row r="3043">
          <cell r="C3043">
            <v>2694238.4119643001</v>
          </cell>
          <cell r="D3043">
            <v>0.73868575831487604</v>
          </cell>
          <cell r="E3043">
            <v>177696</v>
          </cell>
          <cell r="F3043">
            <v>131261.50450951999</v>
          </cell>
          <cell r="G3043">
            <v>4.8719335277318906E-2</v>
          </cell>
          <cell r="I3043" t="str">
            <v>MD</v>
          </cell>
          <cell r="J3043" t="str">
            <v>Med</v>
          </cell>
          <cell r="K3043">
            <v>85215.666666666672</v>
          </cell>
        </row>
        <row r="3044">
          <cell r="C3044">
            <v>2863265.2772897198</v>
          </cell>
          <cell r="D3044">
            <v>0.74143683239297198</v>
          </cell>
          <cell r="E3044">
            <v>232337</v>
          </cell>
          <cell r="F3044">
            <v>172263.209327686</v>
          </cell>
          <cell r="G3044">
            <v>6.0163202723131942E-2</v>
          </cell>
          <cell r="I3044" t="str">
            <v>MD</v>
          </cell>
          <cell r="J3044" t="str">
            <v>Med</v>
          </cell>
          <cell r="K3044">
            <v>85215.666666666672</v>
          </cell>
        </row>
        <row r="3045">
          <cell r="C3045">
            <v>2824755.09634679</v>
          </cell>
          <cell r="D3045">
            <v>0.73661577613837403</v>
          </cell>
          <cell r="E3045">
            <v>205130</v>
          </cell>
          <cell r="F3045">
            <v>151101.99415926501</v>
          </cell>
          <cell r="G3045">
            <v>5.3492068871628121E-2</v>
          </cell>
          <cell r="I3045" t="str">
            <v>MD</v>
          </cell>
          <cell r="J3045" t="str">
            <v>Med</v>
          </cell>
          <cell r="K3045">
            <v>85215.666666666672</v>
          </cell>
        </row>
        <row r="3046">
          <cell r="C3046">
            <v>3023274.5774424202</v>
          </cell>
          <cell r="D3046">
            <v>0.72955680369196696</v>
          </cell>
          <cell r="E3046">
            <v>261754</v>
          </cell>
          <cell r="F3046">
            <v>190964.41159358699</v>
          </cell>
          <cell r="G3046">
            <v>6.3164759502306239E-2</v>
          </cell>
          <cell r="I3046" t="str">
            <v>MD</v>
          </cell>
          <cell r="J3046" t="str">
            <v>Med</v>
          </cell>
          <cell r="K3046">
            <v>85215.666666666672</v>
          </cell>
        </row>
        <row r="3047">
          <cell r="C3047">
            <v>2964292.3891015602</v>
          </cell>
          <cell r="D3047">
            <v>0.74064906202931002</v>
          </cell>
          <cell r="E3047">
            <v>227278</v>
          </cell>
          <cell r="F3047">
            <v>168333.23751989799</v>
          </cell>
          <cell r="G3047">
            <v>5.6786988401949672E-2</v>
          </cell>
          <cell r="I3047" t="str">
            <v>MD</v>
          </cell>
          <cell r="J3047" t="str">
            <v>Med</v>
          </cell>
          <cell r="K3047">
            <v>85215.666666666672</v>
          </cell>
        </row>
        <row r="3048">
          <cell r="C3048">
            <v>2859569.5509233801</v>
          </cell>
          <cell r="D3048">
            <v>0.757811347412089</v>
          </cell>
          <cell r="E3048">
            <v>262196</v>
          </cell>
          <cell r="F3048">
            <v>198695.10404606001</v>
          </cell>
          <cell r="G3048">
            <v>6.9484270449690452E-2</v>
          </cell>
          <cell r="I3048" t="str">
            <v>MD</v>
          </cell>
          <cell r="J3048" t="str">
            <v>Med</v>
          </cell>
          <cell r="K3048">
            <v>85215.666666666672</v>
          </cell>
        </row>
        <row r="3049">
          <cell r="C3049">
            <v>2849306.0802745</v>
          </cell>
          <cell r="D3049">
            <v>0.72032124856777202</v>
          </cell>
          <cell r="E3049">
            <v>240844</v>
          </cell>
          <cell r="F3049">
            <v>173485.050790056</v>
          </cell>
          <cell r="G3049">
            <v>6.0886772393839342E-2</v>
          </cell>
          <cell r="I3049" t="str">
            <v>MD</v>
          </cell>
          <cell r="J3049" t="str">
            <v>Med</v>
          </cell>
          <cell r="K3049">
            <v>85215.666666666672</v>
          </cell>
        </row>
        <row r="3050">
          <cell r="C3050">
            <v>2762555.5734381001</v>
          </cell>
          <cell r="D3050">
            <v>0.75675145100415198</v>
          </cell>
          <cell r="E3050">
            <v>267213</v>
          </cell>
          <cell r="F3050">
            <v>202213.82547717201</v>
          </cell>
          <cell r="G3050">
            <v>7.3198102301163706E-2</v>
          </cell>
          <cell r="I3050" t="str">
            <v>MD</v>
          </cell>
          <cell r="J3050" t="str">
            <v>Med</v>
          </cell>
          <cell r="K3050">
            <v>85215.666666666672</v>
          </cell>
        </row>
        <row r="3051">
          <cell r="C3051">
            <v>2734226.46815609</v>
          </cell>
          <cell r="D3051">
            <v>0.72216066169237103</v>
          </cell>
          <cell r="E3051">
            <v>250959</v>
          </cell>
          <cell r="F3051">
            <v>181232.71749765601</v>
          </cell>
          <cell r="G3051">
            <v>6.6282994334363202E-2</v>
          </cell>
          <cell r="I3051" t="str">
            <v>MD</v>
          </cell>
          <cell r="J3051" t="str">
            <v>Med</v>
          </cell>
          <cell r="K3051">
            <v>85215.666666666672</v>
          </cell>
        </row>
        <row r="3052">
          <cell r="C3052">
            <v>2577717.9496241901</v>
          </cell>
          <cell r="D3052">
            <v>0.73271497506195404</v>
          </cell>
          <cell r="E3052">
            <v>243902</v>
          </cell>
          <cell r="F3052">
            <v>178710.64784756099</v>
          </cell>
          <cell r="G3052">
            <v>6.9329015563403873E-2</v>
          </cell>
          <cell r="I3052" t="str">
            <v>MD</v>
          </cell>
          <cell r="J3052" t="str">
            <v>Med</v>
          </cell>
          <cell r="K3052">
            <v>85215.666666666672</v>
          </cell>
        </row>
        <row r="3053">
          <cell r="C3053">
            <v>2620426.9129780498</v>
          </cell>
          <cell r="D3053">
            <v>0.74314452934209596</v>
          </cell>
          <cell r="E3053">
            <v>218377</v>
          </cell>
          <cell r="F3053">
            <v>162285.672884139</v>
          </cell>
          <cell r="G3053">
            <v>6.1931005242083011E-2</v>
          </cell>
          <cell r="I3053" t="str">
            <v>MD</v>
          </cell>
          <cell r="J3053" t="str">
            <v>Med</v>
          </cell>
          <cell r="K3053">
            <v>85215.666666666672</v>
          </cell>
        </row>
        <row r="3054">
          <cell r="C3054">
            <v>2596774.23200111</v>
          </cell>
          <cell r="D3054">
            <v>0.75579773872453804</v>
          </cell>
          <cell r="E3054">
            <v>226295</v>
          </cell>
          <cell r="F3054">
            <v>171033.249284669</v>
          </cell>
          <cell r="G3054">
            <v>6.5863734774073299E-2</v>
          </cell>
          <cell r="I3054" t="str">
            <v>MD</v>
          </cell>
          <cell r="J3054" t="str">
            <v>Med</v>
          </cell>
          <cell r="K3054">
            <v>85215.666666666672</v>
          </cell>
        </row>
        <row r="3055">
          <cell r="C3055">
            <v>2590582.1162099498</v>
          </cell>
          <cell r="D3055">
            <v>0.73688658803636298</v>
          </cell>
          <cell r="E3055">
            <v>209011</v>
          </cell>
          <cell r="F3055">
            <v>154017.40265206801</v>
          </cell>
          <cell r="G3055">
            <v>5.9452816294971247E-2</v>
          </cell>
          <cell r="I3055" t="str">
            <v>MD</v>
          </cell>
          <cell r="J3055" t="str">
            <v>Med</v>
          </cell>
          <cell r="K3055">
            <v>85215.666666666672</v>
          </cell>
        </row>
        <row r="3056">
          <cell r="C3056">
            <v>3203296.36351851</v>
          </cell>
          <cell r="D3056">
            <v>0.74420499491071201</v>
          </cell>
          <cell r="E3056">
            <v>224250</v>
          </cell>
          <cell r="F3056">
            <v>166887.97010872699</v>
          </cell>
          <cell r="G3056">
            <v>5.2098822952933638E-2</v>
          </cell>
          <cell r="I3056" t="str">
            <v>MD</v>
          </cell>
          <cell r="J3056" t="str">
            <v>Med</v>
          </cell>
          <cell r="K3056">
            <v>85215.666666666672</v>
          </cell>
        </row>
        <row r="3057">
          <cell r="C3057">
            <v>3173970.62955797</v>
          </cell>
          <cell r="D3057">
            <v>0.76626488876488796</v>
          </cell>
          <cell r="E3057">
            <v>189434</v>
          </cell>
          <cell r="F3057">
            <v>145156.622938288</v>
          </cell>
          <cell r="G3057">
            <v>4.573344869246744E-2</v>
          </cell>
          <cell r="I3057" t="str">
            <v>MD</v>
          </cell>
          <cell r="J3057" t="str">
            <v>Med</v>
          </cell>
          <cell r="K3057">
            <v>85215.666666666672</v>
          </cell>
        </row>
        <row r="3058">
          <cell r="C3058">
            <v>3595421.7480267701</v>
          </cell>
          <cell r="D3058">
            <v>0.75258524320716602</v>
          </cell>
          <cell r="E3058">
            <v>202320</v>
          </cell>
          <cell r="F3058">
            <v>152263.04640567399</v>
          </cell>
          <cell r="G3058">
            <v>4.2349147631773269E-2</v>
          </cell>
          <cell r="I3058" t="str">
            <v>MD</v>
          </cell>
          <cell r="J3058" t="str">
            <v>Med</v>
          </cell>
          <cell r="K3058">
            <v>85215.666666666672</v>
          </cell>
        </row>
        <row r="3059">
          <cell r="C3059">
            <v>3536838.44815272</v>
          </cell>
          <cell r="D3059">
            <v>0.75992192173242701</v>
          </cell>
          <cell r="E3059">
            <v>179422</v>
          </cell>
          <cell r="F3059">
            <v>136346.71104107599</v>
          </cell>
          <cell r="G3059">
            <v>3.855044923306844E-2</v>
          </cell>
          <cell r="I3059" t="str">
            <v>MD</v>
          </cell>
          <cell r="J3059" t="str">
            <v>Med</v>
          </cell>
          <cell r="K3059">
            <v>85215.666666666672</v>
          </cell>
        </row>
        <row r="3060">
          <cell r="C3060">
            <v>3758565.87628739</v>
          </cell>
          <cell r="D3060">
            <v>0.73988213123651803</v>
          </cell>
          <cell r="E3060">
            <v>204597</v>
          </cell>
          <cell r="F3060">
            <v>151377.66440459801</v>
          </cell>
          <cell r="G3060">
            <v>4.0275378797969823E-2</v>
          </cell>
          <cell r="I3060" t="str">
            <v>MD</v>
          </cell>
          <cell r="J3060" t="str">
            <v>Med</v>
          </cell>
          <cell r="K3060">
            <v>85215.666666666672</v>
          </cell>
        </row>
        <row r="3061">
          <cell r="C3061">
            <v>3802044.7168524102</v>
          </cell>
          <cell r="D3061">
            <v>0.76851286588389001</v>
          </cell>
          <cell r="E3061">
            <v>176135</v>
          </cell>
          <cell r="F3061">
            <v>135362.01363245901</v>
          </cell>
          <cell r="G3061">
            <v>3.5602425461350395E-2</v>
          </cell>
          <cell r="I3061" t="str">
            <v>MD</v>
          </cell>
          <cell r="J3061" t="str">
            <v>Med</v>
          </cell>
          <cell r="K3061">
            <v>85215.666666666672</v>
          </cell>
        </row>
        <row r="3062">
          <cell r="C3062">
            <v>1674037.5936008899</v>
          </cell>
          <cell r="D3062">
            <v>0.73095870099954796</v>
          </cell>
          <cell r="E3062">
            <v>133360</v>
          </cell>
          <cell r="F3062">
            <v>97480.652365299698</v>
          </cell>
          <cell r="G3062">
            <v>5.8230862160996502E-2</v>
          </cell>
          <cell r="I3062" t="str">
            <v>WV</v>
          </cell>
          <cell r="J3062" t="str">
            <v>Med</v>
          </cell>
          <cell r="K3062">
            <v>61982.333333333336</v>
          </cell>
        </row>
        <row r="3063">
          <cell r="C3063">
            <v>1626935.2196162301</v>
          </cell>
          <cell r="D3063">
            <v>0.68534537482736602</v>
          </cell>
          <cell r="E3063">
            <v>135944</v>
          </cell>
          <cell r="F3063">
            <v>93168.591635531397</v>
          </cell>
          <cell r="G3063">
            <v>5.726631921921789E-2</v>
          </cell>
          <cell r="I3063" t="str">
            <v>WV</v>
          </cell>
          <cell r="J3063" t="str">
            <v>Med</v>
          </cell>
          <cell r="K3063">
            <v>54854.333333333336</v>
          </cell>
        </row>
        <row r="3064">
          <cell r="C3064">
            <v>1887556.9599379301</v>
          </cell>
          <cell r="D3064">
            <v>0.71281013877372101</v>
          </cell>
          <cell r="E3064">
            <v>143567</v>
          </cell>
          <cell r="F3064">
            <v>102336.013193327</v>
          </cell>
          <cell r="G3064">
            <v>5.4216119229955416E-2</v>
          </cell>
          <cell r="I3064" t="str">
            <v>WV</v>
          </cell>
          <cell r="J3064" t="str">
            <v>No Data</v>
          </cell>
          <cell r="K3064">
            <v>0</v>
          </cell>
        </row>
        <row r="3065">
          <cell r="C3065">
            <v>1760525.4323929199</v>
          </cell>
          <cell r="D3065">
            <v>0.63744148531259504</v>
          </cell>
          <cell r="E3065">
            <v>175386</v>
          </cell>
          <cell r="F3065">
            <v>111798.312343035</v>
          </cell>
          <cell r="G3065">
            <v>6.3502810175867702E-2</v>
          </cell>
          <cell r="I3065" t="str">
            <v>WV</v>
          </cell>
          <cell r="J3065" t="str">
            <v>Low</v>
          </cell>
          <cell r="K3065">
            <v>39252</v>
          </cell>
        </row>
        <row r="3066">
          <cell r="C3066">
            <v>1718735.31616719</v>
          </cell>
          <cell r="D3066">
            <v>0.679706067812336</v>
          </cell>
          <cell r="E3066">
            <v>141889</v>
          </cell>
          <cell r="F3066">
            <v>96442.814255824604</v>
          </cell>
          <cell r="G3066">
            <v>5.6112662228232899E-2</v>
          </cell>
          <cell r="I3066" t="str">
            <v>WV</v>
          </cell>
          <cell r="J3066" t="str">
            <v>Med</v>
          </cell>
          <cell r="K3066">
            <v>60539.333333333336</v>
          </cell>
        </row>
        <row r="3067">
          <cell r="C3067">
            <v>1695219.5762153501</v>
          </cell>
          <cell r="D3067">
            <v>0.68545122227019595</v>
          </cell>
          <cell r="E3067">
            <v>155374</v>
          </cell>
          <cell r="F3067">
            <v>106501.29820900899</v>
          </cell>
          <cell r="G3067">
            <v>6.2824485808957969E-2</v>
          </cell>
          <cell r="I3067" t="str">
            <v>WV</v>
          </cell>
          <cell r="J3067" t="str">
            <v>Med</v>
          </cell>
          <cell r="K3067">
            <v>60240.333333333336</v>
          </cell>
        </row>
        <row r="3068">
          <cell r="C3068">
            <v>1432703.82497934</v>
          </cell>
          <cell r="D3068">
            <v>0.65788039828129696</v>
          </cell>
          <cell r="E3068">
            <v>159836</v>
          </cell>
          <cell r="F3068">
            <v>105152.971339689</v>
          </cell>
          <cell r="G3068">
            <v>7.3394772531723607E-2</v>
          </cell>
          <cell r="I3068" t="str">
            <v>WV</v>
          </cell>
          <cell r="J3068" t="str">
            <v>Med</v>
          </cell>
          <cell r="K3068">
            <v>40453.666666666664</v>
          </cell>
        </row>
        <row r="3069">
          <cell r="C3069">
            <v>1396619.5816780201</v>
          </cell>
          <cell r="D3069">
            <v>0.71709229300981603</v>
          </cell>
          <cell r="E3069">
            <v>133261</v>
          </cell>
          <cell r="F3069">
            <v>95560.436058781095</v>
          </cell>
          <cell r="G3069">
            <v>6.8422666639090426E-2</v>
          </cell>
          <cell r="I3069" t="str">
            <v>WV</v>
          </cell>
          <cell r="J3069" t="str">
            <v>No Data</v>
          </cell>
          <cell r="K3069">
            <v>0</v>
          </cell>
        </row>
        <row r="3070">
          <cell r="C3070">
            <v>1330328.46885236</v>
          </cell>
          <cell r="D3070">
            <v>0.71018126520652003</v>
          </cell>
          <cell r="E3070">
            <v>118955</v>
          </cell>
          <cell r="F3070">
            <v>84479.612402641593</v>
          </cell>
          <cell r="G3070">
            <v>6.3502822333434669E-2</v>
          </cell>
          <cell r="I3070" t="str">
            <v>WV</v>
          </cell>
          <cell r="J3070" t="str">
            <v>Low</v>
          </cell>
          <cell r="K3070">
            <v>29058</v>
          </cell>
        </row>
        <row r="3071">
          <cell r="C3071">
            <v>2126381.0129060899</v>
          </cell>
          <cell r="D3071">
            <v>0.70654547125233003</v>
          </cell>
          <cell r="E3071">
            <v>140277</v>
          </cell>
          <cell r="F3071">
            <v>99112.079070863096</v>
          </cell>
          <cell r="G3071">
            <v>4.6610686640494524E-2</v>
          </cell>
          <cell r="I3071" t="str">
            <v>WV</v>
          </cell>
          <cell r="J3071" t="str">
            <v>Med</v>
          </cell>
          <cell r="K3071">
            <v>85244.666666666672</v>
          </cell>
        </row>
        <row r="3072">
          <cell r="C3072">
            <v>2676188.7507849801</v>
          </cell>
          <cell r="D3072">
            <v>0.71673918562538996</v>
          </cell>
          <cell r="E3072">
            <v>130671</v>
          </cell>
          <cell r="F3072">
            <v>93657.026124855402</v>
          </cell>
          <cell r="G3072">
            <v>3.4996420225361126E-2</v>
          </cell>
          <cell r="I3072" t="str">
            <v>WV</v>
          </cell>
          <cell r="J3072" t="str">
            <v>High</v>
          </cell>
          <cell r="K3072">
            <v>125297</v>
          </cell>
        </row>
        <row r="3073">
          <cell r="C3073">
            <v>1672995.10570959</v>
          </cell>
          <cell r="D3073">
            <v>0.73988197915440401</v>
          </cell>
          <cell r="E3073">
            <v>128234</v>
          </cell>
          <cell r="F3073">
            <v>94878.025714885895</v>
          </cell>
          <cell r="G3073">
            <v>5.671147834867335E-2</v>
          </cell>
          <cell r="I3073" t="str">
            <v>WV</v>
          </cell>
          <cell r="J3073" t="str">
            <v>No Data</v>
          </cell>
          <cell r="K3073">
            <v>0</v>
          </cell>
        </row>
        <row r="3074">
          <cell r="C3074">
            <v>1964903.05345038</v>
          </cell>
          <cell r="D3074">
            <v>0.71814639508207601</v>
          </cell>
          <cell r="E3074">
            <v>144953</v>
          </cell>
          <cell r="F3074">
            <v>104097.474406332</v>
          </cell>
          <cell r="G3074">
            <v>5.2978427726261754E-2</v>
          </cell>
          <cell r="I3074" t="str">
            <v>WV</v>
          </cell>
          <cell r="J3074" t="str">
            <v>Med</v>
          </cell>
          <cell r="K3074">
            <v>75636.666666666672</v>
          </cell>
        </row>
        <row r="3075">
          <cell r="C3075">
            <v>1924202.8485447899</v>
          </cell>
          <cell r="D3075">
            <v>0.73014785762742596</v>
          </cell>
          <cell r="E3075">
            <v>153607</v>
          </cell>
          <cell r="F3075">
            <v>112155.821966576</v>
          </cell>
          <cell r="G3075">
            <v>5.8286901535041215E-2</v>
          </cell>
          <cell r="I3075" t="str">
            <v>WV</v>
          </cell>
          <cell r="J3075" t="str">
            <v>Med</v>
          </cell>
          <cell r="K3075">
            <v>61982.333333333336</v>
          </cell>
        </row>
        <row r="3076">
          <cell r="C3076">
            <v>1913434.80685946</v>
          </cell>
          <cell r="D3076">
            <v>0.70944978139623505</v>
          </cell>
          <cell r="E3076">
            <v>149900</v>
          </cell>
          <cell r="F3076">
            <v>106346.522231296</v>
          </cell>
          <cell r="G3076">
            <v>5.5578858422589077E-2</v>
          </cell>
          <cell r="I3076" t="str">
            <v>WV</v>
          </cell>
          <cell r="J3076" t="str">
            <v>Med</v>
          </cell>
          <cell r="K3076">
            <v>54854.333333333336</v>
          </cell>
        </row>
        <row r="3077">
          <cell r="C3077">
            <v>2194194.9851750201</v>
          </cell>
          <cell r="D3077">
            <v>0.70860902350413002</v>
          </cell>
          <cell r="E3077">
            <v>166639</v>
          </cell>
          <cell r="F3077">
            <v>118081.899067705</v>
          </cell>
          <cell r="G3077">
            <v>5.3815590622310255E-2</v>
          </cell>
          <cell r="I3077" t="str">
            <v>WV</v>
          </cell>
          <cell r="J3077" t="str">
            <v>No Data</v>
          </cell>
          <cell r="K3077">
            <v>0</v>
          </cell>
        </row>
        <row r="3078">
          <cell r="C3078">
            <v>1965594.8179388</v>
          </cell>
          <cell r="D3078">
            <v>0.67679895842524596</v>
          </cell>
          <cell r="E3078">
            <v>186229</v>
          </cell>
          <cell r="F3078">
            <v>126039.593228575</v>
          </cell>
          <cell r="G3078">
            <v>6.4122876229774084E-2</v>
          </cell>
          <cell r="I3078" t="str">
            <v>WV</v>
          </cell>
          <cell r="J3078" t="str">
            <v>Low</v>
          </cell>
          <cell r="K3078">
            <v>39252</v>
          </cell>
        </row>
        <row r="3079">
          <cell r="C3079">
            <v>1970337.8012592499</v>
          </cell>
          <cell r="D3079">
            <v>0.67665824476310998</v>
          </cell>
          <cell r="E3079">
            <v>169315</v>
          </cell>
          <cell r="F3079">
            <v>114568.390712066</v>
          </cell>
          <cell r="G3079">
            <v>5.8146572957614134E-2</v>
          </cell>
          <cell r="I3079" t="str">
            <v>WV</v>
          </cell>
          <cell r="J3079" t="str">
            <v>Med</v>
          </cell>
          <cell r="K3079">
            <v>60539.333333333336</v>
          </cell>
        </row>
        <row r="3080">
          <cell r="C3080">
            <v>1928206.4415339699</v>
          </cell>
          <cell r="D3080">
            <v>0.67258866059177802</v>
          </cell>
          <cell r="E3080">
            <v>178775</v>
          </cell>
          <cell r="F3080">
            <v>120242.03779729499</v>
          </cell>
          <cell r="G3080">
            <v>6.2359525000672315E-2</v>
          </cell>
          <cell r="I3080" t="str">
            <v>WV</v>
          </cell>
          <cell r="J3080" t="str">
            <v>Med</v>
          </cell>
          <cell r="K3080">
            <v>60240.333333333336</v>
          </cell>
        </row>
        <row r="3081">
          <cell r="C3081">
            <v>1627678.7374827501</v>
          </cell>
          <cell r="D3081">
            <v>0.681210263630317</v>
          </cell>
          <cell r="E3081">
            <v>175339</v>
          </cell>
          <cell r="F3081">
            <v>119442.726414676</v>
          </cell>
          <cell r="G3081">
            <v>7.338224900535191E-2</v>
          </cell>
          <cell r="I3081" t="str">
            <v>WV</v>
          </cell>
          <cell r="J3081" t="str">
            <v>Med</v>
          </cell>
          <cell r="K3081">
            <v>40453.666666666664</v>
          </cell>
        </row>
        <row r="3082">
          <cell r="C3082">
            <v>1569845.65567595</v>
          </cell>
          <cell r="D3082">
            <v>0.74040028621534604</v>
          </cell>
          <cell r="E3082">
            <v>141639</v>
          </cell>
          <cell r="F3082">
            <v>104869.556139255</v>
          </cell>
          <cell r="G3082">
            <v>6.6802462879129276E-2</v>
          </cell>
          <cell r="I3082" t="str">
            <v>WV</v>
          </cell>
          <cell r="J3082" t="str">
            <v>No Data</v>
          </cell>
          <cell r="K3082">
            <v>0</v>
          </cell>
        </row>
        <row r="3083">
          <cell r="C3083">
            <v>1514321.51681862</v>
          </cell>
          <cell r="D3083">
            <v>0.719794264363249</v>
          </cell>
          <cell r="E3083">
            <v>133652</v>
          </cell>
          <cell r="F3083">
            <v>96201.943020677005</v>
          </cell>
          <cell r="G3083">
            <v>6.3528083007619127E-2</v>
          </cell>
          <cell r="I3083" t="str">
            <v>WV</v>
          </cell>
          <cell r="J3083" t="str">
            <v>Low</v>
          </cell>
          <cell r="K3083">
            <v>29058</v>
          </cell>
        </row>
        <row r="3084">
          <cell r="C3084">
            <v>2410610.3881926001</v>
          </cell>
          <cell r="D3084">
            <v>0.69056574700502404</v>
          </cell>
          <cell r="E3084">
            <v>159308</v>
          </cell>
          <cell r="F3084">
            <v>110012.648023876</v>
          </cell>
          <cell r="G3084">
            <v>4.5636843084526826E-2</v>
          </cell>
          <cell r="I3084" t="str">
            <v>WV</v>
          </cell>
          <cell r="J3084" t="str">
            <v>Med</v>
          </cell>
          <cell r="K3084">
            <v>85244.666666666672</v>
          </cell>
        </row>
        <row r="3085">
          <cell r="C3085">
            <v>3032613.35085775</v>
          </cell>
          <cell r="D3085">
            <v>0.741284210905504</v>
          </cell>
          <cell r="E3085">
            <v>143903</v>
          </cell>
          <cell r="F3085">
            <v>106673.021801935</v>
          </cell>
          <cell r="G3085">
            <v>3.5175279358235167E-2</v>
          </cell>
          <cell r="I3085" t="str">
            <v>WV</v>
          </cell>
          <cell r="J3085" t="str">
            <v>High</v>
          </cell>
          <cell r="K3085">
            <v>125297</v>
          </cell>
        </row>
        <row r="3086">
          <cell r="C3086">
            <v>1894664.1111570699</v>
          </cell>
          <cell r="D3086">
            <v>0.719844910181763</v>
          </cell>
          <cell r="E3086">
            <v>154199</v>
          </cell>
          <cell r="F3086">
            <v>110999.365305118</v>
          </cell>
          <cell r="G3086">
            <v>5.8585247195784361E-2</v>
          </cell>
          <cell r="I3086" t="str">
            <v>WV</v>
          </cell>
          <cell r="J3086" t="str">
            <v>No Data</v>
          </cell>
          <cell r="K3086">
            <v>0</v>
          </cell>
        </row>
        <row r="3087">
          <cell r="C3087">
            <v>2288274.5087276199</v>
          </cell>
          <cell r="D3087">
            <v>0.73162691009845604</v>
          </cell>
          <cell r="E3087">
            <v>165681</v>
          </cell>
          <cell r="F3087">
            <v>121216.678092022</v>
          </cell>
          <cell r="G3087">
            <v>5.2972961779582883E-2</v>
          </cell>
          <cell r="I3087" t="str">
            <v>WV</v>
          </cell>
          <cell r="J3087" t="str">
            <v>Med</v>
          </cell>
          <cell r="K3087">
            <v>75636.666666666672</v>
          </cell>
        </row>
        <row r="3088">
          <cell r="C3088">
            <v>2124567.7721617501</v>
          </cell>
          <cell r="D3088">
            <v>0.724104583667464</v>
          </cell>
          <cell r="E3088">
            <v>182136</v>
          </cell>
          <cell r="F3088">
            <v>131885.512450857</v>
          </cell>
          <cell r="G3088">
            <v>6.207639698716852E-2</v>
          </cell>
          <cell r="I3088" t="str">
            <v>WV</v>
          </cell>
          <cell r="J3088" t="str">
            <v>Med</v>
          </cell>
          <cell r="K3088">
            <v>61982.333333333336</v>
          </cell>
        </row>
        <row r="3089">
          <cell r="C3089">
            <v>2104792.7372692302</v>
          </cell>
          <cell r="D3089">
            <v>0.70317236395673999</v>
          </cell>
          <cell r="E3089">
            <v>175139</v>
          </cell>
          <cell r="F3089">
            <v>123152.90465102</v>
          </cell>
          <cell r="G3089">
            <v>5.8510703914153209E-2</v>
          </cell>
          <cell r="I3089" t="str">
            <v>WV</v>
          </cell>
          <cell r="J3089" t="str">
            <v>Med</v>
          </cell>
          <cell r="K3089">
            <v>54854.333333333336</v>
          </cell>
        </row>
        <row r="3090">
          <cell r="C3090">
            <v>2397552.0992573602</v>
          </cell>
          <cell r="D3090">
            <v>0.72635994566253503</v>
          </cell>
          <cell r="E3090">
            <v>189076</v>
          </cell>
          <cell r="F3090">
            <v>137337.23308609001</v>
          </cell>
          <cell r="G3090">
            <v>5.7282272668289502E-2</v>
          </cell>
          <cell r="I3090" t="str">
            <v>WV</v>
          </cell>
          <cell r="J3090" t="str">
            <v>No Data</v>
          </cell>
          <cell r="K3090">
            <v>0</v>
          </cell>
        </row>
        <row r="3091">
          <cell r="C3091">
            <v>2174025.6278521102</v>
          </cell>
          <cell r="D3091">
            <v>0.66565237714079095</v>
          </cell>
          <cell r="E3091">
            <v>218551</v>
          </cell>
          <cell r="F3091">
            <v>145478.992676497</v>
          </cell>
          <cell r="G3091">
            <v>6.691687108593429E-2</v>
          </cell>
          <cell r="I3091" t="str">
            <v>WV</v>
          </cell>
          <cell r="J3091" t="str">
            <v>Low</v>
          </cell>
          <cell r="K3091">
            <v>39252</v>
          </cell>
        </row>
        <row r="3092">
          <cell r="C3092">
            <v>2190388.5456456798</v>
          </cell>
          <cell r="D3092">
            <v>0.69547605561155901</v>
          </cell>
          <cell r="E3092">
            <v>190613</v>
          </cell>
          <cell r="F3092">
            <v>132566.77738828599</v>
          </cell>
          <cell r="G3092">
            <v>6.0522037358083487E-2</v>
          </cell>
          <cell r="I3092" t="str">
            <v>WV</v>
          </cell>
          <cell r="J3092" t="str">
            <v>Med</v>
          </cell>
          <cell r="K3092">
            <v>60539.333333333336</v>
          </cell>
        </row>
        <row r="3093">
          <cell r="C3093">
            <v>2173819.1461440702</v>
          </cell>
          <cell r="D3093">
            <v>0.69016304823571295</v>
          </cell>
          <cell r="E3093">
            <v>209019</v>
          </cell>
          <cell r="F3093">
            <v>144257.19017918099</v>
          </cell>
          <cell r="G3093">
            <v>6.6361173805587745E-2</v>
          </cell>
          <cell r="I3093" t="str">
            <v>WV</v>
          </cell>
          <cell r="J3093" t="str">
            <v>Med</v>
          </cell>
          <cell r="K3093">
            <v>60240.333333333336</v>
          </cell>
        </row>
        <row r="3094">
          <cell r="C3094">
            <v>1802518.23572322</v>
          </cell>
          <cell r="D3094">
            <v>0.66021058180215297</v>
          </cell>
          <cell r="E3094">
            <v>214048</v>
          </cell>
          <cell r="F3094">
            <v>141316.75461358699</v>
          </cell>
          <cell r="G3094">
            <v>7.8399625486666333E-2</v>
          </cell>
          <cell r="I3094" t="str">
            <v>WV</v>
          </cell>
          <cell r="J3094" t="str">
            <v>Med</v>
          </cell>
          <cell r="K3094">
            <v>40453.666666666664</v>
          </cell>
        </row>
        <row r="3095">
          <cell r="C3095">
            <v>1741140.3020220301</v>
          </cell>
          <cell r="D3095">
            <v>0.75599390107584097</v>
          </cell>
          <cell r="E3095">
            <v>157101</v>
          </cell>
          <cell r="F3095">
            <v>118767.39785291599</v>
          </cell>
          <cell r="G3095">
            <v>6.8212422465316794E-2</v>
          </cell>
          <cell r="I3095" t="str">
            <v>WV</v>
          </cell>
          <cell r="J3095" t="str">
            <v>No Data</v>
          </cell>
          <cell r="K3095">
            <v>0</v>
          </cell>
        </row>
        <row r="3096">
          <cell r="C3096">
            <v>1664921.83242109</v>
          </cell>
          <cell r="D3096">
            <v>0.720486750265669</v>
          </cell>
          <cell r="E3096">
            <v>156281</v>
          </cell>
          <cell r="F3096">
            <v>112598.389818269</v>
          </cell>
          <cell r="G3096">
            <v>6.7629835602870975E-2</v>
          </cell>
          <cell r="I3096" t="str">
            <v>WV</v>
          </cell>
          <cell r="J3096" t="str">
            <v>Low</v>
          </cell>
          <cell r="K3096">
            <v>29058</v>
          </cell>
        </row>
        <row r="3097">
          <cell r="C3097">
            <v>2652502.98108153</v>
          </cell>
          <cell r="D3097">
            <v>0.71049259248149699</v>
          </cell>
          <cell r="E3097">
            <v>184301</v>
          </cell>
          <cell r="F3097">
            <v>130944.495286932</v>
          </cell>
          <cell r="G3097">
            <v>4.9366389489802105E-2</v>
          </cell>
          <cell r="I3097" t="str">
            <v>WV</v>
          </cell>
          <cell r="J3097" t="str">
            <v>Med</v>
          </cell>
          <cell r="K3097">
            <v>85244.666666666672</v>
          </cell>
        </row>
        <row r="3098">
          <cell r="C3098">
            <v>3342016.4210481099</v>
          </cell>
          <cell r="D3098">
            <v>0.72502896843965303</v>
          </cell>
          <cell r="E3098">
            <v>164669</v>
          </cell>
          <cell r="F3098">
            <v>119389.79520398899</v>
          </cell>
          <cell r="G3098">
            <v>3.5723880484868006E-2</v>
          </cell>
          <cell r="I3098" t="str">
            <v>WV</v>
          </cell>
          <cell r="J3098" t="str">
            <v>High</v>
          </cell>
          <cell r="K3098">
            <v>125297</v>
          </cell>
        </row>
        <row r="3099">
          <cell r="C3099">
            <v>2065880.9292311501</v>
          </cell>
          <cell r="D3099">
            <v>0.73529712458346197</v>
          </cell>
          <cell r="E3099">
            <v>168522</v>
          </cell>
          <cell r="F3099">
            <v>123913.742029054</v>
          </cell>
          <cell r="G3099">
            <v>5.9981066805805908E-2</v>
          </cell>
          <cell r="I3099" t="str">
            <v>WV</v>
          </cell>
          <cell r="J3099" t="str">
            <v>No Data</v>
          </cell>
          <cell r="K3099">
            <v>0</v>
          </cell>
        </row>
        <row r="3100">
          <cell r="C3100">
            <v>2543127.0144368298</v>
          </cell>
          <cell r="D3100">
            <v>0.73994690130503504</v>
          </cell>
          <cell r="E3100">
            <v>194011</v>
          </cell>
          <cell r="F3100">
            <v>143557.83826909101</v>
          </cell>
          <cell r="G3100">
            <v>5.6449338729108497E-2</v>
          </cell>
          <cell r="I3100" t="str">
            <v>WV</v>
          </cell>
          <cell r="J3100" t="str">
            <v>Med</v>
          </cell>
          <cell r="K3100">
            <v>75636.666666666672</v>
          </cell>
        </row>
        <row r="3101">
          <cell r="C3101">
            <v>2223268.2690288299</v>
          </cell>
          <cell r="D3101">
            <v>0.736162911337366</v>
          </cell>
          <cell r="E3101">
            <v>207469</v>
          </cell>
          <cell r="F3101">
            <v>152730.98305225201</v>
          </cell>
          <cell r="G3101">
            <v>6.8696605434380664E-2</v>
          </cell>
          <cell r="I3101" t="str">
            <v>WV</v>
          </cell>
          <cell r="J3101" t="str">
            <v>Med</v>
          </cell>
          <cell r="K3101">
            <v>61982.333333333336</v>
          </cell>
        </row>
        <row r="3102">
          <cell r="C3102">
            <v>2190563.5147601101</v>
          </cell>
          <cell r="D3102">
            <v>0.69023393573527503</v>
          </cell>
          <cell r="E3102">
            <v>205679</v>
          </cell>
          <cell r="F3102">
            <v>141966.62566809601</v>
          </cell>
          <cell r="G3102">
            <v>6.4808267238780734E-2</v>
          </cell>
          <cell r="I3102" t="str">
            <v>WV</v>
          </cell>
          <cell r="J3102" t="str">
            <v>Med</v>
          </cell>
          <cell r="K3102">
            <v>54854.333333333336</v>
          </cell>
        </row>
        <row r="3103">
          <cell r="C3103">
            <v>2578003.6866239998</v>
          </cell>
          <cell r="D3103">
            <v>0.74479474390359302</v>
          </cell>
          <cell r="E3103">
            <v>217857</v>
          </cell>
          <cell r="F3103">
            <v>162258.74852260499</v>
          </cell>
          <cell r="G3103">
            <v>6.2939688319487777E-2</v>
          </cell>
          <cell r="I3103" t="str">
            <v>WV</v>
          </cell>
          <cell r="J3103" t="str">
            <v>No Data</v>
          </cell>
          <cell r="K3103">
            <v>0</v>
          </cell>
        </row>
        <row r="3104">
          <cell r="C3104">
            <v>2315444.67122025</v>
          </cell>
          <cell r="D3104">
            <v>0.68682014705138705</v>
          </cell>
          <cell r="E3104">
            <v>250115</v>
          </cell>
          <cell r="F3104">
            <v>171784.02107975801</v>
          </cell>
          <cell r="G3104">
            <v>7.4190510019497488E-2</v>
          </cell>
          <cell r="I3104" t="str">
            <v>WV</v>
          </cell>
          <cell r="J3104" t="str">
            <v>Low</v>
          </cell>
          <cell r="K3104">
            <v>39252</v>
          </cell>
        </row>
        <row r="3105">
          <cell r="C3105">
            <v>2327710.76461876</v>
          </cell>
          <cell r="D3105">
            <v>0.69229370199701401</v>
          </cell>
          <cell r="E3105">
            <v>221806</v>
          </cell>
          <cell r="F3105">
            <v>153554.89686514999</v>
          </cell>
          <cell r="G3105">
            <v>6.5968203266138919E-2</v>
          </cell>
          <cell r="I3105" t="str">
            <v>WV</v>
          </cell>
          <cell r="J3105" t="str">
            <v>Med</v>
          </cell>
          <cell r="K3105">
            <v>60539.333333333336</v>
          </cell>
        </row>
        <row r="3106">
          <cell r="C3106">
            <v>2298837.00741891</v>
          </cell>
          <cell r="D3106">
            <v>0.69639347432423104</v>
          </cell>
          <cell r="E3106">
            <v>239938</v>
          </cell>
          <cell r="F3106">
            <v>167091.25744240699</v>
          </cell>
          <cell r="G3106">
            <v>7.2685125958544511E-2</v>
          </cell>
          <cell r="I3106" t="str">
            <v>WV</v>
          </cell>
          <cell r="J3106" t="str">
            <v>Med</v>
          </cell>
          <cell r="K3106">
            <v>60240.333333333336</v>
          </cell>
        </row>
        <row r="3107">
          <cell r="C3107">
            <v>1921746.1118286001</v>
          </cell>
          <cell r="D3107">
            <v>0.67381485276488495</v>
          </cell>
          <cell r="E3107">
            <v>242627</v>
          </cell>
          <cell r="F3107">
            <v>163485.676281786</v>
          </cell>
          <cell r="G3107">
            <v>8.507142294994649E-2</v>
          </cell>
          <cell r="I3107" t="str">
            <v>WV</v>
          </cell>
          <cell r="J3107" t="str">
            <v>Med</v>
          </cell>
          <cell r="K3107">
            <v>40453.666666666664</v>
          </cell>
        </row>
        <row r="3108">
          <cell r="C3108">
            <v>1840318.48994202</v>
          </cell>
          <cell r="D3108">
            <v>0.76597684549850897</v>
          </cell>
          <cell r="E3108">
            <v>179888</v>
          </cell>
          <cell r="F3108">
            <v>137790.04278303601</v>
          </cell>
          <cell r="G3108">
            <v>7.4872932884229804E-2</v>
          </cell>
          <cell r="I3108" t="str">
            <v>WV</v>
          </cell>
          <cell r="J3108" t="str">
            <v>No Data</v>
          </cell>
          <cell r="K3108">
            <v>0</v>
          </cell>
        </row>
        <row r="3109">
          <cell r="C3109">
            <v>1766746.44375032</v>
          </cell>
          <cell r="D3109">
            <v>0.73703908280921604</v>
          </cell>
          <cell r="E3109">
            <v>169727</v>
          </cell>
          <cell r="F3109">
            <v>125095.43240796</v>
          </cell>
          <cell r="G3109">
            <v>7.0805537970925009E-2</v>
          </cell>
          <cell r="I3109" t="str">
            <v>WV</v>
          </cell>
          <cell r="J3109" t="str">
            <v>Low</v>
          </cell>
          <cell r="K3109">
            <v>29058</v>
          </cell>
        </row>
        <row r="3110">
          <cell r="C3110">
            <v>2776353.80403298</v>
          </cell>
          <cell r="D3110">
            <v>0.69519290109518606</v>
          </cell>
          <cell r="E3110">
            <v>215437</v>
          </cell>
          <cell r="F3110">
            <v>149770.27303324401</v>
          </cell>
          <cell r="G3110">
            <v>5.3944952122343015E-2</v>
          </cell>
          <cell r="I3110" t="str">
            <v>WV</v>
          </cell>
          <cell r="J3110" t="str">
            <v>Med</v>
          </cell>
          <cell r="K3110">
            <v>85244.666666666672</v>
          </cell>
        </row>
        <row r="3111">
          <cell r="C3111">
            <v>3581722.9505463499</v>
          </cell>
          <cell r="D3111">
            <v>0.72570308825905006</v>
          </cell>
          <cell r="E3111">
            <v>199507</v>
          </cell>
          <cell r="F3111">
            <v>144782.846029298</v>
          </cell>
          <cell r="G3111">
            <v>4.042268149389195E-2</v>
          </cell>
          <cell r="I3111" t="str">
            <v>WV</v>
          </cell>
          <cell r="J3111" t="str">
            <v>High</v>
          </cell>
          <cell r="K3111">
            <v>125297</v>
          </cell>
        </row>
        <row r="3112">
          <cell r="C3112">
            <v>2159180.3299976299</v>
          </cell>
          <cell r="D3112">
            <v>0.73288286460668295</v>
          </cell>
          <cell r="E3112">
            <v>196872</v>
          </cell>
          <cell r="F3112">
            <v>144284.11532084699</v>
          </cell>
          <cell r="G3112">
            <v>6.6823559531503041E-2</v>
          </cell>
          <cell r="I3112" t="str">
            <v>WV</v>
          </cell>
          <cell r="J3112" t="str">
            <v>No Data</v>
          </cell>
          <cell r="K3112">
            <v>0</v>
          </cell>
        </row>
        <row r="3113">
          <cell r="C3113">
            <v>2644970.27020858</v>
          </cell>
          <cell r="D3113">
            <v>0.77291413442857504</v>
          </cell>
          <cell r="E3113">
            <v>209683</v>
          </cell>
          <cell r="F3113">
            <v>162066.95444938701</v>
          </cell>
          <cell r="G3113">
            <v>6.1273639357997983E-2</v>
          </cell>
          <cell r="I3113" t="str">
            <v>WV</v>
          </cell>
          <cell r="J3113" t="str">
            <v>Med</v>
          </cell>
          <cell r="K3113">
            <v>75636.666666666672</v>
          </cell>
        </row>
        <row r="3114">
          <cell r="C3114">
            <v>2360196.0979869799</v>
          </cell>
          <cell r="D3114">
            <v>0.75496671614009503</v>
          </cell>
          <cell r="E3114">
            <v>223263</v>
          </cell>
          <cell r="F3114">
            <v>168556.13394558601</v>
          </cell>
          <cell r="G3114">
            <v>7.1416156517396231E-2</v>
          </cell>
          <cell r="I3114" t="str">
            <v>WV</v>
          </cell>
          <cell r="J3114" t="str">
            <v>Med</v>
          </cell>
          <cell r="K3114">
            <v>61982.333333333336</v>
          </cell>
        </row>
        <row r="3115">
          <cell r="C3115">
            <v>2327818.46328955</v>
          </cell>
          <cell r="D3115">
            <v>0.68010791032982099</v>
          </cell>
          <cell r="E3115">
            <v>233379</v>
          </cell>
          <cell r="F3115">
            <v>158722.904004863</v>
          </cell>
          <cell r="G3115">
            <v>6.8185258647946362E-2</v>
          </cell>
          <cell r="I3115" t="str">
            <v>WV</v>
          </cell>
          <cell r="J3115" t="str">
            <v>Med</v>
          </cell>
          <cell r="K3115">
            <v>54854.333333333336</v>
          </cell>
        </row>
        <row r="3116">
          <cell r="C3116">
            <v>2685518.5114835901</v>
          </cell>
          <cell r="D3116">
            <v>0.72455301563435504</v>
          </cell>
          <cell r="E3116">
            <v>241284</v>
          </cell>
          <cell r="F3116">
            <v>174823.04982432001</v>
          </cell>
          <cell r="G3116">
            <v>6.5098434092617966E-2</v>
          </cell>
          <cell r="I3116" t="str">
            <v>WV</v>
          </cell>
          <cell r="J3116" t="str">
            <v>No Data</v>
          </cell>
          <cell r="K3116">
            <v>0</v>
          </cell>
        </row>
        <row r="3117">
          <cell r="C3117">
            <v>2403912.1960480502</v>
          </cell>
          <cell r="D3117">
            <v>0.685297270566539</v>
          </cell>
          <cell r="E3117">
            <v>274106</v>
          </cell>
          <cell r="F3117">
            <v>187844.09364591201</v>
          </cell>
          <cell r="G3117">
            <v>7.8140996145666761E-2</v>
          </cell>
          <cell r="I3117" t="str">
            <v>WV</v>
          </cell>
          <cell r="J3117" t="str">
            <v>Low</v>
          </cell>
          <cell r="K3117">
            <v>39252</v>
          </cell>
        </row>
        <row r="3118">
          <cell r="C3118">
            <v>2430267.7424163101</v>
          </cell>
          <cell r="D3118">
            <v>0.679336626974961</v>
          </cell>
          <cell r="E3118">
            <v>247478</v>
          </cell>
          <cell r="F3118">
            <v>168120.86977050899</v>
          </cell>
          <cell r="G3118">
            <v>6.9177920949299879E-2</v>
          </cell>
          <cell r="I3118" t="str">
            <v>WV</v>
          </cell>
          <cell r="J3118" t="str">
            <v>Med</v>
          </cell>
          <cell r="K3118">
            <v>60539.333333333336</v>
          </cell>
        </row>
        <row r="3119">
          <cell r="C3119">
            <v>2445522.67256886</v>
          </cell>
          <cell r="D3119">
            <v>0.67596095758899799</v>
          </cell>
          <cell r="E3119">
            <v>280979</v>
          </cell>
          <cell r="F3119">
            <v>189930.833902399</v>
          </cell>
          <cell r="G3119">
            <v>7.766472011600252E-2</v>
          </cell>
          <cell r="I3119" t="str">
            <v>WV</v>
          </cell>
          <cell r="J3119" t="str">
            <v>Med</v>
          </cell>
          <cell r="K3119">
            <v>60240.333333333336</v>
          </cell>
        </row>
        <row r="3120">
          <cell r="C3120">
            <v>2011844.0523512601</v>
          </cell>
          <cell r="D3120">
            <v>0.70054932354127997</v>
          </cell>
          <cell r="E3120">
            <v>254378</v>
          </cell>
          <cell r="F3120">
            <v>178204.335823784</v>
          </cell>
          <cell r="G3120">
            <v>8.8577608992861545E-2</v>
          </cell>
          <cell r="I3120" t="str">
            <v>WV</v>
          </cell>
          <cell r="J3120" t="str">
            <v>Med</v>
          </cell>
          <cell r="K3120">
            <v>40453.666666666664</v>
          </cell>
        </row>
        <row r="3121">
          <cell r="C3121">
            <v>1977550.3397091699</v>
          </cell>
          <cell r="D3121">
            <v>0.75288331626715999</v>
          </cell>
          <cell r="E3121">
            <v>210472</v>
          </cell>
          <cell r="F3121">
            <v>158460.85734138201</v>
          </cell>
          <cell r="G3121">
            <v>8.0129872883380651E-2</v>
          </cell>
          <cell r="I3121" t="str">
            <v>WV</v>
          </cell>
          <cell r="J3121" t="str">
            <v>No Data</v>
          </cell>
          <cell r="K3121">
            <v>0</v>
          </cell>
        </row>
        <row r="3122">
          <cell r="C3122">
            <v>1841162.33411579</v>
          </cell>
          <cell r="D3122">
            <v>0.72543391306275595</v>
          </cell>
          <cell r="E3122">
            <v>197376</v>
          </cell>
          <cell r="F3122">
            <v>143183.24402467499</v>
          </cell>
          <cell r="G3122">
            <v>7.776785423618722E-2</v>
          </cell>
          <cell r="I3122" t="str">
            <v>WV</v>
          </cell>
          <cell r="J3122" t="str">
            <v>Low</v>
          </cell>
          <cell r="K3122">
            <v>29058</v>
          </cell>
        </row>
        <row r="3123">
          <cell r="C3123">
            <v>3035285.6037900001</v>
          </cell>
          <cell r="D3123">
            <v>0.70719241525205301</v>
          </cell>
          <cell r="E3123">
            <v>242019</v>
          </cell>
          <cell r="F3123">
            <v>171154.00114688699</v>
          </cell>
          <cell r="G3123">
            <v>5.6388104280261496E-2</v>
          </cell>
          <cell r="I3123" t="str">
            <v>WV</v>
          </cell>
          <cell r="J3123" t="str">
            <v>Med</v>
          </cell>
          <cell r="K3123">
            <v>85244.666666666672</v>
          </cell>
        </row>
        <row r="3124">
          <cell r="C3124">
            <v>3808478.9719521701</v>
          </cell>
          <cell r="D3124">
            <v>0.73158050105757499</v>
          </cell>
          <cell r="E3124">
            <v>218839</v>
          </cell>
          <cell r="F3124">
            <v>160098.345270939</v>
          </cell>
          <cell r="G3124">
            <v>4.2037345210514568E-2</v>
          </cell>
          <cell r="I3124" t="str">
            <v>WV</v>
          </cell>
          <cell r="J3124" t="str">
            <v>High</v>
          </cell>
          <cell r="K3124">
            <v>125297</v>
          </cell>
        </row>
        <row r="3125">
          <cell r="C3125">
            <v>2308833.66095998</v>
          </cell>
          <cell r="D3125">
            <v>0.735570193678317</v>
          </cell>
          <cell r="E3125">
            <v>217966</v>
          </cell>
          <cell r="F3125">
            <v>160329.29283528801</v>
          </cell>
          <cell r="G3125">
            <v>6.9441681982679249E-2</v>
          </cell>
          <cell r="I3125" t="str">
            <v>WV</v>
          </cell>
          <cell r="J3125" t="str">
            <v>No Data</v>
          </cell>
          <cell r="K3125">
            <v>0</v>
          </cell>
        </row>
        <row r="3126">
          <cell r="C3126">
            <v>2780034.7931973399</v>
          </cell>
          <cell r="D3126">
            <v>0.72614280597377701</v>
          </cell>
          <cell r="E3126">
            <v>248591</v>
          </cell>
          <cell r="F3126">
            <v>180512.56627982701</v>
          </cell>
          <cell r="G3126">
            <v>6.4931765142485165E-2</v>
          </cell>
          <cell r="I3126" t="str">
            <v>WV</v>
          </cell>
          <cell r="J3126" t="str">
            <v>Med</v>
          </cell>
          <cell r="K3126">
            <v>75636.666666666672</v>
          </cell>
        </row>
        <row r="3127">
          <cell r="C3127">
            <v>2196246.2619957998</v>
          </cell>
          <cell r="D3127">
            <v>0.74825835871200297</v>
          </cell>
          <cell r="E3127">
            <v>225518</v>
          </cell>
          <cell r="F3127">
            <v>168745.72854001401</v>
          </cell>
          <cell r="G3127">
            <v>7.6833700965150117E-2</v>
          </cell>
          <cell r="I3127" t="str">
            <v>WV</v>
          </cell>
          <cell r="J3127" t="str">
            <v>Med</v>
          </cell>
          <cell r="K3127">
            <v>61982.333333333336</v>
          </cell>
        </row>
        <row r="3128">
          <cell r="C3128">
            <v>2233274.6657558698</v>
          </cell>
          <cell r="D3128">
            <v>0.686042664615371</v>
          </cell>
          <cell r="E3128">
            <v>239016</v>
          </cell>
          <cell r="F3128">
            <v>163975.173525708</v>
          </cell>
          <cell r="G3128">
            <v>7.3423648259677579E-2</v>
          </cell>
          <cell r="I3128" t="str">
            <v>WV</v>
          </cell>
          <cell r="J3128" t="str">
            <v>Med</v>
          </cell>
          <cell r="K3128">
            <v>54854.333333333336</v>
          </cell>
        </row>
        <row r="3129">
          <cell r="C3129">
            <v>2569818.4533575098</v>
          </cell>
          <cell r="D3129">
            <v>0.754104966679084</v>
          </cell>
          <cell r="E3129">
            <v>248084</v>
          </cell>
          <cell r="F3129">
            <v>187081.37655361401</v>
          </cell>
          <cell r="G3129">
            <v>7.2799452548560045E-2</v>
          </cell>
          <cell r="I3129" t="str">
            <v>WV</v>
          </cell>
          <cell r="J3129" t="str">
            <v>No Data</v>
          </cell>
          <cell r="K3129">
            <v>0</v>
          </cell>
        </row>
        <row r="3130">
          <cell r="C3130">
            <v>2293803.8169351001</v>
          </cell>
          <cell r="D3130">
            <v>0.65891135048681604</v>
          </cell>
          <cell r="E3130">
            <v>292656</v>
          </cell>
          <cell r="F3130">
            <v>192834.36018806999</v>
          </cell>
          <cell r="G3130">
            <v>8.4067503403899846E-2</v>
          </cell>
          <cell r="I3130" t="str">
            <v>WV</v>
          </cell>
          <cell r="J3130" t="str">
            <v>Low</v>
          </cell>
          <cell r="K3130">
            <v>39252</v>
          </cell>
        </row>
        <row r="3131">
          <cell r="C3131">
            <v>2260572.0924071302</v>
          </cell>
          <cell r="D3131">
            <v>0.69416833297931602</v>
          </cell>
          <cell r="E3131">
            <v>242659</v>
          </cell>
          <cell r="F3131">
            <v>168446.193512428</v>
          </cell>
          <cell r="G3131">
            <v>7.4514851385722031E-2</v>
          </cell>
          <cell r="I3131" t="str">
            <v>WV</v>
          </cell>
          <cell r="J3131" t="str">
            <v>Med</v>
          </cell>
          <cell r="K3131">
            <v>60539.333333333336</v>
          </cell>
        </row>
        <row r="3132">
          <cell r="C3132">
            <v>2296220.08895852</v>
          </cell>
          <cell r="D3132">
            <v>0.69192725799688604</v>
          </cell>
          <cell r="E3132">
            <v>273613</v>
          </cell>
          <cell r="F3132">
            <v>189320.29284230201</v>
          </cell>
          <cell r="G3132">
            <v>8.2448670209209193E-2</v>
          </cell>
          <cell r="I3132" t="str">
            <v>WV</v>
          </cell>
          <cell r="J3132" t="str">
            <v>Med</v>
          </cell>
          <cell r="K3132">
            <v>60240.333333333336</v>
          </cell>
        </row>
        <row r="3133">
          <cell r="C3133">
            <v>1954380.50823774</v>
          </cell>
          <cell r="D3133">
            <v>0.67158125325205098</v>
          </cell>
          <cell r="E3133">
            <v>293185</v>
          </cell>
          <cell r="F3133">
            <v>196897.549734703</v>
          </cell>
          <cell r="G3133">
            <v>0.10074678339493112</v>
          </cell>
          <cell r="I3133" t="str">
            <v>WV</v>
          </cell>
          <cell r="J3133" t="str">
            <v>Med</v>
          </cell>
          <cell r="K3133">
            <v>40453.666666666664</v>
          </cell>
        </row>
        <row r="3134">
          <cell r="C3134">
            <v>1852565.3910502701</v>
          </cell>
          <cell r="D3134">
            <v>0.72727690275776302</v>
          </cell>
          <cell r="E3134">
            <v>233586</v>
          </cell>
          <cell r="F3134">
            <v>169881.70260757499</v>
          </cell>
          <cell r="G3134">
            <v>9.170078607118122E-2</v>
          </cell>
          <cell r="I3134" t="str">
            <v>WV</v>
          </cell>
          <cell r="J3134" t="str">
            <v>No Data</v>
          </cell>
          <cell r="K3134">
            <v>0</v>
          </cell>
        </row>
        <row r="3135">
          <cell r="C3135">
            <v>1748271.2551124601</v>
          </cell>
          <cell r="D3135">
            <v>0.70713941791440105</v>
          </cell>
          <cell r="E3135">
            <v>214391</v>
          </cell>
          <cell r="F3135">
            <v>151604.32694608599</v>
          </cell>
          <cell r="G3135">
            <v>8.6716707434701723E-2</v>
          </cell>
          <cell r="I3135" t="str">
            <v>WV</v>
          </cell>
          <cell r="J3135" t="str">
            <v>Low</v>
          </cell>
          <cell r="K3135">
            <v>29058</v>
          </cell>
        </row>
        <row r="3136">
          <cell r="C3136">
            <v>2847793.6580912201</v>
          </cell>
          <cell r="D3136">
            <v>0.68528826086122696</v>
          </cell>
          <cell r="E3136">
            <v>255234</v>
          </cell>
          <cell r="F3136">
            <v>174908.863972655</v>
          </cell>
          <cell r="G3136">
            <v>6.141907910908493E-2</v>
          </cell>
          <cell r="I3136" t="str">
            <v>WV</v>
          </cell>
          <cell r="J3136" t="str">
            <v>Med</v>
          </cell>
          <cell r="K3136">
            <v>85244.666666666672</v>
          </cell>
        </row>
        <row r="3137">
          <cell r="C3137">
            <v>3638575.44237052</v>
          </cell>
          <cell r="D3137">
            <v>0.73785872256949303</v>
          </cell>
          <cell r="E3137">
            <v>226468</v>
          </cell>
          <cell r="F3137">
            <v>167101.38918286801</v>
          </cell>
          <cell r="G3137">
            <v>4.5924948329229089E-2</v>
          </cell>
          <cell r="I3137" t="str">
            <v>WV</v>
          </cell>
          <cell r="J3137" t="str">
            <v>High</v>
          </cell>
          <cell r="K3137">
            <v>125297</v>
          </cell>
        </row>
        <row r="3138">
          <cell r="C3138">
            <v>2175844.3133054799</v>
          </cell>
          <cell r="D3138">
            <v>0.73170090159092804</v>
          </cell>
          <cell r="E3138">
            <v>226242</v>
          </cell>
          <cell r="F3138">
            <v>165541.47537773501</v>
          </cell>
          <cell r="G3138">
            <v>7.6081489086987655E-2</v>
          </cell>
          <cell r="I3138" t="str">
            <v>WV</v>
          </cell>
          <cell r="J3138" t="str">
            <v>No Data</v>
          </cell>
          <cell r="K3138">
            <v>0</v>
          </cell>
        </row>
        <row r="3139">
          <cell r="C3139">
            <v>2684322.01752401</v>
          </cell>
          <cell r="D3139">
            <v>0.72759093150107901</v>
          </cell>
          <cell r="E3139">
            <v>259522</v>
          </cell>
          <cell r="F3139">
            <v>188825.85372502299</v>
          </cell>
          <cell r="G3139">
            <v>7.0343964879144391E-2</v>
          </cell>
          <cell r="I3139" t="str">
            <v>WV</v>
          </cell>
          <cell r="J3139" t="str">
            <v>Med</v>
          </cell>
          <cell r="K3139">
            <v>75636.666666666672</v>
          </cell>
        </row>
        <row r="3140">
          <cell r="C3140">
            <v>2137681.61644737</v>
          </cell>
          <cell r="D3140">
            <v>0.72930742403224902</v>
          </cell>
          <cell r="E3140">
            <v>249277</v>
          </cell>
          <cell r="F3140">
            <v>181799.566740487</v>
          </cell>
          <cell r="G3140">
            <v>8.5045202869181769E-2</v>
          </cell>
          <cell r="I3140" t="str">
            <v>WV</v>
          </cell>
          <cell r="J3140" t="str">
            <v>Med</v>
          </cell>
          <cell r="K3140">
            <v>61982.333333333336</v>
          </cell>
        </row>
        <row r="3141">
          <cell r="C3141">
            <v>2087733.5000195999</v>
          </cell>
          <cell r="D3141">
            <v>0.67430950073221896</v>
          </cell>
          <cell r="E3141">
            <v>251567</v>
          </cell>
          <cell r="F3141">
            <v>169634.01817070201</v>
          </cell>
          <cell r="G3141">
            <v>8.1252716483741563E-2</v>
          </cell>
          <cell r="I3141" t="str">
            <v>WV</v>
          </cell>
          <cell r="J3141" t="str">
            <v>Med</v>
          </cell>
          <cell r="K3141">
            <v>54854.333333333336</v>
          </cell>
        </row>
        <row r="3142">
          <cell r="C3142">
            <v>2471140.06258165</v>
          </cell>
          <cell r="D3142">
            <v>0.72412498215048804</v>
          </cell>
          <cell r="E3142">
            <v>267993</v>
          </cell>
          <cell r="F3142">
            <v>194060.42634145601</v>
          </cell>
          <cell r="G3142">
            <v>7.8530727286545282E-2</v>
          </cell>
          <cell r="I3142" t="str">
            <v>WV</v>
          </cell>
          <cell r="J3142" t="str">
            <v>No Data</v>
          </cell>
          <cell r="K3142">
            <v>0</v>
          </cell>
        </row>
        <row r="3143">
          <cell r="C3143">
            <v>2227849.7692183</v>
          </cell>
          <cell r="D3143">
            <v>0.69055290507697997</v>
          </cell>
          <cell r="E3143">
            <v>293297</v>
          </cell>
          <cell r="F3143">
            <v>202537.095400363</v>
          </cell>
          <cell r="G3143">
            <v>9.091146907604479E-2</v>
          </cell>
          <cell r="I3143" t="str">
            <v>WV</v>
          </cell>
          <cell r="J3143" t="str">
            <v>Low</v>
          </cell>
          <cell r="K3143">
            <v>39252</v>
          </cell>
        </row>
        <row r="3144">
          <cell r="C3144">
            <v>2142310.1841041702</v>
          </cell>
          <cell r="D3144">
            <v>0.69462714826816696</v>
          </cell>
          <cell r="E3144">
            <v>257430</v>
          </cell>
          <cell r="F3144">
            <v>178817.86677867401</v>
          </cell>
          <cell r="G3144">
            <v>8.3469643240971017E-2</v>
          </cell>
          <cell r="I3144" t="str">
            <v>WV</v>
          </cell>
          <cell r="J3144" t="str">
            <v>Med</v>
          </cell>
          <cell r="K3144">
            <v>60539.333333333336</v>
          </cell>
        </row>
        <row r="3145">
          <cell r="C3145">
            <v>2148423.8162662201</v>
          </cell>
          <cell r="D3145">
            <v>0.71236438672894997</v>
          </cell>
          <cell r="E3145">
            <v>271735</v>
          </cell>
          <cell r="F3145">
            <v>193574.336627791</v>
          </cell>
          <cell r="G3145">
            <v>9.0100628731721519E-2</v>
          </cell>
          <cell r="I3145" t="str">
            <v>WV</v>
          </cell>
          <cell r="J3145" t="str">
            <v>Med</v>
          </cell>
          <cell r="K3145">
            <v>60240.333333333336</v>
          </cell>
        </row>
        <row r="3146">
          <cell r="C3146">
            <v>1840887.15726075</v>
          </cell>
          <cell r="D3146">
            <v>0.69250410340058299</v>
          </cell>
          <cell r="E3146">
            <v>283109</v>
          </cell>
          <cell r="F3146">
            <v>196054.144209636</v>
          </cell>
          <cell r="G3146">
            <v>0.10649981637188757</v>
          </cell>
          <cell r="I3146" t="str">
            <v>WV</v>
          </cell>
          <cell r="J3146" t="str">
            <v>Med</v>
          </cell>
          <cell r="K3146">
            <v>40453.666666666664</v>
          </cell>
        </row>
        <row r="3147">
          <cell r="C3147">
            <v>1749448.7892580801</v>
          </cell>
          <cell r="D3147">
            <v>0.75492164812178897</v>
          </cell>
          <cell r="E3147">
            <v>215226</v>
          </cell>
          <cell r="F3147">
            <v>162478.76663865999</v>
          </cell>
          <cell r="G3147">
            <v>9.2874262817127254E-2</v>
          </cell>
          <cell r="I3147" t="str">
            <v>WV</v>
          </cell>
          <cell r="J3147" t="str">
            <v>No Data</v>
          </cell>
          <cell r="K3147">
            <v>0</v>
          </cell>
        </row>
        <row r="3148">
          <cell r="C3148">
            <v>1694846.2414657599</v>
          </cell>
          <cell r="D3148">
            <v>0.71752894515033805</v>
          </cell>
          <cell r="E3148">
            <v>216372</v>
          </cell>
          <cell r="F3148">
            <v>155253.17292006899</v>
          </cell>
          <cell r="G3148">
            <v>9.1603101875365897E-2</v>
          </cell>
          <cell r="I3148" t="str">
            <v>WV</v>
          </cell>
          <cell r="J3148" t="str">
            <v>Low</v>
          </cell>
          <cell r="K3148">
            <v>29058</v>
          </cell>
        </row>
        <row r="3149">
          <cell r="C3149">
            <v>2618937.9763891101</v>
          </cell>
          <cell r="D3149">
            <v>0.67935213354756796</v>
          </cell>
          <cell r="E3149">
            <v>257129</v>
          </cell>
          <cell r="F3149">
            <v>174681.134746953</v>
          </cell>
          <cell r="G3149">
            <v>6.6699225534083306E-2</v>
          </cell>
          <cell r="I3149" t="str">
            <v>WV</v>
          </cell>
          <cell r="J3149" t="str">
            <v>Med</v>
          </cell>
          <cell r="K3149">
            <v>85244.666666666672</v>
          </cell>
        </row>
        <row r="3150">
          <cell r="C3150">
            <v>3470565.5623290502</v>
          </cell>
          <cell r="D3150">
            <v>0.75747043593529795</v>
          </cell>
          <cell r="E3150">
            <v>229008</v>
          </cell>
          <cell r="F3150">
            <v>173466.789592671</v>
          </cell>
          <cell r="G3150">
            <v>4.9982282851979823E-2</v>
          </cell>
          <cell r="I3150" t="str">
            <v>WV</v>
          </cell>
          <cell r="J3150" t="str">
            <v>High</v>
          </cell>
          <cell r="K3150">
            <v>125297</v>
          </cell>
        </row>
        <row r="3151">
          <cell r="C3151">
            <v>2105436.90098088</v>
          </cell>
          <cell r="D3151">
            <v>0.73415861038358998</v>
          </cell>
          <cell r="E3151">
            <v>235506</v>
          </cell>
          <cell r="F3151">
            <v>172898.75769699799</v>
          </cell>
          <cell r="G3151">
            <v>8.2120132698561513E-2</v>
          </cell>
          <cell r="I3151" t="str">
            <v>WV</v>
          </cell>
          <cell r="J3151" t="str">
            <v>No Data</v>
          </cell>
          <cell r="K3151">
            <v>0</v>
          </cell>
        </row>
        <row r="3152">
          <cell r="C3152">
            <v>2532885.8128424599</v>
          </cell>
          <cell r="D3152">
            <v>0.77150560927447598</v>
          </cell>
          <cell r="E3152">
            <v>252931</v>
          </cell>
          <cell r="F3152">
            <v>195137.685259402</v>
          </cell>
          <cell r="G3152">
            <v>7.7041643278981539E-2</v>
          </cell>
          <cell r="I3152" t="str">
            <v>WV</v>
          </cell>
          <cell r="J3152" t="str">
            <v>Med</v>
          </cell>
          <cell r="K3152">
            <v>75636.666666666672</v>
          </cell>
        </row>
        <row r="3153">
          <cell r="C3153">
            <v>2022399.0036025201</v>
          </cell>
          <cell r="D3153">
            <v>0.76247793614914505</v>
          </cell>
          <cell r="E3153">
            <v>209248</v>
          </cell>
          <cell r="F3153">
            <v>159546.98318333601</v>
          </cell>
          <cell r="G3153">
            <v>7.8889963305526417E-2</v>
          </cell>
          <cell r="I3153" t="str">
            <v>WV</v>
          </cell>
          <cell r="J3153" t="str">
            <v>Med</v>
          </cell>
          <cell r="K3153">
            <v>61982.333333333336</v>
          </cell>
        </row>
        <row r="3154">
          <cell r="C3154">
            <v>1978992.72840086</v>
          </cell>
          <cell r="D3154">
            <v>0.67187211175559902</v>
          </cell>
          <cell r="E3154">
            <v>223358</v>
          </cell>
          <cell r="F3154">
            <v>150068.01113750701</v>
          </cell>
          <cell r="G3154">
            <v>7.5830501539422335E-2</v>
          </cell>
          <cell r="I3154" t="str">
            <v>WV</v>
          </cell>
          <cell r="J3154" t="str">
            <v>Med</v>
          </cell>
          <cell r="K3154">
            <v>54854.333333333336</v>
          </cell>
        </row>
        <row r="3155">
          <cell r="C3155">
            <v>2307065.3956188499</v>
          </cell>
          <cell r="D3155">
            <v>0.74387044568795702</v>
          </cell>
          <cell r="E3155">
            <v>224241</v>
          </cell>
          <cell r="F3155">
            <v>166806.25261151299</v>
          </cell>
          <cell r="G3155">
            <v>7.230235125899788E-2</v>
          </cell>
          <cell r="I3155" t="str">
            <v>WV</v>
          </cell>
          <cell r="J3155" t="str">
            <v>No Data</v>
          </cell>
          <cell r="K3155">
            <v>0</v>
          </cell>
        </row>
        <row r="3156">
          <cell r="C3156">
            <v>2099729.7103184299</v>
          </cell>
          <cell r="D3156">
            <v>0.70401948925293301</v>
          </cell>
          <cell r="E3156">
            <v>249070</v>
          </cell>
          <cell r="F3156">
            <v>175350.134188228</v>
          </cell>
          <cell r="G3156">
            <v>8.3510812523406003E-2</v>
          </cell>
          <cell r="I3156" t="str">
            <v>WV</v>
          </cell>
          <cell r="J3156" t="str">
            <v>Low</v>
          </cell>
          <cell r="K3156">
            <v>39252</v>
          </cell>
        </row>
        <row r="3157">
          <cell r="C3157">
            <v>2074310.74837899</v>
          </cell>
          <cell r="D3157">
            <v>0.69521742796994601</v>
          </cell>
          <cell r="E3157">
            <v>224693</v>
          </cell>
          <cell r="F3157">
            <v>156210.48954285099</v>
          </cell>
          <cell r="G3157">
            <v>7.5307178379577261E-2</v>
          </cell>
          <cell r="I3157" t="str">
            <v>WV</v>
          </cell>
          <cell r="J3157" t="str">
            <v>Med</v>
          </cell>
          <cell r="K3157">
            <v>60539.333333333336</v>
          </cell>
        </row>
        <row r="3158">
          <cell r="C3158">
            <v>2054242.9689092699</v>
          </cell>
          <cell r="D3158">
            <v>0.69266485462584104</v>
          </cell>
          <cell r="E3158">
            <v>249449</v>
          </cell>
          <cell r="F3158">
            <v>172784.555321561</v>
          </cell>
          <cell r="G3158">
            <v>8.4111060831963541E-2</v>
          </cell>
          <cell r="I3158" t="str">
            <v>WV</v>
          </cell>
          <cell r="J3158" t="str">
            <v>Med</v>
          </cell>
          <cell r="K3158">
            <v>60240.333333333336</v>
          </cell>
        </row>
        <row r="3159">
          <cell r="C3159">
            <v>1735050.5053180601</v>
          </cell>
          <cell r="D3159">
            <v>0.67377201514755503</v>
          </cell>
          <cell r="E3159">
            <v>257067</v>
          </cell>
          <cell r="F3159">
            <v>173204.55061793601</v>
          </cell>
          <cell r="G3159">
            <v>9.9826806243997548E-2</v>
          </cell>
          <cell r="I3159" t="str">
            <v>WV</v>
          </cell>
          <cell r="J3159" t="str">
            <v>Med</v>
          </cell>
          <cell r="K3159">
            <v>40453.666666666664</v>
          </cell>
        </row>
        <row r="3160">
          <cell r="C3160">
            <v>1702787.30689107</v>
          </cell>
          <cell r="D3160">
            <v>0.72654498243534704</v>
          </cell>
          <cell r="E3160">
            <v>214698</v>
          </cell>
          <cell r="F3160">
            <v>155987.75463890401</v>
          </cell>
          <cell r="G3160">
            <v>9.1607304099362061E-2</v>
          </cell>
          <cell r="I3160" t="str">
            <v>WV</v>
          </cell>
          <cell r="J3160" t="str">
            <v>No Data</v>
          </cell>
          <cell r="K3160">
            <v>0</v>
          </cell>
        </row>
        <row r="3161">
          <cell r="C3161">
            <v>1576281.0650005401</v>
          </cell>
          <cell r="D3161">
            <v>0.72388674315600698</v>
          </cell>
          <cell r="E3161">
            <v>187262</v>
          </cell>
          <cell r="F3161">
            <v>135556.47929687999</v>
          </cell>
          <cell r="G3161">
            <v>8.59976575921335E-2</v>
          </cell>
          <cell r="I3161" t="str">
            <v>WV</v>
          </cell>
          <cell r="J3161" t="str">
            <v>Low</v>
          </cell>
          <cell r="K3161">
            <v>29058</v>
          </cell>
        </row>
        <row r="3162">
          <cell r="C3162">
            <v>2536201.5223773499</v>
          </cell>
          <cell r="D3162">
            <v>0.66470843872241403</v>
          </cell>
          <cell r="E3162">
            <v>229019</v>
          </cell>
          <cell r="F3162">
            <v>152230.86192776801</v>
          </cell>
          <cell r="G3162">
            <v>6.0023172679540042E-2</v>
          </cell>
          <cell r="I3162" t="str">
            <v>WV</v>
          </cell>
          <cell r="J3162" t="str">
            <v>Med</v>
          </cell>
          <cell r="K3162">
            <v>85244.666666666672</v>
          </cell>
        </row>
        <row r="3163">
          <cell r="C3163">
            <v>3173008.0232791398</v>
          </cell>
          <cell r="D3163">
            <v>0.73272210605424903</v>
          </cell>
          <cell r="E3163">
            <v>197363</v>
          </cell>
          <cell r="F3163">
            <v>144612.233017185</v>
          </cell>
          <cell r="G3163">
            <v>4.5575753971064885E-2</v>
          </cell>
          <cell r="I3163" t="str">
            <v>WV</v>
          </cell>
          <cell r="J3163" t="str">
            <v>High</v>
          </cell>
          <cell r="K3163">
            <v>125297</v>
          </cell>
        </row>
        <row r="3164">
          <cell r="C3164">
            <v>1973025.1730748201</v>
          </cell>
          <cell r="D3164">
            <v>0.70622445977048098</v>
          </cell>
          <cell r="E3164">
            <v>218094</v>
          </cell>
          <cell r="F3164">
            <v>154023.31732918299</v>
          </cell>
          <cell r="G3164">
            <v>7.8064547493405037E-2</v>
          </cell>
          <cell r="I3164" t="str">
            <v>WV</v>
          </cell>
          <cell r="J3164" t="str">
            <v>No Data</v>
          </cell>
          <cell r="K3164">
            <v>0</v>
          </cell>
        </row>
        <row r="3165">
          <cell r="C3165">
            <v>2417708.6865193401</v>
          </cell>
          <cell r="D3165">
            <v>0.78626289648675995</v>
          </cell>
          <cell r="E3165">
            <v>217216</v>
          </cell>
          <cell r="F3165">
            <v>170788.881323268</v>
          </cell>
          <cell r="G3165">
            <v>7.0640802291670884E-2</v>
          </cell>
          <cell r="I3165" t="str">
            <v>WV</v>
          </cell>
          <cell r="J3165" t="str">
            <v>Med</v>
          </cell>
          <cell r="K3165">
            <v>75636.666666666672</v>
          </cell>
        </row>
        <row r="3166">
          <cell r="C3166">
            <v>1991416.0948487599</v>
          </cell>
          <cell r="D3166">
            <v>0.75725976603517897</v>
          </cell>
          <cell r="E3166">
            <v>196532</v>
          </cell>
          <cell r="F3166">
            <v>148825.77633842599</v>
          </cell>
          <cell r="G3166">
            <v>7.4733641413965129E-2</v>
          </cell>
          <cell r="I3166" t="str">
            <v>WV</v>
          </cell>
          <cell r="J3166" t="str">
            <v>Med</v>
          </cell>
          <cell r="K3166">
            <v>61982.333333333336</v>
          </cell>
        </row>
        <row r="3167">
          <cell r="C3167">
            <v>2010005.8148002599</v>
          </cell>
          <cell r="D3167">
            <v>0.66772640021079799</v>
          </cell>
          <cell r="E3167">
            <v>216715</v>
          </cell>
          <cell r="F3167">
            <v>144706.326821683</v>
          </cell>
          <cell r="G3167">
            <v>7.1992989152652218E-2</v>
          </cell>
          <cell r="I3167" t="str">
            <v>WV</v>
          </cell>
          <cell r="J3167" t="str">
            <v>Med</v>
          </cell>
          <cell r="K3167">
            <v>54854.333333333336</v>
          </cell>
        </row>
        <row r="3168">
          <cell r="C3168">
            <v>2311793.3423143299</v>
          </cell>
          <cell r="D3168">
            <v>0.74455079408200497</v>
          </cell>
          <cell r="E3168">
            <v>211459</v>
          </cell>
          <cell r="F3168">
            <v>157441.966365787</v>
          </cell>
          <cell r="G3168">
            <v>6.8103823764875226E-2</v>
          </cell>
          <cell r="I3168" t="str">
            <v>WV</v>
          </cell>
          <cell r="J3168" t="str">
            <v>No Data</v>
          </cell>
          <cell r="K3168">
            <v>0</v>
          </cell>
        </row>
        <row r="3169">
          <cell r="C3169">
            <v>2088550.6340483199</v>
          </cell>
          <cell r="D3169">
            <v>0.69078297333607996</v>
          </cell>
          <cell r="E3169">
            <v>247093</v>
          </cell>
          <cell r="F3169">
            <v>170687.63723053201</v>
          </cell>
          <cell r="G3169">
            <v>8.1725400594996084E-2</v>
          </cell>
          <cell r="I3169" t="str">
            <v>WV</v>
          </cell>
          <cell r="J3169" t="str">
            <v>Low</v>
          </cell>
          <cell r="K3169">
            <v>39252</v>
          </cell>
        </row>
        <row r="3170">
          <cell r="C3170">
            <v>2070928.2067193601</v>
          </cell>
          <cell r="D3170">
            <v>0.69223127818437002</v>
          </cell>
          <cell r="E3170">
            <v>215797</v>
          </cell>
          <cell r="F3170">
            <v>149381.433138352</v>
          </cell>
          <cell r="G3170">
            <v>7.2132598635562109E-2</v>
          </cell>
          <cell r="I3170" t="str">
            <v>WV</v>
          </cell>
          <cell r="J3170" t="str">
            <v>Med</v>
          </cell>
          <cell r="K3170">
            <v>60539.333333333336</v>
          </cell>
        </row>
        <row r="3171">
          <cell r="C3171">
            <v>2072271.28488103</v>
          </cell>
          <cell r="D3171">
            <v>0.70618288302549803</v>
          </cell>
          <cell r="E3171">
            <v>238324</v>
          </cell>
          <cell r="F3171">
            <v>168300.32941416901</v>
          </cell>
          <cell r="G3171">
            <v>8.1215394259459228E-2</v>
          </cell>
          <cell r="I3171" t="str">
            <v>WV</v>
          </cell>
          <cell r="J3171" t="str">
            <v>Med</v>
          </cell>
          <cell r="K3171">
            <v>60240.333333333336</v>
          </cell>
        </row>
        <row r="3172">
          <cell r="C3172">
            <v>1723059.02966453</v>
          </cell>
          <cell r="D3172">
            <v>0.65654737715674605</v>
          </cell>
          <cell r="E3172">
            <v>253990</v>
          </cell>
          <cell r="F3172">
            <v>166756.46832404201</v>
          </cell>
          <cell r="G3172">
            <v>9.6779312521004329E-2</v>
          </cell>
          <cell r="I3172" t="str">
            <v>WV</v>
          </cell>
          <cell r="J3172" t="str">
            <v>Med</v>
          </cell>
          <cell r="K3172">
            <v>40453.666666666664</v>
          </cell>
        </row>
        <row r="3173">
          <cell r="C3173">
            <v>1662879.61551185</v>
          </cell>
          <cell r="D3173">
            <v>0.74134977322837103</v>
          </cell>
          <cell r="E3173">
            <v>189892</v>
          </cell>
          <cell r="F3173">
            <v>140776.39113788199</v>
          </cell>
          <cell r="G3173">
            <v>8.4658197637806562E-2</v>
          </cell>
          <cell r="I3173" t="str">
            <v>WV</v>
          </cell>
          <cell r="J3173" t="str">
            <v>No Data</v>
          </cell>
          <cell r="K3173">
            <v>0</v>
          </cell>
        </row>
        <row r="3174">
          <cell r="C3174">
            <v>1587644.8052149501</v>
          </cell>
          <cell r="D3174">
            <v>0.71767916896989903</v>
          </cell>
          <cell r="E3174">
            <v>183457</v>
          </cell>
          <cell r="F3174">
            <v>131663.26730171099</v>
          </cell>
          <cell r="G3174">
            <v>8.2929926687150407E-2</v>
          </cell>
          <cell r="I3174" t="str">
            <v>WV</v>
          </cell>
          <cell r="J3174" t="str">
            <v>Low</v>
          </cell>
          <cell r="K3174">
            <v>29058</v>
          </cell>
        </row>
        <row r="3175">
          <cell r="C3175">
            <v>2532737.3445749902</v>
          </cell>
          <cell r="D3175">
            <v>0.67808292800098602</v>
          </cell>
          <cell r="E3175">
            <v>213895</v>
          </cell>
          <cell r="F3175">
            <v>145038.54788477099</v>
          </cell>
          <cell r="G3175">
            <v>5.7265530591017286E-2</v>
          </cell>
          <cell r="I3175" t="str">
            <v>WV</v>
          </cell>
          <cell r="J3175" t="str">
            <v>Med</v>
          </cell>
          <cell r="K3175">
            <v>85244.666666666672</v>
          </cell>
        </row>
        <row r="3176">
          <cell r="C3176">
            <v>3245748.3945374</v>
          </cell>
          <cell r="D3176">
            <v>0.71251303798939702</v>
          </cell>
          <cell r="E3176">
            <v>193921</v>
          </cell>
          <cell r="F3176">
            <v>138171.24083994201</v>
          </cell>
          <cell r="G3176">
            <v>4.2569917333236437E-2</v>
          </cell>
          <cell r="I3176" t="str">
            <v>WV</v>
          </cell>
          <cell r="J3176" t="str">
            <v>High</v>
          </cell>
          <cell r="K3176">
            <v>125297</v>
          </cell>
        </row>
        <row r="3177">
          <cell r="C3177">
            <v>1999182.17722146</v>
          </cell>
          <cell r="D3177">
            <v>0.713788652186645</v>
          </cell>
          <cell r="E3177">
            <v>208961</v>
          </cell>
          <cell r="F3177">
            <v>149153.99054957399</v>
          </cell>
          <cell r="G3177">
            <v>7.4607503132542885E-2</v>
          </cell>
          <cell r="I3177" t="str">
            <v>WV</v>
          </cell>
          <cell r="J3177" t="str">
            <v>No Data</v>
          </cell>
          <cell r="K3177">
            <v>0</v>
          </cell>
        </row>
        <row r="3178">
          <cell r="C3178">
            <v>2431138.3241389501</v>
          </cell>
          <cell r="D3178">
            <v>0.73457498934957599</v>
          </cell>
          <cell r="E3178">
            <v>227607</v>
          </cell>
          <cell r="F3178">
            <v>167194.40960088899</v>
          </cell>
          <cell r="G3178">
            <v>6.8772067776153856E-2</v>
          </cell>
          <cell r="I3178" t="str">
            <v>WV</v>
          </cell>
          <cell r="J3178" t="str">
            <v>Med</v>
          </cell>
          <cell r="K3178">
            <v>75636.666666666672</v>
          </cell>
        </row>
        <row r="3179">
          <cell r="C3179">
            <v>2498859.8088405998</v>
          </cell>
          <cell r="D3179">
            <v>0.75066357629786296</v>
          </cell>
          <cell r="E3179">
            <v>195741</v>
          </cell>
          <cell r="F3179">
            <v>146935.63908811999</v>
          </cell>
          <cell r="G3179">
            <v>5.8801073420879084E-2</v>
          </cell>
          <cell r="I3179" t="str">
            <v>WV</v>
          </cell>
          <cell r="J3179" t="str">
            <v>Med</v>
          </cell>
          <cell r="K3179">
            <v>61982.333333333336</v>
          </cell>
        </row>
        <row r="3180">
          <cell r="C3180">
            <v>2418909.9568128102</v>
          </cell>
          <cell r="D3180">
            <v>0.662860269874748</v>
          </cell>
          <cell r="E3180">
            <v>203861</v>
          </cell>
          <cell r="F3180">
            <v>135131.35747693601</v>
          </cell>
          <cell r="G3180">
            <v>5.5864567052750898E-2</v>
          </cell>
          <cell r="I3180" t="str">
            <v>WV</v>
          </cell>
          <cell r="J3180" t="str">
            <v>Med</v>
          </cell>
          <cell r="K3180">
            <v>54854.333333333336</v>
          </cell>
        </row>
        <row r="3181">
          <cell r="C3181">
            <v>2849592.9578902698</v>
          </cell>
          <cell r="D3181">
            <v>0.72209464516921096</v>
          </cell>
          <cell r="E3181">
            <v>210321</v>
          </cell>
          <cell r="F3181">
            <v>151871.667866634</v>
          </cell>
          <cell r="G3181">
            <v>5.3295916332932687E-2</v>
          </cell>
          <cell r="I3181" t="str">
            <v>WV</v>
          </cell>
          <cell r="J3181" t="str">
            <v>No Data</v>
          </cell>
          <cell r="K3181">
            <v>0</v>
          </cell>
        </row>
        <row r="3182">
          <cell r="C3182">
            <v>2545674.4357201601</v>
          </cell>
          <cell r="D3182">
            <v>0.70409469396762003</v>
          </cell>
          <cell r="E3182">
            <v>227364</v>
          </cell>
          <cell r="F3182">
            <v>160085.785999254</v>
          </cell>
          <cell r="G3182">
            <v>6.2885412114360342E-2</v>
          </cell>
          <cell r="I3182" t="str">
            <v>WV</v>
          </cell>
          <cell r="J3182" t="str">
            <v>Low</v>
          </cell>
          <cell r="K3182">
            <v>39252</v>
          </cell>
        </row>
        <row r="3183">
          <cell r="C3183">
            <v>2540873.3186858501</v>
          </cell>
          <cell r="D3183">
            <v>0.692078614140893</v>
          </cell>
          <cell r="E3183">
            <v>211506</v>
          </cell>
          <cell r="F3183">
            <v>146378.779362484</v>
          </cell>
          <cell r="G3183">
            <v>5.7609632989570565E-2</v>
          </cell>
          <cell r="I3183" t="str">
            <v>WV</v>
          </cell>
          <cell r="J3183" t="str">
            <v>Med</v>
          </cell>
          <cell r="K3183">
            <v>60539.333333333336</v>
          </cell>
        </row>
        <row r="3184">
          <cell r="C3184">
            <v>2528817.9213345302</v>
          </cell>
          <cell r="D3184">
            <v>0.68689468791328001</v>
          </cell>
          <cell r="E3184">
            <v>231143</v>
          </cell>
          <cell r="F3184">
            <v>158770.89884833901</v>
          </cell>
          <cell r="G3184">
            <v>6.2784630521975665E-2</v>
          </cell>
          <cell r="I3184" t="str">
            <v>WV</v>
          </cell>
          <cell r="J3184" t="str">
            <v>Med</v>
          </cell>
          <cell r="K3184">
            <v>60240.333333333336</v>
          </cell>
        </row>
        <row r="3185">
          <cell r="C3185">
            <v>2107011.1261785398</v>
          </cell>
          <cell r="D3185">
            <v>0.65953740838887698</v>
          </cell>
          <cell r="E3185">
            <v>240259</v>
          </cell>
          <cell r="F3185">
            <v>158459.798202103</v>
          </cell>
          <cell r="G3185">
            <v>7.5205961768934557E-2</v>
          </cell>
          <cell r="I3185" t="str">
            <v>WV</v>
          </cell>
          <cell r="J3185" t="str">
            <v>Med</v>
          </cell>
          <cell r="K3185">
            <v>40453.666666666664</v>
          </cell>
        </row>
        <row r="3186">
          <cell r="C3186">
            <v>2007638.6567693001</v>
          </cell>
          <cell r="D3186">
            <v>0.73677831552056905</v>
          </cell>
          <cell r="E3186">
            <v>183286</v>
          </cell>
          <cell r="F3186">
            <v>135041.15033850301</v>
          </cell>
          <cell r="G3186">
            <v>6.726367311327415E-2</v>
          </cell>
          <cell r="I3186" t="str">
            <v>WV</v>
          </cell>
          <cell r="J3186" t="str">
            <v>No Data</v>
          </cell>
          <cell r="K3186">
            <v>0</v>
          </cell>
        </row>
        <row r="3187">
          <cell r="C3187">
            <v>1974387.68609284</v>
          </cell>
          <cell r="D3187">
            <v>0.73227621003246901</v>
          </cell>
          <cell r="E3187">
            <v>167782</v>
          </cell>
          <cell r="F3187">
            <v>122862.767071668</v>
          </cell>
          <cell r="G3187">
            <v>6.2228288768759431E-2</v>
          </cell>
          <cell r="I3187" t="str">
            <v>WV</v>
          </cell>
          <cell r="J3187" t="str">
            <v>Low</v>
          </cell>
          <cell r="K3187">
            <v>29058</v>
          </cell>
        </row>
        <row r="3188">
          <cell r="C3188">
            <v>3099955.7468520501</v>
          </cell>
          <cell r="D3188">
            <v>0.68218759289687902</v>
          </cell>
          <cell r="E3188">
            <v>209356</v>
          </cell>
          <cell r="F3188">
            <v>142820.065698519</v>
          </cell>
          <cell r="G3188">
            <v>4.6071646617391306E-2</v>
          </cell>
          <cell r="I3188" t="str">
            <v>WV</v>
          </cell>
          <cell r="J3188" t="str">
            <v>Med</v>
          </cell>
          <cell r="K3188">
            <v>85244.666666666672</v>
          </cell>
        </row>
        <row r="3189">
          <cell r="C3189">
            <v>3966910.8339976198</v>
          </cell>
          <cell r="D3189">
            <v>0.71066398831300504</v>
          </cell>
          <cell r="E3189">
            <v>190011</v>
          </cell>
          <cell r="F3189">
            <v>135033.975083342</v>
          </cell>
          <cell r="G3189">
            <v>3.404008326228565E-2</v>
          </cell>
          <cell r="I3189" t="str">
            <v>WV</v>
          </cell>
          <cell r="J3189" t="str">
            <v>High</v>
          </cell>
          <cell r="K3189">
            <v>125297</v>
          </cell>
        </row>
        <row r="3190">
          <cell r="C3190">
            <v>2443764.55143335</v>
          </cell>
          <cell r="D3190">
            <v>0.74528704385119504</v>
          </cell>
          <cell r="E3190">
            <v>186708</v>
          </cell>
          <cell r="F3190">
            <v>139151.053383369</v>
          </cell>
          <cell r="G3190">
            <v>5.6941268462934465E-2</v>
          </cell>
          <cell r="I3190" t="str">
            <v>WV</v>
          </cell>
          <cell r="J3190" t="str">
            <v>No Data</v>
          </cell>
          <cell r="K3190">
            <v>0</v>
          </cell>
        </row>
        <row r="3191">
          <cell r="C3191">
            <v>2961535.30656461</v>
          </cell>
          <cell r="D3191">
            <v>0.74098719627695198</v>
          </cell>
          <cell r="E3191">
            <v>214427</v>
          </cell>
          <cell r="F3191">
            <v>158887.661536078</v>
          </cell>
          <cell r="G3191">
            <v>5.3650436374634403E-2</v>
          </cell>
          <cell r="I3191" t="str">
            <v>WV</v>
          </cell>
          <cell r="J3191" t="str">
            <v>Med</v>
          </cell>
          <cell r="K3191">
            <v>75636.666666666672</v>
          </cell>
        </row>
        <row r="3192">
          <cell r="C3192">
            <v>2778480.8307802398</v>
          </cell>
          <cell r="D3192">
            <v>0.73964039865443099</v>
          </cell>
          <cell r="E3192">
            <v>184537</v>
          </cell>
          <cell r="F3192">
            <v>136491.02024649299</v>
          </cell>
          <cell r="G3192">
            <v>4.912433396496179E-2</v>
          </cell>
          <cell r="I3192" t="str">
            <v>WV</v>
          </cell>
          <cell r="J3192" t="str">
            <v>Med</v>
          </cell>
          <cell r="K3192">
            <v>61982.333333333336</v>
          </cell>
        </row>
        <row r="3193">
          <cell r="C3193">
            <v>2782480.8430802398</v>
          </cell>
          <cell r="D3193">
            <v>0.68356036653478203</v>
          </cell>
          <cell r="E3193">
            <v>188448</v>
          </cell>
          <cell r="F3193">
            <v>128815.58395274699</v>
          </cell>
          <cell r="G3193">
            <v>4.6295227610676587E-2</v>
          </cell>
          <cell r="I3193" t="str">
            <v>WV</v>
          </cell>
          <cell r="J3193" t="str">
            <v>Med</v>
          </cell>
          <cell r="K3193">
            <v>54854.333333333336</v>
          </cell>
        </row>
        <row r="3194">
          <cell r="C3194">
            <v>3228833.9022758701</v>
          </cell>
          <cell r="D3194">
            <v>0.71477931476430501</v>
          </cell>
          <cell r="E3194">
            <v>202017</v>
          </cell>
          <cell r="F3194">
            <v>144397.572830741</v>
          </cell>
          <cell r="G3194">
            <v>4.4721276225748618E-2</v>
          </cell>
          <cell r="I3194" t="str">
            <v>WV</v>
          </cell>
          <cell r="J3194" t="str">
            <v>No Data</v>
          </cell>
          <cell r="K3194">
            <v>0</v>
          </cell>
        </row>
        <row r="3195">
          <cell r="C3195">
            <v>2832757.96696189</v>
          </cell>
          <cell r="D3195">
            <v>0.67187337635911804</v>
          </cell>
          <cell r="E3195">
            <v>222645</v>
          </cell>
          <cell r="F3195">
            <v>149589.247879476</v>
          </cell>
          <cell r="G3195">
            <v>5.2806928662496803E-2</v>
          </cell>
          <cell r="I3195" t="str">
            <v>WV</v>
          </cell>
          <cell r="J3195" t="str">
            <v>Low</v>
          </cell>
          <cell r="K3195">
            <v>39252</v>
          </cell>
        </row>
        <row r="3196">
          <cell r="C3196">
            <v>2864354.80834341</v>
          </cell>
          <cell r="D3196">
            <v>0.68359571748574199</v>
          </cell>
          <cell r="E3196">
            <v>197983</v>
          </cell>
          <cell r="F3196">
            <v>135340.33093498001</v>
          </cell>
          <cell r="G3196">
            <v>4.724984856650969E-2</v>
          </cell>
          <cell r="I3196" t="str">
            <v>WV</v>
          </cell>
          <cell r="J3196" t="str">
            <v>Med</v>
          </cell>
          <cell r="K3196">
            <v>60539.333333333336</v>
          </cell>
        </row>
        <row r="3197">
          <cell r="C3197">
            <v>2919782.8035565601</v>
          </cell>
          <cell r="D3197">
            <v>0.69263569333893604</v>
          </cell>
          <cell r="E3197">
            <v>224513</v>
          </cell>
          <cell r="F3197">
            <v>155505.717418605</v>
          </cell>
          <cell r="G3197">
            <v>5.3259344232449393E-2</v>
          </cell>
          <cell r="I3197" t="str">
            <v>WV</v>
          </cell>
          <cell r="J3197" t="str">
            <v>Med</v>
          </cell>
          <cell r="K3197">
            <v>60240.333333333336</v>
          </cell>
        </row>
        <row r="3198">
          <cell r="C3198">
            <v>2412256.6507061599</v>
          </cell>
          <cell r="D3198">
            <v>0.69487245241158502</v>
          </cell>
          <cell r="E3198">
            <v>210760</v>
          </cell>
          <cell r="F3198">
            <v>146451.31807026599</v>
          </cell>
          <cell r="G3198">
            <v>6.071133352555752E-2</v>
          </cell>
          <cell r="I3198" t="str">
            <v>WV</v>
          </cell>
          <cell r="J3198" t="str">
            <v>Med</v>
          </cell>
          <cell r="K3198">
            <v>40453.666666666664</v>
          </cell>
        </row>
        <row r="3199">
          <cell r="C3199">
            <v>2323022.9078663299</v>
          </cell>
          <cell r="D3199">
            <v>0.73289992054605502</v>
          </cell>
          <cell r="E3199">
            <v>177199</v>
          </cell>
          <cell r="F3199">
            <v>129869.13302084</v>
          </cell>
          <cell r="G3199">
            <v>5.5905231317810521E-2</v>
          </cell>
          <cell r="I3199" t="str">
            <v>WV</v>
          </cell>
          <cell r="J3199" t="str">
            <v>No Data</v>
          </cell>
          <cell r="K3199">
            <v>0</v>
          </cell>
        </row>
        <row r="3200">
          <cell r="C3200">
            <v>2254961.8546957299</v>
          </cell>
          <cell r="D3200">
            <v>0.71916437302103697</v>
          </cell>
          <cell r="E3200">
            <v>167701</v>
          </cell>
          <cell r="F3200">
            <v>120604.58452000099</v>
          </cell>
          <cell r="G3200">
            <v>5.3484090770251458E-2</v>
          </cell>
          <cell r="I3200" t="str">
            <v>WV</v>
          </cell>
          <cell r="J3200" t="str">
            <v>Low</v>
          </cell>
          <cell r="K3200">
            <v>29058</v>
          </cell>
        </row>
        <row r="3201">
          <cell r="C3201">
            <v>3632844.9794760202</v>
          </cell>
          <cell r="D3201">
            <v>0.69088816019345201</v>
          </cell>
          <cell r="E3201">
            <v>199202</v>
          </cell>
          <cell r="F3201">
            <v>137626.30328685601</v>
          </cell>
          <cell r="G3201">
            <v>3.7883891017751713E-2</v>
          </cell>
          <cell r="I3201" t="str">
            <v>WV</v>
          </cell>
          <cell r="J3201" t="str">
            <v>Med</v>
          </cell>
          <cell r="K3201">
            <v>85244.666666666672</v>
          </cell>
        </row>
        <row r="3202">
          <cell r="C3202">
            <v>4574079.8144160304</v>
          </cell>
          <cell r="D3202">
            <v>0.75498753755690395</v>
          </cell>
          <cell r="E3202">
            <v>177222</v>
          </cell>
          <cell r="F3202">
            <v>133800.40138091001</v>
          </cell>
          <cell r="G3202">
            <v>2.9251872903313606E-2</v>
          </cell>
          <cell r="I3202" t="str">
            <v>WV</v>
          </cell>
          <cell r="J3202" t="str">
            <v>High</v>
          </cell>
          <cell r="K3202">
            <v>125297</v>
          </cell>
        </row>
        <row r="3203">
          <cell r="C3203">
            <v>2775023.62648706</v>
          </cell>
          <cell r="D3203">
            <v>0.70524984602835195</v>
          </cell>
          <cell r="E3203">
            <v>191755</v>
          </cell>
          <cell r="F3203">
            <v>135235.184225167</v>
          </cell>
          <cell r="G3203">
            <v>4.8732984805741293E-2</v>
          </cell>
          <cell r="I3203" t="str">
            <v>WV</v>
          </cell>
          <cell r="J3203" t="str">
            <v>No Data</v>
          </cell>
          <cell r="K3203">
            <v>0</v>
          </cell>
        </row>
        <row r="3204">
          <cell r="C3204">
            <v>3310856.6449452201</v>
          </cell>
          <cell r="D3204">
            <v>0.75030369820981901</v>
          </cell>
          <cell r="E3204">
            <v>195629</v>
          </cell>
          <cell r="F3204">
            <v>146781.16217708899</v>
          </cell>
          <cell r="G3204">
            <v>4.4333288305062682E-2</v>
          </cell>
          <cell r="I3204" t="str">
            <v>WV</v>
          </cell>
          <cell r="J3204" t="str">
            <v>Med</v>
          </cell>
          <cell r="K3204">
            <v>75636.666666666672</v>
          </cell>
        </row>
        <row r="3205">
          <cell r="C3205">
            <v>2916519.7678370401</v>
          </cell>
          <cell r="D3205">
            <v>0.76332222263206795</v>
          </cell>
          <cell r="E3205">
            <v>172061</v>
          </cell>
          <cell r="F3205">
            <v>131337.98494829601</v>
          </cell>
          <cell r="G3205">
            <v>4.503243434063859E-2</v>
          </cell>
          <cell r="I3205" t="str">
            <v>WV</v>
          </cell>
          <cell r="J3205" t="str">
            <v>Med</v>
          </cell>
          <cell r="K3205">
            <v>61982.333333333336</v>
          </cell>
        </row>
        <row r="3206">
          <cell r="C3206">
            <v>2933134.7257557502</v>
          </cell>
          <cell r="D3206">
            <v>0.68372591599919996</v>
          </cell>
          <cell r="E3206">
            <v>187446</v>
          </cell>
          <cell r="F3206">
            <v>128161.688050386</v>
          </cell>
          <cell r="G3206">
            <v>4.3694442987907388E-2</v>
          </cell>
          <cell r="I3206" t="str">
            <v>WV</v>
          </cell>
          <cell r="J3206" t="str">
            <v>Med</v>
          </cell>
          <cell r="K3206">
            <v>54854.333333333336</v>
          </cell>
        </row>
        <row r="3207">
          <cell r="C3207">
            <v>3338396.5980855799</v>
          </cell>
          <cell r="D3207">
            <v>0.71715670835199197</v>
          </cell>
          <cell r="E3207">
            <v>195057</v>
          </cell>
          <cell r="F3207">
            <v>139886.43606101401</v>
          </cell>
          <cell r="G3207">
            <v>4.1902282113884429E-2</v>
          </cell>
          <cell r="I3207" t="str">
            <v>WV</v>
          </cell>
          <cell r="J3207" t="str">
            <v>No Data</v>
          </cell>
          <cell r="K3207">
            <v>0</v>
          </cell>
        </row>
        <row r="3208">
          <cell r="C3208">
            <v>3089026.8077308401</v>
          </cell>
          <cell r="D3208">
            <v>0.68176946648093295</v>
          </cell>
          <cell r="E3208">
            <v>222653</v>
          </cell>
          <cell r="F3208">
            <v>151798.01702037899</v>
          </cell>
          <cell r="G3208">
            <v>4.9141048773185585E-2</v>
          </cell>
          <cell r="I3208" t="str">
            <v>WV</v>
          </cell>
          <cell r="J3208" t="str">
            <v>Low</v>
          </cell>
          <cell r="K3208">
            <v>39252</v>
          </cell>
        </row>
        <row r="3209">
          <cell r="C3209">
            <v>2974435.8807073999</v>
          </cell>
          <cell r="D3209">
            <v>0.68966626549714505</v>
          </cell>
          <cell r="E3209">
            <v>194208</v>
          </cell>
          <cell r="F3209">
            <v>133938.70608967001</v>
          </cell>
          <cell r="G3209">
            <v>4.5029952388086388E-2</v>
          </cell>
          <cell r="I3209" t="str">
            <v>WV</v>
          </cell>
          <cell r="J3209" t="str">
            <v>Med</v>
          </cell>
          <cell r="K3209">
            <v>60539.333333333336</v>
          </cell>
        </row>
        <row r="3210">
          <cell r="C3210">
            <v>2974756.1107159401</v>
          </cell>
          <cell r="D3210">
            <v>0.705794492179182</v>
          </cell>
          <cell r="E3210">
            <v>205895</v>
          </cell>
          <cell r="F3210">
            <v>145319.55696723299</v>
          </cell>
          <cell r="G3210">
            <v>4.8850914682971661E-2</v>
          </cell>
          <cell r="I3210" t="str">
            <v>WV</v>
          </cell>
          <cell r="J3210" t="str">
            <v>Med</v>
          </cell>
          <cell r="K3210">
            <v>60240.333333333336</v>
          </cell>
        </row>
        <row r="3211">
          <cell r="C3211">
            <v>2487071.8697437998</v>
          </cell>
          <cell r="D3211">
            <v>0.67902360052186095</v>
          </cell>
          <cell r="E3211">
            <v>207403</v>
          </cell>
          <cell r="F3211">
            <v>140831.531819036</v>
          </cell>
          <cell r="G3211">
            <v>5.6625437138470569E-2</v>
          </cell>
          <cell r="I3211" t="str">
            <v>WV</v>
          </cell>
          <cell r="J3211" t="str">
            <v>Med</v>
          </cell>
          <cell r="K3211">
            <v>40453.666666666664</v>
          </cell>
        </row>
        <row r="3212">
          <cell r="C3212">
            <v>2471825.47647662</v>
          </cell>
          <cell r="D3212">
            <v>0.71512210704410295</v>
          </cell>
          <cell r="E3212">
            <v>185917</v>
          </cell>
          <cell r="F3212">
            <v>132953.35677531801</v>
          </cell>
          <cell r="G3212">
            <v>5.3787517784156781E-2</v>
          </cell>
          <cell r="I3212" t="str">
            <v>WV</v>
          </cell>
          <cell r="J3212" t="str">
            <v>No Data</v>
          </cell>
          <cell r="K3212">
            <v>0</v>
          </cell>
        </row>
        <row r="3213">
          <cell r="C3213">
            <v>2344389.9068642999</v>
          </cell>
          <cell r="D3213">
            <v>0.71789220182618896</v>
          </cell>
          <cell r="E3213">
            <v>162298</v>
          </cell>
          <cell r="F3213">
            <v>116512.468571987</v>
          </cell>
          <cell r="G3213">
            <v>4.9698417584396762E-2</v>
          </cell>
          <cell r="I3213" t="str">
            <v>WV</v>
          </cell>
          <cell r="J3213" t="str">
            <v>Low</v>
          </cell>
          <cell r="K3213">
            <v>29058</v>
          </cell>
        </row>
        <row r="3214">
          <cell r="C3214">
            <v>3726721.04739383</v>
          </cell>
          <cell r="D3214">
            <v>0.68239486529329696</v>
          </cell>
          <cell r="E3214">
            <v>192145</v>
          </cell>
          <cell r="F3214">
            <v>131118.76139178101</v>
          </cell>
          <cell r="G3214">
            <v>3.5183411831554968E-2</v>
          </cell>
          <cell r="I3214" t="str">
            <v>WV</v>
          </cell>
          <cell r="J3214" t="str">
            <v>Med</v>
          </cell>
          <cell r="K3214">
            <v>85244.666666666672</v>
          </cell>
        </row>
        <row r="3215">
          <cell r="C3215">
            <v>4606782.5646288097</v>
          </cell>
          <cell r="D3215">
            <v>0.71072496627085602</v>
          </cell>
          <cell r="E3215">
            <v>170261</v>
          </cell>
          <cell r="F3215">
            <v>121008.743482242</v>
          </cell>
          <cell r="G3215">
            <v>2.6267517900965282E-2</v>
          </cell>
          <cell r="I3215" t="str">
            <v>WV</v>
          </cell>
          <cell r="J3215" t="str">
            <v>High</v>
          </cell>
          <cell r="K3215">
            <v>125297</v>
          </cell>
        </row>
        <row r="3216">
          <cell r="C3216">
            <v>2901502.2846673899</v>
          </cell>
          <cell r="D3216">
            <v>0.73681761083628505</v>
          </cell>
          <cell r="E3216">
            <v>174941</v>
          </cell>
          <cell r="F3216">
            <v>128899.609657311</v>
          </cell>
          <cell r="G3216">
            <v>4.4425127747947726E-2</v>
          </cell>
          <cell r="I3216" t="str">
            <v>WV</v>
          </cell>
          <cell r="J3216" t="str">
            <v>No Data</v>
          </cell>
          <cell r="K3216">
            <v>0</v>
          </cell>
        </row>
        <row r="3217">
          <cell r="C3217">
            <v>3463341.28523512</v>
          </cell>
          <cell r="D3217">
            <v>0.72541664740063705</v>
          </cell>
          <cell r="E3217">
            <v>198468</v>
          </cell>
          <cell r="F3217">
            <v>143971.99117631</v>
          </cell>
          <cell r="G3217">
            <v>4.1570258117526522E-2</v>
          </cell>
          <cell r="I3217" t="str">
            <v>WV</v>
          </cell>
          <cell r="J3217" t="str">
            <v>Med</v>
          </cell>
          <cell r="K3217">
            <v>75636.666666666672</v>
          </cell>
        </row>
        <row r="3218">
          <cell r="C3218">
            <v>1688985.96494433</v>
          </cell>
          <cell r="D3218">
            <v>0.73601890729910502</v>
          </cell>
          <cell r="E3218">
            <v>137477</v>
          </cell>
          <cell r="F3218">
            <v>101185.67131875901</v>
          </cell>
          <cell r="G3218">
            <v>5.9909125012826345E-2</v>
          </cell>
          <cell r="I3218" t="str">
            <v>WV</v>
          </cell>
          <cell r="J3218" t="str">
            <v>Med</v>
          </cell>
          <cell r="K3218">
            <v>61982.333333333336</v>
          </cell>
        </row>
        <row r="3219">
          <cell r="C3219">
            <v>1683427.43968772</v>
          </cell>
          <cell r="D3219">
            <v>0.71227384297099905</v>
          </cell>
          <cell r="E3219">
            <v>133228</v>
          </cell>
          <cell r="F3219">
            <v>94894.819551340202</v>
          </cell>
          <cell r="G3219">
            <v>5.6370008777416283E-2</v>
          </cell>
          <cell r="I3219" t="str">
            <v>WV</v>
          </cell>
          <cell r="J3219" t="str">
            <v>Med</v>
          </cell>
          <cell r="K3219">
            <v>54854.333333333336</v>
          </cell>
        </row>
        <row r="3220">
          <cell r="C3220">
            <v>1961889.7181245701</v>
          </cell>
          <cell r="D3220">
            <v>0.76450575604723703</v>
          </cell>
          <cell r="E3220">
            <v>136596</v>
          </cell>
          <cell r="F3220">
            <v>104428.428253028</v>
          </cell>
          <cell r="G3220">
            <v>5.3228490515182629E-2</v>
          </cell>
          <cell r="I3220" t="str">
            <v>WV</v>
          </cell>
          <cell r="J3220" t="str">
            <v>No Data</v>
          </cell>
          <cell r="K3220">
            <v>0</v>
          </cell>
        </row>
        <row r="3221">
          <cell r="C3221">
            <v>1769005.48775573</v>
          </cell>
          <cell r="D3221">
            <v>0.69743450128597095</v>
          </cell>
          <cell r="E3221">
            <v>161597</v>
          </cell>
          <cell r="F3221">
            <v>112703.32310430901</v>
          </cell>
          <cell r="G3221">
            <v>6.3709990661075577E-2</v>
          </cell>
          <cell r="I3221" t="str">
            <v>WV</v>
          </cell>
          <cell r="J3221" t="str">
            <v>Low</v>
          </cell>
          <cell r="K3221">
            <v>39252</v>
          </cell>
        </row>
        <row r="3222">
          <cell r="C3222">
            <v>1761487.48729249</v>
          </cell>
          <cell r="D3222">
            <v>0.71525579615144996</v>
          </cell>
          <cell r="E3222">
            <v>138905</v>
          </cell>
          <cell r="F3222">
            <v>99352.606364417195</v>
          </cell>
          <cell r="G3222">
            <v>5.6402675057957978E-2</v>
          </cell>
          <cell r="I3222" t="str">
            <v>WV</v>
          </cell>
          <cell r="J3222" t="str">
            <v>Med</v>
          </cell>
          <cell r="K3222">
            <v>60539.333333333336</v>
          </cell>
        </row>
        <row r="3223">
          <cell r="C3223">
            <v>1680953.1548096701</v>
          </cell>
          <cell r="D3223">
            <v>0.73276043691797199</v>
          </cell>
          <cell r="E3223">
            <v>139626</v>
          </cell>
          <cell r="F3223">
            <v>102312.40876510899</v>
          </cell>
          <cell r="G3223">
            <v>6.0865710904771504E-2</v>
          </cell>
          <cell r="I3223" t="str">
            <v>WV</v>
          </cell>
          <cell r="J3223" t="str">
            <v>Med</v>
          </cell>
          <cell r="K3223">
            <v>60240.333333333336</v>
          </cell>
        </row>
        <row r="3224">
          <cell r="C3224">
            <v>1468831.1345110801</v>
          </cell>
          <cell r="D3224">
            <v>0.69413733149460399</v>
          </cell>
          <cell r="E3224">
            <v>154524</v>
          </cell>
          <cell r="F3224">
            <v>107260.877011872</v>
          </cell>
          <cell r="G3224">
            <v>7.3024648301436776E-2</v>
          </cell>
          <cell r="I3224" t="str">
            <v>WV</v>
          </cell>
          <cell r="J3224" t="str">
            <v>Med</v>
          </cell>
          <cell r="K3224">
            <v>40453.666666666664</v>
          </cell>
        </row>
        <row r="3225">
          <cell r="C3225">
            <v>1408965.0744436199</v>
          </cell>
          <cell r="D3225">
            <v>0.74375340281069702</v>
          </cell>
          <cell r="E3225">
            <v>129929</v>
          </cell>
          <cell r="F3225">
            <v>96635.135873791005</v>
          </cell>
          <cell r="G3225">
            <v>6.8585898704374079E-2</v>
          </cell>
          <cell r="I3225" t="str">
            <v>WV</v>
          </cell>
          <cell r="J3225" t="str">
            <v>No Data</v>
          </cell>
          <cell r="K3225">
            <v>0</v>
          </cell>
        </row>
        <row r="3226">
          <cell r="C3226">
            <v>1352911.3006519601</v>
          </cell>
          <cell r="D3226">
            <v>0.73134523813615304</v>
          </cell>
          <cell r="E3226">
            <v>119668</v>
          </cell>
          <cell r="F3226">
            <v>87518.621957277093</v>
          </cell>
          <cell r="G3226">
            <v>6.4689105571889588E-2</v>
          </cell>
          <cell r="I3226" t="str">
            <v>WV</v>
          </cell>
          <cell r="J3226" t="str">
            <v>Low</v>
          </cell>
          <cell r="K3226">
            <v>29058</v>
          </cell>
        </row>
        <row r="3227">
          <cell r="C3227">
            <v>2092860.82642713</v>
          </cell>
          <cell r="D3227">
            <v>0.71620524040502598</v>
          </cell>
          <cell r="E3227">
            <v>134309</v>
          </cell>
          <cell r="F3227">
            <v>96192.809633558703</v>
          </cell>
          <cell r="G3227">
            <v>4.5962353740346996E-2</v>
          </cell>
          <cell r="I3227" t="str">
            <v>WV</v>
          </cell>
          <cell r="J3227" t="str">
            <v>Med</v>
          </cell>
          <cell r="K3227">
            <v>85244.666666666672</v>
          </cell>
        </row>
        <row r="3228">
          <cell r="C3228">
            <v>2726259.1691288301</v>
          </cell>
          <cell r="D3228">
            <v>0.74133925860235605</v>
          </cell>
          <cell r="E3228">
            <v>126408</v>
          </cell>
          <cell r="F3228">
            <v>93711.213001406693</v>
          </cell>
          <cell r="G3228">
            <v>3.4373552618385837E-2</v>
          </cell>
          <cell r="I3228" t="str">
            <v>WV</v>
          </cell>
          <cell r="J3228" t="str">
            <v>High</v>
          </cell>
          <cell r="K3228">
            <v>125297</v>
          </cell>
        </row>
        <row r="3229">
          <cell r="C3229">
            <v>1683863.6581113699</v>
          </cell>
          <cell r="D3229">
            <v>0.76008924017569002</v>
          </cell>
          <cell r="E3229">
            <v>124820</v>
          </cell>
          <cell r="F3229">
            <v>94874.338958729699</v>
          </cell>
          <cell r="G3229">
            <v>5.6343242816429238E-2</v>
          </cell>
          <cell r="I3229" t="str">
            <v>WV</v>
          </cell>
          <cell r="J3229" t="str">
            <v>No Data</v>
          </cell>
          <cell r="K3229">
            <v>0</v>
          </cell>
        </row>
        <row r="3230">
          <cell r="C3230">
            <v>2016279.75784946</v>
          </cell>
          <cell r="D3230">
            <v>0.743117159428204</v>
          </cell>
          <cell r="E3230">
            <v>147617</v>
          </cell>
          <cell r="F3230">
            <v>109696.72572331299</v>
          </cell>
          <cell r="G3230">
            <v>5.4405508608742971E-2</v>
          </cell>
          <cell r="I3230" t="str">
            <v>WV</v>
          </cell>
          <cell r="J3230" t="str">
            <v>Med</v>
          </cell>
          <cell r="K3230">
            <v>75636.666666666672</v>
          </cell>
        </row>
        <row r="3231">
          <cell r="C3231">
            <v>1903054.0615158</v>
          </cell>
          <cell r="D3231">
            <v>0.80310962250304596</v>
          </cell>
          <cell r="E3231">
            <v>133931</v>
          </cell>
          <cell r="F3231">
            <v>107561.274851455</v>
          </cell>
          <cell r="G3231">
            <v>5.6520346440280034E-2</v>
          </cell>
          <cell r="I3231" t="str">
            <v>WV</v>
          </cell>
          <cell r="J3231" t="str">
            <v>Med</v>
          </cell>
          <cell r="K3231">
            <v>61982.333333333336</v>
          </cell>
        </row>
        <row r="3232">
          <cell r="C3232">
            <v>1915744.62900781</v>
          </cell>
          <cell r="D3232">
            <v>0.66284924381852905</v>
          </cell>
          <cell r="E3232">
            <v>163418</v>
          </cell>
          <cell r="F3232">
            <v>108321.49772633601</v>
          </cell>
          <cell r="G3232">
            <v>5.6542764670277149E-2</v>
          </cell>
          <cell r="I3232" t="str">
            <v>WV</v>
          </cell>
          <cell r="J3232" t="str">
            <v>Med</v>
          </cell>
          <cell r="K3232">
            <v>54854.333333333336</v>
          </cell>
        </row>
        <row r="3233">
          <cell r="C3233">
            <v>2212469.1034625</v>
          </cell>
          <cell r="D3233">
            <v>0.77053251405106704</v>
          </cell>
          <cell r="E3233">
            <v>153117</v>
          </cell>
          <cell r="F3233">
            <v>117981.62695395701</v>
          </cell>
          <cell r="G3233">
            <v>5.3325773801458518E-2</v>
          </cell>
          <cell r="I3233" t="str">
            <v>WV</v>
          </cell>
          <cell r="J3233" t="str">
            <v>No Data</v>
          </cell>
          <cell r="K3233">
            <v>0</v>
          </cell>
        </row>
        <row r="3234">
          <cell r="C3234">
            <v>1950886.9906160999</v>
          </cell>
          <cell r="D3234">
            <v>0.69995066814776796</v>
          </cell>
          <cell r="E3234">
            <v>175215</v>
          </cell>
          <cell r="F3234">
            <v>122641.856319511</v>
          </cell>
          <cell r="G3234">
            <v>6.2864664590735767E-2</v>
          </cell>
          <cell r="I3234" t="str">
            <v>WV</v>
          </cell>
          <cell r="J3234" t="str">
            <v>Low</v>
          </cell>
          <cell r="K3234">
            <v>39252</v>
          </cell>
        </row>
        <row r="3235">
          <cell r="C3235">
            <v>1971285.30714621</v>
          </cell>
          <cell r="D3235">
            <v>0.71331790234653503</v>
          </cell>
          <cell r="E3235">
            <v>156924</v>
          </cell>
          <cell r="F3235">
            <v>111936.698507828</v>
          </cell>
          <cell r="G3235">
            <v>5.6783611231738189E-2</v>
          </cell>
          <cell r="I3235" t="str">
            <v>WV</v>
          </cell>
          <cell r="J3235" t="str">
            <v>Med</v>
          </cell>
          <cell r="K3235">
            <v>60539.333333333336</v>
          </cell>
        </row>
        <row r="3236">
          <cell r="C3236">
            <v>1957703.20192167</v>
          </cell>
          <cell r="D3236">
            <v>0.70891686643109997</v>
          </cell>
          <cell r="E3236">
            <v>173043</v>
          </cell>
          <cell r="F3236">
            <v>122673.101317837</v>
          </cell>
          <cell r="G3236">
            <v>6.2661746273603575E-2</v>
          </cell>
          <cell r="I3236" t="str">
            <v>WV</v>
          </cell>
          <cell r="J3236" t="str">
            <v>Med</v>
          </cell>
          <cell r="K3236">
            <v>60240.333333333336</v>
          </cell>
        </row>
        <row r="3237">
          <cell r="C3237">
            <v>1666527.5429256801</v>
          </cell>
          <cell r="D3237">
            <v>0.70138825182739795</v>
          </cell>
          <cell r="E3237">
            <v>175165</v>
          </cell>
          <cell r="F3237">
            <v>122858.673131346</v>
          </cell>
          <cell r="G3237">
            <v>7.372135771345302E-2</v>
          </cell>
          <cell r="I3237" t="str">
            <v>WV</v>
          </cell>
          <cell r="J3237" t="str">
            <v>Med</v>
          </cell>
          <cell r="K3237">
            <v>40453.666666666664</v>
          </cell>
        </row>
        <row r="3238">
          <cell r="C3238">
            <v>1575260.0479483199</v>
          </cell>
          <cell r="D3238">
            <v>0.72414160678078798</v>
          </cell>
          <cell r="E3238">
            <v>154881</v>
          </cell>
          <cell r="F3238">
            <v>112155.77619981499</v>
          </cell>
          <cell r="G3238">
            <v>7.119826110354989E-2</v>
          </cell>
          <cell r="I3238" t="str">
            <v>WV</v>
          </cell>
          <cell r="J3238" t="str">
            <v>No Data</v>
          </cell>
          <cell r="K3238">
            <v>0</v>
          </cell>
        </row>
        <row r="3239">
          <cell r="C3239">
            <v>1533143.25777234</v>
          </cell>
          <cell r="D3239">
            <v>0.73122144253774402</v>
          </cell>
          <cell r="E3239">
            <v>138244</v>
          </cell>
          <cell r="F3239">
            <v>101086.977102188</v>
          </cell>
          <cell r="G3239">
            <v>6.5934462803604904E-2</v>
          </cell>
          <cell r="I3239" t="str">
            <v>WV</v>
          </cell>
          <cell r="J3239" t="str">
            <v>Low</v>
          </cell>
          <cell r="K3239">
            <v>29058</v>
          </cell>
        </row>
        <row r="3240">
          <cell r="C3240">
            <v>2456183.8640707098</v>
          </cell>
          <cell r="D3240">
            <v>0.68393328484999405</v>
          </cell>
          <cell r="E3240">
            <v>164242</v>
          </cell>
          <cell r="F3240">
            <v>112330.570570333</v>
          </cell>
          <cell r="G3240">
            <v>4.5733779222930024E-2</v>
          </cell>
          <cell r="I3240" t="str">
            <v>WV</v>
          </cell>
          <cell r="J3240" t="str">
            <v>Med</v>
          </cell>
          <cell r="K3240">
            <v>85244.666666666672</v>
          </cell>
        </row>
        <row r="3241">
          <cell r="C3241">
            <v>3019455.7095453702</v>
          </cell>
          <cell r="D3241">
            <v>0.75656276071961104</v>
          </cell>
          <cell r="E3241">
            <v>137805</v>
          </cell>
          <cell r="F3241">
            <v>104258.131240966</v>
          </cell>
          <cell r="G3241">
            <v>3.4528783088745428E-2</v>
          </cell>
          <cell r="I3241" t="str">
            <v>WV</v>
          </cell>
          <cell r="J3241" t="str">
            <v>High</v>
          </cell>
          <cell r="K3241">
            <v>125297</v>
          </cell>
        </row>
        <row r="3242">
          <cell r="C3242">
            <v>1885097.39058047</v>
          </cell>
          <cell r="D3242">
            <v>0.743895607765091</v>
          </cell>
          <cell r="E3242">
            <v>145924</v>
          </cell>
          <cell r="F3242">
            <v>108552.22266751299</v>
          </cell>
          <cell r="G3242">
            <v>5.7584410869131263E-2</v>
          </cell>
          <cell r="I3242" t="str">
            <v>WV</v>
          </cell>
          <cell r="J3242" t="str">
            <v>No Data</v>
          </cell>
          <cell r="K3242">
            <v>0</v>
          </cell>
        </row>
        <row r="3243">
          <cell r="C3243">
            <v>2289945.6440179502</v>
          </cell>
          <cell r="D3243">
            <v>0.759445963761603</v>
          </cell>
          <cell r="E3243">
            <v>161418</v>
          </cell>
          <cell r="F3243">
            <v>122588.24857847</v>
          </cell>
          <cell r="G3243">
            <v>5.3533256956866469E-2</v>
          </cell>
          <cell r="I3243" t="str">
            <v>WV</v>
          </cell>
          <cell r="J3243" t="str">
            <v>Med</v>
          </cell>
          <cell r="K3243">
            <v>75636.666666666672</v>
          </cell>
        </row>
        <row r="3244">
          <cell r="C3244">
            <v>2116354.9265989698</v>
          </cell>
          <cell r="D3244">
            <v>0.75895531836180197</v>
          </cell>
          <cell r="E3244">
            <v>170926</v>
          </cell>
          <cell r="F3244">
            <v>129725.196746309</v>
          </cell>
          <cell r="G3244">
            <v>6.1296522202341698E-2</v>
          </cell>
          <cell r="I3244" t="str">
            <v>WV</v>
          </cell>
          <cell r="J3244" t="str">
            <v>Med</v>
          </cell>
          <cell r="K3244">
            <v>61982.333333333336</v>
          </cell>
        </row>
        <row r="3245">
          <cell r="C3245">
            <v>2083776.74923405</v>
          </cell>
          <cell r="D3245">
            <v>0.73415045746745</v>
          </cell>
          <cell r="E3245">
            <v>166063</v>
          </cell>
          <cell r="F3245">
            <v>121915.22741841699</v>
          </cell>
          <cell r="G3245">
            <v>5.8506856582995426E-2</v>
          </cell>
          <cell r="I3245" t="str">
            <v>WV</v>
          </cell>
          <cell r="J3245" t="str">
            <v>Med</v>
          </cell>
          <cell r="K3245">
            <v>54854.333333333336</v>
          </cell>
        </row>
        <row r="3246">
          <cell r="C3246">
            <v>2437692.1718718298</v>
          </cell>
          <cell r="D3246">
            <v>0.74260473406373295</v>
          </cell>
          <cell r="E3246">
            <v>185161</v>
          </cell>
          <cell r="F3246">
            <v>137501.43516397499</v>
          </cell>
          <cell r="G3246">
            <v>5.6406398129584923E-2</v>
          </cell>
          <cell r="I3246" t="str">
            <v>WV</v>
          </cell>
          <cell r="J3246" t="str">
            <v>No Data</v>
          </cell>
          <cell r="K3246">
            <v>0</v>
          </cell>
        </row>
        <row r="3247">
          <cell r="C3247">
            <v>2224482.8129111198</v>
          </cell>
          <cell r="D3247">
            <v>0.69234191731430705</v>
          </cell>
          <cell r="E3247">
            <v>217645</v>
          </cell>
          <cell r="F3247">
            <v>150684.75659387201</v>
          </cell>
          <cell r="G3247">
            <v>6.7739231662875821E-2</v>
          </cell>
          <cell r="I3247" t="str">
            <v>WV</v>
          </cell>
          <cell r="J3247" t="str">
            <v>Low</v>
          </cell>
          <cell r="K3247">
            <v>39252</v>
          </cell>
        </row>
        <row r="3248">
          <cell r="C3248">
            <v>2177754.2522399402</v>
          </cell>
          <cell r="D3248">
            <v>0.69700872008415204</v>
          </cell>
          <cell r="E3248">
            <v>187880</v>
          </cell>
          <cell r="F3248">
            <v>130953.99832940999</v>
          </cell>
          <cell r="G3248">
            <v>6.0132587593258784E-2</v>
          </cell>
          <cell r="I3248" t="str">
            <v>WV</v>
          </cell>
          <cell r="J3248" t="str">
            <v>Med</v>
          </cell>
          <cell r="K3248">
            <v>60539.333333333336</v>
          </cell>
        </row>
        <row r="3249">
          <cell r="C3249">
            <v>2236014.6197122298</v>
          </cell>
          <cell r="D3249">
            <v>0.73746516700806997</v>
          </cell>
          <cell r="E3249">
            <v>194847</v>
          </cell>
          <cell r="F3249">
            <v>143692.875396021</v>
          </cell>
          <cell r="G3249">
            <v>6.4262940916957847E-2</v>
          </cell>
          <cell r="I3249" t="str">
            <v>WV</v>
          </cell>
          <cell r="J3249" t="str">
            <v>Med</v>
          </cell>
          <cell r="K3249">
            <v>60240.333333333336</v>
          </cell>
        </row>
        <row r="3250">
          <cell r="C3250">
            <v>1840938.2292958</v>
          </cell>
          <cell r="D3250">
            <v>0.71137321769318995</v>
          </cell>
          <cell r="E3250">
            <v>198974</v>
          </cell>
          <cell r="F3250">
            <v>141544.774617285</v>
          </cell>
          <cell r="G3250">
            <v>7.6887302553018871E-2</v>
          </cell>
          <cell r="I3250" t="str">
            <v>WV</v>
          </cell>
          <cell r="J3250" t="str">
            <v>Med</v>
          </cell>
          <cell r="K3250">
            <v>40453.666666666664</v>
          </cell>
        </row>
        <row r="3251">
          <cell r="C3251">
            <v>1783207.0614781</v>
          </cell>
          <cell r="D3251">
            <v>0.76317606414442096</v>
          </cell>
          <cell r="E3251">
            <v>162035</v>
          </cell>
          <cell r="F3251">
            <v>123661.233553641</v>
          </cell>
          <cell r="G3251">
            <v>6.9347658062288195E-2</v>
          </cell>
          <cell r="I3251" t="str">
            <v>WV</v>
          </cell>
          <cell r="J3251" t="str">
            <v>No Data</v>
          </cell>
          <cell r="K3251">
            <v>0</v>
          </cell>
        </row>
        <row r="3252">
          <cell r="C3252">
            <v>1687168.9792977001</v>
          </cell>
          <cell r="D3252">
            <v>0.75822405040702501</v>
          </cell>
          <cell r="E3252">
            <v>143299</v>
          </cell>
          <cell r="F3252">
            <v>108652.748199276</v>
          </cell>
          <cell r="G3252">
            <v>6.4399446369920649E-2</v>
          </cell>
          <cell r="I3252" t="str">
            <v>WV</v>
          </cell>
          <cell r="J3252" t="str">
            <v>Low</v>
          </cell>
          <cell r="K3252">
            <v>29058</v>
          </cell>
        </row>
        <row r="3253">
          <cell r="C3253">
            <v>2636935.2175933798</v>
          </cell>
          <cell r="D3253">
            <v>0.72400052095567802</v>
          </cell>
          <cell r="E3253">
            <v>179146</v>
          </cell>
          <cell r="F3253">
            <v>129701.797327126</v>
          </cell>
          <cell r="G3253">
            <v>4.9186569492404665E-2</v>
          </cell>
          <cell r="I3253" t="str">
            <v>WV</v>
          </cell>
          <cell r="J3253" t="str">
            <v>Med</v>
          </cell>
          <cell r="K3253">
            <v>85244.666666666672</v>
          </cell>
        </row>
        <row r="3254">
          <cell r="C3254">
            <v>3467888.5023529101</v>
          </cell>
          <cell r="D3254">
            <v>0.73299076474970803</v>
          </cell>
          <cell r="E3254">
            <v>170297</v>
          </cell>
          <cell r="F3254">
            <v>124826.128264581</v>
          </cell>
          <cell r="G3254">
            <v>3.599485052068091E-2</v>
          </cell>
          <cell r="I3254" t="str">
            <v>WV</v>
          </cell>
          <cell r="J3254" t="str">
            <v>High</v>
          </cell>
          <cell r="K3254">
            <v>125297</v>
          </cell>
        </row>
        <row r="3255">
          <cell r="C3255">
            <v>2114983.5230571302</v>
          </cell>
          <cell r="D3255">
            <v>0.76940919179783995</v>
          </cell>
          <cell r="E3255">
            <v>164845</v>
          </cell>
          <cell r="F3255">
            <v>126833.25822191501</v>
          </cell>
          <cell r="G3255">
            <v>5.9968910792544732E-2</v>
          </cell>
          <cell r="I3255" t="str">
            <v>WV</v>
          </cell>
          <cell r="J3255" t="str">
            <v>No Data</v>
          </cell>
          <cell r="K3255">
            <v>0</v>
          </cell>
        </row>
        <row r="3256">
          <cell r="C3256">
            <v>2520542.08214491</v>
          </cell>
          <cell r="D3256">
            <v>0.746341924059712</v>
          </cell>
          <cell r="E3256">
            <v>186922</v>
          </cell>
          <cell r="F3256">
            <v>139507.72512908999</v>
          </cell>
          <cell r="G3256">
            <v>5.5348302302643114E-2</v>
          </cell>
          <cell r="I3256" t="str">
            <v>WV</v>
          </cell>
          <cell r="J3256" t="str">
            <v>Med</v>
          </cell>
          <cell r="K3256">
            <v>75636.666666666672</v>
          </cell>
        </row>
        <row r="3257">
          <cell r="C3257">
            <v>2258421.4898460698</v>
          </cell>
          <cell r="D3257">
            <v>0.74231019732985803</v>
          </cell>
          <cell r="E3257">
            <v>213718</v>
          </cell>
          <cell r="F3257">
            <v>158645.050752943</v>
          </cell>
          <cell r="G3257">
            <v>7.0245988831675515E-2</v>
          </cell>
          <cell r="I3257" t="str">
            <v>WV</v>
          </cell>
          <cell r="J3257" t="str">
            <v>Med</v>
          </cell>
          <cell r="K3257">
            <v>61982.333333333336</v>
          </cell>
        </row>
        <row r="3258">
          <cell r="C3258">
            <v>2201222.07876419</v>
          </cell>
          <cell r="D3258">
            <v>0.67902243728018896</v>
          </cell>
          <cell r="E3258">
            <v>210702</v>
          </cell>
          <cell r="F3258">
            <v>143071.38557981001</v>
          </cell>
          <cell r="G3258">
            <v>6.4996343149589492E-2</v>
          </cell>
          <cell r="I3258" t="str">
            <v>WV</v>
          </cell>
          <cell r="J3258" t="str">
            <v>Med</v>
          </cell>
          <cell r="K3258">
            <v>54854.333333333336</v>
          </cell>
        </row>
        <row r="3259">
          <cell r="C3259">
            <v>2604102.8545496198</v>
          </cell>
          <cell r="D3259">
            <v>0.73327581759635097</v>
          </cell>
          <cell r="E3259">
            <v>219053</v>
          </cell>
          <cell r="F3259">
            <v>160626.26767193299</v>
          </cell>
          <cell r="G3259">
            <v>6.1681998232636377E-2</v>
          </cell>
          <cell r="I3259" t="str">
            <v>WV</v>
          </cell>
          <cell r="J3259" t="str">
            <v>No Data</v>
          </cell>
          <cell r="K3259">
            <v>0</v>
          </cell>
        </row>
        <row r="3260">
          <cell r="C3260">
            <v>2334284.6205619602</v>
          </cell>
          <cell r="D3260">
            <v>0.68738477050809499</v>
          </cell>
          <cell r="E3260">
            <v>251657</v>
          </cell>
          <cell r="F3260">
            <v>172985.18919175601</v>
          </cell>
          <cell r="G3260">
            <v>7.4106296921971418E-2</v>
          </cell>
          <cell r="I3260" t="str">
            <v>WV</v>
          </cell>
          <cell r="J3260" t="str">
            <v>Low</v>
          </cell>
          <cell r="K3260">
            <v>39252</v>
          </cell>
        </row>
        <row r="3261">
          <cell r="C3261">
            <v>2312157.2962632799</v>
          </cell>
          <cell r="D3261">
            <v>0.71510450644224999</v>
          </cell>
          <cell r="E3261">
            <v>215879</v>
          </cell>
          <cell r="F3261">
            <v>154376.045746246</v>
          </cell>
          <cell r="G3261">
            <v>6.6767103603087893E-2</v>
          </cell>
          <cell r="I3261" t="str">
            <v>WV</v>
          </cell>
          <cell r="J3261" t="str">
            <v>Med</v>
          </cell>
          <cell r="K3261">
            <v>60539.333333333336</v>
          </cell>
        </row>
        <row r="3262">
          <cell r="C3262">
            <v>2302025.22157135</v>
          </cell>
          <cell r="D3262">
            <v>0.71843872182059398</v>
          </cell>
          <cell r="E3262">
            <v>234371</v>
          </cell>
          <cell r="F3262">
            <v>168381.20167181399</v>
          </cell>
          <cell r="G3262">
            <v>7.3144811835240409E-2</v>
          </cell>
          <cell r="I3262" t="str">
            <v>WV</v>
          </cell>
          <cell r="J3262" t="str">
            <v>Med</v>
          </cell>
          <cell r="K3262">
            <v>60240.333333333336</v>
          </cell>
        </row>
        <row r="3263">
          <cell r="C3263">
            <v>1948164.6298553401</v>
          </cell>
          <cell r="D3263">
            <v>0.68354490362058995</v>
          </cell>
          <cell r="E3263">
            <v>247283</v>
          </cell>
          <cell r="F3263">
            <v>169029.03440201</v>
          </cell>
          <cell r="G3263">
            <v>8.6763218986560267E-2</v>
          </cell>
          <cell r="I3263" t="str">
            <v>WV</v>
          </cell>
          <cell r="J3263" t="str">
            <v>Med</v>
          </cell>
          <cell r="K3263">
            <v>40453.666666666664</v>
          </cell>
        </row>
        <row r="3264">
          <cell r="C3264">
            <v>1854101.0148509301</v>
          </cell>
          <cell r="D3264">
            <v>0.75974691641770498</v>
          </cell>
          <cell r="E3264">
            <v>189786</v>
          </cell>
          <cell r="F3264">
            <v>144189.328279251</v>
          </cell>
          <cell r="G3264">
            <v>7.7767784562074602E-2</v>
          </cell>
          <cell r="I3264" t="str">
            <v>WV</v>
          </cell>
          <cell r="J3264" t="str">
            <v>No Data</v>
          </cell>
          <cell r="K3264">
            <v>0</v>
          </cell>
        </row>
        <row r="3265">
          <cell r="C3265">
            <v>1813514.7917214599</v>
          </cell>
          <cell r="D3265">
            <v>0.71514607846995903</v>
          </cell>
          <cell r="E3265">
            <v>196405</v>
          </cell>
          <cell r="F3265">
            <v>140458.265541892</v>
          </cell>
          <cell r="G3265">
            <v>7.7450851894383207E-2</v>
          </cell>
          <cell r="I3265" t="str">
            <v>WV</v>
          </cell>
          <cell r="J3265" t="str">
            <v>Low</v>
          </cell>
          <cell r="K3265">
            <v>29058</v>
          </cell>
        </row>
        <row r="3266">
          <cell r="C3266">
            <v>2851368.2253690902</v>
          </cell>
          <cell r="D3266">
            <v>0.715907598545239</v>
          </cell>
          <cell r="E3266">
            <v>217037</v>
          </cell>
          <cell r="F3266">
            <v>155378.43746546301</v>
          </cell>
          <cell r="G3266">
            <v>5.4492589235944904E-2</v>
          </cell>
          <cell r="I3266" t="str">
            <v>WV</v>
          </cell>
          <cell r="J3266" t="str">
            <v>Med</v>
          </cell>
          <cell r="K3266">
            <v>85244.666666666672</v>
          </cell>
        </row>
        <row r="3267">
          <cell r="C3267">
            <v>3585683.15094824</v>
          </cell>
          <cell r="D3267">
            <v>0.75307615509103198</v>
          </cell>
          <cell r="E3267">
            <v>191357</v>
          </cell>
          <cell r="F3267">
            <v>144106.39380975501</v>
          </cell>
          <cell r="G3267">
            <v>4.0189383094723759E-2</v>
          </cell>
          <cell r="I3267" t="str">
            <v>WV</v>
          </cell>
          <cell r="J3267" t="str">
            <v>High</v>
          </cell>
          <cell r="K3267">
            <v>125297</v>
          </cell>
        </row>
        <row r="3268">
          <cell r="C3268">
            <v>2212562.57245589</v>
          </cell>
          <cell r="D3268">
            <v>0.72953927362026605</v>
          </cell>
          <cell r="E3268">
            <v>199469</v>
          </cell>
          <cell r="F3268">
            <v>145520.46936976101</v>
          </cell>
          <cell r="G3268">
            <v>6.5770103490558854E-2</v>
          </cell>
          <cell r="I3268" t="str">
            <v>WV</v>
          </cell>
          <cell r="J3268" t="str">
            <v>No Data</v>
          </cell>
          <cell r="K3268">
            <v>0</v>
          </cell>
        </row>
        <row r="3269">
          <cell r="C3269">
            <v>2686168.7510515801</v>
          </cell>
          <cell r="D3269">
            <v>0.73720588626387296</v>
          </cell>
          <cell r="E3269">
            <v>222727</v>
          </cell>
          <cell r="F3269">
            <v>164195.65542989399</v>
          </cell>
          <cell r="G3269">
            <v>6.1126336670253779E-2</v>
          </cell>
          <cell r="I3269" t="str">
            <v>WV</v>
          </cell>
          <cell r="J3269" t="str">
            <v>Med</v>
          </cell>
          <cell r="K3269">
            <v>75636.666666666672</v>
          </cell>
        </row>
        <row r="3270">
          <cell r="C3270">
            <v>2370265.4341934398</v>
          </cell>
          <cell r="D3270">
            <v>0.73168545230384097</v>
          </cell>
          <cell r="E3270">
            <v>233468</v>
          </cell>
          <cell r="F3270">
            <v>170825.13917847301</v>
          </cell>
          <cell r="G3270">
            <v>7.2070046128231133E-2</v>
          </cell>
          <cell r="I3270" t="str">
            <v>WV</v>
          </cell>
          <cell r="J3270" t="str">
            <v>Med</v>
          </cell>
          <cell r="K3270">
            <v>61982.333333333336</v>
          </cell>
        </row>
        <row r="3271">
          <cell r="C3271">
            <v>2346509.4067384601</v>
          </cell>
          <cell r="D3271">
            <v>0.69888600117247801</v>
          </cell>
          <cell r="E3271">
            <v>232647</v>
          </cell>
          <cell r="F3271">
            <v>162593.73151477301</v>
          </cell>
          <cell r="G3271">
            <v>6.9291745026827237E-2</v>
          </cell>
          <cell r="I3271" t="str">
            <v>WV</v>
          </cell>
          <cell r="J3271" t="str">
            <v>Med</v>
          </cell>
          <cell r="K3271">
            <v>54854.333333333336</v>
          </cell>
        </row>
        <row r="3272">
          <cell r="C3272">
            <v>2725342.62103535</v>
          </cell>
          <cell r="D3272">
            <v>0.73261031661384302</v>
          </cell>
          <cell r="E3272">
            <v>245211</v>
          </cell>
          <cell r="F3272">
            <v>179644.10834719701</v>
          </cell>
          <cell r="G3272">
            <v>6.5916155627783315E-2</v>
          </cell>
          <cell r="I3272" t="str">
            <v>WV</v>
          </cell>
          <cell r="J3272" t="str">
            <v>No Data</v>
          </cell>
          <cell r="K3272">
            <v>0</v>
          </cell>
        </row>
        <row r="3273">
          <cell r="C3273">
            <v>2474817.1266381401</v>
          </cell>
          <cell r="D3273">
            <v>0.69065832653214898</v>
          </cell>
          <cell r="E3273">
            <v>277429</v>
          </cell>
          <cell r="F3273">
            <v>191608.648871488</v>
          </cell>
          <cell r="G3273">
            <v>7.7423356582219258E-2</v>
          </cell>
          <cell r="I3273" t="str">
            <v>WV</v>
          </cell>
          <cell r="J3273" t="str">
            <v>Low</v>
          </cell>
          <cell r="K3273">
            <v>39252</v>
          </cell>
        </row>
        <row r="3274">
          <cell r="C3274">
            <v>2448219.5848369999</v>
          </cell>
          <cell r="D3274">
            <v>0.71307841757359303</v>
          </cell>
          <cell r="E3274">
            <v>235959</v>
          </cell>
          <cell r="F3274">
            <v>168257.27033224699</v>
          </cell>
          <cell r="G3274">
            <v>6.8726380335467088E-2</v>
          </cell>
          <cell r="I3274" t="str">
            <v>WV</v>
          </cell>
          <cell r="J3274" t="str">
            <v>Med</v>
          </cell>
          <cell r="K3274">
            <v>60539.333333333336</v>
          </cell>
        </row>
        <row r="3275">
          <cell r="C3275">
            <v>2425438.1589924102</v>
          </cell>
          <cell r="D3275">
            <v>0.70985043780018098</v>
          </cell>
          <cell r="E3275">
            <v>261247</v>
          </cell>
          <cell r="F3275">
            <v>185446.29732398401</v>
          </cell>
          <cell r="G3275">
            <v>7.6458885021015416E-2</v>
          </cell>
          <cell r="I3275" t="str">
            <v>WV</v>
          </cell>
          <cell r="J3275" t="str">
            <v>Med</v>
          </cell>
          <cell r="K3275">
            <v>60240.333333333336</v>
          </cell>
        </row>
        <row r="3276">
          <cell r="C3276">
            <v>2065967.58017953</v>
          </cell>
          <cell r="D3276">
            <v>0.69717170511261894</v>
          </cell>
          <cell r="E3276">
            <v>263047</v>
          </cell>
          <cell r="F3276">
            <v>183388.925514759</v>
          </cell>
          <cell r="G3276">
            <v>8.8766603732873067E-2</v>
          </cell>
          <cell r="I3276" t="str">
            <v>WV</v>
          </cell>
          <cell r="J3276" t="str">
            <v>Med</v>
          </cell>
          <cell r="K3276">
            <v>40453.666666666664</v>
          </cell>
        </row>
        <row r="3277">
          <cell r="C3277">
            <v>1959027.4759406401</v>
          </cell>
          <cell r="D3277">
            <v>0.734085447998861</v>
          </cell>
          <cell r="E3277">
            <v>226615</v>
          </cell>
          <cell r="F3277">
            <v>166354.773798262</v>
          </cell>
          <cell r="G3277">
            <v>8.4917019205351191E-2</v>
          </cell>
          <cell r="I3277" t="str">
            <v>WV</v>
          </cell>
          <cell r="J3277" t="str">
            <v>No Data</v>
          </cell>
          <cell r="K3277">
            <v>0</v>
          </cell>
        </row>
        <row r="3278">
          <cell r="C3278">
            <v>1877514.2393342201</v>
          </cell>
          <cell r="D3278">
            <v>0.71134921115499405</v>
          </cell>
          <cell r="E3278">
            <v>213176</v>
          </cell>
          <cell r="F3278">
            <v>151642.57943717699</v>
          </cell>
          <cell r="G3278">
            <v>8.0767738672890457E-2</v>
          </cell>
          <cell r="I3278" t="str">
            <v>WV</v>
          </cell>
          <cell r="J3278" t="str">
            <v>Low</v>
          </cell>
          <cell r="K3278">
            <v>29058</v>
          </cell>
        </row>
        <row r="3279">
          <cell r="C3279">
            <v>2970015.2013415201</v>
          </cell>
          <cell r="D3279">
            <v>0.68385514233099698</v>
          </cell>
          <cell r="E3279">
            <v>242309</v>
          </cell>
          <cell r="F3279">
            <v>165704.25568308099</v>
          </cell>
          <cell r="G3279">
            <v>5.5792393119144433E-2</v>
          </cell>
          <cell r="I3279" t="str">
            <v>WV</v>
          </cell>
          <cell r="J3279" t="str">
            <v>Med</v>
          </cell>
          <cell r="K3279">
            <v>85244.666666666672</v>
          </cell>
        </row>
        <row r="3280">
          <cell r="C3280">
            <v>3786127.36486908</v>
          </cell>
          <cell r="D3280">
            <v>0.75754415801698505</v>
          </cell>
          <cell r="E3280">
            <v>207254</v>
          </cell>
          <cell r="F3280">
            <v>157004.056925652</v>
          </cell>
          <cell r="G3280">
            <v>4.1468244936097395E-2</v>
          </cell>
          <cell r="I3280" t="str">
            <v>WV</v>
          </cell>
          <cell r="J3280" t="str">
            <v>High</v>
          </cell>
          <cell r="K3280">
            <v>125297</v>
          </cell>
        </row>
        <row r="3281">
          <cell r="C3281">
            <v>2290043.71113818</v>
          </cell>
          <cell r="D3281">
            <v>0.75643309280097104</v>
          </cell>
          <cell r="E3281">
            <v>213638</v>
          </cell>
          <cell r="F3281">
            <v>161602.853079814</v>
          </cell>
          <cell r="G3281">
            <v>7.0567584493614485E-2</v>
          </cell>
          <cell r="I3281" t="str">
            <v>WV</v>
          </cell>
          <cell r="J3281" t="str">
            <v>No Data</v>
          </cell>
          <cell r="K3281">
            <v>0</v>
          </cell>
        </row>
        <row r="3282">
          <cell r="C3282">
            <v>2820299.34774049</v>
          </cell>
          <cell r="D3282">
            <v>0.74085036515767499</v>
          </cell>
          <cell r="E3282">
            <v>241296</v>
          </cell>
          <cell r="F3282">
            <v>178764.22971108599</v>
          </cell>
          <cell r="G3282">
            <v>6.3384842411960518E-2</v>
          </cell>
          <cell r="I3282" t="str">
            <v>WV</v>
          </cell>
          <cell r="J3282" t="str">
            <v>Med</v>
          </cell>
          <cell r="K3282">
            <v>75636.666666666672</v>
          </cell>
        </row>
        <row r="3283">
          <cell r="C3283">
            <v>2234840.0347730801</v>
          </cell>
          <cell r="D3283">
            <v>0.79080620561055903</v>
          </cell>
          <cell r="E3283">
            <v>219362</v>
          </cell>
          <cell r="F3283">
            <v>173472.830875143</v>
          </cell>
          <cell r="G3283">
            <v>7.7622034765793421E-2</v>
          </cell>
          <cell r="I3283" t="str">
            <v>WV</v>
          </cell>
          <cell r="J3283" t="str">
            <v>Med</v>
          </cell>
          <cell r="K3283">
            <v>61982.333333333336</v>
          </cell>
        </row>
        <row r="3284">
          <cell r="C3284">
            <v>2234265.14323948</v>
          </cell>
          <cell r="D3284">
            <v>0.69206793064514605</v>
          </cell>
          <cell r="E3284">
            <v>242410</v>
          </cell>
          <cell r="F3284">
            <v>167764.18706769001</v>
          </cell>
          <cell r="G3284">
            <v>7.5086964309189957E-2</v>
          </cell>
          <cell r="I3284" t="str">
            <v>WV</v>
          </cell>
          <cell r="J3284" t="str">
            <v>Med</v>
          </cell>
          <cell r="K3284">
            <v>54854.333333333336</v>
          </cell>
        </row>
        <row r="3285">
          <cell r="C3285">
            <v>2653327.15106952</v>
          </cell>
          <cell r="D3285">
            <v>0.75945260599296005</v>
          </cell>
          <cell r="E3285">
            <v>249945</v>
          </cell>
          <cell r="F3285">
            <v>189821.38160491001</v>
          </cell>
          <cell r="G3285">
            <v>7.1540888400586256E-2</v>
          </cell>
          <cell r="I3285" t="str">
            <v>WV</v>
          </cell>
          <cell r="J3285" t="str">
            <v>No Data</v>
          </cell>
          <cell r="K3285">
            <v>0</v>
          </cell>
        </row>
        <row r="3286">
          <cell r="C3286">
            <v>2290018.9358944702</v>
          </cell>
          <cell r="D3286">
            <v>0.68209434150120196</v>
          </cell>
          <cell r="E3286">
            <v>281720</v>
          </cell>
          <cell r="F3286">
            <v>192159.61788771901</v>
          </cell>
          <cell r="G3286">
            <v>8.3911803031734497E-2</v>
          </cell>
          <cell r="I3286" t="str">
            <v>WV</v>
          </cell>
          <cell r="J3286" t="str">
            <v>Low</v>
          </cell>
          <cell r="K3286">
            <v>39252</v>
          </cell>
        </row>
        <row r="3287">
          <cell r="C3287">
            <v>2304756.2155941301</v>
          </cell>
          <cell r="D3287">
            <v>0.69629270427620205</v>
          </cell>
          <cell r="E3287">
            <v>251245</v>
          </cell>
          <cell r="F3287">
            <v>174940.06048587401</v>
          </cell>
          <cell r="G3287">
            <v>7.5903932616481609E-2</v>
          </cell>
          <cell r="I3287" t="str">
            <v>WV</v>
          </cell>
          <cell r="J3287" t="str">
            <v>Med</v>
          </cell>
          <cell r="K3287">
            <v>60539.333333333336</v>
          </cell>
        </row>
        <row r="3288">
          <cell r="C3288">
            <v>2293227.5547780599</v>
          </cell>
          <cell r="D3288">
            <v>0.69814033214440896</v>
          </cell>
          <cell r="E3288">
            <v>270765</v>
          </cell>
          <cell r="F3288">
            <v>189031.96703308099</v>
          </cell>
          <cell r="G3288">
            <v>8.2430531867290255E-2</v>
          </cell>
          <cell r="I3288" t="str">
            <v>WV</v>
          </cell>
          <cell r="J3288" t="str">
            <v>Med</v>
          </cell>
          <cell r="K3288">
            <v>60240.333333333336</v>
          </cell>
        </row>
        <row r="3289">
          <cell r="C3289">
            <v>1942860.7809850399</v>
          </cell>
          <cell r="D3289">
            <v>0.66471201645110101</v>
          </cell>
          <cell r="E3289">
            <v>294208</v>
          </cell>
          <cell r="F3289">
            <v>195563.592936045</v>
          </cell>
          <cell r="G3289">
            <v>0.10065754317038264</v>
          </cell>
          <cell r="I3289" t="str">
            <v>WV</v>
          </cell>
          <cell r="J3289" t="str">
            <v>Med</v>
          </cell>
          <cell r="K3289">
            <v>40453.666666666664</v>
          </cell>
        </row>
        <row r="3290">
          <cell r="C3290">
            <v>1888941.9717312299</v>
          </cell>
          <cell r="D3290">
            <v>0.74554423911880296</v>
          </cell>
          <cell r="E3290">
            <v>224760</v>
          </cell>
          <cell r="F3290">
            <v>167568.52318434199</v>
          </cell>
          <cell r="G3290">
            <v>8.8710254572174144E-2</v>
          </cell>
          <cell r="I3290" t="str">
            <v>WV</v>
          </cell>
          <cell r="J3290" t="str">
            <v>No Data</v>
          </cell>
          <cell r="K3290">
            <v>0</v>
          </cell>
        </row>
        <row r="3291">
          <cell r="C3291">
            <v>1821326.45133984</v>
          </cell>
          <cell r="D3291">
            <v>0.73346516071543999</v>
          </cell>
          <cell r="E3291">
            <v>212080</v>
          </cell>
          <cell r="F3291">
            <v>155553.29128452999</v>
          </cell>
          <cell r="G3291">
            <v>8.54065953800313E-2</v>
          </cell>
          <cell r="I3291" t="str">
            <v>WV</v>
          </cell>
          <cell r="J3291" t="str">
            <v>Low</v>
          </cell>
          <cell r="K3291">
            <v>29058</v>
          </cell>
        </row>
        <row r="3292">
          <cell r="C3292">
            <v>2859030.2459487198</v>
          </cell>
          <cell r="D3292">
            <v>0.69202072145108195</v>
          </cell>
          <cell r="E3292">
            <v>254278</v>
          </cell>
          <cell r="F3292">
            <v>175965.64500913801</v>
          </cell>
          <cell r="G3292">
            <v>6.1547318451241798E-2</v>
          </cell>
          <cell r="I3292" t="str">
            <v>WV</v>
          </cell>
          <cell r="J3292" t="str">
            <v>Med</v>
          </cell>
          <cell r="K3292">
            <v>85244.666666666672</v>
          </cell>
        </row>
        <row r="3293">
          <cell r="C3293">
            <v>3593422.6065418799</v>
          </cell>
          <cell r="D3293">
            <v>0.75280986571114195</v>
          </cell>
          <cell r="E3293">
            <v>218635</v>
          </cell>
          <cell r="F3293">
            <v>164590.58498975501</v>
          </cell>
          <cell r="G3293">
            <v>4.5803292017508705E-2</v>
          </cell>
          <cell r="I3293" t="str">
            <v>WV</v>
          </cell>
          <cell r="J3293" t="str">
            <v>High</v>
          </cell>
          <cell r="K3293">
            <v>125297</v>
          </cell>
        </row>
        <row r="3294">
          <cell r="C3294">
            <v>2233502.6602920201</v>
          </cell>
          <cell r="D3294">
            <v>0.75533376325244805</v>
          </cell>
          <cell r="E3294">
            <v>224590</v>
          </cell>
          <cell r="F3294">
            <v>169640.409888867</v>
          </cell>
          <cell r="G3294">
            <v>7.59526339076253E-2</v>
          </cell>
          <cell r="I3294" t="str">
            <v>WV</v>
          </cell>
          <cell r="J3294" t="str">
            <v>No Data</v>
          </cell>
          <cell r="K3294">
            <v>0</v>
          </cell>
        </row>
        <row r="3295">
          <cell r="C3295">
            <v>2686515.4538865299</v>
          </cell>
          <cell r="D3295">
            <v>0.74232353328920797</v>
          </cell>
          <cell r="E3295">
            <v>261313</v>
          </cell>
          <cell r="F3295">
            <v>193978.78945440301</v>
          </cell>
          <cell r="G3295">
            <v>7.2204605848731548E-2</v>
          </cell>
          <cell r="I3295" t="str">
            <v>WV</v>
          </cell>
          <cell r="J3295" t="str">
            <v>Med</v>
          </cell>
          <cell r="K3295">
            <v>75636.666666666672</v>
          </cell>
        </row>
        <row r="3296">
          <cell r="C3296">
            <v>2124643.5310887899</v>
          </cell>
          <cell r="D3296">
            <v>0.76142668658429902</v>
          </cell>
          <cell r="E3296">
            <v>239426</v>
          </cell>
          <cell r="F3296">
            <v>182305.345862132</v>
          </cell>
          <cell r="G3296">
            <v>8.5805144813496423E-2</v>
          </cell>
          <cell r="I3296" t="str">
            <v>WV</v>
          </cell>
          <cell r="J3296" t="str">
            <v>Med</v>
          </cell>
          <cell r="K3296">
            <v>61982.333333333336</v>
          </cell>
        </row>
        <row r="3297">
          <cell r="C3297">
            <v>2104666.1882901299</v>
          </cell>
          <cell r="D3297">
            <v>0.716303631409552</v>
          </cell>
          <cell r="E3297">
            <v>234744</v>
          </cell>
          <cell r="F3297">
            <v>168147.97965160399</v>
          </cell>
          <cell r="G3297">
            <v>7.9892944822860745E-2</v>
          </cell>
          <cell r="I3297" t="str">
            <v>WV</v>
          </cell>
          <cell r="J3297" t="str">
            <v>Med</v>
          </cell>
          <cell r="K3297">
            <v>54854.333333333336</v>
          </cell>
        </row>
        <row r="3298">
          <cell r="C3298">
            <v>2493778.4513285402</v>
          </cell>
          <cell r="D3298">
            <v>0.73480779042067801</v>
          </cell>
          <cell r="E3298">
            <v>262454</v>
          </cell>
          <cell r="F3298">
            <v>192853.243827069</v>
          </cell>
          <cell r="G3298">
            <v>7.7333751811163504E-2</v>
          </cell>
          <cell r="I3298" t="str">
            <v>WV</v>
          </cell>
          <cell r="J3298" t="str">
            <v>No Data</v>
          </cell>
          <cell r="K3298">
            <v>0</v>
          </cell>
        </row>
        <row r="3299">
          <cell r="C3299">
            <v>2169601.9850798398</v>
          </cell>
          <cell r="D3299">
            <v>0.70477675083802305</v>
          </cell>
          <cell r="E3299">
            <v>285497</v>
          </cell>
          <cell r="F3299">
            <v>201211.64803400301</v>
          </cell>
          <cell r="G3299">
            <v>9.274127209401431E-2</v>
          </cell>
          <cell r="I3299" t="str">
            <v>WV</v>
          </cell>
          <cell r="J3299" t="str">
            <v>Low</v>
          </cell>
          <cell r="K3299">
            <v>39252</v>
          </cell>
        </row>
        <row r="3300">
          <cell r="C3300">
            <v>2199904.4913823302</v>
          </cell>
          <cell r="D3300">
            <v>0.71067230471763598</v>
          </cell>
          <cell r="E3300">
            <v>250566</v>
          </cell>
          <cell r="F3300">
            <v>178070.31670387901</v>
          </cell>
          <cell r="G3300">
            <v>8.0944567094359127E-2</v>
          </cell>
          <cell r="I3300" t="str">
            <v>WV</v>
          </cell>
          <cell r="J3300" t="str">
            <v>Med</v>
          </cell>
          <cell r="K3300">
            <v>60539.333333333336</v>
          </cell>
        </row>
        <row r="3301">
          <cell r="C3301">
            <v>2195663.9441970401</v>
          </cell>
          <cell r="D3301">
            <v>0.71760330797190297</v>
          </cell>
          <cell r="E3301">
            <v>272160</v>
          </cell>
          <cell r="F3301">
            <v>195302.916297633</v>
          </cell>
          <cell r="G3301">
            <v>8.8949366233299326E-2</v>
          </cell>
          <cell r="I3301" t="str">
            <v>WV</v>
          </cell>
          <cell r="J3301" t="str">
            <v>Med</v>
          </cell>
          <cell r="K3301">
            <v>60240.333333333336</v>
          </cell>
        </row>
        <row r="3302">
          <cell r="C3302">
            <v>1849072.3743078699</v>
          </cell>
          <cell r="D3302">
            <v>0.68042568367869904</v>
          </cell>
          <cell r="E3302">
            <v>291871</v>
          </cell>
          <cell r="F3302">
            <v>198596.524720986</v>
          </cell>
          <cell r="G3302">
            <v>0.10740332692241053</v>
          </cell>
          <cell r="I3302" t="str">
            <v>WV</v>
          </cell>
          <cell r="J3302" t="str">
            <v>Med</v>
          </cell>
          <cell r="K3302">
            <v>40453.666666666664</v>
          </cell>
        </row>
        <row r="3303">
          <cell r="C3303">
            <v>1799190.2576186501</v>
          </cell>
          <cell r="D3303">
            <v>0.73638664631071904</v>
          </cell>
          <cell r="E3303">
            <v>240026</v>
          </cell>
          <cell r="F3303">
            <v>176751.94116737699</v>
          </cell>
          <cell r="G3303">
            <v>9.8239716683059489E-2</v>
          </cell>
          <cell r="I3303" t="str">
            <v>WV</v>
          </cell>
          <cell r="J3303" t="str">
            <v>No Data</v>
          </cell>
          <cell r="K3303">
            <v>0</v>
          </cell>
        </row>
        <row r="3304">
          <cell r="C3304">
            <v>1694082.2140347101</v>
          </cell>
          <cell r="D3304">
            <v>0.72700953050460304</v>
          </cell>
          <cell r="E3304">
            <v>218230</v>
          </cell>
          <cell r="F3304">
            <v>158655.28984201999</v>
          </cell>
          <cell r="G3304">
            <v>9.3652650696425588E-2</v>
          </cell>
          <cell r="I3304" t="str">
            <v>WV</v>
          </cell>
          <cell r="J3304" t="str">
            <v>Low</v>
          </cell>
          <cell r="K3304">
            <v>29058</v>
          </cell>
        </row>
        <row r="3305">
          <cell r="C3305">
            <v>2703545.5661687902</v>
          </cell>
          <cell r="D3305">
            <v>0.72112588968904501</v>
          </cell>
          <cell r="E3305">
            <v>254284</v>
          </cell>
          <cell r="F3305">
            <v>183370.77573368899</v>
          </cell>
          <cell r="G3305">
            <v>6.7826034829346252E-2</v>
          </cell>
          <cell r="I3305" t="str">
            <v>WV</v>
          </cell>
          <cell r="J3305" t="str">
            <v>Med</v>
          </cell>
          <cell r="K3305">
            <v>85244.666666666672</v>
          </cell>
        </row>
        <row r="3306">
          <cell r="C3306">
            <v>3434931.9451581798</v>
          </cell>
          <cell r="D3306">
            <v>0.75008925113045499</v>
          </cell>
          <cell r="E3306">
            <v>229627</v>
          </cell>
          <cell r="F3306">
            <v>172240.744469333</v>
          </cell>
          <cell r="G3306">
            <v>5.0143859389156324E-2</v>
          </cell>
          <cell r="I3306" t="str">
            <v>WV</v>
          </cell>
          <cell r="J3306" t="str">
            <v>High</v>
          </cell>
          <cell r="K3306">
            <v>125297</v>
          </cell>
        </row>
        <row r="3307">
          <cell r="C3307">
            <v>2116825.5021118899</v>
          </cell>
          <cell r="D3307">
            <v>0.75514265314811901</v>
          </cell>
          <cell r="E3307">
            <v>232174</v>
          </cell>
          <cell r="F3307">
            <v>175324.49035201099</v>
          </cell>
          <cell r="G3307">
            <v>8.2824252720451116E-2</v>
          </cell>
          <cell r="I3307" t="str">
            <v>WV</v>
          </cell>
          <cell r="J3307" t="str">
            <v>No Data</v>
          </cell>
          <cell r="K3307">
            <v>0</v>
          </cell>
        </row>
        <row r="3308">
          <cell r="C3308">
            <v>2586609.90614413</v>
          </cell>
          <cell r="D3308">
            <v>0.77393846938341704</v>
          </cell>
          <cell r="E3308">
            <v>254780</v>
          </cell>
          <cell r="F3308">
            <v>197184.04322950699</v>
          </cell>
          <cell r="G3308">
            <v>7.6232617358003574E-2</v>
          </cell>
          <cell r="I3308" t="str">
            <v>WV</v>
          </cell>
          <cell r="J3308" t="str">
            <v>Med</v>
          </cell>
          <cell r="K3308">
            <v>75636.666666666672</v>
          </cell>
        </row>
        <row r="3309">
          <cell r="C3309">
            <v>2028470.98226244</v>
          </cell>
          <cell r="D3309">
            <v>0.73834131563221805</v>
          </cell>
          <cell r="E3309">
            <v>217022</v>
          </cell>
          <cell r="F3309">
            <v>160236.309001135</v>
          </cell>
          <cell r="G3309">
            <v>7.8993641221535557E-2</v>
          </cell>
          <cell r="I3309" t="str">
            <v>WV</v>
          </cell>
          <cell r="J3309" t="str">
            <v>Med</v>
          </cell>
          <cell r="K3309">
            <v>61982.333333333336</v>
          </cell>
        </row>
        <row r="3310">
          <cell r="C3310">
            <v>2006944.19748532</v>
          </cell>
          <cell r="D3310">
            <v>0.68988675257466303</v>
          </cell>
          <cell r="E3310">
            <v>217387</v>
          </cell>
          <cell r="F3310">
            <v>149972.41148194799</v>
          </cell>
          <cell r="G3310">
            <v>7.4726747096337726E-2</v>
          </cell>
          <cell r="I3310" t="str">
            <v>WV</v>
          </cell>
          <cell r="J3310" t="str">
            <v>Med</v>
          </cell>
          <cell r="K3310">
            <v>54854.333333333336</v>
          </cell>
        </row>
        <row r="3311">
          <cell r="C3311">
            <v>2339479.7764121699</v>
          </cell>
          <cell r="D3311">
            <v>0.73483108676850595</v>
          </cell>
          <cell r="E3311">
            <v>225962</v>
          </cell>
          <cell r="F3311">
            <v>166043.902028385</v>
          </cell>
          <cell r="G3311">
            <v>7.097471143051734E-2</v>
          </cell>
          <cell r="I3311" t="str">
            <v>WV</v>
          </cell>
          <cell r="J3311" t="str">
            <v>No Data</v>
          </cell>
          <cell r="K3311">
            <v>0</v>
          </cell>
        </row>
        <row r="3312">
          <cell r="C3312">
            <v>2074580.34814304</v>
          </cell>
          <cell r="D3312">
            <v>0.69065571400436099</v>
          </cell>
          <cell r="E3312">
            <v>254799</v>
          </cell>
          <cell r="F3312">
            <v>175978.38527259699</v>
          </cell>
          <cell r="G3312">
            <v>8.4826015743432404E-2</v>
          </cell>
          <cell r="I3312" t="str">
            <v>WV</v>
          </cell>
          <cell r="J3312" t="str">
            <v>Low</v>
          </cell>
          <cell r="K3312">
            <v>39252</v>
          </cell>
        </row>
        <row r="3313">
          <cell r="C3313">
            <v>2108601.0183868799</v>
          </cell>
          <cell r="D3313">
            <v>0.70463383670774304</v>
          </cell>
          <cell r="E3313">
            <v>227598</v>
          </cell>
          <cell r="F3313">
            <v>160373.25196700901</v>
          </cell>
          <cell r="G3313">
            <v>7.6056708010934004E-2</v>
          </cell>
          <cell r="I3313" t="str">
            <v>WV</v>
          </cell>
          <cell r="J3313" t="str">
            <v>Med</v>
          </cell>
          <cell r="K3313">
            <v>60539.333333333336</v>
          </cell>
        </row>
        <row r="3314">
          <cell r="C3314">
            <v>2056693.5704905801</v>
          </cell>
          <cell r="D3314">
            <v>0.71160985948570299</v>
          </cell>
          <cell r="E3314">
            <v>237267</v>
          </cell>
          <cell r="F3314">
            <v>168841.53653059399</v>
          </cell>
          <cell r="G3314">
            <v>8.2093676449000841E-2</v>
          </cell>
          <cell r="I3314" t="str">
            <v>WV</v>
          </cell>
          <cell r="J3314" t="str">
            <v>Med</v>
          </cell>
          <cell r="K3314">
            <v>60240.333333333336</v>
          </cell>
        </row>
        <row r="3315">
          <cell r="C3315">
            <v>1750954.0692505499</v>
          </cell>
          <cell r="D3315">
            <v>0.68723033686033197</v>
          </cell>
          <cell r="E3315">
            <v>253529</v>
          </cell>
          <cell r="F3315">
            <v>174232.820073863</v>
          </cell>
          <cell r="G3315">
            <v>9.950736180557769E-2</v>
          </cell>
          <cell r="I3315" t="str">
            <v>WV</v>
          </cell>
          <cell r="J3315" t="str">
            <v>Med</v>
          </cell>
          <cell r="K3315">
            <v>40453.666666666664</v>
          </cell>
        </row>
        <row r="3316">
          <cell r="C3316">
            <v>1692112.6345500399</v>
          </cell>
          <cell r="D3316">
            <v>0.74727997015501502</v>
          </cell>
          <cell r="E3316">
            <v>205264</v>
          </cell>
          <cell r="F3316">
            <v>153389.67579389899</v>
          </cell>
          <cell r="G3316">
            <v>9.064980230153992E-2</v>
          </cell>
          <cell r="I3316" t="str">
            <v>WV</v>
          </cell>
          <cell r="J3316" t="str">
            <v>No Data</v>
          </cell>
          <cell r="K3316">
            <v>0</v>
          </cell>
        </row>
        <row r="3317">
          <cell r="C3317">
            <v>1612846.0677407701</v>
          </cell>
          <cell r="D3317">
            <v>0.71032786642292201</v>
          </cell>
          <cell r="E3317">
            <v>201234</v>
          </cell>
          <cell r="F3317">
            <v>142942.11787175</v>
          </cell>
          <cell r="G3317">
            <v>8.8627253853171092E-2</v>
          </cell>
          <cell r="I3317" t="str">
            <v>WV</v>
          </cell>
          <cell r="J3317" t="str">
            <v>Low</v>
          </cell>
          <cell r="K3317">
            <v>29058</v>
          </cell>
        </row>
        <row r="3318">
          <cell r="C3318">
            <v>2570428.0232450301</v>
          </cell>
          <cell r="D3318">
            <v>0.70216245320659598</v>
          </cell>
          <cell r="E3318">
            <v>223961</v>
          </cell>
          <cell r="F3318">
            <v>157257.005182603</v>
          </cell>
          <cell r="G3318">
            <v>6.1179307010539946E-2</v>
          </cell>
          <cell r="I3318" t="str">
            <v>WV</v>
          </cell>
          <cell r="J3318" t="str">
            <v>Med</v>
          </cell>
          <cell r="K3318">
            <v>85244.666666666672</v>
          </cell>
        </row>
        <row r="3319">
          <cell r="C3319">
            <v>3297339.93986054</v>
          </cell>
          <cell r="D3319">
            <v>0.75204576254093203</v>
          </cell>
          <cell r="E3319">
            <v>201075</v>
          </cell>
          <cell r="F3319">
            <v>151217.60170291801</v>
          </cell>
          <cell r="G3319">
            <v>4.5860482831901681E-2</v>
          </cell>
          <cell r="I3319" t="str">
            <v>WV</v>
          </cell>
          <cell r="J3319" t="str">
            <v>High</v>
          </cell>
          <cell r="K3319">
            <v>125297</v>
          </cell>
        </row>
        <row r="3320">
          <cell r="C3320">
            <v>1992426.5129221701</v>
          </cell>
          <cell r="D3320">
            <v>0.75139734345659503</v>
          </cell>
          <cell r="E3320">
            <v>203242</v>
          </cell>
          <cell r="F3320">
            <v>152715.498878805</v>
          </cell>
          <cell r="G3320">
            <v>7.6647995742049488E-2</v>
          </cell>
          <cell r="I3320" t="str">
            <v>WV</v>
          </cell>
          <cell r="J3320" t="str">
            <v>No Data</v>
          </cell>
          <cell r="K3320">
            <v>0</v>
          </cell>
        </row>
        <row r="3321">
          <cell r="C3321">
            <v>2468663.1623543501</v>
          </cell>
          <cell r="D3321">
            <v>0.75881343512047605</v>
          </cell>
          <cell r="E3321">
            <v>231217</v>
          </cell>
          <cell r="F3321">
            <v>175450.56602825099</v>
          </cell>
          <cell r="G3321">
            <v>7.1071083614714287E-2</v>
          </cell>
          <cell r="I3321" t="str">
            <v>WV</v>
          </cell>
          <cell r="J3321" t="str">
            <v>Med</v>
          </cell>
          <cell r="K3321">
            <v>75636.666666666672</v>
          </cell>
        </row>
        <row r="3322">
          <cell r="C3322">
            <v>2008265.7776800201</v>
          </cell>
          <cell r="D3322">
            <v>0.761644147869318</v>
          </cell>
          <cell r="E3322">
            <v>197547</v>
          </cell>
          <cell r="F3322">
            <v>150460.51647914</v>
          </cell>
          <cell r="G3322">
            <v>7.4920619646745332E-2</v>
          </cell>
          <cell r="I3322" t="str">
            <v>WV</v>
          </cell>
          <cell r="J3322" t="str">
            <v>Med</v>
          </cell>
          <cell r="K3322">
            <v>61982.333333333336</v>
          </cell>
        </row>
        <row r="3323">
          <cell r="C3323">
            <v>2030313.72531981</v>
          </cell>
          <cell r="D3323">
            <v>0.67947902283513095</v>
          </cell>
          <cell r="E3323">
            <v>213166</v>
          </cell>
          <cell r="F3323">
            <v>144841.825381673</v>
          </cell>
          <cell r="G3323">
            <v>7.1339627750808751E-2</v>
          </cell>
          <cell r="I3323" t="str">
            <v>WV</v>
          </cell>
          <cell r="J3323" t="str">
            <v>Med</v>
          </cell>
          <cell r="K3323">
            <v>54854.333333333336</v>
          </cell>
        </row>
        <row r="3324">
          <cell r="C3324">
            <v>2377195.0207130699</v>
          </cell>
          <cell r="D3324">
            <v>0.73015063373135602</v>
          </cell>
          <cell r="E3324">
            <v>226016</v>
          </cell>
          <cell r="F3324">
            <v>165025.72563342599</v>
          </cell>
          <cell r="G3324">
            <v>6.9420356426594068E-2</v>
          </cell>
          <cell r="I3324" t="str">
            <v>WV</v>
          </cell>
          <cell r="J3324" t="str">
            <v>No Data</v>
          </cell>
          <cell r="K3324">
            <v>0</v>
          </cell>
        </row>
        <row r="3325">
          <cell r="C3325">
            <v>2112099.0960561698</v>
          </cell>
          <cell r="D3325">
            <v>0.69638073004423096</v>
          </cell>
          <cell r="E3325">
            <v>241298</v>
          </cell>
          <cell r="F3325">
            <v>168035.27739821299</v>
          </cell>
          <cell r="G3325">
            <v>7.9558424939425387E-2</v>
          </cell>
          <cell r="I3325" t="str">
            <v>WV</v>
          </cell>
          <cell r="J3325" t="str">
            <v>Low</v>
          </cell>
          <cell r="K3325">
            <v>39252</v>
          </cell>
        </row>
        <row r="3326">
          <cell r="C3326">
            <v>2113317.2093855198</v>
          </cell>
          <cell r="D3326">
            <v>0.71450451647681601</v>
          </cell>
          <cell r="E3326">
            <v>217223</v>
          </cell>
          <cell r="F3326">
            <v>155206.81458264301</v>
          </cell>
          <cell r="G3326">
            <v>7.3442270707563026E-2</v>
          </cell>
          <cell r="I3326" t="str">
            <v>WV</v>
          </cell>
          <cell r="J3326" t="str">
            <v>Med</v>
          </cell>
          <cell r="K3326">
            <v>60539.333333333336</v>
          </cell>
        </row>
        <row r="3327">
          <cell r="C3327">
            <v>2044677.71139631</v>
          </cell>
          <cell r="D3327">
            <v>0.67481295396383301</v>
          </cell>
          <cell r="E3327">
            <v>242028</v>
          </cell>
          <cell r="F3327">
            <v>163323.629621959</v>
          </cell>
          <cell r="G3327">
            <v>7.9877444113392967E-2</v>
          </cell>
          <cell r="I3327" t="str">
            <v>WV</v>
          </cell>
          <cell r="J3327" t="str">
            <v>Med</v>
          </cell>
          <cell r="K3327">
            <v>60240.333333333336</v>
          </cell>
        </row>
        <row r="3328">
          <cell r="C3328">
            <v>1771958.84444681</v>
          </cell>
          <cell r="D3328">
            <v>0.70801994127595103</v>
          </cell>
          <cell r="E3328">
            <v>231339</v>
          </cell>
          <cell r="F3328">
            <v>163792.62519483699</v>
          </cell>
          <cell r="G3328">
            <v>9.2435908265110764E-2</v>
          </cell>
          <cell r="I3328" t="str">
            <v>WV</v>
          </cell>
          <cell r="J3328" t="str">
            <v>Med</v>
          </cell>
          <cell r="K3328">
            <v>40453.666666666664</v>
          </cell>
        </row>
        <row r="3329">
          <cell r="C3329">
            <v>1710680.8527198101</v>
          </cell>
          <cell r="D3329">
            <v>0.73278805707262296</v>
          </cell>
          <cell r="E3329">
            <v>208179</v>
          </cell>
          <cell r="F3329">
            <v>152551.08493332201</v>
          </cell>
          <cell r="G3329">
            <v>8.9175654646967709E-2</v>
          </cell>
          <cell r="I3329" t="str">
            <v>WV</v>
          </cell>
          <cell r="J3329" t="str">
            <v>No Data</v>
          </cell>
          <cell r="K3329">
            <v>0</v>
          </cell>
        </row>
        <row r="3330">
          <cell r="C3330">
            <v>1625079.62086131</v>
          </cell>
          <cell r="D3330">
            <v>0.74358522711018504</v>
          </cell>
          <cell r="E3330">
            <v>176798</v>
          </cell>
          <cell r="F3330">
            <v>131464.380982626</v>
          </cell>
          <cell r="G3330">
            <v>8.0897193771310993E-2</v>
          </cell>
          <cell r="I3330" t="str">
            <v>WV</v>
          </cell>
          <cell r="J3330" t="str">
            <v>Low</v>
          </cell>
          <cell r="K3330">
            <v>29058</v>
          </cell>
        </row>
        <row r="3331">
          <cell r="C3331">
            <v>2576651.4976906399</v>
          </cell>
          <cell r="D3331">
            <v>0.70267834717373001</v>
          </cell>
          <cell r="E3331">
            <v>213704</v>
          </cell>
          <cell r="F3331">
            <v>150165.173504415</v>
          </cell>
          <cell r="G3331">
            <v>5.8279194388143933E-2</v>
          </cell>
          <cell r="I3331" t="str">
            <v>WV</v>
          </cell>
          <cell r="J3331" t="str">
            <v>Med</v>
          </cell>
          <cell r="K3331">
            <v>85244.666666666672</v>
          </cell>
        </row>
        <row r="3332">
          <cell r="C3332">
            <v>3266148.8327254201</v>
          </cell>
          <cell r="D3332">
            <v>0.72846381092363099</v>
          </cell>
          <cell r="E3332">
            <v>196386</v>
          </cell>
          <cell r="F3332">
            <v>143060.09397204799</v>
          </cell>
          <cell r="G3332">
            <v>4.3800849654690194E-2</v>
          </cell>
          <cell r="I3332" t="str">
            <v>WV</v>
          </cell>
          <cell r="J3332" t="str">
            <v>High</v>
          </cell>
          <cell r="K3332">
            <v>125297</v>
          </cell>
        </row>
        <row r="3333">
          <cell r="C3333">
            <v>2006063.65204253</v>
          </cell>
          <cell r="D3333">
            <v>0.74003074758396903</v>
          </cell>
          <cell r="E3333">
            <v>199252</v>
          </cell>
          <cell r="F3333">
            <v>147452.606517601</v>
          </cell>
          <cell r="G3333">
            <v>7.3503453575597164E-2</v>
          </cell>
          <cell r="I3333" t="str">
            <v>WV</v>
          </cell>
          <cell r="J3333" t="str">
            <v>No Data</v>
          </cell>
          <cell r="K3333">
            <v>0</v>
          </cell>
        </row>
        <row r="3334">
          <cell r="C3334">
            <v>2440940.1831572</v>
          </cell>
          <cell r="D3334">
            <v>0.771844557559901</v>
          </cell>
          <cell r="E3334">
            <v>214605</v>
          </cell>
          <cell r="F3334">
            <v>165641.70127514299</v>
          </cell>
          <cell r="G3334">
            <v>6.785979534365158E-2</v>
          </cell>
          <cell r="I3334" t="str">
            <v>WV</v>
          </cell>
          <cell r="J3334" t="str">
            <v>Med</v>
          </cell>
          <cell r="K3334">
            <v>75636.666666666672</v>
          </cell>
        </row>
        <row r="3335">
          <cell r="C3335">
            <v>2464451.0625201599</v>
          </cell>
          <cell r="D3335">
            <v>0.77972725152076106</v>
          </cell>
          <cell r="E3335">
            <v>184806</v>
          </cell>
          <cell r="F3335">
            <v>144098.274444546</v>
          </cell>
          <cell r="G3335">
            <v>5.8470738833495191E-2</v>
          </cell>
          <cell r="I3335" t="str">
            <v>WV</v>
          </cell>
          <cell r="J3335" t="str">
            <v>Med</v>
          </cell>
          <cell r="K3335">
            <v>61982.333333333336</v>
          </cell>
        </row>
        <row r="3336">
          <cell r="C3336">
            <v>2464511.71667341</v>
          </cell>
          <cell r="D3336">
            <v>0.70296798234119795</v>
          </cell>
          <cell r="E3336">
            <v>195405</v>
          </cell>
          <cell r="F3336">
            <v>137363.458589382</v>
          </cell>
          <cell r="G3336">
            <v>5.5736581676631168E-2</v>
          </cell>
          <cell r="I3336" t="str">
            <v>WV</v>
          </cell>
          <cell r="J3336" t="str">
            <v>Med</v>
          </cell>
          <cell r="K3336">
            <v>54854.333333333336</v>
          </cell>
        </row>
        <row r="3337">
          <cell r="C3337">
            <v>2877133.6114795501</v>
          </cell>
          <cell r="D3337">
            <v>0.74910729419123601</v>
          </cell>
          <cell r="E3337">
            <v>211532</v>
          </cell>
          <cell r="F3337">
            <v>158460.16415486101</v>
          </cell>
          <cell r="G3337">
            <v>5.5075705738036176E-2</v>
          </cell>
          <cell r="I3337" t="str">
            <v>WV</v>
          </cell>
          <cell r="J3337" t="str">
            <v>No Data</v>
          </cell>
          <cell r="K3337">
            <v>0</v>
          </cell>
        </row>
        <row r="3338">
          <cell r="C3338">
            <v>2578258.4409718299</v>
          </cell>
          <cell r="D3338">
            <v>0.70568040892646</v>
          </cell>
          <cell r="E3338">
            <v>230736</v>
          </cell>
          <cell r="F3338">
            <v>162825.87483405601</v>
          </cell>
          <cell r="G3338">
            <v>6.3153434212235765E-2</v>
          </cell>
          <cell r="I3338" t="str">
            <v>WV</v>
          </cell>
          <cell r="J3338" t="str">
            <v>Low</v>
          </cell>
          <cell r="K3338">
            <v>39252</v>
          </cell>
        </row>
        <row r="3339">
          <cell r="C3339">
            <v>2547414.0743174702</v>
          </cell>
          <cell r="D3339">
            <v>0.69358600570121198</v>
          </cell>
          <cell r="E3339">
            <v>210349</v>
          </cell>
          <cell r="F3339">
            <v>145895.122713244</v>
          </cell>
          <cell r="G3339">
            <v>5.7271852340037704E-2</v>
          </cell>
          <cell r="I3339" t="str">
            <v>WV</v>
          </cell>
          <cell r="J3339" t="str">
            <v>Med</v>
          </cell>
          <cell r="K3339">
            <v>60539.333333333336</v>
          </cell>
        </row>
        <row r="3340">
          <cell r="C3340">
            <v>2538838.7583965701</v>
          </cell>
          <cell r="D3340">
            <v>0.71683180701610105</v>
          </cell>
          <cell r="E3340">
            <v>220299</v>
          </cell>
          <cell r="F3340">
            <v>157917.33025383999</v>
          </cell>
          <cell r="G3340">
            <v>6.220061424994721E-2</v>
          </cell>
          <cell r="I3340" t="str">
            <v>WV</v>
          </cell>
          <cell r="J3340" t="str">
            <v>Med</v>
          </cell>
          <cell r="K3340">
            <v>60240.333333333336</v>
          </cell>
        </row>
        <row r="3341">
          <cell r="C3341">
            <v>2138056.2938663699</v>
          </cell>
          <cell r="D3341">
            <v>0.68010916925029596</v>
          </cell>
          <cell r="E3341">
            <v>238303</v>
          </cell>
          <cell r="F3341">
            <v>162072.055359853</v>
          </cell>
          <cell r="G3341">
            <v>7.5803455608163053E-2</v>
          </cell>
          <cell r="I3341" t="str">
            <v>WV</v>
          </cell>
          <cell r="J3341" t="str">
            <v>Med</v>
          </cell>
          <cell r="K3341">
            <v>40453.666666666664</v>
          </cell>
        </row>
        <row r="3342">
          <cell r="C3342">
            <v>2069930.9919356899</v>
          </cell>
          <cell r="D3342">
            <v>0.73336254173629201</v>
          </cell>
          <cell r="E3342">
            <v>195353</v>
          </cell>
          <cell r="F3342">
            <v>143264.57261581</v>
          </cell>
          <cell r="G3342">
            <v>6.9212245806241371E-2</v>
          </cell>
          <cell r="I3342" t="str">
            <v>WV</v>
          </cell>
          <cell r="J3342" t="str">
            <v>No Data</v>
          </cell>
          <cell r="K3342">
            <v>0</v>
          </cell>
        </row>
        <row r="3343">
          <cell r="C3343">
            <v>1973063.63873498</v>
          </cell>
          <cell r="D3343">
            <v>0.73525995716358195</v>
          </cell>
          <cell r="E3343">
            <v>172571</v>
          </cell>
          <cell r="F3343">
            <v>126884.546067677</v>
          </cell>
          <cell r="G3343">
            <v>6.4308390047179823E-2</v>
          </cell>
          <cell r="I3343" t="str">
            <v>WV</v>
          </cell>
          <cell r="J3343" t="str">
            <v>Low</v>
          </cell>
          <cell r="K3343">
            <v>29058</v>
          </cell>
        </row>
        <row r="3344">
          <cell r="C3344">
            <v>3156393.68773368</v>
          </cell>
          <cell r="D3344">
            <v>0.71120085906800801</v>
          </cell>
          <cell r="E3344">
            <v>204348</v>
          </cell>
          <cell r="F3344">
            <v>145332.47314882901</v>
          </cell>
          <cell r="G3344">
            <v>4.6043835949114154E-2</v>
          </cell>
          <cell r="I3344" t="str">
            <v>WV</v>
          </cell>
          <cell r="J3344" t="str">
            <v>Med</v>
          </cell>
          <cell r="K3344">
            <v>85244.666666666672</v>
          </cell>
        </row>
        <row r="3345">
          <cell r="C3345">
            <v>3961925.3257675101</v>
          </cell>
          <cell r="D3345">
            <v>0.74730130604094402</v>
          </cell>
          <cell r="E3345">
            <v>181615</v>
          </cell>
          <cell r="F3345">
            <v>135721.12669662599</v>
          </cell>
          <cell r="G3345">
            <v>3.4256356578435482E-2</v>
          </cell>
          <cell r="I3345" t="str">
            <v>WV</v>
          </cell>
          <cell r="J3345" t="str">
            <v>High</v>
          </cell>
          <cell r="K3345">
            <v>125297</v>
          </cell>
        </row>
        <row r="3346">
          <cell r="C3346">
            <v>2472721.8417688701</v>
          </cell>
          <cell r="D3346">
            <v>0.73399415627005704</v>
          </cell>
          <cell r="E3346">
            <v>195651</v>
          </cell>
          <cell r="F3346">
            <v>143606.69066839301</v>
          </cell>
          <cell r="G3346">
            <v>5.8076362752416774E-2</v>
          </cell>
          <cell r="I3346" t="str">
            <v>WV</v>
          </cell>
          <cell r="J3346" t="str">
            <v>No Data</v>
          </cell>
          <cell r="K3346">
            <v>0</v>
          </cell>
        </row>
        <row r="3347">
          <cell r="C3347">
            <v>2972335.2081539002</v>
          </cell>
          <cell r="D3347">
            <v>0.74810378655405196</v>
          </cell>
          <cell r="E3347">
            <v>211911</v>
          </cell>
          <cell r="F3347">
            <v>158531.421512456</v>
          </cell>
          <cell r="G3347">
            <v>5.3335647028492097E-2</v>
          </cell>
          <cell r="I3347" t="str">
            <v>WV</v>
          </cell>
          <cell r="J3347" t="str">
            <v>Med</v>
          </cell>
          <cell r="K3347">
            <v>75636.666666666672</v>
          </cell>
        </row>
        <row r="3348">
          <cell r="C3348">
            <v>2880874.3729718998</v>
          </cell>
          <cell r="D3348">
            <v>0.75123177120350604</v>
          </cell>
          <cell r="E3348">
            <v>189968</v>
          </cell>
          <cell r="F3348">
            <v>142709.99711198799</v>
          </cell>
          <cell r="G3348">
            <v>4.9537042798839179E-2</v>
          </cell>
          <cell r="I3348" t="str">
            <v>WV</v>
          </cell>
          <cell r="J3348" t="str">
            <v>Med</v>
          </cell>
          <cell r="K3348">
            <v>61982.333333333336</v>
          </cell>
        </row>
        <row r="3349">
          <cell r="C3349">
            <v>2836239.9119273499</v>
          </cell>
          <cell r="D3349">
            <v>0.71082137361833797</v>
          </cell>
          <cell r="E3349">
            <v>187798</v>
          </cell>
          <cell r="F3349">
            <v>133490.83232277699</v>
          </cell>
          <cell r="G3349">
            <v>4.7066128560353027E-2</v>
          </cell>
          <cell r="I3349" t="str">
            <v>WV</v>
          </cell>
          <cell r="J3349" t="str">
            <v>Med</v>
          </cell>
          <cell r="K3349">
            <v>54854.333333333336</v>
          </cell>
        </row>
        <row r="3350">
          <cell r="C3350">
            <v>3330092.1965323901</v>
          </cell>
          <cell r="D3350">
            <v>0.71298324957491599</v>
          </cell>
          <cell r="E3350">
            <v>213225</v>
          </cell>
          <cell r="F3350">
            <v>152025.85339061101</v>
          </cell>
          <cell r="G3350">
            <v>4.5652145471802505E-2</v>
          </cell>
          <cell r="I3350" t="str">
            <v>WV</v>
          </cell>
          <cell r="J3350" t="str">
            <v>No Data</v>
          </cell>
          <cell r="K3350">
            <v>0</v>
          </cell>
        </row>
        <row r="3351">
          <cell r="C3351">
            <v>2945868.5062613301</v>
          </cell>
          <cell r="D3351">
            <v>0.73132568440347701</v>
          </cell>
          <cell r="E3351">
            <v>207518</v>
          </cell>
          <cell r="F3351">
            <v>151763.24337604101</v>
          </cell>
          <cell r="G3351">
            <v>5.1517317576624373E-2</v>
          </cell>
          <cell r="I3351" t="str">
            <v>WV</v>
          </cell>
          <cell r="J3351" t="str">
            <v>Low</v>
          </cell>
          <cell r="K3351">
            <v>39252</v>
          </cell>
        </row>
        <row r="3352">
          <cell r="C3352">
            <v>2986017.9669574001</v>
          </cell>
          <cell r="D3352">
            <v>0.73742626794673505</v>
          </cell>
          <cell r="E3352">
            <v>192127</v>
          </cell>
          <cell r="F3352">
            <v>141679.496581802</v>
          </cell>
          <cell r="G3352">
            <v>4.7447637003392239E-2</v>
          </cell>
          <cell r="I3352" t="str">
            <v>WV</v>
          </cell>
          <cell r="J3352" t="str">
            <v>Med</v>
          </cell>
          <cell r="K3352">
            <v>60539.333333333336</v>
          </cell>
        </row>
        <row r="3353">
          <cell r="C3353">
            <v>2911585.6233618902</v>
          </cell>
          <cell r="D3353">
            <v>0.71725301523533702</v>
          </cell>
          <cell r="E3353">
            <v>211688</v>
          </cell>
          <cell r="F3353">
            <v>151833.856289138</v>
          </cell>
          <cell r="G3353">
            <v>5.2148168019122719E-2</v>
          </cell>
          <cell r="I3353" t="str">
            <v>WV</v>
          </cell>
          <cell r="J3353" t="str">
            <v>Med</v>
          </cell>
          <cell r="K3353">
            <v>60240.333333333336</v>
          </cell>
        </row>
        <row r="3354">
          <cell r="C3354">
            <v>2451580.14681471</v>
          </cell>
          <cell r="D3354">
            <v>0.67564127225914505</v>
          </cell>
          <cell r="E3354">
            <v>229044</v>
          </cell>
          <cell r="F3354">
            <v>154751.57956332399</v>
          </cell>
          <cell r="G3354">
            <v>6.3123198221518351E-2</v>
          </cell>
          <cell r="I3354" t="str">
            <v>WV</v>
          </cell>
          <cell r="J3354" t="str">
            <v>Med</v>
          </cell>
          <cell r="K3354">
            <v>40453.666666666664</v>
          </cell>
        </row>
        <row r="3355">
          <cell r="C3355">
            <v>2371568.4404596598</v>
          </cell>
          <cell r="D3355">
            <v>0.77102847985505396</v>
          </cell>
          <cell r="E3355">
            <v>170208</v>
          </cell>
          <cell r="F3355">
            <v>131235.21549916899</v>
          </cell>
          <cell r="G3355">
            <v>5.5336887293766165E-2</v>
          </cell>
          <cell r="I3355" t="str">
            <v>WV</v>
          </cell>
          <cell r="J3355" t="str">
            <v>No Data</v>
          </cell>
          <cell r="K3355">
            <v>0</v>
          </cell>
        </row>
        <row r="3356">
          <cell r="C3356">
            <v>2289710.6243977598</v>
          </cell>
          <cell r="D3356">
            <v>0.75862551170003001</v>
          </cell>
          <cell r="E3356">
            <v>150725</v>
          </cell>
          <cell r="F3356">
            <v>114343.830250987</v>
          </cell>
          <cell r="G3356">
            <v>4.9938114027427261E-2</v>
          </cell>
          <cell r="I3356" t="str">
            <v>WV</v>
          </cell>
          <cell r="J3356" t="str">
            <v>Low</v>
          </cell>
          <cell r="K3356">
            <v>29058</v>
          </cell>
        </row>
        <row r="3357">
          <cell r="C3357">
            <v>3578008.7150780298</v>
          </cell>
          <cell r="D3357">
            <v>0.727676145306976</v>
          </cell>
          <cell r="E3357">
            <v>185653</v>
          </cell>
          <cell r="F3357">
            <v>135095.25940467601</v>
          </cell>
          <cell r="G3357">
            <v>3.7757107419938138E-2</v>
          </cell>
          <cell r="I3357" t="str">
            <v>WV</v>
          </cell>
          <cell r="J3357" t="str">
            <v>Med</v>
          </cell>
          <cell r="K3357">
            <v>85244.666666666672</v>
          </cell>
        </row>
        <row r="3358">
          <cell r="C3358">
            <v>4565152.7063602004</v>
          </cell>
          <cell r="D3358">
            <v>0.77105011220769304</v>
          </cell>
          <cell r="E3358">
            <v>175312</v>
          </cell>
          <cell r="F3358">
            <v>135174.33727135501</v>
          </cell>
          <cell r="G3358">
            <v>2.9610036282691977E-2</v>
          </cell>
          <cell r="I3358" t="str">
            <v>WV</v>
          </cell>
          <cell r="J3358" t="str">
            <v>High</v>
          </cell>
          <cell r="K3358">
            <v>125297</v>
          </cell>
        </row>
        <row r="3359">
          <cell r="C3359">
            <v>2773266.0309572602</v>
          </cell>
          <cell r="D3359">
            <v>0.73385656538774702</v>
          </cell>
          <cell r="E3359">
            <v>183019</v>
          </cell>
          <cell r="F3359">
            <v>134309.69474070001</v>
          </cell>
          <cell r="G3359">
            <v>4.8430151756605824E-2</v>
          </cell>
          <cell r="I3359" t="str">
            <v>WV</v>
          </cell>
          <cell r="J3359" t="str">
            <v>No Data</v>
          </cell>
          <cell r="K3359">
            <v>0</v>
          </cell>
        </row>
        <row r="3360">
          <cell r="C3360">
            <v>3368649.8703802801</v>
          </cell>
          <cell r="D3360">
            <v>0.78482929216972197</v>
          </cell>
          <cell r="E3360">
            <v>191964</v>
          </cell>
          <cell r="F3360">
            <v>150658.97024206899</v>
          </cell>
          <cell r="G3360">
            <v>4.4723843687875284E-2</v>
          </cell>
          <cell r="I3360" t="str">
            <v>WV</v>
          </cell>
          <cell r="J3360" t="str">
            <v>Med</v>
          </cell>
          <cell r="K3360">
            <v>75636.666666666672</v>
          </cell>
        </row>
        <row r="3361">
          <cell r="C3361">
            <v>2940416.6554099098</v>
          </cell>
          <cell r="D3361">
            <v>0.75960490932085101</v>
          </cell>
          <cell r="E3361">
            <v>175224</v>
          </cell>
          <cell r="F3361">
            <v>133101.010630837</v>
          </cell>
          <cell r="G3361">
            <v>4.5266037514088975E-2</v>
          </cell>
          <cell r="I3361" t="str">
            <v>WV</v>
          </cell>
          <cell r="J3361" t="str">
            <v>Med</v>
          </cell>
          <cell r="K3361">
            <v>61982.333333333336</v>
          </cell>
        </row>
        <row r="3362">
          <cell r="C3362">
            <v>2973092.1640591202</v>
          </cell>
          <cell r="D3362">
            <v>0.70582512838141098</v>
          </cell>
          <cell r="E3362">
            <v>181710</v>
          </cell>
          <cell r="F3362">
            <v>128255.484078186</v>
          </cell>
          <cell r="G3362">
            <v>4.313875150882663E-2</v>
          </cell>
          <cell r="I3362" t="str">
            <v>WV</v>
          </cell>
          <cell r="J3362" t="str">
            <v>Med</v>
          </cell>
          <cell r="K3362">
            <v>54854.333333333336</v>
          </cell>
        </row>
        <row r="3363">
          <cell r="C3363">
            <v>3460163.0876487298</v>
          </cell>
          <cell r="D3363">
            <v>0.76221980040422599</v>
          </cell>
          <cell r="E3363">
            <v>190185</v>
          </cell>
          <cell r="F3363">
            <v>144962.77273987801</v>
          </cell>
          <cell r="G3363">
            <v>4.189478041001355E-2</v>
          </cell>
          <cell r="I3363" t="str">
            <v>WV</v>
          </cell>
          <cell r="J3363" t="str">
            <v>No Data</v>
          </cell>
          <cell r="K3363">
            <v>0</v>
          </cell>
        </row>
        <row r="3364">
          <cell r="C3364">
            <v>3065491.7350645401</v>
          </cell>
          <cell r="D3364">
            <v>0.68257618634432204</v>
          </cell>
          <cell r="E3364">
            <v>221027</v>
          </cell>
          <cell r="F3364">
            <v>150867.766739126</v>
          </cell>
          <cell r="G3364">
            <v>4.9214866578640333E-2</v>
          </cell>
          <cell r="I3364" t="str">
            <v>WV</v>
          </cell>
          <cell r="J3364" t="str">
            <v>Low</v>
          </cell>
          <cell r="K3364">
            <v>39252</v>
          </cell>
        </row>
        <row r="3365">
          <cell r="C3365">
            <v>3057341.1997475801</v>
          </cell>
          <cell r="D3365">
            <v>0.68030727413349901</v>
          </cell>
          <cell r="E3365">
            <v>201156</v>
          </cell>
          <cell r="F3365">
            <v>136847.89003559799</v>
          </cell>
          <cell r="G3365">
            <v>4.4760424530600772E-2</v>
          </cell>
          <cell r="I3365" t="str">
            <v>WV</v>
          </cell>
          <cell r="J3365" t="str">
            <v>Med</v>
          </cell>
          <cell r="K3365">
            <v>60539.333333333336</v>
          </cell>
        </row>
        <row r="3366">
          <cell r="C3366">
            <v>3042458.3975155102</v>
          </cell>
          <cell r="D3366">
            <v>0.70457573931486694</v>
          </cell>
          <cell r="E3366">
            <v>208180</v>
          </cell>
          <cell r="F3366">
            <v>146678.57741056901</v>
          </cell>
          <cell r="G3366">
            <v>4.8210544975848355E-2</v>
          </cell>
          <cell r="I3366" t="str">
            <v>WV</v>
          </cell>
          <cell r="J3366" t="str">
            <v>Med</v>
          </cell>
          <cell r="K3366">
            <v>60240.333333333336</v>
          </cell>
        </row>
        <row r="3367">
          <cell r="C3367">
            <v>2485412.2489760402</v>
          </cell>
          <cell r="D3367">
            <v>0.68471342260891199</v>
          </cell>
          <cell r="E3367">
            <v>211151</v>
          </cell>
          <cell r="F3367">
            <v>144577.92389729401</v>
          </cell>
          <cell r="G3367">
            <v>5.8170600855797006E-2</v>
          </cell>
          <cell r="I3367" t="str">
            <v>WV</v>
          </cell>
          <cell r="J3367" t="str">
            <v>Med</v>
          </cell>
          <cell r="K3367">
            <v>40453.666666666664</v>
          </cell>
        </row>
        <row r="3368">
          <cell r="C3368">
            <v>2443089.51473147</v>
          </cell>
          <cell r="D3368">
            <v>0.767436861607391</v>
          </cell>
          <cell r="E3368">
            <v>163820</v>
          </cell>
          <cell r="F3368">
            <v>125721.506668523</v>
          </cell>
          <cell r="G3368">
            <v>5.1460049216551756E-2</v>
          </cell>
          <cell r="I3368" t="str">
            <v>WV</v>
          </cell>
          <cell r="J3368" t="str">
            <v>No Data</v>
          </cell>
          <cell r="K3368">
            <v>0</v>
          </cell>
        </row>
        <row r="3369">
          <cell r="C3369">
            <v>2327560.8208625</v>
          </cell>
          <cell r="D3369">
            <v>0.73659943573038</v>
          </cell>
          <cell r="E3369">
            <v>159946</v>
          </cell>
          <cell r="F3369">
            <v>117816.13334733099</v>
          </cell>
          <cell r="G3369">
            <v>5.0617853802708834E-2</v>
          </cell>
          <cell r="I3369" t="str">
            <v>WV</v>
          </cell>
          <cell r="J3369" t="str">
            <v>Low</v>
          </cell>
          <cell r="K3369">
            <v>29058</v>
          </cell>
        </row>
        <row r="3370">
          <cell r="C3370">
            <v>3734562.4636971601</v>
          </cell>
          <cell r="D3370">
            <v>0.73999056597468404</v>
          </cell>
          <cell r="E3370">
            <v>184747</v>
          </cell>
          <cell r="F3370">
            <v>136711.03709212501</v>
          </cell>
          <cell r="G3370">
            <v>3.6606975628621072E-2</v>
          </cell>
          <cell r="I3370" t="str">
            <v>WV</v>
          </cell>
          <cell r="J3370" t="str">
            <v>Med</v>
          </cell>
          <cell r="K3370">
            <v>85244.666666666672</v>
          </cell>
        </row>
        <row r="3371">
          <cell r="C3371">
            <v>4686035.2361026602</v>
          </cell>
          <cell r="D3371">
            <v>0.76884045351471697</v>
          </cell>
          <cell r="E3371">
            <v>165829</v>
          </cell>
          <cell r="F3371">
            <v>127496.043565892</v>
          </cell>
          <cell r="G3371">
            <v>2.7207657890325532E-2</v>
          </cell>
          <cell r="I3371" t="str">
            <v>WV</v>
          </cell>
          <cell r="J3371" t="str">
            <v>High</v>
          </cell>
          <cell r="K3371">
            <v>125297</v>
          </cell>
        </row>
        <row r="3372">
          <cell r="C3372">
            <v>2946058.8219550401</v>
          </cell>
          <cell r="D3372">
            <v>0.76199069045924905</v>
          </cell>
          <cell r="E3372">
            <v>172923</v>
          </cell>
          <cell r="F3372">
            <v>131765.71616628501</v>
          </cell>
          <cell r="G3372">
            <v>4.4726098197470372E-2</v>
          </cell>
          <cell r="I3372" t="str">
            <v>WV</v>
          </cell>
          <cell r="J3372" t="str">
            <v>No Data</v>
          </cell>
          <cell r="K3372">
            <v>0</v>
          </cell>
        </row>
        <row r="3373">
          <cell r="C3373">
            <v>3613317.9121939498</v>
          </cell>
          <cell r="D3373">
            <v>0.75862345097197004</v>
          </cell>
          <cell r="E3373">
            <v>201113</v>
          </cell>
          <cell r="F3373">
            <v>152569.03809532599</v>
          </cell>
          <cell r="G3373">
            <v>4.2224083737677116E-2</v>
          </cell>
          <cell r="I3373" t="str">
            <v>WV</v>
          </cell>
          <cell r="J3373" t="str">
            <v>Med</v>
          </cell>
          <cell r="K3373">
            <v>75636.666666666672</v>
          </cell>
        </row>
        <row r="3374">
          <cell r="C3374">
            <v>1738546.1833705001</v>
          </cell>
          <cell r="D3374">
            <v>0.79188754637224701</v>
          </cell>
          <cell r="E3374">
            <v>128154</v>
          </cell>
          <cell r="F3374">
            <v>101483.556617789</v>
          </cell>
          <cell r="G3374">
            <v>5.8372655031253731E-2</v>
          </cell>
          <cell r="I3374" t="str">
            <v>WV</v>
          </cell>
          <cell r="J3374" t="str">
            <v>Med</v>
          </cell>
          <cell r="K3374">
            <v>61982.333333333336</v>
          </cell>
        </row>
        <row r="3375">
          <cell r="C3375">
            <v>1695459.9883751399</v>
          </cell>
          <cell r="D3375">
            <v>0.69946777208317901</v>
          </cell>
          <cell r="E3375">
            <v>134870</v>
          </cell>
          <cell r="F3375">
            <v>94337.218420858306</v>
          </cell>
          <cell r="G3375">
            <v>5.564107620803678E-2</v>
          </cell>
          <cell r="I3375" t="str">
            <v>WV</v>
          </cell>
          <cell r="J3375" t="str">
            <v>Med</v>
          </cell>
          <cell r="K3375">
            <v>54854.333333333336</v>
          </cell>
        </row>
        <row r="3376">
          <cell r="C3376">
            <v>1949718.23962645</v>
          </cell>
          <cell r="D3376">
            <v>0.79116708041299899</v>
          </cell>
          <cell r="E3376">
            <v>134159</v>
          </cell>
          <cell r="F3376">
            <v>106142.184341128</v>
          </cell>
          <cell r="G3376">
            <v>5.4439755542043847E-2</v>
          </cell>
          <cell r="I3376" t="str">
            <v>WV</v>
          </cell>
          <cell r="J3376" t="str">
            <v>No Data</v>
          </cell>
          <cell r="K3376">
            <v>0</v>
          </cell>
        </row>
        <row r="3377">
          <cell r="C3377">
            <v>1779348.0658836099</v>
          </cell>
          <cell r="D3377">
            <v>0.71214710757468902</v>
          </cell>
          <cell r="E3377">
            <v>157051</v>
          </cell>
          <cell r="F3377">
            <v>111843.415391712</v>
          </cell>
          <cell r="G3377">
            <v>6.2856400912303489E-2</v>
          </cell>
          <cell r="I3377" t="str">
            <v>WV</v>
          </cell>
          <cell r="J3377" t="str">
            <v>Low</v>
          </cell>
          <cell r="K3377">
            <v>39252</v>
          </cell>
        </row>
        <row r="3378">
          <cell r="C3378">
            <v>1765740.0574522701</v>
          </cell>
          <cell r="D3378">
            <v>0.70882680135850995</v>
          </cell>
          <cell r="E3378">
            <v>138664</v>
          </cell>
          <cell r="F3378">
            <v>98288.759583576495</v>
          </cell>
          <cell r="G3378">
            <v>5.5664342647011249E-2</v>
          </cell>
          <cell r="I3378" t="str">
            <v>WV</v>
          </cell>
          <cell r="J3378" t="str">
            <v>Med</v>
          </cell>
          <cell r="K3378">
            <v>60539.333333333336</v>
          </cell>
        </row>
        <row r="3379">
          <cell r="C3379">
            <v>1784470.36525752</v>
          </cell>
          <cell r="D3379">
            <v>0.74162725119434902</v>
          </cell>
          <cell r="E3379">
            <v>150149</v>
          </cell>
          <cell r="F3379">
            <v>111354.59013958</v>
          </cell>
          <cell r="G3379">
            <v>6.2402039455281305E-2</v>
          </cell>
          <cell r="I3379" t="str">
            <v>WV</v>
          </cell>
          <cell r="J3379" t="str">
            <v>Med</v>
          </cell>
          <cell r="K3379">
            <v>60240.333333333336</v>
          </cell>
        </row>
        <row r="3380">
          <cell r="C3380">
            <v>1495948.7264185899</v>
          </cell>
          <cell r="D3380">
            <v>0.69693430628091102</v>
          </cell>
          <cell r="E3380">
            <v>160141</v>
          </cell>
          <cell r="F3380">
            <v>111607.75674213099</v>
          </cell>
          <cell r="G3380">
            <v>7.4606672522345124E-2</v>
          </cell>
          <cell r="I3380" t="str">
            <v>WV</v>
          </cell>
          <cell r="J3380" t="str">
            <v>Med</v>
          </cell>
          <cell r="K3380">
            <v>40453.666666666664</v>
          </cell>
        </row>
        <row r="3381">
          <cell r="C3381">
            <v>1446946.78571025</v>
          </cell>
          <cell r="D3381">
            <v>0.76599269771813805</v>
          </cell>
          <cell r="E3381">
            <v>127612</v>
          </cell>
          <cell r="F3381">
            <v>97749.8601412071</v>
          </cell>
          <cell r="G3381">
            <v>6.75559468437711E-2</v>
          </cell>
          <cell r="I3381" t="str">
            <v>WV</v>
          </cell>
          <cell r="J3381" t="str">
            <v>No Data</v>
          </cell>
          <cell r="K3381">
            <v>0</v>
          </cell>
        </row>
        <row r="3382">
          <cell r="C3382">
            <v>1383006.47848175</v>
          </cell>
          <cell r="D3382">
            <v>0.76451517420424997</v>
          </cell>
          <cell r="E3382">
            <v>112466</v>
          </cell>
          <cell r="F3382">
            <v>85981.963582055207</v>
          </cell>
          <cell r="G3382">
            <v>6.2170325967269006E-2</v>
          </cell>
          <cell r="I3382" t="str">
            <v>WV</v>
          </cell>
          <cell r="J3382" t="str">
            <v>Low</v>
          </cell>
          <cell r="K3382">
            <v>29058</v>
          </cell>
        </row>
        <row r="3383">
          <cell r="C3383">
            <v>2155005.67469755</v>
          </cell>
          <cell r="D3383">
            <v>0.71884886704704298</v>
          </cell>
          <cell r="E3383">
            <v>139387</v>
          </cell>
          <cell r="F3383">
            <v>100198.187031086</v>
          </cell>
          <cell r="G3383">
            <v>4.6495556001330984E-2</v>
          </cell>
          <cell r="I3383" t="str">
            <v>WV</v>
          </cell>
          <cell r="J3383" t="str">
            <v>Med</v>
          </cell>
          <cell r="K3383">
            <v>85244.666666666672</v>
          </cell>
        </row>
        <row r="3384">
          <cell r="C3384">
            <v>2715771.1900016801</v>
          </cell>
          <cell r="D3384">
            <v>0.76928013890986602</v>
          </cell>
          <cell r="E3384">
            <v>124572</v>
          </cell>
          <cell r="F3384">
            <v>95830.765464279801</v>
          </cell>
          <cell r="G3384">
            <v>3.5286759730380861E-2</v>
          </cell>
          <cell r="I3384" t="str">
            <v>WV</v>
          </cell>
          <cell r="J3384" t="str">
            <v>High</v>
          </cell>
          <cell r="K3384">
            <v>125297</v>
          </cell>
        </row>
        <row r="3385">
          <cell r="C3385">
            <v>1707702.2654452701</v>
          </cell>
          <cell r="D3385">
            <v>0.78002974915463297</v>
          </cell>
          <cell r="E3385">
            <v>123144</v>
          </cell>
          <cell r="F3385">
            <v>96055.9834298981</v>
          </cell>
          <cell r="G3385">
            <v>5.6248671313235181E-2</v>
          </cell>
          <cell r="I3385" t="str">
            <v>WV</v>
          </cell>
          <cell r="J3385" t="str">
            <v>No Data</v>
          </cell>
          <cell r="K3385">
            <v>0</v>
          </cell>
        </row>
        <row r="3386">
          <cell r="C3386">
            <v>2117711.95061165</v>
          </cell>
          <cell r="D3386">
            <v>0.76253219696372598</v>
          </cell>
          <cell r="E3386">
            <v>147375</v>
          </cell>
          <cell r="F3386">
            <v>112378.182527529</v>
          </cell>
          <cell r="G3386">
            <v>5.3065848967358983E-2</v>
          </cell>
          <cell r="I3386" t="str">
            <v>WV</v>
          </cell>
          <cell r="J3386" t="str">
            <v>Med</v>
          </cell>
          <cell r="K3386">
            <v>75636.666666666672</v>
          </cell>
        </row>
        <row r="3387">
          <cell r="C3387">
            <v>1940830.00807582</v>
          </cell>
          <cell r="D3387">
            <v>0.79930605000090604</v>
          </cell>
          <cell r="E3387">
            <v>141132</v>
          </cell>
          <cell r="F3387">
            <v>112807.661448728</v>
          </cell>
          <cell r="G3387">
            <v>5.8123411622519119E-2</v>
          </cell>
          <cell r="I3387" t="str">
            <v>WV</v>
          </cell>
          <cell r="J3387" t="str">
            <v>Med</v>
          </cell>
          <cell r="K3387">
            <v>61982.333333333336</v>
          </cell>
        </row>
        <row r="3388">
          <cell r="C3388">
            <v>1938434.70078728</v>
          </cell>
          <cell r="D3388">
            <v>0.70185759020437999</v>
          </cell>
          <cell r="E3388">
            <v>156956</v>
          </cell>
          <cell r="F3388">
            <v>110160.75992811901</v>
          </cell>
          <cell r="G3388">
            <v>5.682975025332454E-2</v>
          </cell>
          <cell r="I3388" t="str">
            <v>WV</v>
          </cell>
          <cell r="J3388" t="str">
            <v>Med</v>
          </cell>
          <cell r="K3388">
            <v>54854.333333333336</v>
          </cell>
        </row>
        <row r="3389">
          <cell r="C3389">
            <v>2207225.4360603699</v>
          </cell>
          <cell r="D3389">
            <v>0.77424820670714001</v>
          </cell>
          <cell r="E3389">
            <v>154020</v>
          </cell>
          <cell r="F3389">
            <v>119249.70879703401</v>
          </cell>
          <cell r="G3389">
            <v>5.4026972890399587E-2</v>
          </cell>
          <cell r="I3389" t="str">
            <v>WV</v>
          </cell>
          <cell r="J3389" t="str">
            <v>No Data</v>
          </cell>
          <cell r="K3389">
            <v>0</v>
          </cell>
        </row>
        <row r="3390">
          <cell r="C3390">
            <v>2002616.2193776399</v>
          </cell>
          <cell r="D3390">
            <v>0.69744113960519605</v>
          </cell>
          <cell r="E3390">
            <v>179946</v>
          </cell>
          <cell r="F3390">
            <v>125501.743307397</v>
          </cell>
          <cell r="G3390">
            <v>6.266889386644417E-2</v>
          </cell>
          <cell r="I3390" t="str">
            <v>WV</v>
          </cell>
          <cell r="J3390" t="str">
            <v>Low</v>
          </cell>
          <cell r="K3390">
            <v>39252</v>
          </cell>
        </row>
        <row r="3391">
          <cell r="C3391">
            <v>2031600.5029062401</v>
          </cell>
          <cell r="D3391">
            <v>0.70181609661872202</v>
          </cell>
          <cell r="E3391">
            <v>165885</v>
          </cell>
          <cell r="F3391">
            <v>116420.763187597</v>
          </cell>
          <cell r="G3391">
            <v>5.7304948990244423E-2</v>
          </cell>
          <cell r="I3391" t="str">
            <v>WV</v>
          </cell>
          <cell r="J3391" t="str">
            <v>Med</v>
          </cell>
          <cell r="K3391">
            <v>60539.333333333336</v>
          </cell>
        </row>
        <row r="3392">
          <cell r="C3392">
            <v>1988763.99698353</v>
          </cell>
          <cell r="D3392">
            <v>0.700980950937237</v>
          </cell>
          <cell r="E3392">
            <v>180029</v>
          </cell>
          <cell r="F3392">
            <v>126196.89961628</v>
          </cell>
          <cell r="G3392">
            <v>6.3454939755390752E-2</v>
          </cell>
          <cell r="I3392" t="str">
            <v>WV</v>
          </cell>
          <cell r="J3392" t="str">
            <v>Med</v>
          </cell>
          <cell r="K3392">
            <v>60240.333333333336</v>
          </cell>
        </row>
        <row r="3393">
          <cell r="C3393">
            <v>1701211.9186936801</v>
          </cell>
          <cell r="D3393">
            <v>0.68620859538424195</v>
          </cell>
          <cell r="E3393">
            <v>186821</v>
          </cell>
          <cell r="F3393">
            <v>128198.175998279</v>
          </cell>
          <cell r="G3393">
            <v>7.5356970280762728E-2</v>
          </cell>
          <cell r="I3393" t="str">
            <v>WV</v>
          </cell>
          <cell r="J3393" t="str">
            <v>Med</v>
          </cell>
          <cell r="K3393">
            <v>40453.666666666664</v>
          </cell>
        </row>
        <row r="3394">
          <cell r="C3394">
            <v>1636679.5188795701</v>
          </cell>
          <cell r="D3394">
            <v>0.76043431964410602</v>
          </cell>
          <cell r="E3394">
            <v>148754</v>
          </cell>
          <cell r="F3394">
            <v>113117.646784339</v>
          </cell>
          <cell r="G3394">
            <v>6.9114109072359209E-2</v>
          </cell>
          <cell r="I3394" t="str">
            <v>WV</v>
          </cell>
          <cell r="J3394" t="str">
            <v>No Data</v>
          </cell>
          <cell r="K3394">
            <v>0</v>
          </cell>
        </row>
        <row r="3395">
          <cell r="C3395">
            <v>1546513.5649724801</v>
          </cell>
          <cell r="D3395">
            <v>0.75618851018786704</v>
          </cell>
          <cell r="E3395">
            <v>128296</v>
          </cell>
          <cell r="F3395">
            <v>97015.961103062597</v>
          </cell>
          <cell r="G3395">
            <v>6.2732046650227066E-2</v>
          </cell>
          <cell r="I3395" t="str">
            <v>WV</v>
          </cell>
          <cell r="J3395" t="str">
            <v>Low</v>
          </cell>
          <cell r="K3395">
            <v>29058</v>
          </cell>
        </row>
        <row r="3396">
          <cell r="C3396">
            <v>2450981.1121992902</v>
          </cell>
          <cell r="D3396">
            <v>0.73125855571100196</v>
          </cell>
          <cell r="E3396">
            <v>155102</v>
          </cell>
          <cell r="F3396">
            <v>113419.664507888</v>
          </cell>
          <cell r="G3396">
            <v>4.6275209524611713E-2</v>
          </cell>
          <cell r="I3396" t="str">
            <v>WV</v>
          </cell>
          <cell r="J3396" t="str">
            <v>Med</v>
          </cell>
          <cell r="K3396">
            <v>85244.666666666672</v>
          </cell>
        </row>
        <row r="3397">
          <cell r="C3397">
            <v>3130327.9445682801</v>
          </cell>
          <cell r="D3397">
            <v>0.75726895925278603</v>
          </cell>
          <cell r="E3397">
            <v>143472</v>
          </cell>
          <cell r="F3397">
            <v>108646.892121916</v>
          </cell>
          <cell r="G3397">
            <v>3.4707830631751924E-2</v>
          </cell>
          <cell r="I3397" t="str">
            <v>WV</v>
          </cell>
          <cell r="J3397" t="str">
            <v>High</v>
          </cell>
          <cell r="K3397">
            <v>125297</v>
          </cell>
        </row>
        <row r="3398">
          <cell r="C3398">
            <v>1932062.8961941099</v>
          </cell>
          <cell r="D3398">
            <v>0.74807174582454306</v>
          </cell>
          <cell r="E3398">
            <v>149694</v>
          </cell>
          <cell r="F3398">
            <v>111981.851919459</v>
          </cell>
          <cell r="G3398">
            <v>5.7959734199154379E-2</v>
          </cell>
          <cell r="I3398" t="str">
            <v>WV</v>
          </cell>
          <cell r="J3398" t="str">
            <v>No Data</v>
          </cell>
          <cell r="K3398">
            <v>0</v>
          </cell>
        </row>
        <row r="3399">
          <cell r="C3399">
            <v>2368325.1047785701</v>
          </cell>
          <cell r="D3399">
            <v>0.77316400033527899</v>
          </cell>
          <cell r="E3399">
            <v>165713</v>
          </cell>
          <cell r="F3399">
            <v>128123.32598756001</v>
          </cell>
          <cell r="G3399">
            <v>5.4098707026769909E-2</v>
          </cell>
          <cell r="I3399" t="str">
            <v>WV</v>
          </cell>
          <cell r="J3399" t="str">
            <v>Med</v>
          </cell>
          <cell r="K3399">
            <v>75636.666666666672</v>
          </cell>
        </row>
        <row r="3400">
          <cell r="C3400">
            <v>2206015.5464743902</v>
          </cell>
          <cell r="D3400">
            <v>0.77619211668769905</v>
          </cell>
          <cell r="E3400">
            <v>178977</v>
          </cell>
          <cell r="F3400">
            <v>138920.53646841401</v>
          </cell>
          <cell r="G3400">
            <v>6.2973507458020425E-2</v>
          </cell>
          <cell r="I3400" t="str">
            <v>WV</v>
          </cell>
          <cell r="J3400" t="str">
            <v>Med</v>
          </cell>
          <cell r="K3400">
            <v>61982.333333333336</v>
          </cell>
        </row>
        <row r="3401">
          <cell r="C3401">
            <v>2151687.33710683</v>
          </cell>
          <cell r="D3401">
            <v>0.71619388778540405</v>
          </cell>
          <cell r="E3401">
            <v>177562</v>
          </cell>
          <cell r="F3401">
            <v>127168.81910295199</v>
          </cell>
          <cell r="G3401">
            <v>5.9101904310104765E-2</v>
          </cell>
          <cell r="I3401" t="str">
            <v>WV</v>
          </cell>
          <cell r="J3401" t="str">
            <v>Med</v>
          </cell>
          <cell r="K3401">
            <v>54854.333333333336</v>
          </cell>
        </row>
        <row r="3402">
          <cell r="C3402">
            <v>2493616.9720254098</v>
          </cell>
          <cell r="D3402">
            <v>0.78696135586138005</v>
          </cell>
          <cell r="E3402">
            <v>175958</v>
          </cell>
          <cell r="F3402">
            <v>138472.14625465701</v>
          </cell>
          <cell r="G3402">
            <v>5.5530639953169994E-2</v>
          </cell>
          <cell r="I3402" t="str">
            <v>WV</v>
          </cell>
          <cell r="J3402" t="str">
            <v>No Data</v>
          </cell>
          <cell r="K3402">
            <v>0</v>
          </cell>
        </row>
        <row r="3403">
          <cell r="C3403">
            <v>2298598.3833776698</v>
          </cell>
          <cell r="D3403">
            <v>0.70954174571162998</v>
          </cell>
          <cell r="E3403">
            <v>218962</v>
          </cell>
          <cell r="F3403">
            <v>155362.67972451</v>
          </cell>
          <cell r="G3403">
            <v>6.7590180541331757E-2</v>
          </cell>
          <cell r="I3403" t="str">
            <v>WV</v>
          </cell>
          <cell r="J3403" t="str">
            <v>Low</v>
          </cell>
          <cell r="K3403">
            <v>39252</v>
          </cell>
        </row>
        <row r="3404">
          <cell r="C3404">
            <v>2220294.2065809602</v>
          </cell>
          <cell r="D3404">
            <v>0.75784417407944005</v>
          </cell>
          <cell r="E3404">
            <v>175021</v>
          </cell>
          <cell r="F3404">
            <v>132638.645191558</v>
          </cell>
          <cell r="G3404">
            <v>5.9739220504389269E-2</v>
          </cell>
          <cell r="I3404" t="str">
            <v>WV</v>
          </cell>
          <cell r="J3404" t="str">
            <v>Med</v>
          </cell>
          <cell r="K3404">
            <v>60539.333333333336</v>
          </cell>
        </row>
        <row r="3405">
          <cell r="C3405">
            <v>2224009.25008184</v>
          </cell>
          <cell r="D3405">
            <v>0.72788288208594298</v>
          </cell>
          <cell r="E3405">
            <v>203765</v>
          </cell>
          <cell r="F3405">
            <v>148317.055468242</v>
          </cell>
          <cell r="G3405">
            <v>6.6689046128195817E-2</v>
          </cell>
          <cell r="I3405" t="str">
            <v>WV</v>
          </cell>
          <cell r="J3405" t="str">
            <v>Med</v>
          </cell>
          <cell r="K3405">
            <v>60240.333333333336</v>
          </cell>
        </row>
        <row r="3406">
          <cell r="C3406">
            <v>1914346.5284616901</v>
          </cell>
          <cell r="D3406">
            <v>0.72556350208952303</v>
          </cell>
          <cell r="E3406">
            <v>204549</v>
          </cell>
          <cell r="F3406">
            <v>148413.28878890999</v>
          </cell>
          <cell r="G3406">
            <v>7.752686704437485E-2</v>
          </cell>
          <cell r="I3406" t="str">
            <v>WV</v>
          </cell>
          <cell r="J3406" t="str">
            <v>Med</v>
          </cell>
          <cell r="K3406">
            <v>40453.666666666664</v>
          </cell>
        </row>
        <row r="3407">
          <cell r="C3407">
            <v>1791438.59879662</v>
          </cell>
          <cell r="D3407">
            <v>0.78112642227040996</v>
          </cell>
          <cell r="E3407">
            <v>156219</v>
          </cell>
          <cell r="F3407">
            <v>122026.78856066101</v>
          </cell>
          <cell r="G3407">
            <v>6.8116645830134062E-2</v>
          </cell>
          <cell r="I3407" t="str">
            <v>WV</v>
          </cell>
          <cell r="J3407" t="str">
            <v>No Data</v>
          </cell>
          <cell r="K3407">
            <v>0</v>
          </cell>
        </row>
        <row r="3408">
          <cell r="C3408">
            <v>1726131.2610346801</v>
          </cell>
          <cell r="D3408">
            <v>0.76872291027577899</v>
          </cell>
          <cell r="E3408">
            <v>146541</v>
          </cell>
          <cell r="F3408">
            <v>112649.42399472299</v>
          </cell>
          <cell r="G3408">
            <v>6.5261215376632778E-2</v>
          </cell>
          <cell r="I3408" t="str">
            <v>WV</v>
          </cell>
          <cell r="J3408" t="str">
            <v>Low</v>
          </cell>
          <cell r="K3408">
            <v>29058</v>
          </cell>
        </row>
        <row r="3409">
          <cell r="C3409">
            <v>2699047.7338747</v>
          </cell>
          <cell r="D3409">
            <v>0.72926534590393499</v>
          </cell>
          <cell r="E3409">
            <v>178392</v>
          </cell>
          <cell r="F3409">
            <v>130095.103586495</v>
          </cell>
          <cell r="G3409">
            <v>4.8200371543534362E-2</v>
          </cell>
          <cell r="I3409" t="str">
            <v>WV</v>
          </cell>
          <cell r="J3409" t="str">
            <v>Med</v>
          </cell>
          <cell r="K3409">
            <v>85244.666666666672</v>
          </cell>
        </row>
        <row r="3410">
          <cell r="C3410">
            <v>3498195.80027575</v>
          </cell>
          <cell r="D3410">
            <v>0.77802791946452798</v>
          </cell>
          <cell r="E3410">
            <v>163952</v>
          </cell>
          <cell r="F3410">
            <v>127559.23345204801</v>
          </cell>
          <cell r="G3410">
            <v>3.64642920907952E-2</v>
          </cell>
          <cell r="I3410" t="str">
            <v>WV</v>
          </cell>
          <cell r="J3410" t="str">
            <v>High</v>
          </cell>
          <cell r="K3410">
            <v>125297</v>
          </cell>
        </row>
        <row r="3411">
          <cell r="C3411">
            <v>2175724.0555570698</v>
          </cell>
          <cell r="D3411">
            <v>0.79516680855385602</v>
          </cell>
          <cell r="E3411">
            <v>161943</v>
          </cell>
          <cell r="F3411">
            <v>128771.69847763699</v>
          </cell>
          <cell r="G3411">
            <v>5.9185675751820668E-2</v>
          </cell>
          <cell r="I3411" t="str">
            <v>WV</v>
          </cell>
          <cell r="J3411" t="str">
            <v>No Data</v>
          </cell>
          <cell r="K3411">
            <v>0</v>
          </cell>
        </row>
        <row r="3412">
          <cell r="C3412">
            <v>2619734.6319385702</v>
          </cell>
          <cell r="D3412">
            <v>0.77362440399435195</v>
          </cell>
          <cell r="E3412">
            <v>193351</v>
          </cell>
          <cell r="F3412">
            <v>149581.05213671201</v>
          </cell>
          <cell r="G3412">
            <v>5.7097787811441016E-2</v>
          </cell>
          <cell r="I3412" t="str">
            <v>WV</v>
          </cell>
          <cell r="J3412" t="str">
            <v>Med</v>
          </cell>
          <cell r="K3412">
            <v>75636.666666666672</v>
          </cell>
        </row>
        <row r="3413">
          <cell r="C3413">
            <v>2271526.4208889902</v>
          </cell>
          <cell r="D3413">
            <v>0.77841806003504799</v>
          </cell>
          <cell r="E3413">
            <v>200824</v>
          </cell>
          <cell r="F3413">
            <v>156325.02848847801</v>
          </cell>
          <cell r="G3413">
            <v>6.8819374959019089E-2</v>
          </cell>
          <cell r="I3413" t="str">
            <v>WV</v>
          </cell>
          <cell r="J3413" t="str">
            <v>Med</v>
          </cell>
          <cell r="K3413">
            <v>61982.333333333336</v>
          </cell>
        </row>
        <row r="3414">
          <cell r="C3414">
            <v>2293951.2795004998</v>
          </cell>
          <cell r="D3414">
            <v>0.71769845099117102</v>
          </cell>
          <cell r="E3414">
            <v>211300</v>
          </cell>
          <cell r="F3414">
            <v>151649.68269443401</v>
          </cell>
          <cell r="G3414">
            <v>6.6108501976317138E-2</v>
          </cell>
          <cell r="I3414" t="str">
            <v>WV</v>
          </cell>
          <cell r="J3414" t="str">
            <v>Med</v>
          </cell>
          <cell r="K3414">
            <v>54854.333333333336</v>
          </cell>
        </row>
        <row r="3415">
          <cell r="C3415">
            <v>2698023.8005822599</v>
          </cell>
          <cell r="D3415">
            <v>0.75070390851985103</v>
          </cell>
          <cell r="E3415">
            <v>222074</v>
          </cell>
          <cell r="F3415">
            <v>166711.81978063699</v>
          </cell>
          <cell r="G3415">
            <v>6.1790344378970616E-2</v>
          </cell>
          <cell r="I3415" t="str">
            <v>WV</v>
          </cell>
          <cell r="J3415" t="str">
            <v>No Data</v>
          </cell>
          <cell r="K3415">
            <v>0</v>
          </cell>
        </row>
        <row r="3416">
          <cell r="C3416">
            <v>2374272.9700761801</v>
          </cell>
          <cell r="D3416">
            <v>0.72643767971797202</v>
          </cell>
          <cell r="E3416">
            <v>246029</v>
          </cell>
          <cell r="F3416">
            <v>178724.735903333</v>
          </cell>
          <cell r="G3416">
            <v>7.5275563574982912E-2</v>
          </cell>
          <cell r="I3416" t="str">
            <v>WV</v>
          </cell>
          <cell r="J3416" t="str">
            <v>Low</v>
          </cell>
          <cell r="K3416">
            <v>39252</v>
          </cell>
        </row>
        <row r="3417">
          <cell r="C3417">
            <v>2383581.92602449</v>
          </cell>
          <cell r="D3417">
            <v>0.74475744800785004</v>
          </cell>
          <cell r="E3417">
            <v>211619</v>
          </cell>
          <cell r="F3417">
            <v>157604.82638997299</v>
          </cell>
          <cell r="G3417">
            <v>6.6121002458194383E-2</v>
          </cell>
          <cell r="I3417" t="str">
            <v>WV</v>
          </cell>
          <cell r="J3417" t="str">
            <v>Med</v>
          </cell>
          <cell r="K3417">
            <v>60539.333333333336</v>
          </cell>
        </row>
        <row r="3418">
          <cell r="C3418">
            <v>2356308.0778253502</v>
          </cell>
          <cell r="D3418">
            <v>0.73656621766107799</v>
          </cell>
          <cell r="E3418">
            <v>233158</v>
          </cell>
          <cell r="F3418">
            <v>171736.306177422</v>
          </cell>
          <cell r="G3418">
            <v>7.2883638516368532E-2</v>
          </cell>
          <cell r="I3418" t="str">
            <v>WV</v>
          </cell>
          <cell r="J3418" t="str">
            <v>Med</v>
          </cell>
          <cell r="K3418">
            <v>60240.333333333336</v>
          </cell>
        </row>
        <row r="3419">
          <cell r="C3419">
            <v>1950430.82055788</v>
          </cell>
          <cell r="D3419">
            <v>0.72066987833085705</v>
          </cell>
          <cell r="E3419">
            <v>233151</v>
          </cell>
          <cell r="F3419">
            <v>168024.90280271799</v>
          </cell>
          <cell r="G3419">
            <v>8.6147583924385471E-2</v>
          </cell>
          <cell r="I3419" t="str">
            <v>WV</v>
          </cell>
          <cell r="J3419" t="str">
            <v>Med</v>
          </cell>
          <cell r="K3419">
            <v>40453.666666666664</v>
          </cell>
        </row>
        <row r="3420">
          <cell r="C3420">
            <v>1903696.22759081</v>
          </cell>
          <cell r="D3420">
            <v>0.78026464180968103</v>
          </cell>
          <cell r="E3420">
            <v>189959</v>
          </cell>
          <cell r="F3420">
            <v>148218.29109352501</v>
          </cell>
          <cell r="G3420">
            <v>7.7858162949190748E-2</v>
          </cell>
          <cell r="I3420" t="str">
            <v>WV</v>
          </cell>
          <cell r="J3420" t="str">
            <v>No Data</v>
          </cell>
          <cell r="K3420">
            <v>0</v>
          </cell>
        </row>
        <row r="3421">
          <cell r="C3421">
            <v>1813625.5656441699</v>
          </cell>
          <cell r="D3421">
            <v>0.75283053588238502</v>
          </cell>
          <cell r="E3421">
            <v>180586</v>
          </cell>
          <cell r="F3421">
            <v>135950.65515285599</v>
          </cell>
          <cell r="G3421">
            <v>7.4960707286108735E-2</v>
          </cell>
          <cell r="I3421" t="str">
            <v>WV</v>
          </cell>
          <cell r="J3421" t="str">
            <v>Low</v>
          </cell>
          <cell r="K3421">
            <v>29058</v>
          </cell>
        </row>
        <row r="3422">
          <cell r="C3422">
            <v>2914399.9875678602</v>
          </cell>
          <cell r="D3422">
            <v>0.743636696022415</v>
          </cell>
          <cell r="E3422">
            <v>216738</v>
          </cell>
          <cell r="F3422">
            <v>161174.33022250599</v>
          </cell>
          <cell r="G3422">
            <v>5.5302748733886048E-2</v>
          </cell>
          <cell r="I3422" t="str">
            <v>WV</v>
          </cell>
          <cell r="J3422" t="str">
            <v>Med</v>
          </cell>
          <cell r="K3422">
            <v>85244.666666666672</v>
          </cell>
        </row>
        <row r="3423">
          <cell r="C3423">
            <v>3719941.3369151098</v>
          </cell>
          <cell r="D3423">
            <v>0.77278859295879998</v>
          </cell>
          <cell r="E3423">
            <v>194551</v>
          </cell>
          <cell r="F3423">
            <v>150346.79354872799</v>
          </cell>
          <cell r="G3423">
            <v>4.0416442070403263E-2</v>
          </cell>
          <cell r="I3423" t="str">
            <v>WV</v>
          </cell>
          <cell r="J3423" t="str">
            <v>High</v>
          </cell>
          <cell r="K3423">
            <v>125297</v>
          </cell>
        </row>
        <row r="3424">
          <cell r="C3424">
            <v>2269540.4359136298</v>
          </cell>
          <cell r="D3424">
            <v>0.77856499628150999</v>
          </cell>
          <cell r="E3424">
            <v>196244</v>
          </cell>
          <cell r="F3424">
            <v>152788.70913026901</v>
          </cell>
          <cell r="G3424">
            <v>6.7321430679318187E-2</v>
          </cell>
          <cell r="I3424" t="str">
            <v>WV</v>
          </cell>
          <cell r="J3424" t="str">
            <v>No Data</v>
          </cell>
          <cell r="K3424">
            <v>0</v>
          </cell>
        </row>
        <row r="3425">
          <cell r="C3425">
            <v>2794594.3298149402</v>
          </cell>
          <cell r="D3425">
            <v>0.77803122962054205</v>
          </cell>
          <cell r="E3425">
            <v>225084</v>
          </cell>
          <cell r="F3425">
            <v>175122.38128790999</v>
          </cell>
          <cell r="G3425">
            <v>6.2664687829487836E-2</v>
          </cell>
          <cell r="I3425" t="str">
            <v>WV</v>
          </cell>
          <cell r="J3425" t="str">
            <v>Med</v>
          </cell>
          <cell r="K3425">
            <v>75636.666666666672</v>
          </cell>
        </row>
        <row r="3426">
          <cell r="C3426">
            <v>2419894.7411684501</v>
          </cell>
          <cell r="D3426">
            <v>0.79463886823705898</v>
          </cell>
          <cell r="E3426">
            <v>220045</v>
          </cell>
          <cell r="F3426">
            <v>174856.30976122399</v>
          </cell>
          <cell r="G3426">
            <v>7.225781633658758E-2</v>
          </cell>
          <cell r="I3426" t="str">
            <v>WV</v>
          </cell>
          <cell r="J3426" t="str">
            <v>Med</v>
          </cell>
          <cell r="K3426">
            <v>61982.333333333336</v>
          </cell>
        </row>
        <row r="3427">
          <cell r="C3427">
            <v>2401812.30424438</v>
          </cell>
          <cell r="D3427">
            <v>0.722174842904866</v>
          </cell>
          <cell r="E3427">
            <v>225981</v>
          </cell>
          <cell r="F3427">
            <v>163197.79317448399</v>
          </cell>
          <cell r="G3427">
            <v>6.7947771308394009E-2</v>
          </cell>
          <cell r="I3427" t="str">
            <v>WV</v>
          </cell>
          <cell r="J3427" t="str">
            <v>Med</v>
          </cell>
          <cell r="K3427">
            <v>54854.333333333336</v>
          </cell>
        </row>
        <row r="3428">
          <cell r="C3428">
            <v>2759648.2110850899</v>
          </cell>
          <cell r="D3428">
            <v>0.76118278808465201</v>
          </cell>
          <cell r="E3428">
            <v>240371</v>
          </cell>
          <cell r="F3428">
            <v>182966.267954696</v>
          </cell>
          <cell r="G3428">
            <v>6.6300576725594279E-2</v>
          </cell>
          <cell r="I3428" t="str">
            <v>WV</v>
          </cell>
          <cell r="J3428" t="str">
            <v>No Data</v>
          </cell>
          <cell r="K3428">
            <v>0</v>
          </cell>
        </row>
        <row r="3429">
          <cell r="C3429">
            <v>2520369.0117933</v>
          </cell>
          <cell r="D3429">
            <v>0.713992032044515</v>
          </cell>
          <cell r="E3429">
            <v>274744</v>
          </cell>
          <cell r="F3429">
            <v>196165.02685203799</v>
          </cell>
          <cell r="G3429">
            <v>7.7831867450418341E-2</v>
          </cell>
          <cell r="I3429" t="str">
            <v>WV</v>
          </cell>
          <cell r="J3429" t="str">
            <v>Low</v>
          </cell>
          <cell r="K3429">
            <v>39252</v>
          </cell>
        </row>
        <row r="3430">
          <cell r="C3430">
            <v>2486327.4113255399</v>
          </cell>
          <cell r="D3430">
            <v>0.73299920815813002</v>
          </cell>
          <cell r="E3430">
            <v>234603</v>
          </cell>
          <cell r="F3430">
            <v>171963.81323152201</v>
          </cell>
          <cell r="G3430">
            <v>6.9163784483171772E-2</v>
          </cell>
          <cell r="I3430" t="str">
            <v>WV</v>
          </cell>
          <cell r="J3430" t="str">
            <v>Med</v>
          </cell>
          <cell r="K3430">
            <v>60539.333333333336</v>
          </cell>
        </row>
        <row r="3431">
          <cell r="C3431">
            <v>2442195.4616111801</v>
          </cell>
          <cell r="D3431">
            <v>0.72237892445097796</v>
          </cell>
          <cell r="E3431">
            <v>257587</v>
          </cell>
          <cell r="F3431">
            <v>186075.42001255401</v>
          </cell>
          <cell r="G3431">
            <v>7.6191862173797989E-2</v>
          </cell>
          <cell r="I3431" t="str">
            <v>WV</v>
          </cell>
          <cell r="J3431" t="str">
            <v>Med</v>
          </cell>
          <cell r="K3431">
            <v>60240.333333333336</v>
          </cell>
        </row>
        <row r="3432">
          <cell r="C3432">
            <v>2059570.47997975</v>
          </cell>
          <cell r="D3432">
            <v>0.692419021806299</v>
          </cell>
          <cell r="E3432">
            <v>272805</v>
          </cell>
          <cell r="F3432">
            <v>188895.371243867</v>
          </cell>
          <cell r="G3432">
            <v>9.1715905369610981E-2</v>
          </cell>
          <cell r="I3432" t="str">
            <v>WV</v>
          </cell>
          <cell r="J3432" t="str">
            <v>Med</v>
          </cell>
          <cell r="K3432">
            <v>40453.666666666664</v>
          </cell>
        </row>
        <row r="3433">
          <cell r="C3433">
            <v>2004672.29265322</v>
          </cell>
          <cell r="D3433">
            <v>0.75785553332306599</v>
          </cell>
          <cell r="E3433">
            <v>217892</v>
          </cell>
          <cell r="F3433">
            <v>165130.65786682899</v>
          </cell>
          <cell r="G3433">
            <v>8.2372893800151031E-2</v>
          </cell>
          <cell r="I3433" t="str">
            <v>WV</v>
          </cell>
          <cell r="J3433" t="str">
            <v>No Data</v>
          </cell>
          <cell r="K3433">
            <v>0</v>
          </cell>
        </row>
        <row r="3434">
          <cell r="C3434">
            <v>1930272.63197101</v>
          </cell>
          <cell r="D3434">
            <v>0.77977231530019098</v>
          </cell>
          <cell r="E3434">
            <v>182707</v>
          </cell>
          <cell r="F3434">
            <v>142469.86041155201</v>
          </cell>
          <cell r="G3434">
            <v>7.3808154377692961E-2</v>
          </cell>
          <cell r="I3434" t="str">
            <v>WV</v>
          </cell>
          <cell r="J3434" t="str">
            <v>Low</v>
          </cell>
          <cell r="K3434">
            <v>29058</v>
          </cell>
        </row>
        <row r="3435">
          <cell r="C3435">
            <v>3080681.2497149101</v>
          </cell>
          <cell r="D3435">
            <v>0.70293467332133597</v>
          </cell>
          <cell r="E3435">
            <v>243922</v>
          </cell>
          <cell r="F3435">
            <v>171461.23138588699</v>
          </cell>
          <cell r="G3435">
            <v>5.5656920495021751E-2</v>
          </cell>
          <cell r="I3435" t="str">
            <v>WV</v>
          </cell>
          <cell r="J3435" t="str">
            <v>Med</v>
          </cell>
          <cell r="K3435">
            <v>85244.666666666672</v>
          </cell>
        </row>
        <row r="3436">
          <cell r="C3436">
            <v>3831772.7538086702</v>
          </cell>
          <cell r="D3436">
            <v>0.78167946778620101</v>
          </cell>
          <cell r="E3436">
            <v>211965</v>
          </cell>
          <cell r="F3436">
            <v>165688.688389302</v>
          </cell>
          <cell r="G3436">
            <v>4.3240739739748991E-2</v>
          </cell>
          <cell r="I3436" t="str">
            <v>WV</v>
          </cell>
          <cell r="J3436" t="str">
            <v>High</v>
          </cell>
          <cell r="K3436">
            <v>125297</v>
          </cell>
        </row>
        <row r="3437">
          <cell r="C3437">
            <v>2353693.90526128</v>
          </cell>
          <cell r="D3437">
            <v>0.76942313714497701</v>
          </cell>
          <cell r="E3437">
            <v>214054</v>
          </cell>
          <cell r="F3437">
            <v>164698.100198431</v>
          </cell>
          <cell r="G3437">
            <v>6.9974307122211851E-2</v>
          </cell>
          <cell r="I3437" t="str">
            <v>WV</v>
          </cell>
          <cell r="J3437" t="str">
            <v>No Data</v>
          </cell>
          <cell r="K3437">
            <v>0</v>
          </cell>
        </row>
        <row r="3438">
          <cell r="C3438">
            <v>2876852.9807204702</v>
          </cell>
          <cell r="D3438">
            <v>0.80174717063196699</v>
          </cell>
          <cell r="E3438">
            <v>236293</v>
          </cell>
          <cell r="F3438">
            <v>189447.244190139</v>
          </cell>
          <cell r="G3438">
            <v>6.5852250865699236E-2</v>
          </cell>
          <cell r="I3438" t="str">
            <v>WV</v>
          </cell>
          <cell r="J3438" t="str">
            <v>Med</v>
          </cell>
          <cell r="K3438">
            <v>75636.666666666672</v>
          </cell>
        </row>
        <row r="3439">
          <cell r="C3439">
            <v>2346784.7405316099</v>
          </cell>
          <cell r="D3439">
            <v>0.79923009078118701</v>
          </cell>
          <cell r="E3439">
            <v>226690</v>
          </cell>
          <cell r="F3439">
            <v>181177.469279187</v>
          </cell>
          <cell r="G3439">
            <v>7.7202423447727653E-2</v>
          </cell>
          <cell r="I3439" t="str">
            <v>WV</v>
          </cell>
          <cell r="J3439" t="str">
            <v>Med</v>
          </cell>
          <cell r="K3439">
            <v>61982.333333333336</v>
          </cell>
        </row>
        <row r="3440">
          <cell r="C3440">
            <v>2313134.36453779</v>
          </cell>
          <cell r="D3440">
            <v>0.72435196510974398</v>
          </cell>
          <cell r="E3440">
            <v>239691</v>
          </cell>
          <cell r="F3440">
            <v>173620.64686912001</v>
          </cell>
          <cell r="G3440">
            <v>7.505860858360161E-2</v>
          </cell>
          <cell r="I3440" t="str">
            <v>WV</v>
          </cell>
          <cell r="J3440" t="str">
            <v>Med</v>
          </cell>
          <cell r="K3440">
            <v>54854.333333333336</v>
          </cell>
        </row>
        <row r="3441">
          <cell r="C3441">
            <v>2688017.8044696501</v>
          </cell>
          <cell r="D3441">
            <v>0.77832893766241495</v>
          </cell>
          <cell r="E3441">
            <v>249730</v>
          </cell>
          <cell r="F3441">
            <v>194372.08560243499</v>
          </cell>
          <cell r="G3441">
            <v>7.2310564788384976E-2</v>
          </cell>
          <cell r="I3441" t="str">
            <v>WV</v>
          </cell>
          <cell r="J3441" t="str">
            <v>No Data</v>
          </cell>
          <cell r="K3441">
            <v>0</v>
          </cell>
        </row>
        <row r="3442">
          <cell r="C3442">
            <v>2373403.23894809</v>
          </cell>
          <cell r="D3442">
            <v>0.71635437455728801</v>
          </cell>
          <cell r="E3442">
            <v>283969</v>
          </cell>
          <cell r="F3442">
            <v>203422.43538865901</v>
          </cell>
          <cell r="G3442">
            <v>8.5709175773610785E-2</v>
          </cell>
          <cell r="I3442" t="str">
            <v>WV</v>
          </cell>
          <cell r="J3442" t="str">
            <v>Low</v>
          </cell>
          <cell r="K3442">
            <v>39252</v>
          </cell>
        </row>
        <row r="3443">
          <cell r="C3443">
            <v>2330534.9015714298</v>
          </cell>
          <cell r="D3443">
            <v>0.74320034756993603</v>
          </cell>
          <cell r="E3443">
            <v>233308</v>
          </cell>
          <cell r="F3443">
            <v>173394.58669084701</v>
          </cell>
          <cell r="G3443">
            <v>7.4401197156039475E-2</v>
          </cell>
          <cell r="I3443" t="str">
            <v>WV</v>
          </cell>
          <cell r="J3443" t="str">
            <v>Med</v>
          </cell>
          <cell r="K3443">
            <v>60539.333333333336</v>
          </cell>
        </row>
        <row r="3444">
          <cell r="C3444">
            <v>2318745.03531683</v>
          </cell>
          <cell r="D3444">
            <v>0.74989109251013097</v>
          </cell>
          <cell r="E3444">
            <v>257402</v>
          </cell>
          <cell r="F3444">
            <v>193023.466994293</v>
          </cell>
          <cell r="G3444">
            <v>8.3244800120043622E-2</v>
          </cell>
          <cell r="I3444" t="str">
            <v>WV</v>
          </cell>
          <cell r="J3444" t="str">
            <v>Med</v>
          </cell>
          <cell r="K3444">
            <v>60240.333333333336</v>
          </cell>
        </row>
        <row r="3445">
          <cell r="C3445">
            <v>1990178.75448208</v>
          </cell>
          <cell r="D3445">
            <v>0.720602971958895</v>
          </cell>
          <cell r="E3445">
            <v>267992</v>
          </cell>
          <cell r="F3445">
            <v>193115.83166120801</v>
          </cell>
          <cell r="G3445">
            <v>9.7034415238476446E-2</v>
          </cell>
          <cell r="I3445" t="str">
            <v>WV</v>
          </cell>
          <cell r="J3445" t="str">
            <v>Med</v>
          </cell>
          <cell r="K3445">
            <v>40453.666666666664</v>
          </cell>
        </row>
        <row r="3446">
          <cell r="C3446">
            <v>1927277.18418645</v>
          </cell>
          <cell r="D3446">
            <v>0.80129524055437296</v>
          </cell>
          <cell r="E3446">
            <v>207734</v>
          </cell>
          <cell r="F3446">
            <v>166456.26550132199</v>
          </cell>
          <cell r="G3446">
            <v>8.636861727369391E-2</v>
          </cell>
          <cell r="I3446" t="str">
            <v>WV</v>
          </cell>
          <cell r="J3446" t="str">
            <v>No Data</v>
          </cell>
          <cell r="K3446">
            <v>0</v>
          </cell>
        </row>
        <row r="3447">
          <cell r="C3447">
            <v>1869930.48533671</v>
          </cell>
          <cell r="D3447">
            <v>0.77468334395696903</v>
          </cell>
          <cell r="E3447">
            <v>200978</v>
          </cell>
          <cell r="F3447">
            <v>155694.30910178399</v>
          </cell>
          <cell r="G3447">
            <v>8.3262083977281548E-2</v>
          </cell>
          <cell r="I3447" t="str">
            <v>WV</v>
          </cell>
          <cell r="J3447" t="str">
            <v>Low</v>
          </cell>
          <cell r="K3447">
            <v>29058</v>
          </cell>
        </row>
        <row r="3448">
          <cell r="C3448">
            <v>2884666.5082362201</v>
          </cell>
          <cell r="D3448">
            <v>0.742930454561467</v>
          </cell>
          <cell r="E3448">
            <v>237244</v>
          </cell>
          <cell r="F3448">
            <v>176255.79276198099</v>
          </cell>
          <cell r="G3448">
            <v>6.1100925274634114E-2</v>
          </cell>
          <cell r="I3448" t="str">
            <v>WV</v>
          </cell>
          <cell r="J3448" t="str">
            <v>Med</v>
          </cell>
          <cell r="K3448">
            <v>85244.666666666672</v>
          </cell>
        </row>
        <row r="3449">
          <cell r="C3449">
            <v>3711760.1212308099</v>
          </cell>
          <cell r="D3449">
            <v>0.80648769108903495</v>
          </cell>
          <cell r="E3449">
            <v>218744</v>
          </cell>
          <cell r="F3449">
            <v>176414.34349957999</v>
          </cell>
          <cell r="G3449">
            <v>4.7528487223759887E-2</v>
          </cell>
          <cell r="I3449" t="str">
            <v>WV</v>
          </cell>
          <cell r="J3449" t="str">
            <v>High</v>
          </cell>
          <cell r="K3449">
            <v>125297</v>
          </cell>
        </row>
        <row r="3450">
          <cell r="C3450">
            <v>2277144.2788508199</v>
          </cell>
          <cell r="D3450">
            <v>0.78443028073374899</v>
          </cell>
          <cell r="E3450">
            <v>218947</v>
          </cell>
          <cell r="F3450">
            <v>171748.656675812</v>
          </cell>
          <cell r="G3450">
            <v>7.5422825980304781E-2</v>
          </cell>
          <cell r="I3450" t="str">
            <v>WV</v>
          </cell>
          <cell r="J3450" t="str">
            <v>No Data</v>
          </cell>
          <cell r="K3450">
            <v>0</v>
          </cell>
        </row>
        <row r="3451">
          <cell r="C3451">
            <v>2783021.0362093602</v>
          </cell>
          <cell r="D3451">
            <v>0.74611362017118599</v>
          </cell>
          <cell r="E3451">
            <v>264513</v>
          </cell>
          <cell r="F3451">
            <v>197356.75201234099</v>
          </cell>
          <cell r="G3451">
            <v>7.0914574286205401E-2</v>
          </cell>
          <cell r="I3451" t="str">
            <v>WV</v>
          </cell>
          <cell r="J3451" t="str">
            <v>Med</v>
          </cell>
          <cell r="K3451">
            <v>75636.666666666672</v>
          </cell>
        </row>
        <row r="3452">
          <cell r="C3452">
            <v>2211842.8878647699</v>
          </cell>
          <cell r="D3452">
            <v>0.77082481966159699</v>
          </cell>
          <cell r="E3452">
            <v>241289</v>
          </cell>
          <cell r="F3452">
            <v>185991.54991132699</v>
          </cell>
          <cell r="G3452">
            <v>8.4088951765862646E-2</v>
          </cell>
          <cell r="I3452" t="str">
            <v>WV</v>
          </cell>
          <cell r="J3452" t="str">
            <v>Med</v>
          </cell>
          <cell r="K3452">
            <v>61982.333333333336</v>
          </cell>
        </row>
        <row r="3453">
          <cell r="C3453">
            <v>2194612.7706085499</v>
          </cell>
          <cell r="D3453">
            <v>0.73440395319257001</v>
          </cell>
          <cell r="E3453">
            <v>241797</v>
          </cell>
          <cell r="F3453">
            <v>177576.67267010399</v>
          </cell>
          <cell r="G3453">
            <v>8.0914808775519556E-2</v>
          </cell>
          <cell r="I3453" t="str">
            <v>WV</v>
          </cell>
          <cell r="J3453" t="str">
            <v>Med</v>
          </cell>
          <cell r="K3453">
            <v>54854.333333333336</v>
          </cell>
        </row>
        <row r="3454">
          <cell r="C3454">
            <v>2535570.2394529199</v>
          </cell>
          <cell r="D3454">
            <v>0.76057003882478502</v>
          </cell>
          <cell r="E3454">
            <v>259289</v>
          </cell>
          <cell r="F3454">
            <v>197207.44479683999</v>
          </cell>
          <cell r="G3454">
            <v>7.7776368301037443E-2</v>
          </cell>
          <cell r="I3454" t="str">
            <v>WV</v>
          </cell>
          <cell r="J3454" t="str">
            <v>No Data</v>
          </cell>
          <cell r="K3454">
            <v>0</v>
          </cell>
        </row>
        <row r="3455">
          <cell r="C3455">
            <v>2210017.0477441</v>
          </cell>
          <cell r="D3455">
            <v>0.72655402557831605</v>
          </cell>
          <cell r="E3455">
            <v>272595</v>
          </cell>
          <cell r="F3455">
            <v>198054.99460252101</v>
          </cell>
          <cell r="G3455">
            <v>8.9616953319291315E-2</v>
          </cell>
          <cell r="I3455" t="str">
            <v>WV</v>
          </cell>
          <cell r="J3455" t="str">
            <v>Low</v>
          </cell>
          <cell r="K3455">
            <v>39252</v>
          </cell>
        </row>
        <row r="3456">
          <cell r="C3456">
            <v>2251512.0818771101</v>
          </cell>
          <cell r="D3456">
            <v>0.72065344985344904</v>
          </cell>
          <cell r="E3456">
            <v>256725</v>
          </cell>
          <cell r="F3456">
            <v>185009.756913627</v>
          </cell>
          <cell r="G3456">
            <v>8.217133649995001E-2</v>
          </cell>
          <cell r="I3456" t="str">
            <v>WV</v>
          </cell>
          <cell r="J3456" t="str">
            <v>Med</v>
          </cell>
          <cell r="K3456">
            <v>60539.333333333336</v>
          </cell>
        </row>
        <row r="3457">
          <cell r="C3457">
            <v>2247222.8539730199</v>
          </cell>
          <cell r="D3457">
            <v>0.75215137528495002</v>
          </cell>
          <cell r="E3457">
            <v>268581</v>
          </cell>
          <cell r="F3457">
            <v>202013.568525407</v>
          </cell>
          <cell r="G3457">
            <v>8.9894764183380077E-2</v>
          </cell>
          <cell r="I3457" t="str">
            <v>WV</v>
          </cell>
          <cell r="J3457" t="str">
            <v>Med</v>
          </cell>
          <cell r="K3457">
            <v>60240.333333333336</v>
          </cell>
        </row>
        <row r="3458">
          <cell r="C3458">
            <v>1898906.1020976901</v>
          </cell>
          <cell r="D3458">
            <v>0.701915931895159</v>
          </cell>
          <cell r="E3458">
            <v>288990</v>
          </cell>
          <cell r="F3458">
            <v>202846.685158382</v>
          </cell>
          <cell r="G3458">
            <v>0.10682291501106907</v>
          </cell>
          <cell r="I3458" t="str">
            <v>WV</v>
          </cell>
          <cell r="J3458" t="str">
            <v>Med</v>
          </cell>
          <cell r="K3458">
            <v>40453.666666666664</v>
          </cell>
        </row>
        <row r="3459">
          <cell r="C3459">
            <v>1819338.6259061899</v>
          </cell>
          <cell r="D3459">
            <v>0.76045426198549904</v>
          </cell>
          <cell r="E3459">
            <v>234902</v>
          </cell>
          <cell r="F3459">
            <v>178632.22704891799</v>
          </cell>
          <cell r="G3459">
            <v>9.8185255073086522E-2</v>
          </cell>
          <cell r="I3459" t="str">
            <v>WV</v>
          </cell>
          <cell r="J3459" t="str">
            <v>No Data</v>
          </cell>
          <cell r="K3459">
            <v>0</v>
          </cell>
        </row>
        <row r="3460">
          <cell r="C3460">
            <v>1754078.9363160201</v>
          </cell>
          <cell r="D3460">
            <v>0.76355983716915699</v>
          </cell>
          <cell r="E3460">
            <v>210349</v>
          </cell>
          <cell r="F3460">
            <v>160614.04818869499</v>
          </cell>
          <cell r="G3460">
            <v>9.1566032100027617E-2</v>
          </cell>
          <cell r="I3460" t="str">
            <v>WV</v>
          </cell>
          <cell r="J3460" t="str">
            <v>Low</v>
          </cell>
          <cell r="K3460">
            <v>29058</v>
          </cell>
        </row>
        <row r="3461">
          <cell r="C3461">
            <v>2724723.2432907601</v>
          </cell>
          <cell r="D3461">
            <v>0.71273074545684201</v>
          </cell>
          <cell r="E3461">
            <v>251058</v>
          </cell>
          <cell r="F3461">
            <v>178936.75549290399</v>
          </cell>
          <cell r="G3461">
            <v>6.5671534139663562E-2</v>
          </cell>
          <cell r="I3461" t="str">
            <v>WV</v>
          </cell>
          <cell r="J3461" t="str">
            <v>Med</v>
          </cell>
          <cell r="K3461">
            <v>85244.666666666672</v>
          </cell>
        </row>
        <row r="3462">
          <cell r="C3462">
            <v>3466776.8668489899</v>
          </cell>
          <cell r="D3462">
            <v>0.79048432322440798</v>
          </cell>
          <cell r="E3462">
            <v>220354</v>
          </cell>
          <cell r="F3462">
            <v>174186.382559791</v>
          </cell>
          <cell r="G3462">
            <v>5.0244474695053519E-2</v>
          </cell>
          <cell r="I3462" t="str">
            <v>WV</v>
          </cell>
          <cell r="J3462" t="str">
            <v>High</v>
          </cell>
          <cell r="K3462">
            <v>125297</v>
          </cell>
        </row>
        <row r="3463">
          <cell r="C3463">
            <v>2179381.8935886901</v>
          </cell>
          <cell r="D3463">
            <v>0.80743295485393796</v>
          </cell>
          <cell r="E3463">
            <v>217779</v>
          </cell>
          <cell r="F3463">
            <v>175841.941475136</v>
          </cell>
          <cell r="G3463">
            <v>8.0684317875828998E-2</v>
          </cell>
          <cell r="I3463" t="str">
            <v>WV</v>
          </cell>
          <cell r="J3463" t="str">
            <v>No Data</v>
          </cell>
          <cell r="K3463">
            <v>0</v>
          </cell>
        </row>
        <row r="3464">
          <cell r="C3464">
            <v>2612440.8460612502</v>
          </cell>
          <cell r="D3464">
            <v>0.83887581542066803</v>
          </cell>
          <cell r="E3464">
            <v>240824</v>
          </cell>
          <cell r="F3464">
            <v>202021.42937286699</v>
          </cell>
          <cell r="G3464">
            <v>7.7330527761978837E-2</v>
          </cell>
          <cell r="I3464" t="str">
            <v>WV</v>
          </cell>
          <cell r="J3464" t="str">
            <v>Med</v>
          </cell>
          <cell r="K3464">
            <v>75636.666666666672</v>
          </cell>
        </row>
        <row r="3465">
          <cell r="C3465">
            <v>2088841.00132577</v>
          </cell>
          <cell r="D3465">
            <v>0.75875544625367297</v>
          </cell>
          <cell r="E3465">
            <v>219455</v>
          </cell>
          <cell r="F3465">
            <v>166512.6764576</v>
          </cell>
          <cell r="G3465">
            <v>7.9715342791488578E-2</v>
          </cell>
          <cell r="I3465" t="str">
            <v>WV</v>
          </cell>
          <cell r="J3465" t="str">
            <v>Med</v>
          </cell>
          <cell r="K3465">
            <v>61982.333333333336</v>
          </cell>
        </row>
        <row r="3466">
          <cell r="C3466">
            <v>2103903.7134252898</v>
          </cell>
          <cell r="D3466">
            <v>0.736581191176645</v>
          </cell>
          <cell r="E3466">
            <v>212635</v>
          </cell>
          <cell r="F3466">
            <v>156622.94158584601</v>
          </cell>
          <cell r="G3466">
            <v>7.4443968412819542E-2</v>
          </cell>
          <cell r="I3466" t="str">
            <v>WV</v>
          </cell>
          <cell r="J3466" t="str">
            <v>Med</v>
          </cell>
          <cell r="K3466">
            <v>54854.333333333336</v>
          </cell>
        </row>
        <row r="3467">
          <cell r="C3467">
            <v>2397592.88686303</v>
          </cell>
          <cell r="D3467">
            <v>0.76036514636186503</v>
          </cell>
          <cell r="E3467">
            <v>229754</v>
          </cell>
          <cell r="F3467">
            <v>174696.933837224</v>
          </cell>
          <cell r="G3467">
            <v>7.2863468520627167E-2</v>
          </cell>
          <cell r="I3467" t="str">
            <v>WV</v>
          </cell>
          <cell r="J3467" t="str">
            <v>No Data</v>
          </cell>
          <cell r="K3467">
            <v>0</v>
          </cell>
        </row>
        <row r="3468">
          <cell r="C3468">
            <v>2125390.6851505102</v>
          </cell>
          <cell r="D3468">
            <v>0.74467650334341695</v>
          </cell>
          <cell r="E3468">
            <v>236058</v>
          </cell>
          <cell r="F3468">
            <v>175786.84602624</v>
          </cell>
          <cell r="G3468">
            <v>8.2708015638918456E-2</v>
          </cell>
          <cell r="I3468" t="str">
            <v>WV</v>
          </cell>
          <cell r="J3468" t="str">
            <v>Low</v>
          </cell>
          <cell r="K3468">
            <v>39252</v>
          </cell>
        </row>
        <row r="3469">
          <cell r="C3469">
            <v>2177961.2417801302</v>
          </cell>
          <cell r="D3469">
            <v>0.75988915796180401</v>
          </cell>
          <cell r="E3469">
            <v>217691</v>
          </cell>
          <cell r="F3469">
            <v>165421.03068586299</v>
          </cell>
          <cell r="G3469">
            <v>7.5952238043803813E-2</v>
          </cell>
          <cell r="I3469" t="str">
            <v>WV</v>
          </cell>
          <cell r="J3469" t="str">
            <v>Med</v>
          </cell>
          <cell r="K3469">
            <v>60539.333333333336</v>
          </cell>
        </row>
        <row r="3470">
          <cell r="C3470">
            <v>2141739.1933197202</v>
          </cell>
          <cell r="D3470">
            <v>0.74351916640331905</v>
          </cell>
          <cell r="E3470">
            <v>241858</v>
          </cell>
          <cell r="F3470">
            <v>179826.05854797401</v>
          </cell>
          <cell r="G3470">
            <v>8.3962631448716019E-2</v>
          </cell>
          <cell r="I3470" t="str">
            <v>WV</v>
          </cell>
          <cell r="J3470" t="str">
            <v>Med</v>
          </cell>
          <cell r="K3470">
            <v>60240.333333333336</v>
          </cell>
        </row>
        <row r="3471">
          <cell r="C3471">
            <v>1756430.25214839</v>
          </cell>
          <cell r="D3471">
            <v>0.72726100191176501</v>
          </cell>
          <cell r="E3471">
            <v>234914</v>
          </cell>
          <cell r="F3471">
            <v>170843.79100309999</v>
          </cell>
          <cell r="G3471">
            <v>9.7267620387505402E-2</v>
          </cell>
          <cell r="I3471" t="str">
            <v>WV</v>
          </cell>
          <cell r="J3471" t="str">
            <v>Med</v>
          </cell>
          <cell r="K3471">
            <v>40453.666666666664</v>
          </cell>
        </row>
        <row r="3472">
          <cell r="C3472">
            <v>1715161.4536341201</v>
          </cell>
          <cell r="D3472">
            <v>0.74844084846277703</v>
          </cell>
          <cell r="E3472">
            <v>216529</v>
          </cell>
          <cell r="F3472">
            <v>162059.14847679701</v>
          </cell>
          <cell r="G3472">
            <v>9.4486235178281724E-2</v>
          </cell>
          <cell r="I3472" t="str">
            <v>WV</v>
          </cell>
          <cell r="J3472" t="str">
            <v>No Data</v>
          </cell>
          <cell r="K3472">
            <v>0</v>
          </cell>
        </row>
        <row r="3473">
          <cell r="C3473">
            <v>1658436.18839178</v>
          </cell>
          <cell r="D3473">
            <v>0.75563535320003505</v>
          </cell>
          <cell r="E3473">
            <v>190446</v>
          </cell>
          <cell r="F3473">
            <v>143907.73047553399</v>
          </cell>
          <cell r="G3473">
            <v>8.6773148995913013E-2</v>
          </cell>
          <cell r="I3473" t="str">
            <v>WV</v>
          </cell>
          <cell r="J3473" t="str">
            <v>Low</v>
          </cell>
          <cell r="K3473">
            <v>29058</v>
          </cell>
        </row>
        <row r="3474">
          <cell r="C3474">
            <v>2613843.1162149301</v>
          </cell>
          <cell r="D3474">
            <v>0.74875130011666902</v>
          </cell>
          <cell r="E3474">
            <v>215345</v>
          </cell>
          <cell r="F3474">
            <v>161239.84872362399</v>
          </cell>
          <cell r="G3474">
            <v>6.1686888445360549E-2</v>
          </cell>
          <cell r="I3474" t="str">
            <v>WV</v>
          </cell>
          <cell r="J3474" t="str">
            <v>Med</v>
          </cell>
          <cell r="K3474">
            <v>85244.666666666672</v>
          </cell>
        </row>
        <row r="3475">
          <cell r="C3475">
            <v>3372701.3201604802</v>
          </cell>
          <cell r="D3475">
            <v>0.79760728441510698</v>
          </cell>
          <cell r="E3475">
            <v>195339</v>
          </cell>
          <cell r="F3475">
            <v>155803.809330363</v>
          </cell>
          <cell r="G3475">
            <v>4.6195554998907977E-2</v>
          </cell>
          <cell r="I3475" t="str">
            <v>WV</v>
          </cell>
          <cell r="J3475" t="str">
            <v>High</v>
          </cell>
          <cell r="K3475">
            <v>125297</v>
          </cell>
        </row>
        <row r="3476">
          <cell r="C3476">
            <v>2036107.2419720001</v>
          </cell>
          <cell r="D3476">
            <v>0.76071903143988195</v>
          </cell>
          <cell r="E3476">
            <v>209017</v>
          </cell>
          <cell r="F3476">
            <v>159003.20979446999</v>
          </cell>
          <cell r="G3476">
            <v>7.8091765756146042E-2</v>
          </cell>
          <cell r="I3476" t="str">
            <v>WV</v>
          </cell>
          <cell r="J3476" t="str">
            <v>No Data</v>
          </cell>
          <cell r="K3476">
            <v>0</v>
          </cell>
        </row>
        <row r="3477">
          <cell r="C3477">
            <v>2492692.7635438601</v>
          </cell>
          <cell r="D3477">
            <v>0.76248274774782498</v>
          </cell>
          <cell r="E3477">
            <v>235750</v>
          </cell>
          <cell r="F3477">
            <v>179755.30778154999</v>
          </cell>
          <cell r="G3477">
            <v>7.211290152180326E-2</v>
          </cell>
          <cell r="I3477" t="str">
            <v>WV</v>
          </cell>
          <cell r="J3477" t="str">
            <v>Med</v>
          </cell>
          <cell r="K3477">
            <v>75636.666666666672</v>
          </cell>
        </row>
        <row r="3478">
          <cell r="C3478">
            <v>2122671.7413403499</v>
          </cell>
          <cell r="D3478">
            <v>0.78150250870042204</v>
          </cell>
          <cell r="E3478">
            <v>205498</v>
          </cell>
          <cell r="F3478">
            <v>160597.20253291901</v>
          </cell>
          <cell r="G3478">
            <v>7.5658048960274352E-2</v>
          </cell>
          <cell r="I3478" t="str">
            <v>WV</v>
          </cell>
          <cell r="J3478" t="str">
            <v>Med</v>
          </cell>
          <cell r="K3478">
            <v>61982.333333333336</v>
          </cell>
        </row>
        <row r="3479">
          <cell r="C3479">
            <v>2086386.23561672</v>
          </cell>
          <cell r="D3479">
            <v>0.72003395591431096</v>
          </cell>
          <cell r="E3479">
            <v>207752</v>
          </cell>
          <cell r="F3479">
            <v>149588.49440910999</v>
          </cell>
          <cell r="G3479">
            <v>7.1697412423204931E-2</v>
          </cell>
          <cell r="I3479" t="str">
            <v>WV</v>
          </cell>
          <cell r="J3479" t="str">
            <v>Med</v>
          </cell>
          <cell r="K3479">
            <v>54854.333333333336</v>
          </cell>
        </row>
        <row r="3480">
          <cell r="C3480">
            <v>2405285.71052279</v>
          </cell>
          <cell r="D3480">
            <v>0.82093558030478697</v>
          </cell>
          <cell r="E3480">
            <v>201694</v>
          </cell>
          <cell r="F3480">
            <v>165577.78093399401</v>
          </cell>
          <cell r="G3480">
            <v>6.8839132170292403E-2</v>
          </cell>
          <cell r="I3480" t="str">
            <v>WV</v>
          </cell>
          <cell r="J3480" t="str">
            <v>No Data</v>
          </cell>
          <cell r="K3480">
            <v>0</v>
          </cell>
        </row>
        <row r="3481">
          <cell r="C3481">
            <v>2163424.5074556</v>
          </cell>
          <cell r="D3481">
            <v>0.71773558070592702</v>
          </cell>
          <cell r="E3481">
            <v>251353</v>
          </cell>
          <cell r="F3481">
            <v>180404.99141717699</v>
          </cell>
          <cell r="G3481">
            <v>8.3388623358691169E-2</v>
          </cell>
          <cell r="I3481" t="str">
            <v>WV</v>
          </cell>
          <cell r="J3481" t="str">
            <v>Low</v>
          </cell>
          <cell r="K3481">
            <v>39252</v>
          </cell>
        </row>
        <row r="3482">
          <cell r="C3482">
            <v>2186865.5732706902</v>
          </cell>
          <cell r="D3482">
            <v>0.72050670660096405</v>
          </cell>
          <cell r="E3482">
            <v>222677</v>
          </cell>
          <cell r="F3482">
            <v>160440.27190578301</v>
          </cell>
          <cell r="G3482">
            <v>7.3365402001288771E-2</v>
          </cell>
          <cell r="I3482" t="str">
            <v>WV</v>
          </cell>
          <cell r="J3482" t="str">
            <v>Med</v>
          </cell>
          <cell r="K3482">
            <v>60539.333333333336</v>
          </cell>
        </row>
        <row r="3483">
          <cell r="C3483">
            <v>2128519.0420460999</v>
          </cell>
          <cell r="D3483">
            <v>0.73655959717399899</v>
          </cell>
          <cell r="E3483">
            <v>226192</v>
          </cell>
          <cell r="F3483">
            <v>166603.88840398099</v>
          </cell>
          <cell r="G3483">
            <v>7.8272209509494567E-2</v>
          </cell>
          <cell r="I3483" t="str">
            <v>WV</v>
          </cell>
          <cell r="J3483" t="str">
            <v>Med</v>
          </cell>
          <cell r="K3483">
            <v>60240.333333333336</v>
          </cell>
        </row>
        <row r="3484">
          <cell r="C3484">
            <v>1776039.9146073901</v>
          </cell>
          <cell r="D3484">
            <v>0.73204135117450098</v>
          </cell>
          <cell r="E3484">
            <v>227749</v>
          </cell>
          <cell r="F3484">
            <v>166721.68568864101</v>
          </cell>
          <cell r="G3484">
            <v>9.3872713286117987E-2</v>
          </cell>
          <cell r="I3484" t="str">
            <v>WV</v>
          </cell>
          <cell r="J3484" t="str">
            <v>Med</v>
          </cell>
          <cell r="K3484">
            <v>40453.666666666664</v>
          </cell>
        </row>
        <row r="3485">
          <cell r="C3485">
            <v>1737319.94705807</v>
          </cell>
          <cell r="D3485">
            <v>0.79147617683010696</v>
          </cell>
          <cell r="E3485">
            <v>186104</v>
          </cell>
          <cell r="F3485">
            <v>147296.88241279</v>
          </cell>
          <cell r="G3485">
            <v>8.478397008116928E-2</v>
          </cell>
          <cell r="I3485" t="str">
            <v>WV</v>
          </cell>
          <cell r="J3485" t="str">
            <v>No Data</v>
          </cell>
          <cell r="K3485">
            <v>0</v>
          </cell>
        </row>
        <row r="3486">
          <cell r="C3486">
            <v>1656177.4132355601</v>
          </cell>
          <cell r="D3486">
            <v>0.76248846109991797</v>
          </cell>
          <cell r="E3486">
            <v>177772</v>
          </cell>
          <cell r="F3486">
            <v>135549.098706655</v>
          </cell>
          <cell r="G3486">
            <v>8.1844552173816962E-2</v>
          </cell>
          <cell r="I3486" t="str">
            <v>WV</v>
          </cell>
          <cell r="J3486" t="str">
            <v>Low</v>
          </cell>
          <cell r="K3486">
            <v>29058</v>
          </cell>
        </row>
        <row r="3487">
          <cell r="C3487">
            <v>2635217.80389228</v>
          </cell>
          <cell r="D3487">
            <v>0.75410078481478104</v>
          </cell>
          <cell r="E3487">
            <v>205529</v>
          </cell>
          <cell r="F3487">
            <v>154989.58020219699</v>
          </cell>
          <cell r="G3487">
            <v>5.8814713521316397E-2</v>
          </cell>
          <cell r="I3487" t="str">
            <v>WV</v>
          </cell>
          <cell r="J3487" t="str">
            <v>Med</v>
          </cell>
          <cell r="K3487">
            <v>85244.666666666672</v>
          </cell>
        </row>
        <row r="3488">
          <cell r="C3488">
            <v>3403300.3914396502</v>
          </cell>
          <cell r="D3488">
            <v>0.80309235751575103</v>
          </cell>
          <cell r="E3488">
            <v>188966</v>
          </cell>
          <cell r="F3488">
            <v>151757.15043032099</v>
          </cell>
          <cell r="G3488">
            <v>4.459117120899378E-2</v>
          </cell>
          <cell r="I3488" t="str">
            <v>WV</v>
          </cell>
          <cell r="J3488" t="str">
            <v>High</v>
          </cell>
          <cell r="K3488">
            <v>125297</v>
          </cell>
        </row>
        <row r="3489">
          <cell r="C3489">
            <v>2084307.2311245601</v>
          </cell>
          <cell r="D3489">
            <v>0.80481255757683801</v>
          </cell>
          <cell r="E3489">
            <v>186092</v>
          </cell>
          <cell r="F3489">
            <v>149769.178464589</v>
          </cell>
          <cell r="G3489">
            <v>7.1855615251012223E-2</v>
          </cell>
          <cell r="I3489" t="str">
            <v>WV</v>
          </cell>
          <cell r="J3489" t="str">
            <v>No Data</v>
          </cell>
          <cell r="K3489">
            <v>0</v>
          </cell>
        </row>
        <row r="3490">
          <cell r="C3490">
            <v>2483198.0230327598</v>
          </cell>
          <cell r="D3490">
            <v>0.79979005923580104</v>
          </cell>
          <cell r="E3490">
            <v>213056</v>
          </cell>
          <cell r="F3490">
            <v>170400.070860543</v>
          </cell>
          <cell r="G3490">
            <v>6.8621217188483158E-2</v>
          </cell>
          <cell r="I3490" t="str">
            <v>WV</v>
          </cell>
          <cell r="J3490" t="str">
            <v>Med</v>
          </cell>
          <cell r="K3490">
            <v>75636.666666666672</v>
          </cell>
        </row>
        <row r="3491">
          <cell r="C3491">
            <v>2521840.2230416001</v>
          </cell>
          <cell r="D3491">
            <v>0.81718582173339205</v>
          </cell>
          <cell r="E3491">
            <v>177889</v>
          </cell>
          <cell r="F3491">
            <v>145368.36864233101</v>
          </cell>
          <cell r="G3491">
            <v>5.7643766371131049E-2</v>
          </cell>
          <cell r="I3491" t="str">
            <v>WV</v>
          </cell>
          <cell r="J3491" t="str">
            <v>Med</v>
          </cell>
          <cell r="K3491">
            <v>61982.333333333336</v>
          </cell>
        </row>
        <row r="3492">
          <cell r="C3492">
            <v>2534155.77296953</v>
          </cell>
          <cell r="D3492">
            <v>0.74277542119283602</v>
          </cell>
          <cell r="E3492">
            <v>191096</v>
          </cell>
          <cell r="F3492">
            <v>141941.41188826601</v>
          </cell>
          <cell r="G3492">
            <v>5.6011320772889471E-2</v>
          </cell>
          <cell r="I3492" t="str">
            <v>WV</v>
          </cell>
          <cell r="J3492" t="str">
            <v>Med</v>
          </cell>
          <cell r="K3492">
            <v>54854.333333333336</v>
          </cell>
        </row>
        <row r="3493">
          <cell r="C3493">
            <v>2925308.3802581201</v>
          </cell>
          <cell r="D3493">
            <v>0.78471587596331005</v>
          </cell>
          <cell r="E3493">
            <v>201750</v>
          </cell>
          <cell r="F3493">
            <v>158316.427975598</v>
          </cell>
          <cell r="G3493">
            <v>5.4119568741545346E-2</v>
          </cell>
          <cell r="I3493" t="str">
            <v>WV</v>
          </cell>
          <cell r="J3493" t="str">
            <v>No Data</v>
          </cell>
          <cell r="K3493">
            <v>0</v>
          </cell>
        </row>
        <row r="3494">
          <cell r="C3494">
            <v>2616324.8858042299</v>
          </cell>
          <cell r="D3494">
            <v>0.74050679199478697</v>
          </cell>
          <cell r="E3494">
            <v>223319</v>
          </cell>
          <cell r="F3494">
            <v>165369.23628148399</v>
          </cell>
          <cell r="G3494">
            <v>6.3206690108996641E-2</v>
          </cell>
          <cell r="I3494" t="str">
            <v>WV</v>
          </cell>
          <cell r="J3494" t="str">
            <v>Low</v>
          </cell>
          <cell r="K3494">
            <v>39252</v>
          </cell>
        </row>
        <row r="3495">
          <cell r="C3495">
            <v>2626936.6952631399</v>
          </cell>
          <cell r="D3495">
            <v>0.73669743091275897</v>
          </cell>
          <cell r="E3495">
            <v>205088</v>
          </cell>
          <cell r="F3495">
            <v>151087.802711036</v>
          </cell>
          <cell r="G3495">
            <v>5.7514824389744784E-2</v>
          </cell>
          <cell r="I3495" t="str">
            <v>WV</v>
          </cell>
          <cell r="J3495" t="str">
            <v>Med</v>
          </cell>
          <cell r="K3495">
            <v>60539.333333333336</v>
          </cell>
        </row>
        <row r="3496">
          <cell r="C3496">
            <v>2634260.81554412</v>
          </cell>
          <cell r="D3496">
            <v>0.75005982943833405</v>
          </cell>
          <cell r="E3496">
            <v>222220</v>
          </cell>
          <cell r="F3496">
            <v>166678.295297787</v>
          </cell>
          <cell r="G3496">
            <v>6.3273269797075413E-2</v>
          </cell>
          <cell r="I3496" t="str">
            <v>WV</v>
          </cell>
          <cell r="J3496" t="str">
            <v>Med</v>
          </cell>
          <cell r="K3496">
            <v>60240.333333333336</v>
          </cell>
        </row>
        <row r="3497">
          <cell r="C3497">
            <v>2172152.4747096002</v>
          </cell>
          <cell r="D3497">
            <v>0.70834499976772902</v>
          </cell>
          <cell r="E3497">
            <v>229918</v>
          </cell>
          <cell r="F3497">
            <v>162861.26565659701</v>
          </cell>
          <cell r="G3497">
            <v>7.4976903119275864E-2</v>
          </cell>
          <cell r="I3497" t="str">
            <v>WV</v>
          </cell>
          <cell r="J3497" t="str">
            <v>Med</v>
          </cell>
          <cell r="K3497">
            <v>40453.666666666664</v>
          </cell>
        </row>
        <row r="3498">
          <cell r="C3498">
            <v>2123062.1174291298</v>
          </cell>
          <cell r="D3498">
            <v>0.80174959303176296</v>
          </cell>
          <cell r="E3498">
            <v>175301</v>
          </cell>
          <cell r="F3498">
            <v>140547.505408061</v>
          </cell>
          <cell r="G3498">
            <v>6.620037362743468E-2</v>
          </cell>
          <cell r="I3498" t="str">
            <v>WV</v>
          </cell>
          <cell r="J3498" t="str">
            <v>No Data</v>
          </cell>
          <cell r="K3498">
            <v>0</v>
          </cell>
        </row>
        <row r="3499">
          <cell r="C3499">
            <v>1997079.56032878</v>
          </cell>
          <cell r="D3499">
            <v>0.73315711283042995</v>
          </cell>
          <cell r="E3499">
            <v>185591</v>
          </cell>
          <cell r="F3499">
            <v>136067.361727312</v>
          </cell>
          <cell r="G3499">
            <v>6.8133170270347765E-2</v>
          </cell>
          <cell r="I3499" t="str">
            <v>WV</v>
          </cell>
          <cell r="J3499" t="str">
            <v>Low</v>
          </cell>
          <cell r="K3499">
            <v>29058</v>
          </cell>
        </row>
        <row r="3500">
          <cell r="C3500">
            <v>3258228.8956544902</v>
          </cell>
          <cell r="D3500">
            <v>0.77192086857843101</v>
          </cell>
          <cell r="E3500">
            <v>196412</v>
          </cell>
          <cell r="F3500">
            <v>151614.52163922699</v>
          </cell>
          <cell r="G3500">
            <v>4.6532802480953914E-2</v>
          </cell>
          <cell r="I3500" t="str">
            <v>WV</v>
          </cell>
          <cell r="J3500" t="str">
            <v>Med</v>
          </cell>
          <cell r="K3500">
            <v>85244.666666666672</v>
          </cell>
        </row>
        <row r="3501">
          <cell r="C3501">
            <v>4145113.5092374901</v>
          </cell>
          <cell r="D3501">
            <v>0.75547869473405904</v>
          </cell>
          <cell r="E3501">
            <v>187736</v>
          </cell>
          <cell r="F3501">
            <v>141830.54823459301</v>
          </cell>
          <cell r="G3501">
            <v>3.4216324334308351E-2</v>
          </cell>
          <cell r="I3501" t="str">
            <v>WV</v>
          </cell>
          <cell r="J3501" t="str">
            <v>High</v>
          </cell>
          <cell r="K3501">
            <v>125297</v>
          </cell>
        </row>
        <row r="3502">
          <cell r="C3502">
            <v>2528054.1434859801</v>
          </cell>
          <cell r="D3502">
            <v>0.80014417479795097</v>
          </cell>
          <cell r="E3502">
            <v>175703</v>
          </cell>
          <cell r="F3502">
            <v>140587.73194452401</v>
          </cell>
          <cell r="G3502">
            <v>5.5611044686988E-2</v>
          </cell>
          <cell r="I3502" t="str">
            <v>WV</v>
          </cell>
          <cell r="J3502" t="str">
            <v>No Data</v>
          </cell>
          <cell r="K3502">
            <v>0</v>
          </cell>
        </row>
        <row r="3503">
          <cell r="C3503">
            <v>3084061.1384130898</v>
          </cell>
          <cell r="D3503">
            <v>0.83198635444653801</v>
          </cell>
          <cell r="E3503">
            <v>197953</v>
          </cell>
          <cell r="F3503">
            <v>164694.19482175601</v>
          </cell>
          <cell r="G3503">
            <v>5.3401728250594853E-2</v>
          </cell>
          <cell r="I3503" t="str">
            <v>WV</v>
          </cell>
          <cell r="J3503" t="str">
            <v>Med</v>
          </cell>
          <cell r="K3503">
            <v>75636.666666666672</v>
          </cell>
        </row>
        <row r="3504">
          <cell r="C3504">
            <v>2917672.0163977901</v>
          </cell>
          <cell r="D3504">
            <v>0.78434364418402802</v>
          </cell>
          <cell r="E3504">
            <v>183580</v>
          </cell>
          <cell r="F3504">
            <v>143989.806199304</v>
          </cell>
          <cell r="G3504">
            <v>4.935092271854339E-2</v>
          </cell>
          <cell r="I3504" t="str">
            <v>WV</v>
          </cell>
          <cell r="J3504" t="str">
            <v>Med</v>
          </cell>
          <cell r="K3504">
            <v>61982.333333333336</v>
          </cell>
        </row>
        <row r="3505">
          <cell r="C3505">
            <v>2924578.4667377099</v>
          </cell>
          <cell r="D3505">
            <v>0.72706717019925404</v>
          </cell>
          <cell r="E3505">
            <v>185980</v>
          </cell>
          <cell r="F3505">
            <v>135219.95231365701</v>
          </cell>
          <cell r="G3505">
            <v>4.6235706735709946E-2</v>
          </cell>
          <cell r="I3505" t="str">
            <v>WV</v>
          </cell>
          <cell r="J3505" t="str">
            <v>Med</v>
          </cell>
          <cell r="K3505">
            <v>54854.333333333336</v>
          </cell>
        </row>
        <row r="3506">
          <cell r="C3506">
            <v>3288317.8271107199</v>
          </cell>
          <cell r="D3506">
            <v>0.76921284007249502</v>
          </cell>
          <cell r="E3506">
            <v>195277</v>
          </cell>
          <cell r="F3506">
            <v>150209.57577083699</v>
          </cell>
          <cell r="G3506">
            <v>4.5679762014616036E-2</v>
          </cell>
          <cell r="I3506" t="str">
            <v>WV</v>
          </cell>
          <cell r="J3506" t="str">
            <v>No Data</v>
          </cell>
          <cell r="K3506">
            <v>0</v>
          </cell>
        </row>
        <row r="3507">
          <cell r="C3507">
            <v>2968670.5069946498</v>
          </cell>
          <cell r="D3507">
            <v>0.753403795474751</v>
          </cell>
          <cell r="E3507">
            <v>205378</v>
          </cell>
          <cell r="F3507">
            <v>154732.56470701299</v>
          </cell>
          <cell r="G3507">
            <v>5.2121838493843956E-2</v>
          </cell>
          <cell r="I3507" t="str">
            <v>WV</v>
          </cell>
          <cell r="J3507" t="str">
            <v>Low</v>
          </cell>
          <cell r="K3507">
            <v>39252</v>
          </cell>
        </row>
        <row r="3508">
          <cell r="C3508">
            <v>2991391.9680121602</v>
          </cell>
          <cell r="D3508">
            <v>0.74122870356410298</v>
          </cell>
          <cell r="E3508">
            <v>192302</v>
          </cell>
          <cell r="F3508">
            <v>142539.76215278401</v>
          </cell>
          <cell r="G3508">
            <v>4.7649978229868863E-2</v>
          </cell>
          <cell r="I3508" t="str">
            <v>WV</v>
          </cell>
          <cell r="J3508" t="str">
            <v>Med</v>
          </cell>
          <cell r="K3508">
            <v>60539.333333333336</v>
          </cell>
        </row>
        <row r="3509">
          <cell r="C3509">
            <v>2972045.1047727098</v>
          </cell>
          <cell r="D3509">
            <v>0.75676494582563303</v>
          </cell>
          <cell r="E3509">
            <v>204980</v>
          </cell>
          <cell r="F3509">
            <v>155121.67859533799</v>
          </cell>
          <cell r="G3509">
            <v>5.219358156652238E-2</v>
          </cell>
          <cell r="I3509" t="str">
            <v>WV</v>
          </cell>
          <cell r="J3509" t="str">
            <v>Med</v>
          </cell>
          <cell r="K3509">
            <v>60240.333333333336</v>
          </cell>
        </row>
        <row r="3510">
          <cell r="C3510">
            <v>2482058.1410839902</v>
          </cell>
          <cell r="D3510">
            <v>0.69436854103397405</v>
          </cell>
          <cell r="E3510">
            <v>224516</v>
          </cell>
          <cell r="F3510">
            <v>155896.847358784</v>
          </cell>
          <cell r="G3510">
            <v>6.2809506666390624E-2</v>
          </cell>
          <cell r="I3510" t="str">
            <v>WV</v>
          </cell>
          <cell r="J3510" t="str">
            <v>Med</v>
          </cell>
          <cell r="K3510">
            <v>40453.666666666664</v>
          </cell>
        </row>
        <row r="3511">
          <cell r="C3511">
            <v>2388669.64487798</v>
          </cell>
          <cell r="D3511">
            <v>0.78312970827967898</v>
          </cell>
          <cell r="E3511">
            <v>170432</v>
          </cell>
          <cell r="F3511">
            <v>133470.36244152201</v>
          </cell>
          <cell r="G3511">
            <v>5.5876442658247975E-2</v>
          </cell>
          <cell r="I3511" t="str">
            <v>WV</v>
          </cell>
          <cell r="J3511" t="str">
            <v>No Data</v>
          </cell>
          <cell r="K3511">
            <v>0</v>
          </cell>
        </row>
        <row r="3512">
          <cell r="C3512">
            <v>2328534.1077190698</v>
          </cell>
          <cell r="D3512">
            <v>0.76144978375946604</v>
          </cell>
          <cell r="E3512">
            <v>166076</v>
          </cell>
          <cell r="F3512">
            <v>126458.534287637</v>
          </cell>
          <cell r="G3512">
            <v>5.4308216430426375E-2</v>
          </cell>
          <cell r="I3512" t="str">
            <v>WV</v>
          </cell>
          <cell r="J3512" t="str">
            <v>Low</v>
          </cell>
          <cell r="K3512">
            <v>29058</v>
          </cell>
        </row>
        <row r="3513">
          <cell r="C3513">
            <v>3678771.2374094902</v>
          </cell>
          <cell r="D3513">
            <v>0.77083720476116402</v>
          </cell>
          <cell r="E3513">
            <v>180874</v>
          </cell>
          <cell r="F3513">
            <v>139424.40857397101</v>
          </cell>
          <cell r="G3513">
            <v>3.789972237364523E-2</v>
          </cell>
          <cell r="I3513" t="str">
            <v>WV</v>
          </cell>
          <cell r="J3513" t="str">
            <v>Med</v>
          </cell>
          <cell r="K3513">
            <v>85244.666666666672</v>
          </cell>
        </row>
        <row r="3514">
          <cell r="C3514">
            <v>4627259.99892879</v>
          </cell>
          <cell r="D3514">
            <v>0.78358158703217595</v>
          </cell>
          <cell r="E3514">
            <v>170019</v>
          </cell>
          <cell r="F3514">
            <v>133223.757845624</v>
          </cell>
          <cell r="G3514">
            <v>2.8791068121623874E-2</v>
          </cell>
          <cell r="I3514" t="str">
            <v>WV</v>
          </cell>
          <cell r="J3514" t="str">
            <v>High</v>
          </cell>
          <cell r="K3514">
            <v>125297</v>
          </cell>
        </row>
        <row r="3515">
          <cell r="C3515">
            <v>2835021.3198033599</v>
          </cell>
          <cell r="D3515">
            <v>0.76801988829590195</v>
          </cell>
          <cell r="E3515">
            <v>177072</v>
          </cell>
          <cell r="F3515">
            <v>135994.81766033199</v>
          </cell>
          <cell r="G3515">
            <v>4.7969592577795761E-2</v>
          </cell>
          <cell r="I3515" t="str">
            <v>WV</v>
          </cell>
          <cell r="J3515" t="str">
            <v>No Data</v>
          </cell>
          <cell r="K3515">
            <v>0</v>
          </cell>
        </row>
        <row r="3516">
          <cell r="C3516">
            <v>3498696.9325294001</v>
          </cell>
          <cell r="D3516">
            <v>0.77719699017907695</v>
          </cell>
          <cell r="E3516">
            <v>198681</v>
          </cell>
          <cell r="F3516">
            <v>154414.27520576899</v>
          </cell>
          <cell r="G3516">
            <v>4.4134795949340611E-2</v>
          </cell>
          <cell r="I3516" t="str">
            <v>WV</v>
          </cell>
          <cell r="J3516" t="str">
            <v>Med</v>
          </cell>
          <cell r="K3516">
            <v>75636.666666666672</v>
          </cell>
        </row>
        <row r="3517">
          <cell r="C3517">
            <v>3010240.5683822501</v>
          </cell>
          <cell r="D3517">
            <v>0.79617175449782895</v>
          </cell>
          <cell r="E3517">
            <v>172694</v>
          </cell>
          <cell r="F3517">
            <v>137494.084971248</v>
          </cell>
          <cell r="G3517">
            <v>4.5675447475993405E-2</v>
          </cell>
          <cell r="I3517" t="str">
            <v>WV</v>
          </cell>
          <cell r="J3517" t="str">
            <v>Med</v>
          </cell>
          <cell r="K3517">
            <v>61982.333333333336</v>
          </cell>
        </row>
        <row r="3518">
          <cell r="C3518">
            <v>3014691.7055345899</v>
          </cell>
          <cell r="D3518">
            <v>0.73504666992415901</v>
          </cell>
          <cell r="E3518">
            <v>177562</v>
          </cell>
          <cell r="F3518">
            <v>130516.356805073</v>
          </cell>
          <cell r="G3518">
            <v>4.3293434139703768E-2</v>
          </cell>
          <cell r="I3518" t="str">
            <v>WV</v>
          </cell>
          <cell r="J3518" t="str">
            <v>Med</v>
          </cell>
          <cell r="K3518">
            <v>54854.333333333336</v>
          </cell>
        </row>
        <row r="3519">
          <cell r="C3519">
            <v>3504929.8026784901</v>
          </cell>
          <cell r="D3519">
            <v>0.775265124785954</v>
          </cell>
          <cell r="E3519">
            <v>190607</v>
          </cell>
          <cell r="F3519">
            <v>147770.95964007601</v>
          </cell>
          <cell r="G3519">
            <v>4.2160889934842197E-2</v>
          </cell>
          <cell r="I3519" t="str">
            <v>WV</v>
          </cell>
          <cell r="J3519" t="str">
            <v>No Data</v>
          </cell>
          <cell r="K3519">
            <v>0</v>
          </cell>
        </row>
        <row r="3520">
          <cell r="C3520">
            <v>3109345.2893204899</v>
          </cell>
          <cell r="D3520">
            <v>0.74881594644445404</v>
          </cell>
          <cell r="E3520">
            <v>203718</v>
          </cell>
          <cell r="F3520">
            <v>152547.286977771</v>
          </cell>
          <cell r="G3520">
            <v>4.9060902789316262E-2</v>
          </cell>
          <cell r="I3520" t="str">
            <v>WV</v>
          </cell>
          <cell r="J3520" t="str">
            <v>Low</v>
          </cell>
          <cell r="K3520">
            <v>39252</v>
          </cell>
        </row>
        <row r="3521">
          <cell r="C3521">
            <v>3156479.2556919199</v>
          </cell>
          <cell r="D3521">
            <v>0.74751359921390204</v>
          </cell>
          <cell r="E3521">
            <v>184065</v>
          </cell>
          <cell r="F3521">
            <v>137591.09063930699</v>
          </cell>
          <cell r="G3521">
            <v>4.3590050652541408E-2</v>
          </cell>
          <cell r="I3521" t="str">
            <v>WV</v>
          </cell>
          <cell r="J3521" t="str">
            <v>Med</v>
          </cell>
          <cell r="K3521">
            <v>60539.333333333336</v>
          </cell>
        </row>
        <row r="3522">
          <cell r="C3522">
            <v>3078024.4798669899</v>
          </cell>
          <cell r="D3522">
            <v>0.75421439682535596</v>
          </cell>
          <cell r="E3522">
            <v>198999</v>
          </cell>
          <cell r="F3522">
            <v>150087.91075384899</v>
          </cell>
          <cell r="G3522">
            <v>4.8761116662832622E-2</v>
          </cell>
          <cell r="I3522" t="str">
            <v>WV</v>
          </cell>
          <cell r="J3522" t="str">
            <v>Med</v>
          </cell>
          <cell r="K3522">
            <v>60240.333333333336</v>
          </cell>
        </row>
        <row r="3523">
          <cell r="C3523">
            <v>2595394.8003062699</v>
          </cell>
          <cell r="D3523">
            <v>0.73319539977518999</v>
          </cell>
          <cell r="E3523">
            <v>201917</v>
          </cell>
          <cell r="F3523">
            <v>148044.61553640699</v>
          </cell>
          <cell r="G3523">
            <v>5.7041269990575988E-2</v>
          </cell>
          <cell r="I3523" t="str">
            <v>WV</v>
          </cell>
          <cell r="J3523" t="str">
            <v>Med</v>
          </cell>
          <cell r="K3523">
            <v>40453.666666666664</v>
          </cell>
        </row>
        <row r="3524">
          <cell r="C3524">
            <v>2553084.0207758499</v>
          </cell>
          <cell r="D3524">
            <v>0.80723866786187604</v>
          </cell>
          <cell r="E3524">
            <v>163610</v>
          </cell>
          <cell r="F3524">
            <v>132072.31844888101</v>
          </cell>
          <cell r="G3524">
            <v>5.1730502159010774E-2</v>
          </cell>
          <cell r="I3524" t="str">
            <v>WV</v>
          </cell>
          <cell r="J3524" t="str">
            <v>No Data</v>
          </cell>
          <cell r="K3524">
            <v>0</v>
          </cell>
        </row>
        <row r="3525">
          <cell r="C3525">
            <v>2384202.9534720699</v>
          </cell>
          <cell r="D3525">
            <v>0.78729007069988999</v>
          </cell>
          <cell r="E3525">
            <v>147472</v>
          </cell>
          <cell r="F3525">
            <v>116103.241306254</v>
          </cell>
          <cell r="G3525">
            <v>4.8696878400043518E-2</v>
          </cell>
          <cell r="I3525" t="str">
            <v>WV</v>
          </cell>
          <cell r="J3525" t="str">
            <v>Low</v>
          </cell>
          <cell r="K3525">
            <v>29058</v>
          </cell>
        </row>
        <row r="3526">
          <cell r="C3526">
            <v>3836315.31380504</v>
          </cell>
          <cell r="D3526">
            <v>0.75152799915459401</v>
          </cell>
          <cell r="E3526">
            <v>180522</v>
          </cell>
          <cell r="F3526">
            <v>135667.33746338601</v>
          </cell>
          <cell r="G3526">
            <v>3.5363969425345462E-2</v>
          </cell>
          <cell r="I3526" t="str">
            <v>WV</v>
          </cell>
          <cell r="J3526" t="str">
            <v>Med</v>
          </cell>
          <cell r="K3526">
            <v>85244.666666666672</v>
          </cell>
        </row>
        <row r="3527">
          <cell r="C3527">
            <v>4835431.3944567498</v>
          </cell>
          <cell r="D3527">
            <v>0.75944878478637401</v>
          </cell>
          <cell r="E3527">
            <v>166402</v>
          </cell>
          <cell r="F3527">
            <v>126373.796686022</v>
          </cell>
          <cell r="G3527">
            <v>2.6134958057908674E-2</v>
          </cell>
          <cell r="I3527" t="str">
            <v>WV</v>
          </cell>
          <cell r="J3527" t="str">
            <v>High</v>
          </cell>
          <cell r="K3527">
            <v>125297</v>
          </cell>
        </row>
        <row r="3528">
          <cell r="C3528">
            <v>3012729.1844732398</v>
          </cell>
          <cell r="D3528">
            <v>0.82368609973735696</v>
          </cell>
          <cell r="E3528">
            <v>159121</v>
          </cell>
          <cell r="F3528">
            <v>131065.755876308</v>
          </cell>
          <cell r="G3528">
            <v>4.3503995165507771E-2</v>
          </cell>
          <cell r="I3528" t="str">
            <v>WV</v>
          </cell>
          <cell r="J3528" t="str">
            <v>No Data</v>
          </cell>
          <cell r="K3528">
            <v>0</v>
          </cell>
        </row>
        <row r="3529">
          <cell r="C3529">
            <v>3624664.3613167698</v>
          </cell>
          <cell r="D3529">
            <v>0.79397614983527298</v>
          </cell>
          <cell r="E3529">
            <v>193313</v>
          </cell>
          <cell r="F3529">
            <v>153485.911453106</v>
          </cell>
          <cell r="G3529">
            <v>4.2344861800486147E-2</v>
          </cell>
          <cell r="I3529" t="str">
            <v>WV</v>
          </cell>
          <cell r="J3529" t="str">
            <v>Med</v>
          </cell>
          <cell r="K3529">
            <v>75636.666666666672</v>
          </cell>
        </row>
        <row r="3530">
          <cell r="C3530">
            <v>2267236.9313577898</v>
          </cell>
          <cell r="D3530">
            <v>0.70708444310327001</v>
          </cell>
          <cell r="E3530">
            <v>142774</v>
          </cell>
          <cell r="F3530">
            <v>100953.274279626</v>
          </cell>
          <cell r="G3530">
            <v>4.4527006808753634E-2</v>
          </cell>
          <cell r="I3530" t="str">
            <v>DC</v>
          </cell>
          <cell r="J3530" t="str">
            <v>High</v>
          </cell>
          <cell r="K3530">
            <v>102576</v>
          </cell>
        </row>
        <row r="3531">
          <cell r="C3531">
            <v>1877559.73162773</v>
          </cell>
          <cell r="D3531">
            <v>0.69278296444857201</v>
          </cell>
          <cell r="E3531">
            <v>142045</v>
          </cell>
          <cell r="F3531">
            <v>98406.356185097393</v>
          </cell>
          <cell r="G3531">
            <v>5.2411837837928639E-2</v>
          </cell>
          <cell r="I3531" t="str">
            <v>DC</v>
          </cell>
          <cell r="J3531" t="str">
            <v>No Data</v>
          </cell>
          <cell r="K3531">
            <v>0</v>
          </cell>
        </row>
        <row r="3532">
          <cell r="C3532">
            <v>2508276.21590378</v>
          </cell>
          <cell r="D3532">
            <v>0.69612618423716299</v>
          </cell>
          <cell r="E3532">
            <v>159898</v>
          </cell>
          <cell r="F3532">
            <v>111309.18460715401</v>
          </cell>
          <cell r="G3532">
            <v>4.4376765167008204E-2</v>
          </cell>
          <cell r="I3532" t="str">
            <v>DC</v>
          </cell>
          <cell r="J3532" t="str">
            <v>High</v>
          </cell>
          <cell r="K3532">
            <v>102576</v>
          </cell>
        </row>
        <row r="3533">
          <cell r="C3533">
            <v>2126141.82804811</v>
          </cell>
          <cell r="D3533">
            <v>0.70299403754234802</v>
          </cell>
          <cell r="E3533">
            <v>156978</v>
          </cell>
          <cell r="F3533">
            <v>110354.59802532299</v>
          </cell>
          <cell r="G3533">
            <v>5.1903686089762542E-2</v>
          </cell>
          <cell r="I3533" t="str">
            <v>DC</v>
          </cell>
          <cell r="J3533" t="str">
            <v>No Data</v>
          </cell>
          <cell r="K3533">
            <v>0</v>
          </cell>
        </row>
        <row r="3534">
          <cell r="C3534">
            <v>2817658.0640400099</v>
          </cell>
          <cell r="D3534">
            <v>0.727275197622687</v>
          </cell>
          <cell r="E3534">
            <v>185067</v>
          </cell>
          <cell r="F3534">
            <v>134594.63899843799</v>
          </cell>
          <cell r="G3534">
            <v>4.7768265679993024E-2</v>
          </cell>
          <cell r="I3534" t="str">
            <v>DC</v>
          </cell>
          <cell r="J3534" t="str">
            <v>High</v>
          </cell>
          <cell r="K3534">
            <v>102576</v>
          </cell>
        </row>
        <row r="3535">
          <cell r="C3535">
            <v>2372091.0781570198</v>
          </cell>
          <cell r="D3535">
            <v>0.70150664302051502</v>
          </cell>
          <cell r="E3535">
            <v>192838</v>
          </cell>
          <cell r="F3535">
            <v>135277.13802678999</v>
          </cell>
          <cell r="G3535">
            <v>5.7028644166518538E-2</v>
          </cell>
          <cell r="I3535" t="str">
            <v>DC</v>
          </cell>
          <cell r="J3535" t="str">
            <v>No Data</v>
          </cell>
          <cell r="K3535">
            <v>0</v>
          </cell>
        </row>
        <row r="3536">
          <cell r="C3536">
            <v>2944587.7410581699</v>
          </cell>
          <cell r="D3536">
            <v>0.73703264555631498</v>
          </cell>
          <cell r="E3536">
            <v>210840</v>
          </cell>
          <cell r="F3536">
            <v>155395.96298909301</v>
          </cell>
          <cell r="G3536">
            <v>5.277341911817162E-2</v>
          </cell>
          <cell r="I3536" t="str">
            <v>DC</v>
          </cell>
          <cell r="J3536" t="str">
            <v>High</v>
          </cell>
          <cell r="K3536">
            <v>102576</v>
          </cell>
        </row>
        <row r="3537">
          <cell r="C3537">
            <v>2535190.1047648098</v>
          </cell>
          <cell r="D3537">
            <v>0.71266580474608299</v>
          </cell>
          <cell r="E3537">
            <v>218415</v>
          </cell>
          <cell r="F3537">
            <v>155656.90174361601</v>
          </cell>
          <cell r="G3537">
            <v>6.1398512660278917E-2</v>
          </cell>
          <cell r="I3537" t="str">
            <v>DC</v>
          </cell>
          <cell r="J3537" t="str">
            <v>No Data</v>
          </cell>
          <cell r="K3537">
            <v>0</v>
          </cell>
        </row>
        <row r="3538">
          <cell r="C3538">
            <v>3068859.7641399899</v>
          </cell>
          <cell r="D3538">
            <v>0.72247294980230403</v>
          </cell>
          <cell r="E3538">
            <v>232179</v>
          </cell>
          <cell r="F3538">
            <v>167743.04701214901</v>
          </cell>
          <cell r="G3538">
            <v>5.4659730292093332E-2</v>
          </cell>
          <cell r="I3538" t="str">
            <v>DC</v>
          </cell>
          <cell r="J3538" t="str">
            <v>High</v>
          </cell>
          <cell r="K3538">
            <v>102576</v>
          </cell>
        </row>
        <row r="3539">
          <cell r="C3539">
            <v>2615638.9410775998</v>
          </cell>
          <cell r="D3539">
            <v>0.70546684652689096</v>
          </cell>
          <cell r="E3539">
            <v>235283</v>
          </cell>
          <cell r="F3539">
            <v>165984.356051387</v>
          </cell>
          <cell r="G3539">
            <v>6.3458435889092626E-2</v>
          </cell>
          <cell r="I3539" t="str">
            <v>DC</v>
          </cell>
          <cell r="J3539" t="str">
            <v>No Data</v>
          </cell>
          <cell r="K3539">
            <v>0</v>
          </cell>
        </row>
        <row r="3540">
          <cell r="C3540">
            <v>2997245.3567993199</v>
          </cell>
          <cell r="D3540">
            <v>0.69395816607624905</v>
          </cell>
          <cell r="E3540">
            <v>250867</v>
          </cell>
          <cell r="F3540">
            <v>174091.20324905001</v>
          </cell>
          <cell r="G3540">
            <v>5.8083734404365706E-2</v>
          </cell>
          <cell r="I3540" t="str">
            <v>DC</v>
          </cell>
          <cell r="J3540" t="str">
            <v>High</v>
          </cell>
          <cell r="K3540">
            <v>102576</v>
          </cell>
        </row>
        <row r="3541">
          <cell r="C3541">
            <v>2477077.74939059</v>
          </cell>
          <cell r="D3541">
            <v>0.70174022198684505</v>
          </cell>
          <cell r="E3541">
            <v>248339</v>
          </cell>
          <cell r="F3541">
            <v>174269.464987991</v>
          </cell>
          <cell r="G3541">
            <v>7.0352844205582452E-2</v>
          </cell>
          <cell r="I3541" t="str">
            <v>DC</v>
          </cell>
          <cell r="J3541" t="str">
            <v>No Data</v>
          </cell>
          <cell r="K3541">
            <v>0</v>
          </cell>
        </row>
        <row r="3542">
          <cell r="C3542">
            <v>2849718.7266170201</v>
          </cell>
          <cell r="D3542">
            <v>0.71169635637064999</v>
          </cell>
          <cell r="E3542">
            <v>256267</v>
          </cell>
          <cell r="F3542">
            <v>182384.29015803701</v>
          </cell>
          <cell r="G3542">
            <v>6.4000804168680342E-2</v>
          </cell>
          <cell r="I3542" t="str">
            <v>DC</v>
          </cell>
          <cell r="J3542" t="str">
            <v>High</v>
          </cell>
          <cell r="K3542">
            <v>102576</v>
          </cell>
        </row>
        <row r="3543">
          <cell r="C3543">
            <v>2330424.3937834702</v>
          </cell>
          <cell r="D3543">
            <v>0.718511141408127</v>
          </cell>
          <cell r="E3543">
            <v>247921</v>
          </cell>
          <cell r="F3543">
            <v>178134.00068904401</v>
          </cell>
          <cell r="G3543">
            <v>7.6438438064854564E-2</v>
          </cell>
          <cell r="I3543" t="str">
            <v>DC</v>
          </cell>
          <cell r="J3543" t="str">
            <v>No Data</v>
          </cell>
          <cell r="K3543">
            <v>0</v>
          </cell>
        </row>
        <row r="3544">
          <cell r="C3544">
            <v>2668677.7500815801</v>
          </cell>
          <cell r="D3544">
            <v>0.70810422851139099</v>
          </cell>
          <cell r="E3544">
            <v>224536</v>
          </cell>
          <cell r="F3544">
            <v>158994.89105303399</v>
          </cell>
          <cell r="G3544">
            <v>5.9578152906687068E-2</v>
          </cell>
          <cell r="I3544" t="str">
            <v>DC</v>
          </cell>
          <cell r="J3544" t="str">
            <v>High</v>
          </cell>
          <cell r="K3544">
            <v>102576</v>
          </cell>
        </row>
        <row r="3545">
          <cell r="C3545">
            <v>2219309.4803495998</v>
          </cell>
          <cell r="D3545">
            <v>0.70490762060485102</v>
          </cell>
          <cell r="E3545">
            <v>221748</v>
          </cell>
          <cell r="F3545">
            <v>156311.855053885</v>
          </cell>
          <cell r="G3545">
            <v>7.0432653236475046E-2</v>
          </cell>
          <cell r="I3545" t="str">
            <v>DC</v>
          </cell>
          <cell r="J3545" t="str">
            <v>No Data</v>
          </cell>
          <cell r="K3545">
            <v>0</v>
          </cell>
        </row>
        <row r="3546">
          <cell r="C3546">
            <v>2698850.9685866502</v>
          </cell>
          <cell r="D3546">
            <v>0.69666338668642902</v>
          </cell>
          <cell r="E3546">
            <v>219688</v>
          </cell>
          <cell r="F3546">
            <v>153048.58609436799</v>
          </cell>
          <cell r="G3546">
            <v>5.6708794918941874E-2</v>
          </cell>
          <cell r="I3546" t="str">
            <v>DC</v>
          </cell>
          <cell r="J3546" t="str">
            <v>High</v>
          </cell>
          <cell r="K3546">
            <v>102576</v>
          </cell>
        </row>
        <row r="3547">
          <cell r="C3547">
            <v>2233508.52709916</v>
          </cell>
          <cell r="D3547">
            <v>0.67933258103628402</v>
          </cell>
          <cell r="E3547">
            <v>221234</v>
          </cell>
          <cell r="F3547">
            <v>150291.464232981</v>
          </cell>
          <cell r="G3547">
            <v>6.7289406961958995E-2</v>
          </cell>
          <cell r="I3547" t="str">
            <v>DC</v>
          </cell>
          <cell r="J3547" t="str">
            <v>No Data</v>
          </cell>
          <cell r="K3547">
            <v>0</v>
          </cell>
        </row>
        <row r="3548">
          <cell r="C3548">
            <v>3295612.1153710401</v>
          </cell>
          <cell r="D3548">
            <v>0.704353747617811</v>
          </cell>
          <cell r="E3548">
            <v>204975</v>
          </cell>
          <cell r="F3548">
            <v>144374.909417961</v>
          </cell>
          <cell r="G3548">
            <v>4.3808222680267211E-2</v>
          </cell>
          <cell r="I3548" t="str">
            <v>DC</v>
          </cell>
          <cell r="J3548" t="str">
            <v>High</v>
          </cell>
          <cell r="K3548">
            <v>102576</v>
          </cell>
        </row>
        <row r="3549">
          <cell r="C3549">
            <v>2815750.3581835702</v>
          </cell>
          <cell r="D3549">
            <v>0.70502567840769204</v>
          </cell>
          <cell r="E3549">
            <v>210625</v>
          </cell>
          <cell r="F3549">
            <v>148496.03351462001</v>
          </cell>
          <cell r="G3549">
            <v>5.2737641702872491E-2</v>
          </cell>
          <cell r="I3549" t="str">
            <v>DC</v>
          </cell>
          <cell r="J3549" t="str">
            <v>No Data</v>
          </cell>
          <cell r="K3549">
            <v>0</v>
          </cell>
        </row>
        <row r="3550">
          <cell r="C3550">
            <v>3678381.80379675</v>
          </cell>
          <cell r="D3550">
            <v>0.68150544548748804</v>
          </cell>
          <cell r="E3550">
            <v>195505</v>
          </cell>
          <cell r="F3550">
            <v>133237.72212003099</v>
          </cell>
          <cell r="G3550">
            <v>3.6221830475157785E-2</v>
          </cell>
          <cell r="I3550" t="str">
            <v>DC</v>
          </cell>
          <cell r="J3550" t="str">
            <v>High</v>
          </cell>
          <cell r="K3550">
            <v>102576</v>
          </cell>
        </row>
        <row r="3551">
          <cell r="C3551">
            <v>3153951.7518884498</v>
          </cell>
          <cell r="D3551">
            <v>0.70335469121833805</v>
          </cell>
          <cell r="E3551">
            <v>197972</v>
          </cell>
          <cell r="F3551">
            <v>139244.534929877</v>
          </cell>
          <cell r="G3551">
            <v>4.4149227979313067E-2</v>
          </cell>
          <cell r="I3551" t="str">
            <v>DC</v>
          </cell>
          <cell r="J3551" t="str">
            <v>No Data</v>
          </cell>
          <cell r="K3551">
            <v>0</v>
          </cell>
        </row>
        <row r="3552">
          <cell r="C3552">
            <v>3888052.4911719002</v>
          </cell>
          <cell r="D3552">
            <v>0.71780851213670105</v>
          </cell>
          <cell r="E3552">
            <v>187306</v>
          </cell>
          <cell r="F3552">
            <v>134449.84117427701</v>
          </cell>
          <cell r="G3552">
            <v>3.4580253605000173E-2</v>
          </cell>
          <cell r="I3552" t="str">
            <v>DC</v>
          </cell>
          <cell r="J3552" t="str">
            <v>High</v>
          </cell>
          <cell r="K3552">
            <v>102576</v>
          </cell>
        </row>
        <row r="3553">
          <cell r="C3553">
            <v>3296948.6047777999</v>
          </cell>
          <cell r="D3553">
            <v>0.68405945381008904</v>
          </cell>
          <cell r="E3553">
            <v>196359</v>
          </cell>
          <cell r="F3553">
            <v>134321.23029069501</v>
          </cell>
          <cell r="G3553">
            <v>4.0741074973398829E-2</v>
          </cell>
          <cell r="I3553" t="str">
            <v>DC</v>
          </cell>
          <cell r="J3553" t="str">
            <v>No Data</v>
          </cell>
          <cell r="K3553">
            <v>0</v>
          </cell>
        </row>
        <row r="3554">
          <cell r="C3554">
            <v>2265730.1197088901</v>
          </cell>
          <cell r="D3554">
            <v>0.746370290662973</v>
          </cell>
          <cell r="E3554">
            <v>137561</v>
          </cell>
          <cell r="F3554">
            <v>102671.443553889</v>
          </cell>
          <cell r="G3554">
            <v>4.5314948440143714E-2</v>
          </cell>
          <cell r="I3554" t="str">
            <v>DC</v>
          </cell>
          <cell r="J3554" t="str">
            <v>High</v>
          </cell>
          <cell r="K3554">
            <v>102576</v>
          </cell>
        </row>
        <row r="3555">
          <cell r="C3555">
            <v>1884053.22444514</v>
          </cell>
          <cell r="D3555">
            <v>0.75191106226190996</v>
          </cell>
          <cell r="E3555">
            <v>131758</v>
          </cell>
          <cell r="F3555">
            <v>99070.297741504794</v>
          </cell>
          <cell r="G3555">
            <v>5.2583598199929478E-2</v>
          </cell>
          <cell r="I3555" t="str">
            <v>DC</v>
          </cell>
          <cell r="J3555" t="str">
            <v>No Data</v>
          </cell>
          <cell r="K3555">
            <v>0</v>
          </cell>
        </row>
        <row r="3556">
          <cell r="C3556">
            <v>2510303.4053045898</v>
          </cell>
          <cell r="D3556">
            <v>0.71849146337798298</v>
          </cell>
          <cell r="E3556">
            <v>157802</v>
          </cell>
          <cell r="F3556">
            <v>113379.389903972</v>
          </cell>
          <cell r="G3556">
            <v>4.5165612118593691E-2</v>
          </cell>
          <cell r="I3556" t="str">
            <v>DC</v>
          </cell>
          <cell r="J3556" t="str">
            <v>High</v>
          </cell>
          <cell r="K3556">
            <v>102576</v>
          </cell>
        </row>
        <row r="3557">
          <cell r="C3557">
            <v>2159096.10928183</v>
          </cell>
          <cell r="D3557">
            <v>0.72494034386553896</v>
          </cell>
          <cell r="E3557">
            <v>160490</v>
          </cell>
          <cell r="F3557">
            <v>116345.67578698001</v>
          </cell>
          <cell r="G3557">
            <v>5.3886288473596257E-2</v>
          </cell>
          <cell r="I3557" t="str">
            <v>DC</v>
          </cell>
          <cell r="J3557" t="str">
            <v>No Data</v>
          </cell>
          <cell r="K3557">
            <v>0</v>
          </cell>
        </row>
        <row r="3558">
          <cell r="C3558">
            <v>2803470.1480840798</v>
          </cell>
          <cell r="D3558">
            <v>0.70280185833758602</v>
          </cell>
          <cell r="E3558">
            <v>183544</v>
          </cell>
          <cell r="F3558">
            <v>128995.064286714</v>
          </cell>
          <cell r="G3558">
            <v>4.6012640575063921E-2</v>
          </cell>
          <cell r="I3558" t="str">
            <v>DC</v>
          </cell>
          <cell r="J3558" t="str">
            <v>High</v>
          </cell>
          <cell r="K3558">
            <v>102576</v>
          </cell>
        </row>
        <row r="3559">
          <cell r="C3559">
            <v>2413856.3004086302</v>
          </cell>
          <cell r="D3559">
            <v>0.71160556447632595</v>
          </cell>
          <cell r="E3559">
            <v>189210</v>
          </cell>
          <cell r="F3559">
            <v>134642.888854566</v>
          </cell>
          <cell r="G3559">
            <v>5.5779164994938991E-2</v>
          </cell>
          <cell r="I3559" t="str">
            <v>DC</v>
          </cell>
          <cell r="J3559" t="str">
            <v>No Data</v>
          </cell>
          <cell r="K3559">
            <v>0</v>
          </cell>
        </row>
        <row r="3560">
          <cell r="C3560">
            <v>2968539.7739628698</v>
          </cell>
          <cell r="D3560">
            <v>0.70246087210230301</v>
          </cell>
          <cell r="E3560">
            <v>220535</v>
          </cell>
          <cell r="F3560">
            <v>154917.20842908099</v>
          </cell>
          <cell r="G3560">
            <v>5.2186334098624304E-2</v>
          </cell>
          <cell r="I3560" t="str">
            <v>DC</v>
          </cell>
          <cell r="J3560" t="str">
            <v>High</v>
          </cell>
          <cell r="K3560">
            <v>102576</v>
          </cell>
        </row>
        <row r="3561">
          <cell r="C3561">
            <v>2511231.2698452799</v>
          </cell>
          <cell r="D3561">
            <v>0.69341415886885405</v>
          </cell>
          <cell r="E3561">
            <v>223987</v>
          </cell>
          <cell r="F3561">
            <v>155315.75720255799</v>
          </cell>
          <cell r="G3561">
            <v>6.1848448236361438E-2</v>
          </cell>
          <cell r="I3561" t="str">
            <v>DC</v>
          </cell>
          <cell r="J3561" t="str">
            <v>No Data</v>
          </cell>
          <cell r="K3561">
            <v>0</v>
          </cell>
        </row>
        <row r="3562">
          <cell r="C3562">
            <v>3155249.8391868798</v>
          </cell>
          <cell r="D3562">
            <v>0.71526705702670801</v>
          </cell>
          <cell r="E3562">
            <v>238566</v>
          </cell>
          <cell r="F3562">
            <v>170638.40072663399</v>
          </cell>
          <cell r="G3562">
            <v>5.4080788978221821E-2</v>
          </cell>
          <cell r="I3562" t="str">
            <v>DC</v>
          </cell>
          <cell r="J3562" t="str">
            <v>High</v>
          </cell>
          <cell r="K3562">
            <v>102576</v>
          </cell>
        </row>
        <row r="3563">
          <cell r="C3563">
            <v>2640623.4971461399</v>
          </cell>
          <cell r="D3563">
            <v>0.686380574098304</v>
          </cell>
          <cell r="E3563">
            <v>243453</v>
          </cell>
          <cell r="F3563">
            <v>167101.409905954</v>
          </cell>
          <cell r="G3563">
            <v>6.3281043316682314E-2</v>
          </cell>
          <cell r="I3563" t="str">
            <v>DC</v>
          </cell>
          <cell r="J3563" t="str">
            <v>No Data</v>
          </cell>
          <cell r="K3563">
            <v>0</v>
          </cell>
        </row>
        <row r="3564">
          <cell r="C3564">
            <v>2964772.0987299802</v>
          </cell>
          <cell r="D3564">
            <v>0.69098228658018301</v>
          </cell>
          <cell r="E3564">
            <v>251483</v>
          </cell>
          <cell r="F3564">
            <v>173770.298376044</v>
          </cell>
          <cell r="G3564">
            <v>5.8611688382551229E-2</v>
          </cell>
          <cell r="I3564" t="str">
            <v>DC</v>
          </cell>
          <cell r="J3564" t="str">
            <v>High</v>
          </cell>
          <cell r="K3564">
            <v>102576</v>
          </cell>
        </row>
        <row r="3565">
          <cell r="C3565">
            <v>2482973.3118962301</v>
          </cell>
          <cell r="D3565">
            <v>0.73587566518393199</v>
          </cell>
          <cell r="E3565">
            <v>234476</v>
          </cell>
          <cell r="F3565">
            <v>172545.18246966801</v>
          </cell>
          <cell r="G3565">
            <v>6.9491356045988439E-2</v>
          </cell>
          <cell r="I3565" t="str">
            <v>DC</v>
          </cell>
          <cell r="J3565" t="str">
            <v>No Data</v>
          </cell>
          <cell r="K3565">
            <v>0</v>
          </cell>
        </row>
        <row r="3566">
          <cell r="C3566">
            <v>2829318.6522119599</v>
          </cell>
          <cell r="D3566">
            <v>0.75669057661573602</v>
          </cell>
          <cell r="E3566">
            <v>245368</v>
          </cell>
          <cell r="F3566">
            <v>185667.65340305</v>
          </cell>
          <cell r="G3566">
            <v>6.5622743927374577E-2</v>
          </cell>
          <cell r="I3566" t="str">
            <v>DC</v>
          </cell>
          <cell r="J3566" t="str">
            <v>High</v>
          </cell>
          <cell r="K3566">
            <v>102576</v>
          </cell>
        </row>
        <row r="3567">
          <cell r="C3567">
            <v>2432853.1216691299</v>
          </cell>
          <cell r="D3567">
            <v>0.72397997182308504</v>
          </cell>
          <cell r="E3567">
            <v>254239</v>
          </cell>
          <cell r="F3567">
            <v>184063.944056329</v>
          </cell>
          <cell r="G3567">
            <v>7.5657647564866787E-2</v>
          </cell>
          <cell r="I3567" t="str">
            <v>DC</v>
          </cell>
          <cell r="J3567" t="str">
            <v>No Data</v>
          </cell>
          <cell r="K3567">
            <v>0</v>
          </cell>
        </row>
        <row r="3568">
          <cell r="C3568">
            <v>2688008.6007489101</v>
          </cell>
          <cell r="D3568">
            <v>0.70980043249841296</v>
          </cell>
          <cell r="E3568">
            <v>221646</v>
          </cell>
          <cell r="F3568">
            <v>157324.426661543</v>
          </cell>
          <cell r="G3568">
            <v>5.8528245265923109E-2</v>
          </cell>
          <cell r="I3568" t="str">
            <v>DC</v>
          </cell>
          <cell r="J3568" t="str">
            <v>High</v>
          </cell>
          <cell r="K3568">
            <v>102576</v>
          </cell>
        </row>
        <row r="3569">
          <cell r="C3569">
            <v>2283942.6584579102</v>
          </cell>
          <cell r="D3569">
            <v>0.71787878017805196</v>
          </cell>
          <cell r="E3569">
            <v>219654</v>
          </cell>
          <cell r="F3569">
            <v>157684.94558122999</v>
          </cell>
          <cell r="G3569">
            <v>6.904067621719405E-2</v>
          </cell>
          <cell r="I3569" t="str">
            <v>DC</v>
          </cell>
          <cell r="J3569" t="str">
            <v>No Data</v>
          </cell>
          <cell r="K3569">
            <v>0</v>
          </cell>
        </row>
        <row r="3570">
          <cell r="C3570">
            <v>2723023.1076143002</v>
          </cell>
          <cell r="D3570">
            <v>0.71510726153428195</v>
          </cell>
          <cell r="E3570">
            <v>217758</v>
          </cell>
          <cell r="F3570">
            <v>155720.327057182</v>
          </cell>
          <cell r="G3570">
            <v>5.7186561003373916E-2</v>
          </cell>
          <cell r="I3570" t="str">
            <v>DC</v>
          </cell>
          <cell r="J3570" t="str">
            <v>High</v>
          </cell>
          <cell r="K3570">
            <v>102576</v>
          </cell>
        </row>
        <row r="3571">
          <cell r="C3571">
            <v>2290277.1294368398</v>
          </cell>
          <cell r="D3571">
            <v>0.69844012184021598</v>
          </cell>
          <cell r="E3571">
            <v>222704</v>
          </cell>
          <cell r="F3571">
            <v>155545.40889430299</v>
          </cell>
          <cell r="G3571">
            <v>6.7915540392507134E-2</v>
          </cell>
          <cell r="I3571" t="str">
            <v>DC</v>
          </cell>
          <cell r="J3571" t="str">
            <v>No Data</v>
          </cell>
          <cell r="K3571">
            <v>0</v>
          </cell>
        </row>
        <row r="3572">
          <cell r="C3572">
            <v>3299518.92724466</v>
          </cell>
          <cell r="D3572">
            <v>0.71068602421689997</v>
          </cell>
          <cell r="E3572">
            <v>201696</v>
          </cell>
          <cell r="F3572">
            <v>143342.528340452</v>
          </cell>
          <cell r="G3572">
            <v>4.3443462971783441E-2</v>
          </cell>
          <cell r="I3572" t="str">
            <v>DC</v>
          </cell>
          <cell r="J3572" t="str">
            <v>High</v>
          </cell>
          <cell r="K3572">
            <v>102576</v>
          </cell>
        </row>
        <row r="3573">
          <cell r="C3573">
            <v>2747243.7005524901</v>
          </cell>
          <cell r="D3573">
            <v>0.70768198732260701</v>
          </cell>
          <cell r="E3573">
            <v>204068</v>
          </cell>
          <cell r="F3573">
            <v>144415.24778894999</v>
          </cell>
          <cell r="G3573">
            <v>5.2567323299315259E-2</v>
          </cell>
          <cell r="I3573" t="str">
            <v>DC</v>
          </cell>
          <cell r="J3573" t="str">
            <v>No Data</v>
          </cell>
          <cell r="K3573">
            <v>0</v>
          </cell>
        </row>
        <row r="3574">
          <cell r="C3574">
            <v>3809428.9735858398</v>
          </cell>
          <cell r="D3574">
            <v>0.72425125113084998</v>
          </cell>
          <cell r="E3574">
            <v>194675</v>
          </cell>
          <cell r="F3574">
            <v>140993.61231389799</v>
          </cell>
          <cell r="G3574">
            <v>3.7011744618821389E-2</v>
          </cell>
          <cell r="I3574" t="str">
            <v>DC</v>
          </cell>
          <cell r="J3574" t="str">
            <v>High</v>
          </cell>
          <cell r="K3574">
            <v>102576</v>
          </cell>
        </row>
        <row r="3575">
          <cell r="C3575">
            <v>3115755.8346208301</v>
          </cell>
          <cell r="D3575">
            <v>0.70619125360086099</v>
          </cell>
          <cell r="E3575">
            <v>191792</v>
          </cell>
          <cell r="F3575">
            <v>135441.83291061601</v>
          </cell>
          <cell r="G3575">
            <v>4.3469976499971322E-2</v>
          </cell>
          <cell r="I3575" t="str">
            <v>DC</v>
          </cell>
          <cell r="J3575" t="str">
            <v>No Data</v>
          </cell>
          <cell r="K3575">
            <v>0</v>
          </cell>
        </row>
        <row r="3576">
          <cell r="C3576">
            <v>3907916.3453014302</v>
          </cell>
          <cell r="D3576">
            <v>0.72296199273012096</v>
          </cell>
          <cell r="E3576">
            <v>191116</v>
          </cell>
          <cell r="F3576">
            <v>138169.60420261</v>
          </cell>
          <cell r="G3576">
            <v>3.5356336214498095E-2</v>
          </cell>
          <cell r="I3576" t="str">
            <v>DC</v>
          </cell>
          <cell r="J3576" t="str">
            <v>High</v>
          </cell>
          <cell r="K3576">
            <v>102576</v>
          </cell>
        </row>
        <row r="3577">
          <cell r="C3577">
            <v>3354058.0817246302</v>
          </cell>
          <cell r="D3577">
            <v>0.72078342706931198</v>
          </cell>
          <cell r="E3577">
            <v>189870</v>
          </cell>
          <cell r="F3577">
            <v>136855.14929765</v>
          </cell>
          <cell r="G3577">
            <v>4.0802856111328924E-2</v>
          </cell>
          <cell r="I3577" t="str">
            <v>DC</v>
          </cell>
          <cell r="J3577" t="str">
            <v>No Data</v>
          </cell>
          <cell r="K3577">
            <v>0</v>
          </cell>
        </row>
        <row r="3578">
          <cell r="C3578">
            <v>2272253.2177840699</v>
          </cell>
          <cell r="D3578">
            <v>0.73703524933314901</v>
          </cell>
          <cell r="E3578">
            <v>138763</v>
          </cell>
          <cell r="F3578">
            <v>102273.222303216</v>
          </cell>
          <cell r="G3578">
            <v>4.5009606104971935E-2</v>
          </cell>
          <cell r="I3578" t="str">
            <v>DC</v>
          </cell>
          <cell r="J3578" t="str">
            <v>High</v>
          </cell>
          <cell r="K3578">
            <v>102576</v>
          </cell>
        </row>
        <row r="3579">
          <cell r="C3579">
            <v>1955606.82437391</v>
          </cell>
          <cell r="D3579">
            <v>0.71715091223970795</v>
          </cell>
          <cell r="E3579">
            <v>142385</v>
          </cell>
          <cell r="F3579">
            <v>102111.532639251</v>
          </cell>
          <cell r="G3579">
            <v>5.2214755730330478E-2</v>
          </cell>
          <cell r="I3579" t="str">
            <v>DC</v>
          </cell>
          <cell r="J3579" t="str">
            <v>No Data</v>
          </cell>
          <cell r="K3579">
            <v>0</v>
          </cell>
        </row>
        <row r="3580">
          <cell r="C3580">
            <v>2587275.03796008</v>
          </cell>
          <cell r="D3580">
            <v>0.72227052762237498</v>
          </cell>
          <cell r="E3580">
            <v>153806</v>
          </cell>
          <cell r="F3580">
            <v>111089.54077148699</v>
          </cell>
          <cell r="G3580">
            <v>4.2936888866316594E-2</v>
          </cell>
          <cell r="I3580" t="str">
            <v>DC</v>
          </cell>
          <cell r="J3580" t="str">
            <v>High</v>
          </cell>
          <cell r="K3580">
            <v>102576</v>
          </cell>
        </row>
        <row r="3581">
          <cell r="C3581">
            <v>2158167.9001275902</v>
          </cell>
          <cell r="D3581">
            <v>0.71425559053323195</v>
          </cell>
          <cell r="E3581">
            <v>155460</v>
          </cell>
          <cell r="F3581">
            <v>111038.17410429601</v>
          </cell>
          <cell r="G3581">
            <v>5.1450201857664302E-2</v>
          </cell>
          <cell r="I3581" t="str">
            <v>DC</v>
          </cell>
          <cell r="J3581" t="str">
            <v>No Data</v>
          </cell>
          <cell r="K3581">
            <v>0</v>
          </cell>
        </row>
        <row r="3582">
          <cell r="C3582">
            <v>2830380.0349293798</v>
          </cell>
          <cell r="D3582">
            <v>0.72551676415627897</v>
          </cell>
          <cell r="E3582">
            <v>182704</v>
          </cell>
          <cell r="F3582">
            <v>132554.814878409</v>
          </cell>
          <cell r="G3582">
            <v>4.6832868110489034E-2</v>
          </cell>
          <cell r="I3582" t="str">
            <v>DC</v>
          </cell>
          <cell r="J3582" t="str">
            <v>High</v>
          </cell>
          <cell r="K3582">
            <v>102576</v>
          </cell>
        </row>
        <row r="3583">
          <cell r="C3583">
            <v>2432593.7831795202</v>
          </cell>
          <cell r="D3583">
            <v>0.74746002403150602</v>
          </cell>
          <cell r="E3583">
            <v>178094</v>
          </cell>
          <cell r="F3583">
            <v>133118.14551986699</v>
          </cell>
          <cell r="G3583">
            <v>5.4722718786971082E-2</v>
          </cell>
          <cell r="I3583" t="str">
            <v>DC</v>
          </cell>
          <cell r="J3583" t="str">
            <v>No Data</v>
          </cell>
          <cell r="K3583">
            <v>0</v>
          </cell>
        </row>
        <row r="3584">
          <cell r="C3584">
            <v>3020800.11652188</v>
          </cell>
          <cell r="D3584">
            <v>0.74985005552766204</v>
          </cell>
          <cell r="E3584">
            <v>208006</v>
          </cell>
          <cell r="F3584">
            <v>155973.31065008699</v>
          </cell>
          <cell r="G3584">
            <v>5.1633111968253348E-2</v>
          </cell>
          <cell r="I3584" t="str">
            <v>DC</v>
          </cell>
          <cell r="J3584" t="str">
            <v>High</v>
          </cell>
          <cell r="K3584">
            <v>102576</v>
          </cell>
        </row>
        <row r="3585">
          <cell r="C3585">
            <v>2625316.5978199001</v>
          </cell>
          <cell r="D3585">
            <v>0.71251969495886203</v>
          </cell>
          <cell r="E3585">
            <v>220830</v>
          </cell>
          <cell r="F3585">
            <v>157345.72423776501</v>
          </cell>
          <cell r="G3585">
            <v>5.9933999719663192E-2</v>
          </cell>
          <cell r="I3585" t="str">
            <v>DC</v>
          </cell>
          <cell r="J3585" t="str">
            <v>No Data</v>
          </cell>
          <cell r="K3585">
            <v>0</v>
          </cell>
        </row>
        <row r="3586">
          <cell r="C3586">
            <v>3205332.6196030201</v>
          </cell>
          <cell r="D3586">
            <v>0.74823687475350598</v>
          </cell>
          <cell r="E3586">
            <v>235605</v>
          </cell>
          <cell r="F3586">
            <v>176288.34887630001</v>
          </cell>
          <cell r="G3586">
            <v>5.4998457195413714E-2</v>
          </cell>
          <cell r="I3586" t="str">
            <v>DC</v>
          </cell>
          <cell r="J3586" t="str">
            <v>High</v>
          </cell>
          <cell r="K3586">
            <v>102576</v>
          </cell>
        </row>
        <row r="3587">
          <cell r="C3587">
            <v>2701306.0714790798</v>
          </cell>
          <cell r="D3587">
            <v>0.71087646536947302</v>
          </cell>
          <cell r="E3587">
            <v>244809</v>
          </cell>
          <cell r="F3587">
            <v>174028.95661063501</v>
          </cell>
          <cell r="G3587">
            <v>6.4424005279544935E-2</v>
          </cell>
          <cell r="I3587" t="str">
            <v>DC</v>
          </cell>
          <cell r="J3587" t="str">
            <v>No Data</v>
          </cell>
          <cell r="K3587">
            <v>0</v>
          </cell>
        </row>
        <row r="3588">
          <cell r="C3588">
            <v>3081688.0187349198</v>
          </cell>
          <cell r="D3588">
            <v>0.75351401175576804</v>
          </cell>
          <cell r="E3588">
            <v>242923</v>
          </cell>
          <cell r="F3588">
            <v>183045.88427774599</v>
          </cell>
          <cell r="G3588">
            <v>5.9397928396687324E-2</v>
          </cell>
          <cell r="I3588" t="str">
            <v>DC</v>
          </cell>
          <cell r="J3588" t="str">
            <v>High</v>
          </cell>
          <cell r="K3588">
            <v>102576</v>
          </cell>
        </row>
        <row r="3589">
          <cell r="C3589">
            <v>2523562.6384623898</v>
          </cell>
          <cell r="D3589">
            <v>0.74659818830680902</v>
          </cell>
          <cell r="E3589">
            <v>237691</v>
          </cell>
          <cell r="F3589">
            <v>177459.669976834</v>
          </cell>
          <cell r="G3589">
            <v>7.0321087843082206E-2</v>
          </cell>
          <cell r="I3589" t="str">
            <v>DC</v>
          </cell>
          <cell r="J3589" t="str">
            <v>No Data</v>
          </cell>
          <cell r="K3589">
            <v>0</v>
          </cell>
        </row>
        <row r="3590">
          <cell r="C3590">
            <v>2914269.9760289202</v>
          </cell>
          <cell r="D3590">
            <v>0.74236899295971703</v>
          </cell>
          <cell r="E3590">
            <v>255102</v>
          </cell>
          <cell r="F3590">
            <v>189379.81484201</v>
          </cell>
          <cell r="G3590">
            <v>6.498362073511979E-2</v>
          </cell>
          <cell r="I3590" t="str">
            <v>DC</v>
          </cell>
          <cell r="J3590" t="str">
            <v>High</v>
          </cell>
          <cell r="K3590">
            <v>102576</v>
          </cell>
        </row>
        <row r="3591">
          <cell r="C3591">
            <v>2466034.8063947801</v>
          </cell>
          <cell r="D3591">
            <v>0.74777192552347505</v>
          </cell>
          <cell r="E3591">
            <v>250267</v>
          </cell>
          <cell r="F3591">
            <v>187142.63648498399</v>
          </cell>
          <cell r="G3591">
            <v>7.588807586969025E-2</v>
          </cell>
          <cell r="I3591" t="str">
            <v>DC</v>
          </cell>
          <cell r="J3591" t="str">
            <v>No Data</v>
          </cell>
          <cell r="K3591">
            <v>0</v>
          </cell>
        </row>
        <row r="3592">
          <cell r="C3592">
            <v>2747425.2373108501</v>
          </cell>
          <cell r="D3592">
            <v>0.73692598854117097</v>
          </cell>
          <cell r="E3592">
            <v>219692</v>
          </cell>
          <cell r="F3592">
            <v>161896.74427458699</v>
          </cell>
          <cell r="G3592">
            <v>5.892671512075421E-2</v>
          </cell>
          <cell r="I3592" t="str">
            <v>DC</v>
          </cell>
          <cell r="J3592" t="str">
            <v>High</v>
          </cell>
          <cell r="K3592">
            <v>102576</v>
          </cell>
        </row>
        <row r="3593">
          <cell r="C3593">
            <v>2360886.0722328201</v>
          </cell>
          <cell r="D3593">
            <v>0.75139698746073402</v>
          </cell>
          <cell r="E3593">
            <v>219948</v>
          </cell>
          <cell r="F3593">
            <v>165268.26459801401</v>
          </cell>
          <cell r="G3593">
            <v>7.0002642881327473E-2</v>
          </cell>
          <cell r="I3593" t="str">
            <v>DC</v>
          </cell>
          <cell r="J3593" t="str">
            <v>No Data</v>
          </cell>
          <cell r="K3593">
            <v>0</v>
          </cell>
        </row>
        <row r="3594">
          <cell r="C3594">
            <v>2784171.0976042901</v>
          </cell>
          <cell r="D3594">
            <v>0.75692492662836897</v>
          </cell>
          <cell r="E3594">
            <v>213555</v>
          </cell>
          <cell r="F3594">
            <v>161645.10270612099</v>
          </cell>
          <cell r="G3594">
            <v>5.8058609560745954E-2</v>
          </cell>
          <cell r="I3594" t="str">
            <v>DC</v>
          </cell>
          <cell r="J3594" t="str">
            <v>High</v>
          </cell>
          <cell r="K3594">
            <v>102576</v>
          </cell>
        </row>
        <row r="3595">
          <cell r="C3595">
            <v>2358914.61969946</v>
          </cell>
          <cell r="D3595">
            <v>0.77448978886844599</v>
          </cell>
          <cell r="E3595">
            <v>202997</v>
          </cell>
          <cell r="F3595">
            <v>157219.10367092799</v>
          </cell>
          <cell r="G3595">
            <v>6.6648916564414976E-2</v>
          </cell>
          <cell r="I3595" t="str">
            <v>DC</v>
          </cell>
          <cell r="J3595" t="str">
            <v>No Data</v>
          </cell>
          <cell r="K3595">
            <v>0</v>
          </cell>
        </row>
        <row r="3596">
          <cell r="C3596">
            <v>3382335.7973757801</v>
          </cell>
          <cell r="D3596">
            <v>0.764494883356722</v>
          </cell>
          <cell r="E3596">
            <v>197151</v>
          </cell>
          <cell r="F3596">
            <v>150720.93074866099</v>
          </cell>
          <cell r="G3596">
            <v>4.4561196693007052E-2</v>
          </cell>
          <cell r="I3596" t="str">
            <v>DC</v>
          </cell>
          <cell r="J3596" t="str">
            <v>High</v>
          </cell>
          <cell r="K3596">
            <v>102576</v>
          </cell>
        </row>
        <row r="3597">
          <cell r="C3597">
            <v>2874681.91178026</v>
          </cell>
          <cell r="D3597">
            <v>0.77137506039569004</v>
          </cell>
          <cell r="E3597">
            <v>195905</v>
          </cell>
          <cell r="F3597">
            <v>151116.23120681799</v>
          </cell>
          <cell r="G3597">
            <v>5.2567983465423941E-2</v>
          </cell>
          <cell r="I3597" t="str">
            <v>DC</v>
          </cell>
          <cell r="J3597" t="str">
            <v>No Data</v>
          </cell>
          <cell r="K3597">
            <v>0</v>
          </cell>
        </row>
        <row r="3598">
          <cell r="C3598">
            <v>3822796.38871053</v>
          </cell>
          <cell r="D3598">
            <v>0.74039136001391204</v>
          </cell>
          <cell r="E3598">
            <v>187704</v>
          </cell>
          <cell r="F3598">
            <v>138974.41984005101</v>
          </cell>
          <cell r="G3598">
            <v>3.6354125542880027E-2</v>
          </cell>
          <cell r="I3598" t="str">
            <v>DC</v>
          </cell>
          <cell r="J3598" t="str">
            <v>High</v>
          </cell>
          <cell r="K3598">
            <v>102576</v>
          </cell>
        </row>
        <row r="3599">
          <cell r="C3599">
            <v>3283952.4048550599</v>
          </cell>
          <cell r="D3599">
            <v>0.77514666181187097</v>
          </cell>
          <cell r="E3599">
            <v>182489</v>
          </cell>
          <cell r="F3599">
            <v>141455.739167386</v>
          </cell>
          <cell r="G3599">
            <v>4.3074844494778622E-2</v>
          </cell>
          <cell r="I3599" t="str">
            <v>DC</v>
          </cell>
          <cell r="J3599" t="str">
            <v>No Data</v>
          </cell>
          <cell r="K3599">
            <v>0</v>
          </cell>
        </row>
        <row r="3600">
          <cell r="C3600">
            <v>4055742.8469172302</v>
          </cell>
          <cell r="D3600">
            <v>0.76940729485631099</v>
          </cell>
          <cell r="E3600">
            <v>182064</v>
          </cell>
          <cell r="F3600">
            <v>140081.36973071899</v>
          </cell>
          <cell r="G3600">
            <v>3.4539016653187177E-2</v>
          </cell>
          <cell r="I3600" t="str">
            <v>DC</v>
          </cell>
          <cell r="J3600" t="str">
            <v>High</v>
          </cell>
          <cell r="K3600">
            <v>102576</v>
          </cell>
        </row>
        <row r="3601">
          <cell r="C3601">
            <v>3318117.15015702</v>
          </cell>
          <cell r="D3601">
            <v>0.72935941374329205</v>
          </cell>
          <cell r="E3601">
            <v>182722</v>
          </cell>
          <cell r="F3601">
            <v>133270.01079800201</v>
          </cell>
          <cell r="G3601">
            <v>4.0164347660749534E-2</v>
          </cell>
          <cell r="I3601" t="str">
            <v>DC</v>
          </cell>
          <cell r="J3601" t="str">
            <v>No Data</v>
          </cell>
          <cell r="K3601">
            <v>0</v>
          </cell>
        </row>
      </sheetData>
      <sheetData sheetId="7"/>
      <sheetData sheetId="8"/>
      <sheetData sheetId="9"/>
      <sheetData sheetId="10"/>
      <sheetData sheetId="11"/>
      <sheetData sheetId="12"/>
      <sheetData sheetId="13"/>
      <sheetData sheetId="14"/>
      <sheetData sheetId="15"/>
    </sheetDataSet>
  </externalBook>
</externalLink>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ace" refreshedDate="46201.098298842589" backgroundQuery="1" createdVersion="8" refreshedVersion="8" minRefreshableVersion="3" recordCount="0" supportSubquery="1" supportAdvancedDrill="1" xr:uid="{06940581-F466-494C-B7D1-3D75A65E48BE}">
  <cacheSource type="external" connectionId="12"/>
  <cacheFields count="7">
    <cacheField name="[dataset].[state].[state]" caption="state" numFmtId="0" hierarchy="7" level="1">
      <sharedItems containsSemiMixedTypes="0" containsNonDate="0" containsString="0"/>
    </cacheField>
    <cacheField name="[dataset].[year_month].[year_month]" caption="year_month" numFmtId="0" level="1">
      <sharedItems containsSemiMixedTypes="0" containsNonDate="0" containsString="0"/>
    </cacheField>
    <cacheField name="[DimZip].[zip_inc_tier].[zip_inc_tier]" caption="zip_inc_tier" numFmtId="0" hierarchy="18" level="1">
      <sharedItems count="3">
        <s v="High"/>
        <s v="Low"/>
        <s v="Med"/>
      </sharedItems>
    </cacheField>
    <cacheField name="[Measures].[Sum of soda_units_sold]" caption="Sum of soda_units_sold" numFmtId="0" hierarchy="28" level="32767"/>
    <cacheField name="[Measures].[Sum of soda_sales]" caption="Sum of soda_sales" numFmtId="0" hierarchy="25" level="32767"/>
    <cacheField name="[Measures].[Distinct Count of store_id]" caption="Distinct Count of store_id" numFmtId="0" hierarchy="30" level="32767"/>
    <cacheField name="[DimDate].[year].[year]" caption="year" numFmtId="0" hierarchy="9" level="1">
      <sharedItems containsSemiMixedTypes="0" containsNonDate="0" containsString="0"/>
    </cacheField>
  </cacheFields>
  <cacheHierarchies count="33">
    <cacheHierarchy uniqueName="[dataset].[year_month]" caption="year_month" attribute="1" defaultMemberUniqueName="[dataset].[year_month].[All]" allUniqueName="[dataset].[year_month].[All]" dimensionUniqueName="[dataset]" displayFolder="" count="2" memberValueDatatype="20" unbalanced="0">
      <fieldsUsage count="2">
        <fieldUsage x="-1"/>
        <fieldUsage x="1"/>
      </fieldsUsage>
    </cacheHierarchy>
    <cacheHierarchy uniqueName="[dataset].[store_id]" caption="store_id" attribute="1" defaultMemberUniqueName="[dataset].[store_id].[All]" allUniqueName="[dataset].[store_id].[All]" dimensionUniqueName="[dataset]" displayFolder="" count="0" memberValueDatatype="20" unbalanced="0"/>
    <cacheHierarchy uniqueName="[dataset].[total_sales]" caption="total_sales" attribute="1" defaultMemberUniqueName="[dataset].[total_sales].[All]" allUniqueName="[dataset].[total_sales].[All]" dimensionUniqueName="[dataset]" displayFolder="" count="0" memberValueDatatype="5" unbalanced="0"/>
    <cacheHierarchy uniqueName="[dataset].[soda_ppu]" caption="soda_ppu" attribute="1" defaultMemberUniqueName="[dataset].[soda_ppu].[All]" allUniqueName="[dataset].[soda_ppu].[All]" dimensionUniqueName="[dataset]" displayFolder="" count="0" memberValueDatatype="5" unbalanced="0"/>
    <cacheHierarchy uniqueName="[dataset].[soda_units_sold]" caption="soda_units_sold" attribute="1" defaultMemberUniqueName="[dataset].[soda_units_sold].[All]" allUniqueName="[dataset].[soda_units_sold].[All]" dimensionUniqueName="[dataset]" displayFolder="" count="0" memberValueDatatype="20" unbalanced="0"/>
    <cacheHierarchy uniqueName="[dataset].[soda_sales]" caption="soda_sales" attribute="1" defaultMemberUniqueName="[dataset].[soda_sales].[All]" allUniqueName="[dataset].[soda_sales].[All]" dimensionUniqueName="[dataset]" displayFolder="" count="0" memberValueDatatype="5" unbalanced="0"/>
    <cacheHierarchy uniqueName="[dataset].[zip]" caption="zip" attribute="1" defaultMemberUniqueName="[dataset].[zip].[All]" allUniqueName="[dataset].[zip].[All]" dimensionUniqueName="[dataset]" displayFolder="" count="0" memberValueDatatype="130" unbalanced="0"/>
    <cacheHierarchy uniqueName="[dataset].[state]" caption="state" attribute="1" defaultMemberUniqueName="[dataset].[state].[All]" allUniqueName="[dataset].[state].[All]" dimensionUniqueName="[dataset]" displayFolder="" count="2" memberValueDatatype="130" unbalanced="0">
      <fieldsUsage count="2">
        <fieldUsage x="-1"/>
        <fieldUsage x="0"/>
      </fieldsUsage>
    </cacheHierarchy>
    <cacheHierarchy uniqueName="[DimDate].[year_month]" caption="year_month" attribute="1" defaultMemberUniqueName="[DimDate].[year_month].[All]" allUniqueName="[DimDate].[year_month].[All]" dimensionUniqueName="[DimDate]" displayFolder="" count="0" memberValueDatatype="20" unbalanced="0"/>
    <cacheHierarchy uniqueName="[DimDate].[year]" caption="year" attribute="1" defaultMemberUniqueName="[DimDate].[year].[All]" allUniqueName="[DimDate].[year].[All]" dimensionUniqueName="[DimDate]" displayFolder="" count="2" memberValueDatatype="130" unbalanced="0">
      <fieldsUsage count="2">
        <fieldUsage x="-1"/>
        <fieldUsage x="6"/>
      </fieldsUsage>
    </cacheHierarchy>
    <cacheHierarchy uniqueName="[DimDate].[month]" caption="month" attribute="1" defaultMemberUniqueName="[DimDate].[month].[All]" allUniqueName="[DimDate].[month].[All]" dimensionUniqueName="[DimDate]" displayFolder="" count="0" memberValueDatatype="130" unbalanced="0"/>
    <cacheHierarchy uniqueName="[DimDate].[month_start]" caption="month_start" attribute="1" defaultMemberUniqueName="[DimDate].[month_start].[All]" allUniqueName="[DimDate].[month_start].[All]" dimensionUniqueName="[DimDat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zip]" caption="zip" attribute="1" defaultMemberUniqueName="[DimStore].[zip].[All]" allUniqueName="[DimStore].[zip].[All]" dimensionUniqueName="[DimStore]" displayFolder="" count="0" memberValueDatatype="130" unbalanced="0"/>
    <cacheHierarchy uniqueName="[DimStore].[state]" caption="state" attribute="1" defaultMemberUniqueName="[DimStore].[state].[All]" allUniqueName="[DimStore].[state].[All]" dimensionUniqueName="[DimStore]" displayFolder="" count="0" memberValueDatatype="130" unbalanced="0"/>
    <cacheHierarchy uniqueName="[DimZip].[zip]" caption="zip" attribute="1" defaultMemberUniqueName="[DimZip].[zip].[All]" allUniqueName="[DimZip].[zip].[All]" dimensionUniqueName="[DimZip]" displayFolder="" count="0" memberValueDatatype="130" unbalanced="0"/>
    <cacheHierarchy uniqueName="[DimZip].[state]" caption="state" attribute="1" defaultMemberUniqueName="[DimZip].[state].[All]" allUniqueName="[DimZip].[state].[All]" dimensionUniqueName="[DimZip]" displayFolder="" count="0" memberValueDatatype="130" unbalanced="0"/>
    <cacheHierarchy uniqueName="[DimZip].[zip_med_inc_avg]" caption="zip_med_inc_avg" attribute="1" defaultMemberUniqueName="[DimZip].[zip_med_inc_avg].[All]" allUniqueName="[DimZip].[zip_med_inc_avg].[All]" dimensionUniqueName="[DimZip]" displayFolder="" count="0" memberValueDatatype="5" unbalanced="0"/>
    <cacheHierarchy uniqueName="[DimZip].[zip_inc_tier]" caption="zip_inc_tier" attribute="1" defaultMemberUniqueName="[DimZip].[zip_inc_tier].[All]" allUniqueName="[DimZip].[zip_inc_tier].[All]" dimensionUniqueName="[DimZip]" displayFolder="" count="2" memberValueDatatype="130" unbalanced="0">
      <fieldsUsage count="2">
        <fieldUsage x="-1"/>
        <fieldUsage x="2"/>
      </fieldsUsage>
    </cacheHierarchy>
    <cacheHierarchy uniqueName="[Measures].[__XL_Count dataset]" caption="__XL_Count dataset" measure="1" displayFolder="" measureGroup="dataset" count="0" hidden="1"/>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Zip]" caption="__XL_Count DimZip" measure="1" displayFolder="" measureGroup="DimZip" count="0" hidden="1"/>
    <cacheHierarchy uniqueName="[Measures].[__No measures defined]" caption="__No measures defined" measure="1" displayFolder="" count="0" hidden="1"/>
    <cacheHierarchy uniqueName="[Measures].[Sum of year_month]" caption="Sum of year_month" measure="1" displayFolder="" measureGroup="DimDate" count="0" hidden="1">
      <extLst>
        <ext xmlns:x15="http://schemas.microsoft.com/office/spreadsheetml/2010/11/main" uri="{B97F6D7D-B522-45F9-BDA1-12C45D357490}">
          <x15:cacheHierarchy aggregatedColumn="8"/>
        </ext>
      </extLst>
    </cacheHierarchy>
    <cacheHierarchy uniqueName="[Measures].[Sum of soda_sales]" caption="Sum of soda_sales" measure="1" displayFolder="" measureGroup="dataset" count="0" oneField="1" hidden="1">
      <fieldsUsage count="1">
        <fieldUsage x="4"/>
      </fieldsUsage>
      <extLst>
        <ext xmlns:x15="http://schemas.microsoft.com/office/spreadsheetml/2010/11/main" uri="{B97F6D7D-B522-45F9-BDA1-12C45D357490}">
          <x15:cacheHierarchy aggregatedColumn="5"/>
        </ext>
      </extLst>
    </cacheHierarchy>
    <cacheHierarchy uniqueName="[Measures].[Sum of total_sales]" caption="Sum of total_sales" measure="1" displayFolder="" measureGroup="dataset" count="0" hidden="1">
      <extLst>
        <ext xmlns:x15="http://schemas.microsoft.com/office/spreadsheetml/2010/11/main" uri="{B97F6D7D-B522-45F9-BDA1-12C45D357490}">
          <x15:cacheHierarchy aggregatedColumn="2"/>
        </ext>
      </extLst>
    </cacheHierarchy>
    <cacheHierarchy uniqueName="[Measures].[Sum of year_month 2]" caption="Sum of year_month 2" measure="1" displayFolder="" measureGroup="dataset" count="0" hidden="1">
      <extLst>
        <ext xmlns:x15="http://schemas.microsoft.com/office/spreadsheetml/2010/11/main" uri="{B97F6D7D-B522-45F9-BDA1-12C45D357490}">
          <x15:cacheHierarchy aggregatedColumn="0"/>
        </ext>
      </extLst>
    </cacheHierarchy>
    <cacheHierarchy uniqueName="[Measures].[Sum of soda_units_sold]" caption="Sum of soda_units_sold" measure="1" displayFolder="" measureGroup="dataset"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store_id]" caption="Sum of store_id" measure="1" displayFolder="" measureGroup="dataset" count="0" hidden="1">
      <extLst>
        <ext xmlns:x15="http://schemas.microsoft.com/office/spreadsheetml/2010/11/main" uri="{B97F6D7D-B522-45F9-BDA1-12C45D357490}">
          <x15:cacheHierarchy aggregatedColumn="1"/>
        </ext>
      </extLst>
    </cacheHierarchy>
    <cacheHierarchy uniqueName="[Measures].[Distinct Count of store_id]" caption="Distinct Count of store_id" measure="1" displayFolder="" measureGroup="dataset" count="0" oneField="1" hidden="1">
      <fieldsUsage count="1">
        <fieldUsage x="5"/>
      </fieldsUsage>
      <extLst>
        <ext xmlns:x15="http://schemas.microsoft.com/office/spreadsheetml/2010/11/main" uri="{B97F6D7D-B522-45F9-BDA1-12C45D357490}">
          <x15:cacheHierarchy aggregatedColumn="1"/>
        </ext>
      </extLst>
    </cacheHierarchy>
    <cacheHierarchy uniqueName="[Measures].[Sum of soda_ppu]" caption="Sum of soda_ppu" measure="1" displayFolder="" measureGroup="dataset" count="0" hidden="1">
      <extLst>
        <ext xmlns:x15="http://schemas.microsoft.com/office/spreadsheetml/2010/11/main" uri="{B97F6D7D-B522-45F9-BDA1-12C45D357490}">
          <x15:cacheHierarchy aggregatedColumn="3"/>
        </ext>
      </extLst>
    </cacheHierarchy>
    <cacheHierarchy uniqueName="[Measures].[Average of soda_ppu]" caption="Average of soda_ppu" measure="1" displayFolder="" measureGroup="dataset" count="0" hidden="1">
      <extLst>
        <ext xmlns:x15="http://schemas.microsoft.com/office/spreadsheetml/2010/11/main" uri="{B97F6D7D-B522-45F9-BDA1-12C45D357490}">
          <x15:cacheHierarchy aggregatedColumn="3"/>
        </ext>
      </extLst>
    </cacheHierarchy>
  </cacheHierarchies>
  <kpis count="0"/>
  <dimensions count="5">
    <dimension name="dataset" uniqueName="[dataset]" caption="dataset"/>
    <dimension name="DimDate" uniqueName="[DimDate]" caption="DimDate"/>
    <dimension name="DimStore" uniqueName="[DimStore]" caption="DimStore"/>
    <dimension name="DimZip" uniqueName="[DimZip]" caption="DimZip"/>
    <dimension measure="1" name="Measures" uniqueName="[Measures]" caption="Measures"/>
  </dimensions>
  <measureGroups count="4">
    <measureGroup name="dataset" caption="dataset"/>
    <measureGroup name="DimDate" caption="DimDate"/>
    <measureGroup name="DimStore" caption="DimStore"/>
    <measureGroup name="DimZip" caption="DimZip"/>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ace" refreshedDate="46200.739656944446" backgroundQuery="1" createdVersion="8" refreshedVersion="8" minRefreshableVersion="3" recordCount="0" supportSubquery="1" supportAdvancedDrill="1" xr:uid="{FF396B1F-2F27-4ECE-9FEE-9BC032E4F4DC}">
  <cacheSource type="external" connectionId="12"/>
  <cacheFields count="3">
    <cacheField name="[DimStore].[state].[state]" caption="state" numFmtId="0" hierarchy="14" level="1">
      <sharedItems count="6">
        <s v="DC"/>
        <s v="GA"/>
        <s v="MD"/>
        <s v="NC"/>
        <s v="VA"/>
        <s v="WV"/>
      </sharedItems>
    </cacheField>
    <cacheField name="[Measures].[Sum of total_sales]" caption="Sum of total_sales" numFmtId="0" hierarchy="26" level="32767"/>
    <cacheField name="[Measures].[Sum of soda_sales]" caption="Sum of soda_sales" numFmtId="0" hierarchy="25" level="32767"/>
  </cacheFields>
  <cacheHierarchies count="33">
    <cacheHierarchy uniqueName="[dataset].[year_month]" caption="year_month" attribute="1" defaultMemberUniqueName="[dataset].[year_month].[All]" allUniqueName="[dataset].[year_month].[All]" dimensionUniqueName="[dataset]" displayFolder="" count="0" memberValueDatatype="20" unbalanced="0"/>
    <cacheHierarchy uniqueName="[dataset].[store_id]" caption="store_id" attribute="1" defaultMemberUniqueName="[dataset].[store_id].[All]" allUniqueName="[dataset].[store_id].[All]" dimensionUniqueName="[dataset]" displayFolder="" count="0" memberValueDatatype="20" unbalanced="0"/>
    <cacheHierarchy uniqueName="[dataset].[total_sales]" caption="total_sales" attribute="1" defaultMemberUniqueName="[dataset].[total_sales].[All]" allUniqueName="[dataset].[total_sales].[All]" dimensionUniqueName="[dataset]" displayFolder="" count="0" memberValueDatatype="5" unbalanced="0"/>
    <cacheHierarchy uniqueName="[dataset].[soda_ppu]" caption="soda_ppu" attribute="1" defaultMemberUniqueName="[dataset].[soda_ppu].[All]" allUniqueName="[dataset].[soda_ppu].[All]" dimensionUniqueName="[dataset]" displayFolder="" count="0" memberValueDatatype="5" unbalanced="0"/>
    <cacheHierarchy uniqueName="[dataset].[soda_units_sold]" caption="soda_units_sold" attribute="1" defaultMemberUniqueName="[dataset].[soda_units_sold].[All]" allUniqueName="[dataset].[soda_units_sold].[All]" dimensionUniqueName="[dataset]" displayFolder="" count="0" memberValueDatatype="20" unbalanced="0"/>
    <cacheHierarchy uniqueName="[dataset].[soda_sales]" caption="soda_sales" attribute="1" defaultMemberUniqueName="[dataset].[soda_sales].[All]" allUniqueName="[dataset].[soda_sales].[All]" dimensionUniqueName="[dataset]" displayFolder="" count="0" memberValueDatatype="5" unbalanced="0"/>
    <cacheHierarchy uniqueName="[dataset].[zip]" caption="zip" attribute="1" defaultMemberUniqueName="[dataset].[zip].[All]" allUniqueName="[dataset].[zip].[All]" dimensionUniqueName="[dataset]" displayFolder="" count="0" memberValueDatatype="130" unbalanced="0"/>
    <cacheHierarchy uniqueName="[dataset].[state]" caption="state" attribute="1" defaultMemberUniqueName="[dataset].[state].[All]" allUniqueName="[dataset].[state].[All]" dimensionUniqueName="[dataset]" displayFolder="" count="0" memberValueDatatype="130" unbalanced="0"/>
    <cacheHierarchy uniqueName="[DimDate].[year_month]" caption="year_month" attribute="1" defaultMemberUniqueName="[DimDate].[year_month].[All]" allUniqueName="[DimDate].[year_month].[All]" dimensionUniqueName="[DimDate]" displayFolder="" count="0" memberValueDatatype="20" unbalanced="0"/>
    <cacheHierarchy uniqueName="[DimDate].[year]" caption="year" attribute="1" defaultMemberUniqueName="[DimDate].[year].[All]" allUniqueName="[DimDate].[yea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130" unbalanced="0"/>
    <cacheHierarchy uniqueName="[DimDate].[month_start]" caption="month_start" attribute="1" defaultMemberUniqueName="[DimDate].[month_start].[All]" allUniqueName="[DimDate].[month_start].[All]" dimensionUniqueName="[DimDat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zip]" caption="zip" attribute="1" defaultMemberUniqueName="[DimStore].[zip].[All]" allUniqueName="[DimStore].[zip].[All]" dimensionUniqueName="[DimStore]" displayFolder="" count="0" memberValueDatatype="130" unbalanced="0"/>
    <cacheHierarchy uniqueName="[DimStore].[state]" caption="state" attribute="1" defaultMemberUniqueName="[DimStore].[state].[All]" allUniqueName="[DimStore].[state].[All]" dimensionUniqueName="[DimStore]" displayFolder="" count="2" memberValueDatatype="130" unbalanced="0">
      <fieldsUsage count="2">
        <fieldUsage x="-1"/>
        <fieldUsage x="0"/>
      </fieldsUsage>
    </cacheHierarchy>
    <cacheHierarchy uniqueName="[DimZip].[zip]" caption="zip" attribute="1" defaultMemberUniqueName="[DimZip].[zip].[All]" allUniqueName="[DimZip].[zip].[All]" dimensionUniqueName="[DimZip]" displayFolder="" count="0" memberValueDatatype="130" unbalanced="0"/>
    <cacheHierarchy uniqueName="[DimZip].[state]" caption="state" attribute="1" defaultMemberUniqueName="[DimZip].[state].[All]" allUniqueName="[DimZip].[state].[All]" dimensionUniqueName="[DimZip]" displayFolder="" count="0" memberValueDatatype="130" unbalanced="0"/>
    <cacheHierarchy uniqueName="[DimZip].[zip_med_inc_avg]" caption="zip_med_inc_avg" attribute="1" defaultMemberUniqueName="[DimZip].[zip_med_inc_avg].[All]" allUniqueName="[DimZip].[zip_med_inc_avg].[All]" dimensionUniqueName="[DimZip]" displayFolder="" count="0" memberValueDatatype="5" unbalanced="0"/>
    <cacheHierarchy uniqueName="[DimZip].[zip_inc_tier]" caption="zip_inc_tier" attribute="1" defaultMemberUniqueName="[DimZip].[zip_inc_tier].[All]" allUniqueName="[DimZip].[zip_inc_tier].[All]" dimensionUniqueName="[DimZip]" displayFolder="" count="0" memberValueDatatype="130" unbalanced="0"/>
    <cacheHierarchy uniqueName="[Measures].[__XL_Count dataset]" caption="__XL_Count dataset" measure="1" displayFolder="" measureGroup="dataset" count="0" hidden="1"/>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Zip]" caption="__XL_Count DimZip" measure="1" displayFolder="" measureGroup="DimZip" count="0" hidden="1"/>
    <cacheHierarchy uniqueName="[Measures].[__No measures defined]" caption="__No measures defined" measure="1" displayFolder="" count="0" hidden="1"/>
    <cacheHierarchy uniqueName="[Measures].[Sum of year_month]" caption="Sum of year_month" measure="1" displayFolder="" measureGroup="DimDate" count="0" hidden="1">
      <extLst>
        <ext xmlns:x15="http://schemas.microsoft.com/office/spreadsheetml/2010/11/main" uri="{B97F6D7D-B522-45F9-BDA1-12C45D357490}">
          <x15:cacheHierarchy aggregatedColumn="8"/>
        </ext>
      </extLst>
    </cacheHierarchy>
    <cacheHierarchy uniqueName="[Measures].[Sum of soda_sales]" caption="Sum of soda_sales" measure="1" displayFolder="" measureGroup="dataset"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total_sales]" caption="Sum of total_sales" measure="1" displayFolder="" measureGroup="dataset"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year_month 2]" caption="Sum of year_month 2" measure="1" displayFolder="" measureGroup="dataset" count="0" hidden="1">
      <extLst>
        <ext xmlns:x15="http://schemas.microsoft.com/office/spreadsheetml/2010/11/main" uri="{B97F6D7D-B522-45F9-BDA1-12C45D357490}">
          <x15:cacheHierarchy aggregatedColumn="0"/>
        </ext>
      </extLst>
    </cacheHierarchy>
    <cacheHierarchy uniqueName="[Measures].[Sum of soda_units_sold]" caption="Sum of soda_units_sold" measure="1" displayFolder="" measureGroup="dataset" count="0" hidden="1">
      <extLst>
        <ext xmlns:x15="http://schemas.microsoft.com/office/spreadsheetml/2010/11/main" uri="{B97F6D7D-B522-45F9-BDA1-12C45D357490}">
          <x15:cacheHierarchy aggregatedColumn="4"/>
        </ext>
      </extLst>
    </cacheHierarchy>
    <cacheHierarchy uniqueName="[Measures].[Sum of store_id]" caption="Sum of store_id" measure="1" displayFolder="" measureGroup="dataset" count="0" hidden="1">
      <extLst>
        <ext xmlns:x15="http://schemas.microsoft.com/office/spreadsheetml/2010/11/main" uri="{B97F6D7D-B522-45F9-BDA1-12C45D357490}">
          <x15:cacheHierarchy aggregatedColumn="1"/>
        </ext>
      </extLst>
    </cacheHierarchy>
    <cacheHierarchy uniqueName="[Measures].[Distinct Count of store_id]" caption="Distinct Count of store_id" measure="1" displayFolder="" measureGroup="dataset" count="0" hidden="1">
      <extLst>
        <ext xmlns:x15="http://schemas.microsoft.com/office/spreadsheetml/2010/11/main" uri="{B97F6D7D-B522-45F9-BDA1-12C45D357490}">
          <x15:cacheHierarchy aggregatedColumn="1"/>
        </ext>
      </extLst>
    </cacheHierarchy>
    <cacheHierarchy uniqueName="[Measures].[Sum of soda_ppu]" caption="Sum of soda_ppu" measure="1" displayFolder="" measureGroup="dataset" count="0" hidden="1">
      <extLst>
        <ext xmlns:x15="http://schemas.microsoft.com/office/spreadsheetml/2010/11/main" uri="{B97F6D7D-B522-45F9-BDA1-12C45D357490}">
          <x15:cacheHierarchy aggregatedColumn="3"/>
        </ext>
      </extLst>
    </cacheHierarchy>
    <cacheHierarchy uniqueName="[Measures].[Average of soda_ppu]" caption="Average of soda_ppu" measure="1" displayFolder="" measureGroup="dataset" count="0" hidden="1">
      <extLst>
        <ext xmlns:x15="http://schemas.microsoft.com/office/spreadsheetml/2010/11/main" uri="{B97F6D7D-B522-45F9-BDA1-12C45D357490}">
          <x15:cacheHierarchy aggregatedColumn="3"/>
        </ext>
      </extLst>
    </cacheHierarchy>
  </cacheHierarchies>
  <kpis count="0"/>
  <dimensions count="5">
    <dimension name="dataset" uniqueName="[dataset]" caption="dataset"/>
    <dimension name="DimDate" uniqueName="[DimDate]" caption="DimDate"/>
    <dimension name="DimStore" uniqueName="[DimStore]" caption="DimStore"/>
    <dimension name="DimZip" uniqueName="[DimZip]" caption="DimZip"/>
    <dimension measure="1" name="Measures" uniqueName="[Measures]" caption="Measures"/>
  </dimensions>
  <measureGroups count="4">
    <measureGroup name="dataset" caption="dataset"/>
    <measureGroup name="DimDate" caption="DimDate"/>
    <measureGroup name="DimStore" caption="DimStore"/>
    <measureGroup name="DimZip" caption="DimZip"/>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ace" refreshedDate="46200.738227893518" backgroundQuery="1" createdVersion="8" refreshedVersion="8" minRefreshableVersion="3" recordCount="0" supportSubquery="1" supportAdvancedDrill="1" xr:uid="{C8074C58-2048-4BD7-8C79-243579AB9562}">
  <cacheSource type="external" connectionId="12"/>
  <cacheFields count="2">
    <cacheField name="[DimZip].[zip_inc_tier].[zip_inc_tier]" caption="zip_inc_tier" numFmtId="0" hierarchy="18" level="1">
      <sharedItems count="4">
        <s v="High"/>
        <s v="Low"/>
        <s v="Med"/>
        <s v="No Data"/>
      </sharedItems>
    </cacheField>
    <cacheField name="[Measures].[Sum of soda_sales]" caption="Sum of soda_sales" numFmtId="0" hierarchy="25" level="32767"/>
  </cacheFields>
  <cacheHierarchies count="33">
    <cacheHierarchy uniqueName="[dataset].[year_month]" caption="year_month" attribute="1" defaultMemberUniqueName="[dataset].[year_month].[All]" allUniqueName="[dataset].[year_month].[All]" dimensionUniqueName="[dataset]" displayFolder="" count="0" memberValueDatatype="20" unbalanced="0"/>
    <cacheHierarchy uniqueName="[dataset].[store_id]" caption="store_id" attribute="1" defaultMemberUniqueName="[dataset].[store_id].[All]" allUniqueName="[dataset].[store_id].[All]" dimensionUniqueName="[dataset]" displayFolder="" count="0" memberValueDatatype="20" unbalanced="0"/>
    <cacheHierarchy uniqueName="[dataset].[total_sales]" caption="total_sales" attribute="1" defaultMemberUniqueName="[dataset].[total_sales].[All]" allUniqueName="[dataset].[total_sales].[All]" dimensionUniqueName="[dataset]" displayFolder="" count="0" memberValueDatatype="5" unbalanced="0"/>
    <cacheHierarchy uniqueName="[dataset].[soda_ppu]" caption="soda_ppu" attribute="1" defaultMemberUniqueName="[dataset].[soda_ppu].[All]" allUniqueName="[dataset].[soda_ppu].[All]" dimensionUniqueName="[dataset]" displayFolder="" count="0" memberValueDatatype="5" unbalanced="0"/>
    <cacheHierarchy uniqueName="[dataset].[soda_units_sold]" caption="soda_units_sold" attribute="1" defaultMemberUniqueName="[dataset].[soda_units_sold].[All]" allUniqueName="[dataset].[soda_units_sold].[All]" dimensionUniqueName="[dataset]" displayFolder="" count="0" memberValueDatatype="20" unbalanced="0"/>
    <cacheHierarchy uniqueName="[dataset].[soda_sales]" caption="soda_sales" attribute="1" defaultMemberUniqueName="[dataset].[soda_sales].[All]" allUniqueName="[dataset].[soda_sales].[All]" dimensionUniqueName="[dataset]" displayFolder="" count="0" memberValueDatatype="5" unbalanced="0"/>
    <cacheHierarchy uniqueName="[dataset].[zip]" caption="zip" attribute="1" defaultMemberUniqueName="[dataset].[zip].[All]" allUniqueName="[dataset].[zip].[All]" dimensionUniqueName="[dataset]" displayFolder="" count="0" memberValueDatatype="130" unbalanced="0"/>
    <cacheHierarchy uniqueName="[dataset].[state]" caption="state" attribute="1" defaultMemberUniqueName="[dataset].[state].[All]" allUniqueName="[dataset].[state].[All]" dimensionUniqueName="[dataset]" displayFolder="" count="0" memberValueDatatype="130" unbalanced="0"/>
    <cacheHierarchy uniqueName="[DimDate].[year_month]" caption="year_month" attribute="1" defaultMemberUniqueName="[DimDate].[year_month].[All]" allUniqueName="[DimDate].[year_month].[All]" dimensionUniqueName="[DimDate]" displayFolder="" count="0" memberValueDatatype="20" unbalanced="0"/>
    <cacheHierarchy uniqueName="[DimDate].[year]" caption="year" attribute="1" defaultMemberUniqueName="[DimDate].[year].[All]" allUniqueName="[DimDate].[yea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130" unbalanced="0"/>
    <cacheHierarchy uniqueName="[DimDate].[month_start]" caption="month_start" attribute="1" defaultMemberUniqueName="[DimDate].[month_start].[All]" allUniqueName="[DimDate].[month_start].[All]" dimensionUniqueName="[DimDat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zip]" caption="zip" attribute="1" defaultMemberUniqueName="[DimStore].[zip].[All]" allUniqueName="[DimStore].[zip].[All]" dimensionUniqueName="[DimStore]" displayFolder="" count="0" memberValueDatatype="130" unbalanced="0"/>
    <cacheHierarchy uniqueName="[DimStore].[state]" caption="state" attribute="1" defaultMemberUniqueName="[DimStore].[state].[All]" allUniqueName="[DimStore].[state].[All]" dimensionUniqueName="[DimStore]" displayFolder="" count="0" memberValueDatatype="130" unbalanced="0"/>
    <cacheHierarchy uniqueName="[DimZip].[zip]" caption="zip" attribute="1" defaultMemberUniqueName="[DimZip].[zip].[All]" allUniqueName="[DimZip].[zip].[All]" dimensionUniqueName="[DimZip]" displayFolder="" count="0" memberValueDatatype="130" unbalanced="0"/>
    <cacheHierarchy uniqueName="[DimZip].[state]" caption="state" attribute="1" defaultMemberUniqueName="[DimZip].[state].[All]" allUniqueName="[DimZip].[state].[All]" dimensionUniqueName="[DimZip]" displayFolder="" count="0" memberValueDatatype="130" unbalanced="0"/>
    <cacheHierarchy uniqueName="[DimZip].[zip_med_inc_avg]" caption="zip_med_inc_avg" attribute="1" defaultMemberUniqueName="[DimZip].[zip_med_inc_avg].[All]" allUniqueName="[DimZip].[zip_med_inc_avg].[All]" dimensionUniqueName="[DimZip]" displayFolder="" count="0" memberValueDatatype="5" unbalanced="0"/>
    <cacheHierarchy uniqueName="[DimZip].[zip_inc_tier]" caption="zip_inc_tier" attribute="1" defaultMemberUniqueName="[DimZip].[zip_inc_tier].[All]" allUniqueName="[DimZip].[zip_inc_tier].[All]" dimensionUniqueName="[DimZip]" displayFolder="" count="2" memberValueDatatype="130" unbalanced="0">
      <fieldsUsage count="2">
        <fieldUsage x="-1"/>
        <fieldUsage x="0"/>
      </fieldsUsage>
    </cacheHierarchy>
    <cacheHierarchy uniqueName="[Measures].[__XL_Count dataset]" caption="__XL_Count dataset" measure="1" displayFolder="" measureGroup="dataset" count="0" hidden="1"/>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Zip]" caption="__XL_Count DimZip" measure="1" displayFolder="" measureGroup="DimZip" count="0" hidden="1"/>
    <cacheHierarchy uniqueName="[Measures].[__No measures defined]" caption="__No measures defined" measure="1" displayFolder="" count="0" hidden="1"/>
    <cacheHierarchy uniqueName="[Measures].[Sum of year_month]" caption="Sum of year_month" measure="1" displayFolder="" measureGroup="DimDate" count="0" hidden="1">
      <extLst>
        <ext xmlns:x15="http://schemas.microsoft.com/office/spreadsheetml/2010/11/main" uri="{B97F6D7D-B522-45F9-BDA1-12C45D357490}">
          <x15:cacheHierarchy aggregatedColumn="8"/>
        </ext>
      </extLst>
    </cacheHierarchy>
    <cacheHierarchy uniqueName="[Measures].[Sum of soda_sales]" caption="Sum of soda_sales" measure="1" displayFolder="" measureGroup="dataset"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total_sales]" caption="Sum of total_sales" measure="1" displayFolder="" measureGroup="dataset" count="0" hidden="1">
      <extLst>
        <ext xmlns:x15="http://schemas.microsoft.com/office/spreadsheetml/2010/11/main" uri="{B97F6D7D-B522-45F9-BDA1-12C45D357490}">
          <x15:cacheHierarchy aggregatedColumn="2"/>
        </ext>
      </extLst>
    </cacheHierarchy>
    <cacheHierarchy uniqueName="[Measures].[Sum of year_month 2]" caption="Sum of year_month 2" measure="1" displayFolder="" measureGroup="dataset" count="0" hidden="1">
      <extLst>
        <ext xmlns:x15="http://schemas.microsoft.com/office/spreadsheetml/2010/11/main" uri="{B97F6D7D-B522-45F9-BDA1-12C45D357490}">
          <x15:cacheHierarchy aggregatedColumn="0"/>
        </ext>
      </extLst>
    </cacheHierarchy>
    <cacheHierarchy uniqueName="[Measures].[Sum of soda_units_sold]" caption="Sum of soda_units_sold" measure="1" displayFolder="" measureGroup="dataset" count="0" hidden="1">
      <extLst>
        <ext xmlns:x15="http://schemas.microsoft.com/office/spreadsheetml/2010/11/main" uri="{B97F6D7D-B522-45F9-BDA1-12C45D357490}">
          <x15:cacheHierarchy aggregatedColumn="4"/>
        </ext>
      </extLst>
    </cacheHierarchy>
    <cacheHierarchy uniqueName="[Measures].[Sum of store_id]" caption="Sum of store_id" measure="1" displayFolder="" measureGroup="dataset" count="0" hidden="1">
      <extLst>
        <ext xmlns:x15="http://schemas.microsoft.com/office/spreadsheetml/2010/11/main" uri="{B97F6D7D-B522-45F9-BDA1-12C45D357490}">
          <x15:cacheHierarchy aggregatedColumn="1"/>
        </ext>
      </extLst>
    </cacheHierarchy>
    <cacheHierarchy uniqueName="[Measures].[Distinct Count of store_id]" caption="Distinct Count of store_id" measure="1" displayFolder="" measureGroup="dataset" count="0" hidden="1">
      <extLst>
        <ext xmlns:x15="http://schemas.microsoft.com/office/spreadsheetml/2010/11/main" uri="{B97F6D7D-B522-45F9-BDA1-12C45D357490}">
          <x15:cacheHierarchy aggregatedColumn="1"/>
        </ext>
      </extLst>
    </cacheHierarchy>
    <cacheHierarchy uniqueName="[Measures].[Sum of soda_ppu]" caption="Sum of soda_ppu" measure="1" displayFolder="" measureGroup="dataset" count="0" hidden="1">
      <extLst>
        <ext xmlns:x15="http://schemas.microsoft.com/office/spreadsheetml/2010/11/main" uri="{B97F6D7D-B522-45F9-BDA1-12C45D357490}">
          <x15:cacheHierarchy aggregatedColumn="3"/>
        </ext>
      </extLst>
    </cacheHierarchy>
    <cacheHierarchy uniqueName="[Measures].[Average of soda_ppu]" caption="Average of soda_ppu" measure="1" displayFolder="" measureGroup="dataset" count="0" hidden="1">
      <extLst>
        <ext xmlns:x15="http://schemas.microsoft.com/office/spreadsheetml/2010/11/main" uri="{B97F6D7D-B522-45F9-BDA1-12C45D357490}">
          <x15:cacheHierarchy aggregatedColumn="3"/>
        </ext>
      </extLst>
    </cacheHierarchy>
  </cacheHierarchies>
  <kpis count="0"/>
  <dimensions count="5">
    <dimension name="dataset" uniqueName="[dataset]" caption="dataset"/>
    <dimension name="DimDate" uniqueName="[DimDate]" caption="DimDate"/>
    <dimension name="DimStore" uniqueName="[DimStore]" caption="DimStore"/>
    <dimension name="DimZip" uniqueName="[DimZip]" caption="DimZip"/>
    <dimension measure="1" name="Measures" uniqueName="[Measures]" caption="Measures"/>
  </dimensions>
  <measureGroups count="4">
    <measureGroup name="dataset" caption="dataset"/>
    <measureGroup name="DimDate" caption="DimDate"/>
    <measureGroup name="DimStore" caption="DimStore"/>
    <measureGroup name="DimZip" caption="DimZip"/>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ace" refreshedDate="46200.720854861109" backgroundQuery="1" createdVersion="8" refreshedVersion="8" minRefreshableVersion="3" recordCount="0" supportSubquery="1" supportAdvancedDrill="1" xr:uid="{A628722A-88E1-4D79-8C7F-C048CFC28525}">
  <cacheSource type="external" connectionId="12"/>
  <cacheFields count="2">
    <cacheField name="[Measures].[Sum of soda_sales]" caption="Sum of soda_sales" numFmtId="0" hierarchy="25" level="32767"/>
    <cacheField name="[DimDate].[year_month].[year_month]" caption="year_month" numFmtId="0" hierarchy="8" level="1">
      <sharedItems containsSemiMixedTypes="0" containsString="0" containsNumber="1" containsInteger="1" minValue="202201" maxValue="202412" count="36">
        <n v="202201"/>
        <n v="202202"/>
        <n v="202203"/>
        <n v="202204"/>
        <n v="202205"/>
        <n v="202206"/>
        <n v="202207"/>
        <n v="202208"/>
        <n v="202209"/>
        <n v="202210"/>
        <n v="202211"/>
        <n v="202212"/>
        <n v="202301"/>
        <n v="202302"/>
        <n v="202303"/>
        <n v="202304"/>
        <n v="202305"/>
        <n v="202306"/>
        <n v="202307"/>
        <n v="202308"/>
        <n v="202309"/>
        <n v="202310"/>
        <n v="202311"/>
        <n v="202312"/>
        <n v="202401"/>
        <n v="202402"/>
        <n v="202403"/>
        <n v="202404"/>
        <n v="202405"/>
        <n v="202406"/>
        <n v="202407"/>
        <n v="202408"/>
        <n v="202409"/>
        <n v="202410"/>
        <n v="202411"/>
        <n v="202412"/>
      </sharedItems>
      <extLst>
        <ext xmlns:x15="http://schemas.microsoft.com/office/spreadsheetml/2010/11/main" uri="{4F2E5C28-24EA-4eb8-9CBF-B6C8F9C3D259}">
          <x15:cachedUniqueNames>
            <x15:cachedUniqueName index="0" name="[DimDate].[year_month].&amp;[202201]"/>
            <x15:cachedUniqueName index="1" name="[DimDate].[year_month].&amp;[202202]"/>
            <x15:cachedUniqueName index="2" name="[DimDate].[year_month].&amp;[202203]"/>
            <x15:cachedUniqueName index="3" name="[DimDate].[year_month].&amp;[202204]"/>
            <x15:cachedUniqueName index="4" name="[DimDate].[year_month].&amp;[202205]"/>
            <x15:cachedUniqueName index="5" name="[DimDate].[year_month].&amp;[202206]"/>
            <x15:cachedUniqueName index="6" name="[DimDate].[year_month].&amp;[202207]"/>
            <x15:cachedUniqueName index="7" name="[DimDate].[year_month].&amp;[202208]"/>
            <x15:cachedUniqueName index="8" name="[DimDate].[year_month].&amp;[202209]"/>
            <x15:cachedUniqueName index="9" name="[DimDate].[year_month].&amp;[202210]"/>
            <x15:cachedUniqueName index="10" name="[DimDate].[year_month].&amp;[202211]"/>
            <x15:cachedUniqueName index="11" name="[DimDate].[year_month].&amp;[202212]"/>
            <x15:cachedUniqueName index="12" name="[DimDate].[year_month].&amp;[202301]"/>
            <x15:cachedUniqueName index="13" name="[DimDate].[year_month].&amp;[202302]"/>
            <x15:cachedUniqueName index="14" name="[DimDate].[year_month].&amp;[202303]"/>
            <x15:cachedUniqueName index="15" name="[DimDate].[year_month].&amp;[202304]"/>
            <x15:cachedUniqueName index="16" name="[DimDate].[year_month].&amp;[202305]"/>
            <x15:cachedUniqueName index="17" name="[DimDate].[year_month].&amp;[202306]"/>
            <x15:cachedUniqueName index="18" name="[DimDate].[year_month].&amp;[202307]"/>
            <x15:cachedUniqueName index="19" name="[DimDate].[year_month].&amp;[202308]"/>
            <x15:cachedUniqueName index="20" name="[DimDate].[year_month].&amp;[202309]"/>
            <x15:cachedUniqueName index="21" name="[DimDate].[year_month].&amp;[202310]"/>
            <x15:cachedUniqueName index="22" name="[DimDate].[year_month].&amp;[202311]"/>
            <x15:cachedUniqueName index="23" name="[DimDate].[year_month].&amp;[202312]"/>
            <x15:cachedUniqueName index="24" name="[DimDate].[year_month].&amp;[202401]"/>
            <x15:cachedUniqueName index="25" name="[DimDate].[year_month].&amp;[202402]"/>
            <x15:cachedUniqueName index="26" name="[DimDate].[year_month].&amp;[202403]"/>
            <x15:cachedUniqueName index="27" name="[DimDate].[year_month].&amp;[202404]"/>
            <x15:cachedUniqueName index="28" name="[DimDate].[year_month].&amp;[202405]"/>
            <x15:cachedUniqueName index="29" name="[DimDate].[year_month].&amp;[202406]"/>
            <x15:cachedUniqueName index="30" name="[DimDate].[year_month].&amp;[202407]"/>
            <x15:cachedUniqueName index="31" name="[DimDate].[year_month].&amp;[202408]"/>
            <x15:cachedUniqueName index="32" name="[DimDate].[year_month].&amp;[202409]"/>
            <x15:cachedUniqueName index="33" name="[DimDate].[year_month].&amp;[202410]"/>
            <x15:cachedUniqueName index="34" name="[DimDate].[year_month].&amp;[202411]"/>
            <x15:cachedUniqueName index="35" name="[DimDate].[year_month].&amp;[202412]"/>
          </x15:cachedUniqueNames>
        </ext>
      </extLst>
    </cacheField>
  </cacheFields>
  <cacheHierarchies count="33">
    <cacheHierarchy uniqueName="[dataset].[year_month]" caption="year_month" attribute="1" defaultMemberUniqueName="[dataset].[year_month].[All]" allUniqueName="[dataset].[year_month].[All]" dimensionUniqueName="[dataset]" displayFolder="" count="0" memberValueDatatype="20" unbalanced="0"/>
    <cacheHierarchy uniqueName="[dataset].[store_id]" caption="store_id" attribute="1" defaultMemberUniqueName="[dataset].[store_id].[All]" allUniqueName="[dataset].[store_id].[All]" dimensionUniqueName="[dataset]" displayFolder="" count="0" memberValueDatatype="20" unbalanced="0"/>
    <cacheHierarchy uniqueName="[dataset].[total_sales]" caption="total_sales" attribute="1" defaultMemberUniqueName="[dataset].[total_sales].[All]" allUniqueName="[dataset].[total_sales].[All]" dimensionUniqueName="[dataset]" displayFolder="" count="0" memberValueDatatype="5" unbalanced="0"/>
    <cacheHierarchy uniqueName="[dataset].[soda_ppu]" caption="soda_ppu" attribute="1" defaultMemberUniqueName="[dataset].[soda_ppu].[All]" allUniqueName="[dataset].[soda_ppu].[All]" dimensionUniqueName="[dataset]" displayFolder="" count="0" memberValueDatatype="5" unbalanced="0"/>
    <cacheHierarchy uniqueName="[dataset].[soda_units_sold]" caption="soda_units_sold" attribute="1" defaultMemberUniqueName="[dataset].[soda_units_sold].[All]" allUniqueName="[dataset].[soda_units_sold].[All]" dimensionUniqueName="[dataset]" displayFolder="" count="0" memberValueDatatype="20" unbalanced="0"/>
    <cacheHierarchy uniqueName="[dataset].[soda_sales]" caption="soda_sales" attribute="1" defaultMemberUniqueName="[dataset].[soda_sales].[All]" allUniqueName="[dataset].[soda_sales].[All]" dimensionUniqueName="[dataset]" displayFolder="" count="0" memberValueDatatype="5" unbalanced="0"/>
    <cacheHierarchy uniqueName="[dataset].[zip]" caption="zip" attribute="1" defaultMemberUniqueName="[dataset].[zip].[All]" allUniqueName="[dataset].[zip].[All]" dimensionUniqueName="[dataset]" displayFolder="" count="0" memberValueDatatype="130" unbalanced="0"/>
    <cacheHierarchy uniqueName="[dataset].[state]" caption="state" attribute="1" defaultMemberUniqueName="[dataset].[state].[All]" allUniqueName="[dataset].[state].[All]" dimensionUniqueName="[dataset]" displayFolder="" count="0" memberValueDatatype="130" unbalanced="0"/>
    <cacheHierarchy uniqueName="[DimDate].[year_month]" caption="year_month" attribute="1" defaultMemberUniqueName="[DimDate].[year_month].[All]" allUniqueName="[DimDate].[year_month].[All]" dimensionUniqueName="[DimDate]" displayFolder="" count="2" memberValueDatatype="20" unbalanced="0">
      <fieldsUsage count="2">
        <fieldUsage x="-1"/>
        <fieldUsage x="1"/>
      </fieldsUsage>
    </cacheHierarchy>
    <cacheHierarchy uniqueName="[DimDate].[year]" caption="year" attribute="1" defaultMemberUniqueName="[DimDate].[year].[All]" allUniqueName="[DimDate].[yea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130" unbalanced="0"/>
    <cacheHierarchy uniqueName="[DimDate].[month_start]" caption="month_start" attribute="1" defaultMemberUniqueName="[DimDate].[month_start].[All]" allUniqueName="[DimDate].[month_start].[All]" dimensionUniqueName="[DimDat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zip]" caption="zip" attribute="1" defaultMemberUniqueName="[DimStore].[zip].[All]" allUniqueName="[DimStore].[zip].[All]" dimensionUniqueName="[DimStore]" displayFolder="" count="0" memberValueDatatype="130" unbalanced="0"/>
    <cacheHierarchy uniqueName="[DimStore].[state]" caption="state" attribute="1" defaultMemberUniqueName="[DimStore].[state].[All]" allUniqueName="[DimStore].[state].[All]" dimensionUniqueName="[DimStore]" displayFolder="" count="0" memberValueDatatype="130" unbalanced="0"/>
    <cacheHierarchy uniqueName="[DimZip].[zip]" caption="zip" attribute="1" defaultMemberUniqueName="[DimZip].[zip].[All]" allUniqueName="[DimZip].[zip].[All]" dimensionUniqueName="[DimZip]" displayFolder="" count="0" memberValueDatatype="130" unbalanced="0"/>
    <cacheHierarchy uniqueName="[DimZip].[state]" caption="state" attribute="1" defaultMemberUniqueName="[DimZip].[state].[All]" allUniqueName="[DimZip].[state].[All]" dimensionUniqueName="[DimZip]" displayFolder="" count="0" memberValueDatatype="130" unbalanced="0"/>
    <cacheHierarchy uniqueName="[DimZip].[zip_med_inc_avg]" caption="zip_med_inc_avg" attribute="1" defaultMemberUniqueName="[DimZip].[zip_med_inc_avg].[All]" allUniqueName="[DimZip].[zip_med_inc_avg].[All]" dimensionUniqueName="[DimZip]" displayFolder="" count="0" memberValueDatatype="5" unbalanced="0"/>
    <cacheHierarchy uniqueName="[DimZip].[zip_inc_tier]" caption="zip_inc_tier" attribute="1" defaultMemberUniqueName="[DimZip].[zip_inc_tier].[All]" allUniqueName="[DimZip].[zip_inc_tier].[All]" dimensionUniqueName="[DimZip]" displayFolder="" count="0" memberValueDatatype="130" unbalanced="0"/>
    <cacheHierarchy uniqueName="[Measures].[__XL_Count dataset]" caption="__XL_Count dataset" measure="1" displayFolder="" measureGroup="dataset" count="0" hidden="1"/>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Zip]" caption="__XL_Count DimZip" measure="1" displayFolder="" measureGroup="DimZip" count="0" hidden="1"/>
    <cacheHierarchy uniqueName="[Measures].[__No measures defined]" caption="__No measures defined" measure="1" displayFolder="" count="0" hidden="1"/>
    <cacheHierarchy uniqueName="[Measures].[Sum of year_month]" caption="Sum of year_month" measure="1" displayFolder="" measureGroup="DimDate" count="0" hidden="1">
      <extLst>
        <ext xmlns:x15="http://schemas.microsoft.com/office/spreadsheetml/2010/11/main" uri="{B97F6D7D-B522-45F9-BDA1-12C45D357490}">
          <x15:cacheHierarchy aggregatedColumn="8"/>
        </ext>
      </extLst>
    </cacheHierarchy>
    <cacheHierarchy uniqueName="[Measures].[Sum of soda_sales]" caption="Sum of soda_sales" measure="1" displayFolder="" measureGroup="datase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total_sales]" caption="Sum of total_sales" measure="1" displayFolder="" measureGroup="dataset" count="0" hidden="1">
      <extLst>
        <ext xmlns:x15="http://schemas.microsoft.com/office/spreadsheetml/2010/11/main" uri="{B97F6D7D-B522-45F9-BDA1-12C45D357490}">
          <x15:cacheHierarchy aggregatedColumn="2"/>
        </ext>
      </extLst>
    </cacheHierarchy>
    <cacheHierarchy uniqueName="[Measures].[Sum of year_month 2]" caption="Sum of year_month 2" measure="1" displayFolder="" measureGroup="dataset" count="0" hidden="1">
      <extLst>
        <ext xmlns:x15="http://schemas.microsoft.com/office/spreadsheetml/2010/11/main" uri="{B97F6D7D-B522-45F9-BDA1-12C45D357490}">
          <x15:cacheHierarchy aggregatedColumn="0"/>
        </ext>
      </extLst>
    </cacheHierarchy>
    <cacheHierarchy uniqueName="[Measures].[Sum of soda_units_sold]" caption="Sum of soda_units_sold" measure="1" displayFolder="" measureGroup="dataset" count="0" hidden="1">
      <extLst>
        <ext xmlns:x15="http://schemas.microsoft.com/office/spreadsheetml/2010/11/main" uri="{B97F6D7D-B522-45F9-BDA1-12C45D357490}">
          <x15:cacheHierarchy aggregatedColumn="4"/>
        </ext>
      </extLst>
    </cacheHierarchy>
    <cacheHierarchy uniqueName="[Measures].[Sum of store_id]" caption="Sum of store_id" measure="1" displayFolder="" measureGroup="dataset" count="0" hidden="1">
      <extLst>
        <ext xmlns:x15="http://schemas.microsoft.com/office/spreadsheetml/2010/11/main" uri="{B97F6D7D-B522-45F9-BDA1-12C45D357490}">
          <x15:cacheHierarchy aggregatedColumn="1"/>
        </ext>
      </extLst>
    </cacheHierarchy>
    <cacheHierarchy uniqueName="[Measures].[Distinct Count of store_id]" caption="Distinct Count of store_id" measure="1" displayFolder="" measureGroup="dataset" count="0" hidden="1">
      <extLst>
        <ext xmlns:x15="http://schemas.microsoft.com/office/spreadsheetml/2010/11/main" uri="{B97F6D7D-B522-45F9-BDA1-12C45D357490}">
          <x15:cacheHierarchy aggregatedColumn="1"/>
        </ext>
      </extLst>
    </cacheHierarchy>
    <cacheHierarchy uniqueName="[Measures].[Sum of soda_ppu]" caption="Sum of soda_ppu" measure="1" displayFolder="" measureGroup="dataset" count="0" hidden="1">
      <extLst>
        <ext xmlns:x15="http://schemas.microsoft.com/office/spreadsheetml/2010/11/main" uri="{B97F6D7D-B522-45F9-BDA1-12C45D357490}">
          <x15:cacheHierarchy aggregatedColumn="3"/>
        </ext>
      </extLst>
    </cacheHierarchy>
    <cacheHierarchy uniqueName="[Measures].[Average of soda_ppu]" caption="Average of soda_ppu" measure="1" displayFolder="" measureGroup="dataset" count="0" hidden="1">
      <extLst>
        <ext xmlns:x15="http://schemas.microsoft.com/office/spreadsheetml/2010/11/main" uri="{B97F6D7D-B522-45F9-BDA1-12C45D357490}">
          <x15:cacheHierarchy aggregatedColumn="3"/>
        </ext>
      </extLst>
    </cacheHierarchy>
  </cacheHierarchies>
  <kpis count="0"/>
  <dimensions count="5">
    <dimension name="dataset" uniqueName="[dataset]" caption="dataset"/>
    <dimension name="DimDate" uniqueName="[DimDate]" caption="DimDate"/>
    <dimension name="DimStore" uniqueName="[DimStore]" caption="DimStore"/>
    <dimension name="DimZip" uniqueName="[DimZip]" caption="DimZip"/>
    <dimension measure="1" name="Measures" uniqueName="[Measures]" caption="Measures"/>
  </dimensions>
  <measureGroups count="4">
    <measureGroup name="dataset" caption="dataset"/>
    <measureGroup name="DimDate" caption="DimDate"/>
    <measureGroup name="DimStore" caption="DimStore"/>
    <measureGroup name="DimZip" caption="DimZip"/>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ace" refreshedDate="46201.573417708336" backgroundQuery="1" createdVersion="8" refreshedVersion="8" minRefreshableVersion="3" recordCount="0" supportSubquery="1" supportAdvancedDrill="1" xr:uid="{81F1161C-4E19-46BF-BAC6-5D2A2FC7DE84}">
  <cacheSource type="external" connectionId="12"/>
  <cacheFields count="8">
    <cacheField name="[DimZip].[zip_inc_tier].[zip_inc_tier]" caption="zip_inc_tier" numFmtId="0" hierarchy="18" level="1">
      <sharedItems count="2">
        <s v="High"/>
        <s v="Med"/>
      </sharedItems>
    </cacheField>
    <cacheField name="[DimDate].[year].[year]" caption="year" numFmtId="0" hierarchy="9" level="1">
      <sharedItems count="3">
        <s v="2022"/>
        <s v="2023"/>
        <s v="2024"/>
      </sharedItems>
    </cacheField>
    <cacheField name="[Measures].[Sum of soda_units_sold]" caption="Sum of soda_units_sold" numFmtId="0" hierarchy="28" level="32767"/>
    <cacheField name="[Measures].[Sum of soda_sales]" caption="Sum of soda_sales" numFmtId="0" hierarchy="25" level="32767"/>
    <cacheField name="[Measures].[Average of soda_ppu]" caption="Average of soda_ppu" numFmtId="0" hierarchy="32" level="32767"/>
    <cacheField name="[Measures].[Distinct Count of store_id]" caption="Distinct Count of store_id" numFmtId="0" hierarchy="30" level="32767"/>
    <cacheField name="[DimDate].[year_month].[year_month]" caption="year_month" numFmtId="0" hierarchy="8" level="1">
      <sharedItems containsSemiMixedTypes="0" containsNonDate="0" containsString="0"/>
    </cacheField>
    <cacheField name="[DimZip].[state].[state]" caption="state" numFmtId="0" hierarchy="16" level="1">
      <sharedItems containsSemiMixedTypes="0" containsNonDate="0" containsString="0"/>
    </cacheField>
  </cacheFields>
  <cacheHierarchies count="33">
    <cacheHierarchy uniqueName="[dataset].[year_month]" caption="year_month" attribute="1" defaultMemberUniqueName="[dataset].[year_month].[All]" allUniqueName="[dataset].[year_month].[All]" dimensionUniqueName="[dataset]" displayFolder="" count="2" memberValueDatatype="20" unbalanced="0"/>
    <cacheHierarchy uniqueName="[dataset].[store_id]" caption="store_id" attribute="1" defaultMemberUniqueName="[dataset].[store_id].[All]" allUniqueName="[dataset].[store_id].[All]" dimensionUniqueName="[dataset]" displayFolder="" count="0" memberValueDatatype="20" unbalanced="0"/>
    <cacheHierarchy uniqueName="[dataset].[total_sales]" caption="total_sales" attribute="1" defaultMemberUniqueName="[dataset].[total_sales].[All]" allUniqueName="[dataset].[total_sales].[All]" dimensionUniqueName="[dataset]" displayFolder="" count="0" memberValueDatatype="5" unbalanced="0"/>
    <cacheHierarchy uniqueName="[dataset].[soda_ppu]" caption="soda_ppu" attribute="1" defaultMemberUniqueName="[dataset].[soda_ppu].[All]" allUniqueName="[dataset].[soda_ppu].[All]" dimensionUniqueName="[dataset]" displayFolder="" count="0" memberValueDatatype="5" unbalanced="0"/>
    <cacheHierarchy uniqueName="[dataset].[soda_units_sold]" caption="soda_units_sold" attribute="1" defaultMemberUniqueName="[dataset].[soda_units_sold].[All]" allUniqueName="[dataset].[soda_units_sold].[All]" dimensionUniqueName="[dataset]" displayFolder="" count="0" memberValueDatatype="20" unbalanced="0"/>
    <cacheHierarchy uniqueName="[dataset].[soda_sales]" caption="soda_sales" attribute="1" defaultMemberUniqueName="[dataset].[soda_sales].[All]" allUniqueName="[dataset].[soda_sales].[All]" dimensionUniqueName="[dataset]" displayFolder="" count="0" memberValueDatatype="5" unbalanced="0"/>
    <cacheHierarchy uniqueName="[dataset].[zip]" caption="zip" attribute="1" defaultMemberUniqueName="[dataset].[zip].[All]" allUniqueName="[dataset].[zip].[All]" dimensionUniqueName="[dataset]" displayFolder="" count="0" memberValueDatatype="130" unbalanced="0"/>
    <cacheHierarchy uniqueName="[dataset].[state]" caption="state" attribute="1" defaultMemberUniqueName="[dataset].[state].[All]" allUniqueName="[dataset].[state].[All]" dimensionUniqueName="[dataset]" displayFolder="" count="2" memberValueDatatype="130" unbalanced="0"/>
    <cacheHierarchy uniqueName="[DimDate].[year_month]" caption="year_month" attribute="1" defaultMemberUniqueName="[DimDate].[year_month].[All]" allUniqueName="[DimDate].[year_month].[All]" dimensionUniqueName="[DimDate]" displayFolder="" count="2" memberValueDatatype="20" unbalanced="0">
      <fieldsUsage count="2">
        <fieldUsage x="-1"/>
        <fieldUsage x="6"/>
      </fieldsUsage>
    </cacheHierarchy>
    <cacheHierarchy uniqueName="[DimDate].[year]" caption="year" attribute="1" defaultMemberUniqueName="[DimDate].[year].[All]" allUniqueName="[DimDate].[year].[All]" dimensionUniqueName="[DimDate]" displayFolder="" count="2" memberValueDatatype="130" unbalanced="0">
      <fieldsUsage count="2">
        <fieldUsage x="-1"/>
        <fieldUsage x="1"/>
      </fieldsUsage>
    </cacheHierarchy>
    <cacheHierarchy uniqueName="[DimDate].[month]" caption="month" attribute="1" defaultMemberUniqueName="[DimDate].[month].[All]" allUniqueName="[DimDate].[month].[All]" dimensionUniqueName="[DimDate]" displayFolder="" count="0" memberValueDatatype="130" unbalanced="0"/>
    <cacheHierarchy uniqueName="[DimDate].[month_start]" caption="month_start" attribute="1" defaultMemberUniqueName="[DimDate].[month_start].[All]" allUniqueName="[DimDate].[month_start].[All]" dimensionUniqueName="[DimDat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zip]" caption="zip" attribute="1" defaultMemberUniqueName="[DimStore].[zip].[All]" allUniqueName="[DimStore].[zip].[All]" dimensionUniqueName="[DimStore]" displayFolder="" count="0" memberValueDatatype="130" unbalanced="0"/>
    <cacheHierarchy uniqueName="[DimStore].[state]" caption="state" attribute="1" defaultMemberUniqueName="[DimStore].[state].[All]" allUniqueName="[DimStore].[state].[All]" dimensionUniqueName="[DimStore]" displayFolder="" count="0" memberValueDatatype="130" unbalanced="0"/>
    <cacheHierarchy uniqueName="[DimZip].[zip]" caption="zip" attribute="1" defaultMemberUniqueName="[DimZip].[zip].[All]" allUniqueName="[DimZip].[zip].[All]" dimensionUniqueName="[DimZip]" displayFolder="" count="0" memberValueDatatype="130" unbalanced="0"/>
    <cacheHierarchy uniqueName="[DimZip].[state]" caption="state" attribute="1" defaultMemberUniqueName="[DimZip].[state].[All]" allUniqueName="[DimZip].[state].[All]" dimensionUniqueName="[DimZip]" displayFolder="" count="2" memberValueDatatype="130" unbalanced="0">
      <fieldsUsage count="2">
        <fieldUsage x="-1"/>
        <fieldUsage x="7"/>
      </fieldsUsage>
    </cacheHierarchy>
    <cacheHierarchy uniqueName="[DimZip].[zip_med_inc_avg]" caption="zip_med_inc_avg" attribute="1" defaultMemberUniqueName="[DimZip].[zip_med_inc_avg].[All]" allUniqueName="[DimZip].[zip_med_inc_avg].[All]" dimensionUniqueName="[DimZip]" displayFolder="" count="0" memberValueDatatype="5" unbalanced="0"/>
    <cacheHierarchy uniqueName="[DimZip].[zip_inc_tier]" caption="zip_inc_tier" attribute="1" defaultMemberUniqueName="[DimZip].[zip_inc_tier].[All]" allUniqueName="[DimZip].[zip_inc_tier].[All]" dimensionUniqueName="[DimZip]" displayFolder="" count="2" memberValueDatatype="130" unbalanced="0">
      <fieldsUsage count="2">
        <fieldUsage x="-1"/>
        <fieldUsage x="0"/>
      </fieldsUsage>
    </cacheHierarchy>
    <cacheHierarchy uniqueName="[Measures].[__XL_Count dataset]" caption="__XL_Count dataset" measure="1" displayFolder="" measureGroup="dataset" count="0" hidden="1"/>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Zip]" caption="__XL_Count DimZip" measure="1" displayFolder="" measureGroup="DimZip" count="0" hidden="1"/>
    <cacheHierarchy uniqueName="[Measures].[__No measures defined]" caption="__No measures defined" measure="1" displayFolder="" count="0" hidden="1"/>
    <cacheHierarchy uniqueName="[Measures].[Sum of year_month]" caption="Sum of year_month" measure="1" displayFolder="" measureGroup="DimDate" count="0" hidden="1">
      <extLst>
        <ext xmlns:x15="http://schemas.microsoft.com/office/spreadsheetml/2010/11/main" uri="{B97F6D7D-B522-45F9-BDA1-12C45D357490}">
          <x15:cacheHierarchy aggregatedColumn="8"/>
        </ext>
      </extLst>
    </cacheHierarchy>
    <cacheHierarchy uniqueName="[Measures].[Sum of soda_sales]" caption="Sum of soda_sales" measure="1" displayFolder="" measureGroup="dataset"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total_sales]" caption="Sum of total_sales" measure="1" displayFolder="" measureGroup="dataset" count="0" hidden="1">
      <extLst>
        <ext xmlns:x15="http://schemas.microsoft.com/office/spreadsheetml/2010/11/main" uri="{B97F6D7D-B522-45F9-BDA1-12C45D357490}">
          <x15:cacheHierarchy aggregatedColumn="2"/>
        </ext>
      </extLst>
    </cacheHierarchy>
    <cacheHierarchy uniqueName="[Measures].[Sum of year_month 2]" caption="Sum of year_month 2" measure="1" displayFolder="" measureGroup="dataset" count="0" hidden="1">
      <extLst>
        <ext xmlns:x15="http://schemas.microsoft.com/office/spreadsheetml/2010/11/main" uri="{B97F6D7D-B522-45F9-BDA1-12C45D357490}">
          <x15:cacheHierarchy aggregatedColumn="0"/>
        </ext>
      </extLst>
    </cacheHierarchy>
    <cacheHierarchy uniqueName="[Measures].[Sum of soda_units_sold]" caption="Sum of soda_units_sold" measure="1" displayFolder="" measureGroup="dataset"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store_id]" caption="Sum of store_id" measure="1" displayFolder="" measureGroup="dataset" count="0" hidden="1">
      <extLst>
        <ext xmlns:x15="http://schemas.microsoft.com/office/spreadsheetml/2010/11/main" uri="{B97F6D7D-B522-45F9-BDA1-12C45D357490}">
          <x15:cacheHierarchy aggregatedColumn="1"/>
        </ext>
      </extLst>
    </cacheHierarchy>
    <cacheHierarchy uniqueName="[Measures].[Distinct Count of store_id]" caption="Distinct Count of store_id" measure="1" displayFolder="" measureGroup="dataset" count="0" oneField="1" hidden="1">
      <fieldsUsage count="1">
        <fieldUsage x="5"/>
      </fieldsUsage>
      <extLst>
        <ext xmlns:x15="http://schemas.microsoft.com/office/spreadsheetml/2010/11/main" uri="{B97F6D7D-B522-45F9-BDA1-12C45D357490}">
          <x15:cacheHierarchy aggregatedColumn="1"/>
        </ext>
      </extLst>
    </cacheHierarchy>
    <cacheHierarchy uniqueName="[Measures].[Sum of soda_ppu]" caption="Sum of soda_ppu" measure="1" displayFolder="" measureGroup="dataset" count="0" hidden="1">
      <extLst>
        <ext xmlns:x15="http://schemas.microsoft.com/office/spreadsheetml/2010/11/main" uri="{B97F6D7D-B522-45F9-BDA1-12C45D357490}">
          <x15:cacheHierarchy aggregatedColumn="3"/>
        </ext>
      </extLst>
    </cacheHierarchy>
    <cacheHierarchy uniqueName="[Measures].[Average of soda_ppu]" caption="Average of soda_ppu" measure="1" displayFolder="" measureGroup="dataset" count="0" oneField="1" hidden="1">
      <fieldsUsage count="1">
        <fieldUsage x="4"/>
      </fieldsUsage>
      <extLst>
        <ext xmlns:x15="http://schemas.microsoft.com/office/spreadsheetml/2010/11/main" uri="{B97F6D7D-B522-45F9-BDA1-12C45D357490}">
          <x15:cacheHierarchy aggregatedColumn="3"/>
        </ext>
      </extLst>
    </cacheHierarchy>
  </cacheHierarchies>
  <kpis count="0"/>
  <dimensions count="5">
    <dimension name="dataset" uniqueName="[dataset]" caption="dataset"/>
    <dimension name="DimDate" uniqueName="[DimDate]" caption="DimDate"/>
    <dimension name="DimStore" uniqueName="[DimStore]" caption="DimStore"/>
    <dimension name="DimZip" uniqueName="[DimZip]" caption="DimZip"/>
    <dimension measure="1" name="Measures" uniqueName="[Measures]" caption="Measures"/>
  </dimensions>
  <measureGroups count="4">
    <measureGroup name="dataset" caption="dataset"/>
    <measureGroup name="DimDate" caption="DimDate"/>
    <measureGroup name="DimStore" caption="DimStore"/>
    <measureGroup name="DimZip" caption="DimZip"/>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ace" refreshedDate="46201.647585648148" backgroundQuery="1" createdVersion="8" refreshedVersion="8" minRefreshableVersion="3" recordCount="0" supportSubquery="1" supportAdvancedDrill="1" xr:uid="{141F9733-4EA8-4E03-854B-1B1032BC6EBE}">
  <cacheSource type="external" connectionId="12"/>
  <cacheFields count="8">
    <cacheField name="[DimZip].[zip_inc_tier].[zip_inc_tier]" caption="zip_inc_tier" numFmtId="0" hierarchy="18" level="1">
      <sharedItems count="3">
        <s v="Low"/>
        <s v="Med"/>
        <s v="No Data"/>
      </sharedItems>
    </cacheField>
    <cacheField name="[DimZip].[state].[state]" caption="state" numFmtId="0" hierarchy="16" level="1">
      <sharedItems containsSemiMixedTypes="0" containsNonDate="0" containsString="0"/>
    </cacheField>
    <cacheField name="[DimDate].[year_month].[year_month]" caption="year_month" numFmtId="0" hierarchy="8" level="1">
      <sharedItems containsSemiMixedTypes="0" containsNonDate="0" containsString="0"/>
    </cacheField>
    <cacheField name="[DimDate].[year].[year]" caption="year" numFmtId="0" hierarchy="9" level="1">
      <sharedItems count="3">
        <s v="2022"/>
        <s v="2023"/>
        <s v="2024"/>
      </sharedItems>
    </cacheField>
    <cacheField name="[Measures].[Sum of soda_units_sold]" caption="Sum of soda_units_sold" numFmtId="0" hierarchy="28" level="32767"/>
    <cacheField name="[Measures].[Sum of soda_sales]" caption="Sum of soda_sales" numFmtId="0" hierarchy="25" level="32767"/>
    <cacheField name="[Measures].[Average of soda_ppu]" caption="Average of soda_ppu" numFmtId="0" hierarchy="32" level="32767"/>
    <cacheField name="[Measures].[Distinct Count of store_id]" caption="Distinct Count of store_id" numFmtId="0" hierarchy="30" level="32767"/>
  </cacheFields>
  <cacheHierarchies count="33">
    <cacheHierarchy uniqueName="[dataset].[year_month]" caption="year_month" attribute="1" defaultMemberUniqueName="[dataset].[year_month].[All]" allUniqueName="[dataset].[year_month].[All]" dimensionUniqueName="[dataset]" displayFolder="" count="0" memberValueDatatype="20" unbalanced="0"/>
    <cacheHierarchy uniqueName="[dataset].[store_id]" caption="store_id" attribute="1" defaultMemberUniqueName="[dataset].[store_id].[All]" allUniqueName="[dataset].[store_id].[All]" dimensionUniqueName="[dataset]" displayFolder="" count="0" memberValueDatatype="20" unbalanced="0"/>
    <cacheHierarchy uniqueName="[dataset].[total_sales]" caption="total_sales" attribute="1" defaultMemberUniqueName="[dataset].[total_sales].[All]" allUniqueName="[dataset].[total_sales].[All]" dimensionUniqueName="[dataset]" displayFolder="" count="0" memberValueDatatype="5" unbalanced="0"/>
    <cacheHierarchy uniqueName="[dataset].[soda_ppu]" caption="soda_ppu" attribute="1" defaultMemberUniqueName="[dataset].[soda_ppu].[All]" allUniqueName="[dataset].[soda_ppu].[All]" dimensionUniqueName="[dataset]" displayFolder="" count="0" memberValueDatatype="5" unbalanced="0"/>
    <cacheHierarchy uniqueName="[dataset].[soda_units_sold]" caption="soda_units_sold" attribute="1" defaultMemberUniqueName="[dataset].[soda_units_sold].[All]" allUniqueName="[dataset].[soda_units_sold].[All]" dimensionUniqueName="[dataset]" displayFolder="" count="0" memberValueDatatype="20" unbalanced="0"/>
    <cacheHierarchy uniqueName="[dataset].[soda_sales]" caption="soda_sales" attribute="1" defaultMemberUniqueName="[dataset].[soda_sales].[All]" allUniqueName="[dataset].[soda_sales].[All]" dimensionUniqueName="[dataset]" displayFolder="" count="0" memberValueDatatype="5" unbalanced="0"/>
    <cacheHierarchy uniqueName="[dataset].[zip]" caption="zip" attribute="1" defaultMemberUniqueName="[dataset].[zip].[All]" allUniqueName="[dataset].[zip].[All]" dimensionUniqueName="[dataset]" displayFolder="" count="0" memberValueDatatype="130" unbalanced="0"/>
    <cacheHierarchy uniqueName="[dataset].[state]" caption="state" attribute="1" defaultMemberUniqueName="[dataset].[state].[All]" allUniqueName="[dataset].[state].[All]" dimensionUniqueName="[dataset]" displayFolder="" count="0" memberValueDatatype="130" unbalanced="0"/>
    <cacheHierarchy uniqueName="[DimDate].[year_month]" caption="year_month" attribute="1" defaultMemberUniqueName="[DimDate].[year_month].[All]" allUniqueName="[DimDate].[year_month].[All]" dimensionUniqueName="[DimDate]" displayFolder="" count="2" memberValueDatatype="20" unbalanced="0">
      <fieldsUsage count="2">
        <fieldUsage x="-1"/>
        <fieldUsage x="2"/>
      </fieldsUsage>
    </cacheHierarchy>
    <cacheHierarchy uniqueName="[DimDate].[year]" caption="year" attribute="1" defaultMemberUniqueName="[DimDate].[year].[All]" allUniqueName="[DimDate].[year].[All]" dimensionUniqueName="[DimDate]" displayFolder="" count="2" memberValueDatatype="13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130" unbalanced="0"/>
    <cacheHierarchy uniqueName="[DimDate].[month_start]" caption="month_start" attribute="1" defaultMemberUniqueName="[DimDate].[month_start].[All]" allUniqueName="[DimDate].[month_start].[All]" dimensionUniqueName="[DimDat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zip]" caption="zip" attribute="1" defaultMemberUniqueName="[DimStore].[zip].[All]" allUniqueName="[DimStore].[zip].[All]" dimensionUniqueName="[DimStore]" displayFolder="" count="0" memberValueDatatype="130" unbalanced="0"/>
    <cacheHierarchy uniqueName="[DimStore].[state]" caption="state" attribute="1" defaultMemberUniqueName="[DimStore].[state].[All]" allUniqueName="[DimStore].[state].[All]" dimensionUniqueName="[DimStore]" displayFolder="" count="0" memberValueDatatype="130" unbalanced="0"/>
    <cacheHierarchy uniqueName="[DimZip].[zip]" caption="zip" attribute="1" defaultMemberUniqueName="[DimZip].[zip].[All]" allUniqueName="[DimZip].[zip].[All]" dimensionUniqueName="[DimZip]" displayFolder="" count="0" memberValueDatatype="130" unbalanced="0"/>
    <cacheHierarchy uniqueName="[DimZip].[state]" caption="state" attribute="1" defaultMemberUniqueName="[DimZip].[state].[All]" allUniqueName="[DimZip].[state].[All]" dimensionUniqueName="[DimZip]" displayFolder="" count="2" memberValueDatatype="130" unbalanced="0">
      <fieldsUsage count="2">
        <fieldUsage x="-1"/>
        <fieldUsage x="1"/>
      </fieldsUsage>
    </cacheHierarchy>
    <cacheHierarchy uniqueName="[DimZip].[zip_med_inc_avg]" caption="zip_med_inc_avg" attribute="1" defaultMemberUniqueName="[DimZip].[zip_med_inc_avg].[All]" allUniqueName="[DimZip].[zip_med_inc_avg].[All]" dimensionUniqueName="[DimZip]" displayFolder="" count="0" memberValueDatatype="5" unbalanced="0"/>
    <cacheHierarchy uniqueName="[DimZip].[zip_inc_tier]" caption="zip_inc_tier" attribute="1" defaultMemberUniqueName="[DimZip].[zip_inc_tier].[All]" allUniqueName="[DimZip].[zip_inc_tier].[All]" dimensionUniqueName="[DimZip]" displayFolder="" count="2" memberValueDatatype="130" unbalanced="0">
      <fieldsUsage count="2">
        <fieldUsage x="-1"/>
        <fieldUsage x="0"/>
      </fieldsUsage>
    </cacheHierarchy>
    <cacheHierarchy uniqueName="[Measures].[__XL_Count dataset]" caption="__XL_Count dataset" measure="1" displayFolder="" measureGroup="dataset" count="0" hidden="1"/>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Zip]" caption="__XL_Count DimZip" measure="1" displayFolder="" measureGroup="DimZip" count="0" hidden="1"/>
    <cacheHierarchy uniqueName="[Measures].[__No measures defined]" caption="__No measures defined" measure="1" displayFolder="" count="0" hidden="1"/>
    <cacheHierarchy uniqueName="[Measures].[Sum of year_month]" caption="Sum of year_month" measure="1" displayFolder="" measureGroup="DimDate" count="0" hidden="1">
      <extLst>
        <ext xmlns:x15="http://schemas.microsoft.com/office/spreadsheetml/2010/11/main" uri="{B97F6D7D-B522-45F9-BDA1-12C45D357490}">
          <x15:cacheHierarchy aggregatedColumn="8"/>
        </ext>
      </extLst>
    </cacheHierarchy>
    <cacheHierarchy uniqueName="[Measures].[Sum of soda_sales]" caption="Sum of soda_sales" measure="1" displayFolder="" measureGroup="dataset" count="0" oneField="1" hidden="1">
      <fieldsUsage count="1">
        <fieldUsage x="5"/>
      </fieldsUsage>
      <extLst>
        <ext xmlns:x15="http://schemas.microsoft.com/office/spreadsheetml/2010/11/main" uri="{B97F6D7D-B522-45F9-BDA1-12C45D357490}">
          <x15:cacheHierarchy aggregatedColumn="5"/>
        </ext>
      </extLst>
    </cacheHierarchy>
    <cacheHierarchy uniqueName="[Measures].[Sum of total_sales]" caption="Sum of total_sales" measure="1" displayFolder="" measureGroup="dataset" count="0" hidden="1">
      <extLst>
        <ext xmlns:x15="http://schemas.microsoft.com/office/spreadsheetml/2010/11/main" uri="{B97F6D7D-B522-45F9-BDA1-12C45D357490}">
          <x15:cacheHierarchy aggregatedColumn="2"/>
        </ext>
      </extLst>
    </cacheHierarchy>
    <cacheHierarchy uniqueName="[Measures].[Sum of year_month 2]" caption="Sum of year_month 2" measure="1" displayFolder="" measureGroup="dataset" count="0" hidden="1">
      <extLst>
        <ext xmlns:x15="http://schemas.microsoft.com/office/spreadsheetml/2010/11/main" uri="{B97F6D7D-B522-45F9-BDA1-12C45D357490}">
          <x15:cacheHierarchy aggregatedColumn="0"/>
        </ext>
      </extLst>
    </cacheHierarchy>
    <cacheHierarchy uniqueName="[Measures].[Sum of soda_units_sold]" caption="Sum of soda_units_sold" measure="1" displayFolder="" measureGroup="dataset"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store_id]" caption="Sum of store_id" measure="1" displayFolder="" measureGroup="dataset" count="0" hidden="1">
      <extLst>
        <ext xmlns:x15="http://schemas.microsoft.com/office/spreadsheetml/2010/11/main" uri="{B97F6D7D-B522-45F9-BDA1-12C45D357490}">
          <x15:cacheHierarchy aggregatedColumn="1"/>
        </ext>
      </extLst>
    </cacheHierarchy>
    <cacheHierarchy uniqueName="[Measures].[Distinct Count of store_id]" caption="Distinct Count of store_id" measure="1" displayFolder="" measureGroup="dataset" count="0" oneField="1" hidden="1">
      <fieldsUsage count="1">
        <fieldUsage x="7"/>
      </fieldsUsage>
      <extLst>
        <ext xmlns:x15="http://schemas.microsoft.com/office/spreadsheetml/2010/11/main" uri="{B97F6D7D-B522-45F9-BDA1-12C45D357490}">
          <x15:cacheHierarchy aggregatedColumn="1"/>
        </ext>
      </extLst>
    </cacheHierarchy>
    <cacheHierarchy uniqueName="[Measures].[Sum of soda_ppu]" caption="Sum of soda_ppu" measure="1" displayFolder="" measureGroup="dataset" count="0" hidden="1">
      <extLst>
        <ext xmlns:x15="http://schemas.microsoft.com/office/spreadsheetml/2010/11/main" uri="{B97F6D7D-B522-45F9-BDA1-12C45D357490}">
          <x15:cacheHierarchy aggregatedColumn="3"/>
        </ext>
      </extLst>
    </cacheHierarchy>
    <cacheHierarchy uniqueName="[Measures].[Average of soda_ppu]" caption="Average of soda_ppu" measure="1" displayFolder="" measureGroup="dataset" count="0" oneField="1" hidden="1">
      <fieldsUsage count="1">
        <fieldUsage x="6"/>
      </fieldsUsage>
      <extLst>
        <ext xmlns:x15="http://schemas.microsoft.com/office/spreadsheetml/2010/11/main" uri="{B97F6D7D-B522-45F9-BDA1-12C45D357490}">
          <x15:cacheHierarchy aggregatedColumn="3"/>
        </ext>
      </extLst>
    </cacheHierarchy>
  </cacheHierarchies>
  <kpis count="0"/>
  <dimensions count="5">
    <dimension name="dataset" uniqueName="[dataset]" caption="dataset"/>
    <dimension name="DimDate" uniqueName="[DimDate]" caption="DimDate"/>
    <dimension name="DimStore" uniqueName="[DimStore]" caption="DimStore"/>
    <dimension name="DimZip" uniqueName="[DimZip]" caption="DimZip"/>
    <dimension measure="1" name="Measures" uniqueName="[Measures]" caption="Measures"/>
  </dimensions>
  <measureGroups count="4">
    <measureGroup name="dataset" caption="dataset"/>
    <measureGroup name="DimDate" caption="DimDate"/>
    <measureGroup name="DimStore" caption="DimStore"/>
    <measureGroup name="DimZip" caption="DimZip"/>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ace" refreshedDate="46201.647867245367" backgroundQuery="1" createdVersion="8" refreshedVersion="8" minRefreshableVersion="3" recordCount="0" supportSubquery="1" supportAdvancedDrill="1" xr:uid="{8B2E5156-7B0E-487B-B203-60A9878C073C}">
  <cacheSource type="external" connectionId="12"/>
  <cacheFields count="8">
    <cacheField name="[DimZip].[zip_inc_tier].[zip_inc_tier]" caption="zip_inc_tier" numFmtId="0" hierarchy="18" level="1">
      <sharedItems count="4">
        <s v="High"/>
        <s v="Low"/>
        <s v="Med"/>
        <s v="No Data"/>
      </sharedItems>
    </cacheField>
    <cacheField name="[DimZip].[state].[state]" caption="state" numFmtId="0" hierarchy="16" level="1">
      <sharedItems containsSemiMixedTypes="0" containsNonDate="0" containsString="0"/>
    </cacheField>
    <cacheField name="[DimDate].[year_month].[year_month]" caption="year_month" numFmtId="0" hierarchy="8" level="1">
      <sharedItems containsSemiMixedTypes="0" containsNonDate="0" containsString="0"/>
    </cacheField>
    <cacheField name="[DimDate].[year].[year]" caption="year" numFmtId="0" hierarchy="9" level="1">
      <sharedItems count="3">
        <s v="2022"/>
        <s v="2023"/>
        <s v="2024"/>
      </sharedItems>
    </cacheField>
    <cacheField name="[Measures].[Sum of soda_units_sold]" caption="Sum of soda_units_sold" numFmtId="0" hierarchy="28" level="32767"/>
    <cacheField name="[Measures].[Sum of soda_sales]" caption="Sum of soda_sales" numFmtId="0" hierarchy="25" level="32767"/>
    <cacheField name="[Measures].[Average of soda_ppu]" caption="Average of soda_ppu" numFmtId="0" hierarchy="32" level="32767"/>
    <cacheField name="[Measures].[Distinct Count of store_id]" caption="Distinct Count of store_id" numFmtId="0" hierarchy="30" level="32767"/>
  </cacheFields>
  <cacheHierarchies count="33">
    <cacheHierarchy uniqueName="[dataset].[year_month]" caption="year_month" attribute="1" defaultMemberUniqueName="[dataset].[year_month].[All]" allUniqueName="[dataset].[year_month].[All]" dimensionUniqueName="[dataset]" displayFolder="" count="0" memberValueDatatype="20" unbalanced="0"/>
    <cacheHierarchy uniqueName="[dataset].[store_id]" caption="store_id" attribute="1" defaultMemberUniqueName="[dataset].[store_id].[All]" allUniqueName="[dataset].[store_id].[All]" dimensionUniqueName="[dataset]" displayFolder="" count="0" memberValueDatatype="20" unbalanced="0"/>
    <cacheHierarchy uniqueName="[dataset].[total_sales]" caption="total_sales" attribute="1" defaultMemberUniqueName="[dataset].[total_sales].[All]" allUniqueName="[dataset].[total_sales].[All]" dimensionUniqueName="[dataset]" displayFolder="" count="0" memberValueDatatype="5" unbalanced="0"/>
    <cacheHierarchy uniqueName="[dataset].[soda_ppu]" caption="soda_ppu" attribute="1" defaultMemberUniqueName="[dataset].[soda_ppu].[All]" allUniqueName="[dataset].[soda_ppu].[All]" dimensionUniqueName="[dataset]" displayFolder="" count="0" memberValueDatatype="5" unbalanced="0"/>
    <cacheHierarchy uniqueName="[dataset].[soda_units_sold]" caption="soda_units_sold" attribute="1" defaultMemberUniqueName="[dataset].[soda_units_sold].[All]" allUniqueName="[dataset].[soda_units_sold].[All]" dimensionUniqueName="[dataset]" displayFolder="" count="0" memberValueDatatype="20" unbalanced="0"/>
    <cacheHierarchy uniqueName="[dataset].[soda_sales]" caption="soda_sales" attribute="1" defaultMemberUniqueName="[dataset].[soda_sales].[All]" allUniqueName="[dataset].[soda_sales].[All]" dimensionUniqueName="[dataset]" displayFolder="" count="0" memberValueDatatype="5" unbalanced="0"/>
    <cacheHierarchy uniqueName="[dataset].[zip]" caption="zip" attribute="1" defaultMemberUniqueName="[dataset].[zip].[All]" allUniqueName="[dataset].[zip].[All]" dimensionUniqueName="[dataset]" displayFolder="" count="0" memberValueDatatype="130" unbalanced="0"/>
    <cacheHierarchy uniqueName="[dataset].[state]" caption="state" attribute="1" defaultMemberUniqueName="[dataset].[state].[All]" allUniqueName="[dataset].[state].[All]" dimensionUniqueName="[dataset]" displayFolder="" count="0" memberValueDatatype="130" unbalanced="0"/>
    <cacheHierarchy uniqueName="[DimDate].[year_month]" caption="year_month" attribute="1" defaultMemberUniqueName="[DimDate].[year_month].[All]" allUniqueName="[DimDate].[year_month].[All]" dimensionUniqueName="[DimDate]" displayFolder="" count="2" memberValueDatatype="20" unbalanced="0">
      <fieldsUsage count="2">
        <fieldUsage x="-1"/>
        <fieldUsage x="2"/>
      </fieldsUsage>
    </cacheHierarchy>
    <cacheHierarchy uniqueName="[DimDate].[year]" caption="year" attribute="1" defaultMemberUniqueName="[DimDate].[year].[All]" allUniqueName="[DimDate].[year].[All]" dimensionUniqueName="[DimDate]" displayFolder="" count="2" memberValueDatatype="13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130" unbalanced="0"/>
    <cacheHierarchy uniqueName="[DimDate].[month_start]" caption="month_start" attribute="1" defaultMemberUniqueName="[DimDate].[month_start].[All]" allUniqueName="[DimDate].[month_start].[All]" dimensionUniqueName="[DimDat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zip]" caption="zip" attribute="1" defaultMemberUniqueName="[DimStore].[zip].[All]" allUniqueName="[DimStore].[zip].[All]" dimensionUniqueName="[DimStore]" displayFolder="" count="0" memberValueDatatype="130" unbalanced="0"/>
    <cacheHierarchy uniqueName="[DimStore].[state]" caption="state" attribute="1" defaultMemberUniqueName="[DimStore].[state].[All]" allUniqueName="[DimStore].[state].[All]" dimensionUniqueName="[DimStore]" displayFolder="" count="0" memberValueDatatype="130" unbalanced="0"/>
    <cacheHierarchy uniqueName="[DimZip].[zip]" caption="zip" attribute="1" defaultMemberUniqueName="[DimZip].[zip].[All]" allUniqueName="[DimZip].[zip].[All]" dimensionUniqueName="[DimZip]" displayFolder="" count="0" memberValueDatatype="130" unbalanced="0"/>
    <cacheHierarchy uniqueName="[DimZip].[state]" caption="state" attribute="1" defaultMemberUniqueName="[DimZip].[state].[All]" allUniqueName="[DimZip].[state].[All]" dimensionUniqueName="[DimZip]" displayFolder="" count="2" memberValueDatatype="130" unbalanced="0">
      <fieldsUsage count="2">
        <fieldUsage x="-1"/>
        <fieldUsage x="1"/>
      </fieldsUsage>
    </cacheHierarchy>
    <cacheHierarchy uniqueName="[DimZip].[zip_med_inc_avg]" caption="zip_med_inc_avg" attribute="1" defaultMemberUniqueName="[DimZip].[zip_med_inc_avg].[All]" allUniqueName="[DimZip].[zip_med_inc_avg].[All]" dimensionUniqueName="[DimZip]" displayFolder="" count="0" memberValueDatatype="5" unbalanced="0"/>
    <cacheHierarchy uniqueName="[DimZip].[zip_inc_tier]" caption="zip_inc_tier" attribute="1" defaultMemberUniqueName="[DimZip].[zip_inc_tier].[All]" allUniqueName="[DimZip].[zip_inc_tier].[All]" dimensionUniqueName="[DimZip]" displayFolder="" count="2" memberValueDatatype="130" unbalanced="0">
      <fieldsUsage count="2">
        <fieldUsage x="-1"/>
        <fieldUsage x="0"/>
      </fieldsUsage>
    </cacheHierarchy>
    <cacheHierarchy uniqueName="[Measures].[__XL_Count dataset]" caption="__XL_Count dataset" measure="1" displayFolder="" measureGroup="dataset" count="0" hidden="1"/>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Zip]" caption="__XL_Count DimZip" measure="1" displayFolder="" measureGroup="DimZip" count="0" hidden="1"/>
    <cacheHierarchy uniqueName="[Measures].[__No measures defined]" caption="__No measures defined" measure="1" displayFolder="" count="0" hidden="1"/>
    <cacheHierarchy uniqueName="[Measures].[Sum of year_month]" caption="Sum of year_month" measure="1" displayFolder="" measureGroup="DimDate" count="0" hidden="1">
      <extLst>
        <ext xmlns:x15="http://schemas.microsoft.com/office/spreadsheetml/2010/11/main" uri="{B97F6D7D-B522-45F9-BDA1-12C45D357490}">
          <x15:cacheHierarchy aggregatedColumn="8"/>
        </ext>
      </extLst>
    </cacheHierarchy>
    <cacheHierarchy uniqueName="[Measures].[Sum of soda_sales]" caption="Sum of soda_sales" measure="1" displayFolder="" measureGroup="dataset" count="0" oneField="1" hidden="1">
      <fieldsUsage count="1">
        <fieldUsage x="5"/>
      </fieldsUsage>
      <extLst>
        <ext xmlns:x15="http://schemas.microsoft.com/office/spreadsheetml/2010/11/main" uri="{B97F6D7D-B522-45F9-BDA1-12C45D357490}">
          <x15:cacheHierarchy aggregatedColumn="5"/>
        </ext>
      </extLst>
    </cacheHierarchy>
    <cacheHierarchy uniqueName="[Measures].[Sum of total_sales]" caption="Sum of total_sales" measure="1" displayFolder="" measureGroup="dataset" count="0" hidden="1">
      <extLst>
        <ext xmlns:x15="http://schemas.microsoft.com/office/spreadsheetml/2010/11/main" uri="{B97F6D7D-B522-45F9-BDA1-12C45D357490}">
          <x15:cacheHierarchy aggregatedColumn="2"/>
        </ext>
      </extLst>
    </cacheHierarchy>
    <cacheHierarchy uniqueName="[Measures].[Sum of year_month 2]" caption="Sum of year_month 2" measure="1" displayFolder="" measureGroup="dataset" count="0" hidden="1">
      <extLst>
        <ext xmlns:x15="http://schemas.microsoft.com/office/spreadsheetml/2010/11/main" uri="{B97F6D7D-B522-45F9-BDA1-12C45D357490}">
          <x15:cacheHierarchy aggregatedColumn="0"/>
        </ext>
      </extLst>
    </cacheHierarchy>
    <cacheHierarchy uniqueName="[Measures].[Sum of soda_units_sold]" caption="Sum of soda_units_sold" measure="1" displayFolder="" measureGroup="dataset"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store_id]" caption="Sum of store_id" measure="1" displayFolder="" measureGroup="dataset" count="0" hidden="1">
      <extLst>
        <ext xmlns:x15="http://schemas.microsoft.com/office/spreadsheetml/2010/11/main" uri="{B97F6D7D-B522-45F9-BDA1-12C45D357490}">
          <x15:cacheHierarchy aggregatedColumn="1"/>
        </ext>
      </extLst>
    </cacheHierarchy>
    <cacheHierarchy uniqueName="[Measures].[Distinct Count of store_id]" caption="Distinct Count of store_id" measure="1" displayFolder="" measureGroup="dataset" count="0" oneField="1" hidden="1">
      <fieldsUsage count="1">
        <fieldUsage x="7"/>
      </fieldsUsage>
      <extLst>
        <ext xmlns:x15="http://schemas.microsoft.com/office/spreadsheetml/2010/11/main" uri="{B97F6D7D-B522-45F9-BDA1-12C45D357490}">
          <x15:cacheHierarchy aggregatedColumn="1"/>
        </ext>
      </extLst>
    </cacheHierarchy>
    <cacheHierarchy uniqueName="[Measures].[Sum of soda_ppu]" caption="Sum of soda_ppu" measure="1" displayFolder="" measureGroup="dataset" count="0" hidden="1">
      <extLst>
        <ext xmlns:x15="http://schemas.microsoft.com/office/spreadsheetml/2010/11/main" uri="{B97F6D7D-B522-45F9-BDA1-12C45D357490}">
          <x15:cacheHierarchy aggregatedColumn="3"/>
        </ext>
      </extLst>
    </cacheHierarchy>
    <cacheHierarchy uniqueName="[Measures].[Average of soda_ppu]" caption="Average of soda_ppu" measure="1" displayFolder="" measureGroup="dataset" count="0" oneField="1" hidden="1">
      <fieldsUsage count="1">
        <fieldUsage x="6"/>
      </fieldsUsage>
      <extLst>
        <ext xmlns:x15="http://schemas.microsoft.com/office/spreadsheetml/2010/11/main" uri="{B97F6D7D-B522-45F9-BDA1-12C45D357490}">
          <x15:cacheHierarchy aggregatedColumn="3"/>
        </ext>
      </extLst>
    </cacheHierarchy>
  </cacheHierarchies>
  <kpis count="0"/>
  <dimensions count="5">
    <dimension name="dataset" uniqueName="[dataset]" caption="dataset"/>
    <dimension name="DimDate" uniqueName="[DimDate]" caption="DimDate"/>
    <dimension name="DimStore" uniqueName="[DimStore]" caption="DimStore"/>
    <dimension name="DimZip" uniqueName="[DimZip]" caption="DimZip"/>
    <dimension measure="1" name="Measures" uniqueName="[Measures]" caption="Measures"/>
  </dimensions>
  <measureGroups count="4">
    <measureGroup name="dataset" caption="dataset"/>
    <measureGroup name="DimDate" caption="DimDate"/>
    <measureGroup name="DimStore" caption="DimStore"/>
    <measureGroup name="DimZip" caption="DimZip"/>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ace" refreshedDate="46202.27708576389" backgroundQuery="1" createdVersion="8" refreshedVersion="8" minRefreshableVersion="3" recordCount="0" supportSubquery="1" supportAdvancedDrill="1" xr:uid="{1085656A-E9B9-4B14-A095-CA6B6E4BC699}">
  <cacheSource type="external" connectionId="12"/>
  <cacheFields count="5">
    <cacheField name="[DimZip].[zip_inc_tier].[zip_inc_tier]" caption="zip_inc_tier" numFmtId="0" hierarchy="18" level="1">
      <sharedItems count="3">
        <s v="High"/>
        <s v="Low"/>
        <s v="Med"/>
      </sharedItems>
    </cacheField>
    <cacheField name="[DimZip].[state].[state]" caption="state" numFmtId="0" hierarchy="16" level="1">
      <sharedItems containsSemiMixedTypes="0" containsNonDate="0" containsString="0"/>
    </cacheField>
    <cacheField name="[Measures].[Sum of soda_sales]" caption="Sum of soda_sales" numFmtId="0" hierarchy="25" level="32767"/>
    <cacheField name="[DimDate].[year].[year]" caption="year" numFmtId="0" hierarchy="9"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dataset].[year_month]" caption="year_month" attribute="1" defaultMemberUniqueName="[dataset].[year_month].[All]" allUniqueName="[dataset].[year_month].[All]" dimensionUniqueName="[dataset]" displayFolder="" count="0" memberValueDatatype="20" unbalanced="0"/>
    <cacheHierarchy uniqueName="[dataset].[store_id]" caption="store_id" attribute="1" defaultMemberUniqueName="[dataset].[store_id].[All]" allUniqueName="[dataset].[store_id].[All]" dimensionUniqueName="[dataset]" displayFolder="" count="0" memberValueDatatype="20" unbalanced="0"/>
    <cacheHierarchy uniqueName="[dataset].[total_sales]" caption="total_sales" attribute="1" defaultMemberUniqueName="[dataset].[total_sales].[All]" allUniqueName="[dataset].[total_sales].[All]" dimensionUniqueName="[dataset]" displayFolder="" count="0" memberValueDatatype="5" unbalanced="0"/>
    <cacheHierarchy uniqueName="[dataset].[soda_ppu]" caption="soda_ppu" attribute="1" defaultMemberUniqueName="[dataset].[soda_ppu].[All]" allUniqueName="[dataset].[soda_ppu].[All]" dimensionUniqueName="[dataset]" displayFolder="" count="0" memberValueDatatype="5" unbalanced="0"/>
    <cacheHierarchy uniqueName="[dataset].[soda_units_sold]" caption="soda_units_sold" attribute="1" defaultMemberUniqueName="[dataset].[soda_units_sold].[All]" allUniqueName="[dataset].[soda_units_sold].[All]" dimensionUniqueName="[dataset]" displayFolder="" count="0" memberValueDatatype="20" unbalanced="0"/>
    <cacheHierarchy uniqueName="[dataset].[soda_sales]" caption="soda_sales" attribute="1" defaultMemberUniqueName="[dataset].[soda_sales].[All]" allUniqueName="[dataset].[soda_sales].[All]" dimensionUniqueName="[dataset]" displayFolder="" count="2" memberValueDatatype="5" unbalanced="0"/>
    <cacheHierarchy uniqueName="[dataset].[zip]" caption="zip" attribute="1" defaultMemberUniqueName="[dataset].[zip].[All]" allUniqueName="[dataset].[zip].[All]" dimensionUniqueName="[dataset]" displayFolder="" count="0" memberValueDatatype="130" unbalanced="0"/>
    <cacheHierarchy uniqueName="[dataset].[state]" caption="state" attribute="1" defaultMemberUniqueName="[dataset].[state].[All]" allUniqueName="[dataset].[state].[All]" dimensionUniqueName="[dataset]" displayFolder="" count="0" memberValueDatatype="130" unbalanced="0"/>
    <cacheHierarchy uniqueName="[DimDate].[year_month]" caption="year_month" attribute="1" defaultMemberUniqueName="[DimDate].[year_month].[All]" allUniqueName="[DimDate].[year_month].[All]" dimensionUniqueName="[DimDate]" displayFolder="" count="2" memberValueDatatype="20" unbalanced="0"/>
    <cacheHierarchy uniqueName="[DimDate].[year]" caption="year" attribute="1" defaultMemberUniqueName="[DimDate].[year].[All]" allUniqueName="[DimDate].[year].[All]" dimensionUniqueName="[DimDate]" displayFolder="" count="2" memberValueDatatype="13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130" unbalanced="0"/>
    <cacheHierarchy uniqueName="[DimDate].[month_start]" caption="month_start" attribute="1" defaultMemberUniqueName="[DimDate].[month_start].[All]" allUniqueName="[DimDate].[month_start].[All]" dimensionUniqueName="[DimDat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zip]" caption="zip" attribute="1" defaultMemberUniqueName="[DimStore].[zip].[All]" allUniqueName="[DimStore].[zip].[All]" dimensionUniqueName="[DimStore]" displayFolder="" count="0" memberValueDatatype="130" unbalanced="0"/>
    <cacheHierarchy uniqueName="[DimStore].[state]" caption="state" attribute="1" defaultMemberUniqueName="[DimStore].[state].[All]" allUniqueName="[DimStore].[state].[All]" dimensionUniqueName="[DimStore]" displayFolder="" count="0" memberValueDatatype="130" unbalanced="0"/>
    <cacheHierarchy uniqueName="[DimZip].[zip]" caption="zip" attribute="1" defaultMemberUniqueName="[DimZip].[zip].[All]" allUniqueName="[DimZip].[zip].[All]" dimensionUniqueName="[DimZip]" displayFolder="" count="0" memberValueDatatype="130" unbalanced="0"/>
    <cacheHierarchy uniqueName="[DimZip].[state]" caption="state" attribute="1" defaultMemberUniqueName="[DimZip].[state].[All]" allUniqueName="[DimZip].[state].[All]" dimensionUniqueName="[DimZip]" displayFolder="" count="2" memberValueDatatype="130" unbalanced="0">
      <fieldsUsage count="2">
        <fieldUsage x="-1"/>
        <fieldUsage x="1"/>
      </fieldsUsage>
    </cacheHierarchy>
    <cacheHierarchy uniqueName="[DimZip].[zip_med_inc_avg]" caption="zip_med_inc_avg" attribute="1" defaultMemberUniqueName="[DimZip].[zip_med_inc_avg].[All]" allUniqueName="[DimZip].[zip_med_inc_avg].[All]" dimensionUniqueName="[DimZip]" displayFolder="" count="0" memberValueDatatype="5" unbalanced="0"/>
    <cacheHierarchy uniqueName="[DimZip].[zip_inc_tier]" caption="zip_inc_tier" attribute="1" defaultMemberUniqueName="[DimZip].[zip_inc_tier].[All]" allUniqueName="[DimZip].[zip_inc_tier].[All]" dimensionUniqueName="[DimZip]" displayFolder="" count="2" memberValueDatatype="130" unbalanced="0">
      <fieldsUsage count="2">
        <fieldUsage x="-1"/>
        <fieldUsage x="0"/>
      </fieldsUsage>
    </cacheHierarchy>
    <cacheHierarchy uniqueName="[Measures].[__XL_Count dataset]" caption="__XL_Count dataset" measure="1" displayFolder="" measureGroup="dataset" count="0" hidden="1"/>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Zip]" caption="__XL_Count DimZip" measure="1" displayFolder="" measureGroup="DimZip" count="0" hidden="1"/>
    <cacheHierarchy uniqueName="[Measures].[__No measures defined]" caption="__No measures defined" measure="1" displayFolder="" count="0" hidden="1"/>
    <cacheHierarchy uniqueName="[Measures].[Sum of year_month]" caption="Sum of year_month" measure="1" displayFolder="" measureGroup="DimDate" count="0" hidden="1">
      <extLst>
        <ext xmlns:x15="http://schemas.microsoft.com/office/spreadsheetml/2010/11/main" uri="{B97F6D7D-B522-45F9-BDA1-12C45D357490}">
          <x15:cacheHierarchy aggregatedColumn="8"/>
        </ext>
      </extLst>
    </cacheHierarchy>
    <cacheHierarchy uniqueName="[Measures].[Sum of soda_sales]" caption="Sum of soda_sales" measure="1" displayFolder="" measureGroup="dataset"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total_sales]" caption="Sum of total_sales" measure="1" displayFolder="" measureGroup="dataset" count="0" hidden="1">
      <extLst>
        <ext xmlns:x15="http://schemas.microsoft.com/office/spreadsheetml/2010/11/main" uri="{B97F6D7D-B522-45F9-BDA1-12C45D357490}">
          <x15:cacheHierarchy aggregatedColumn="2"/>
        </ext>
      </extLst>
    </cacheHierarchy>
    <cacheHierarchy uniqueName="[Measures].[Sum of year_month 2]" caption="Sum of year_month 2" measure="1" displayFolder="" measureGroup="dataset" count="0" hidden="1">
      <extLst>
        <ext xmlns:x15="http://schemas.microsoft.com/office/spreadsheetml/2010/11/main" uri="{B97F6D7D-B522-45F9-BDA1-12C45D357490}">
          <x15:cacheHierarchy aggregatedColumn="0"/>
        </ext>
      </extLst>
    </cacheHierarchy>
    <cacheHierarchy uniqueName="[Measures].[Sum of soda_units_sold]" caption="Sum of soda_units_sold" measure="1" displayFolder="" measureGroup="dataset" count="0" hidden="1">
      <extLst>
        <ext xmlns:x15="http://schemas.microsoft.com/office/spreadsheetml/2010/11/main" uri="{B97F6D7D-B522-45F9-BDA1-12C45D357490}">
          <x15:cacheHierarchy aggregatedColumn="4"/>
        </ext>
      </extLst>
    </cacheHierarchy>
    <cacheHierarchy uniqueName="[Measures].[Sum of store_id]" caption="Sum of store_id" measure="1" displayFolder="" measureGroup="dataset" count="0" hidden="1">
      <extLst>
        <ext xmlns:x15="http://schemas.microsoft.com/office/spreadsheetml/2010/11/main" uri="{B97F6D7D-B522-45F9-BDA1-12C45D357490}">
          <x15:cacheHierarchy aggregatedColumn="1"/>
        </ext>
      </extLst>
    </cacheHierarchy>
    <cacheHierarchy uniqueName="[Measures].[Distinct Count of store_id]" caption="Distinct Count of store_id" measure="1" displayFolder="" measureGroup="dataset" count="0" hidden="1">
      <extLst>
        <ext xmlns:x15="http://schemas.microsoft.com/office/spreadsheetml/2010/11/main" uri="{B97F6D7D-B522-45F9-BDA1-12C45D357490}">
          <x15:cacheHierarchy aggregatedColumn="1"/>
        </ext>
      </extLst>
    </cacheHierarchy>
    <cacheHierarchy uniqueName="[Measures].[Sum of soda_ppu]" caption="Sum of soda_ppu" measure="1" displayFolder="" measureGroup="dataset" count="0" hidden="1">
      <extLst>
        <ext xmlns:x15="http://schemas.microsoft.com/office/spreadsheetml/2010/11/main" uri="{B97F6D7D-B522-45F9-BDA1-12C45D357490}">
          <x15:cacheHierarchy aggregatedColumn="3"/>
        </ext>
      </extLst>
    </cacheHierarchy>
    <cacheHierarchy uniqueName="[Measures].[Average of soda_ppu]" caption="Average of soda_ppu" measure="1" displayFolder="" measureGroup="dataset" count="0" hidden="1">
      <extLst>
        <ext xmlns:x15="http://schemas.microsoft.com/office/spreadsheetml/2010/11/main" uri="{B97F6D7D-B522-45F9-BDA1-12C45D357490}">
          <x15:cacheHierarchy aggregatedColumn="3"/>
        </ext>
      </extLst>
    </cacheHierarchy>
    <cacheHierarchy uniqueName="Unsupported0" caption="year_month" measure="1" count="0">
      <extLst>
        <ext xmlns:x14="http://schemas.microsoft.com/office/spreadsheetml/2009/9/main" uri="{8CF416AD-EC4C-4aba-99F5-12A058AE0983}">
          <x14:cacheHierarchy ignore="1"/>
        </ext>
      </extLst>
    </cacheHierarchy>
  </cacheHierarchies>
  <kpis count="0"/>
  <dimensions count="5">
    <dimension name="dataset" uniqueName="[dataset]" caption="dataset"/>
    <dimension name="DimDate" uniqueName="[DimDate]" caption="DimDate"/>
    <dimension name="DimStore" uniqueName="[DimStore]" caption="DimStore"/>
    <dimension name="DimZip" uniqueName="[DimZip]" caption="DimZip"/>
    <dimension measure="1" name="Measures" uniqueName="[Measures]" caption="Measures"/>
  </dimensions>
  <measureGroups count="4">
    <measureGroup name="dataset" caption="dataset"/>
    <measureGroup name="DimDate" caption="DimDate"/>
    <measureGroup name="DimStore" caption="DimStore"/>
    <measureGroup name="DimZip" caption="DimZip"/>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ace" refreshedDate="46202.458738194444" backgroundQuery="1" createdVersion="8" refreshedVersion="8" minRefreshableVersion="3" recordCount="0" supportSubquery="1" supportAdvancedDrill="1" xr:uid="{5B9E80F4-F038-49B0-A48A-47618D598964}">
  <cacheSource type="external" connectionId="12"/>
  <cacheFields count="8">
    <cacheField name="[dataset].[state].[state]" caption="state" numFmtId="0" hierarchy="7" level="1">
      <sharedItems containsSemiMixedTypes="0" containsNonDate="0" containsString="0"/>
    </cacheField>
    <cacheField name="[dataset].[year_month].[year_month]" caption="year_month" numFmtId="0" level="1">
      <sharedItems containsSemiMixedTypes="0" containsNonDate="0" containsString="0"/>
    </cacheField>
    <cacheField name="[DimZip].[zip_inc_tier].[zip_inc_tier]" caption="zip_inc_tier" numFmtId="0" hierarchy="18" level="1">
      <sharedItems count="3">
        <s v="High"/>
        <s v="Low"/>
        <s v="Med"/>
      </sharedItems>
    </cacheField>
    <cacheField name="[Measures].[Sum of soda_units_sold]" caption="Sum of soda_units_sold" numFmtId="0" hierarchy="28" level="32767"/>
    <cacheField name="[Measures].[Sum of soda_sales]" caption="Sum of soda_sales" numFmtId="0" hierarchy="25" level="32767"/>
    <cacheField name="[Measures].[Distinct Count of store_id]" caption="Distinct Count of store_id" numFmtId="0" hierarchy="30" level="32767"/>
    <cacheField name="[DimDate].[year].[year]" caption="year" numFmtId="0" hierarchy="9" level="1">
      <sharedItems containsSemiMixedTypes="0" containsNonDate="0" containsString="0"/>
    </cacheField>
    <cacheField name="[Measures].[Average of soda_ppu]" caption="Average of soda_ppu" numFmtId="0" hierarchy="32" level="32767"/>
  </cacheFields>
  <cacheHierarchies count="33">
    <cacheHierarchy uniqueName="[dataset].[year_month]" caption="year_month" attribute="1" defaultMemberUniqueName="[dataset].[year_month].[All]" allUniqueName="[dataset].[year_month].[All]" dimensionUniqueName="[dataset]" displayFolder="" count="2" memberValueDatatype="20" unbalanced="0">
      <fieldsUsage count="2">
        <fieldUsage x="-1"/>
        <fieldUsage x="1"/>
      </fieldsUsage>
    </cacheHierarchy>
    <cacheHierarchy uniqueName="[dataset].[store_id]" caption="store_id" attribute="1" defaultMemberUniqueName="[dataset].[store_id].[All]" allUniqueName="[dataset].[store_id].[All]" dimensionUniqueName="[dataset]" displayFolder="" count="0" memberValueDatatype="20" unbalanced="0"/>
    <cacheHierarchy uniqueName="[dataset].[total_sales]" caption="total_sales" attribute="1" defaultMemberUniqueName="[dataset].[total_sales].[All]" allUniqueName="[dataset].[total_sales].[All]" dimensionUniqueName="[dataset]" displayFolder="" count="0" memberValueDatatype="5" unbalanced="0"/>
    <cacheHierarchy uniqueName="[dataset].[soda_ppu]" caption="soda_ppu" attribute="1" defaultMemberUniqueName="[dataset].[soda_ppu].[All]" allUniqueName="[dataset].[soda_ppu].[All]" dimensionUniqueName="[dataset]" displayFolder="" count="0" memberValueDatatype="5" unbalanced="0"/>
    <cacheHierarchy uniqueName="[dataset].[soda_units_sold]" caption="soda_units_sold" attribute="1" defaultMemberUniqueName="[dataset].[soda_units_sold].[All]" allUniqueName="[dataset].[soda_units_sold].[All]" dimensionUniqueName="[dataset]" displayFolder="" count="0" memberValueDatatype="20" unbalanced="0"/>
    <cacheHierarchy uniqueName="[dataset].[soda_sales]" caption="soda_sales" attribute="1" defaultMemberUniqueName="[dataset].[soda_sales].[All]" allUniqueName="[dataset].[soda_sales].[All]" dimensionUniqueName="[dataset]" displayFolder="" count="0" memberValueDatatype="5" unbalanced="0"/>
    <cacheHierarchy uniqueName="[dataset].[zip]" caption="zip" attribute="1" defaultMemberUniqueName="[dataset].[zip].[All]" allUniqueName="[dataset].[zip].[All]" dimensionUniqueName="[dataset]" displayFolder="" count="0" memberValueDatatype="130" unbalanced="0"/>
    <cacheHierarchy uniqueName="[dataset].[state]" caption="state" attribute="1" defaultMemberUniqueName="[dataset].[state].[All]" allUniqueName="[dataset].[state].[All]" dimensionUniqueName="[dataset]" displayFolder="" count="2" memberValueDatatype="130" unbalanced="0">
      <fieldsUsage count="2">
        <fieldUsage x="-1"/>
        <fieldUsage x="0"/>
      </fieldsUsage>
    </cacheHierarchy>
    <cacheHierarchy uniqueName="[DimDate].[year_month]" caption="year_month" attribute="1" defaultMemberUniqueName="[DimDate].[year_month].[All]" allUniqueName="[DimDate].[year_month].[All]" dimensionUniqueName="[DimDate]" displayFolder="" count="0" memberValueDatatype="20" unbalanced="0"/>
    <cacheHierarchy uniqueName="[DimDate].[year]" caption="year" attribute="1" defaultMemberUniqueName="[DimDate].[year].[All]" allUniqueName="[DimDate].[year].[All]" dimensionUniqueName="[DimDate]" displayFolder="" count="2" memberValueDatatype="130" unbalanced="0">
      <fieldsUsage count="2">
        <fieldUsage x="-1"/>
        <fieldUsage x="6"/>
      </fieldsUsage>
    </cacheHierarchy>
    <cacheHierarchy uniqueName="[DimDate].[month]" caption="month" attribute="1" defaultMemberUniqueName="[DimDate].[month].[All]" allUniqueName="[DimDate].[month].[All]" dimensionUniqueName="[DimDate]" displayFolder="" count="0" memberValueDatatype="130" unbalanced="0"/>
    <cacheHierarchy uniqueName="[DimDate].[month_start]" caption="month_start" attribute="1" defaultMemberUniqueName="[DimDate].[month_start].[All]" allUniqueName="[DimDate].[month_start].[All]" dimensionUniqueName="[DimDat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zip]" caption="zip" attribute="1" defaultMemberUniqueName="[DimStore].[zip].[All]" allUniqueName="[DimStore].[zip].[All]" dimensionUniqueName="[DimStore]" displayFolder="" count="0" memberValueDatatype="130" unbalanced="0"/>
    <cacheHierarchy uniqueName="[DimStore].[state]" caption="state" attribute="1" defaultMemberUniqueName="[DimStore].[state].[All]" allUniqueName="[DimStore].[state].[All]" dimensionUniqueName="[DimStore]" displayFolder="" count="0" memberValueDatatype="130" unbalanced="0"/>
    <cacheHierarchy uniqueName="[DimZip].[zip]" caption="zip" attribute="1" defaultMemberUniqueName="[DimZip].[zip].[All]" allUniqueName="[DimZip].[zip].[All]" dimensionUniqueName="[DimZip]" displayFolder="" count="0" memberValueDatatype="130" unbalanced="0"/>
    <cacheHierarchy uniqueName="[DimZip].[state]" caption="state" attribute="1" defaultMemberUniqueName="[DimZip].[state].[All]" allUniqueName="[DimZip].[state].[All]" dimensionUniqueName="[DimZip]" displayFolder="" count="0" memberValueDatatype="130" unbalanced="0"/>
    <cacheHierarchy uniqueName="[DimZip].[zip_med_inc_avg]" caption="zip_med_inc_avg" attribute="1" defaultMemberUniqueName="[DimZip].[zip_med_inc_avg].[All]" allUniqueName="[DimZip].[zip_med_inc_avg].[All]" dimensionUniqueName="[DimZip]" displayFolder="" count="0" memberValueDatatype="5" unbalanced="0"/>
    <cacheHierarchy uniqueName="[DimZip].[zip_inc_tier]" caption="zip_inc_tier" attribute="1" defaultMemberUniqueName="[DimZip].[zip_inc_tier].[All]" allUniqueName="[DimZip].[zip_inc_tier].[All]" dimensionUniqueName="[DimZip]" displayFolder="" count="2" memberValueDatatype="130" unbalanced="0">
      <fieldsUsage count="2">
        <fieldUsage x="-1"/>
        <fieldUsage x="2"/>
      </fieldsUsage>
    </cacheHierarchy>
    <cacheHierarchy uniqueName="[Measures].[__XL_Count dataset]" caption="__XL_Count dataset" measure="1" displayFolder="" measureGroup="dataset" count="0" hidden="1"/>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Zip]" caption="__XL_Count DimZip" measure="1" displayFolder="" measureGroup="DimZip" count="0" hidden="1"/>
    <cacheHierarchy uniqueName="[Measures].[__No measures defined]" caption="__No measures defined" measure="1" displayFolder="" count="0" hidden="1"/>
    <cacheHierarchy uniqueName="[Measures].[Sum of year_month]" caption="Sum of year_month" measure="1" displayFolder="" measureGroup="DimDate" count="0" hidden="1">
      <extLst>
        <ext xmlns:x15="http://schemas.microsoft.com/office/spreadsheetml/2010/11/main" uri="{B97F6D7D-B522-45F9-BDA1-12C45D357490}">
          <x15:cacheHierarchy aggregatedColumn="8"/>
        </ext>
      </extLst>
    </cacheHierarchy>
    <cacheHierarchy uniqueName="[Measures].[Sum of soda_sales]" caption="Sum of soda_sales" measure="1" displayFolder="" measureGroup="dataset" count="0" oneField="1" hidden="1">
      <fieldsUsage count="1">
        <fieldUsage x="4"/>
      </fieldsUsage>
      <extLst>
        <ext xmlns:x15="http://schemas.microsoft.com/office/spreadsheetml/2010/11/main" uri="{B97F6D7D-B522-45F9-BDA1-12C45D357490}">
          <x15:cacheHierarchy aggregatedColumn="5"/>
        </ext>
      </extLst>
    </cacheHierarchy>
    <cacheHierarchy uniqueName="[Measures].[Sum of total_sales]" caption="Sum of total_sales" measure="1" displayFolder="" measureGroup="dataset" count="0" hidden="1">
      <extLst>
        <ext xmlns:x15="http://schemas.microsoft.com/office/spreadsheetml/2010/11/main" uri="{B97F6D7D-B522-45F9-BDA1-12C45D357490}">
          <x15:cacheHierarchy aggregatedColumn="2"/>
        </ext>
      </extLst>
    </cacheHierarchy>
    <cacheHierarchy uniqueName="[Measures].[Sum of year_month 2]" caption="Sum of year_month 2" measure="1" displayFolder="" measureGroup="dataset" count="0" hidden="1">
      <extLst>
        <ext xmlns:x15="http://schemas.microsoft.com/office/spreadsheetml/2010/11/main" uri="{B97F6D7D-B522-45F9-BDA1-12C45D357490}">
          <x15:cacheHierarchy aggregatedColumn="0"/>
        </ext>
      </extLst>
    </cacheHierarchy>
    <cacheHierarchy uniqueName="[Measures].[Sum of soda_units_sold]" caption="Sum of soda_units_sold" measure="1" displayFolder="" measureGroup="dataset"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store_id]" caption="Sum of store_id" measure="1" displayFolder="" measureGroup="dataset" count="0" hidden="1">
      <extLst>
        <ext xmlns:x15="http://schemas.microsoft.com/office/spreadsheetml/2010/11/main" uri="{B97F6D7D-B522-45F9-BDA1-12C45D357490}">
          <x15:cacheHierarchy aggregatedColumn="1"/>
        </ext>
      </extLst>
    </cacheHierarchy>
    <cacheHierarchy uniqueName="[Measures].[Distinct Count of store_id]" caption="Distinct Count of store_id" measure="1" displayFolder="" measureGroup="dataset" count="0" oneField="1" hidden="1">
      <fieldsUsage count="1">
        <fieldUsage x="5"/>
      </fieldsUsage>
      <extLst>
        <ext xmlns:x15="http://schemas.microsoft.com/office/spreadsheetml/2010/11/main" uri="{B97F6D7D-B522-45F9-BDA1-12C45D357490}">
          <x15:cacheHierarchy aggregatedColumn="1"/>
        </ext>
      </extLst>
    </cacheHierarchy>
    <cacheHierarchy uniqueName="[Measures].[Sum of soda_ppu]" caption="Sum of soda_ppu" measure="1" displayFolder="" measureGroup="dataset" count="0" hidden="1">
      <extLst>
        <ext xmlns:x15="http://schemas.microsoft.com/office/spreadsheetml/2010/11/main" uri="{B97F6D7D-B522-45F9-BDA1-12C45D357490}">
          <x15:cacheHierarchy aggregatedColumn="3"/>
        </ext>
      </extLst>
    </cacheHierarchy>
    <cacheHierarchy uniqueName="[Measures].[Average of soda_ppu]" caption="Average of soda_ppu" measure="1" displayFolder="" measureGroup="dataset" count="0" oneField="1" hidden="1">
      <fieldsUsage count="1">
        <fieldUsage x="7"/>
      </fieldsUsage>
      <extLst>
        <ext xmlns:x15="http://schemas.microsoft.com/office/spreadsheetml/2010/11/main" uri="{B97F6D7D-B522-45F9-BDA1-12C45D357490}">
          <x15:cacheHierarchy aggregatedColumn="3"/>
        </ext>
      </extLst>
    </cacheHierarchy>
  </cacheHierarchies>
  <kpis count="0"/>
  <dimensions count="5">
    <dimension name="dataset" uniqueName="[dataset]" caption="dataset"/>
    <dimension name="DimDate" uniqueName="[DimDate]" caption="DimDate"/>
    <dimension name="DimStore" uniqueName="[DimStore]" caption="DimStore"/>
    <dimension name="DimZip" uniqueName="[DimZip]" caption="DimZip"/>
    <dimension measure="1" name="Measures" uniqueName="[Measures]" caption="Measures"/>
  </dimensions>
  <measureGroups count="4">
    <measureGroup name="dataset" caption="dataset"/>
    <measureGroup name="DimDate" caption="DimDate"/>
    <measureGroup name="DimStore" caption="DimStore"/>
    <measureGroup name="DimZip" caption="DimZip"/>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DC427D-7094-4212-8260-54197F082BD7}" name="PivotTable12" cacheId="21" applyNumberFormats="0" applyBorderFormats="0" applyFontFormats="0" applyPatternFormats="0" applyAlignmentFormats="0" applyWidthHeightFormats="1" dataCaption="Values" tag="2022bcfa-3397-461b-90c2-d81e463619ec" updatedVersion="8" minRefreshableVersion="3" useAutoFormatting="1" subtotalHiddenItems="1" itemPrintTitles="1" createdVersion="8" indent="0" outline="1" outlineData="1" multipleFieldFilters="0" chartFormat="23">
  <location ref="A7:C11" firstHeaderRow="0" firstDataRow="1" firstDataCol="1" rowPageCount="2" colPageCount="1"/>
  <pivotFields count="5">
    <pivotField axis="axisRow" allDrilled="1" subtotalTop="0" showAll="0" defaultSubtotal="0" defaultAttributeDrillState="1">
      <items count="3">
        <item x="0"/>
        <item x="2"/>
        <item x="1"/>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1">
    <field x="-2"/>
  </colFields>
  <colItems count="2">
    <i>
      <x/>
    </i>
    <i i="1">
      <x v="1"/>
    </i>
  </colItems>
  <pageFields count="2">
    <pageField fld="1" hier="16" name="[DimZip].[state].&amp;[VA]" cap="VA"/>
    <pageField fld="3" hier="9" name="[DimDate].[year].&amp;[2024]" cap="2024"/>
  </pageFields>
  <dataFields count="2">
    <dataField name="Sum of soda_sales" fld="2" baseField="0" baseItem="0" numFmtId="164"/>
    <dataField name="Sum of soda_sales2" fld="4" showDataAs="percentOfTotal" baseField="0" baseItem="0" numFmtId="10">
      <extLst>
        <ext xmlns:x14="http://schemas.microsoft.com/office/spreadsheetml/2009/9/main" uri="{E15A36E0-9728-4e99-A89B-3F7291B0FE68}">
          <x14:dataField sourceField="2" uniqueName="[__Xl2].[Measures].[Sum of soda_sales]"/>
        </ext>
      </extLst>
    </dataField>
  </dataFields>
  <formats count="4">
    <format dxfId="4262">
      <pivotArea collapsedLevelsAreSubtotals="1" fieldPosition="0">
        <references count="2">
          <reference field="4294967294" count="1" selected="0">
            <x v="0"/>
          </reference>
          <reference field="0" count="1">
            <x v="2"/>
          </reference>
        </references>
      </pivotArea>
    </format>
    <format dxfId="4261">
      <pivotArea dataOnly="0" labelOnly="1" outline="0" fieldPosition="0">
        <references count="1">
          <reference field="4294967294" count="1">
            <x v="0"/>
          </reference>
        </references>
      </pivotArea>
    </format>
    <format dxfId="4260">
      <pivotArea outline="0" collapsedLevelsAreSubtotals="1" fieldPosition="0">
        <references count="1">
          <reference field="4294967294" count="1" selected="0">
            <x v="0"/>
          </reference>
        </references>
      </pivotArea>
    </format>
    <format dxfId="4259">
      <pivotArea outline="0" fieldPosition="0">
        <references count="1">
          <reference field="4294967294" count="1">
            <x v="1"/>
          </reference>
        </references>
      </pivotArea>
    </format>
  </formats>
  <chartFormats count="8">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pivotArea type="data" outline="0" fieldPosition="0">
        <references count="2">
          <reference field="4294967294" count="1" selected="0">
            <x v="0"/>
          </reference>
          <reference field="0" count="1" selected="0">
            <x v="1"/>
          </reference>
        </references>
      </pivotArea>
    </chartFormat>
    <chartFormat chart="17" format="3">
      <pivotArea type="data" outline="0" fieldPosition="0">
        <references count="2">
          <reference field="4294967294" count="1" selected="0">
            <x v="1"/>
          </reference>
          <reference field="0" count="1" selected="0">
            <x v="2"/>
          </reference>
        </references>
      </pivotArea>
    </chartFormat>
    <chartFormat chart="17" format="4">
      <pivotArea type="data" outline="0" fieldPosition="0">
        <references count="2">
          <reference field="4294967294" count="1" selected="0">
            <x v="1"/>
          </reference>
          <reference field="0" count="1" selected="0">
            <x v="1"/>
          </reference>
        </references>
      </pivotArea>
    </chartFormat>
    <chartFormat chart="17" format="5">
      <pivotArea type="data" outline="0" fieldPosition="0">
        <references count="2">
          <reference field="4294967294" count="1" selected="0">
            <x v="1"/>
          </reference>
          <reference field="0" count="1" selected="0">
            <x v="0"/>
          </reference>
        </references>
      </pivotArea>
    </chartFormat>
    <chartFormat chart="17" format="6">
      <pivotArea type="data" outline="0" fieldPosition="0">
        <references count="2">
          <reference field="4294967294" count="1" selected="0">
            <x v="0"/>
          </reference>
          <reference field="0" count="1" selected="0">
            <x v="2"/>
          </reference>
        </references>
      </pivotArea>
    </chartFormat>
    <chartFormat chart="17" format="7">
      <pivotArea type="data" outline="0" fieldPosition="0">
        <references count="2">
          <reference field="4294967294" count="1" selected="0">
            <x v="0"/>
          </reference>
          <reference field="0"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store_id"/>
    <pivotHierarchy dragToData="1"/>
    <pivotHierarchy dragToData="1" caption="Average of soda_ppu"/>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Zip]"/>
        <x15:activeTabTopLevelEntity name="[DimDate]"/>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7CDC33-D44D-41C0-81C9-0745481A1D39}" name="PivotTable17" cacheId="22" applyNumberFormats="0" applyBorderFormats="0" applyFontFormats="0" applyPatternFormats="0" applyAlignmentFormats="0" applyWidthHeightFormats="1" dataCaption="Values" grandTotalCaption="Total" tag="936ebe2d-cdb2-45e3-8323-baa0948833ff" updatedVersion="8" minRefreshableVersion="3" useAutoFormatting="1" subtotalHiddenItems="1" itemPrintTitles="1" createdVersion="8" indent="0" outline="1" outlineData="1" multipleFieldFilters="0" rowHeaderCaption="Income Tier">
  <location ref="A5:E9" firstHeaderRow="0" firstDataRow="1" firstDataCol="1" rowPageCount="2" colPageCount="1"/>
  <pivotFields count="8">
    <pivotField axis="axisPage" allDrilled="1" subtotalTop="0" showAll="0" dataSourceSort="1" defaultSubtotal="0" defaultAttributeDrillState="1"/>
    <pivotField allDrilled="1" subtotalTop="0" showAll="0" dataSourceSort="1" defaultSubtotal="0" defaultAttributeDrillState="1"/>
    <pivotField axis="axisRow" allDrilled="1" subtotalTop="0" showAll="0" defaultSubtotal="0" defaultAttributeDrillState="1">
      <items count="3">
        <item x="0"/>
        <item n="Medium" x="2"/>
        <item x="1"/>
      </items>
    </pivotField>
    <pivotField dataField="1" subtotalTop="0" showAll="0" defaultSubtotal="0"/>
    <pivotField dataField="1" subtotalTop="0" showAll="0" defaultSubtotal="0"/>
    <pivotField dataField="1" subtotalTop="0" showAll="0" defaultSubtotal="0"/>
    <pivotField name="Income " axis="axisPage" allDrilled="1" subtotalTop="0" showAll="0" dataSourceSort="1" defaultSubtotal="0" defaultAttributeDrillState="1"/>
    <pivotField dataField="1" subtotalTop="0" showAll="0" defaultSubtotal="0"/>
  </pivotFields>
  <rowFields count="1">
    <field x="2"/>
  </rowFields>
  <rowItems count="4">
    <i>
      <x/>
    </i>
    <i>
      <x v="1"/>
    </i>
    <i>
      <x v="2"/>
    </i>
    <i t="grand">
      <x/>
    </i>
  </rowItems>
  <colFields count="1">
    <field x="-2"/>
  </colFields>
  <colItems count="4">
    <i>
      <x/>
    </i>
    <i i="1">
      <x v="1"/>
    </i>
    <i i="2">
      <x v="2"/>
    </i>
    <i i="3">
      <x v="3"/>
    </i>
  </colItems>
  <pageFields count="2">
    <pageField fld="0" hier="7" name="[dataset].[state].&amp;[VA]" cap="VA"/>
    <pageField fld="6" hier="9" name="[DimDate].[year].&amp;[2024]" cap="2024"/>
  </pageFields>
  <dataFields count="4">
    <dataField name="VA Sample Store Count" fld="5" subtotal="count" baseField="2" baseItem="0">
      <extLst>
        <ext xmlns:x15="http://schemas.microsoft.com/office/spreadsheetml/2010/11/main" uri="{FABC7310-3BB5-11E1-824E-6D434824019B}">
          <x15:dataField isCountDistinct="1"/>
        </ext>
      </extLst>
    </dataField>
    <dataField name="Soda Price Per Unit" fld="7" subtotal="average" baseField="2" baseItem="0"/>
    <dataField name="2024 Soda Units" fld="3" baseField="0" baseItem="0" numFmtId="165"/>
    <dataField name="2024 Soda Sales" fld="4" baseField="0" baseItem="0" numFmtId="164"/>
  </dataFields>
  <formats count="18">
    <format dxfId="4258">
      <pivotArea field="2" type="button" dataOnly="0" labelOnly="1" outline="0" axis="axisRow" fieldPosition="0"/>
    </format>
    <format dxfId="4257">
      <pivotArea dataOnly="0" labelOnly="1" outline="0" fieldPosition="0">
        <references count="1">
          <reference field="4294967294" count="3">
            <x v="0"/>
            <x v="2"/>
            <x v="3"/>
          </reference>
        </references>
      </pivotArea>
    </format>
    <format dxfId="4256">
      <pivotArea field="2" type="button" dataOnly="0" labelOnly="1" outline="0" axis="axisRow" fieldPosition="0"/>
    </format>
    <format dxfId="4255">
      <pivotArea dataOnly="0" labelOnly="1" outline="0" fieldPosition="0">
        <references count="1">
          <reference field="4294967294" count="3">
            <x v="0"/>
            <x v="2"/>
            <x v="3"/>
          </reference>
        </references>
      </pivotArea>
    </format>
    <format dxfId="4254">
      <pivotArea field="2" type="button" dataOnly="0" labelOnly="1" outline="0" axis="axisRow" fieldPosition="0"/>
    </format>
    <format dxfId="4253">
      <pivotArea dataOnly="0" labelOnly="1" outline="0" fieldPosition="0">
        <references count="1">
          <reference field="4294967294" count="3">
            <x v="0"/>
            <x v="2"/>
            <x v="3"/>
          </reference>
        </references>
      </pivotArea>
    </format>
    <format dxfId="4252">
      <pivotArea collapsedLevelsAreSubtotals="1" fieldPosition="0">
        <references count="2">
          <reference field="4294967294" count="1" selected="0">
            <x v="3"/>
          </reference>
          <reference field="2" count="0"/>
        </references>
      </pivotArea>
    </format>
    <format dxfId="4251">
      <pivotArea collapsedLevelsAreSubtotals="1" fieldPosition="0">
        <references count="2">
          <reference field="4294967294" count="1" selected="0">
            <x v="2"/>
          </reference>
          <reference field="2" count="0"/>
        </references>
      </pivotArea>
    </format>
    <format dxfId="4250">
      <pivotArea outline="0" collapsedLevelsAreSubtotals="1" fieldPosition="0">
        <references count="1">
          <reference field="4294967294" count="1" selected="0">
            <x v="3"/>
          </reference>
        </references>
      </pivotArea>
    </format>
    <format dxfId="4249">
      <pivotArea outline="0" collapsedLevelsAreSubtotals="1" fieldPosition="0">
        <references count="1">
          <reference field="4294967294" count="1" selected="0">
            <x v="2"/>
          </reference>
        </references>
      </pivotArea>
    </format>
    <format dxfId="4248">
      <pivotArea field="2" grandRow="1" outline="0" collapsedLevelsAreSubtotals="1" axis="axisRow" fieldPosition="0">
        <references count="1">
          <reference field="4294967294" count="1" selected="0">
            <x v="3"/>
          </reference>
        </references>
      </pivotArea>
    </format>
    <format dxfId="4247">
      <pivotArea outline="0" collapsedLevelsAreSubtotals="1" fieldPosition="0"/>
    </format>
    <format dxfId="4246">
      <pivotArea dataOnly="0" labelOnly="1" fieldPosition="0">
        <references count="1">
          <reference field="2" count="0"/>
        </references>
      </pivotArea>
    </format>
    <format dxfId="4245">
      <pivotArea dataOnly="0" labelOnly="1" grandRow="1" outline="0" fieldPosition="0"/>
    </format>
    <format dxfId="4244">
      <pivotArea dataOnly="0" outline="0" fieldPosition="0">
        <references count="1">
          <reference field="4294967294" count="1">
            <x v="1"/>
          </reference>
        </references>
      </pivotArea>
    </format>
    <format dxfId="4243">
      <pivotArea dataOnly="0" labelOnly="1" outline="0" fieldPosition="0">
        <references count="1">
          <reference field="4294967294" count="1">
            <x v="1"/>
          </reference>
        </references>
      </pivotArea>
    </format>
    <format dxfId="4242">
      <pivotArea dataOnly="0" labelOnly="1" outline="0" fieldPosition="0">
        <references count="1">
          <reference field="4294967294" count="1">
            <x v="1"/>
          </reference>
        </references>
      </pivotArea>
    </format>
    <format dxfId="4241">
      <pivotArea dataOnly="0" labelOnly="1" outline="0" fieldPosition="0">
        <references count="1">
          <reference field="4294967294" count="1">
            <x v="1"/>
          </reference>
        </references>
      </pivotArea>
    </format>
  </formats>
  <pivotHierarchies count="33">
    <pivotHierarchy multipleItemSelectionAllowed="1" dragToData="1">
      <members count="12" level="1">
        <member name="[dataset].[year_month].&amp;[202401]"/>
        <member name="[dataset].[year_month].&amp;[202402]"/>
        <member name="[dataset].[year_month].&amp;[202403]"/>
        <member name="[dataset].[year_month].&amp;[202404]"/>
        <member name="[dataset].[year_month].&amp;[202405]"/>
        <member name="[dataset].[year_month].&amp;[202406]"/>
        <member name="[dataset].[year_month].&amp;[202407]"/>
        <member name="[dataset].[year_month].&amp;[202408]"/>
        <member name="[dataset].[year_month].&amp;[202409]"/>
        <member name="[dataset].[year_month].&amp;[202410]"/>
        <member name="[dataset].[year_month].&amp;[202411]"/>
        <member name="[dataset].[year_month].&amp;[202412]"/>
      </members>
    </pivotHierarchy>
    <pivotHierarchy dragToData="1"/>
    <pivotHierarchy dragToData="1"/>
    <pivotHierarchy dragToData="1"/>
    <pivotHierarchy dragToData="1"/>
    <pivotHierarchy dragToData="1"/>
    <pivotHierarchy dragToData="1"/>
    <pivotHierarchy dragToData="1"/>
    <pivotHierarchy dragToData="1"/>
    <pivotHierarchy dragToData="1" caption="Income "/>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2024 Soda Sales"/>
    <pivotHierarchy dragToData="1"/>
    <pivotHierarchy dragToData="1"/>
    <pivotHierarchy dragToData="1" caption="2024 Soda Units"/>
    <pivotHierarchy dragToData="1"/>
    <pivotHierarchy dragToData="1" caption="VA Sample Store Count"/>
    <pivotHierarchy dragToData="1"/>
    <pivotHierarchy dragToData="1" caption="Soda Price Per Unit"/>
  </pivotHierarchies>
  <pivotTableStyleInfo name="PivotStyleMedium9"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Zip]"/>
        <x15:activeTabTopLevelEntity name="[dataset]"/>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9F08A6-98CF-4BF7-98C2-793122D8332F}" name="PivotTable11" cacheId="20" applyNumberFormats="0" applyBorderFormats="0" applyFontFormats="0" applyPatternFormats="0" applyAlignmentFormats="0" applyWidthHeightFormats="1" dataCaption="Values" tag="b0017acc-70ee-4787-ad12-fafc566395e5" updatedVersion="8" minRefreshableVersion="3" useAutoFormatting="1" subtotalHiddenItems="1" colGrandTotals="0" itemPrintTitles="1" createdVersion="8" indent="0" outline="1" outlineData="1" multipleFieldFilters="0" rowHeaderCaption="Income Tier" colHeaderCaption=" ">
  <location ref="A49:M56" firstHeaderRow="1" firstDataRow="3" firstDataCol="1" rowPageCount="2" colPageCount="1"/>
  <pivotFields count="8">
    <pivotField axis="axisRow" allDrilled="1" subtotalTop="0" showAll="0" defaultSubtotal="0" defaultAttributeDrillState="1">
      <items count="4">
        <item x="0"/>
        <item x="2"/>
        <item x="1"/>
        <item x="3"/>
      </items>
    </pivotField>
    <pivotField axis="axisPage" allDrilled="1" subtotalTop="0" showAll="0" dataSourceSort="1" defaultSubtotal="0" defaultAttributeDrillState="1"/>
    <pivotField axis="axisPage" allDrilled="1" subtotalTop="0" showAll="0" dataSourceSort="1" defaultSubtotal="0" defaultAttributeDrillState="1"/>
    <pivotField axis="axisCol"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2">
    <field x="3"/>
    <field x="-2"/>
  </colFields>
  <colItems count="12">
    <i>
      <x/>
      <x/>
    </i>
    <i r="1" i="1">
      <x v="1"/>
    </i>
    <i r="1" i="2">
      <x v="2"/>
    </i>
    <i r="1" i="3">
      <x v="3"/>
    </i>
    <i>
      <x v="1"/>
      <x/>
    </i>
    <i r="1" i="1">
      <x v="1"/>
    </i>
    <i r="1" i="2">
      <x v="2"/>
    </i>
    <i r="1" i="3">
      <x v="3"/>
    </i>
    <i>
      <x v="2"/>
      <x/>
    </i>
    <i r="1" i="1">
      <x v="1"/>
    </i>
    <i r="1" i="2">
      <x v="2"/>
    </i>
    <i r="1" i="3">
      <x v="3"/>
    </i>
  </colItems>
  <pageFields count="2">
    <pageField fld="1" hier="16" name="[DimZip].[state].&amp;[GA]" cap="GA"/>
    <pageField fld="2" hier="8" name="[DimDate].[year_month].[All]" cap="All"/>
  </pageFields>
  <dataFields count="4">
    <dataField name="Store Count" fld="7" subtotal="count" baseField="0" baseItem="0">
      <extLst>
        <ext xmlns:x15="http://schemas.microsoft.com/office/spreadsheetml/2010/11/main" uri="{FABC7310-3BB5-11E1-824E-6D434824019B}">
          <x15:dataField isCountDistinct="1"/>
        </ext>
      </extLst>
    </dataField>
    <dataField name="Avg Soda PPU" fld="6" subtotal="average" baseField="0" baseItem="0"/>
    <dataField name="Soda Units" fld="4" baseField="0" baseItem="0"/>
    <dataField name="Soda Sales" fld="5" baseField="0" baseItem="0"/>
  </dataFields>
  <formats count="13">
    <format dxfId="4202">
      <pivotArea outline="0" collapsedLevelsAreSubtotals="1" fieldPosition="0">
        <references count="2">
          <reference field="4294967294" count="3" selected="0">
            <x v="1"/>
            <x v="2"/>
            <x v="3"/>
          </reference>
          <reference field="3" count="1" selected="0">
            <x v="2"/>
          </reference>
        </references>
      </pivotArea>
    </format>
    <format dxfId="4201">
      <pivotArea outline="0" collapsedLevelsAreSubtotals="1" fieldPosition="0">
        <references count="2">
          <reference field="4294967294" count="3" selected="0">
            <x v="1"/>
            <x v="2"/>
            <x v="3"/>
          </reference>
          <reference field="3" count="1" selected="0">
            <x v="1"/>
          </reference>
        </references>
      </pivotArea>
    </format>
    <format dxfId="4200">
      <pivotArea outline="0" collapsedLevelsAreSubtotals="1" fieldPosition="0">
        <references count="2">
          <reference field="4294967294" count="3" selected="0">
            <x v="1"/>
            <x v="2"/>
            <x v="3"/>
          </reference>
          <reference field="3" count="1" selected="0">
            <x v="0"/>
          </reference>
        </references>
      </pivotArea>
    </format>
    <format dxfId="4199">
      <pivotArea outline="0" collapsedLevelsAreSubtotals="1" fieldPosition="0">
        <references count="2">
          <reference field="4294967294" count="1" selected="0">
            <x v="2"/>
          </reference>
          <reference field="3" count="1" selected="0">
            <x v="2"/>
          </reference>
        </references>
      </pivotArea>
    </format>
    <format dxfId="4198">
      <pivotArea outline="0" collapsedLevelsAreSubtotals="1" fieldPosition="0">
        <references count="2">
          <reference field="4294967294" count="1" selected="0">
            <x v="3"/>
          </reference>
          <reference field="3" count="1" selected="0">
            <x v="2"/>
          </reference>
        </references>
      </pivotArea>
    </format>
    <format dxfId="4197">
      <pivotArea outline="0" collapsedLevelsAreSubtotals="1" fieldPosition="0">
        <references count="2">
          <reference field="4294967294" count="2" selected="0">
            <x v="2"/>
            <x v="3"/>
          </reference>
          <reference field="3" count="1" selected="0">
            <x v="1"/>
          </reference>
        </references>
      </pivotArea>
    </format>
    <format dxfId="4196">
      <pivotArea outline="0" collapsedLevelsAreSubtotals="1" fieldPosition="0">
        <references count="2">
          <reference field="4294967294" count="1" selected="0">
            <x v="2"/>
          </reference>
          <reference field="3" count="1" selected="0">
            <x v="1"/>
          </reference>
        </references>
      </pivotArea>
    </format>
    <format dxfId="4195">
      <pivotArea outline="0" collapsedLevelsAreSubtotals="1" fieldPosition="0">
        <references count="2">
          <reference field="4294967294" count="1" selected="0">
            <x v="2"/>
          </reference>
          <reference field="3" count="1" selected="0">
            <x v="0"/>
          </reference>
        </references>
      </pivotArea>
    </format>
    <format dxfId="4194">
      <pivotArea outline="0" collapsedLevelsAreSubtotals="1" fieldPosition="0">
        <references count="2">
          <reference field="4294967294" count="1" selected="0">
            <x v="3"/>
          </reference>
          <reference field="3" count="1" selected="0">
            <x v="0"/>
          </reference>
        </references>
      </pivotArea>
    </format>
    <format dxfId="4193">
      <pivotArea field="0" type="button" dataOnly="0" labelOnly="1" outline="0" axis="axisRow" fieldPosition="0"/>
    </format>
    <format dxfId="4192">
      <pivotArea dataOnly="0" labelOnly="1" outline="0" fieldPosition="0">
        <references count="2">
          <reference field="4294967294" count="4">
            <x v="0"/>
            <x v="1"/>
            <x v="2"/>
            <x v="3"/>
          </reference>
          <reference field="3" count="1" selected="0">
            <x v="0"/>
          </reference>
        </references>
      </pivotArea>
    </format>
    <format dxfId="4191">
      <pivotArea dataOnly="0" labelOnly="1" outline="0" fieldPosition="0">
        <references count="2">
          <reference field="4294967294" count="4">
            <x v="0"/>
            <x v="1"/>
            <x v="2"/>
            <x v="3"/>
          </reference>
          <reference field="3" count="1" selected="0">
            <x v="1"/>
          </reference>
        </references>
      </pivotArea>
    </format>
    <format dxfId="4190">
      <pivotArea dataOnly="0" labelOnly="1" outline="0" fieldPosition="0">
        <references count="2">
          <reference field="4294967294" count="4">
            <x v="0"/>
            <x v="1"/>
            <x v="2"/>
            <x v="3"/>
          </reference>
          <reference field="3" count="1" selected="0">
            <x v="2"/>
          </reference>
        </references>
      </pivotArea>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oda Sales"/>
    <pivotHierarchy dragToData="1"/>
    <pivotHierarchy dragToData="1"/>
    <pivotHierarchy dragToData="1" caption="Soda Units"/>
    <pivotHierarchy dragToData="1"/>
    <pivotHierarchy dragToData="1" caption="Store Count"/>
    <pivotHierarchy dragToData="1"/>
    <pivotHierarchy dragToData="1" caption="Avg Soda PPU"/>
  </pivotHierarchies>
  <pivotTableStyleInfo name="PivotStyleLight21" showRowHeaders="1" showColHeaders="1" showRowStripes="0" showColStripes="0" showLastColumn="1"/>
  <rowHierarchiesUsage count="1">
    <rowHierarchyUsage hierarchyUsage="18"/>
  </rowHierarchiesUsage>
  <colHierarchiesUsage count="2">
    <colHierarchyUsage hierarchyUsage="9"/>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Zip]"/>
        <x15:activeTabTopLevelEntity name="[DimDate]"/>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E94126-EB19-4663-B104-48C366DDCE05}" name="PivotTable10" cacheId="19" applyNumberFormats="0" applyBorderFormats="0" applyFontFormats="0" applyPatternFormats="0" applyAlignmentFormats="0" applyWidthHeightFormats="1" dataCaption="Values" tag="3d7d45ff-5871-420a-a7e6-dfc2e92ae875" updatedVersion="8" minRefreshableVersion="3" useAutoFormatting="1" subtotalHiddenItems="1" colGrandTotals="0" itemPrintTitles="1" createdVersion="8" indent="0" outline="1" outlineData="1" multipleFieldFilters="0" rowHeaderCaption="Income Tier" colHeaderCaption=" ">
  <location ref="A37:M43" firstHeaderRow="1" firstDataRow="3" firstDataCol="1" rowPageCount="2" colPageCount="1"/>
  <pivotFields count="8">
    <pivotField axis="axisRow" allDrilled="1" subtotalTop="0" showAll="0" defaultSubtotal="0" defaultAttributeDrillState="1">
      <items count="3">
        <item x="1"/>
        <item x="0"/>
        <item x="2"/>
      </items>
    </pivotField>
    <pivotField axis="axisPage" allDrilled="1" subtotalTop="0" showAll="0" dataSourceSort="1" defaultSubtotal="0" defaultAttributeDrillState="1"/>
    <pivotField axis="axisPage" allDrilled="1" subtotalTop="0" showAll="0" dataSourceSort="1" defaultSubtotal="0" defaultAttributeDrillState="1"/>
    <pivotField axis="axisCol"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2">
    <field x="3"/>
    <field x="-2"/>
  </colFields>
  <colItems count="12">
    <i>
      <x/>
      <x/>
    </i>
    <i r="1" i="1">
      <x v="1"/>
    </i>
    <i r="1" i="2">
      <x v="2"/>
    </i>
    <i r="1" i="3">
      <x v="3"/>
    </i>
    <i>
      <x v="1"/>
      <x/>
    </i>
    <i r="1" i="1">
      <x v="1"/>
    </i>
    <i r="1" i="2">
      <x v="2"/>
    </i>
    <i r="1" i="3">
      <x v="3"/>
    </i>
    <i>
      <x v="2"/>
      <x/>
    </i>
    <i r="1" i="1">
      <x v="1"/>
    </i>
    <i r="1" i="2">
      <x v="2"/>
    </i>
    <i r="1" i="3">
      <x v="3"/>
    </i>
  </colItems>
  <pageFields count="2">
    <pageField fld="1" hier="16" name="[DimZip].[state].&amp;[NC]" cap="NC"/>
    <pageField fld="2" hier="8" name="[DimDate].[year_month].[All]" cap="All"/>
  </pageFields>
  <dataFields count="4">
    <dataField name="Store Count" fld="7" subtotal="count" baseField="0" baseItem="0">
      <extLst>
        <ext xmlns:x15="http://schemas.microsoft.com/office/spreadsheetml/2010/11/main" uri="{FABC7310-3BB5-11E1-824E-6D434824019B}">
          <x15:dataField isCountDistinct="1"/>
        </ext>
      </extLst>
    </dataField>
    <dataField name="Avg Soda PPU" fld="6" subtotal="average" baseField="0" baseItem="0"/>
    <dataField name="Soda Units" fld="4" baseField="0" baseItem="0"/>
    <dataField name="Soda Sales" fld="5" baseField="0" baseItem="0"/>
  </dataFields>
  <formats count="7">
    <format dxfId="4209">
      <pivotArea outline="0" collapsedLevelsAreSubtotals="1" fieldPosition="0">
        <references count="2">
          <reference field="4294967294" count="3" selected="0">
            <x v="1"/>
            <x v="2"/>
            <x v="3"/>
          </reference>
          <reference field="3" count="1" selected="0">
            <x v="2"/>
          </reference>
        </references>
      </pivotArea>
    </format>
    <format dxfId="4208">
      <pivotArea outline="0" collapsedLevelsAreSubtotals="1" fieldPosition="0">
        <references count="2">
          <reference field="4294967294" count="3" selected="0">
            <x v="1"/>
            <x v="2"/>
            <x v="3"/>
          </reference>
          <reference field="3" count="1" selected="0">
            <x v="1"/>
          </reference>
        </references>
      </pivotArea>
    </format>
    <format dxfId="4207">
      <pivotArea outline="0" collapsedLevelsAreSubtotals="1" fieldPosition="0">
        <references count="2">
          <reference field="4294967294" count="3" selected="0">
            <x v="1"/>
            <x v="2"/>
            <x v="3"/>
          </reference>
          <reference field="3" count="1" selected="0">
            <x v="0"/>
          </reference>
        </references>
      </pivotArea>
    </format>
    <format dxfId="4206">
      <pivotArea field="0" type="button" dataOnly="0" labelOnly="1" outline="0" axis="axisRow" fieldPosition="0"/>
    </format>
    <format dxfId="4205">
      <pivotArea dataOnly="0" labelOnly="1" outline="0" fieldPosition="0">
        <references count="2">
          <reference field="4294967294" count="4">
            <x v="0"/>
            <x v="1"/>
            <x v="2"/>
            <x v="3"/>
          </reference>
          <reference field="3" count="1" selected="0">
            <x v="0"/>
          </reference>
        </references>
      </pivotArea>
    </format>
    <format dxfId="4204">
      <pivotArea dataOnly="0" labelOnly="1" outline="0" fieldPosition="0">
        <references count="2">
          <reference field="4294967294" count="4">
            <x v="0"/>
            <x v="1"/>
            <x v="2"/>
            <x v="3"/>
          </reference>
          <reference field="3" count="1" selected="0">
            <x v="1"/>
          </reference>
        </references>
      </pivotArea>
    </format>
    <format dxfId="4203">
      <pivotArea dataOnly="0" labelOnly="1" outline="0" fieldPosition="0">
        <references count="2">
          <reference field="4294967294" count="4">
            <x v="0"/>
            <x v="1"/>
            <x v="2"/>
            <x v="3"/>
          </reference>
          <reference field="3" count="1" selected="0">
            <x v="2"/>
          </reference>
        </references>
      </pivotArea>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oda Sales"/>
    <pivotHierarchy dragToData="1"/>
    <pivotHierarchy dragToData="1"/>
    <pivotHierarchy dragToData="1" caption="Soda Units"/>
    <pivotHierarchy dragToData="1"/>
    <pivotHierarchy dragToData="1" caption="Store Count"/>
    <pivotHierarchy dragToData="1"/>
    <pivotHierarchy dragToData="1" caption="Avg Soda PPU"/>
  </pivotHierarchies>
  <pivotTableStyleInfo name="PivotStyleLight17" showRowHeaders="1" showColHeaders="1" showRowStripes="0" showColStripes="0" showLastColumn="1"/>
  <rowHierarchiesUsage count="1">
    <rowHierarchyUsage hierarchyUsage="18"/>
  </rowHierarchiesUsage>
  <colHierarchiesUsage count="2">
    <colHierarchyUsage hierarchyUsage="9"/>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Zip]"/>
        <x15:activeTabTopLevelEntity name="[DimDate]"/>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D7E658-2E7E-4772-97B1-44A835C95E6A}" name="PivotTable9" cacheId="18" applyNumberFormats="0" applyBorderFormats="0" applyFontFormats="0" applyPatternFormats="0" applyAlignmentFormats="0" applyWidthHeightFormats="1" dataCaption="Values" tag="ec1b492d-ebaa-41c3-9aef-6ff383e9a78c" updatedVersion="8" minRefreshableVersion="3" useAutoFormatting="1" colGrandTotals="0" itemPrintTitles="1" createdVersion="8" indent="0" outline="1" outlineData="1" multipleFieldFilters="0" rowHeaderCaption="Income Tier" colHeaderCaption=" ">
  <location ref="A26:M31" firstHeaderRow="1" firstDataRow="3" firstDataCol="1" rowPageCount="2" colPageCount="1"/>
  <pivotFields count="8">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3">
    <i>
      <x/>
    </i>
    <i>
      <x v="1"/>
    </i>
    <i t="grand">
      <x/>
    </i>
  </rowItems>
  <colFields count="2">
    <field x="1"/>
    <field x="-2"/>
  </colFields>
  <colItems count="12">
    <i>
      <x/>
      <x/>
    </i>
    <i r="1" i="1">
      <x v="1"/>
    </i>
    <i r="1" i="2">
      <x v="2"/>
    </i>
    <i r="1" i="3">
      <x v="3"/>
    </i>
    <i>
      <x v="1"/>
      <x/>
    </i>
    <i r="1" i="1">
      <x v="1"/>
    </i>
    <i r="1" i="2">
      <x v="2"/>
    </i>
    <i r="1" i="3">
      <x v="3"/>
    </i>
    <i>
      <x v="2"/>
      <x/>
    </i>
    <i r="1" i="1">
      <x v="1"/>
    </i>
    <i r="1" i="2">
      <x v="2"/>
    </i>
    <i r="1" i="3">
      <x v="3"/>
    </i>
  </colItems>
  <pageFields count="2">
    <pageField fld="7" hier="16" name="[DimZip].[state].&amp;[MD]" cap="MD"/>
    <pageField fld="6" hier="8" name="[DimDate].[year_month].[All]" cap="All"/>
  </pageFields>
  <dataFields count="4">
    <dataField name="Store Count" fld="5" subtotal="count" baseField="0" baseItem="0">
      <extLst>
        <ext xmlns:x15="http://schemas.microsoft.com/office/spreadsheetml/2010/11/main" uri="{FABC7310-3BB5-11E1-824E-6D434824019B}">
          <x15:dataField isCountDistinct="1"/>
        </ext>
      </extLst>
    </dataField>
    <dataField name="Avg Soda PPU" fld="4" subtotal="average" baseField="0" baseItem="0"/>
    <dataField name="Soda Units" fld="2" baseField="0" baseItem="0"/>
    <dataField name="Soda Sales" fld="3" baseField="0" baseItem="0"/>
  </dataFields>
  <formats count="10">
    <format dxfId="4219">
      <pivotArea dataOnly="0" labelOnly="1" fieldPosition="0">
        <references count="1">
          <reference field="1" count="1">
            <x v="0"/>
          </reference>
        </references>
      </pivotArea>
    </format>
    <format dxfId="4218">
      <pivotArea outline="0" collapsedLevelsAreSubtotals="1" fieldPosition="0">
        <references count="2">
          <reference field="4294967294" count="1" selected="0">
            <x v="1"/>
          </reference>
          <reference field="1" count="1" selected="0">
            <x v="0"/>
          </reference>
        </references>
      </pivotArea>
    </format>
    <format dxfId="4217">
      <pivotArea outline="0" collapsedLevelsAreSubtotals="1" fieldPosition="0">
        <references count="2">
          <reference field="4294967294" count="1" selected="0">
            <x v="2"/>
          </reference>
          <reference field="1" count="1" selected="0">
            <x v="0"/>
          </reference>
        </references>
      </pivotArea>
    </format>
    <format dxfId="4216">
      <pivotArea outline="0" collapsedLevelsAreSubtotals="1" fieldPosition="0">
        <references count="2">
          <reference field="4294967294" count="1" selected="0">
            <x v="3"/>
          </reference>
          <reference field="1" count="1" selected="0">
            <x v="0"/>
          </reference>
        </references>
      </pivotArea>
    </format>
    <format dxfId="4215">
      <pivotArea outline="0" collapsedLevelsAreSubtotals="1" fieldPosition="0">
        <references count="2">
          <reference field="4294967294" count="3" selected="0">
            <x v="1"/>
            <x v="2"/>
            <x v="3"/>
          </reference>
          <reference field="1" count="1" selected="0">
            <x v="1"/>
          </reference>
        </references>
      </pivotArea>
    </format>
    <format dxfId="4214">
      <pivotArea outline="0" collapsedLevelsAreSubtotals="1" fieldPosition="0">
        <references count="2">
          <reference field="4294967294" count="3" selected="0">
            <x v="1"/>
            <x v="2"/>
            <x v="3"/>
          </reference>
          <reference field="1" count="1" selected="0">
            <x v="2"/>
          </reference>
        </references>
      </pivotArea>
    </format>
    <format dxfId="4213">
      <pivotArea field="0" type="button" dataOnly="0" labelOnly="1" outline="0" axis="axisRow" fieldPosition="0"/>
    </format>
    <format dxfId="4212">
      <pivotArea dataOnly="0" labelOnly="1" outline="0" fieldPosition="0">
        <references count="2">
          <reference field="4294967294" count="4">
            <x v="0"/>
            <x v="1"/>
            <x v="2"/>
            <x v="3"/>
          </reference>
          <reference field="1" count="1" selected="0">
            <x v="0"/>
          </reference>
        </references>
      </pivotArea>
    </format>
    <format dxfId="4211">
      <pivotArea dataOnly="0" labelOnly="1" outline="0" fieldPosition="0">
        <references count="2">
          <reference field="4294967294" count="4">
            <x v="0"/>
            <x v="1"/>
            <x v="2"/>
            <x v="3"/>
          </reference>
          <reference field="1" count="1" selected="0">
            <x v="1"/>
          </reference>
        </references>
      </pivotArea>
    </format>
    <format dxfId="4210">
      <pivotArea dataOnly="0" labelOnly="1" outline="0" fieldPosition="0">
        <references count="2">
          <reference field="4294967294" count="4">
            <x v="0"/>
            <x v="1"/>
            <x v="2"/>
            <x v="3"/>
          </reference>
          <reference field="1" count="1" selected="0">
            <x v="2"/>
          </reference>
        </references>
      </pivotArea>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oda Sales"/>
    <pivotHierarchy dragToData="1"/>
    <pivotHierarchy dragToData="1"/>
    <pivotHierarchy dragToData="1" caption="Soda Units"/>
    <pivotHierarchy dragToData="1"/>
    <pivotHierarchy dragToData="1" caption="Store Count"/>
    <pivotHierarchy dragToData="1"/>
    <pivotHierarchy dragToData="1" caption="Avg Soda PPU"/>
  </pivotHierarchies>
  <pivotTableStyleInfo name="PivotStyleLight16" showRowHeaders="1" showColHeaders="1" showRowStripes="0" showColStripes="0" showLastColumn="1"/>
  <rowHierarchiesUsage count="1">
    <rowHierarchyUsage hierarchyUsage="18"/>
  </rowHierarchiesUsage>
  <colHierarchiesUsage count="2">
    <colHierarchyUsage hierarchyUsage="9"/>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x15:activeTabTopLevelEntity name="[DimZip]"/>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65D94F-DAE1-4F1A-A378-E5A321DC7FEF}" name="PivotTable5" cacheId="14" applyNumberFormats="0" applyBorderFormats="0" applyFontFormats="0" applyPatternFormats="0" applyAlignmentFormats="0" applyWidthHeightFormats="1" dataCaption="Values" grandTotalCaption="Total" tag="b2b344b4-62cf-47dd-9018-360dba8ef0a7" updatedVersion="8" minRefreshableVersion="3" useAutoFormatting="1" subtotalHiddenItems="1" itemPrintTitles="1" createdVersion="8" indent="0" outline="1" outlineData="1" multipleFieldFilters="0" rowHeaderCaption=" ">
  <location ref="A6:D10" firstHeaderRow="0" firstDataRow="1" firstDataCol="1" rowPageCount="2" colPageCount="1"/>
  <pivotFields count="7">
    <pivotField axis="axisPage" allDrilled="1" subtotalTop="0" showAll="0" dataSourceSort="1" defaultSubtotal="0" defaultAttributeDrillState="1"/>
    <pivotField allDrilled="1" subtotalTop="0" showAll="0" dataSourceSort="1" defaultSubtotal="0" defaultAttributeDrillState="1"/>
    <pivotField axis="axisRow" allDrilled="1" subtotalTop="0" showAll="0" defaultSubtotal="0" defaultAttributeDrillState="1">
      <items count="3">
        <item x="0"/>
        <item n="Medium" x="2"/>
        <item x="1"/>
      </items>
    </pivotField>
    <pivotField dataField="1" subtotalTop="0" showAll="0" defaultSubtotal="0"/>
    <pivotField dataField="1" subtotalTop="0" showAll="0" defaultSubtotal="0"/>
    <pivotField dataField="1" subtotalTop="0" showAll="0" defaultSubtotal="0"/>
    <pivotField name="Income " axis="axisPage" allDrilled="1" subtotalTop="0" showAll="0" dataSourceSort="1" defaultSubtotal="0" defaultAttributeDrillState="1"/>
  </pivotFields>
  <rowFields count="1">
    <field x="2"/>
  </rowFields>
  <rowItems count="4">
    <i>
      <x/>
    </i>
    <i>
      <x v="1"/>
    </i>
    <i>
      <x v="2"/>
    </i>
    <i t="grand">
      <x/>
    </i>
  </rowItems>
  <colFields count="1">
    <field x="-2"/>
  </colFields>
  <colItems count="3">
    <i>
      <x/>
    </i>
    <i i="1">
      <x v="1"/>
    </i>
    <i i="2">
      <x v="2"/>
    </i>
  </colItems>
  <pageFields count="2">
    <pageField fld="0" hier="7" name="[dataset].[state].&amp;[VA]" cap="VA"/>
    <pageField fld="6" hier="9" name="[DimDate].[year].&amp;[2024]" cap="2024"/>
  </pageFields>
  <dataFields count="3">
    <dataField name="VA Sample Store Count" fld="5" subtotal="count" baseField="2" baseItem="0">
      <extLst>
        <ext xmlns:x15="http://schemas.microsoft.com/office/spreadsheetml/2010/11/main" uri="{FABC7310-3BB5-11E1-824E-6D434824019B}">
          <x15:dataField isCountDistinct="1"/>
        </ext>
      </extLst>
    </dataField>
    <dataField name="2024 Soda Units" fld="3" baseField="0" baseItem="0" numFmtId="165"/>
    <dataField name="2024 Soda Sales" fld="4" baseField="0" baseItem="0" numFmtId="164"/>
  </dataFields>
  <formats count="14">
    <format dxfId="4233">
      <pivotArea field="2" type="button" dataOnly="0" labelOnly="1" outline="0" axis="axisRow" fieldPosition="0"/>
    </format>
    <format dxfId="4232">
      <pivotArea dataOnly="0" labelOnly="1" outline="0" fieldPosition="0">
        <references count="1">
          <reference field="4294967294" count="3">
            <x v="0"/>
            <x v="1"/>
            <x v="2"/>
          </reference>
        </references>
      </pivotArea>
    </format>
    <format dxfId="4231">
      <pivotArea field="2" type="button" dataOnly="0" labelOnly="1" outline="0" axis="axisRow" fieldPosition="0"/>
    </format>
    <format dxfId="4230">
      <pivotArea dataOnly="0" labelOnly="1" outline="0" fieldPosition="0">
        <references count="1">
          <reference field="4294967294" count="3">
            <x v="0"/>
            <x v="1"/>
            <x v="2"/>
          </reference>
        </references>
      </pivotArea>
    </format>
    <format dxfId="4229">
      <pivotArea field="2" type="button" dataOnly="0" labelOnly="1" outline="0" axis="axisRow" fieldPosition="0"/>
    </format>
    <format dxfId="4228">
      <pivotArea dataOnly="0" labelOnly="1" outline="0" fieldPosition="0">
        <references count="1">
          <reference field="4294967294" count="3">
            <x v="0"/>
            <x v="1"/>
            <x v="2"/>
          </reference>
        </references>
      </pivotArea>
    </format>
    <format dxfId="4227">
      <pivotArea collapsedLevelsAreSubtotals="1" fieldPosition="0">
        <references count="2">
          <reference field="4294967294" count="1" selected="0">
            <x v="2"/>
          </reference>
          <reference field="2" count="0"/>
        </references>
      </pivotArea>
    </format>
    <format dxfId="4226">
      <pivotArea collapsedLevelsAreSubtotals="1" fieldPosition="0">
        <references count="2">
          <reference field="4294967294" count="1" selected="0">
            <x v="1"/>
          </reference>
          <reference field="2" count="0"/>
        </references>
      </pivotArea>
    </format>
    <format dxfId="4225">
      <pivotArea outline="0" collapsedLevelsAreSubtotals="1" fieldPosition="0">
        <references count="1">
          <reference field="4294967294" count="1" selected="0">
            <x v="2"/>
          </reference>
        </references>
      </pivotArea>
    </format>
    <format dxfId="4224">
      <pivotArea outline="0" collapsedLevelsAreSubtotals="1" fieldPosition="0">
        <references count="1">
          <reference field="4294967294" count="1" selected="0">
            <x v="1"/>
          </reference>
        </references>
      </pivotArea>
    </format>
    <format dxfId="4223">
      <pivotArea field="2" grandRow="1" outline="0" collapsedLevelsAreSubtotals="1" axis="axisRow" fieldPosition="0">
        <references count="1">
          <reference field="4294967294" count="1" selected="0">
            <x v="2"/>
          </reference>
        </references>
      </pivotArea>
    </format>
    <format dxfId="4222">
      <pivotArea outline="0" collapsedLevelsAreSubtotals="1" fieldPosition="0"/>
    </format>
    <format dxfId="4221">
      <pivotArea dataOnly="0" labelOnly="1" fieldPosition="0">
        <references count="1">
          <reference field="2" count="0"/>
        </references>
      </pivotArea>
    </format>
    <format dxfId="4220">
      <pivotArea dataOnly="0" labelOnly="1" grandRow="1" outline="0" fieldPosition="0"/>
    </format>
  </formats>
  <pivotHierarchies count="33">
    <pivotHierarchy multipleItemSelectionAllowed="1" dragToData="1">
      <members count="12" level="1">
        <member name="[dataset].[year_month].&amp;[202401]"/>
        <member name="[dataset].[year_month].&amp;[202402]"/>
        <member name="[dataset].[year_month].&amp;[202403]"/>
        <member name="[dataset].[year_month].&amp;[202404]"/>
        <member name="[dataset].[year_month].&amp;[202405]"/>
        <member name="[dataset].[year_month].&amp;[202406]"/>
        <member name="[dataset].[year_month].&amp;[202407]"/>
        <member name="[dataset].[year_month].&amp;[202408]"/>
        <member name="[dataset].[year_month].&amp;[202409]"/>
        <member name="[dataset].[year_month].&amp;[202410]"/>
        <member name="[dataset].[year_month].&amp;[202411]"/>
        <member name="[dataset].[year_month].&amp;[20241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2024 Soda Sales"/>
    <pivotHierarchy dragToData="1"/>
    <pivotHierarchy dragToData="1"/>
    <pivotHierarchy dragToData="1" caption="2024 Soda Units"/>
    <pivotHierarchy dragToData="1"/>
    <pivotHierarchy dragToData="1" caption="VA Sample Store Count"/>
    <pivotHierarchy dragToData="1"/>
    <pivotHierarchy dragToData="1"/>
  </pivotHierarchies>
  <pivotTableStyleInfo name="PivotStyleMedium9"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Zip]"/>
        <x15:activeTabTopLevelEntity name="[dataset]"/>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0A3627-F937-4FB9-AAA5-EAD1F70314DC}" name="PivotTable3" cacheId="15" applyNumberFormats="0" applyBorderFormats="0" applyFontFormats="0" applyPatternFormats="0" applyAlignmentFormats="0" applyWidthHeightFormats="1" dataCaption="Values" tag="9fe9ad97-518e-401a-9d4a-7244daa71ed1" updatedVersion="8" minRefreshableVersion="3" useAutoFormatting="1" itemPrintTitles="1" createdVersion="8" indent="0" outline="1" outlineData="1" multipleFieldFilters="0">
  <location ref="G1:I8"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Sum of total_sales" fld="1" baseField="0" baseItem="0"/>
    <dataField name="Sum of soda_sales" fld="2" baseField="0" baseItem="0"/>
  </dataFields>
  <formats count="1">
    <format dxfId="4186">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tore]"/>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E6E5E9-0836-418E-BDBC-D0682014EDB2}" name="PivotTable2" cacheId="16" applyNumberFormats="0" applyBorderFormats="0" applyFontFormats="0" applyPatternFormats="0" applyAlignmentFormats="0" applyWidthHeightFormats="1" dataCaption="Values" tag="ecd7b385-085e-4bcb-ae91-72a7f2d9759e" updatedVersion="8" minRefreshableVersion="3" useAutoFormatting="1" itemPrintTitles="1" createdVersion="8" indent="0" outline="1" outlineData="1" multipleFieldFilters="0">
  <location ref="D1:E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oda_sales" fld="1" baseField="0" baseItem="0" numFmtId="44"/>
  </dataFields>
  <formats count="2">
    <format dxfId="4188">
      <pivotArea dataOnly="0" labelOnly="1" outline="0" axis="axisValues" fieldPosition="0"/>
    </format>
    <format dxfId="4187">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Zip]"/>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FDEE4E-EF75-429A-AC1C-ED074C15DEAF}" name="PivotTable1" cacheId="17" applyNumberFormats="0" applyBorderFormats="0" applyFontFormats="0" applyPatternFormats="0" applyAlignmentFormats="0" applyWidthHeightFormats="1" dataCaption="Values" tag="e373dc0f-9f2d-440c-b802-86e5339dfb55" updatedVersion="8" minRefreshableVersion="3" useAutoFormatting="1" itemPrintTitles="1" createdVersion="8" indent="0" outline="1" outlineData="1" multipleFieldFilters="0">
  <location ref="A1:B38" firstHeaderRow="1" firstDataRow="1" firstDataCol="1"/>
  <pivotFields count="2">
    <pivotField dataField="1" subtotalTop="0" showAll="0" defaultSubtotal="0"/>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Fields count="1">
    <field x="1"/>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soda_sales" fld="0" baseField="0" baseItem="0" numFmtId="44"/>
  </dataFields>
  <formats count="1">
    <format dxfId="4189">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tore]"/>
        <x15:activeTabTopLevelEntity name="[DimDate]"/>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650A9E5-0BB5-4184-BA85-D47E01CDB538}" autoFormatId="16" applyNumberFormats="0" applyBorderFormats="0" applyFontFormats="0" applyPatternFormats="0" applyAlignmentFormats="0" applyWidthHeightFormats="0">
  <queryTableRefresh nextId="19" unboundColumnsRight="9">
    <queryTableFields count="17">
      <queryTableField id="1" name="year_month" tableColumnId="1"/>
      <queryTableField id="2" name="store_id" tableColumnId="2"/>
      <queryTableField id="3" name="total_sales" tableColumnId="3"/>
      <queryTableField id="4" name="soda_ppu" tableColumnId="4"/>
      <queryTableField id="5" name="soda_units_sold" tableColumnId="5"/>
      <queryTableField id="6" name="soda_sales" tableColumnId="6"/>
      <queryTableField id="7" name="zip" tableColumnId="7"/>
      <queryTableField id="8" name="state" tableColumnId="8"/>
      <queryTableField id="17" dataBound="0" tableColumnId="17"/>
      <queryTableField id="16" dataBound="0" tableColumnId="16"/>
      <queryTableField id="9" dataBound="0" tableColumnId="9"/>
      <queryTableField id="10" dataBound="0" tableColumnId="10"/>
      <queryTableField id="11" dataBound="0" tableColumnId="11"/>
      <queryTableField id="12" dataBound="0" tableColumnId="12"/>
      <queryTableField id="13" dataBound="0" tableColumnId="13"/>
      <queryTableField id="15" dataBound="0" tableColumnId="15"/>
      <queryTableField id="14" dataBound="0" tableColumnId="14"/>
    </queryTableFields>
  </queryTableRefresh>
  <extLst>
    <ext xmlns:x15="http://schemas.microsoft.com/office/spreadsheetml/2010/11/main" uri="{883FBD77-0823-4a55-B5E3-86C4891E6966}">
      <x15:queryTable sourceDataName="Query -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1" xr16:uid="{FB2A33EA-B0BB-418C-88A4-82E8080666E5}" autoFormatId="16" applyNumberFormats="0" applyBorderFormats="0" applyFontFormats="0" applyPatternFormats="0" applyAlignmentFormats="0" applyWidthHeightFormats="0">
  <queryTableRefresh nextId="3785">
    <queryTableFields count="3784">
      <queryTableField id="1" name="Year" tableColumnId="1"/>
      <queryTableField id="2" name="20001" tableColumnId="2"/>
      <queryTableField id="3" name="20002" tableColumnId="3"/>
      <queryTableField id="4" name="20003" tableColumnId="4"/>
      <queryTableField id="5" name="20004" tableColumnId="5"/>
      <queryTableField id="6" name="20005" tableColumnId="6"/>
      <queryTableField id="7" name="20006" tableColumnId="7"/>
      <queryTableField id="8" name="20007" tableColumnId="8"/>
      <queryTableField id="9" name="20008" tableColumnId="9"/>
      <queryTableField id="10" name="20009" tableColumnId="10"/>
      <queryTableField id="11" name="20010" tableColumnId="11"/>
      <queryTableField id="12" name="20011" tableColumnId="12"/>
      <queryTableField id="13" name="20012" tableColumnId="13"/>
      <queryTableField id="14" name="20015" tableColumnId="14"/>
      <queryTableField id="15" name="20016" tableColumnId="15"/>
      <queryTableField id="16" name="20017" tableColumnId="16"/>
      <queryTableField id="17" name="20018" tableColumnId="17"/>
      <queryTableField id="18" name="20019" tableColumnId="18"/>
      <queryTableField id="19" name="20020" tableColumnId="19"/>
      <queryTableField id="20" name="20024" tableColumnId="20"/>
      <queryTableField id="21" name="20032" tableColumnId="21"/>
      <queryTableField id="22" name="20036" tableColumnId="22"/>
      <queryTableField id="23" name="20037" tableColumnId="23"/>
      <queryTableField id="24" name="20045" tableColumnId="24"/>
      <queryTableField id="25" name="20052" tableColumnId="25"/>
      <queryTableField id="26" name="20057" tableColumnId="26"/>
      <queryTableField id="27" name="20059" tableColumnId="27"/>
      <queryTableField id="28" name="20064" tableColumnId="28"/>
      <queryTableField id="29" name="20204" tableColumnId="29"/>
      <queryTableField id="30" name="20220" tableColumnId="30"/>
      <queryTableField id="31" name="20230" tableColumnId="31"/>
      <queryTableField id="32" name="20240" tableColumnId="32"/>
      <queryTableField id="33" name="20245" tableColumnId="33"/>
      <queryTableField id="34" name="20250" tableColumnId="34"/>
      <queryTableField id="35" name="20260" tableColumnId="35"/>
      <queryTableField id="36" name="20317" tableColumnId="36"/>
      <queryTableField id="37" name="20319" tableColumnId="37"/>
      <queryTableField id="38" name="20373" tableColumnId="38"/>
      <queryTableField id="39" name="20388" tableColumnId="39"/>
      <queryTableField id="40" name="20390" tableColumnId="40"/>
      <queryTableField id="41" name="20408" tableColumnId="41"/>
      <queryTableField id="42" name="20415" tableColumnId="42"/>
      <queryTableField id="43" name="20418" tableColumnId="43"/>
      <queryTableField id="44" name="20422" tableColumnId="44"/>
      <queryTableField id="45" name="20427" tableColumnId="45"/>
      <queryTableField id="46" name="20431" tableColumnId="46"/>
      <queryTableField id="47" name="20510" tableColumnId="47"/>
      <queryTableField id="48" name="20515" tableColumnId="48"/>
      <queryTableField id="49" name="20520" tableColumnId="49"/>
      <queryTableField id="50" name="20530" tableColumnId="50"/>
      <queryTableField id="51" name="20535" tableColumnId="51"/>
      <queryTableField id="52" name="20540" tableColumnId="52"/>
      <queryTableField id="53" name="20542" tableColumnId="53"/>
      <queryTableField id="54" name="20551" tableColumnId="54"/>
      <queryTableField id="55" name="20560" tableColumnId="55"/>
      <queryTableField id="56" name="20565" tableColumnId="56"/>
      <queryTableField id="57" name="20566" tableColumnId="57"/>
      <queryTableField id="58" name="20591" tableColumnId="58"/>
      <queryTableField id="59" name="30002" tableColumnId="59"/>
      <queryTableField id="60" name="30004" tableColumnId="60"/>
      <queryTableField id="61" name="30005" tableColumnId="61"/>
      <queryTableField id="62" name="30008" tableColumnId="62"/>
      <queryTableField id="63" name="30009" tableColumnId="63"/>
      <queryTableField id="64" name="30011" tableColumnId="64"/>
      <queryTableField id="65" name="30012" tableColumnId="65"/>
      <queryTableField id="66" name="30013" tableColumnId="66"/>
      <queryTableField id="67" name="30014" tableColumnId="67"/>
      <queryTableField id="68" name="30016" tableColumnId="68"/>
      <queryTableField id="69" name="30017" tableColumnId="69"/>
      <queryTableField id="70" name="30018" tableColumnId="70"/>
      <queryTableField id="71" name="30019" tableColumnId="71"/>
      <queryTableField id="72" name="30021" tableColumnId="72"/>
      <queryTableField id="73" name="30022" tableColumnId="73"/>
      <queryTableField id="74" name="30024" tableColumnId="74"/>
      <queryTableField id="75" name="30025" tableColumnId="75"/>
      <queryTableField id="76" name="30028" tableColumnId="76"/>
      <queryTableField id="77" name="30030" tableColumnId="77"/>
      <queryTableField id="78" name="30032" tableColumnId="78"/>
      <queryTableField id="79" name="30033" tableColumnId="79"/>
      <queryTableField id="80" name="30034" tableColumnId="80"/>
      <queryTableField id="81" name="30035" tableColumnId="81"/>
      <queryTableField id="82" name="30038" tableColumnId="82"/>
      <queryTableField id="83" name="30039" tableColumnId="83"/>
      <queryTableField id="84" name="30040" tableColumnId="84"/>
      <queryTableField id="85" name="30041" tableColumnId="85"/>
      <queryTableField id="86" name="30043" tableColumnId="86"/>
      <queryTableField id="87" name="30044" tableColumnId="87"/>
      <queryTableField id="88" name="30045" tableColumnId="88"/>
      <queryTableField id="89" name="30046" tableColumnId="89"/>
      <queryTableField id="90" name="30047" tableColumnId="90"/>
      <queryTableField id="91" name="30052" tableColumnId="91"/>
      <queryTableField id="92" name="30054" tableColumnId="92"/>
      <queryTableField id="93" name="30055" tableColumnId="93"/>
      <queryTableField id="94" name="30056" tableColumnId="94"/>
      <queryTableField id="95" name="30058" tableColumnId="95"/>
      <queryTableField id="96" name="30060" tableColumnId="96"/>
      <queryTableField id="97" name="30062" tableColumnId="97"/>
      <queryTableField id="98" name="30064" tableColumnId="98"/>
      <queryTableField id="99" name="30066" tableColumnId="99"/>
      <queryTableField id="100" name="30067" tableColumnId="100"/>
      <queryTableField id="101" name="30068" tableColumnId="101"/>
      <queryTableField id="102" name="30070" tableColumnId="102"/>
      <queryTableField id="103" name="30071" tableColumnId="103"/>
      <queryTableField id="104" name="30072" tableColumnId="104"/>
      <queryTableField id="105" name="30075" tableColumnId="105"/>
      <queryTableField id="106" name="30076" tableColumnId="106"/>
      <queryTableField id="107" name="30078" tableColumnId="107"/>
      <queryTableField id="108" name="30079" tableColumnId="108"/>
      <queryTableField id="109" name="30080" tableColumnId="109"/>
      <queryTableField id="110" name="30082" tableColumnId="110"/>
      <queryTableField id="111" name="30083" tableColumnId="111"/>
      <queryTableField id="112" name="30084" tableColumnId="112"/>
      <queryTableField id="113" name="30087" tableColumnId="113"/>
      <queryTableField id="114" name="30088" tableColumnId="114"/>
      <queryTableField id="115" name="30090" tableColumnId="115"/>
      <queryTableField id="116" name="30092" tableColumnId="116"/>
      <queryTableField id="117" name="30093" tableColumnId="117"/>
      <queryTableField id="118" name="30094" tableColumnId="118"/>
      <queryTableField id="119" name="30096" tableColumnId="119"/>
      <queryTableField id="120" name="30097" tableColumnId="120"/>
      <queryTableField id="121" name="30101" tableColumnId="121"/>
      <queryTableField id="122" name="30102" tableColumnId="122"/>
      <queryTableField id="123" name="30103" tableColumnId="123"/>
      <queryTableField id="124" name="30104" tableColumnId="124"/>
      <queryTableField id="125" name="30105" tableColumnId="125"/>
      <queryTableField id="126" name="30106" tableColumnId="126"/>
      <queryTableField id="127" name="30107" tableColumnId="127"/>
      <queryTableField id="128" name="30108" tableColumnId="128"/>
      <queryTableField id="129" name="30110" tableColumnId="129"/>
      <queryTableField id="130" name="30111" tableColumnId="130"/>
      <queryTableField id="131" name="30113" tableColumnId="131"/>
      <queryTableField id="132" name="30114" tableColumnId="132"/>
      <queryTableField id="133" name="30115" tableColumnId="133"/>
      <queryTableField id="134" name="30116" tableColumnId="134"/>
      <queryTableField id="135" name="30117" tableColumnId="135"/>
      <queryTableField id="136" name="30118" tableColumnId="136"/>
      <queryTableField id="137" name="30120" tableColumnId="137"/>
      <queryTableField id="138" name="30121" tableColumnId="138"/>
      <queryTableField id="139" name="30122" tableColumnId="139"/>
      <queryTableField id="140" name="30124" tableColumnId="140"/>
      <queryTableField id="141" name="30125" tableColumnId="141"/>
      <queryTableField id="142" name="30126" tableColumnId="142"/>
      <queryTableField id="143" name="30127" tableColumnId="143"/>
      <queryTableField id="144" name="30132" tableColumnId="144"/>
      <queryTableField id="145" name="30134" tableColumnId="145"/>
      <queryTableField id="146" name="30135" tableColumnId="146"/>
      <queryTableField id="147" name="30137" tableColumnId="147"/>
      <queryTableField id="148" name="30139" tableColumnId="148"/>
      <queryTableField id="149" name="30141" tableColumnId="149"/>
      <queryTableField id="150" name="30143" tableColumnId="150"/>
      <queryTableField id="151" name="30144" tableColumnId="151"/>
      <queryTableField id="152" name="30145" tableColumnId="152"/>
      <queryTableField id="153" name="30147" tableColumnId="153"/>
      <queryTableField id="154" name="30148" tableColumnId="154"/>
      <queryTableField id="155" name="30149" tableColumnId="155"/>
      <queryTableField id="156" name="30152" tableColumnId="156"/>
      <queryTableField id="157" name="30153" tableColumnId="157"/>
      <queryTableField id="158" name="30157" tableColumnId="158"/>
      <queryTableField id="159" name="30161" tableColumnId="159"/>
      <queryTableField id="160" name="30165" tableColumnId="160"/>
      <queryTableField id="161" name="30168" tableColumnId="161"/>
      <queryTableField id="162" name="30170" tableColumnId="162"/>
      <queryTableField id="163" name="30171" tableColumnId="163"/>
      <queryTableField id="164" name="30173" tableColumnId="164"/>
      <queryTableField id="165" name="30175" tableColumnId="165"/>
      <queryTableField id="166" name="30176" tableColumnId="166"/>
      <queryTableField id="167" name="30177" tableColumnId="167"/>
      <queryTableField id="168" name="30178" tableColumnId="168"/>
      <queryTableField id="169" name="30179" tableColumnId="169"/>
      <queryTableField id="170" name="30180" tableColumnId="170"/>
      <queryTableField id="171" name="30182" tableColumnId="171"/>
      <queryTableField id="172" name="30183" tableColumnId="172"/>
      <queryTableField id="173" name="30184" tableColumnId="173"/>
      <queryTableField id="174" name="30185" tableColumnId="174"/>
      <queryTableField id="175" name="30187" tableColumnId="175"/>
      <queryTableField id="176" name="30188" tableColumnId="176"/>
      <queryTableField id="177" name="30189" tableColumnId="177"/>
      <queryTableField id="178" name="30204" tableColumnId="178"/>
      <queryTableField id="179" name="30205" tableColumnId="179"/>
      <queryTableField id="180" name="30206" tableColumnId="180"/>
      <queryTableField id="181" name="30213" tableColumnId="181"/>
      <queryTableField id="182" name="30214" tableColumnId="182"/>
      <queryTableField id="183" name="30215" tableColumnId="183"/>
      <queryTableField id="184" name="30216" tableColumnId="184"/>
      <queryTableField id="185" name="30217" tableColumnId="185"/>
      <queryTableField id="186" name="30218" tableColumnId="186"/>
      <queryTableField id="187" name="30220" tableColumnId="187"/>
      <queryTableField id="188" name="30222" tableColumnId="188"/>
      <queryTableField id="189" name="30223" tableColumnId="189"/>
      <queryTableField id="190" name="30224" tableColumnId="190"/>
      <queryTableField id="191" name="30228" tableColumnId="191"/>
      <queryTableField id="192" name="30229" tableColumnId="192"/>
      <queryTableField id="193" name="30230" tableColumnId="193"/>
      <queryTableField id="194" name="30233" tableColumnId="194"/>
      <queryTableField id="195" name="30234" tableColumnId="195"/>
      <queryTableField id="196" name="30236" tableColumnId="196"/>
      <queryTableField id="197" name="30238" tableColumnId="197"/>
      <queryTableField id="198" name="30240" tableColumnId="198"/>
      <queryTableField id="199" name="30241" tableColumnId="199"/>
      <queryTableField id="200" name="30248" tableColumnId="200"/>
      <queryTableField id="201" name="30250" tableColumnId="201"/>
      <queryTableField id="202" name="30251" tableColumnId="202"/>
      <queryTableField id="203" name="30252" tableColumnId="203"/>
      <queryTableField id="204" name="30253" tableColumnId="204"/>
      <queryTableField id="205" name="30256" tableColumnId="205"/>
      <queryTableField id="206" name="30257" tableColumnId="206"/>
      <queryTableField id="207" name="30258" tableColumnId="207"/>
      <queryTableField id="208" name="30259" tableColumnId="208"/>
      <queryTableField id="209" name="30260" tableColumnId="209"/>
      <queryTableField id="210" name="30263" tableColumnId="210"/>
      <queryTableField id="211" name="30265" tableColumnId="211"/>
      <queryTableField id="212" name="30268" tableColumnId="212"/>
      <queryTableField id="213" name="30269" tableColumnId="213"/>
      <queryTableField id="214" name="30272" tableColumnId="214"/>
      <queryTableField id="215" name="30273" tableColumnId="215"/>
      <queryTableField id="216" name="30274" tableColumnId="216"/>
      <queryTableField id="217" name="30275" tableColumnId="217"/>
      <queryTableField id="218" name="30276" tableColumnId="218"/>
      <queryTableField id="219" name="30277" tableColumnId="219"/>
      <queryTableField id="220" name="30281" tableColumnId="220"/>
      <queryTableField id="221" name="30284" tableColumnId="221"/>
      <queryTableField id="222" name="30285" tableColumnId="222"/>
      <queryTableField id="223" name="30286" tableColumnId="223"/>
      <queryTableField id="224" name="30288" tableColumnId="224"/>
      <queryTableField id="225" name="30289" tableColumnId="225"/>
      <queryTableField id="226" name="30290" tableColumnId="226"/>
      <queryTableField id="227" name="30291" tableColumnId="227"/>
      <queryTableField id="228" name="30292" tableColumnId="228"/>
      <queryTableField id="229" name="30293" tableColumnId="229"/>
      <queryTableField id="230" name="30294" tableColumnId="230"/>
      <queryTableField id="231" name="30295" tableColumnId="231"/>
      <queryTableField id="232" name="30296" tableColumnId="232"/>
      <queryTableField id="233" name="30297" tableColumnId="233"/>
      <queryTableField id="234" name="30303" tableColumnId="234"/>
      <queryTableField id="235" name="30305" tableColumnId="235"/>
      <queryTableField id="236" name="30306" tableColumnId="236"/>
      <queryTableField id="237" name="30307" tableColumnId="237"/>
      <queryTableField id="238" name="30308" tableColumnId="238"/>
      <queryTableField id="239" name="30309" tableColumnId="239"/>
      <queryTableField id="240" name="30310" tableColumnId="240"/>
      <queryTableField id="241" name="30311" tableColumnId="241"/>
      <queryTableField id="242" name="30312" tableColumnId="242"/>
      <queryTableField id="243" name="30313" tableColumnId="243"/>
      <queryTableField id="244" name="30314" tableColumnId="244"/>
      <queryTableField id="245" name="30315" tableColumnId="245"/>
      <queryTableField id="246" name="30316" tableColumnId="246"/>
      <queryTableField id="247" name="30317" tableColumnId="247"/>
      <queryTableField id="248" name="30318" tableColumnId="248"/>
      <queryTableField id="249" name="30319" tableColumnId="249"/>
      <queryTableField id="250" name="30322" tableColumnId="250"/>
      <queryTableField id="251" name="30324" tableColumnId="251"/>
      <queryTableField id="252" name="30326" tableColumnId="252"/>
      <queryTableField id="253" name="30327" tableColumnId="253"/>
      <queryTableField id="254" name="30328" tableColumnId="254"/>
      <queryTableField id="255" name="30329" tableColumnId="255"/>
      <queryTableField id="256" name="30331" tableColumnId="256"/>
      <queryTableField id="257" name="30332" tableColumnId="257"/>
      <queryTableField id="258" name="30334" tableColumnId="258"/>
      <queryTableField id="259" name="30336" tableColumnId="259"/>
      <queryTableField id="260" name="30337" tableColumnId="260"/>
      <queryTableField id="261" name="30338" tableColumnId="261"/>
      <queryTableField id="262" name="30339" tableColumnId="262"/>
      <queryTableField id="263" name="30340" tableColumnId="263"/>
      <queryTableField id="264" name="30341" tableColumnId="264"/>
      <queryTableField id="265" name="30342" tableColumnId="265"/>
      <queryTableField id="266" name="30344" tableColumnId="266"/>
      <queryTableField id="267" name="30345" tableColumnId="267"/>
      <queryTableField id="268" name="30346" tableColumnId="268"/>
      <queryTableField id="269" name="30349" tableColumnId="269"/>
      <queryTableField id="270" name="30350" tableColumnId="270"/>
      <queryTableField id="271" name="30354" tableColumnId="271"/>
      <queryTableField id="272" name="30360" tableColumnId="272"/>
      <queryTableField id="273" name="30363" tableColumnId="273"/>
      <queryTableField id="274" name="30401" tableColumnId="274"/>
      <queryTableField id="275" name="30410" tableColumnId="275"/>
      <queryTableField id="276" name="30411" tableColumnId="276"/>
      <queryTableField id="277" name="30412" tableColumnId="277"/>
      <queryTableField id="278" name="30413" tableColumnId="278"/>
      <queryTableField id="279" name="30414" tableColumnId="279"/>
      <queryTableField id="280" name="30415" tableColumnId="280"/>
      <queryTableField id="281" name="30417" tableColumnId="281"/>
      <queryTableField id="282" name="30420" tableColumnId="282"/>
      <queryTableField id="283" name="30421" tableColumnId="283"/>
      <queryTableField id="284" name="30423" tableColumnId="284"/>
      <queryTableField id="285" name="30425" tableColumnId="285"/>
      <queryTableField id="286" name="30426" tableColumnId="286"/>
      <queryTableField id="287" name="30427" tableColumnId="287"/>
      <queryTableField id="288" name="30428" tableColumnId="288"/>
      <queryTableField id="289" name="30429" tableColumnId="289"/>
      <queryTableField id="290" name="30434" tableColumnId="290"/>
      <queryTableField id="291" name="30436" tableColumnId="291"/>
      <queryTableField id="292" name="30439" tableColumnId="292"/>
      <queryTableField id="293" name="30441" tableColumnId="293"/>
      <queryTableField id="294" name="30442" tableColumnId="294"/>
      <queryTableField id="295" name="30445" tableColumnId="295"/>
      <queryTableField id="296" name="30446" tableColumnId="296"/>
      <queryTableField id="297" name="30448" tableColumnId="297"/>
      <queryTableField id="298" name="30449" tableColumnId="298"/>
      <queryTableField id="299" name="30450" tableColumnId="299"/>
      <queryTableField id="300" name="30451" tableColumnId="300"/>
      <queryTableField id="301" name="30452" tableColumnId="301"/>
      <queryTableField id="302" name="30453" tableColumnId="302"/>
      <queryTableField id="303" name="30454" tableColumnId="303"/>
      <queryTableField id="304" name="30455" tableColumnId="304"/>
      <queryTableField id="305" name="30456" tableColumnId="305"/>
      <queryTableField id="306" name="30457" tableColumnId="306"/>
      <queryTableField id="307" name="30458" tableColumnId="307"/>
      <queryTableField id="308" name="30460" tableColumnId="308"/>
      <queryTableField id="309" name="30461" tableColumnId="309"/>
      <queryTableField id="310" name="30464" tableColumnId="310"/>
      <queryTableField id="311" name="30467" tableColumnId="311"/>
      <queryTableField id="312" name="30470" tableColumnId="312"/>
      <queryTableField id="313" name="30471" tableColumnId="313"/>
      <queryTableField id="314" name="30473" tableColumnId="314"/>
      <queryTableField id="315" name="30474" tableColumnId="315"/>
      <queryTableField id="316" name="30477" tableColumnId="316"/>
      <queryTableField id="317" name="30501" tableColumnId="317"/>
      <queryTableField id="318" name="30504" tableColumnId="318"/>
      <queryTableField id="319" name="30506" tableColumnId="319"/>
      <queryTableField id="320" name="30507" tableColumnId="320"/>
      <queryTableField id="321" name="30510" tableColumnId="321"/>
      <queryTableField id="322" name="30511" tableColumnId="322"/>
      <queryTableField id="323" name="30512" tableColumnId="323"/>
      <queryTableField id="324" name="30513" tableColumnId="324"/>
      <queryTableField id="325" name="30516" tableColumnId="325"/>
      <queryTableField id="326" name="30517" tableColumnId="326"/>
      <queryTableField id="327" name="30518" tableColumnId="327"/>
      <queryTableField id="328" name="30519" tableColumnId="328"/>
      <queryTableField id="329" name="30520" tableColumnId="329"/>
      <queryTableField id="330" name="30521" tableColumnId="330"/>
      <queryTableField id="331" name="30522" tableColumnId="331"/>
      <queryTableField id="332" name="30523" tableColumnId="332"/>
      <queryTableField id="333" name="30525" tableColumnId="333"/>
      <queryTableField id="334" name="30527" tableColumnId="334"/>
      <queryTableField id="335" name="30528" tableColumnId="335"/>
      <queryTableField id="336" name="30529" tableColumnId="336"/>
      <queryTableField id="337" name="30530" tableColumnId="337"/>
      <queryTableField id="338" name="30531" tableColumnId="338"/>
      <queryTableField id="339" name="30533" tableColumnId="339"/>
      <queryTableField id="340" name="30534" tableColumnId="340"/>
      <queryTableField id="341" name="30535" tableColumnId="341"/>
      <queryTableField id="342" name="30536" tableColumnId="342"/>
      <queryTableField id="343" name="30537" tableColumnId="343"/>
      <queryTableField id="344" name="30538" tableColumnId="344"/>
      <queryTableField id="345" name="30539" tableColumnId="345"/>
      <queryTableField id="346" name="30540" tableColumnId="346"/>
      <queryTableField id="347" name="30541" tableColumnId="347"/>
      <queryTableField id="348" name="30542" tableColumnId="348"/>
      <queryTableField id="349" name="30543" tableColumnId="349"/>
      <queryTableField id="350" name="30545" tableColumnId="350"/>
      <queryTableField id="351" name="30546" tableColumnId="351"/>
      <queryTableField id="352" name="30547" tableColumnId="352"/>
      <queryTableField id="353" name="30548" tableColumnId="353"/>
      <queryTableField id="354" name="30549" tableColumnId="354"/>
      <queryTableField id="355" name="30552" tableColumnId="355"/>
      <queryTableField id="356" name="30553" tableColumnId="356"/>
      <queryTableField id="357" name="30554" tableColumnId="357"/>
      <queryTableField id="358" name="30555" tableColumnId="358"/>
      <queryTableField id="359" name="30557" tableColumnId="359"/>
      <queryTableField id="360" name="30558" tableColumnId="360"/>
      <queryTableField id="361" name="30559" tableColumnId="361"/>
      <queryTableField id="362" name="30560" tableColumnId="362"/>
      <queryTableField id="363" name="30562" tableColumnId="363"/>
      <queryTableField id="364" name="30563" tableColumnId="364"/>
      <queryTableField id="365" name="30564" tableColumnId="365"/>
      <queryTableField id="366" name="30565" tableColumnId="366"/>
      <queryTableField id="367" name="30566" tableColumnId="367"/>
      <queryTableField id="368" name="30567" tableColumnId="368"/>
      <queryTableField id="369" name="30568" tableColumnId="369"/>
      <queryTableField id="370" name="30571" tableColumnId="370"/>
      <queryTableField id="371" name="30572" tableColumnId="371"/>
      <queryTableField id="372" name="30573" tableColumnId="372"/>
      <queryTableField id="373" name="30575" tableColumnId="373"/>
      <queryTableField id="374" name="30576" tableColumnId="374"/>
      <queryTableField id="375" name="30577" tableColumnId="375"/>
      <queryTableField id="376" name="30581" tableColumnId="376"/>
      <queryTableField id="377" name="30582" tableColumnId="377"/>
      <queryTableField id="378" name="30597" tableColumnId="378"/>
      <queryTableField id="379" name="30598" tableColumnId="379"/>
      <queryTableField id="380" name="30601" tableColumnId="380"/>
      <queryTableField id="381" name="30602" tableColumnId="381"/>
      <queryTableField id="382" name="30605" tableColumnId="382"/>
      <queryTableField id="383" name="30606" tableColumnId="383"/>
      <queryTableField id="384" name="30607" tableColumnId="384"/>
      <queryTableField id="385" name="30609" tableColumnId="385"/>
      <queryTableField id="386" name="30619" tableColumnId="386"/>
      <queryTableField id="387" name="30620" tableColumnId="387"/>
      <queryTableField id="388" name="30621" tableColumnId="388"/>
      <queryTableField id="389" name="30622" tableColumnId="389"/>
      <queryTableField id="390" name="30623" tableColumnId="390"/>
      <queryTableField id="391" name="30624" tableColumnId="391"/>
      <queryTableField id="392" name="30625" tableColumnId="392"/>
      <queryTableField id="393" name="30627" tableColumnId="393"/>
      <queryTableField id="394" name="30628" tableColumnId="394"/>
      <queryTableField id="395" name="30629" tableColumnId="395"/>
      <queryTableField id="396" name="30630" tableColumnId="396"/>
      <queryTableField id="397" name="30631" tableColumnId="397"/>
      <queryTableField id="398" name="30633" tableColumnId="398"/>
      <queryTableField id="399" name="30634" tableColumnId="399"/>
      <queryTableField id="400" name="30635" tableColumnId="400"/>
      <queryTableField id="401" name="30639" tableColumnId="401"/>
      <queryTableField id="402" name="30641" tableColumnId="402"/>
      <queryTableField id="403" name="30642" tableColumnId="403"/>
      <queryTableField id="404" name="30643" tableColumnId="404"/>
      <queryTableField id="405" name="30646" tableColumnId="405"/>
      <queryTableField id="406" name="30648" tableColumnId="406"/>
      <queryTableField id="407" name="30650" tableColumnId="407"/>
      <queryTableField id="408" name="30655" tableColumnId="408"/>
      <queryTableField id="409" name="30656" tableColumnId="409"/>
      <queryTableField id="410" name="30660" tableColumnId="410"/>
      <queryTableField id="411" name="30662" tableColumnId="411"/>
      <queryTableField id="412" name="30663" tableColumnId="412"/>
      <queryTableField id="413" name="30664" tableColumnId="413"/>
      <queryTableField id="414" name="30665" tableColumnId="414"/>
      <queryTableField id="415" name="30666" tableColumnId="415"/>
      <queryTableField id="416" name="30667" tableColumnId="416"/>
      <queryTableField id="417" name="30668" tableColumnId="417"/>
      <queryTableField id="418" name="30669" tableColumnId="418"/>
      <queryTableField id="419" name="30673" tableColumnId="419"/>
      <queryTableField id="420" name="30677" tableColumnId="420"/>
      <queryTableField id="421" name="30678" tableColumnId="421"/>
      <queryTableField id="422" name="30680" tableColumnId="422"/>
      <queryTableField id="423" name="30683" tableColumnId="423"/>
      <queryTableField id="424" name="30701" tableColumnId="424"/>
      <queryTableField id="425" name="30705" tableColumnId="425"/>
      <queryTableField id="426" name="30707" tableColumnId="426"/>
      <queryTableField id="427" name="30708" tableColumnId="427"/>
      <queryTableField id="428" name="30710" tableColumnId="428"/>
      <queryTableField id="429" name="30711" tableColumnId="429"/>
      <queryTableField id="430" name="30720" tableColumnId="430"/>
      <queryTableField id="431" name="30721" tableColumnId="431"/>
      <queryTableField id="432" name="30724" tableColumnId="432"/>
      <queryTableField id="433" name="30725" tableColumnId="433"/>
      <queryTableField id="434" name="30726" tableColumnId="434"/>
      <queryTableField id="435" name="30728" tableColumnId="435"/>
      <queryTableField id="436" name="30730" tableColumnId="436"/>
      <queryTableField id="437" name="30731" tableColumnId="437"/>
      <queryTableField id="438" name="30733" tableColumnId="438"/>
      <queryTableField id="439" name="30734" tableColumnId="439"/>
      <queryTableField id="440" name="30735" tableColumnId="440"/>
      <queryTableField id="441" name="30736" tableColumnId="441"/>
      <queryTableField id="442" name="30738" tableColumnId="442"/>
      <queryTableField id="443" name="30739" tableColumnId="443"/>
      <queryTableField id="444" name="30740" tableColumnId="444"/>
      <queryTableField id="445" name="30741" tableColumnId="445"/>
      <queryTableField id="446" name="30742" tableColumnId="446"/>
      <queryTableField id="447" name="30746" tableColumnId="447"/>
      <queryTableField id="448" name="30747" tableColumnId="448"/>
      <queryTableField id="449" name="30750" tableColumnId="449"/>
      <queryTableField id="450" name="30751" tableColumnId="450"/>
      <queryTableField id="451" name="30752" tableColumnId="451"/>
      <queryTableField id="452" name="30753" tableColumnId="452"/>
      <queryTableField id="453" name="30755" tableColumnId="453"/>
      <queryTableField id="454" name="30756" tableColumnId="454"/>
      <queryTableField id="455" name="30757" tableColumnId="455"/>
      <queryTableField id="456" name="30802" tableColumnId="456"/>
      <queryTableField id="457" name="30803" tableColumnId="457"/>
      <queryTableField id="458" name="30805" tableColumnId="458"/>
      <queryTableField id="459" name="30807" tableColumnId="459"/>
      <queryTableField id="460" name="30808" tableColumnId="460"/>
      <queryTableField id="461" name="30809" tableColumnId="461"/>
      <queryTableField id="462" name="30810" tableColumnId="462"/>
      <queryTableField id="463" name="30812" tableColumnId="463"/>
      <queryTableField id="464" name="30813" tableColumnId="464"/>
      <queryTableField id="465" name="30814" tableColumnId="465"/>
      <queryTableField id="466" name="30815" tableColumnId="466"/>
      <queryTableField id="467" name="30816" tableColumnId="467"/>
      <queryTableField id="468" name="30817" tableColumnId="468"/>
      <queryTableField id="469" name="30818" tableColumnId="469"/>
      <queryTableField id="470" name="30820" tableColumnId="470"/>
      <queryTableField id="471" name="30821" tableColumnId="471"/>
      <queryTableField id="472" name="30822" tableColumnId="472"/>
      <queryTableField id="473" name="30823" tableColumnId="473"/>
      <queryTableField id="474" name="30824" tableColumnId="474"/>
      <queryTableField id="475" name="30828" tableColumnId="475"/>
      <queryTableField id="476" name="30830" tableColumnId="476"/>
      <queryTableField id="477" name="30833" tableColumnId="477"/>
      <queryTableField id="478" name="30901" tableColumnId="478"/>
      <queryTableField id="479" name="30904" tableColumnId="479"/>
      <queryTableField id="480" name="30905" tableColumnId="480"/>
      <queryTableField id="481" name="30906" tableColumnId="481"/>
      <queryTableField id="482" name="30907" tableColumnId="482"/>
      <queryTableField id="483" name="30909" tableColumnId="483"/>
      <queryTableField id="484" name="30912" tableColumnId="484"/>
      <queryTableField id="485" name="31001" tableColumnId="485"/>
      <queryTableField id="486" name="31002" tableColumnId="486"/>
      <queryTableField id="487" name="31003" tableColumnId="487"/>
      <queryTableField id="488" name="31004" tableColumnId="488"/>
      <queryTableField id="489" name="31005" tableColumnId="489"/>
      <queryTableField id="490" name="31006" tableColumnId="490"/>
      <queryTableField id="491" name="31007" tableColumnId="491"/>
      <queryTableField id="492" name="31008" tableColumnId="492"/>
      <queryTableField id="493" name="31009" tableColumnId="493"/>
      <queryTableField id="494" name="31011" tableColumnId="494"/>
      <queryTableField id="495" name="31012" tableColumnId="495"/>
      <queryTableField id="496" name="31014" tableColumnId="496"/>
      <queryTableField id="497" name="31015" tableColumnId="497"/>
      <queryTableField id="498" name="31016" tableColumnId="498"/>
      <queryTableField id="499" name="31017" tableColumnId="499"/>
      <queryTableField id="500" name="31018" tableColumnId="500"/>
      <queryTableField id="501" name="31019" tableColumnId="501"/>
      <queryTableField id="502" name="31020" tableColumnId="502"/>
      <queryTableField id="503" name="31021" tableColumnId="503"/>
      <queryTableField id="504" name="31022" tableColumnId="504"/>
      <queryTableField id="505" name="31023" tableColumnId="505"/>
      <queryTableField id="506" name="31024" tableColumnId="506"/>
      <queryTableField id="507" name="31025" tableColumnId="507"/>
      <queryTableField id="508" name="31027" tableColumnId="508"/>
      <queryTableField id="509" name="31028" tableColumnId="509"/>
      <queryTableField id="510" name="31029" tableColumnId="510"/>
      <queryTableField id="511" name="31030" tableColumnId="511"/>
      <queryTableField id="512" name="31031" tableColumnId="512"/>
      <queryTableField id="513" name="31032" tableColumnId="513"/>
      <queryTableField id="514" name="31033" tableColumnId="514"/>
      <queryTableField id="515" name="31034" tableColumnId="515"/>
      <queryTableField id="516" name="31035" tableColumnId="516"/>
      <queryTableField id="517" name="31036" tableColumnId="517"/>
      <queryTableField id="518" name="31037" tableColumnId="518"/>
      <queryTableField id="519" name="31038" tableColumnId="519"/>
      <queryTableField id="520" name="31039" tableColumnId="520"/>
      <queryTableField id="521" name="31041" tableColumnId="521"/>
      <queryTableField id="522" name="31042" tableColumnId="522"/>
      <queryTableField id="523" name="31044" tableColumnId="523"/>
      <queryTableField id="524" name="31045" tableColumnId="524"/>
      <queryTableField id="525" name="31046" tableColumnId="525"/>
      <queryTableField id="526" name="31047" tableColumnId="526"/>
      <queryTableField id="527" name="31049" tableColumnId="527"/>
      <queryTableField id="528" name="31050" tableColumnId="528"/>
      <queryTableField id="529" name="31051" tableColumnId="529"/>
      <queryTableField id="530" name="31052" tableColumnId="530"/>
      <queryTableField id="531" name="31054" tableColumnId="531"/>
      <queryTableField id="532" name="31055" tableColumnId="532"/>
      <queryTableField id="533" name="31057" tableColumnId="533"/>
      <queryTableField id="534" name="31058" tableColumnId="534"/>
      <queryTableField id="535" name="31060" tableColumnId="535"/>
      <queryTableField id="536" name="31061" tableColumnId="536"/>
      <queryTableField id="537" name="31062" tableColumnId="537"/>
      <queryTableField id="538" name="31063" tableColumnId="538"/>
      <queryTableField id="539" name="31064" tableColumnId="539"/>
      <queryTableField id="540" name="31065" tableColumnId="540"/>
      <queryTableField id="541" name="31066" tableColumnId="541"/>
      <queryTableField id="542" name="31067" tableColumnId="542"/>
      <queryTableField id="543" name="31068" tableColumnId="543"/>
      <queryTableField id="544" name="31069" tableColumnId="544"/>
      <queryTableField id="545" name="31070" tableColumnId="545"/>
      <queryTableField id="546" name="31071" tableColumnId="546"/>
      <queryTableField id="547" name="31072" tableColumnId="547"/>
      <queryTableField id="548" name="31075" tableColumnId="548"/>
      <queryTableField id="549" name="31076" tableColumnId="549"/>
      <queryTableField id="550" name="31077" tableColumnId="550"/>
      <queryTableField id="551" name="31078" tableColumnId="551"/>
      <queryTableField id="552" name="31079" tableColumnId="552"/>
      <queryTableField id="553" name="31081" tableColumnId="553"/>
      <queryTableField id="554" name="31082" tableColumnId="554"/>
      <queryTableField id="555" name="31083" tableColumnId="555"/>
      <queryTableField id="556" name="31084" tableColumnId="556"/>
      <queryTableField id="557" name="31085" tableColumnId="557"/>
      <queryTableField id="558" name="31087" tableColumnId="558"/>
      <queryTableField id="559" name="31088" tableColumnId="559"/>
      <queryTableField id="560" name="31089" tableColumnId="560"/>
      <queryTableField id="561" name="31090" tableColumnId="561"/>
      <queryTableField id="562" name="31091" tableColumnId="562"/>
      <queryTableField id="563" name="31092" tableColumnId="563"/>
      <queryTableField id="564" name="31093" tableColumnId="564"/>
      <queryTableField id="565" name="31094" tableColumnId="565"/>
      <queryTableField id="566" name="31096" tableColumnId="566"/>
      <queryTableField id="567" name="31097" tableColumnId="567"/>
      <queryTableField id="568" name="31098" tableColumnId="568"/>
      <queryTableField id="569" name="31201" tableColumnId="569"/>
      <queryTableField id="570" name="31204" tableColumnId="570"/>
      <queryTableField id="571" name="31206" tableColumnId="571"/>
      <queryTableField id="572" name="31207" tableColumnId="572"/>
      <queryTableField id="573" name="31210" tableColumnId="573"/>
      <queryTableField id="574" name="31211" tableColumnId="574"/>
      <queryTableField id="575" name="31213" tableColumnId="575"/>
      <queryTableField id="576" name="31216" tableColumnId="576"/>
      <queryTableField id="577" name="31217" tableColumnId="577"/>
      <queryTableField id="578" name="31220" tableColumnId="578"/>
      <queryTableField id="579" name="31301" tableColumnId="579"/>
      <queryTableField id="580" name="31302" tableColumnId="580"/>
      <queryTableField id="581" name="31303" tableColumnId="581"/>
      <queryTableField id="582" name="31305" tableColumnId="582"/>
      <queryTableField id="583" name="31307" tableColumnId="583"/>
      <queryTableField id="584" name="31308" tableColumnId="584"/>
      <queryTableField id="585" name="31309" tableColumnId="585"/>
      <queryTableField id="586" name="31312" tableColumnId="586"/>
      <queryTableField id="587" name="31313" tableColumnId="587"/>
      <queryTableField id="588" name="31314" tableColumnId="588"/>
      <queryTableField id="589" name="31315" tableColumnId="589"/>
      <queryTableField id="590" name="31316" tableColumnId="590"/>
      <queryTableField id="591" name="31318" tableColumnId="591"/>
      <queryTableField id="592" name="31320" tableColumnId="592"/>
      <queryTableField id="593" name="31321" tableColumnId="593"/>
      <queryTableField id="594" name="31322" tableColumnId="594"/>
      <queryTableField id="595" name="31323" tableColumnId="595"/>
      <queryTableField id="596" name="31324" tableColumnId="596"/>
      <queryTableField id="597" name="31326" tableColumnId="597"/>
      <queryTableField id="598" name="31327" tableColumnId="598"/>
      <queryTableField id="599" name="31328" tableColumnId="599"/>
      <queryTableField id="600" name="31329" tableColumnId="600"/>
      <queryTableField id="601" name="31331" tableColumnId="601"/>
      <queryTableField id="602" name="31333" tableColumnId="602"/>
      <queryTableField id="603" name="31401" tableColumnId="603"/>
      <queryTableField id="604" name="31404" tableColumnId="604"/>
      <queryTableField id="605" name="31405" tableColumnId="605"/>
      <queryTableField id="606" name="31406" tableColumnId="606"/>
      <queryTableField id="607" name="31407" tableColumnId="607"/>
      <queryTableField id="608" name="31408" tableColumnId="608"/>
      <queryTableField id="609" name="31409" tableColumnId="609"/>
      <queryTableField id="610" name="31410" tableColumnId="610"/>
      <queryTableField id="611" name="31411" tableColumnId="611"/>
      <queryTableField id="612" name="31415" tableColumnId="612"/>
      <queryTableField id="613" name="31419" tableColumnId="613"/>
      <queryTableField id="614" name="31421" tableColumnId="614"/>
      <queryTableField id="615" name="31501" tableColumnId="615"/>
      <queryTableField id="616" name="31503" tableColumnId="616"/>
      <queryTableField id="617" name="31510" tableColumnId="617"/>
      <queryTableField id="618" name="31512" tableColumnId="618"/>
      <queryTableField id="619" name="31513" tableColumnId="619"/>
      <queryTableField id="620" name="31516" tableColumnId="620"/>
      <queryTableField id="621" name="31518" tableColumnId="621"/>
      <queryTableField id="622" name="31519" tableColumnId="622"/>
      <queryTableField id="623" name="31520" tableColumnId="623"/>
      <queryTableField id="624" name="31522" tableColumnId="624"/>
      <queryTableField id="625" name="31523" tableColumnId="625"/>
      <queryTableField id="626" name="31524" tableColumnId="626"/>
      <queryTableField id="627" name="31525" tableColumnId="627"/>
      <queryTableField id="628" name="31527" tableColumnId="628"/>
      <queryTableField id="629" name="31532" tableColumnId="629"/>
      <queryTableField id="630" name="31533" tableColumnId="630"/>
      <queryTableField id="631" name="31535" tableColumnId="631"/>
      <queryTableField id="632" name="31537" tableColumnId="632"/>
      <queryTableField id="633" name="31539" tableColumnId="633"/>
      <queryTableField id="634" name="31542" tableColumnId="634"/>
      <queryTableField id="635" name="31543" tableColumnId="635"/>
      <queryTableField id="636" name="31544" tableColumnId="636"/>
      <queryTableField id="637" name="31545" tableColumnId="637"/>
      <queryTableField id="638" name="31546" tableColumnId="638"/>
      <queryTableField id="639" name="31547" tableColumnId="639"/>
      <queryTableField id="640" name="31548" tableColumnId="640"/>
      <queryTableField id="641" name="31549" tableColumnId="641"/>
      <queryTableField id="642" name="31550" tableColumnId="642"/>
      <queryTableField id="643" name="31551" tableColumnId="643"/>
      <queryTableField id="644" name="31552" tableColumnId="644"/>
      <queryTableField id="645" name="31553" tableColumnId="645"/>
      <queryTableField id="646" name="31554" tableColumnId="646"/>
      <queryTableField id="647" name="31555" tableColumnId="647"/>
      <queryTableField id="648" name="31556" tableColumnId="648"/>
      <queryTableField id="649" name="31557" tableColumnId="649"/>
      <queryTableField id="650" name="31558" tableColumnId="650"/>
      <queryTableField id="651" name="31560" tableColumnId="651"/>
      <queryTableField id="652" name="31561" tableColumnId="652"/>
      <queryTableField id="653" name="31562" tableColumnId="653"/>
      <queryTableField id="654" name="31563" tableColumnId="654"/>
      <queryTableField id="655" name="31564" tableColumnId="655"/>
      <queryTableField id="656" name="31565" tableColumnId="656"/>
      <queryTableField id="657" name="31566" tableColumnId="657"/>
      <queryTableField id="658" name="31567" tableColumnId="658"/>
      <queryTableField id="659" name="31568" tableColumnId="659"/>
      <queryTableField id="660" name="31569" tableColumnId="660"/>
      <queryTableField id="661" name="31599" tableColumnId="661"/>
      <queryTableField id="662" name="31601" tableColumnId="662"/>
      <queryTableField id="663" name="31602" tableColumnId="663"/>
      <queryTableField id="664" name="31605" tableColumnId="664"/>
      <queryTableField id="665" name="31606" tableColumnId="665"/>
      <queryTableField id="666" name="31620" tableColumnId="666"/>
      <queryTableField id="667" name="31622" tableColumnId="667"/>
      <queryTableField id="668" name="31623" tableColumnId="668"/>
      <queryTableField id="669" name="31624" tableColumnId="669"/>
      <queryTableField id="670" name="31625" tableColumnId="670"/>
      <queryTableField id="671" name="31626" tableColumnId="671"/>
      <queryTableField id="672" name="31627" tableColumnId="672"/>
      <queryTableField id="673" name="31629" tableColumnId="673"/>
      <queryTableField id="674" name="31630" tableColumnId="674"/>
      <queryTableField id="675" name="31631" tableColumnId="675"/>
      <queryTableField id="676" name="31632" tableColumnId="676"/>
      <queryTableField id="677" name="31634" tableColumnId="677"/>
      <queryTableField id="678" name="31635" tableColumnId="678"/>
      <queryTableField id="679" name="31636" tableColumnId="679"/>
      <queryTableField id="680" name="31637" tableColumnId="680"/>
      <queryTableField id="681" name="31638" tableColumnId="681"/>
      <queryTableField id="682" name="31639" tableColumnId="682"/>
      <queryTableField id="683" name="31641" tableColumnId="683"/>
      <queryTableField id="684" name="31642" tableColumnId="684"/>
      <queryTableField id="685" name="31643" tableColumnId="685"/>
      <queryTableField id="686" name="31645" tableColumnId="686"/>
      <queryTableField id="687" name="31647" tableColumnId="687"/>
      <queryTableField id="688" name="31648" tableColumnId="688"/>
      <queryTableField id="689" name="31649" tableColumnId="689"/>
      <queryTableField id="690" name="31650" tableColumnId="690"/>
      <queryTableField id="691" name="31698" tableColumnId="691"/>
      <queryTableField id="692" name="31699" tableColumnId="692"/>
      <queryTableField id="693" name="31701" tableColumnId="693"/>
      <queryTableField id="694" name="31704" tableColumnId="694"/>
      <queryTableField id="695" name="31705" tableColumnId="695"/>
      <queryTableField id="696" name="31707" tableColumnId="696"/>
      <queryTableField id="697" name="31709" tableColumnId="697"/>
      <queryTableField id="698" name="31711" tableColumnId="698"/>
      <queryTableField id="699" name="31712" tableColumnId="699"/>
      <queryTableField id="700" name="31714" tableColumnId="700"/>
      <queryTableField id="701" name="31716" tableColumnId="701"/>
      <queryTableField id="702" name="31719" tableColumnId="702"/>
      <queryTableField id="703" name="31720" tableColumnId="703"/>
      <queryTableField id="704" name="31721" tableColumnId="704"/>
      <queryTableField id="705" name="31722" tableColumnId="705"/>
      <queryTableField id="706" name="31727" tableColumnId="706"/>
      <queryTableField id="707" name="31730" tableColumnId="707"/>
      <queryTableField id="708" name="31733" tableColumnId="708"/>
      <queryTableField id="709" name="31735" tableColumnId="709"/>
      <queryTableField id="710" name="31738" tableColumnId="710"/>
      <queryTableField id="711" name="31743" tableColumnId="711"/>
      <queryTableField id="712" name="31744" tableColumnId="712"/>
      <queryTableField id="713" name="31747" tableColumnId="713"/>
      <queryTableField id="714" name="31749" tableColumnId="714"/>
      <queryTableField id="715" name="31750" tableColumnId="715"/>
      <queryTableField id="716" name="31753" tableColumnId="716"/>
      <queryTableField id="717" name="31756" tableColumnId="717"/>
      <queryTableField id="718" name="31757" tableColumnId="718"/>
      <queryTableField id="719" name="31763" tableColumnId="719"/>
      <queryTableField id="720" name="31764" tableColumnId="720"/>
      <queryTableField id="721" name="31765" tableColumnId="721"/>
      <queryTableField id="722" name="31768" tableColumnId="722"/>
      <queryTableField id="723" name="31771" tableColumnId="723"/>
      <queryTableField id="724" name="31772" tableColumnId="724"/>
      <queryTableField id="725" name="31773" tableColumnId="725"/>
      <queryTableField id="726" name="31774" tableColumnId="726"/>
      <queryTableField id="727" name="31775" tableColumnId="727"/>
      <queryTableField id="728" name="31778" tableColumnId="728"/>
      <queryTableField id="729" name="31779" tableColumnId="729"/>
      <queryTableField id="730" name="31780" tableColumnId="730"/>
      <queryTableField id="731" name="31781" tableColumnId="731"/>
      <queryTableField id="732" name="31783" tableColumnId="732"/>
      <queryTableField id="733" name="31784" tableColumnId="733"/>
      <queryTableField id="734" name="31787" tableColumnId="734"/>
      <queryTableField id="735" name="31788" tableColumnId="735"/>
      <queryTableField id="736" name="31789" tableColumnId="736"/>
      <queryTableField id="737" name="31790" tableColumnId="737"/>
      <queryTableField id="738" name="31791" tableColumnId="738"/>
      <queryTableField id="739" name="31792" tableColumnId="739"/>
      <queryTableField id="740" name="31793" tableColumnId="740"/>
      <queryTableField id="741" name="31794" tableColumnId="741"/>
      <queryTableField id="742" name="31795" tableColumnId="742"/>
      <queryTableField id="743" name="31796" tableColumnId="743"/>
      <queryTableField id="744" name="31798" tableColumnId="744"/>
      <queryTableField id="745" name="31801" tableColumnId="745"/>
      <queryTableField id="746" name="31803" tableColumnId="746"/>
      <queryTableField id="747" name="31804" tableColumnId="747"/>
      <queryTableField id="748" name="31805" tableColumnId="748"/>
      <queryTableField id="749" name="31806" tableColumnId="749"/>
      <queryTableField id="750" name="31807" tableColumnId="750"/>
      <queryTableField id="751" name="31808" tableColumnId="751"/>
      <queryTableField id="752" name="31810" tableColumnId="752"/>
      <queryTableField id="753" name="31811" tableColumnId="753"/>
      <queryTableField id="754" name="31812" tableColumnId="754"/>
      <queryTableField id="755" name="31814" tableColumnId="755"/>
      <queryTableField id="756" name="31815" tableColumnId="756"/>
      <queryTableField id="757" name="31816" tableColumnId="757"/>
      <queryTableField id="758" name="31820" tableColumnId="758"/>
      <queryTableField id="759" name="31821" tableColumnId="759"/>
      <queryTableField id="760" name="31822" tableColumnId="760"/>
      <queryTableField id="761" name="31823" tableColumnId="761"/>
      <queryTableField id="762" name="31824" tableColumnId="762"/>
      <queryTableField id="763" name="31825" tableColumnId="763"/>
      <queryTableField id="764" name="31826" tableColumnId="764"/>
      <queryTableField id="765" name="31827" tableColumnId="765"/>
      <queryTableField id="766" name="31829" tableColumnId="766"/>
      <queryTableField id="767" name="31830" tableColumnId="767"/>
      <queryTableField id="768" name="31831" tableColumnId="768"/>
      <queryTableField id="769" name="31832" tableColumnId="769"/>
      <queryTableField id="770" name="31833" tableColumnId="770"/>
      <queryTableField id="771" name="31836" tableColumnId="771"/>
      <queryTableField id="772" name="31901" tableColumnId="772"/>
      <queryTableField id="773" name="31903" tableColumnId="773"/>
      <queryTableField id="774" name="31904" tableColumnId="774"/>
      <queryTableField id="775" name="31905" tableColumnId="775"/>
      <queryTableField id="776" name="31906" tableColumnId="776"/>
      <queryTableField id="777" name="31907" tableColumnId="777"/>
      <queryTableField id="778" name="31909" tableColumnId="778"/>
      <queryTableField id="779" name="36855" tableColumnId="779"/>
      <queryTableField id="780" name="39813" tableColumnId="780"/>
      <queryTableField id="781" name="39815" tableColumnId="781"/>
      <queryTableField id="782" name="39817" tableColumnId="782"/>
      <queryTableField id="783" name="39819" tableColumnId="783"/>
      <queryTableField id="784" name="39823" tableColumnId="784"/>
      <queryTableField id="785" name="39824" tableColumnId="785"/>
      <queryTableField id="786" name="39825" tableColumnId="786"/>
      <queryTableField id="787" name="39826" tableColumnId="787"/>
      <queryTableField id="788" name="39827" tableColumnId="788"/>
      <queryTableField id="789" name="39828" tableColumnId="789"/>
      <queryTableField id="790" name="39832" tableColumnId="790"/>
      <queryTableField id="791" name="39834" tableColumnId="791"/>
      <queryTableField id="792" name="39836" tableColumnId="792"/>
      <queryTableField id="793" name="39837" tableColumnId="793"/>
      <queryTableField id="794" name="39840" tableColumnId="794"/>
      <queryTableField id="795" name="39841" tableColumnId="795"/>
      <queryTableField id="796" name="39842" tableColumnId="796"/>
      <queryTableField id="797" name="39845" tableColumnId="797"/>
      <queryTableField id="798" name="39846" tableColumnId="798"/>
      <queryTableField id="799" name="39851" tableColumnId="799"/>
      <queryTableField id="800" name="39854" tableColumnId="800"/>
      <queryTableField id="801" name="39859" tableColumnId="801"/>
      <queryTableField id="802" name="39861" tableColumnId="802"/>
      <queryTableField id="803" name="39862" tableColumnId="803"/>
      <queryTableField id="804" name="39866" tableColumnId="804"/>
      <queryTableField id="805" name="39867" tableColumnId="805"/>
      <queryTableField id="806" name="39870" tableColumnId="806"/>
      <queryTableField id="807" name="39877" tableColumnId="807"/>
      <queryTableField id="808" name="39885" tableColumnId="808"/>
      <queryTableField id="809" name="39886" tableColumnId="809"/>
      <queryTableField id="810" name="39897" tableColumnId="810"/>
      <queryTableField id="811" name="19973" tableColumnId="811"/>
      <queryTableField id="812" name="20601" tableColumnId="812"/>
      <queryTableField id="813" name="20602" tableColumnId="813"/>
      <queryTableField id="814" name="20603" tableColumnId="814"/>
      <queryTableField id="815" name="20606" tableColumnId="815"/>
      <queryTableField id="816" name="20607" tableColumnId="816"/>
      <queryTableField id="817" name="20608" tableColumnId="817"/>
      <queryTableField id="818" name="20609" tableColumnId="818"/>
      <queryTableField id="819" name="20611" tableColumnId="819"/>
      <queryTableField id="820" name="20612" tableColumnId="820"/>
      <queryTableField id="821" name="20613" tableColumnId="821"/>
      <queryTableField id="822" name="20615" tableColumnId="822"/>
      <queryTableField id="823" name="20616" tableColumnId="823"/>
      <queryTableField id="824" name="20617" tableColumnId="824"/>
      <queryTableField id="825" name="20618" tableColumnId="825"/>
      <queryTableField id="826" name="20619" tableColumnId="826"/>
      <queryTableField id="827" name="20620" tableColumnId="827"/>
      <queryTableField id="828" name="20621" tableColumnId="828"/>
      <queryTableField id="829" name="20622" tableColumnId="829"/>
      <queryTableField id="830" name="20623" tableColumnId="830"/>
      <queryTableField id="831" name="20624" tableColumnId="831"/>
      <queryTableField id="832" name="20625" tableColumnId="832"/>
      <queryTableField id="833" name="20626" tableColumnId="833"/>
      <queryTableField id="834" name="20628" tableColumnId="834"/>
      <queryTableField id="835" name="20629" tableColumnId="835"/>
      <queryTableField id="836" name="20630" tableColumnId="836"/>
      <queryTableField id="837" name="20632" tableColumnId="837"/>
      <queryTableField id="838" name="20634" tableColumnId="838"/>
      <queryTableField id="839" name="20636" tableColumnId="839"/>
      <queryTableField id="840" name="20637" tableColumnId="840"/>
      <queryTableField id="841" name="20639" tableColumnId="841"/>
      <queryTableField id="842" name="20640" tableColumnId="842"/>
      <queryTableField id="843" name="20645" tableColumnId="843"/>
      <queryTableField id="844" name="20646" tableColumnId="844"/>
      <queryTableField id="845" name="20650" tableColumnId="845"/>
      <queryTableField id="846" name="20653" tableColumnId="846"/>
      <queryTableField id="847" name="20656" tableColumnId="847"/>
      <queryTableField id="848" name="20657" tableColumnId="848"/>
      <queryTableField id="849" name="20658" tableColumnId="849"/>
      <queryTableField id="850" name="20659" tableColumnId="850"/>
      <queryTableField id="851" name="20660" tableColumnId="851"/>
      <queryTableField id="852" name="20661" tableColumnId="852"/>
      <queryTableField id="853" name="20662" tableColumnId="853"/>
      <queryTableField id="854" name="20664" tableColumnId="854"/>
      <queryTableField id="855" name="20667" tableColumnId="855"/>
      <queryTableField id="856" name="20670" tableColumnId="856"/>
      <queryTableField id="857" name="20674" tableColumnId="857"/>
      <queryTableField id="858" name="20675" tableColumnId="858"/>
      <queryTableField id="859" name="20676" tableColumnId="859"/>
      <queryTableField id="860" name="20677" tableColumnId="860"/>
      <queryTableField id="861" name="20678" tableColumnId="861"/>
      <queryTableField id="862" name="20680" tableColumnId="862"/>
      <queryTableField id="863" name="20684" tableColumnId="863"/>
      <queryTableField id="864" name="20685" tableColumnId="864"/>
      <queryTableField id="865" name="20686" tableColumnId="865"/>
      <queryTableField id="866" name="20687" tableColumnId="866"/>
      <queryTableField id="867" name="20688" tableColumnId="867"/>
      <queryTableField id="868" name="20689" tableColumnId="868"/>
      <queryTableField id="869" name="20690" tableColumnId="869"/>
      <queryTableField id="870" name="20692" tableColumnId="870"/>
      <queryTableField id="871" name="20693" tableColumnId="871"/>
      <queryTableField id="872" name="20695" tableColumnId="872"/>
      <queryTableField id="873" name="20701" tableColumnId="873"/>
      <queryTableField id="874" name="20705" tableColumnId="874"/>
      <queryTableField id="875" name="20706" tableColumnId="875"/>
      <queryTableField id="876" name="20707" tableColumnId="876"/>
      <queryTableField id="877" name="20708" tableColumnId="877"/>
      <queryTableField id="878" name="20710" tableColumnId="878"/>
      <queryTableField id="879" name="20711" tableColumnId="879"/>
      <queryTableField id="880" name="20712" tableColumnId="880"/>
      <queryTableField id="881" name="20714" tableColumnId="881"/>
      <queryTableField id="882" name="20715" tableColumnId="882"/>
      <queryTableField id="883" name="20716" tableColumnId="883"/>
      <queryTableField id="884" name="20720" tableColumnId="884"/>
      <queryTableField id="885" name="20721" tableColumnId="885"/>
      <queryTableField id="886" name="20722" tableColumnId="886"/>
      <queryTableField id="887" name="20723" tableColumnId="887"/>
      <queryTableField id="888" name="20724" tableColumnId="888"/>
      <queryTableField id="889" name="20732" tableColumnId="889"/>
      <queryTableField id="890" name="20733" tableColumnId="890"/>
      <queryTableField id="891" name="20735" tableColumnId="891"/>
      <queryTableField id="892" name="20736" tableColumnId="892"/>
      <queryTableField id="893" name="20737" tableColumnId="893"/>
      <queryTableField id="894" name="20740" tableColumnId="894"/>
      <queryTableField id="895" name="20742" tableColumnId="895"/>
      <queryTableField id="896" name="20743" tableColumnId="896"/>
      <queryTableField id="897" name="20744" tableColumnId="897"/>
      <queryTableField id="898" name="20745" tableColumnId="898"/>
      <queryTableField id="899" name="20746" tableColumnId="899"/>
      <queryTableField id="900" name="20747" tableColumnId="900"/>
      <queryTableField id="901" name="20748" tableColumnId="901"/>
      <queryTableField id="902" name="20751" tableColumnId="902"/>
      <queryTableField id="903" name="20754" tableColumnId="903"/>
      <queryTableField id="904" name="20755" tableColumnId="904"/>
      <queryTableField id="905" name="20758" tableColumnId="905"/>
      <queryTableField id="906" name="20759" tableColumnId="906"/>
      <queryTableField id="907" name="20762" tableColumnId="907"/>
      <queryTableField id="908" name="20763" tableColumnId="908"/>
      <queryTableField id="909" name="20764" tableColumnId="909"/>
      <queryTableField id="910" name="20765" tableColumnId="910"/>
      <queryTableField id="911" name="20769" tableColumnId="911"/>
      <queryTableField id="912" name="20770" tableColumnId="912"/>
      <queryTableField id="913" name="20771" tableColumnId="913"/>
      <queryTableField id="914" name="20772" tableColumnId="914"/>
      <queryTableField id="915" name="20774" tableColumnId="915"/>
      <queryTableField id="916" name="20776" tableColumnId="916"/>
      <queryTableField id="917" name="20777" tableColumnId="917"/>
      <queryTableField id="918" name="20778" tableColumnId="918"/>
      <queryTableField id="919" name="20779" tableColumnId="919"/>
      <queryTableField id="920" name="20781" tableColumnId="920"/>
      <queryTableField id="921" name="20782" tableColumnId="921"/>
      <queryTableField id="922" name="20783" tableColumnId="922"/>
      <queryTableField id="923" name="20784" tableColumnId="923"/>
      <queryTableField id="924" name="20785" tableColumnId="924"/>
      <queryTableField id="925" name="20794" tableColumnId="925"/>
      <queryTableField id="926" name="20812" tableColumnId="926"/>
      <queryTableField id="927" name="20814" tableColumnId="927"/>
      <queryTableField id="928" name="20815" tableColumnId="928"/>
      <queryTableField id="929" name="20816" tableColumnId="929"/>
      <queryTableField id="930" name="20817" tableColumnId="930"/>
      <queryTableField id="931" name="20818" tableColumnId="931"/>
      <queryTableField id="932" name="20832" tableColumnId="932"/>
      <queryTableField id="933" name="20833" tableColumnId="933"/>
      <queryTableField id="934" name="20837" tableColumnId="934"/>
      <queryTableField id="935" name="20838" tableColumnId="935"/>
      <queryTableField id="936" name="20839" tableColumnId="936"/>
      <queryTableField id="937" name="20841" tableColumnId="937"/>
      <queryTableField id="938" name="20842" tableColumnId="938"/>
      <queryTableField id="939" name="20850" tableColumnId="939"/>
      <queryTableField id="940" name="20851" tableColumnId="940"/>
      <queryTableField id="941" name="20852" tableColumnId="941"/>
      <queryTableField id="942" name="20853" tableColumnId="942"/>
      <queryTableField id="943" name="20854" tableColumnId="943"/>
      <queryTableField id="944" name="20855" tableColumnId="944"/>
      <queryTableField id="945" name="20860" tableColumnId="945"/>
      <queryTableField id="946" name="20861" tableColumnId="946"/>
      <queryTableField id="947" name="20862" tableColumnId="947"/>
      <queryTableField id="948" name="20866" tableColumnId="948"/>
      <queryTableField id="949" name="20868" tableColumnId="949"/>
      <queryTableField id="950" name="20871" tableColumnId="950"/>
      <queryTableField id="951" name="20872" tableColumnId="951"/>
      <queryTableField id="952" name="20874" tableColumnId="952"/>
      <queryTableField id="953" name="20876" tableColumnId="953"/>
      <queryTableField id="954" name="20877" tableColumnId="954"/>
      <queryTableField id="955" name="20878" tableColumnId="955"/>
      <queryTableField id="956" name="20879" tableColumnId="956"/>
      <queryTableField id="957" name="20880" tableColumnId="957"/>
      <queryTableField id="958" name="20882" tableColumnId="958"/>
      <queryTableField id="959" name="20886" tableColumnId="959"/>
      <queryTableField id="960" name="20889" tableColumnId="960"/>
      <queryTableField id="961" name="20892" tableColumnId="961"/>
      <queryTableField id="962" name="20894" tableColumnId="962"/>
      <queryTableField id="963" name="20895" tableColumnId="963"/>
      <queryTableField id="964" name="20896" tableColumnId="964"/>
      <queryTableField id="965" name="20899" tableColumnId="965"/>
      <queryTableField id="966" name="20901" tableColumnId="966"/>
      <queryTableField id="967" name="20902" tableColumnId="967"/>
      <queryTableField id="968" name="20903" tableColumnId="968"/>
      <queryTableField id="969" name="20904" tableColumnId="969"/>
      <queryTableField id="970" name="20905" tableColumnId="970"/>
      <queryTableField id="971" name="20906" tableColumnId="971"/>
      <queryTableField id="972" name="20910" tableColumnId="972"/>
      <queryTableField id="973" name="20912" tableColumnId="973"/>
      <queryTableField id="974" name="21001" tableColumnId="974"/>
      <queryTableField id="975" name="21005" tableColumnId="975"/>
      <queryTableField id="976" name="21009" tableColumnId="976"/>
      <queryTableField id="977" name="21010" tableColumnId="977"/>
      <queryTableField id="978" name="21012" tableColumnId="978"/>
      <queryTableField id="979" name="21013" tableColumnId="979"/>
      <queryTableField id="980" name="21014" tableColumnId="980"/>
      <queryTableField id="981" name="21015" tableColumnId="981"/>
      <queryTableField id="982" name="21017" tableColumnId="982"/>
      <queryTableField id="983" name="21023" tableColumnId="983"/>
      <queryTableField id="984" name="21028" tableColumnId="984"/>
      <queryTableField id="985" name="21029" tableColumnId="985"/>
      <queryTableField id="986" name="21030" tableColumnId="986"/>
      <queryTableField id="987" name="21031" tableColumnId="987"/>
      <queryTableField id="988" name="21032" tableColumnId="988"/>
      <queryTableField id="989" name="21034" tableColumnId="989"/>
      <queryTableField id="990" name="21035" tableColumnId="990"/>
      <queryTableField id="991" name="21036" tableColumnId="991"/>
      <queryTableField id="992" name="21037" tableColumnId="992"/>
      <queryTableField id="993" name="21040" tableColumnId="993"/>
      <queryTableField id="994" name="21042" tableColumnId="994"/>
      <queryTableField id="995" name="21043" tableColumnId="995"/>
      <queryTableField id="996" name="21044" tableColumnId="996"/>
      <queryTableField id="997" name="21045" tableColumnId="997"/>
      <queryTableField id="998" name="21046" tableColumnId="998"/>
      <queryTableField id="999" name="21047" tableColumnId="999"/>
      <queryTableField id="1000" name="21048" tableColumnId="1000"/>
      <queryTableField id="1001" name="21050" tableColumnId="1001"/>
      <queryTableField id="1002" name="21051" tableColumnId="1002"/>
      <queryTableField id="1003" name="21052" tableColumnId="1003"/>
      <queryTableField id="1004" name="21053" tableColumnId="1004"/>
      <queryTableField id="1005" name="21054" tableColumnId="1005"/>
      <queryTableField id="1006" name="21056" tableColumnId="1006"/>
      <queryTableField id="1007" name="21057" tableColumnId="1007"/>
      <queryTableField id="1008" name="21060" tableColumnId="1008"/>
      <queryTableField id="1009" name="21061" tableColumnId="1009"/>
      <queryTableField id="1010" name="21071" tableColumnId="1010"/>
      <queryTableField id="1011" name="21074" tableColumnId="1011"/>
      <queryTableField id="1012" name="21075" tableColumnId="1012"/>
      <queryTableField id="1013" name="21076" tableColumnId="1013"/>
      <queryTableField id="1014" name="21077" tableColumnId="1014"/>
      <queryTableField id="1015" name="21078" tableColumnId="1015"/>
      <queryTableField id="1016" name="21082" tableColumnId="1016"/>
      <queryTableField id="1017" name="21084" tableColumnId="1017"/>
      <queryTableField id="1018" name="21085" tableColumnId="1018"/>
      <queryTableField id="1019" name="21087" tableColumnId="1019"/>
      <queryTableField id="1020" name="21090" tableColumnId="1020"/>
      <queryTableField id="1021" name="21093" tableColumnId="1021"/>
      <queryTableField id="1022" name="21102" tableColumnId="1022"/>
      <queryTableField id="1023" name="21104" tableColumnId="1023"/>
      <queryTableField id="1024" name="21105" tableColumnId="1024"/>
      <queryTableField id="1025" name="21108" tableColumnId="1025"/>
      <queryTableField id="1026" name="21111" tableColumnId="1026"/>
      <queryTableField id="1027" name="21113" tableColumnId="1027"/>
      <queryTableField id="1028" name="21114" tableColumnId="1028"/>
      <queryTableField id="1029" name="21117" tableColumnId="1029"/>
      <queryTableField id="1030" name="21120" tableColumnId="1030"/>
      <queryTableField id="1031" name="21122" tableColumnId="1031"/>
      <queryTableField id="1032" name="21128" tableColumnId="1032"/>
      <queryTableField id="1033" name="21130" tableColumnId="1033"/>
      <queryTableField id="1034" name="21131" tableColumnId="1034"/>
      <queryTableField id="1035" name="21132" tableColumnId="1035"/>
      <queryTableField id="1036" name="21133" tableColumnId="1036"/>
      <queryTableField id="1037" name="21136" tableColumnId="1037"/>
      <queryTableField id="1038" name="21140" tableColumnId="1038"/>
      <queryTableField id="1039" name="21144" tableColumnId="1039"/>
      <queryTableField id="1040" name="21146" tableColumnId="1040"/>
      <queryTableField id="1041" name="21152" tableColumnId="1041"/>
      <queryTableField id="1042" name="21153" tableColumnId="1042"/>
      <queryTableField id="1043" name="21154" tableColumnId="1043"/>
      <queryTableField id="1044" name="21155" tableColumnId="1044"/>
      <queryTableField id="1045" name="21156" tableColumnId="1045"/>
      <queryTableField id="1046" name="21157" tableColumnId="1046"/>
      <queryTableField id="1047" name="21158" tableColumnId="1047"/>
      <queryTableField id="1048" name="21160" tableColumnId="1048"/>
      <queryTableField id="1049" name="21161" tableColumnId="1049"/>
      <queryTableField id="1050" name="21162" tableColumnId="1050"/>
      <queryTableField id="1051" name="21163" tableColumnId="1051"/>
      <queryTableField id="1052" name="21201" tableColumnId="1052"/>
      <queryTableField id="1053" name="21202" tableColumnId="1053"/>
      <queryTableField id="1054" name="21204" tableColumnId="1054"/>
      <queryTableField id="1055" name="21205" tableColumnId="1055"/>
      <queryTableField id="1056" name="21206" tableColumnId="1056"/>
      <queryTableField id="1057" name="21207" tableColumnId="1057"/>
      <queryTableField id="1058" name="21208" tableColumnId="1058"/>
      <queryTableField id="1059" name="21209" tableColumnId="1059"/>
      <queryTableField id="1060" name="21210" tableColumnId="1060"/>
      <queryTableField id="1061" name="21211" tableColumnId="1061"/>
      <queryTableField id="1062" name="21212" tableColumnId="1062"/>
      <queryTableField id="1063" name="21213" tableColumnId="1063"/>
      <queryTableField id="1064" name="21214" tableColumnId="1064"/>
      <queryTableField id="1065" name="21215" tableColumnId="1065"/>
      <queryTableField id="1066" name="21216" tableColumnId="1066"/>
      <queryTableField id="1067" name="21217" tableColumnId="1067"/>
      <queryTableField id="1068" name="21218" tableColumnId="1068"/>
      <queryTableField id="1069" name="21219" tableColumnId="1069"/>
      <queryTableField id="1070" name="21220" tableColumnId="1070"/>
      <queryTableField id="1071" name="21221" tableColumnId="1071"/>
      <queryTableField id="1072" name="21222" tableColumnId="1072"/>
      <queryTableField id="1073" name="21223" tableColumnId="1073"/>
      <queryTableField id="1074" name="21224" tableColumnId="1074"/>
      <queryTableField id="1075" name="21225" tableColumnId="1075"/>
      <queryTableField id="1076" name="21226" tableColumnId="1076"/>
      <queryTableField id="1077" name="21227" tableColumnId="1077"/>
      <queryTableField id="1078" name="21228" tableColumnId="1078"/>
      <queryTableField id="1079" name="21229" tableColumnId="1079"/>
      <queryTableField id="1080" name="21230" tableColumnId="1080"/>
      <queryTableField id="1081" name="21231" tableColumnId="1081"/>
      <queryTableField id="1082" name="21233" tableColumnId="1082"/>
      <queryTableField id="1083" name="21234" tableColumnId="1083"/>
      <queryTableField id="1084" name="21236" tableColumnId="1084"/>
      <queryTableField id="1085" name="21237" tableColumnId="1085"/>
      <queryTableField id="1086" name="21239" tableColumnId="1086"/>
      <queryTableField id="1087" name="21240" tableColumnId="1087"/>
      <queryTableField id="1088" name="21244" tableColumnId="1088"/>
      <queryTableField id="1089" name="21250" tableColumnId="1089"/>
      <queryTableField id="1090" name="21251" tableColumnId="1090"/>
      <queryTableField id="1091" name="21252" tableColumnId="1091"/>
      <queryTableField id="1092" name="21285" tableColumnId="1092"/>
      <queryTableField id="1093" name="21286" tableColumnId="1093"/>
      <queryTableField id="1094" name="21287" tableColumnId="1094"/>
      <queryTableField id="1095" name="21401" tableColumnId="1095"/>
      <queryTableField id="1096" name="21402" tableColumnId="1096"/>
      <queryTableField id="1097" name="21403" tableColumnId="1097"/>
      <queryTableField id="1098" name="21405" tableColumnId="1098"/>
      <queryTableField id="1099" name="21409" tableColumnId="1099"/>
      <queryTableField id="1100" name="21502" tableColumnId="1100"/>
      <queryTableField id="1101" name="21520" tableColumnId="1101"/>
      <queryTableField id="1102" name="21521" tableColumnId="1102"/>
      <queryTableField id="1103" name="21523" tableColumnId="1103"/>
      <queryTableField id="1104" name="21524" tableColumnId="1104"/>
      <queryTableField id="1105" name="21529" tableColumnId="1105"/>
      <queryTableField id="1106" name="21530" tableColumnId="1106"/>
      <queryTableField id="1107" name="21531" tableColumnId="1107"/>
      <queryTableField id="1108" name="21532" tableColumnId="1108"/>
      <queryTableField id="1109" name="21536" tableColumnId="1109"/>
      <queryTableField id="1110" name="21538" tableColumnId="1110"/>
      <queryTableField id="1111" name="21539" tableColumnId="1111"/>
      <queryTableField id="1112" name="21540" tableColumnId="1112"/>
      <queryTableField id="1113" name="21541" tableColumnId="1113"/>
      <queryTableField id="1114" name="21542" tableColumnId="1114"/>
      <queryTableField id="1115" name="21543" tableColumnId="1115"/>
      <queryTableField id="1116" name="21545" tableColumnId="1116"/>
      <queryTableField id="1117" name="21550" tableColumnId="1117"/>
      <queryTableField id="1118" name="21555" tableColumnId="1118"/>
      <queryTableField id="1119" name="21557" tableColumnId="1119"/>
      <queryTableField id="1120" name="21560" tableColumnId="1120"/>
      <queryTableField id="1121" name="21561" tableColumnId="1121"/>
      <queryTableField id="1122" name="21562" tableColumnId="1122"/>
      <queryTableField id="1123" name="21601" tableColumnId="1123"/>
      <queryTableField id="1124" name="21607" tableColumnId="1124"/>
      <queryTableField id="1125" name="21610" tableColumnId="1125"/>
      <queryTableField id="1126" name="21612" tableColumnId="1126"/>
      <queryTableField id="1127" name="21613" tableColumnId="1127"/>
      <queryTableField id="1128" name="21617" tableColumnId="1128"/>
      <queryTableField id="1129" name="21619" tableColumnId="1129"/>
      <queryTableField id="1130" name="21620" tableColumnId="1130"/>
      <queryTableField id="1131" name="21622" tableColumnId="1131"/>
      <queryTableField id="1132" name="21623" tableColumnId="1132"/>
      <queryTableField id="1133" name="21624" tableColumnId="1133"/>
      <queryTableField id="1134" name="21625" tableColumnId="1134"/>
      <queryTableField id="1135" name="21626" tableColumnId="1135"/>
      <queryTableField id="1136" name="21627" tableColumnId="1136"/>
      <queryTableField id="1137" name="21628" tableColumnId="1137"/>
      <queryTableField id="1138" name="21629" tableColumnId="1138"/>
      <queryTableField id="1139" name="21631" tableColumnId="1139"/>
      <queryTableField id="1140" name="21632" tableColumnId="1140"/>
      <queryTableField id="1141" name="21634" tableColumnId="1141"/>
      <queryTableField id="1142" name="21635" tableColumnId="1142"/>
      <queryTableField id="1143" name="21636" tableColumnId="1143"/>
      <queryTableField id="1144" name="21638" tableColumnId="1144"/>
      <queryTableField id="1145" name="21639" tableColumnId="1145"/>
      <queryTableField id="1146" name="21640" tableColumnId="1146"/>
      <queryTableField id="1147" name="21641" tableColumnId="1147"/>
      <queryTableField id="1148" name="21643" tableColumnId="1148"/>
      <queryTableField id="1149" name="21644" tableColumnId="1149"/>
      <queryTableField id="1150" name="21645" tableColumnId="1150"/>
      <queryTableField id="1151" name="21647" tableColumnId="1151"/>
      <queryTableField id="1152" name="21648" tableColumnId="1152"/>
      <queryTableField id="1153" name="21649" tableColumnId="1153"/>
      <queryTableField id="1154" name="21650" tableColumnId="1154"/>
      <queryTableField id="1155" name="21651" tableColumnId="1155"/>
      <queryTableField id="1156" name="21652" tableColumnId="1156"/>
      <queryTableField id="1157" name="21653" tableColumnId="1157"/>
      <queryTableField id="1158" name="21654" tableColumnId="1158"/>
      <queryTableField id="1159" name="21655" tableColumnId="1159"/>
      <queryTableField id="1160" name="21657" tableColumnId="1160"/>
      <queryTableField id="1161" name="21658" tableColumnId="1161"/>
      <queryTableField id="1162" name="21659" tableColumnId="1162"/>
      <queryTableField id="1163" name="21660" tableColumnId="1163"/>
      <queryTableField id="1164" name="21661" tableColumnId="1164"/>
      <queryTableField id="1165" name="21662" tableColumnId="1165"/>
      <queryTableField id="1166" name="21663" tableColumnId="1166"/>
      <queryTableField id="1167" name="21664" tableColumnId="1167"/>
      <queryTableField id="1168" name="21665" tableColumnId="1168"/>
      <queryTableField id="1169" name="21666" tableColumnId="1169"/>
      <queryTableField id="1170" name="21667" tableColumnId="1170"/>
      <queryTableField id="1171" name="21668" tableColumnId="1171"/>
      <queryTableField id="1172" name="21669" tableColumnId="1172"/>
      <queryTableField id="1173" name="21671" tableColumnId="1173"/>
      <queryTableField id="1174" name="21672" tableColumnId="1174"/>
      <queryTableField id="1175" name="21673" tableColumnId="1175"/>
      <queryTableField id="1176" name="21675" tableColumnId="1176"/>
      <queryTableField id="1177" name="21676" tableColumnId="1177"/>
      <queryTableField id="1178" name="21677" tableColumnId="1178"/>
      <queryTableField id="1179" name="21678" tableColumnId="1179"/>
      <queryTableField id="1180" name="21679" tableColumnId="1180"/>
      <queryTableField id="1181" name="21701" tableColumnId="1181"/>
      <queryTableField id="1182" name="21702" tableColumnId="1182"/>
      <queryTableField id="1183" name="21703" tableColumnId="1183"/>
      <queryTableField id="1184" name="21704" tableColumnId="1184"/>
      <queryTableField id="1185" name="21705" tableColumnId="1185"/>
      <queryTableField id="1186" name="21710" tableColumnId="1186"/>
      <queryTableField id="1187" name="21711" tableColumnId="1187"/>
      <queryTableField id="1188" name="21713" tableColumnId="1188"/>
      <queryTableField id="1189" name="21714" tableColumnId="1189"/>
      <queryTableField id="1190" name="21715" tableColumnId="1190"/>
      <queryTableField id="1191" name="21716" tableColumnId="1191"/>
      <queryTableField id="1192" name="21717" tableColumnId="1192"/>
      <queryTableField id="1193" name="21718" tableColumnId="1193"/>
      <queryTableField id="1194" name="21719" tableColumnId="1194"/>
      <queryTableField id="1195" name="21722" tableColumnId="1195"/>
      <queryTableField id="1196" name="21723" tableColumnId="1196"/>
      <queryTableField id="1197" name="21727" tableColumnId="1197"/>
      <queryTableField id="1198" name="21733" tableColumnId="1198"/>
      <queryTableField id="1199" name="21734" tableColumnId="1199"/>
      <queryTableField id="1200" name="21737" tableColumnId="1200"/>
      <queryTableField id="1201" name="21738" tableColumnId="1201"/>
      <queryTableField id="1202" name="21740" tableColumnId="1202"/>
      <queryTableField id="1203" name="21742" tableColumnId="1203"/>
      <queryTableField id="1204" name="21746" tableColumnId="1204"/>
      <queryTableField id="1205" name="21750" tableColumnId="1205"/>
      <queryTableField id="1206" name="21754" tableColumnId="1206"/>
      <queryTableField id="1207" name="21755" tableColumnId="1207"/>
      <queryTableField id="1208" name="21756" tableColumnId="1208"/>
      <queryTableField id="1209" name="21757" tableColumnId="1209"/>
      <queryTableField id="1210" name="21758" tableColumnId="1210"/>
      <queryTableField id="1211" name="21762" tableColumnId="1211"/>
      <queryTableField id="1212" name="21766" tableColumnId="1212"/>
      <queryTableField id="1213" name="21767" tableColumnId="1213"/>
      <queryTableField id="1214" name="21769" tableColumnId="1214"/>
      <queryTableField id="1215" name="21770" tableColumnId="1215"/>
      <queryTableField id="1216" name="21771" tableColumnId="1216"/>
      <queryTableField id="1217" name="21773" tableColumnId="1217"/>
      <queryTableField id="1218" name="21774" tableColumnId="1218"/>
      <queryTableField id="1219" name="21776" tableColumnId="1219"/>
      <queryTableField id="1220" name="21777" tableColumnId="1220"/>
      <queryTableField id="1221" name="21778" tableColumnId="1221"/>
      <queryTableField id="1222" name="21779" tableColumnId="1222"/>
      <queryTableField id="1223" name="21780" tableColumnId="1223"/>
      <queryTableField id="1224" name="21781" tableColumnId="1224"/>
      <queryTableField id="1225" name="21782" tableColumnId="1225"/>
      <queryTableField id="1226" name="21783" tableColumnId="1226"/>
      <queryTableField id="1227" name="21784" tableColumnId="1227"/>
      <queryTableField id="1228" name="21787" tableColumnId="1228"/>
      <queryTableField id="1229" name="21788" tableColumnId="1229"/>
      <queryTableField id="1230" name="21790" tableColumnId="1230"/>
      <queryTableField id="1231" name="21791" tableColumnId="1231"/>
      <queryTableField id="1232" name="21793" tableColumnId="1232"/>
      <queryTableField id="1233" name="21794" tableColumnId="1233"/>
      <queryTableField id="1234" name="21795" tableColumnId="1234"/>
      <queryTableField id="1235" name="21797" tableColumnId="1235"/>
      <queryTableField id="1236" name="21798" tableColumnId="1236"/>
      <queryTableField id="1237" name="21801" tableColumnId="1237"/>
      <queryTableField id="1238" name="21804" tableColumnId="1238"/>
      <queryTableField id="1239" name="21810" tableColumnId="1239"/>
      <queryTableField id="1240" name="21811" tableColumnId="1240"/>
      <queryTableField id="1241" name="21813" tableColumnId="1241"/>
      <queryTableField id="1242" name="21814" tableColumnId="1242"/>
      <queryTableField id="1243" name="21817" tableColumnId="1243"/>
      <queryTableField id="1244" name="21821" tableColumnId="1244"/>
      <queryTableField id="1245" name="21822" tableColumnId="1245"/>
      <queryTableField id="1246" name="21824" tableColumnId="1246"/>
      <queryTableField id="1247" name="21826" tableColumnId="1247"/>
      <queryTableField id="1248" name="21829" tableColumnId="1248"/>
      <queryTableField id="1249" name="21830" tableColumnId="1249"/>
      <queryTableField id="1250" name="21835" tableColumnId="1250"/>
      <queryTableField id="1251" name="21837" tableColumnId="1251"/>
      <queryTableField id="1252" name="21838" tableColumnId="1252"/>
      <queryTableField id="1253" name="21840" tableColumnId="1253"/>
      <queryTableField id="1254" name="21841" tableColumnId="1254"/>
      <queryTableField id="1255" name="21842" tableColumnId="1255"/>
      <queryTableField id="1256" name="21849" tableColumnId="1256"/>
      <queryTableField id="1257" name="21850" tableColumnId="1257"/>
      <queryTableField id="1258" name="21851" tableColumnId="1258"/>
      <queryTableField id="1259" name="21853" tableColumnId="1259"/>
      <queryTableField id="1260" name="21856" tableColumnId="1260"/>
      <queryTableField id="1261" name="21861" tableColumnId="1261"/>
      <queryTableField id="1262" name="21862" tableColumnId="1262"/>
      <queryTableField id="1263" name="21863" tableColumnId="1263"/>
      <queryTableField id="1264" name="21864" tableColumnId="1264"/>
      <queryTableField id="1265" name="21865" tableColumnId="1265"/>
      <queryTableField id="1266" name="21866" tableColumnId="1266"/>
      <queryTableField id="1267" name="21867" tableColumnId="1267"/>
      <queryTableField id="1268" name="21869" tableColumnId="1268"/>
      <queryTableField id="1269" name="21871" tableColumnId="1269"/>
      <queryTableField id="1270" name="21872" tableColumnId="1270"/>
      <queryTableField id="1271" name="21874" tableColumnId="1271"/>
      <queryTableField id="1272" name="21875" tableColumnId="1272"/>
      <queryTableField id="1273" name="21890" tableColumnId="1273"/>
      <queryTableField id="1274" name="21901" tableColumnId="1274"/>
      <queryTableField id="1275" name="21902" tableColumnId="1275"/>
      <queryTableField id="1276" name="21903" tableColumnId="1276"/>
      <queryTableField id="1277" name="21904" tableColumnId="1277"/>
      <queryTableField id="1278" name="21911" tableColumnId="1278"/>
      <queryTableField id="1279" name="21912" tableColumnId="1279"/>
      <queryTableField id="1280" name="21913" tableColumnId="1280"/>
      <queryTableField id="1281" name="21914" tableColumnId="1281"/>
      <queryTableField id="1282" name="21915" tableColumnId="1282"/>
      <queryTableField id="1283" name="21917" tableColumnId="1283"/>
      <queryTableField id="1284" name="21918" tableColumnId="1284"/>
      <queryTableField id="1285" name="21919" tableColumnId="1285"/>
      <queryTableField id="1286" name="21920" tableColumnId="1286"/>
      <queryTableField id="1287" name="21921" tableColumnId="1287"/>
      <queryTableField id="1288" name="21930" tableColumnId="1288"/>
      <queryTableField id="1289" name="27006" tableColumnId="1289"/>
      <queryTableField id="1290" name="27007" tableColumnId="1290"/>
      <queryTableField id="1291" name="27009" tableColumnId="1291"/>
      <queryTableField id="1292" name="27011" tableColumnId="1292"/>
      <queryTableField id="1293" name="27012" tableColumnId="1293"/>
      <queryTableField id="1294" name="27013" tableColumnId="1294"/>
      <queryTableField id="1295" name="27014" tableColumnId="1295"/>
      <queryTableField id="1296" name="27016" tableColumnId="1296"/>
      <queryTableField id="1297" name="27017" tableColumnId="1297"/>
      <queryTableField id="1298" name="27018" tableColumnId="1298"/>
      <queryTableField id="1299" name="27019" tableColumnId="1299"/>
      <queryTableField id="1300" name="27020" tableColumnId="1300"/>
      <queryTableField id="1301" name="27021" tableColumnId="1301"/>
      <queryTableField id="1302" name="27022" tableColumnId="1302"/>
      <queryTableField id="1303" name="27023" tableColumnId="1303"/>
      <queryTableField id="1304" name="27024" tableColumnId="1304"/>
      <queryTableField id="1305" name="27025" tableColumnId="1305"/>
      <queryTableField id="1306" name="27027" tableColumnId="1306"/>
      <queryTableField id="1307" name="27028" tableColumnId="1307"/>
      <queryTableField id="1308" name="27030" tableColumnId="1308"/>
      <queryTableField id="1309" name="27040" tableColumnId="1309"/>
      <queryTableField id="1310" name="27041" tableColumnId="1310"/>
      <queryTableField id="1311" name="27042" tableColumnId="1311"/>
      <queryTableField id="1312" name="27043" tableColumnId="1312"/>
      <queryTableField id="1313" name="27045" tableColumnId="1313"/>
      <queryTableField id="1314" name="27046" tableColumnId="1314"/>
      <queryTableField id="1315" name="27047" tableColumnId="1315"/>
      <queryTableField id="1316" name="27048" tableColumnId="1316"/>
      <queryTableField id="1317" name="27050" tableColumnId="1317"/>
      <queryTableField id="1318" name="27051" tableColumnId="1318"/>
      <queryTableField id="1319" name="27052" tableColumnId="1319"/>
      <queryTableField id="1320" name="27053" tableColumnId="1320"/>
      <queryTableField id="1321" name="27054" tableColumnId="1321"/>
      <queryTableField id="1322" name="27055" tableColumnId="1322"/>
      <queryTableField id="1323" name="27101" tableColumnId="1323"/>
      <queryTableField id="1324" name="27103" tableColumnId="1324"/>
      <queryTableField id="1325" name="27104" tableColumnId="1325"/>
      <queryTableField id="1326" name="27105" tableColumnId="1326"/>
      <queryTableField id="1327" name="27106" tableColumnId="1327"/>
      <queryTableField id="1328" name="27107" tableColumnId="1328"/>
      <queryTableField id="1329" name="27109" tableColumnId="1329"/>
      <queryTableField id="1330" name="27110" tableColumnId="1330"/>
      <queryTableField id="1331" name="27127" tableColumnId="1331"/>
      <queryTableField id="1332" name="27201" tableColumnId="1332"/>
      <queryTableField id="1333" name="27202" tableColumnId="1333"/>
      <queryTableField id="1334" name="27203" tableColumnId="1334"/>
      <queryTableField id="1335" name="27205" tableColumnId="1335"/>
      <queryTableField id="1336" name="27207" tableColumnId="1336"/>
      <queryTableField id="1337" name="27208" tableColumnId="1337"/>
      <queryTableField id="1338" name="27209" tableColumnId="1338"/>
      <queryTableField id="1339" name="27212" tableColumnId="1339"/>
      <queryTableField id="1340" name="27213" tableColumnId="1340"/>
      <queryTableField id="1341" name="27214" tableColumnId="1341"/>
      <queryTableField id="1342" name="27215" tableColumnId="1342"/>
      <queryTableField id="1343" name="27217" tableColumnId="1343"/>
      <queryTableField id="1344" name="27229" tableColumnId="1344"/>
      <queryTableField id="1345" name="27231" tableColumnId="1345"/>
      <queryTableField id="1346" name="27233" tableColumnId="1346"/>
      <queryTableField id="1347" name="27235" tableColumnId="1347"/>
      <queryTableField id="1348" name="27239" tableColumnId="1348"/>
      <queryTableField id="1349" name="27242" tableColumnId="1349"/>
      <queryTableField id="1350" name="27243" tableColumnId="1350"/>
      <queryTableField id="1351" name="27244" tableColumnId="1351"/>
      <queryTableField id="1352" name="27247" tableColumnId="1352"/>
      <queryTableField id="1353" name="27248" tableColumnId="1353"/>
      <queryTableField id="1354" name="27249" tableColumnId="1354"/>
      <queryTableField id="1355" name="27252" tableColumnId="1355"/>
      <queryTableField id="1356" name="27253" tableColumnId="1356"/>
      <queryTableField id="1357" name="27256" tableColumnId="1357"/>
      <queryTableField id="1358" name="27258" tableColumnId="1358"/>
      <queryTableField id="1359" name="27259" tableColumnId="1359"/>
      <queryTableField id="1360" name="27260" tableColumnId="1360"/>
      <queryTableField id="1361" name="27262" tableColumnId="1361"/>
      <queryTableField id="1362" name="27263" tableColumnId="1362"/>
      <queryTableField id="1363" name="27265" tableColumnId="1363"/>
      <queryTableField id="1364" name="27268" tableColumnId="1364"/>
      <queryTableField id="1365" name="27278" tableColumnId="1365"/>
      <queryTableField id="1366" name="27281" tableColumnId="1366"/>
      <queryTableField id="1367" name="27282" tableColumnId="1367"/>
      <queryTableField id="1368" name="27283" tableColumnId="1368"/>
      <queryTableField id="1369" name="27284" tableColumnId="1369"/>
      <queryTableField id="1370" name="27288" tableColumnId="1370"/>
      <queryTableField id="1371" name="27291" tableColumnId="1371"/>
      <queryTableField id="1372" name="27292" tableColumnId="1372"/>
      <queryTableField id="1373" name="27295" tableColumnId="1373"/>
      <queryTableField id="1374" name="27298" tableColumnId="1374"/>
      <queryTableField id="1375" name="27299" tableColumnId="1375"/>
      <queryTableField id="1376" name="27301" tableColumnId="1376"/>
      <queryTableField id="1377" name="27302" tableColumnId="1377"/>
      <queryTableField id="1378" name="27305" tableColumnId="1378"/>
      <queryTableField id="1379" name="27306" tableColumnId="1379"/>
      <queryTableField id="1380" name="27310" tableColumnId="1380"/>
      <queryTableField id="1381" name="27311" tableColumnId="1381"/>
      <queryTableField id="1382" name="27312" tableColumnId="1382"/>
      <queryTableField id="1383" name="27313" tableColumnId="1383"/>
      <queryTableField id="1384" name="27314" tableColumnId="1384"/>
      <queryTableField id="1385" name="27315" tableColumnId="1385"/>
      <queryTableField id="1386" name="27316" tableColumnId="1386"/>
      <queryTableField id="1387" name="27317" tableColumnId="1387"/>
      <queryTableField id="1388" name="27320" tableColumnId="1388"/>
      <queryTableField id="1389" name="27325" tableColumnId="1389"/>
      <queryTableField id="1390" name="27326" tableColumnId="1390"/>
      <queryTableField id="1391" name="27330" tableColumnId="1391"/>
      <queryTableField id="1392" name="27332" tableColumnId="1392"/>
      <queryTableField id="1393" name="27340" tableColumnId="1393"/>
      <queryTableField id="1394" name="27341" tableColumnId="1394"/>
      <queryTableField id="1395" name="27342" tableColumnId="1395"/>
      <queryTableField id="1396" name="27343" tableColumnId="1396"/>
      <queryTableField id="1397" name="27344" tableColumnId="1397"/>
      <queryTableField id="1398" name="27349" tableColumnId="1398"/>
      <queryTableField id="1399" name="27350" tableColumnId="1399"/>
      <queryTableField id="1400" name="27351" tableColumnId="1400"/>
      <queryTableField id="1401" name="27355" tableColumnId="1401"/>
      <queryTableField id="1402" name="27356" tableColumnId="1402"/>
      <queryTableField id="1403" name="27357" tableColumnId="1403"/>
      <queryTableField id="1404" name="27358" tableColumnId="1404"/>
      <queryTableField id="1405" name="27360" tableColumnId="1405"/>
      <queryTableField id="1406" name="27370" tableColumnId="1406"/>
      <queryTableField id="1407" name="27371" tableColumnId="1407"/>
      <queryTableField id="1408" name="27374" tableColumnId="1408"/>
      <queryTableField id="1409" name="27376" tableColumnId="1409"/>
      <queryTableField id="1410" name="27377" tableColumnId="1410"/>
      <queryTableField id="1411" name="27379" tableColumnId="1411"/>
      <queryTableField id="1412" name="27401" tableColumnId="1412"/>
      <queryTableField id="1413" name="27403" tableColumnId="1413"/>
      <queryTableField id="1414" name="27405" tableColumnId="1414"/>
      <queryTableField id="1415" name="27406" tableColumnId="1415"/>
      <queryTableField id="1416" name="27407" tableColumnId="1416"/>
      <queryTableField id="1417" name="27408" tableColumnId="1417"/>
      <queryTableField id="1418" name="27409" tableColumnId="1418"/>
      <queryTableField id="1419" name="27410" tableColumnId="1419"/>
      <queryTableField id="1420" name="27411" tableColumnId="1420"/>
      <queryTableField id="1421" name="27412" tableColumnId="1421"/>
      <queryTableField id="1422" name="27455" tableColumnId="1422"/>
      <queryTableField id="1423" name="27501" tableColumnId="1423"/>
      <queryTableField id="1424" name="27502" tableColumnId="1424"/>
      <queryTableField id="1425" name="27503" tableColumnId="1425"/>
      <queryTableField id="1426" name="27504" tableColumnId="1426"/>
      <queryTableField id="1427" name="27505" tableColumnId="1427"/>
      <queryTableField id="1428" name="27506" tableColumnId="1428"/>
      <queryTableField id="1429" name="27507" tableColumnId="1429"/>
      <queryTableField id="1430" name="27508" tableColumnId="1430"/>
      <queryTableField id="1431" name="27509" tableColumnId="1431"/>
      <queryTableField id="1432" name="27510" tableColumnId="1432"/>
      <queryTableField id="1433" name="27511" tableColumnId="1433"/>
      <queryTableField id="1434" name="27513" tableColumnId="1434"/>
      <queryTableField id="1435" name="27514" tableColumnId="1435"/>
      <queryTableField id="1436" name="27516" tableColumnId="1436"/>
      <queryTableField id="1437" name="27517" tableColumnId="1437"/>
      <queryTableField id="1438" name="27518" tableColumnId="1438"/>
      <queryTableField id="1439" name="27519" tableColumnId="1439"/>
      <queryTableField id="1440" name="27520" tableColumnId="1440"/>
      <queryTableField id="1441" name="27521" tableColumnId="1441"/>
      <queryTableField id="1442" name="27522" tableColumnId="1442"/>
      <queryTableField id="1443" name="27523" tableColumnId="1443"/>
      <queryTableField id="1444" name="27524" tableColumnId="1444"/>
      <queryTableField id="1445" name="27525" tableColumnId="1445"/>
      <queryTableField id="1446" name="27526" tableColumnId="1446"/>
      <queryTableField id="1447" name="27527" tableColumnId="1447"/>
      <queryTableField id="1448" name="27529" tableColumnId="1448"/>
      <queryTableField id="1449" name="27530" tableColumnId="1449"/>
      <queryTableField id="1450" name="27531" tableColumnId="1450"/>
      <queryTableField id="1451" name="27533" tableColumnId="1451"/>
      <queryTableField id="1452" name="27534" tableColumnId="1452"/>
      <queryTableField id="1453" name="27536" tableColumnId="1453"/>
      <queryTableField id="1454" name="27537" tableColumnId="1454"/>
      <queryTableField id="1455" name="27539" tableColumnId="1455"/>
      <queryTableField id="1456" name="27540" tableColumnId="1456"/>
      <queryTableField id="1457" name="27541" tableColumnId="1457"/>
      <queryTableField id="1458" name="27542" tableColumnId="1458"/>
      <queryTableField id="1459" name="27544" tableColumnId="1459"/>
      <queryTableField id="1460" name="27545" tableColumnId="1460"/>
      <queryTableField id="1461" name="27546" tableColumnId="1461"/>
      <queryTableField id="1462" name="27549" tableColumnId="1462"/>
      <queryTableField id="1463" name="27551" tableColumnId="1463"/>
      <queryTableField id="1464" name="27553" tableColumnId="1464"/>
      <queryTableField id="1465" name="27555" tableColumnId="1465"/>
      <queryTableField id="1466" name="27556" tableColumnId="1466"/>
      <queryTableField id="1467" name="27557" tableColumnId="1467"/>
      <queryTableField id="1468" name="27559" tableColumnId="1468"/>
      <queryTableField id="1469" name="27560" tableColumnId="1469"/>
      <queryTableField id="1470" name="27562" tableColumnId="1470"/>
      <queryTableField id="1471" name="27563" tableColumnId="1471"/>
      <queryTableField id="1472" name="27565" tableColumnId="1472"/>
      <queryTableField id="1473" name="27568" tableColumnId="1473"/>
      <queryTableField id="1474" name="27569" tableColumnId="1474"/>
      <queryTableField id="1475" name="27570" tableColumnId="1475"/>
      <queryTableField id="1476" name="27571" tableColumnId="1476"/>
      <queryTableField id="1477" name="27572" tableColumnId="1477"/>
      <queryTableField id="1478" name="27573" tableColumnId="1478"/>
      <queryTableField id="1479" name="27574" tableColumnId="1479"/>
      <queryTableField id="1480" name="27576" tableColumnId="1480"/>
      <queryTableField id="1481" name="27577" tableColumnId="1481"/>
      <queryTableField id="1482" name="27581" tableColumnId="1482"/>
      <queryTableField id="1483" name="27582" tableColumnId="1483"/>
      <queryTableField id="1484" name="27583" tableColumnId="1484"/>
      <queryTableField id="1485" name="27584" tableColumnId="1485"/>
      <queryTableField id="1486" name="27587" tableColumnId="1486"/>
      <queryTableField id="1487" name="27589" tableColumnId="1487"/>
      <queryTableField id="1488" name="27591" tableColumnId="1488"/>
      <queryTableField id="1489" name="27592" tableColumnId="1489"/>
      <queryTableField id="1490" name="27593" tableColumnId="1490"/>
      <queryTableField id="1491" name="27594" tableColumnId="1491"/>
      <queryTableField id="1492" name="27596" tableColumnId="1492"/>
      <queryTableField id="1493" name="27597" tableColumnId="1493"/>
      <queryTableField id="1494" name="27599" tableColumnId="1494"/>
      <queryTableField id="1495" name="27601" tableColumnId="1495"/>
      <queryTableField id="1496" name="27603" tableColumnId="1496"/>
      <queryTableField id="1497" name="27604" tableColumnId="1497"/>
      <queryTableField id="1498" name="27605" tableColumnId="1498"/>
      <queryTableField id="1499" name="27606" tableColumnId="1499"/>
      <queryTableField id="1500" name="27607" tableColumnId="1500"/>
      <queryTableField id="1501" name="27608" tableColumnId="1501"/>
      <queryTableField id="1502" name="27609" tableColumnId="1502"/>
      <queryTableField id="1503" name="27610" tableColumnId="1503"/>
      <queryTableField id="1504" name="27612" tableColumnId="1504"/>
      <queryTableField id="1505" name="27613" tableColumnId="1505"/>
      <queryTableField id="1506" name="27614" tableColumnId="1506"/>
      <queryTableField id="1507" name="27615" tableColumnId="1507"/>
      <queryTableField id="1508" name="27616" tableColumnId="1508"/>
      <queryTableField id="1509" name="27617" tableColumnId="1509"/>
      <queryTableField id="1510" name="27695" tableColumnId="1510"/>
      <queryTableField id="1511" name="27697" tableColumnId="1511"/>
      <queryTableField id="1512" name="27701" tableColumnId="1512"/>
      <queryTableField id="1513" name="27703" tableColumnId="1513"/>
      <queryTableField id="1514" name="27704" tableColumnId="1514"/>
      <queryTableField id="1515" name="27705" tableColumnId="1515"/>
      <queryTableField id="1516" name="27707" tableColumnId="1516"/>
      <queryTableField id="1517" name="27708" tableColumnId="1517"/>
      <queryTableField id="1518" name="27709" tableColumnId="1518"/>
      <queryTableField id="1519" name="27712" tableColumnId="1519"/>
      <queryTableField id="1520" name="27713" tableColumnId="1520"/>
      <queryTableField id="1521" name="27801" tableColumnId="1521"/>
      <queryTableField id="1522" name="27803" tableColumnId="1522"/>
      <queryTableField id="1523" name="27804" tableColumnId="1523"/>
      <queryTableField id="1524" name="27805" tableColumnId="1524"/>
      <queryTableField id="1525" name="27806" tableColumnId="1525"/>
      <queryTableField id="1526" name="27807" tableColumnId="1526"/>
      <queryTableField id="1527" name="27808" tableColumnId="1527"/>
      <queryTableField id="1528" name="27809" tableColumnId="1528"/>
      <queryTableField id="1529" name="27810" tableColumnId="1529"/>
      <queryTableField id="1530" name="27812" tableColumnId="1530"/>
      <queryTableField id="1531" name="27813" tableColumnId="1531"/>
      <queryTableField id="1532" name="27814" tableColumnId="1532"/>
      <queryTableField id="1533" name="27815" tableColumnId="1533"/>
      <queryTableField id="1534" name="27816" tableColumnId="1534"/>
      <queryTableField id="1535" name="27817" tableColumnId="1535"/>
      <queryTableField id="1536" name="27818" tableColumnId="1536"/>
      <queryTableField id="1537" name="27819" tableColumnId="1537"/>
      <queryTableField id="1538" name="27820" tableColumnId="1538"/>
      <queryTableField id="1539" name="27821" tableColumnId="1539"/>
      <queryTableField id="1540" name="27822" tableColumnId="1540"/>
      <queryTableField id="1541" name="27823" tableColumnId="1541"/>
      <queryTableField id="1542" name="27824" tableColumnId="1542"/>
      <queryTableField id="1543" name="27825" tableColumnId="1543"/>
      <queryTableField id="1544" name="27826" tableColumnId="1544"/>
      <queryTableField id="1545" name="27827" tableColumnId="1545"/>
      <queryTableField id="1546" name="27828" tableColumnId="1546"/>
      <queryTableField id="1547" name="27829" tableColumnId="1547"/>
      <queryTableField id="1548" name="27830" tableColumnId="1548"/>
      <queryTableField id="1549" name="27831" tableColumnId="1549"/>
      <queryTableField id="1550" name="27832" tableColumnId="1550"/>
      <queryTableField id="1551" name="27834" tableColumnId="1551"/>
      <queryTableField id="1552" name="27837" tableColumnId="1552"/>
      <queryTableField id="1553" name="27839" tableColumnId="1553"/>
      <queryTableField id="1554" name="27840" tableColumnId="1554"/>
      <queryTableField id="1555" name="27841" tableColumnId="1555"/>
      <queryTableField id="1556" name="27842" tableColumnId="1556"/>
      <queryTableField id="1557" name="27843" tableColumnId="1557"/>
      <queryTableField id="1558" name="27844" tableColumnId="1558"/>
      <queryTableField id="1559" name="27845" tableColumnId="1559"/>
      <queryTableField id="1560" name="27846" tableColumnId="1560"/>
      <queryTableField id="1561" name="27847" tableColumnId="1561"/>
      <queryTableField id="1562" name="27849" tableColumnId="1562"/>
      <queryTableField id="1563" name="27850" tableColumnId="1563"/>
      <queryTableField id="1564" name="27851" tableColumnId="1564"/>
      <queryTableField id="1565" name="27852" tableColumnId="1565"/>
      <queryTableField id="1566" name="27853" tableColumnId="1566"/>
      <queryTableField id="1567" name="27855" tableColumnId="1567"/>
      <queryTableField id="1568" name="27856" tableColumnId="1568"/>
      <queryTableField id="1569" name="27857" tableColumnId="1569"/>
      <queryTableField id="1570" name="27858" tableColumnId="1570"/>
      <queryTableField id="1571" name="27860" tableColumnId="1571"/>
      <queryTableField id="1572" name="27861" tableColumnId="1572"/>
      <queryTableField id="1573" name="27862" tableColumnId="1573"/>
      <queryTableField id="1574" name="27863" tableColumnId="1574"/>
      <queryTableField id="1575" name="27864" tableColumnId="1575"/>
      <queryTableField id="1576" name="27865" tableColumnId="1576"/>
      <queryTableField id="1577" name="27866" tableColumnId="1577"/>
      <queryTableField id="1578" name="27869" tableColumnId="1578"/>
      <queryTableField id="1579" name="27870" tableColumnId="1579"/>
      <queryTableField id="1580" name="27871" tableColumnId="1580"/>
      <queryTableField id="1581" name="27872" tableColumnId="1581"/>
      <queryTableField id="1582" name="27873" tableColumnId="1582"/>
      <queryTableField id="1583" name="27874" tableColumnId="1583"/>
      <queryTableField id="1584" name="27875" tableColumnId="1584"/>
      <queryTableField id="1585" name="27876" tableColumnId="1585"/>
      <queryTableField id="1586" name="27877" tableColumnId="1586"/>
      <queryTableField id="1587" name="27878" tableColumnId="1587"/>
      <queryTableField id="1588" name="27879" tableColumnId="1588"/>
      <queryTableField id="1589" name="27880" tableColumnId="1589"/>
      <queryTableField id="1590" name="27881" tableColumnId="1590"/>
      <queryTableField id="1591" name="27882" tableColumnId="1591"/>
      <queryTableField id="1592" name="27883" tableColumnId="1592"/>
      <queryTableField id="1593" name="27884" tableColumnId="1593"/>
      <queryTableField id="1594" name="27885" tableColumnId="1594"/>
      <queryTableField id="1595" name="27886" tableColumnId="1595"/>
      <queryTableField id="1596" name="27888" tableColumnId="1596"/>
      <queryTableField id="1597" name="27889" tableColumnId="1597"/>
      <queryTableField id="1598" name="27890" tableColumnId="1598"/>
      <queryTableField id="1599" name="27891" tableColumnId="1599"/>
      <queryTableField id="1600" name="27892" tableColumnId="1600"/>
      <queryTableField id="1601" name="27893" tableColumnId="1601"/>
      <queryTableField id="1602" name="27896" tableColumnId="1602"/>
      <queryTableField id="1603" name="27897" tableColumnId="1603"/>
      <queryTableField id="1604" name="27909" tableColumnId="1604"/>
      <queryTableField id="1605" name="27910" tableColumnId="1605"/>
      <queryTableField id="1606" name="27915" tableColumnId="1606"/>
      <queryTableField id="1607" name="27916" tableColumnId="1607"/>
      <queryTableField id="1608" name="27917" tableColumnId="1608"/>
      <queryTableField id="1609" name="27919" tableColumnId="1609"/>
      <queryTableField id="1610" name="27920" tableColumnId="1610"/>
      <queryTableField id="1611" name="27921" tableColumnId="1611"/>
      <queryTableField id="1612" name="27922" tableColumnId="1612"/>
      <queryTableField id="1613" name="27923" tableColumnId="1613"/>
      <queryTableField id="1614" name="27924" tableColumnId="1614"/>
      <queryTableField id="1615" name="27925" tableColumnId="1615"/>
      <queryTableField id="1616" name="27926" tableColumnId="1616"/>
      <queryTableField id="1617" name="27927" tableColumnId="1617"/>
      <queryTableField id="1618" name="27928" tableColumnId="1618"/>
      <queryTableField id="1619" name="27929" tableColumnId="1619"/>
      <queryTableField id="1620" name="27932" tableColumnId="1620"/>
      <queryTableField id="1621" name="27935" tableColumnId="1621"/>
      <queryTableField id="1622" name="27936" tableColumnId="1622"/>
      <queryTableField id="1623" name="27937" tableColumnId="1623"/>
      <queryTableField id="1624" name="27938" tableColumnId="1624"/>
      <queryTableField id="1625" name="27939" tableColumnId="1625"/>
      <queryTableField id="1626" name="27941" tableColumnId="1626"/>
      <queryTableField id="1627" name="27942" tableColumnId="1627"/>
      <queryTableField id="1628" name="27943" tableColumnId="1628"/>
      <queryTableField id="1629" name="27944" tableColumnId="1629"/>
      <queryTableField id="1630" name="27946" tableColumnId="1630"/>
      <queryTableField id="1631" name="27947" tableColumnId="1631"/>
      <queryTableField id="1632" name="27948" tableColumnId="1632"/>
      <queryTableField id="1633" name="27949" tableColumnId="1633"/>
      <queryTableField id="1634" name="27950" tableColumnId="1634"/>
      <queryTableField id="1635" name="27953" tableColumnId="1635"/>
      <queryTableField id="1636" name="27954" tableColumnId="1636"/>
      <queryTableField id="1637" name="27956" tableColumnId="1637"/>
      <queryTableField id="1638" name="27957" tableColumnId="1638"/>
      <queryTableField id="1639" name="27958" tableColumnId="1639"/>
      <queryTableField id="1640" name="27959" tableColumnId="1640"/>
      <queryTableField id="1641" name="27960" tableColumnId="1641"/>
      <queryTableField id="1642" name="27962" tableColumnId="1642"/>
      <queryTableField id="1643" name="27964" tableColumnId="1643"/>
      <queryTableField id="1644" name="27965" tableColumnId="1644"/>
      <queryTableField id="1645" name="27966" tableColumnId="1645"/>
      <queryTableField id="1646" name="27967" tableColumnId="1646"/>
      <queryTableField id="1647" name="27968" tableColumnId="1647"/>
      <queryTableField id="1648" name="27969" tableColumnId="1648"/>
      <queryTableField id="1649" name="27970" tableColumnId="1649"/>
      <queryTableField id="1650" name="27972" tableColumnId="1650"/>
      <queryTableField id="1651" name="27973" tableColumnId="1651"/>
      <queryTableField id="1652" name="27974" tableColumnId="1652"/>
      <queryTableField id="1653" name="27976" tableColumnId="1653"/>
      <queryTableField id="1654" name="27978" tableColumnId="1654"/>
      <queryTableField id="1655" name="27979" tableColumnId="1655"/>
      <queryTableField id="1656" name="27980" tableColumnId="1656"/>
      <queryTableField id="1657" name="27981" tableColumnId="1657"/>
      <queryTableField id="1658" name="27982" tableColumnId="1658"/>
      <queryTableField id="1659" name="27983" tableColumnId="1659"/>
      <queryTableField id="1660" name="27985" tableColumnId="1660"/>
      <queryTableField id="1661" name="27986" tableColumnId="1661"/>
      <queryTableField id="1662" name="28001" tableColumnId="1662"/>
      <queryTableField id="1663" name="28006" tableColumnId="1663"/>
      <queryTableField id="1664" name="28007" tableColumnId="1664"/>
      <queryTableField id="1665" name="28009" tableColumnId="1665"/>
      <queryTableField id="1666" name="28012" tableColumnId="1666"/>
      <queryTableField id="1667" name="28016" tableColumnId="1667"/>
      <queryTableField id="1668" name="28017" tableColumnId="1668"/>
      <queryTableField id="1669" name="28018" tableColumnId="1669"/>
      <queryTableField id="1670" name="28019" tableColumnId="1670"/>
      <queryTableField id="1671" name="28020" tableColumnId="1671"/>
      <queryTableField id="1672" name="28021" tableColumnId="1672"/>
      <queryTableField id="1673" name="28023" tableColumnId="1673"/>
      <queryTableField id="1674" name="28024" tableColumnId="1674"/>
      <queryTableField id="1675" name="28025" tableColumnId="1675"/>
      <queryTableField id="1676" name="28027" tableColumnId="1676"/>
      <queryTableField id="1677" name="28031" tableColumnId="1677"/>
      <queryTableField id="1678" name="28032" tableColumnId="1678"/>
      <queryTableField id="1679" name="28033" tableColumnId="1679"/>
      <queryTableField id="1680" name="28034" tableColumnId="1680"/>
      <queryTableField id="1681" name="28036" tableColumnId="1681"/>
      <queryTableField id="1682" name="28037" tableColumnId="1682"/>
      <queryTableField id="1683" name="28039" tableColumnId="1683"/>
      <queryTableField id="1684" name="28040" tableColumnId="1684"/>
      <queryTableField id="1685" name="28041" tableColumnId="1685"/>
      <queryTableField id="1686" name="28042" tableColumnId="1686"/>
      <queryTableField id="1687" name="28043" tableColumnId="1687"/>
      <queryTableField id="1688" name="28052" tableColumnId="1688"/>
      <queryTableField id="1689" name="28054" tableColumnId="1689"/>
      <queryTableField id="1690" name="28056" tableColumnId="1690"/>
      <queryTableField id="1691" name="28071" tableColumnId="1691"/>
      <queryTableField id="1692" name="28072" tableColumnId="1692"/>
      <queryTableField id="1693" name="28073" tableColumnId="1693"/>
      <queryTableField id="1694" name="28074" tableColumnId="1694"/>
      <queryTableField id="1695" name="28075" tableColumnId="1695"/>
      <queryTableField id="1696" name="28076" tableColumnId="1696"/>
      <queryTableField id="1697" name="28077" tableColumnId="1697"/>
      <queryTableField id="1698" name="28078" tableColumnId="1698"/>
      <queryTableField id="1699" name="28079" tableColumnId="1699"/>
      <queryTableField id="1700" name="28080" tableColumnId="1700"/>
      <queryTableField id="1701" name="28081" tableColumnId="1701"/>
      <queryTableField id="1702" name="28083" tableColumnId="1702"/>
      <queryTableField id="1703" name="28086" tableColumnId="1703"/>
      <queryTableField id="1704" name="28088" tableColumnId="1704"/>
      <queryTableField id="1705" name="28089" tableColumnId="1705"/>
      <queryTableField id="1706" name="28090" tableColumnId="1706"/>
      <queryTableField id="1707" name="28091" tableColumnId="1707"/>
      <queryTableField id="1708" name="28092" tableColumnId="1708"/>
      <queryTableField id="1709" name="28097" tableColumnId="1709"/>
      <queryTableField id="1710" name="28098" tableColumnId="1710"/>
      <queryTableField id="1711" name="28101" tableColumnId="1711"/>
      <queryTableField id="1712" name="28102" tableColumnId="1712"/>
      <queryTableField id="1713" name="28103" tableColumnId="1713"/>
      <queryTableField id="1714" name="28104" tableColumnId="1714"/>
      <queryTableField id="1715" name="28105" tableColumnId="1715"/>
      <queryTableField id="1716" name="28107" tableColumnId="1716"/>
      <queryTableField id="1717" name="28108" tableColumnId="1717"/>
      <queryTableField id="1718" name="28109" tableColumnId="1718"/>
      <queryTableField id="1719" name="28110" tableColumnId="1719"/>
      <queryTableField id="1720" name="28112" tableColumnId="1720"/>
      <queryTableField id="1721" name="28114" tableColumnId="1721"/>
      <queryTableField id="1722" name="28115" tableColumnId="1722"/>
      <queryTableField id="1723" name="28117" tableColumnId="1723"/>
      <queryTableField id="1724" name="28119" tableColumnId="1724"/>
      <queryTableField id="1725" name="28120" tableColumnId="1725"/>
      <queryTableField id="1726" name="28124" tableColumnId="1726"/>
      <queryTableField id="1727" name="28125" tableColumnId="1727"/>
      <queryTableField id="1728" name="28127" tableColumnId="1728"/>
      <queryTableField id="1729" name="28128" tableColumnId="1729"/>
      <queryTableField id="1730" name="28129" tableColumnId="1730"/>
      <queryTableField id="1731" name="28133" tableColumnId="1731"/>
      <queryTableField id="1732" name="28134" tableColumnId="1732"/>
      <queryTableField id="1733" name="28135" tableColumnId="1733"/>
      <queryTableField id="1734" name="28136" tableColumnId="1734"/>
      <queryTableField id="1735" name="28137" tableColumnId="1735"/>
      <queryTableField id="1736" name="28138" tableColumnId="1736"/>
      <queryTableField id="1737" name="28139" tableColumnId="1737"/>
      <queryTableField id="1738" name="28144" tableColumnId="1738"/>
      <queryTableField id="1739" name="28146" tableColumnId="1739"/>
      <queryTableField id="1740" name="28147" tableColumnId="1740"/>
      <queryTableField id="1741" name="28150" tableColumnId="1741"/>
      <queryTableField id="1742" name="28152" tableColumnId="1742"/>
      <queryTableField id="1743" name="28159" tableColumnId="1743"/>
      <queryTableField id="1744" name="28160" tableColumnId="1744"/>
      <queryTableField id="1745" name="28163" tableColumnId="1745"/>
      <queryTableField id="1746" name="28164" tableColumnId="1746"/>
      <queryTableField id="1747" name="28166" tableColumnId="1747"/>
      <queryTableField id="1748" name="28167" tableColumnId="1748"/>
      <queryTableField id="1749" name="28168" tableColumnId="1749"/>
      <queryTableField id="1750" name="28169" tableColumnId="1750"/>
      <queryTableField id="1751" name="28170" tableColumnId="1751"/>
      <queryTableField id="1752" name="28173" tableColumnId="1752"/>
      <queryTableField id="1753" name="28174" tableColumnId="1753"/>
      <queryTableField id="1754" name="28202" tableColumnId="1754"/>
      <queryTableField id="1755" name="28203" tableColumnId="1755"/>
      <queryTableField id="1756" name="28204" tableColumnId="1756"/>
      <queryTableField id="1757" name="28205" tableColumnId="1757"/>
      <queryTableField id="1758" name="28206" tableColumnId="1758"/>
      <queryTableField id="1759" name="28207" tableColumnId="1759"/>
      <queryTableField id="1760" name="28208" tableColumnId="1760"/>
      <queryTableField id="1761" name="28209" tableColumnId="1761"/>
      <queryTableField id="1762" name="28210" tableColumnId="1762"/>
      <queryTableField id="1763" name="28211" tableColumnId="1763"/>
      <queryTableField id="1764" name="28212" tableColumnId="1764"/>
      <queryTableField id="1765" name="28213" tableColumnId="1765"/>
      <queryTableField id="1766" name="28214" tableColumnId="1766"/>
      <queryTableField id="1767" name="28215" tableColumnId="1767"/>
      <queryTableField id="1768" name="28216" tableColumnId="1768"/>
      <queryTableField id="1769" name="28217" tableColumnId="1769"/>
      <queryTableField id="1770" name="28223" tableColumnId="1770"/>
      <queryTableField id="1771" name="28226" tableColumnId="1771"/>
      <queryTableField id="1772" name="28227" tableColumnId="1772"/>
      <queryTableField id="1773" name="28244" tableColumnId="1773"/>
      <queryTableField id="1774" name="28262" tableColumnId="1774"/>
      <queryTableField id="1775" name="28269" tableColumnId="1775"/>
      <queryTableField id="1776" name="28270" tableColumnId="1776"/>
      <queryTableField id="1777" name="28273" tableColumnId="1777"/>
      <queryTableField id="1778" name="28274" tableColumnId="1778"/>
      <queryTableField id="1779" name="28277" tableColumnId="1779"/>
      <queryTableField id="1780" name="28278" tableColumnId="1780"/>
      <queryTableField id="1781" name="28280" tableColumnId="1781"/>
      <queryTableField id="1782" name="28282" tableColumnId="1782"/>
      <queryTableField id="1783" name="28301" tableColumnId="1783"/>
      <queryTableField id="1784" name="28303" tableColumnId="1784"/>
      <queryTableField id="1785" name="28304" tableColumnId="1785"/>
      <queryTableField id="1786" name="28305" tableColumnId="1786"/>
      <queryTableField id="1787" name="28306" tableColumnId="1787"/>
      <queryTableField id="1788" name="28307" tableColumnId="1788"/>
      <queryTableField id="1789" name="28308" tableColumnId="1789"/>
      <queryTableField id="1790" name="28310" tableColumnId="1790"/>
      <queryTableField id="1791" name="28311" tableColumnId="1791"/>
      <queryTableField id="1792" name="28312" tableColumnId="1792"/>
      <queryTableField id="1793" name="28314" tableColumnId="1793"/>
      <queryTableField id="1794" name="28315" tableColumnId="1794"/>
      <queryTableField id="1795" name="28318" tableColumnId="1795"/>
      <queryTableField id="1796" name="28320" tableColumnId="1796"/>
      <queryTableField id="1797" name="28323" tableColumnId="1797"/>
      <queryTableField id="1798" name="28325" tableColumnId="1798"/>
      <queryTableField id="1799" name="28326" tableColumnId="1799"/>
      <queryTableField id="1800" name="28327" tableColumnId="1800"/>
      <queryTableField id="1801" name="28328" tableColumnId="1801"/>
      <queryTableField id="1802" name="28330" tableColumnId="1802"/>
      <queryTableField id="1803" name="28331" tableColumnId="1803"/>
      <queryTableField id="1804" name="28332" tableColumnId="1804"/>
      <queryTableField id="1805" name="28333" tableColumnId="1805"/>
      <queryTableField id="1806" name="28334" tableColumnId="1806"/>
      <queryTableField id="1807" name="28337" tableColumnId="1807"/>
      <queryTableField id="1808" name="28338" tableColumnId="1808"/>
      <queryTableField id="1809" name="28339" tableColumnId="1809"/>
      <queryTableField id="1810" name="28340" tableColumnId="1810"/>
      <queryTableField id="1811" name="28341" tableColumnId="1811"/>
      <queryTableField id="1812" name="28342" tableColumnId="1812"/>
      <queryTableField id="1813" name="28343" tableColumnId="1813"/>
      <queryTableField id="1814" name="28344" tableColumnId="1814"/>
      <queryTableField id="1815" name="28345" tableColumnId="1815"/>
      <queryTableField id="1816" name="28347" tableColumnId="1816"/>
      <queryTableField id="1817" name="28348" tableColumnId="1817"/>
      <queryTableField id="1818" name="28349" tableColumnId="1818"/>
      <queryTableField id="1819" name="28350" tableColumnId="1819"/>
      <queryTableField id="1820" name="28351" tableColumnId="1820"/>
      <queryTableField id="1821" name="28352" tableColumnId="1821"/>
      <queryTableField id="1822" name="28355" tableColumnId="1822"/>
      <queryTableField id="1823" name="28356" tableColumnId="1823"/>
      <queryTableField id="1824" name="28357" tableColumnId="1824"/>
      <queryTableField id="1825" name="28358" tableColumnId="1825"/>
      <queryTableField id="1826" name="28359" tableColumnId="1826"/>
      <queryTableField id="1827" name="28360" tableColumnId="1827"/>
      <queryTableField id="1828" name="28362" tableColumnId="1828"/>
      <queryTableField id="1829" name="28363" tableColumnId="1829"/>
      <queryTableField id="1830" name="28364" tableColumnId="1830"/>
      <queryTableField id="1831" name="28365" tableColumnId="1831"/>
      <queryTableField id="1832" name="28366" tableColumnId="1832"/>
      <queryTableField id="1833" name="28367" tableColumnId="1833"/>
      <queryTableField id="1834" name="28368" tableColumnId="1834"/>
      <queryTableField id="1835" name="28369" tableColumnId="1835"/>
      <queryTableField id="1836" name="28371" tableColumnId="1836"/>
      <queryTableField id="1837" name="28372" tableColumnId="1837"/>
      <queryTableField id="1838" name="28373" tableColumnId="1838"/>
      <queryTableField id="1839" name="28374" tableColumnId="1839"/>
      <queryTableField id="1840" name="28375" tableColumnId="1840"/>
      <queryTableField id="1841" name="28376" tableColumnId="1841"/>
      <queryTableField id="1842" name="28377" tableColumnId="1842"/>
      <queryTableField id="1843" name="28378" tableColumnId="1843"/>
      <queryTableField id="1844" name="28379" tableColumnId="1844"/>
      <queryTableField id="1845" name="28382" tableColumnId="1845"/>
      <queryTableField id="1846" name="28383" tableColumnId="1846"/>
      <queryTableField id="1847" name="28384" tableColumnId="1847"/>
      <queryTableField id="1848" name="28385" tableColumnId="1848"/>
      <queryTableField id="1849" name="28386" tableColumnId="1849"/>
      <queryTableField id="1850" name="28387" tableColumnId="1850"/>
      <queryTableField id="1851" name="28390" tableColumnId="1851"/>
      <queryTableField id="1852" name="28391" tableColumnId="1852"/>
      <queryTableField id="1853" name="28392" tableColumnId="1853"/>
      <queryTableField id="1854" name="28393" tableColumnId="1854"/>
      <queryTableField id="1855" name="28394" tableColumnId="1855"/>
      <queryTableField id="1856" name="28395" tableColumnId="1856"/>
      <queryTableField id="1857" name="28396" tableColumnId="1857"/>
      <queryTableField id="1858" name="28398" tableColumnId="1858"/>
      <queryTableField id="1859" name="28399" tableColumnId="1859"/>
      <queryTableField id="1860" name="28401" tableColumnId="1860"/>
      <queryTableField id="1861" name="28403" tableColumnId="1861"/>
      <queryTableField id="1862" name="28405" tableColumnId="1862"/>
      <queryTableField id="1863" name="28409" tableColumnId="1863"/>
      <queryTableField id="1864" name="28411" tableColumnId="1864"/>
      <queryTableField id="1865" name="28412" tableColumnId="1865"/>
      <queryTableField id="1866" name="28420" tableColumnId="1866"/>
      <queryTableField id="1867" name="28421" tableColumnId="1867"/>
      <queryTableField id="1868" name="28422" tableColumnId="1868"/>
      <queryTableField id="1869" name="28423" tableColumnId="1869"/>
      <queryTableField id="1870" name="28424" tableColumnId="1870"/>
      <queryTableField id="1871" name="28425" tableColumnId="1871"/>
      <queryTableField id="1872" name="28428" tableColumnId="1872"/>
      <queryTableField id="1873" name="28429" tableColumnId="1873"/>
      <queryTableField id="1874" name="28430" tableColumnId="1874"/>
      <queryTableField id="1875" name="28431" tableColumnId="1875"/>
      <queryTableField id="1876" name="28432" tableColumnId="1876"/>
      <queryTableField id="1877" name="28433" tableColumnId="1877"/>
      <queryTableField id="1878" name="28434" tableColumnId="1878"/>
      <queryTableField id="1879" name="28435" tableColumnId="1879"/>
      <queryTableField id="1880" name="28436" tableColumnId="1880"/>
      <queryTableField id="1881" name="28438" tableColumnId="1881"/>
      <queryTableField id="1882" name="28439" tableColumnId="1882"/>
      <queryTableField id="1883" name="28441" tableColumnId="1883"/>
      <queryTableField id="1884" name="28442" tableColumnId="1884"/>
      <queryTableField id="1885" name="28443" tableColumnId="1885"/>
      <queryTableField id="1886" name="28444" tableColumnId="1886"/>
      <queryTableField id="1887" name="28445" tableColumnId="1887"/>
      <queryTableField id="1888" name="28447" tableColumnId="1888"/>
      <queryTableField id="1889" name="28448" tableColumnId="1889"/>
      <queryTableField id="1890" name="28449" tableColumnId="1890"/>
      <queryTableField id="1891" name="28450" tableColumnId="1891"/>
      <queryTableField id="1892" name="28451" tableColumnId="1892"/>
      <queryTableField id="1893" name="28452" tableColumnId="1893"/>
      <queryTableField id="1894" name="28453" tableColumnId="1894"/>
      <queryTableField id="1895" name="28454" tableColumnId="1895"/>
      <queryTableField id="1896" name="28455" tableColumnId="1896"/>
      <queryTableField id="1897" name="28456" tableColumnId="1897"/>
      <queryTableField id="1898" name="28457" tableColumnId="1898"/>
      <queryTableField id="1899" name="28458" tableColumnId="1899"/>
      <queryTableField id="1900" name="28460" tableColumnId="1900"/>
      <queryTableField id="1901" name="28461" tableColumnId="1901"/>
      <queryTableField id="1902" name="28462" tableColumnId="1902"/>
      <queryTableField id="1903" name="28463" tableColumnId="1903"/>
      <queryTableField id="1904" name="28464" tableColumnId="1904"/>
      <queryTableField id="1905" name="28465" tableColumnId="1905"/>
      <queryTableField id="1906" name="28466" tableColumnId="1906"/>
      <queryTableField id="1907" name="28467" tableColumnId="1907"/>
      <queryTableField id="1908" name="28468" tableColumnId="1908"/>
      <queryTableField id="1909" name="28469" tableColumnId="1909"/>
      <queryTableField id="1910" name="28470" tableColumnId="1910"/>
      <queryTableField id="1911" name="28472" tableColumnId="1911"/>
      <queryTableField id="1912" name="28478" tableColumnId="1912"/>
      <queryTableField id="1913" name="28479" tableColumnId="1913"/>
      <queryTableField id="1914" name="28480" tableColumnId="1914"/>
      <queryTableField id="1915" name="28501" tableColumnId="1915"/>
      <queryTableField id="1916" name="28504" tableColumnId="1916"/>
      <queryTableField id="1917" name="28508" tableColumnId="1917"/>
      <queryTableField id="1918" name="28509" tableColumnId="1918"/>
      <queryTableField id="1919" name="28510" tableColumnId="1919"/>
      <queryTableField id="1920" name="28511" tableColumnId="1920"/>
      <queryTableField id="1921" name="28512" tableColumnId="1921"/>
      <queryTableField id="1922" name="28513" tableColumnId="1922"/>
      <queryTableField id="1923" name="28515" tableColumnId="1923"/>
      <queryTableField id="1924" name="28516" tableColumnId="1924"/>
      <queryTableField id="1925" name="28518" tableColumnId="1925"/>
      <queryTableField id="1926" name="28519" tableColumnId="1926"/>
      <queryTableField id="1927" name="28520" tableColumnId="1927"/>
      <queryTableField id="1928" name="28521" tableColumnId="1928"/>
      <queryTableField id="1929" name="28523" tableColumnId="1929"/>
      <queryTableField id="1930" name="28524" tableColumnId="1930"/>
      <queryTableField id="1931" name="28525" tableColumnId="1931"/>
      <queryTableField id="1932" name="28526" tableColumnId="1932"/>
      <queryTableField id="1933" name="28527" tableColumnId="1933"/>
      <queryTableField id="1934" name="28528" tableColumnId="1934"/>
      <queryTableField id="1935" name="28529" tableColumnId="1935"/>
      <queryTableField id="1936" name="28530" tableColumnId="1936"/>
      <queryTableField id="1937" name="28531" tableColumnId="1937"/>
      <queryTableField id="1938" name="28532" tableColumnId="1938"/>
      <queryTableField id="1939" name="28533" tableColumnId="1939"/>
      <queryTableField id="1940" name="28537" tableColumnId="1940"/>
      <queryTableField id="1941" name="28538" tableColumnId="1941"/>
      <queryTableField id="1942" name="28539" tableColumnId="1942"/>
      <queryTableField id="1943" name="28540" tableColumnId="1943"/>
      <queryTableField id="1944" name="28542" tableColumnId="1944"/>
      <queryTableField id="1945" name="28543" tableColumnId="1945"/>
      <queryTableField id="1946" name="28544" tableColumnId="1946"/>
      <queryTableField id="1947" name="28546" tableColumnId="1947"/>
      <queryTableField id="1948" name="28547" tableColumnId="1948"/>
      <queryTableField id="1949" name="28551" tableColumnId="1949"/>
      <queryTableField id="1950" name="28552" tableColumnId="1950"/>
      <queryTableField id="1951" name="28553" tableColumnId="1951"/>
      <queryTableField id="1952" name="28554" tableColumnId="1952"/>
      <queryTableField id="1953" name="28555" tableColumnId="1953"/>
      <queryTableField id="1954" name="28556" tableColumnId="1954"/>
      <queryTableField id="1955" name="28557" tableColumnId="1955"/>
      <queryTableField id="1956" name="28560" tableColumnId="1956"/>
      <queryTableField id="1957" name="28562" tableColumnId="1957"/>
      <queryTableField id="1958" name="28570" tableColumnId="1958"/>
      <queryTableField id="1959" name="28571" tableColumnId="1959"/>
      <queryTableField id="1960" name="28572" tableColumnId="1960"/>
      <queryTableField id="1961" name="28573" tableColumnId="1961"/>
      <queryTableField id="1962" name="28574" tableColumnId="1962"/>
      <queryTableField id="1963" name="28575" tableColumnId="1963"/>
      <queryTableField id="1964" name="28577" tableColumnId="1964"/>
      <queryTableField id="1965" name="28578" tableColumnId="1965"/>
      <queryTableField id="1966" name="28579" tableColumnId="1966"/>
      <queryTableField id="1967" name="28580" tableColumnId="1967"/>
      <queryTableField id="1968" name="28581" tableColumnId="1968"/>
      <queryTableField id="1969" name="28582" tableColumnId="1969"/>
      <queryTableField id="1970" name="28584" tableColumnId="1970"/>
      <queryTableField id="1971" name="28585" tableColumnId="1971"/>
      <queryTableField id="1972" name="28586" tableColumnId="1972"/>
      <queryTableField id="1973" name="28587" tableColumnId="1973"/>
      <queryTableField id="1974" name="28589" tableColumnId="1974"/>
      <queryTableField id="1975" name="28590" tableColumnId="1975"/>
      <queryTableField id="1976" name="28594" tableColumnId="1976"/>
      <queryTableField id="1977" name="28601" tableColumnId="1977"/>
      <queryTableField id="1978" name="28602" tableColumnId="1978"/>
      <queryTableField id="1979" name="28604" tableColumnId="1979"/>
      <queryTableField id="1980" name="28605" tableColumnId="1980"/>
      <queryTableField id="1981" name="28606" tableColumnId="1981"/>
      <queryTableField id="1982" name="28607" tableColumnId="1982"/>
      <queryTableField id="1983" name="28609" tableColumnId="1983"/>
      <queryTableField id="1984" name="28610" tableColumnId="1984"/>
      <queryTableField id="1985" name="28611" tableColumnId="1985"/>
      <queryTableField id="1986" name="28612" tableColumnId="1986"/>
      <queryTableField id="1987" name="28613" tableColumnId="1987"/>
      <queryTableField id="1988" name="28615" tableColumnId="1988"/>
      <queryTableField id="1989" name="28616" tableColumnId="1989"/>
      <queryTableField id="1990" name="28617" tableColumnId="1990"/>
      <queryTableField id="1991" name="28618" tableColumnId="1991"/>
      <queryTableField id="1992" name="28619" tableColumnId="1992"/>
      <queryTableField id="1993" name="28621" tableColumnId="1993"/>
      <queryTableField id="1994" name="28622" tableColumnId="1994"/>
      <queryTableField id="1995" name="28623" tableColumnId="1995"/>
      <queryTableField id="1996" name="28624" tableColumnId="1996"/>
      <queryTableField id="1997" name="28625" tableColumnId="1997"/>
      <queryTableField id="1998" name="28626" tableColumnId="1998"/>
      <queryTableField id="1999" name="28627" tableColumnId="1999"/>
      <queryTableField id="2000" name="28628" tableColumnId="2000"/>
      <queryTableField id="2001" name="28629" tableColumnId="2001"/>
      <queryTableField id="2002" name="28630" tableColumnId="2002"/>
      <queryTableField id="2003" name="28631" tableColumnId="2003"/>
      <queryTableField id="2004" name="28634" tableColumnId="2004"/>
      <queryTableField id="2005" name="28635" tableColumnId="2005"/>
      <queryTableField id="2006" name="28636" tableColumnId="2006"/>
      <queryTableField id="2007" name="28637" tableColumnId="2007"/>
      <queryTableField id="2008" name="28638" tableColumnId="2008"/>
      <queryTableField id="2009" name="28640" tableColumnId="2009"/>
      <queryTableField id="2010" name="28641" tableColumnId="2010"/>
      <queryTableField id="2011" name="28642" tableColumnId="2011"/>
      <queryTableField id="2012" name="28643" tableColumnId="2012"/>
      <queryTableField id="2013" name="28644" tableColumnId="2013"/>
      <queryTableField id="2014" name="28645" tableColumnId="2014"/>
      <queryTableField id="2015" name="28646" tableColumnId="2015"/>
      <queryTableField id="2016" name="28649" tableColumnId="2016"/>
      <queryTableField id="2017" name="28650" tableColumnId="2017"/>
      <queryTableField id="2018" name="28651" tableColumnId="2018"/>
      <queryTableField id="2019" name="28652" tableColumnId="2019"/>
      <queryTableField id="2020" name="28653" tableColumnId="2020"/>
      <queryTableField id="2021" name="28654" tableColumnId="2021"/>
      <queryTableField id="2022" name="28655" tableColumnId="2022"/>
      <queryTableField id="2023" name="28657" tableColumnId="2023"/>
      <queryTableField id="2024" name="28658" tableColumnId="2024"/>
      <queryTableField id="2025" name="28659" tableColumnId="2025"/>
      <queryTableField id="2026" name="28660" tableColumnId="2026"/>
      <queryTableField id="2027" name="28662" tableColumnId="2027"/>
      <queryTableField id="2028" name="28663" tableColumnId="2028"/>
      <queryTableField id="2029" name="28664" tableColumnId="2029"/>
      <queryTableField id="2030" name="28665" tableColumnId="2030"/>
      <queryTableField id="2031" name="28666" tableColumnId="2031"/>
      <queryTableField id="2032" name="28667" tableColumnId="2032"/>
      <queryTableField id="2033" name="28668" tableColumnId="2033"/>
      <queryTableField id="2034" name="28669" tableColumnId="2034"/>
      <queryTableField id="2035" name="28670" tableColumnId="2035"/>
      <queryTableField id="2036" name="28671" tableColumnId="2036"/>
      <queryTableField id="2037" name="28672" tableColumnId="2037"/>
      <queryTableField id="2038" name="28673" tableColumnId="2038"/>
      <queryTableField id="2039" name="28675" tableColumnId="2039"/>
      <queryTableField id="2040" name="28676" tableColumnId="2040"/>
      <queryTableField id="2041" name="28677" tableColumnId="2041"/>
      <queryTableField id="2042" name="28678" tableColumnId="2042"/>
      <queryTableField id="2043" name="28679" tableColumnId="2043"/>
      <queryTableField id="2044" name="28681" tableColumnId="2044"/>
      <queryTableField id="2045" name="28682" tableColumnId="2045"/>
      <queryTableField id="2046" name="28683" tableColumnId="2046"/>
      <queryTableField id="2047" name="28684" tableColumnId="2047"/>
      <queryTableField id="2048" name="28685" tableColumnId="2048"/>
      <queryTableField id="2049" name="28689" tableColumnId="2049"/>
      <queryTableField id="2050" name="28690" tableColumnId="2050"/>
      <queryTableField id="2051" name="28692" tableColumnId="2051"/>
      <queryTableField id="2052" name="28693" tableColumnId="2052"/>
      <queryTableField id="2053" name="28694" tableColumnId="2053"/>
      <queryTableField id="2054" name="28697" tableColumnId="2054"/>
      <queryTableField id="2055" name="28698" tableColumnId="2055"/>
      <queryTableField id="2056" name="28701" tableColumnId="2056"/>
      <queryTableField id="2057" name="28702" tableColumnId="2057"/>
      <queryTableField id="2058" name="28704" tableColumnId="2058"/>
      <queryTableField id="2059" name="28705" tableColumnId="2059"/>
      <queryTableField id="2060" name="28707" tableColumnId="2060"/>
      <queryTableField id="2061" name="28708" tableColumnId="2061"/>
      <queryTableField id="2062" name="28709" tableColumnId="2062"/>
      <queryTableField id="2063" name="28710" tableColumnId="2063"/>
      <queryTableField id="2064" name="28711" tableColumnId="2064"/>
      <queryTableField id="2065" name="28712" tableColumnId="2065"/>
      <queryTableField id="2066" name="28713" tableColumnId="2066"/>
      <queryTableField id="2067" name="28714" tableColumnId="2067"/>
      <queryTableField id="2068" name="28715" tableColumnId="2068"/>
      <queryTableField id="2069" name="28716" tableColumnId="2069"/>
      <queryTableField id="2070" name="28717" tableColumnId="2070"/>
      <queryTableField id="2071" name="28718" tableColumnId="2071"/>
      <queryTableField id="2072" name="28719" tableColumnId="2072"/>
      <queryTableField id="2073" name="28720" tableColumnId="2073"/>
      <queryTableField id="2074" name="28721" tableColumnId="2074"/>
      <queryTableField id="2075" name="28722" tableColumnId="2075"/>
      <queryTableField id="2076" name="28723" tableColumnId="2076"/>
      <queryTableField id="2077" name="28725" tableColumnId="2077"/>
      <queryTableField id="2078" name="28726" tableColumnId="2078"/>
      <queryTableField id="2079" name="28729" tableColumnId="2079"/>
      <queryTableField id="2080" name="28730" tableColumnId="2080"/>
      <queryTableField id="2081" name="28731" tableColumnId="2081"/>
      <queryTableField id="2082" name="28732" tableColumnId="2082"/>
      <queryTableField id="2083" name="28733" tableColumnId="2083"/>
      <queryTableField id="2084" name="28734" tableColumnId="2084"/>
      <queryTableField id="2085" name="28735" tableColumnId="2085"/>
      <queryTableField id="2086" name="28736" tableColumnId="2086"/>
      <queryTableField id="2087" name="28739" tableColumnId="2087"/>
      <queryTableField id="2088" name="28740" tableColumnId="2088"/>
      <queryTableField id="2089" name="28741" tableColumnId="2089"/>
      <queryTableField id="2090" name="28742" tableColumnId="2090"/>
      <queryTableField id="2091" name="28743" tableColumnId="2091"/>
      <queryTableField id="2092" name="28745" tableColumnId="2092"/>
      <queryTableField id="2093" name="28746" tableColumnId="2093"/>
      <queryTableField id="2094" name="28747" tableColumnId="2094"/>
      <queryTableField id="2095" name="28748" tableColumnId="2095"/>
      <queryTableField id="2096" name="28749" tableColumnId="2096"/>
      <queryTableField id="2097" name="28751" tableColumnId="2097"/>
      <queryTableField id="2098" name="28752" tableColumnId="2098"/>
      <queryTableField id="2099" name="28753" tableColumnId="2099"/>
      <queryTableField id="2100" name="28754" tableColumnId="2100"/>
      <queryTableField id="2101" name="28755" tableColumnId="2101"/>
      <queryTableField id="2102" name="28756" tableColumnId="2102"/>
      <queryTableField id="2103" name="28757" tableColumnId="2103"/>
      <queryTableField id="2104" name="28758" tableColumnId="2104"/>
      <queryTableField id="2105" name="28759" tableColumnId="2105"/>
      <queryTableField id="2106" name="28761" tableColumnId="2106"/>
      <queryTableField id="2107" name="28762" tableColumnId="2107"/>
      <queryTableField id="2108" name="28763" tableColumnId="2108"/>
      <queryTableField id="2109" name="28766" tableColumnId="2109"/>
      <queryTableField id="2110" name="28768" tableColumnId="2110"/>
      <queryTableField id="2111" name="28770" tableColumnId="2111"/>
      <queryTableField id="2112" name="28771" tableColumnId="2112"/>
      <queryTableField id="2113" name="28772" tableColumnId="2113"/>
      <queryTableField id="2114" name="28773" tableColumnId="2114"/>
      <queryTableField id="2115" name="28774" tableColumnId="2115"/>
      <queryTableField id="2116" name="28775" tableColumnId="2116"/>
      <queryTableField id="2117" name="28777" tableColumnId="2117"/>
      <queryTableField id="2118" name="28778" tableColumnId="2118"/>
      <queryTableField id="2119" name="28779" tableColumnId="2119"/>
      <queryTableField id="2120" name="28781" tableColumnId="2120"/>
      <queryTableField id="2121" name="28782" tableColumnId="2121"/>
      <queryTableField id="2122" name="28783" tableColumnId="2122"/>
      <queryTableField id="2123" name="28785" tableColumnId="2123"/>
      <queryTableField id="2124" name="28786" tableColumnId="2124"/>
      <queryTableField id="2125" name="28787" tableColumnId="2125"/>
      <queryTableField id="2126" name="28788" tableColumnId="2126"/>
      <queryTableField id="2127" name="28789" tableColumnId="2127"/>
      <queryTableField id="2128" name="28790" tableColumnId="2128"/>
      <queryTableField id="2129" name="28791" tableColumnId="2129"/>
      <queryTableField id="2130" name="28792" tableColumnId="2130"/>
      <queryTableField id="2131" name="28801" tableColumnId="2131"/>
      <queryTableField id="2132" name="28803" tableColumnId="2132"/>
      <queryTableField id="2133" name="28804" tableColumnId="2133"/>
      <queryTableField id="2134" name="28805" tableColumnId="2134"/>
      <queryTableField id="2135" name="28806" tableColumnId="2135"/>
      <queryTableField id="2136" name="28901" tableColumnId="2136"/>
      <queryTableField id="2137" name="28902" tableColumnId="2137"/>
      <queryTableField id="2138" name="28904" tableColumnId="2138"/>
      <queryTableField id="2139" name="28905" tableColumnId="2139"/>
      <queryTableField id="2140" name="28906" tableColumnId="2140"/>
      <queryTableField id="2141" name="28909" tableColumnId="2141"/>
      <queryTableField id="2142" name="20105" tableColumnId="2142"/>
      <queryTableField id="2143" name="20106" tableColumnId="2143"/>
      <queryTableField id="2144" name="20109" tableColumnId="2144"/>
      <queryTableField id="2145" name="20110" tableColumnId="2145"/>
      <queryTableField id="2146" name="20111" tableColumnId="2146"/>
      <queryTableField id="2147" name="20112" tableColumnId="2147"/>
      <queryTableField id="2148" name="20115" tableColumnId="2148"/>
      <queryTableField id="2149" name="20117" tableColumnId="2149"/>
      <queryTableField id="2150" name="20119" tableColumnId="2150"/>
      <queryTableField id="2151" name="20120" tableColumnId="2151"/>
      <queryTableField id="2152" name="20121" tableColumnId="2152"/>
      <queryTableField id="2153" name="20124" tableColumnId="2153"/>
      <queryTableField id="2154" name="20129" tableColumnId="2154"/>
      <queryTableField id="2155" name="20130" tableColumnId="2155"/>
      <queryTableField id="2156" name="20132" tableColumnId="2156"/>
      <queryTableField id="2157" name="20135" tableColumnId="2157"/>
      <queryTableField id="2158" name="20136" tableColumnId="2158"/>
      <queryTableField id="2159" name="20137" tableColumnId="2159"/>
      <queryTableField id="2160" name="20141" tableColumnId="2160"/>
      <queryTableField id="2161" name="20143" tableColumnId="2161"/>
      <queryTableField id="2162" name="20144" tableColumnId="2162"/>
      <queryTableField id="2163" name="20147" tableColumnId="2163"/>
      <queryTableField id="2164" name="20148" tableColumnId="2164"/>
      <queryTableField id="2165" name="20151" tableColumnId="2165"/>
      <queryTableField id="2166" name="20152" tableColumnId="2166"/>
      <queryTableField id="2167" name="20155" tableColumnId="2167"/>
      <queryTableField id="2168" name="20158" tableColumnId="2168"/>
      <queryTableField id="2169" name="20164" tableColumnId="2169"/>
      <queryTableField id="2170" name="20165" tableColumnId="2170"/>
      <queryTableField id="2171" name="20166" tableColumnId="2171"/>
      <queryTableField id="2172" name="20169" tableColumnId="2172"/>
      <queryTableField id="2173" name="20170" tableColumnId="2173"/>
      <queryTableField id="2174" name="20171" tableColumnId="2174"/>
      <queryTableField id="2175" name="20175" tableColumnId="2175"/>
      <queryTableField id="2176" name="20176" tableColumnId="2176"/>
      <queryTableField id="2177" name="20180" tableColumnId="2177"/>
      <queryTableField id="2178" name="20181" tableColumnId="2178"/>
      <queryTableField id="2179" name="20184" tableColumnId="2179"/>
      <queryTableField id="2180" name="20186" tableColumnId="2180"/>
      <queryTableField id="2181" name="20187" tableColumnId="2181"/>
      <queryTableField id="2182" name="20190" tableColumnId="2182"/>
      <queryTableField id="2183" name="20191" tableColumnId="2183"/>
      <queryTableField id="2184" name="20194" tableColumnId="2184"/>
      <queryTableField id="2185" name="20197" tableColumnId="2185"/>
      <queryTableField id="2186" name="20198" tableColumnId="2186"/>
      <queryTableField id="2187" name="22003" tableColumnId="2187"/>
      <queryTableField id="2188" name="22015" tableColumnId="2188"/>
      <queryTableField id="2189" name="22025" tableColumnId="2189"/>
      <queryTableField id="2190" name="22026" tableColumnId="2190"/>
      <queryTableField id="2191" name="22027" tableColumnId="2191"/>
      <queryTableField id="2192" name="22030" tableColumnId="2192"/>
      <queryTableField id="2193" name="22031" tableColumnId="2193"/>
      <queryTableField id="2194" name="22032" tableColumnId="2194"/>
      <queryTableField id="2195" name="22033" tableColumnId="2195"/>
      <queryTableField id="2196" name="22035" tableColumnId="2196"/>
      <queryTableField id="2197" name="22039" tableColumnId="2197"/>
      <queryTableField id="2198" name="22041" tableColumnId="2198"/>
      <queryTableField id="2199" name="22042" tableColumnId="2199"/>
      <queryTableField id="2200" name="22043" tableColumnId="2200"/>
      <queryTableField id="2201" name="22044" tableColumnId="2201"/>
      <queryTableField id="2202" name="22046" tableColumnId="2202"/>
      <queryTableField id="2203" name="22060" tableColumnId="2203"/>
      <queryTableField id="2204" name="22066" tableColumnId="2204"/>
      <queryTableField id="2205" name="22079" tableColumnId="2205"/>
      <queryTableField id="2206" name="22101" tableColumnId="2206"/>
      <queryTableField id="2207" name="22102" tableColumnId="2207"/>
      <queryTableField id="2208" name="22124" tableColumnId="2208"/>
      <queryTableField id="2209" name="22125" tableColumnId="2209"/>
      <queryTableField id="2210" name="22134" tableColumnId="2210"/>
      <queryTableField id="2211" name="22150" tableColumnId="2211"/>
      <queryTableField id="2212" name="22151" tableColumnId="2212"/>
      <queryTableField id="2213" name="22152" tableColumnId="2213"/>
      <queryTableField id="2214" name="22153" tableColumnId="2214"/>
      <queryTableField id="2215" name="22172" tableColumnId="2215"/>
      <queryTableField id="2216" name="22180" tableColumnId="2216"/>
      <queryTableField id="2217" name="22181" tableColumnId="2217"/>
      <queryTableField id="2218" name="22182" tableColumnId="2218"/>
      <queryTableField id="2219" name="22191" tableColumnId="2219"/>
      <queryTableField id="2220" name="22192" tableColumnId="2220"/>
      <queryTableField id="2221" name="22193" tableColumnId="2221"/>
      <queryTableField id="2222" name="22201" tableColumnId="2222"/>
      <queryTableField id="2223" name="22202" tableColumnId="2223"/>
      <queryTableField id="2224" name="22203" tableColumnId="2224"/>
      <queryTableField id="2225" name="22204" tableColumnId="2225"/>
      <queryTableField id="2226" name="22205" tableColumnId="2226"/>
      <queryTableField id="2227" name="22206" tableColumnId="2227"/>
      <queryTableField id="2228" name="22207" tableColumnId="2228"/>
      <queryTableField id="2229" name="22209" tableColumnId="2229"/>
      <queryTableField id="2230" name="22211" tableColumnId="2230"/>
      <queryTableField id="2231" name="22213" tableColumnId="2231"/>
      <queryTableField id="2232" name="22214" tableColumnId="2232"/>
      <queryTableField id="2233" name="22301" tableColumnId="2233"/>
      <queryTableField id="2234" name="22302" tableColumnId="2234"/>
      <queryTableField id="2235" name="22303" tableColumnId="2235"/>
      <queryTableField id="2236" name="22304" tableColumnId="2236"/>
      <queryTableField id="2237" name="22305" tableColumnId="2237"/>
      <queryTableField id="2238" name="22306" tableColumnId="2238"/>
      <queryTableField id="2239" name="22307" tableColumnId="2239"/>
      <queryTableField id="2240" name="22308" tableColumnId="2240"/>
      <queryTableField id="2241" name="22309" tableColumnId="2241"/>
      <queryTableField id="2242" name="22310" tableColumnId="2242"/>
      <queryTableField id="2243" name="22311" tableColumnId="2243"/>
      <queryTableField id="2244" name="22312" tableColumnId="2244"/>
      <queryTableField id="2245" name="22314" tableColumnId="2245"/>
      <queryTableField id="2246" name="22315" tableColumnId="2246"/>
      <queryTableField id="2247" name="22401" tableColumnId="2247"/>
      <queryTableField id="2248" name="22405" tableColumnId="2248"/>
      <queryTableField id="2249" name="22406" tableColumnId="2249"/>
      <queryTableField id="2250" name="22407" tableColumnId="2250"/>
      <queryTableField id="2251" name="22408" tableColumnId="2251"/>
      <queryTableField id="2252" name="22427" tableColumnId="2252"/>
      <queryTableField id="2253" name="22432" tableColumnId="2253"/>
      <queryTableField id="2254" name="22433" tableColumnId="2254"/>
      <queryTableField id="2255" name="22435" tableColumnId="2255"/>
      <queryTableField id="2256" name="22436" tableColumnId="2256"/>
      <queryTableField id="2257" name="22437" tableColumnId="2257"/>
      <queryTableField id="2258" name="22438" tableColumnId="2258"/>
      <queryTableField id="2259" name="22443" tableColumnId="2259"/>
      <queryTableField id="2260" name="22448" tableColumnId="2260"/>
      <queryTableField id="2261" name="22454" tableColumnId="2261"/>
      <queryTableField id="2262" name="22460" tableColumnId="2262"/>
      <queryTableField id="2263" name="22469" tableColumnId="2263"/>
      <queryTableField id="2264" name="22472" tableColumnId="2264"/>
      <queryTableField id="2265" name="22473" tableColumnId="2265"/>
      <queryTableField id="2266" name="22476" tableColumnId="2266"/>
      <queryTableField id="2267" name="22480" tableColumnId="2267"/>
      <queryTableField id="2268" name="22482" tableColumnId="2268"/>
      <queryTableField id="2269" name="22485" tableColumnId="2269"/>
      <queryTableField id="2270" name="22488" tableColumnId="2270"/>
      <queryTableField id="2271" name="22503" tableColumnId="2271"/>
      <queryTableField id="2272" name="22504" tableColumnId="2272"/>
      <queryTableField id="2273" name="22508" tableColumnId="2273"/>
      <queryTableField id="2274" name="22509" tableColumnId="2274"/>
      <queryTableField id="2275" name="22511" tableColumnId="2275"/>
      <queryTableField id="2276" name="22514" tableColumnId="2276"/>
      <queryTableField id="2277" name="22520" tableColumnId="2277"/>
      <queryTableField id="2278" name="22529" tableColumnId="2278"/>
      <queryTableField id="2279" name="22534" tableColumnId="2279"/>
      <queryTableField id="2280" name="22535" tableColumnId="2280"/>
      <queryTableField id="2281" name="22538" tableColumnId="2281"/>
      <queryTableField id="2282" name="22539" tableColumnId="2282"/>
      <queryTableField id="2283" name="22542" tableColumnId="2283"/>
      <queryTableField id="2284" name="22546" tableColumnId="2284"/>
      <queryTableField id="2285" name="22548" tableColumnId="2285"/>
      <queryTableField id="2286" name="22551" tableColumnId="2286"/>
      <queryTableField id="2287" name="22553" tableColumnId="2287"/>
      <queryTableField id="2288" name="22554" tableColumnId="2288"/>
      <queryTableField id="2289" name="22556" tableColumnId="2289"/>
      <queryTableField id="2290" name="22560" tableColumnId="2290"/>
      <queryTableField id="2291" name="22567" tableColumnId="2291"/>
      <queryTableField id="2292" name="22572" tableColumnId="2292"/>
      <queryTableField id="2293" name="22576" tableColumnId="2293"/>
      <queryTableField id="2294" name="22578" tableColumnId="2294"/>
      <queryTableField id="2295" name="22580" tableColumnId="2295"/>
      <queryTableField id="2296" name="22601" tableColumnId="2296"/>
      <queryTableField id="2297" name="22602" tableColumnId="2297"/>
      <queryTableField id="2298" name="22603" tableColumnId="2298"/>
      <queryTableField id="2299" name="22610" tableColumnId="2299"/>
      <queryTableField id="2300" name="22611" tableColumnId="2300"/>
      <queryTableField id="2301" name="22620" tableColumnId="2301"/>
      <queryTableField id="2302" name="22623" tableColumnId="2302"/>
      <queryTableField id="2303" name="22624" tableColumnId="2303"/>
      <queryTableField id="2304" name="22625" tableColumnId="2304"/>
      <queryTableField id="2305" name="22627" tableColumnId="2305"/>
      <queryTableField id="2306" name="22630" tableColumnId="2306"/>
      <queryTableField id="2307" name="22637" tableColumnId="2307"/>
      <queryTableField id="2308" name="22639" tableColumnId="2308"/>
      <queryTableField id="2309" name="22640" tableColumnId="2309"/>
      <queryTableField id="2310" name="22641" tableColumnId="2310"/>
      <queryTableField id="2311" name="22642" tableColumnId="2311"/>
      <queryTableField id="2312" name="22643" tableColumnId="2312"/>
      <queryTableField id="2313" name="22644" tableColumnId="2313"/>
      <queryTableField id="2314" name="22645" tableColumnId="2314"/>
      <queryTableField id="2315" name="22646" tableColumnId="2315"/>
      <queryTableField id="2316" name="22650" tableColumnId="2316"/>
      <queryTableField id="2317" name="22652" tableColumnId="2317"/>
      <queryTableField id="2318" name="22654" tableColumnId="2318"/>
      <queryTableField id="2319" name="22655" tableColumnId="2319"/>
      <queryTableField id="2320" name="22656" tableColumnId="2320"/>
      <queryTableField id="2321" name="22657" tableColumnId="2321"/>
      <queryTableField id="2322" name="22660" tableColumnId="2322"/>
      <queryTableField id="2323" name="22663" tableColumnId="2323"/>
      <queryTableField id="2324" name="22664" tableColumnId="2324"/>
      <queryTableField id="2325" name="22701" tableColumnId="2325"/>
      <queryTableField id="2326" name="22709" tableColumnId="2326"/>
      <queryTableField id="2327" name="22711" tableColumnId="2327"/>
      <queryTableField id="2328" name="22712" tableColumnId="2328"/>
      <queryTableField id="2329" name="22713" tableColumnId="2329"/>
      <queryTableField id="2330" name="22714" tableColumnId="2330"/>
      <queryTableField id="2331" name="22715" tableColumnId="2331"/>
      <queryTableField id="2332" name="22716" tableColumnId="2332"/>
      <queryTableField id="2333" name="22718" tableColumnId="2333"/>
      <queryTableField id="2334" name="22719" tableColumnId="2334"/>
      <queryTableField id="2335" name="22720" tableColumnId="2335"/>
      <queryTableField id="2336" name="22722" tableColumnId="2336"/>
      <queryTableField id="2337" name="22723" tableColumnId="2337"/>
      <queryTableField id="2338" name="22724" tableColumnId="2338"/>
      <queryTableField id="2339" name="22725" tableColumnId="2339"/>
      <queryTableField id="2340" name="22726" tableColumnId="2340"/>
      <queryTableField id="2341" name="22727" tableColumnId="2341"/>
      <queryTableField id="2342" name="22728" tableColumnId="2342"/>
      <queryTableField id="2343" name="22729" tableColumnId="2343"/>
      <queryTableField id="2344" name="22730" tableColumnId="2344"/>
      <queryTableField id="2345" name="22731" tableColumnId="2345"/>
      <queryTableField id="2346" name="22732" tableColumnId="2346"/>
      <queryTableField id="2347" name="22733" tableColumnId="2347"/>
      <queryTableField id="2348" name="22734" tableColumnId="2348"/>
      <queryTableField id="2349" name="22735" tableColumnId="2349"/>
      <queryTableField id="2350" name="22736" tableColumnId="2350"/>
      <queryTableField id="2351" name="22737" tableColumnId="2351"/>
      <queryTableField id="2352" name="22738" tableColumnId="2352"/>
      <queryTableField id="2353" name="22740" tableColumnId="2353"/>
      <queryTableField id="2354" name="22741" tableColumnId="2354"/>
      <queryTableField id="2355" name="22742" tableColumnId="2355"/>
      <queryTableField id="2356" name="22743" tableColumnId="2356"/>
      <queryTableField id="2357" name="22746" tableColumnId="2357"/>
      <queryTableField id="2358" name="22747" tableColumnId="2358"/>
      <queryTableField id="2359" name="22749" tableColumnId="2359"/>
      <queryTableField id="2360" name="22801" tableColumnId="2360"/>
      <queryTableField id="2361" name="22802" tableColumnId="2361"/>
      <queryTableField id="2362" name="22807" tableColumnId="2362"/>
      <queryTableField id="2363" name="22810" tableColumnId="2363"/>
      <queryTableField id="2364" name="22811" tableColumnId="2364"/>
      <queryTableField id="2365" name="22812" tableColumnId="2365"/>
      <queryTableField id="2366" name="22815" tableColumnId="2366"/>
      <queryTableField id="2367" name="22820" tableColumnId="2367"/>
      <queryTableField id="2368" name="22821" tableColumnId="2368"/>
      <queryTableField id="2369" name="22824" tableColumnId="2369"/>
      <queryTableField id="2370" name="22827" tableColumnId="2370"/>
      <queryTableField id="2371" name="22830" tableColumnId="2371"/>
      <queryTableField id="2372" name="22831" tableColumnId="2372"/>
      <queryTableField id="2373" name="22832" tableColumnId="2373"/>
      <queryTableField id="2374" name="22834" tableColumnId="2374"/>
      <queryTableField id="2375" name="22835" tableColumnId="2375"/>
      <queryTableField id="2376" name="22840" tableColumnId="2376"/>
      <queryTableField id="2377" name="22841" tableColumnId="2377"/>
      <queryTableField id="2378" name="22842" tableColumnId="2378"/>
      <queryTableField id="2379" name="22843" tableColumnId="2379"/>
      <queryTableField id="2380" name="22844" tableColumnId="2380"/>
      <queryTableField id="2381" name="22845" tableColumnId="2381"/>
      <queryTableField id="2382" name="22846" tableColumnId="2382"/>
      <queryTableField id="2383" name="22847" tableColumnId="2383"/>
      <queryTableField id="2384" name="22849" tableColumnId="2384"/>
      <queryTableField id="2385" name="22850" tableColumnId="2385"/>
      <queryTableField id="2386" name="22851" tableColumnId="2386"/>
      <queryTableField id="2387" name="22853" tableColumnId="2387"/>
      <queryTableField id="2388" name="22901" tableColumnId="2388"/>
      <queryTableField id="2389" name="22902" tableColumnId="2389"/>
      <queryTableField id="2390" name="22903" tableColumnId="2390"/>
      <queryTableField id="2391" name="22904" tableColumnId="2391"/>
      <queryTableField id="2392" name="22908" tableColumnId="2392"/>
      <queryTableField id="2393" name="22911" tableColumnId="2393"/>
      <queryTableField id="2394" name="22920" tableColumnId="2394"/>
      <queryTableField id="2395" name="22922" tableColumnId="2395"/>
      <queryTableField id="2396" name="22923" tableColumnId="2396"/>
      <queryTableField id="2397" name="22931" tableColumnId="2397"/>
      <queryTableField id="2398" name="22932" tableColumnId="2398"/>
      <queryTableField id="2399" name="22935" tableColumnId="2399"/>
      <queryTableField id="2400" name="22936" tableColumnId="2400"/>
      <queryTableField id="2401" name="22937" tableColumnId="2401"/>
      <queryTableField id="2402" name="22938" tableColumnId="2402"/>
      <queryTableField id="2403" name="22939" tableColumnId="2403"/>
      <queryTableField id="2404" name="22940" tableColumnId="2404"/>
      <queryTableField id="2405" name="22942" tableColumnId="2405"/>
      <queryTableField id="2406" name="22943" tableColumnId="2406"/>
      <queryTableField id="2407" name="22946" tableColumnId="2407"/>
      <queryTableField id="2408" name="22947" tableColumnId="2408"/>
      <queryTableField id="2409" name="22948" tableColumnId="2409"/>
      <queryTableField id="2410" name="22949" tableColumnId="2410"/>
      <queryTableField id="2411" name="22952" tableColumnId="2411"/>
      <queryTableField id="2412" name="22957" tableColumnId="2412"/>
      <queryTableField id="2413" name="22958" tableColumnId="2413"/>
      <queryTableField id="2414" name="22959" tableColumnId="2414"/>
      <queryTableField id="2415" name="22960" tableColumnId="2415"/>
      <queryTableField id="2416" name="22963" tableColumnId="2416"/>
      <queryTableField id="2417" name="22964" tableColumnId="2417"/>
      <queryTableField id="2418" name="22967" tableColumnId="2418"/>
      <queryTableField id="2419" name="22968" tableColumnId="2419"/>
      <queryTableField id="2420" name="22969" tableColumnId="2420"/>
      <queryTableField id="2421" name="22971" tableColumnId="2421"/>
      <queryTableField id="2422" name="22972" tableColumnId="2422"/>
      <queryTableField id="2423" name="22973" tableColumnId="2423"/>
      <queryTableField id="2424" name="22974" tableColumnId="2424"/>
      <queryTableField id="2425" name="22976" tableColumnId="2425"/>
      <queryTableField id="2426" name="22980" tableColumnId="2426"/>
      <queryTableField id="2427" name="22989" tableColumnId="2427"/>
      <queryTableField id="2428" name="23002" tableColumnId="2428"/>
      <queryTableField id="2429" name="23004" tableColumnId="2429"/>
      <queryTableField id="2430" name="23005" tableColumnId="2430"/>
      <queryTableField id="2431" name="23009" tableColumnId="2431"/>
      <queryTableField id="2432" name="23011" tableColumnId="2432"/>
      <queryTableField id="2433" name="23015" tableColumnId="2433"/>
      <queryTableField id="2434" name="23021" tableColumnId="2434"/>
      <queryTableField id="2435" name="23022" tableColumnId="2435"/>
      <queryTableField id="2436" name="23023" tableColumnId="2436"/>
      <queryTableField id="2437" name="23024" tableColumnId="2437"/>
      <queryTableField id="2438" name="23025" tableColumnId="2438"/>
      <queryTableField id="2439" name="23027" tableColumnId="2439"/>
      <queryTableField id="2440" name="23030" tableColumnId="2440"/>
      <queryTableField id="2441" name="23032" tableColumnId="2441"/>
      <queryTableField id="2442" name="23035" tableColumnId="2442"/>
      <queryTableField id="2443" name="23038" tableColumnId="2443"/>
      <queryTableField id="2444" name="23039" tableColumnId="2444"/>
      <queryTableField id="2445" name="23040" tableColumnId="2445"/>
      <queryTableField id="2446" name="23043" tableColumnId="2446"/>
      <queryTableField id="2447" name="23045" tableColumnId="2447"/>
      <queryTableField id="2448" name="23047" tableColumnId="2448"/>
      <queryTableField id="2449" name="23050" tableColumnId="2449"/>
      <queryTableField id="2450" name="23055" tableColumnId="2450"/>
      <queryTableField id="2451" name="23056" tableColumnId="2451"/>
      <queryTableField id="2452" name="23059" tableColumnId="2452"/>
      <queryTableField id="2453" name="23060" tableColumnId="2453"/>
      <queryTableField id="2454" name="23061" tableColumnId="2454"/>
      <queryTableField id="2455" name="23062" tableColumnId="2455"/>
      <queryTableField id="2456" name="23063" tableColumnId="2456"/>
      <queryTableField id="2457" name="23065" tableColumnId="2457"/>
      <queryTableField id="2458" name="23066" tableColumnId="2458"/>
      <queryTableField id="2459" name="23068" tableColumnId="2459"/>
      <queryTableField id="2460" name="23069" tableColumnId="2460"/>
      <queryTableField id="2461" name="23070" tableColumnId="2461"/>
      <queryTableField id="2462" name="23071" tableColumnId="2462"/>
      <queryTableField id="2463" name="23072" tableColumnId="2463"/>
      <queryTableField id="2464" name="23075" tableColumnId="2464"/>
      <queryTableField id="2465" name="23076" tableColumnId="2465"/>
      <queryTableField id="2466" name="23079" tableColumnId="2466"/>
      <queryTableField id="2467" name="23081" tableColumnId="2467"/>
      <queryTableField id="2468" name="23083" tableColumnId="2468"/>
      <queryTableField id="2469" name="23084" tableColumnId="2469"/>
      <queryTableField id="2470" name="23085" tableColumnId="2470"/>
      <queryTableField id="2471" name="23086" tableColumnId="2471"/>
      <queryTableField id="2472" name="23089" tableColumnId="2472"/>
      <queryTableField id="2473" name="23091" tableColumnId="2473"/>
      <queryTableField id="2474" name="23092" tableColumnId="2474"/>
      <queryTableField id="2475" name="23093" tableColumnId="2475"/>
      <queryTableField id="2476" name="23102" tableColumnId="2476"/>
      <queryTableField id="2477" name="23103" tableColumnId="2477"/>
      <queryTableField id="2478" name="23106" tableColumnId="2478"/>
      <queryTableField id="2479" name="23108" tableColumnId="2479"/>
      <queryTableField id="2480" name="23109" tableColumnId="2480"/>
      <queryTableField id="2481" name="23110" tableColumnId="2481"/>
      <queryTableField id="2482" name="23111" tableColumnId="2482"/>
      <queryTableField id="2483" name="23112" tableColumnId="2483"/>
      <queryTableField id="2484" name="23113" tableColumnId="2484"/>
      <queryTableField id="2485" name="23114" tableColumnId="2485"/>
      <queryTableField id="2486" name="23116" tableColumnId="2486"/>
      <queryTableField id="2487" name="23117" tableColumnId="2487"/>
      <queryTableField id="2488" name="23119" tableColumnId="2488"/>
      <queryTableField id="2489" name="23120" tableColumnId="2489"/>
      <queryTableField id="2490" name="23123" tableColumnId="2490"/>
      <queryTableField id="2491" name="23124" tableColumnId="2491"/>
      <queryTableField id="2492" name="23126" tableColumnId="2492"/>
      <queryTableField id="2493" name="23128" tableColumnId="2493"/>
      <queryTableField id="2494" name="23129" tableColumnId="2494"/>
      <queryTableField id="2495" name="23130" tableColumnId="2495"/>
      <queryTableField id="2496" name="23138" tableColumnId="2496"/>
      <queryTableField id="2497" name="23139" tableColumnId="2497"/>
      <queryTableField id="2498" name="23140" tableColumnId="2498"/>
      <queryTableField id="2499" name="23141" tableColumnId="2499"/>
      <queryTableField id="2500" name="23146" tableColumnId="2500"/>
      <queryTableField id="2501" name="23147" tableColumnId="2501"/>
      <queryTableField id="2502" name="23148" tableColumnId="2502"/>
      <queryTableField id="2503" name="23149" tableColumnId="2503"/>
      <queryTableField id="2504" name="23150" tableColumnId="2504"/>
      <queryTableField id="2505" name="23153" tableColumnId="2505"/>
      <queryTableField id="2506" name="23156" tableColumnId="2506"/>
      <queryTableField id="2507" name="23160" tableColumnId="2507"/>
      <queryTableField id="2508" name="23161" tableColumnId="2508"/>
      <queryTableField id="2509" name="23163" tableColumnId="2509"/>
      <queryTableField id="2510" name="23168" tableColumnId="2510"/>
      <queryTableField id="2511" name="23169" tableColumnId="2511"/>
      <queryTableField id="2512" name="23173" tableColumnId="2512"/>
      <queryTableField id="2513" name="23175" tableColumnId="2513"/>
      <queryTableField id="2514" name="23176" tableColumnId="2514"/>
      <queryTableField id="2515" name="23177" tableColumnId="2515"/>
      <queryTableField id="2516" name="23180" tableColumnId="2516"/>
      <queryTableField id="2517" name="23181" tableColumnId="2517"/>
      <queryTableField id="2518" name="23185" tableColumnId="2518"/>
      <queryTableField id="2519" name="23188" tableColumnId="2519"/>
      <queryTableField id="2520" name="23192" tableColumnId="2520"/>
      <queryTableField id="2521" name="23219" tableColumnId="2521"/>
      <queryTableField id="2522" name="23220" tableColumnId="2522"/>
      <queryTableField id="2523" name="23221" tableColumnId="2523"/>
      <queryTableField id="2524" name="23222" tableColumnId="2524"/>
      <queryTableField id="2525" name="23223" tableColumnId="2525"/>
      <queryTableField id="2526" name="23224" tableColumnId="2526"/>
      <queryTableField id="2527" name="23225" tableColumnId="2527"/>
      <queryTableField id="2528" name="23226" tableColumnId="2528"/>
      <queryTableField id="2529" name="23227" tableColumnId="2529"/>
      <queryTableField id="2530" name="23228" tableColumnId="2530"/>
      <queryTableField id="2531" name="23229" tableColumnId="2531"/>
      <queryTableField id="2532" name="23230" tableColumnId="2532"/>
      <queryTableField id="2533" name="23231" tableColumnId="2533"/>
      <queryTableField id="2534" name="23233" tableColumnId="2534"/>
      <queryTableField id="2535" name="23234" tableColumnId="2535"/>
      <queryTableField id="2536" name="23235" tableColumnId="2536"/>
      <queryTableField id="2537" name="23236" tableColumnId="2537"/>
      <queryTableField id="2538" name="23237" tableColumnId="2538"/>
      <queryTableField id="2539" name="23238" tableColumnId="2539"/>
      <queryTableField id="2540" name="23250" tableColumnId="2540"/>
      <queryTableField id="2541" name="23284" tableColumnId="2541"/>
      <queryTableField id="2542" name="23294" tableColumnId="2542"/>
      <queryTableField id="2543" name="23298" tableColumnId="2543"/>
      <queryTableField id="2544" name="23301" tableColumnId="2544"/>
      <queryTableField id="2545" name="23302" tableColumnId="2545"/>
      <queryTableField id="2546" name="23303" tableColumnId="2546"/>
      <queryTableField id="2547" name="23304" tableColumnId="2547"/>
      <queryTableField id="2548" name="23306" tableColumnId="2548"/>
      <queryTableField id="2549" name="23307" tableColumnId="2549"/>
      <queryTableField id="2550" name="23308" tableColumnId="2550"/>
      <queryTableField id="2551" name="23310" tableColumnId="2551"/>
      <queryTableField id="2552" name="23314" tableColumnId="2552"/>
      <queryTableField id="2553" name="23315" tableColumnId="2553"/>
      <queryTableField id="2554" name="23316" tableColumnId="2554"/>
      <queryTableField id="2555" name="23320" tableColumnId="2555"/>
      <queryTableField id="2556" name="23321" tableColumnId="2556"/>
      <queryTableField id="2557" name="23322" tableColumnId="2557"/>
      <queryTableField id="2558" name="23323" tableColumnId="2558"/>
      <queryTableField id="2559" name="23324" tableColumnId="2559"/>
      <queryTableField id="2560" name="23325" tableColumnId="2560"/>
      <queryTableField id="2561" name="23336" tableColumnId="2561"/>
      <queryTableField id="2562" name="23337" tableColumnId="2562"/>
      <queryTableField id="2563" name="23347" tableColumnId="2563"/>
      <queryTableField id="2564" name="23350" tableColumnId="2564"/>
      <queryTableField id="2565" name="23354" tableColumnId="2565"/>
      <queryTableField id="2566" name="23356" tableColumnId="2566"/>
      <queryTableField id="2567" name="23357" tableColumnId="2567"/>
      <queryTableField id="2568" name="23358" tableColumnId="2568"/>
      <queryTableField id="2569" name="23359" tableColumnId="2569"/>
      <queryTableField id="2570" name="23389" tableColumnId="2570"/>
      <queryTableField id="2571" name="23395" tableColumnId="2571"/>
      <queryTableField id="2572" name="23398" tableColumnId="2572"/>
      <queryTableField id="2573" name="23401" tableColumnId="2573"/>
      <queryTableField id="2574" name="23405" tableColumnId="2574"/>
      <queryTableField id="2575" name="23407" tableColumnId="2575"/>
      <queryTableField id="2576" name="23408" tableColumnId="2576"/>
      <queryTableField id="2577" name="23409" tableColumnId="2577"/>
      <queryTableField id="2578" name="23410" tableColumnId="2578"/>
      <queryTableField id="2579" name="23413" tableColumnId="2579"/>
      <queryTableField id="2580" name="23414" tableColumnId="2580"/>
      <queryTableField id="2581" name="23415" tableColumnId="2581"/>
      <queryTableField id="2582" name="23416" tableColumnId="2582"/>
      <queryTableField id="2583" name="23417" tableColumnId="2583"/>
      <queryTableField id="2584" name="23418" tableColumnId="2584"/>
      <queryTableField id="2585" name="23420" tableColumnId="2585"/>
      <queryTableField id="2586" name="23421" tableColumnId="2586"/>
      <queryTableField id="2587" name="23422" tableColumnId="2587"/>
      <queryTableField id="2588" name="23423" tableColumnId="2588"/>
      <queryTableField id="2589" name="23426" tableColumnId="2589"/>
      <queryTableField id="2590" name="23427" tableColumnId="2590"/>
      <queryTableField id="2591" name="23430" tableColumnId="2591"/>
      <queryTableField id="2592" name="23432" tableColumnId="2592"/>
      <queryTableField id="2593" name="23433" tableColumnId="2593"/>
      <queryTableField id="2594" name="23434" tableColumnId="2594"/>
      <queryTableField id="2595" name="23435" tableColumnId="2595"/>
      <queryTableField id="2596" name="23436" tableColumnId="2596"/>
      <queryTableField id="2597" name="23437" tableColumnId="2597"/>
      <queryTableField id="2598" name="23438" tableColumnId="2598"/>
      <queryTableField id="2599" name="23440" tableColumnId="2599"/>
      <queryTableField id="2600" name="23441" tableColumnId="2600"/>
      <queryTableField id="2601" name="23442" tableColumnId="2601"/>
      <queryTableField id="2602" name="23451" tableColumnId="2602"/>
      <queryTableField id="2603" name="23452" tableColumnId="2603"/>
      <queryTableField id="2604" name="23453" tableColumnId="2604"/>
      <queryTableField id="2605" name="23454" tableColumnId="2605"/>
      <queryTableField id="2606" name="23455" tableColumnId="2606"/>
      <queryTableField id="2607" name="23456" tableColumnId="2607"/>
      <queryTableField id="2608" name="23457" tableColumnId="2608"/>
      <queryTableField id="2609" name="23459" tableColumnId="2609"/>
      <queryTableField id="2610" name="23460" tableColumnId="2610"/>
      <queryTableField id="2611" name="23461" tableColumnId="2611"/>
      <queryTableField id="2612" name="23462" tableColumnId="2612"/>
      <queryTableField id="2613" name="23464" tableColumnId="2613"/>
      <queryTableField id="2614" name="23480" tableColumnId="2614"/>
      <queryTableField id="2615" name="23486" tableColumnId="2615"/>
      <queryTableField id="2616" name="23487" tableColumnId="2616"/>
      <queryTableField id="2617" name="23488" tableColumnId="2617"/>
      <queryTableField id="2618" name="23502" tableColumnId="2618"/>
      <queryTableField id="2619" name="23503" tableColumnId="2619"/>
      <queryTableField id="2620" name="23504" tableColumnId="2620"/>
      <queryTableField id="2621" name="23505" tableColumnId="2621"/>
      <queryTableField id="2622" name="23507" tableColumnId="2622"/>
      <queryTableField id="2623" name="23508" tableColumnId="2623"/>
      <queryTableField id="2624" name="23509" tableColumnId="2624"/>
      <queryTableField id="2625" name="23510" tableColumnId="2625"/>
      <queryTableField id="2626" name="23511" tableColumnId="2626"/>
      <queryTableField id="2627" name="23513" tableColumnId="2627"/>
      <queryTableField id="2628" name="23517" tableColumnId="2628"/>
      <queryTableField id="2629" name="23518" tableColumnId="2629"/>
      <queryTableField id="2630" name="23523" tableColumnId="2630"/>
      <queryTableField id="2631" name="23551" tableColumnId="2631"/>
      <queryTableField id="2632" name="23601" tableColumnId="2632"/>
      <queryTableField id="2633" name="23602" tableColumnId="2633"/>
      <queryTableField id="2634" name="23603" tableColumnId="2634"/>
      <queryTableField id="2635" name="23604" tableColumnId="2635"/>
      <queryTableField id="2636" name="23605" tableColumnId="2636"/>
      <queryTableField id="2637" name="23606" tableColumnId="2637"/>
      <queryTableField id="2638" name="23607" tableColumnId="2638"/>
      <queryTableField id="2639" name="23608" tableColumnId="2639"/>
      <queryTableField id="2640" name="23651" tableColumnId="2640"/>
      <queryTableField id="2641" name="23661" tableColumnId="2641"/>
      <queryTableField id="2642" name="23662" tableColumnId="2642"/>
      <queryTableField id="2643" name="23663" tableColumnId="2643"/>
      <queryTableField id="2644" name="23664" tableColumnId="2644"/>
      <queryTableField id="2645" name="23665" tableColumnId="2645"/>
      <queryTableField id="2646" name="23666" tableColumnId="2646"/>
      <queryTableField id="2647" name="23667" tableColumnId="2647"/>
      <queryTableField id="2648" name="23668" tableColumnId="2648"/>
      <queryTableField id="2649" name="23669" tableColumnId="2649"/>
      <queryTableField id="2650" name="23681" tableColumnId="2650"/>
      <queryTableField id="2651" name="23690" tableColumnId="2651"/>
      <queryTableField id="2652" name="23691" tableColumnId="2652"/>
      <queryTableField id="2653" name="23692" tableColumnId="2653"/>
      <queryTableField id="2654" name="23693" tableColumnId="2654"/>
      <queryTableField id="2655" name="23696" tableColumnId="2655"/>
      <queryTableField id="2656" name="23701" tableColumnId="2656"/>
      <queryTableField id="2657" name="23702" tableColumnId="2657"/>
      <queryTableField id="2658" name="23703" tableColumnId="2658"/>
      <queryTableField id="2659" name="23704" tableColumnId="2659"/>
      <queryTableField id="2660" name="23707" tableColumnId="2660"/>
      <queryTableField id="2661" name="23708" tableColumnId="2661"/>
      <queryTableField id="2662" name="23709" tableColumnId="2662"/>
      <queryTableField id="2663" name="23801" tableColumnId="2663"/>
      <queryTableField id="2664" name="23803" tableColumnId="2664"/>
      <queryTableField id="2665" name="23805" tableColumnId="2665"/>
      <queryTableField id="2666" name="23821" tableColumnId="2666"/>
      <queryTableField id="2667" name="23824" tableColumnId="2667"/>
      <queryTableField id="2668" name="23827" tableColumnId="2668"/>
      <queryTableField id="2669" name="23828" tableColumnId="2669"/>
      <queryTableField id="2670" name="23829" tableColumnId="2670"/>
      <queryTableField id="2671" name="23830" tableColumnId="2671"/>
      <queryTableField id="2672" name="23831" tableColumnId="2672"/>
      <queryTableField id="2673" name="23832" tableColumnId="2673"/>
      <queryTableField id="2674" name="23833" tableColumnId="2674"/>
      <queryTableField id="2675" name="23834" tableColumnId="2675"/>
      <queryTableField id="2676" name="23836" tableColumnId="2676"/>
      <queryTableField id="2677" name="23837" tableColumnId="2677"/>
      <queryTableField id="2678" name="23838" tableColumnId="2678"/>
      <queryTableField id="2679" name="23839" tableColumnId="2679"/>
      <queryTableField id="2680" name="23840" tableColumnId="2680"/>
      <queryTableField id="2681" name="23841" tableColumnId="2681"/>
      <queryTableField id="2682" name="23842" tableColumnId="2682"/>
      <queryTableField id="2683" name="23843" tableColumnId="2683"/>
      <queryTableField id="2684" name="23844" tableColumnId="2684"/>
      <queryTableField id="2685" name="23845" tableColumnId="2685"/>
      <queryTableField id="2686" name="23846" tableColumnId="2686"/>
      <queryTableField id="2687" name="23847" tableColumnId="2687"/>
      <queryTableField id="2688" name="23850" tableColumnId="2688"/>
      <queryTableField id="2689" name="23851" tableColumnId="2689"/>
      <queryTableField id="2690" name="23856" tableColumnId="2690"/>
      <queryTableField id="2691" name="23857" tableColumnId="2691"/>
      <queryTableField id="2692" name="23860" tableColumnId="2692"/>
      <queryTableField id="2693" name="23866" tableColumnId="2693"/>
      <queryTableField id="2694" name="23867" tableColumnId="2694"/>
      <queryTableField id="2695" name="23868" tableColumnId="2695"/>
      <queryTableField id="2696" name="23870" tableColumnId="2696"/>
      <queryTableField id="2697" name="23872" tableColumnId="2697"/>
      <queryTableField id="2698" name="23874" tableColumnId="2698"/>
      <queryTableField id="2699" name="23875" tableColumnId="2699"/>
      <queryTableField id="2700" name="23876" tableColumnId="2700"/>
      <queryTableField id="2701" name="23878" tableColumnId="2701"/>
      <queryTableField id="2702" name="23879" tableColumnId="2702"/>
      <queryTableField id="2703" name="23881" tableColumnId="2703"/>
      <queryTableField id="2704" name="23882" tableColumnId="2704"/>
      <queryTableField id="2705" name="23883" tableColumnId="2705"/>
      <queryTableField id="2706" name="23884" tableColumnId="2706"/>
      <queryTableField id="2707" name="23885" tableColumnId="2707"/>
      <queryTableField id="2708" name="23887" tableColumnId="2708"/>
      <queryTableField id="2709" name="23888" tableColumnId="2709"/>
      <queryTableField id="2710" name="23889" tableColumnId="2710"/>
      <queryTableField id="2711" name="23890" tableColumnId="2711"/>
      <queryTableField id="2712" name="23891" tableColumnId="2712"/>
      <queryTableField id="2713" name="23893" tableColumnId="2713"/>
      <queryTableField id="2714" name="23894" tableColumnId="2714"/>
      <queryTableField id="2715" name="23897" tableColumnId="2715"/>
      <queryTableField id="2716" name="23898" tableColumnId="2716"/>
      <queryTableField id="2717" name="23899" tableColumnId="2717"/>
      <queryTableField id="2718" name="23901" tableColumnId="2718"/>
      <queryTableField id="2719" name="23909" tableColumnId="2719"/>
      <queryTableField id="2720" name="23915" tableColumnId="2720"/>
      <queryTableField id="2721" name="23917" tableColumnId="2721"/>
      <queryTableField id="2722" name="23919" tableColumnId="2722"/>
      <queryTableField id="2723" name="23920" tableColumnId="2723"/>
      <queryTableField id="2724" name="23921" tableColumnId="2724"/>
      <queryTableField id="2725" name="23922" tableColumnId="2725"/>
      <queryTableField id="2726" name="23923" tableColumnId="2726"/>
      <queryTableField id="2727" name="23924" tableColumnId="2727"/>
      <queryTableField id="2728" name="23927" tableColumnId="2728"/>
      <queryTableField id="2729" name="23930" tableColumnId="2729"/>
      <queryTableField id="2730" name="23934" tableColumnId="2730"/>
      <queryTableField id="2731" name="23936" tableColumnId="2731"/>
      <queryTableField id="2732" name="23937" tableColumnId="2732"/>
      <queryTableField id="2733" name="23938" tableColumnId="2733"/>
      <queryTableField id="2734" name="23942" tableColumnId="2734"/>
      <queryTableField id="2735" name="23943" tableColumnId="2735"/>
      <queryTableField id="2736" name="23944" tableColumnId="2736"/>
      <queryTableField id="2737" name="23947" tableColumnId="2737"/>
      <queryTableField id="2738" name="23950" tableColumnId="2738"/>
      <queryTableField id="2739" name="23952" tableColumnId="2739"/>
      <queryTableField id="2740" name="23954" tableColumnId="2740"/>
      <queryTableField id="2741" name="23955" tableColumnId="2741"/>
      <queryTableField id="2742" name="23958" tableColumnId="2742"/>
      <queryTableField id="2743" name="23959" tableColumnId="2743"/>
      <queryTableField id="2744" name="23960" tableColumnId="2744"/>
      <queryTableField id="2745" name="23962" tableColumnId="2745"/>
      <queryTableField id="2746" name="23963" tableColumnId="2746"/>
      <queryTableField id="2747" name="23964" tableColumnId="2747"/>
      <queryTableField id="2748" name="23966" tableColumnId="2748"/>
      <queryTableField id="2749" name="23967" tableColumnId="2749"/>
      <queryTableField id="2750" name="23968" tableColumnId="2750"/>
      <queryTableField id="2751" name="23970" tableColumnId="2751"/>
      <queryTableField id="2752" name="23974" tableColumnId="2752"/>
      <queryTableField id="2753" name="23976" tableColumnId="2753"/>
      <queryTableField id="2754" name="24011" tableColumnId="2754"/>
      <queryTableField id="2755" name="24012" tableColumnId="2755"/>
      <queryTableField id="2756" name="24013" tableColumnId="2756"/>
      <queryTableField id="2757" name="24014" tableColumnId="2757"/>
      <queryTableField id="2758" name="24015" tableColumnId="2758"/>
      <queryTableField id="2759" name="24016" tableColumnId="2759"/>
      <queryTableField id="2760" name="24017" tableColumnId="2760"/>
      <queryTableField id="2761" name="24018" tableColumnId="2761"/>
      <queryTableField id="2762" name="24019" tableColumnId="2762"/>
      <queryTableField id="2763" name="24020" tableColumnId="2763"/>
      <queryTableField id="2764" name="24022" tableColumnId="2764"/>
      <queryTableField id="2765" name="24053" tableColumnId="2765"/>
      <queryTableField id="2766" name="24054" tableColumnId="2766"/>
      <queryTableField id="2767" name="24055" tableColumnId="2767"/>
      <queryTableField id="2768" name="24058" tableColumnId="2768"/>
      <queryTableField id="2769" name="24059" tableColumnId="2769"/>
      <queryTableField id="2770" name="24060" tableColumnId="2770"/>
      <queryTableField id="2771" name="24061" tableColumnId="2771"/>
      <queryTableField id="2772" name="24064" tableColumnId="2772"/>
      <queryTableField id="2773" name="24065" tableColumnId="2773"/>
      <queryTableField id="2774" name="24066" tableColumnId="2774"/>
      <queryTableField id="2775" name="24067" tableColumnId="2775"/>
      <queryTableField id="2776" name="24069" tableColumnId="2776"/>
      <queryTableField id="2777" name="24070" tableColumnId="2777"/>
      <queryTableField id="2778" name="24072" tableColumnId="2778"/>
      <queryTableField id="2779" name="24073" tableColumnId="2779"/>
      <queryTableField id="2780" name="24076" tableColumnId="2780"/>
      <queryTableField id="2781" name="24077" tableColumnId="2781"/>
      <queryTableField id="2782" name="24078" tableColumnId="2782"/>
      <queryTableField id="2783" name="24079" tableColumnId="2783"/>
      <queryTableField id="2784" name="24082" tableColumnId="2784"/>
      <queryTableField id="2785" name="24083" tableColumnId="2785"/>
      <queryTableField id="2786" name="24084" tableColumnId="2786"/>
      <queryTableField id="2787" name="24085" tableColumnId="2787"/>
      <queryTableField id="2788" name="24086" tableColumnId="2788"/>
      <queryTableField id="2789" name="24087" tableColumnId="2789"/>
      <queryTableField id="2790" name="24088" tableColumnId="2790"/>
      <queryTableField id="2791" name="24089" tableColumnId="2791"/>
      <queryTableField id="2792" name="24090" tableColumnId="2792"/>
      <queryTableField id="2793" name="24091" tableColumnId="2793"/>
      <queryTableField id="2794" name="24092" tableColumnId="2794"/>
      <queryTableField id="2795" name="24093" tableColumnId="2795"/>
      <queryTableField id="2796" name="24095" tableColumnId="2796"/>
      <queryTableField id="2797" name="24101" tableColumnId="2797"/>
      <queryTableField id="2798" name="24102" tableColumnId="2798"/>
      <queryTableField id="2799" name="24104" tableColumnId="2799"/>
      <queryTableField id="2800" name="24105" tableColumnId="2800"/>
      <queryTableField id="2801" name="24112" tableColumnId="2801"/>
      <queryTableField id="2802" name="24120" tableColumnId="2802"/>
      <queryTableField id="2803" name="24121" tableColumnId="2803"/>
      <queryTableField id="2804" name="24122" tableColumnId="2804"/>
      <queryTableField id="2805" name="24124" tableColumnId="2805"/>
      <queryTableField id="2806" name="24127" tableColumnId="2806"/>
      <queryTableField id="2807" name="24128" tableColumnId="2807"/>
      <queryTableField id="2808" name="24129" tableColumnId="2808"/>
      <queryTableField id="2809" name="24131" tableColumnId="2809"/>
      <queryTableField id="2810" name="24132" tableColumnId="2810"/>
      <queryTableField id="2811" name="24133" tableColumnId="2811"/>
      <queryTableField id="2812" name="24134" tableColumnId="2812"/>
      <queryTableField id="2813" name="24136" tableColumnId="2813"/>
      <queryTableField id="2814" name="24137" tableColumnId="2814"/>
      <queryTableField id="2815" name="24138" tableColumnId="2815"/>
      <queryTableField id="2816" name="24139" tableColumnId="2816"/>
      <queryTableField id="2817" name="24141" tableColumnId="2817"/>
      <queryTableField id="2818" name="24142" tableColumnId="2818"/>
      <queryTableField id="2819" name="24147" tableColumnId="2819"/>
      <queryTableField id="2820" name="24148" tableColumnId="2820"/>
      <queryTableField id="2821" name="24149" tableColumnId="2821"/>
      <queryTableField id="2822" name="24150" tableColumnId="2822"/>
      <queryTableField id="2823" name="24151" tableColumnId="2823"/>
      <queryTableField id="2824" name="24153" tableColumnId="2824"/>
      <queryTableField id="2825" name="24161" tableColumnId="2825"/>
      <queryTableField id="2826" name="24162" tableColumnId="2826"/>
      <queryTableField id="2827" name="24165" tableColumnId="2827"/>
      <queryTableField id="2828" name="24167" tableColumnId="2828"/>
      <queryTableField id="2829" name="24168" tableColumnId="2829"/>
      <queryTableField id="2830" name="24171" tableColumnId="2830"/>
      <queryTableField id="2831" name="24174" tableColumnId="2831"/>
      <queryTableField id="2832" name="24175" tableColumnId="2832"/>
      <queryTableField id="2833" name="24176" tableColumnId="2833"/>
      <queryTableField id="2834" name="24179" tableColumnId="2834"/>
      <queryTableField id="2835" name="24184" tableColumnId="2835"/>
      <queryTableField id="2836" name="24185" tableColumnId="2836"/>
      <queryTableField id="2837" name="24201" tableColumnId="2837"/>
      <queryTableField id="2838" name="24202" tableColumnId="2838"/>
      <queryTableField id="2839" name="24210" tableColumnId="2839"/>
      <queryTableField id="2840" name="24211" tableColumnId="2840"/>
      <queryTableField id="2841" name="24216" tableColumnId="2841"/>
      <queryTableField id="2842" name="24217" tableColumnId="2842"/>
      <queryTableField id="2843" name="24219" tableColumnId="2843"/>
      <queryTableField id="2844" name="24220" tableColumnId="2844"/>
      <queryTableField id="2845" name="24221" tableColumnId="2845"/>
      <queryTableField id="2846" name="24224" tableColumnId="2846"/>
      <queryTableField id="2847" name="24225" tableColumnId="2847"/>
      <queryTableField id="2848" name="24226" tableColumnId="2848"/>
      <queryTableField id="2849" name="24228" tableColumnId="2849"/>
      <queryTableField id="2850" name="24230" tableColumnId="2850"/>
      <queryTableField id="2851" name="24236" tableColumnId="2851"/>
      <queryTableField id="2852" name="24237" tableColumnId="2852"/>
      <queryTableField id="2853" name="24239" tableColumnId="2853"/>
      <queryTableField id="2854" name="24243" tableColumnId="2854"/>
      <queryTableField id="2855" name="24244" tableColumnId="2855"/>
      <queryTableField id="2856" name="24245" tableColumnId="2856"/>
      <queryTableField id="2857" name="24246" tableColumnId="2857"/>
      <queryTableField id="2858" name="24248" tableColumnId="2858"/>
      <queryTableField id="2859" name="24250" tableColumnId="2859"/>
      <queryTableField id="2860" name="24251" tableColumnId="2860"/>
      <queryTableField id="2861" name="24256" tableColumnId="2861"/>
      <queryTableField id="2862" name="24258" tableColumnId="2862"/>
      <queryTableField id="2863" name="24260" tableColumnId="2863"/>
      <queryTableField id="2864" name="24263" tableColumnId="2864"/>
      <queryTableField id="2865" name="24265" tableColumnId="2865"/>
      <queryTableField id="2866" name="24266" tableColumnId="2866"/>
      <queryTableField id="2867" name="24269" tableColumnId="2867"/>
      <queryTableField id="2868" name="24270" tableColumnId="2868"/>
      <queryTableField id="2869" name="24271" tableColumnId="2869"/>
      <queryTableField id="2870" name="24272" tableColumnId="2870"/>
      <queryTableField id="2871" name="24273" tableColumnId="2871"/>
      <queryTableField id="2872" name="24277" tableColumnId="2872"/>
      <queryTableField id="2873" name="24279" tableColumnId="2873"/>
      <queryTableField id="2874" name="24280" tableColumnId="2874"/>
      <queryTableField id="2875" name="24281" tableColumnId="2875"/>
      <queryTableField id="2876" name="24282" tableColumnId="2876"/>
      <queryTableField id="2877" name="24283" tableColumnId="2877"/>
      <queryTableField id="2878" name="24290" tableColumnId="2878"/>
      <queryTableField id="2879" name="24292" tableColumnId="2879"/>
      <queryTableField id="2880" name="24293" tableColumnId="2880"/>
      <queryTableField id="2881" name="24301" tableColumnId="2881"/>
      <queryTableField id="2882" name="24311" tableColumnId="2882"/>
      <queryTableField id="2883" name="24312" tableColumnId="2883"/>
      <queryTableField id="2884" name="24313" tableColumnId="2884"/>
      <queryTableField id="2885" name="24314" tableColumnId="2885"/>
      <queryTableField id="2886" name="24315" tableColumnId="2886"/>
      <queryTableField id="2887" name="24316" tableColumnId="2887"/>
      <queryTableField id="2888" name="24317" tableColumnId="2888"/>
      <queryTableField id="2889" name="24318" tableColumnId="2889"/>
      <queryTableField id="2890" name="24319" tableColumnId="2890"/>
      <queryTableField id="2891" name="24322" tableColumnId="2891"/>
      <queryTableField id="2892" name="24323" tableColumnId="2892"/>
      <queryTableField id="2893" name="24324" tableColumnId="2893"/>
      <queryTableField id="2894" name="24325" tableColumnId="2894"/>
      <queryTableField id="2895" name="24326" tableColumnId="2895"/>
      <queryTableField id="2896" name="24327" tableColumnId="2896"/>
      <queryTableField id="2897" name="24328" tableColumnId="2897"/>
      <queryTableField id="2898" name="24330" tableColumnId="2898"/>
      <queryTableField id="2899" name="24333" tableColumnId="2899"/>
      <queryTableField id="2900" name="24340" tableColumnId="2900"/>
      <queryTableField id="2901" name="24343" tableColumnId="2901"/>
      <queryTableField id="2902" name="24347" tableColumnId="2902"/>
      <queryTableField id="2903" name="24348" tableColumnId="2903"/>
      <queryTableField id="2904" name="24350" tableColumnId="2904"/>
      <queryTableField id="2905" name="24351" tableColumnId="2905"/>
      <queryTableField id="2906" name="24352" tableColumnId="2906"/>
      <queryTableField id="2907" name="24354" tableColumnId="2907"/>
      <queryTableField id="2908" name="24360" tableColumnId="2908"/>
      <queryTableField id="2909" name="24361" tableColumnId="2909"/>
      <queryTableField id="2910" name="24363" tableColumnId="2910"/>
      <queryTableField id="2911" name="24366" tableColumnId="2911"/>
      <queryTableField id="2912" name="24368" tableColumnId="2912"/>
      <queryTableField id="2913" name="24370" tableColumnId="2913"/>
      <queryTableField id="2914" name="24374" tableColumnId="2914"/>
      <queryTableField id="2915" name="24375" tableColumnId="2915"/>
      <queryTableField id="2916" name="24377" tableColumnId="2916"/>
      <queryTableField id="2917" name="24378" tableColumnId="2917"/>
      <queryTableField id="2918" name="24380" tableColumnId="2918"/>
      <queryTableField id="2919" name="24381" tableColumnId="2919"/>
      <queryTableField id="2920" name="24382" tableColumnId="2920"/>
      <queryTableField id="2921" name="24401" tableColumnId="2921"/>
      <queryTableField id="2922" name="24411" tableColumnId="2922"/>
      <queryTableField id="2923" name="24412" tableColumnId="2923"/>
      <queryTableField id="2924" name="24413" tableColumnId="2924"/>
      <queryTableField id="2925" name="24415" tableColumnId="2925"/>
      <queryTableField id="2926" name="24416" tableColumnId="2926"/>
      <queryTableField id="2927" name="24421" tableColumnId="2927"/>
      <queryTableField id="2928" name="24422" tableColumnId="2928"/>
      <queryTableField id="2929" name="24426" tableColumnId="2929"/>
      <queryTableField id="2930" name="24430" tableColumnId="2930"/>
      <queryTableField id="2931" name="24431" tableColumnId="2931"/>
      <queryTableField id="2932" name="24432" tableColumnId="2932"/>
      <queryTableField id="2933" name="24433" tableColumnId="2933"/>
      <queryTableField id="2934" name="24435" tableColumnId="2934"/>
      <queryTableField id="2935" name="24437" tableColumnId="2935"/>
      <queryTableField id="2936" name="24439" tableColumnId="2936"/>
      <queryTableField id="2937" name="24440" tableColumnId="2937"/>
      <queryTableField id="2938" name="24441" tableColumnId="2938"/>
      <queryTableField id="2939" name="24442" tableColumnId="2939"/>
      <queryTableField id="2940" name="24445" tableColumnId="2940"/>
      <queryTableField id="2941" name="24448" tableColumnId="2941"/>
      <queryTableField id="2942" name="24450" tableColumnId="2942"/>
      <queryTableField id="2943" name="24457" tableColumnId="2943"/>
      <queryTableField id="2944" name="24458" tableColumnId="2944"/>
      <queryTableField id="2945" name="24459" tableColumnId="2945"/>
      <queryTableField id="2946" name="24460" tableColumnId="2946"/>
      <queryTableField id="2947" name="24464" tableColumnId="2947"/>
      <queryTableField id="2948" name="24465" tableColumnId="2948"/>
      <queryTableField id="2949" name="24467" tableColumnId="2949"/>
      <queryTableField id="2950" name="24469" tableColumnId="2950"/>
      <queryTableField id="2951" name="24471" tableColumnId="2951"/>
      <queryTableField id="2952" name="24472" tableColumnId="2952"/>
      <queryTableField id="2953" name="24473" tableColumnId="2953"/>
      <queryTableField id="2954" name="24474" tableColumnId="2954"/>
      <queryTableField id="2955" name="24476" tableColumnId="2955"/>
      <queryTableField id="2956" name="24477" tableColumnId="2956"/>
      <queryTableField id="2957" name="24479" tableColumnId="2957"/>
      <queryTableField id="2958" name="24482" tableColumnId="2958"/>
      <queryTableField id="2959" name="24483" tableColumnId="2959"/>
      <queryTableField id="2960" name="24484" tableColumnId="2960"/>
      <queryTableField id="2961" name="24485" tableColumnId="2961"/>
      <queryTableField id="2962" name="24486" tableColumnId="2962"/>
      <queryTableField id="2963" name="24487" tableColumnId="2963"/>
      <queryTableField id="2964" name="24501" tableColumnId="2964"/>
      <queryTableField id="2965" name="24502" tableColumnId="2965"/>
      <queryTableField id="2966" name="24503" tableColumnId="2966"/>
      <queryTableField id="2967" name="24504" tableColumnId="2967"/>
      <queryTableField id="2968" name="24515" tableColumnId="2968"/>
      <queryTableField id="2969" name="24517" tableColumnId="2969"/>
      <queryTableField id="2970" name="24520" tableColumnId="2970"/>
      <queryTableField id="2971" name="24521" tableColumnId="2971"/>
      <queryTableField id="2972" name="24522" tableColumnId="2972"/>
      <queryTableField id="2973" name="24523" tableColumnId="2973"/>
      <queryTableField id="2974" name="24526" tableColumnId="2974"/>
      <queryTableField id="2975" name="24527" tableColumnId="2975"/>
      <queryTableField id="2976" name="24528" tableColumnId="2976"/>
      <queryTableField id="2977" name="24529" tableColumnId="2977"/>
      <queryTableField id="2978" name="24530" tableColumnId="2978"/>
      <queryTableField id="2979" name="24531" tableColumnId="2979"/>
      <queryTableField id="2980" name="24534" tableColumnId="2980"/>
      <queryTableField id="2981" name="24536" tableColumnId="2981"/>
      <queryTableField id="2982" name="24538" tableColumnId="2982"/>
      <queryTableField id="2983" name="24539" tableColumnId="2983"/>
      <queryTableField id="2984" name="24540" tableColumnId="2984"/>
      <queryTableField id="2985" name="24541" tableColumnId="2985"/>
      <queryTableField id="2986" name="24549" tableColumnId="2986"/>
      <queryTableField id="2987" name="24550" tableColumnId="2987"/>
      <queryTableField id="2988" name="24551" tableColumnId="2988"/>
      <queryTableField id="2989" name="24553" tableColumnId="2989"/>
      <queryTableField id="2990" name="24554" tableColumnId="2990"/>
      <queryTableField id="2991" name="24555" tableColumnId="2991"/>
      <queryTableField id="2992" name="24556" tableColumnId="2992"/>
      <queryTableField id="2993" name="24557" tableColumnId="2993"/>
      <queryTableField id="2994" name="24558" tableColumnId="2994"/>
      <queryTableField id="2995" name="24562" tableColumnId="2995"/>
      <queryTableField id="2996" name="24563" tableColumnId="2996"/>
      <queryTableField id="2997" name="24565" tableColumnId="2997"/>
      <queryTableField id="2998" name="24566" tableColumnId="2998"/>
      <queryTableField id="2999" name="24569" tableColumnId="2999"/>
      <queryTableField id="3000" name="24570" tableColumnId="3000"/>
      <queryTableField id="3001" name="24571" tableColumnId="3001"/>
      <queryTableField id="3002" name="24572" tableColumnId="3002"/>
      <queryTableField id="3003" name="24574" tableColumnId="3003"/>
      <queryTableField id="3004" name="24577" tableColumnId="3004"/>
      <queryTableField id="3005" name="24578" tableColumnId="3005"/>
      <queryTableField id="3006" name="24579" tableColumnId="3006"/>
      <queryTableField id="3007" name="24580" tableColumnId="3007"/>
      <queryTableField id="3008" name="24581" tableColumnId="3008"/>
      <queryTableField id="3009" name="24586" tableColumnId="3009"/>
      <queryTableField id="3010" name="24588" tableColumnId="3010"/>
      <queryTableField id="3011" name="24589" tableColumnId="3011"/>
      <queryTableField id="3012" name="24590" tableColumnId="3012"/>
      <queryTableField id="3013" name="24592" tableColumnId="3013"/>
      <queryTableField id="3014" name="24593" tableColumnId="3014"/>
      <queryTableField id="3015" name="24594" tableColumnId="3015"/>
      <queryTableField id="3016" name="24595" tableColumnId="3016"/>
      <queryTableField id="3017" name="24597" tableColumnId="3017"/>
      <queryTableField id="3018" name="24598" tableColumnId="3018"/>
      <queryTableField id="3019" name="24599" tableColumnId="3019"/>
      <queryTableField id="3020" name="24601" tableColumnId="3020"/>
      <queryTableField id="3021" name="24602" tableColumnId="3021"/>
      <queryTableField id="3022" name="24603" tableColumnId="3022"/>
      <queryTableField id="3023" name="24604" tableColumnId="3023"/>
      <queryTableField id="3024" name="24605" tableColumnId="3024"/>
      <queryTableField id="3025" name="24606" tableColumnId="3025"/>
      <queryTableField id="3026" name="24607" tableColumnId="3026"/>
      <queryTableField id="3027" name="24609" tableColumnId="3027"/>
      <queryTableField id="3028" name="24612" tableColumnId="3028"/>
      <queryTableField id="3029" name="24613" tableColumnId="3029"/>
      <queryTableField id="3030" name="24614" tableColumnId="3030"/>
      <queryTableField id="3031" name="24620" tableColumnId="3031"/>
      <queryTableField id="3032" name="24622" tableColumnId="3032"/>
      <queryTableField id="3033" name="24630" tableColumnId="3033"/>
      <queryTableField id="3034" name="24631" tableColumnId="3034"/>
      <queryTableField id="3035" name="24634" tableColumnId="3035"/>
      <queryTableField id="3036" name="24635" tableColumnId="3036"/>
      <queryTableField id="3037" name="24637" tableColumnId="3037"/>
      <queryTableField id="3038" name="24639" tableColumnId="3038"/>
      <queryTableField id="3039" name="24641" tableColumnId="3039"/>
      <queryTableField id="3040" name="24646" tableColumnId="3040"/>
      <queryTableField id="3041" name="24649" tableColumnId="3041"/>
      <queryTableField id="3042" name="24651" tableColumnId="3042"/>
      <queryTableField id="3043" name="24656" tableColumnId="3043"/>
      <queryTableField id="3044" name="24657" tableColumnId="3044"/>
      <queryTableField id="3045" name="37642" tableColumnId="3045"/>
      <queryTableField id="3046" name="37752" tableColumnId="3046"/>
      <queryTableField id="3047" name="24701" tableColumnId="3047"/>
      <queryTableField id="3048" name="24712" tableColumnId="3048"/>
      <queryTableField id="3049" name="24714" tableColumnId="3049"/>
      <queryTableField id="3050" name="24715" tableColumnId="3050"/>
      <queryTableField id="3051" name="24716" tableColumnId="3051"/>
      <queryTableField id="3052" name="24719" tableColumnId="3052"/>
      <queryTableField id="3053" name="24724" tableColumnId="3053"/>
      <queryTableField id="3054" name="24726" tableColumnId="3054"/>
      <queryTableField id="3055" name="24729" tableColumnId="3055"/>
      <queryTableField id="3056" name="24731" tableColumnId="3056"/>
      <queryTableField id="3057" name="24733" tableColumnId="3057"/>
      <queryTableField id="3058" name="24736" tableColumnId="3058"/>
      <queryTableField id="3059" name="24737" tableColumnId="3059"/>
      <queryTableField id="3060" name="24738" tableColumnId="3060"/>
      <queryTableField id="3061" name="24739" tableColumnId="3061"/>
      <queryTableField id="3062" name="24740" tableColumnId="3062"/>
      <queryTableField id="3063" name="24747" tableColumnId="3063"/>
      <queryTableField id="3064" name="24801" tableColumnId="3064"/>
      <queryTableField id="3065" name="24808" tableColumnId="3065"/>
      <queryTableField id="3066" name="24811" tableColumnId="3066"/>
      <queryTableField id="3067" name="24813" tableColumnId="3067"/>
      <queryTableField id="3068" name="24815" tableColumnId="3068"/>
      <queryTableField id="3069" name="24816" tableColumnId="3069"/>
      <queryTableField id="3070" name="24817" tableColumnId="3070"/>
      <queryTableField id="3071" name="24818" tableColumnId="3071"/>
      <queryTableField id="3072" name="24822" tableColumnId="3072"/>
      <queryTableField id="3073" name="24823" tableColumnId="3073"/>
      <queryTableField id="3074" name="24826" tableColumnId="3074"/>
      <queryTableField id="3075" name="24827" tableColumnId="3075"/>
      <queryTableField id="3076" name="24828" tableColumnId="3076"/>
      <queryTableField id="3077" name="24830" tableColumnId="3077"/>
      <queryTableField id="3078" name="24831" tableColumnId="3078"/>
      <queryTableField id="3079" name="24834" tableColumnId="3079"/>
      <queryTableField id="3080" name="24836" tableColumnId="3080"/>
      <queryTableField id="3081" name="24839" tableColumnId="3081"/>
      <queryTableField id="3082" name="24843" tableColumnId="3082"/>
      <queryTableField id="3083" name="24844" tableColumnId="3083"/>
      <queryTableField id="3084" name="24845" tableColumnId="3084"/>
      <queryTableField id="3085" name="24846" tableColumnId="3085"/>
      <queryTableField id="3086" name="24847" tableColumnId="3086"/>
      <queryTableField id="3087" name="24848" tableColumnId="3087"/>
      <queryTableField id="3088" name="24849" tableColumnId="3088"/>
      <queryTableField id="3089" name="24850" tableColumnId="3089"/>
      <queryTableField id="3090" name="24851" tableColumnId="3090"/>
      <queryTableField id="3091" name="24853" tableColumnId="3091"/>
      <queryTableField id="3092" name="24854" tableColumnId="3092"/>
      <queryTableField id="3093" name="24855" tableColumnId="3093"/>
      <queryTableField id="3094" name="24857" tableColumnId="3094"/>
      <queryTableField id="3095" name="24860" tableColumnId="3095"/>
      <queryTableField id="3096" name="24861" tableColumnId="3096"/>
      <queryTableField id="3097" name="24862" tableColumnId="3097"/>
      <queryTableField id="3098" name="24866" tableColumnId="3098"/>
      <queryTableField id="3099" name="24867" tableColumnId="3099"/>
      <queryTableField id="3100" name="24868" tableColumnId="3100"/>
      <queryTableField id="3101" name="24869" tableColumnId="3101"/>
      <queryTableField id="3102" name="24870" tableColumnId="3102"/>
      <queryTableField id="3103" name="24871" tableColumnId="3103"/>
      <queryTableField id="3104" name="24872" tableColumnId="3104"/>
      <queryTableField id="3105" name="24873" tableColumnId="3105"/>
      <queryTableField id="3106" name="24874" tableColumnId="3106"/>
      <queryTableField id="3107" name="24878" tableColumnId="3107"/>
      <queryTableField id="3108" name="24879" tableColumnId="3108"/>
      <queryTableField id="3109" name="24880" tableColumnId="3109"/>
      <queryTableField id="3110" name="24881" tableColumnId="3110"/>
      <queryTableField id="3111" name="24882" tableColumnId="3111"/>
      <queryTableField id="3112" name="24884" tableColumnId="3112"/>
      <queryTableField id="3113" name="24887" tableColumnId="3113"/>
      <queryTableField id="3114" name="24888" tableColumnId="3114"/>
      <queryTableField id="3115" name="24892" tableColumnId="3115"/>
      <queryTableField id="3116" name="24894" tableColumnId="3116"/>
      <queryTableField id="3117" name="24895" tableColumnId="3117"/>
      <queryTableField id="3118" name="24898" tableColumnId="3118"/>
      <queryTableField id="3119" name="24901" tableColumnId="3119"/>
      <queryTableField id="3120" name="24910" tableColumnId="3120"/>
      <queryTableField id="3121" name="24915" tableColumnId="3121"/>
      <queryTableField id="3122" name="24916" tableColumnId="3122"/>
      <queryTableField id="3123" name="24918" tableColumnId="3123"/>
      <queryTableField id="3124" name="24920" tableColumnId="3124"/>
      <queryTableField id="3125" name="24924" tableColumnId="3125"/>
      <queryTableField id="3126" name="24925" tableColumnId="3126"/>
      <queryTableField id="3127" name="24927" tableColumnId="3127"/>
      <queryTableField id="3128" name="24931" tableColumnId="3128"/>
      <queryTableField id="3129" name="24934" tableColumnId="3129"/>
      <queryTableField id="3130" name="24935" tableColumnId="3130"/>
      <queryTableField id="3131" name="24938" tableColumnId="3131"/>
      <queryTableField id="3132" name="24941" tableColumnId="3132"/>
      <queryTableField id="3133" name="24943" tableColumnId="3133"/>
      <queryTableField id="3134" name="24944" tableColumnId="3134"/>
      <queryTableField id="3135" name="24945" tableColumnId="3135"/>
      <queryTableField id="3136" name="24946" tableColumnId="3136"/>
      <queryTableField id="3137" name="24951" tableColumnId="3137"/>
      <queryTableField id="3138" name="24954" tableColumnId="3138"/>
      <queryTableField id="3139" name="24957" tableColumnId="3139"/>
      <queryTableField id="3140" name="24962" tableColumnId="3140"/>
      <queryTableField id="3141" name="24963" tableColumnId="3141"/>
      <queryTableField id="3142" name="24966" tableColumnId="3142"/>
      <queryTableField id="3143" name="24970" tableColumnId="3143"/>
      <queryTableField id="3144" name="24974" tableColumnId="3144"/>
      <queryTableField id="3145" name="24976" tableColumnId="3145"/>
      <queryTableField id="3146" name="24977" tableColumnId="3146"/>
      <queryTableField id="3147" name="24981" tableColumnId="3147"/>
      <queryTableField id="3148" name="24983" tableColumnId="3148"/>
      <queryTableField id="3149" name="24984" tableColumnId="3149"/>
      <queryTableField id="3150" name="24985" tableColumnId="3150"/>
      <queryTableField id="3151" name="24986" tableColumnId="3151"/>
      <queryTableField id="3152" name="24991" tableColumnId="3152"/>
      <queryTableField id="3153" name="24993" tableColumnId="3153"/>
      <queryTableField id="3154" name="25002" tableColumnId="3154"/>
      <queryTableField id="3155" name="25003" tableColumnId="3155"/>
      <queryTableField id="3156" name="25005" tableColumnId="3156"/>
      <queryTableField id="3157" name="25007" tableColumnId="3157"/>
      <queryTableField id="3158" name="25008" tableColumnId="3158"/>
      <queryTableField id="3159" name="25009" tableColumnId="3159"/>
      <queryTableField id="3160" name="25011" tableColumnId="3160"/>
      <queryTableField id="3161" name="25015" tableColumnId="3161"/>
      <queryTableField id="3162" name="25019" tableColumnId="3162"/>
      <queryTableField id="3163" name="25021" tableColumnId="3163"/>
      <queryTableField id="3164" name="25022" tableColumnId="3164"/>
      <queryTableField id="3165" name="25024" tableColumnId="3165"/>
      <queryTableField id="3166" name="25025" tableColumnId="3166"/>
      <queryTableField id="3167" name="25028" tableColumnId="3167"/>
      <queryTableField id="3168" name="25030" tableColumnId="3168"/>
      <queryTableField id="3169" name="25031" tableColumnId="3169"/>
      <queryTableField id="3170" name="25033" tableColumnId="3170"/>
      <queryTableField id="3171" name="25035" tableColumnId="3171"/>
      <queryTableField id="3172" name="25036" tableColumnId="3172"/>
      <queryTableField id="3173" name="25039" tableColumnId="3173"/>
      <queryTableField id="3174" name="25040" tableColumnId="3174"/>
      <queryTableField id="3175" name="25043" tableColumnId="3175"/>
      <queryTableField id="3176" name="25044" tableColumnId="3176"/>
      <queryTableField id="3177" name="25045" tableColumnId="3177"/>
      <queryTableField id="3178" name="25047" tableColumnId="3178"/>
      <queryTableField id="3179" name="25048" tableColumnId="3179"/>
      <queryTableField id="3180" name="25049" tableColumnId="3180"/>
      <queryTableField id="3181" name="25051" tableColumnId="3181"/>
      <queryTableField id="3182" name="25053" tableColumnId="3182"/>
      <queryTableField id="3183" name="25054" tableColumnId="3183"/>
      <queryTableField id="3184" name="25057" tableColumnId="3184"/>
      <queryTableField id="3185" name="25059" tableColumnId="3185"/>
      <queryTableField id="3186" name="25060" tableColumnId="3186"/>
      <queryTableField id="3187" name="25061" tableColumnId="3187"/>
      <queryTableField id="3188" name="25062" tableColumnId="3188"/>
      <queryTableField id="3189" name="25063" tableColumnId="3189"/>
      <queryTableField id="3190" name="25064" tableColumnId="3190"/>
      <queryTableField id="3191" name="25067" tableColumnId="3191"/>
      <queryTableField id="3192" name="25070" tableColumnId="3192"/>
      <queryTableField id="3193" name="25071" tableColumnId="3193"/>
      <queryTableField id="3194" name="25075" tableColumnId="3194"/>
      <queryTableField id="3195" name="25076" tableColumnId="3195"/>
      <queryTableField id="3196" name="25081" tableColumnId="3196"/>
      <queryTableField id="3197" name="25082" tableColumnId="3197"/>
      <queryTableField id="3198" name="25083" tableColumnId="3198"/>
      <queryTableField id="3199" name="25085" tableColumnId="3199"/>
      <queryTableField id="3200" name="25086" tableColumnId="3200"/>
      <queryTableField id="3201" name="25088" tableColumnId="3201"/>
      <queryTableField id="3202" name="25090" tableColumnId="3202"/>
      <queryTableField id="3203" name="25093" tableColumnId="3203"/>
      <queryTableField id="3204" name="25102" tableColumnId="3204"/>
      <queryTableField id="3205" name="25103" tableColumnId="3205"/>
      <queryTableField id="3206" name="25106" tableColumnId="3206"/>
      <queryTableField id="3207" name="25107" tableColumnId="3207"/>
      <queryTableField id="3208" name="25108" tableColumnId="3208"/>
      <queryTableField id="3209" name="25109" tableColumnId="3209"/>
      <queryTableField id="3210" name="25110" tableColumnId="3210"/>
      <queryTableField id="3211" name="25111" tableColumnId="3211"/>
      <queryTableField id="3212" name="25112" tableColumnId="3212"/>
      <queryTableField id="3213" name="25113" tableColumnId="3213"/>
      <queryTableField id="3214" name="25114" tableColumnId="3214"/>
      <queryTableField id="3215" name="25115" tableColumnId="3215"/>
      <queryTableField id="3216" name="25118" tableColumnId="3216"/>
      <queryTableField id="3217" name="25119" tableColumnId="3217"/>
      <queryTableField id="3218" name="25121" tableColumnId="3218"/>
      <queryTableField id="3219" name="25123" tableColumnId="3219"/>
      <queryTableField id="3220" name="25124" tableColumnId="3220"/>
      <queryTableField id="3221" name="25125" tableColumnId="3221"/>
      <queryTableField id="3222" name="25126" tableColumnId="3222"/>
      <queryTableField id="3223" name="25130" tableColumnId="3223"/>
      <queryTableField id="3224" name="25132" tableColumnId="3224"/>
      <queryTableField id="3225" name="25133" tableColumnId="3225"/>
      <queryTableField id="3226" name="25134" tableColumnId="3226"/>
      <queryTableField id="3227" name="25136" tableColumnId="3227"/>
      <queryTableField id="3228" name="25139" tableColumnId="3228"/>
      <queryTableField id="3229" name="25140" tableColumnId="3229"/>
      <queryTableField id="3230" name="25141" tableColumnId="3230"/>
      <queryTableField id="3231" name="25142" tableColumnId="3231"/>
      <queryTableField id="3232" name="25143" tableColumnId="3232"/>
      <queryTableField id="3233" name="25148" tableColumnId="3233"/>
      <queryTableField id="3234" name="25149" tableColumnId="3234"/>
      <queryTableField id="3235" name="25152" tableColumnId="3235"/>
      <queryTableField id="3236" name="25154" tableColumnId="3236"/>
      <queryTableField id="3237" name="25156" tableColumnId="3237"/>
      <queryTableField id="3238" name="25159" tableColumnId="3238"/>
      <queryTableField id="3239" name="25160" tableColumnId="3239"/>
      <queryTableField id="3240" name="25161" tableColumnId="3240"/>
      <queryTableField id="3241" name="25162" tableColumnId="3241"/>
      <queryTableField id="3242" name="25164" tableColumnId="3242"/>
      <queryTableField id="3243" name="25165" tableColumnId="3243"/>
      <queryTableField id="3244" name="25168" tableColumnId="3244"/>
      <queryTableField id="3245" name="25169" tableColumnId="3245"/>
      <queryTableField id="3246" name="25173" tableColumnId="3246"/>
      <queryTableField id="3247" name="25174" tableColumnId="3247"/>
      <queryTableField id="3248" name="25177" tableColumnId="3248"/>
      <queryTableField id="3249" name="25180" tableColumnId="3249"/>
      <queryTableField id="3250" name="25181" tableColumnId="3250"/>
      <queryTableField id="3251" name="25183" tableColumnId="3251"/>
      <queryTableField id="3252" name="25185" tableColumnId="3252"/>
      <queryTableField id="3253" name="25186" tableColumnId="3253"/>
      <queryTableField id="3254" name="25187" tableColumnId="3254"/>
      <queryTableField id="3255" name="25193" tableColumnId="3255"/>
      <queryTableField id="3256" name="25201" tableColumnId="3256"/>
      <queryTableField id="3257" name="25202" tableColumnId="3257"/>
      <queryTableField id="3258" name="25203" tableColumnId="3258"/>
      <queryTableField id="3259" name="25204" tableColumnId="3259"/>
      <queryTableField id="3260" name="25205" tableColumnId="3260"/>
      <queryTableField id="3261" name="25206" tableColumnId="3261"/>
      <queryTableField id="3262" name="25208" tableColumnId="3262"/>
      <queryTableField id="3263" name="25209" tableColumnId="3263"/>
      <queryTableField id="3264" name="25211" tableColumnId="3264"/>
      <queryTableField id="3265" name="25213" tableColumnId="3265"/>
      <queryTableField id="3266" name="25214" tableColumnId="3266"/>
      <queryTableField id="3267" name="25231" tableColumnId="3267"/>
      <queryTableField id="3268" name="25234" tableColumnId="3268"/>
      <queryTableField id="3269" name="25235" tableColumnId="3269"/>
      <queryTableField id="3270" name="25239" tableColumnId="3270"/>
      <queryTableField id="3271" name="25241" tableColumnId="3271"/>
      <queryTableField id="3272" name="25243" tableColumnId="3272"/>
      <queryTableField id="3273" name="25244" tableColumnId="3273"/>
      <queryTableField id="3274" name="25245" tableColumnId="3274"/>
      <queryTableField id="3275" name="25247" tableColumnId="3275"/>
      <queryTableField id="3276" name="25248" tableColumnId="3276"/>
      <queryTableField id="3277" name="25251" tableColumnId="3277"/>
      <queryTableField id="3278" name="25252" tableColumnId="3278"/>
      <queryTableField id="3279" name="25253" tableColumnId="3279"/>
      <queryTableField id="3280" name="25259" tableColumnId="3280"/>
      <queryTableField id="3281" name="25260" tableColumnId="3281"/>
      <queryTableField id="3282" name="25261" tableColumnId="3282"/>
      <queryTableField id="3283" name="25262" tableColumnId="3283"/>
      <queryTableField id="3284" name="25264" tableColumnId="3284"/>
      <queryTableField id="3285" name="25265" tableColumnId="3285"/>
      <queryTableField id="3286" name="25266" tableColumnId="3286"/>
      <queryTableField id="3287" name="25267" tableColumnId="3287"/>
      <queryTableField id="3288" name="25268" tableColumnId="3288"/>
      <queryTableField id="3289" name="25270" tableColumnId="3289"/>
      <queryTableField id="3290" name="25271" tableColumnId="3290"/>
      <queryTableField id="3291" name="25275" tableColumnId="3291"/>
      <queryTableField id="3292" name="25276" tableColumnId="3292"/>
      <queryTableField id="3293" name="25285" tableColumnId="3293"/>
      <queryTableField id="3294" name="25286" tableColumnId="3294"/>
      <queryTableField id="3295" name="25287" tableColumnId="3295"/>
      <queryTableField id="3296" name="25301" tableColumnId="3296"/>
      <queryTableField id="3297" name="25302" tableColumnId="3297"/>
      <queryTableField id="3298" name="25303" tableColumnId="3298"/>
      <queryTableField id="3299" name="25304" tableColumnId="3299"/>
      <queryTableField id="3300" name="25305" tableColumnId="3300"/>
      <queryTableField id="3301" name="25306" tableColumnId="3301"/>
      <queryTableField id="3302" name="25309" tableColumnId="3302"/>
      <queryTableField id="3303" name="25311" tableColumnId="3303"/>
      <queryTableField id="3304" name="25312" tableColumnId="3304"/>
      <queryTableField id="3305" name="25313" tableColumnId="3305"/>
      <queryTableField id="3306" name="25314" tableColumnId="3306"/>
      <queryTableField id="3307" name="25315" tableColumnId="3307"/>
      <queryTableField id="3308" name="25320" tableColumnId="3308"/>
      <queryTableField id="3309" name="25387" tableColumnId="3309"/>
      <queryTableField id="3310" name="25401" tableColumnId="3310"/>
      <queryTableField id="3311" name="25403" tableColumnId="3311"/>
      <queryTableField id="3312" name="25404" tableColumnId="3312"/>
      <queryTableField id="3313" name="25405" tableColumnId="3313"/>
      <queryTableField id="3314" name="25411" tableColumnId="3314"/>
      <queryTableField id="3315" name="25413" tableColumnId="3315"/>
      <queryTableField id="3316" name="25414" tableColumnId="3316"/>
      <queryTableField id="3317" name="25419" tableColumnId="3317"/>
      <queryTableField id="3318" name="25420" tableColumnId="3318"/>
      <queryTableField id="3319" name="25421" tableColumnId="3319"/>
      <queryTableField id="3320" name="25422" tableColumnId="3320"/>
      <queryTableField id="3321" name="25425" tableColumnId="3321"/>
      <queryTableField id="3322" name="25427" tableColumnId="3322"/>
      <queryTableField id="3323" name="25428" tableColumnId="3323"/>
      <queryTableField id="3324" name="25430" tableColumnId="3324"/>
      <queryTableField id="3325" name="25431" tableColumnId="3325"/>
      <queryTableField id="3326" name="25432" tableColumnId="3326"/>
      <queryTableField id="3327" name="25434" tableColumnId="3327"/>
      <queryTableField id="3328" name="25437" tableColumnId="3328"/>
      <queryTableField id="3329" name="25438" tableColumnId="3329"/>
      <queryTableField id="3330" name="25442" tableColumnId="3330"/>
      <queryTableField id="3331" name="25443" tableColumnId="3331"/>
      <queryTableField id="3332" name="25444" tableColumnId="3332"/>
      <queryTableField id="3333" name="25446" tableColumnId="3333"/>
      <queryTableField id="3334" name="25501" tableColumnId="3334"/>
      <queryTableField id="3335" name="25502" tableColumnId="3335"/>
      <queryTableField id="3336" name="25503" tableColumnId="3336"/>
      <queryTableField id="3337" name="25504" tableColumnId="3337"/>
      <queryTableField id="3338" name="25505" tableColumnId="3338"/>
      <queryTableField id="3339" name="25506" tableColumnId="3339"/>
      <queryTableField id="3340" name="25507" tableColumnId="3340"/>
      <queryTableField id="3341" name="25508" tableColumnId="3341"/>
      <queryTableField id="3342" name="25510" tableColumnId="3342"/>
      <queryTableField id="3343" name="25511" tableColumnId="3343"/>
      <queryTableField id="3344" name="25512" tableColumnId="3344"/>
      <queryTableField id="3345" name="25514" tableColumnId="3345"/>
      <queryTableField id="3346" name="25515" tableColumnId="3346"/>
      <queryTableField id="3347" name="25517" tableColumnId="3347"/>
      <queryTableField id="3348" name="25520" tableColumnId="3348"/>
      <queryTableField id="3349" name="25521" tableColumnId="3349"/>
      <queryTableField id="3350" name="25523" tableColumnId="3350"/>
      <queryTableField id="3351" name="25524" tableColumnId="3351"/>
      <queryTableField id="3352" name="25526" tableColumnId="3352"/>
      <queryTableField id="3353" name="25529" tableColumnId="3353"/>
      <queryTableField id="3354" name="25530" tableColumnId="3354"/>
      <queryTableField id="3355" name="25534" tableColumnId="3355"/>
      <queryTableField id="3356" name="25535" tableColumnId="3356"/>
      <queryTableField id="3357" name="25537" tableColumnId="3357"/>
      <queryTableField id="3358" name="25540" tableColumnId="3358"/>
      <queryTableField id="3359" name="25541" tableColumnId="3359"/>
      <queryTableField id="3360" name="25544" tableColumnId="3360"/>
      <queryTableField id="3361" name="25545" tableColumnId="3361"/>
      <queryTableField id="3362" name="25547" tableColumnId="3362"/>
      <queryTableField id="3363" name="25550" tableColumnId="3363"/>
      <queryTableField id="3364" name="25555" tableColumnId="3364"/>
      <queryTableField id="3365" name="25557" tableColumnId="3365"/>
      <queryTableField id="3366" name="25559" tableColumnId="3366"/>
      <queryTableField id="3367" name="25560" tableColumnId="3367"/>
      <queryTableField id="3368" name="25564" tableColumnId="3368"/>
      <queryTableField id="3369" name="25565" tableColumnId="3369"/>
      <queryTableField id="3370" name="25567" tableColumnId="3370"/>
      <queryTableField id="3371" name="25570" tableColumnId="3371"/>
      <queryTableField id="3372" name="25571" tableColumnId="3372"/>
      <queryTableField id="3373" name="25573" tableColumnId="3373"/>
      <queryTableField id="3374" name="25601" tableColumnId="3374"/>
      <queryTableField id="3375" name="25606" tableColumnId="3375"/>
      <queryTableField id="3376" name="25607" tableColumnId="3376"/>
      <queryTableField id="3377" name="25608" tableColumnId="3377"/>
      <queryTableField id="3378" name="25611" tableColumnId="3378"/>
      <queryTableField id="3379" name="25612" tableColumnId="3379"/>
      <queryTableField id="3380" name="25617" tableColumnId="3380"/>
      <queryTableField id="3381" name="25621" tableColumnId="3381"/>
      <queryTableField id="3382" name="25624" tableColumnId="3382"/>
      <queryTableField id="3383" name="25625" tableColumnId="3383"/>
      <queryTableField id="3384" name="25628" tableColumnId="3384"/>
      <queryTableField id="3385" name="25630" tableColumnId="3385"/>
      <queryTableField id="3386" name="25632" tableColumnId="3386"/>
      <queryTableField id="3387" name="25634" tableColumnId="3387"/>
      <queryTableField id="3388" name="25635" tableColumnId="3388"/>
      <queryTableField id="3389" name="25637" tableColumnId="3389"/>
      <queryTableField id="3390" name="25638" tableColumnId="3390"/>
      <queryTableField id="3391" name="25639" tableColumnId="3391"/>
      <queryTableField id="3392" name="25644" tableColumnId="3392"/>
      <queryTableField id="3393" name="25646" tableColumnId="3393"/>
      <queryTableField id="3394" name="25647" tableColumnId="3394"/>
      <queryTableField id="3395" name="25649" tableColumnId="3395"/>
      <queryTableField id="3396" name="25650" tableColumnId="3396"/>
      <queryTableField id="3397" name="25651" tableColumnId="3397"/>
      <queryTableField id="3398" name="25652" tableColumnId="3398"/>
      <queryTableField id="3399" name="25653" tableColumnId="3399"/>
      <queryTableField id="3400" name="25654" tableColumnId="3400"/>
      <queryTableField id="3401" name="25661" tableColumnId="3401"/>
      <queryTableField id="3402" name="25666" tableColumnId="3402"/>
      <queryTableField id="3403" name="25667" tableColumnId="3403"/>
      <queryTableField id="3404" name="25669" tableColumnId="3404"/>
      <queryTableField id="3405" name="25670" tableColumnId="3405"/>
      <queryTableField id="3406" name="25671" tableColumnId="3406"/>
      <queryTableField id="3407" name="25672" tableColumnId="3407"/>
      <queryTableField id="3408" name="25674" tableColumnId="3408"/>
      <queryTableField id="3409" name="25676" tableColumnId="3409"/>
      <queryTableField id="3410" name="25678" tableColumnId="3410"/>
      <queryTableField id="3411" name="25685" tableColumnId="3411"/>
      <queryTableField id="3412" name="25688" tableColumnId="3412"/>
      <queryTableField id="3413" name="25690" tableColumnId="3413"/>
      <queryTableField id="3414" name="25692" tableColumnId="3414"/>
      <queryTableField id="3415" name="25696" tableColumnId="3415"/>
      <queryTableField id="3416" name="25699" tableColumnId="3416"/>
      <queryTableField id="3417" name="25701" tableColumnId="3417"/>
      <queryTableField id="3418" name="25702" tableColumnId="3418"/>
      <queryTableField id="3419" name="25703" tableColumnId="3419"/>
      <queryTableField id="3420" name="25704" tableColumnId="3420"/>
      <queryTableField id="3421" name="25705" tableColumnId="3421"/>
      <queryTableField id="3422" name="25755" tableColumnId="3422"/>
      <queryTableField id="3423" name="25801" tableColumnId="3423"/>
      <queryTableField id="3424" name="25810" tableColumnId="3424"/>
      <queryTableField id="3425" name="25811" tableColumnId="3425"/>
      <queryTableField id="3426" name="25812" tableColumnId="3426"/>
      <queryTableField id="3427" name="25813" tableColumnId="3427"/>
      <queryTableField id="3428" name="25817" tableColumnId="3428"/>
      <queryTableField id="3429" name="25818" tableColumnId="3429"/>
      <queryTableField id="3430" name="25820" tableColumnId="3430"/>
      <queryTableField id="3431" name="25823" tableColumnId="3431"/>
      <queryTableField id="3432" name="25825" tableColumnId="3432"/>
      <queryTableField id="3433" name="25826" tableColumnId="3433"/>
      <queryTableField id="3434" name="25827" tableColumnId="3434"/>
      <queryTableField id="3435" name="25831" tableColumnId="3435"/>
      <queryTableField id="3436" name="25832" tableColumnId="3436"/>
      <queryTableField id="3437" name="25836" tableColumnId="3437"/>
      <queryTableField id="3438" name="25837" tableColumnId="3438"/>
      <queryTableField id="3439" name="25839" tableColumnId="3439"/>
      <queryTableField id="3440" name="25840" tableColumnId="3440"/>
      <queryTableField id="3441" name="25841" tableColumnId="3441"/>
      <queryTableField id="3442" name="25843" tableColumnId="3442"/>
      <queryTableField id="3443" name="25844" tableColumnId="3443"/>
      <queryTableField id="3444" name="25845" tableColumnId="3444"/>
      <queryTableField id="3445" name="25846" tableColumnId="3445"/>
      <queryTableField id="3446" name="25848" tableColumnId="3446"/>
      <queryTableField id="3447" name="25849" tableColumnId="3447"/>
      <queryTableField id="3448" name="25851" tableColumnId="3448"/>
      <queryTableField id="3449" name="25853" tableColumnId="3449"/>
      <queryTableField id="3450" name="25854" tableColumnId="3450"/>
      <queryTableField id="3451" name="25855" tableColumnId="3451"/>
      <queryTableField id="3452" name="25857" tableColumnId="3452"/>
      <queryTableField id="3453" name="25862" tableColumnId="3453"/>
      <queryTableField id="3454" name="25864" tableColumnId="3454"/>
      <queryTableField id="3455" name="25865" tableColumnId="3455"/>
      <queryTableField id="3456" name="25866" tableColumnId="3456"/>
      <queryTableField id="3457" name="25868" tableColumnId="3457"/>
      <queryTableField id="3458" name="25870" tableColumnId="3458"/>
      <queryTableField id="3459" name="25871" tableColumnId="3459"/>
      <queryTableField id="3460" name="25873" tableColumnId="3460"/>
      <queryTableField id="3461" name="25875" tableColumnId="3461"/>
      <queryTableField id="3462" name="25876" tableColumnId="3462"/>
      <queryTableField id="3463" name="25878" tableColumnId="3463"/>
      <queryTableField id="3464" name="25879" tableColumnId="3464"/>
      <queryTableField id="3465" name="25880" tableColumnId="3465"/>
      <queryTableField id="3466" name="25882" tableColumnId="3466"/>
      <queryTableField id="3467" name="25901" tableColumnId="3467"/>
      <queryTableField id="3468" name="25902" tableColumnId="3468"/>
      <queryTableField id="3469" name="25904" tableColumnId="3469"/>
      <queryTableField id="3470" name="25907" tableColumnId="3470"/>
      <queryTableField id="3471" name="25908" tableColumnId="3471"/>
      <queryTableField id="3472" name="25909" tableColumnId="3472"/>
      <queryTableField id="3473" name="25911" tableColumnId="3473"/>
      <queryTableField id="3474" name="25913" tableColumnId="3474"/>
      <queryTableField id="3475" name="25915" tableColumnId="3475"/>
      <queryTableField id="3476" name="25916" tableColumnId="3476"/>
      <queryTableField id="3477" name="25917" tableColumnId="3477"/>
      <queryTableField id="3478" name="25918" tableColumnId="3478"/>
      <queryTableField id="3479" name="25920" tableColumnId="3479"/>
      <queryTableField id="3480" name="25921" tableColumnId="3480"/>
      <queryTableField id="3481" name="25922" tableColumnId="3481"/>
      <queryTableField id="3482" name="25928" tableColumnId="3482"/>
      <queryTableField id="3483" name="25932" tableColumnId="3483"/>
      <queryTableField id="3484" name="25936" tableColumnId="3484"/>
      <queryTableField id="3485" name="25938" tableColumnId="3485"/>
      <queryTableField id="3486" name="25942" tableColumnId="3486"/>
      <queryTableField id="3487" name="25943" tableColumnId="3487"/>
      <queryTableField id="3488" name="25951" tableColumnId="3488"/>
      <queryTableField id="3489" name="25958" tableColumnId="3489"/>
      <queryTableField id="3490" name="25962" tableColumnId="3490"/>
      <queryTableField id="3491" name="25966" tableColumnId="3491"/>
      <queryTableField id="3492" name="25969" tableColumnId="3492"/>
      <queryTableField id="3493" name="25971" tableColumnId="3493"/>
      <queryTableField id="3494" name="25972" tableColumnId="3494"/>
      <queryTableField id="3495" name="25976" tableColumnId="3495"/>
      <queryTableField id="3496" name="25977" tableColumnId="3496"/>
      <queryTableField id="3497" name="25978" tableColumnId="3497"/>
      <queryTableField id="3498" name="25979" tableColumnId="3498"/>
      <queryTableField id="3499" name="25981" tableColumnId="3499"/>
      <queryTableField id="3500" name="25984" tableColumnId="3500"/>
      <queryTableField id="3501" name="25985" tableColumnId="3501"/>
      <queryTableField id="3502" name="25986" tableColumnId="3502"/>
      <queryTableField id="3503" name="25989" tableColumnId="3503"/>
      <queryTableField id="3504" name="26003" tableColumnId="3504"/>
      <queryTableField id="3505" name="26030" tableColumnId="3505"/>
      <queryTableField id="3506" name="26031" tableColumnId="3506"/>
      <queryTableField id="3507" name="26032" tableColumnId="3507"/>
      <queryTableField id="3508" name="26033" tableColumnId="3508"/>
      <queryTableField id="3509" name="26034" tableColumnId="3509"/>
      <queryTableField id="3510" name="26035" tableColumnId="3510"/>
      <queryTableField id="3511" name="26036" tableColumnId="3511"/>
      <queryTableField id="3512" name="26037" tableColumnId="3512"/>
      <queryTableField id="3513" name="26038" tableColumnId="3513"/>
      <queryTableField id="3514" name="26039" tableColumnId="3514"/>
      <queryTableField id="3515" name="26040" tableColumnId="3515"/>
      <queryTableField id="3516" name="26041" tableColumnId="3516"/>
      <queryTableField id="3517" name="26047" tableColumnId="3517"/>
      <queryTableField id="3518" name="26050" tableColumnId="3518"/>
      <queryTableField id="3519" name="26055" tableColumnId="3519"/>
      <queryTableField id="3520" name="26056" tableColumnId="3520"/>
      <queryTableField id="3521" name="26058" tableColumnId="3521"/>
      <queryTableField id="3522" name="26059" tableColumnId="3522"/>
      <queryTableField id="3523" name="26060" tableColumnId="3523"/>
      <queryTableField id="3524" name="26062" tableColumnId="3524"/>
      <queryTableField id="3525" name="26070" tableColumnId="3525"/>
      <queryTableField id="3526" name="26074" tableColumnId="3526"/>
      <queryTableField id="3527" name="26075" tableColumnId="3527"/>
      <queryTableField id="3528" name="26101" tableColumnId="3528"/>
      <queryTableField id="3529" name="26104" tableColumnId="3529"/>
      <queryTableField id="3530" name="26105" tableColumnId="3530"/>
      <queryTableField id="3531" name="26133" tableColumnId="3531"/>
      <queryTableField id="3532" name="26134" tableColumnId="3532"/>
      <queryTableField id="3533" name="26136" tableColumnId="3533"/>
      <queryTableField id="3534" name="26137" tableColumnId="3534"/>
      <queryTableField id="3535" name="26138" tableColumnId="3535"/>
      <queryTableField id="3536" name="26141" tableColumnId="3536"/>
      <queryTableField id="3537" name="26142" tableColumnId="3537"/>
      <queryTableField id="3538" name="26143" tableColumnId="3538"/>
      <queryTableField id="3539" name="26146" tableColumnId="3539"/>
      <queryTableField id="3540" name="26147" tableColumnId="3540"/>
      <queryTableField id="3541" name="26148" tableColumnId="3541"/>
      <queryTableField id="3542" name="26149" tableColumnId="3542"/>
      <queryTableField id="3543" name="26150" tableColumnId="3543"/>
      <queryTableField id="3544" name="26151" tableColumnId="3544"/>
      <queryTableField id="3545" name="26152" tableColumnId="3545"/>
      <queryTableField id="3546" name="26155" tableColumnId="3546"/>
      <queryTableField id="3547" name="26159" tableColumnId="3547"/>
      <queryTableField id="3548" name="26160" tableColumnId="3548"/>
      <queryTableField id="3549" name="26161" tableColumnId="3549"/>
      <queryTableField id="3550" name="26162" tableColumnId="3550"/>
      <queryTableField id="3551" name="26164" tableColumnId="3551"/>
      <queryTableField id="3552" name="26167" tableColumnId="3552"/>
      <queryTableField id="3553" name="26169" tableColumnId="3553"/>
      <queryTableField id="3554" name="26170" tableColumnId="3554"/>
      <queryTableField id="3555" name="26175" tableColumnId="3555"/>
      <queryTableField id="3556" name="26178" tableColumnId="3556"/>
      <queryTableField id="3557" name="26180" tableColumnId="3557"/>
      <queryTableField id="3558" name="26181" tableColumnId="3558"/>
      <queryTableField id="3559" name="26184" tableColumnId="3559"/>
      <queryTableField id="3560" name="26187" tableColumnId="3560"/>
      <queryTableField id="3561" name="26201" tableColumnId="3561"/>
      <queryTableField id="3562" name="26202" tableColumnId="3562"/>
      <queryTableField id="3563" name="26203" tableColumnId="3563"/>
      <queryTableField id="3564" name="26205" tableColumnId="3564"/>
      <queryTableField id="3565" name="26206" tableColumnId="3565"/>
      <queryTableField id="3566" name="26208" tableColumnId="3566"/>
      <queryTableField id="3567" name="26209" tableColumnId="3567"/>
      <queryTableField id="3568" name="26210" tableColumnId="3568"/>
      <queryTableField id="3569" name="26215" tableColumnId="3569"/>
      <queryTableField id="3570" name="26217" tableColumnId="3570"/>
      <queryTableField id="3571" name="26218" tableColumnId="3571"/>
      <queryTableField id="3572" name="26222" tableColumnId="3572"/>
      <queryTableField id="3573" name="26224" tableColumnId="3573"/>
      <queryTableField id="3574" name="26228" tableColumnId="3574"/>
      <queryTableField id="3575" name="26230" tableColumnId="3575"/>
      <queryTableField id="3576" name="26234" tableColumnId="3576"/>
      <queryTableField id="3577" name="26236" tableColumnId="3577"/>
      <queryTableField id="3578" name="26237" tableColumnId="3578"/>
      <queryTableField id="3579" name="26238" tableColumnId="3579"/>
      <queryTableField id="3580" name="26241" tableColumnId="3580"/>
      <queryTableField id="3581" name="26250" tableColumnId="3581"/>
      <queryTableField id="3582" name="26253" tableColumnId="3582"/>
      <queryTableField id="3583" name="26254" tableColumnId="3583"/>
      <queryTableField id="3584" name="26257" tableColumnId="3584"/>
      <queryTableField id="3585" name="26259" tableColumnId="3585"/>
      <queryTableField id="3586" name="26260" tableColumnId="3586"/>
      <queryTableField id="3587" name="26261" tableColumnId="3587"/>
      <queryTableField id="3588" name="26263" tableColumnId="3588"/>
      <queryTableField id="3589" name="26264" tableColumnId="3589"/>
      <queryTableField id="3590" name="26266" tableColumnId="3590"/>
      <queryTableField id="3591" name="26267" tableColumnId="3591"/>
      <queryTableField id="3592" name="26268" tableColumnId="3592"/>
      <queryTableField id="3593" name="26269" tableColumnId="3593"/>
      <queryTableField id="3594" name="26270" tableColumnId="3594"/>
      <queryTableField id="3595" name="26271" tableColumnId="3595"/>
      <queryTableField id="3596" name="26273" tableColumnId="3596"/>
      <queryTableField id="3597" name="26275" tableColumnId="3597"/>
      <queryTableField id="3598" name="26276" tableColumnId="3598"/>
      <queryTableField id="3599" name="26278" tableColumnId="3599"/>
      <queryTableField id="3600" name="26280" tableColumnId="3600"/>
      <queryTableField id="3601" name="26282" tableColumnId="3601"/>
      <queryTableField id="3602" name="26283" tableColumnId="3602"/>
      <queryTableField id="3603" name="26285" tableColumnId="3603"/>
      <queryTableField id="3604" name="26287" tableColumnId="3604"/>
      <queryTableField id="3605" name="26288" tableColumnId="3605"/>
      <queryTableField id="3606" name="26289" tableColumnId="3606"/>
      <queryTableField id="3607" name="26291" tableColumnId="3607"/>
      <queryTableField id="3608" name="26292" tableColumnId="3608"/>
      <queryTableField id="3609" name="26293" tableColumnId="3609"/>
      <queryTableField id="3610" name="26294" tableColumnId="3610"/>
      <queryTableField id="3611" name="26296" tableColumnId="3611"/>
      <queryTableField id="3612" name="26298" tableColumnId="3612"/>
      <queryTableField id="3613" name="26301" tableColumnId="3613"/>
      <queryTableField id="3614" name="26320" tableColumnId="3614"/>
      <queryTableField id="3615" name="26321" tableColumnId="3615"/>
      <queryTableField id="3616" name="26323" tableColumnId="3616"/>
      <queryTableField id="3617" name="26325" tableColumnId="3617"/>
      <queryTableField id="3618" name="26327" tableColumnId="3618"/>
      <queryTableField id="3619" name="26330" tableColumnId="3619"/>
      <queryTableField id="3620" name="26335" tableColumnId="3620"/>
      <queryTableField id="3621" name="26337" tableColumnId="3621"/>
      <queryTableField id="3622" name="26338" tableColumnId="3622"/>
      <queryTableField id="3623" name="26339" tableColumnId="3623"/>
      <queryTableField id="3624" name="26342" tableColumnId="3624"/>
      <queryTableField id="3625" name="26343" tableColumnId="3625"/>
      <queryTableField id="3626" name="26346" tableColumnId="3626"/>
      <queryTableField id="3627" name="26347" tableColumnId="3627"/>
      <queryTableField id="3628" name="26348" tableColumnId="3628"/>
      <queryTableField id="3629" name="26349" tableColumnId="3629"/>
      <queryTableField id="3630" name="26351" tableColumnId="3630"/>
      <queryTableField id="3631" name="26354" tableColumnId="3631"/>
      <queryTableField id="3632" name="26361" tableColumnId="3632"/>
      <queryTableField id="3633" name="26362" tableColumnId="3633"/>
      <queryTableField id="3634" name="26366" tableColumnId="3634"/>
      <queryTableField id="3635" name="26369" tableColumnId="3635"/>
      <queryTableField id="3636" name="26372" tableColumnId="3636"/>
      <queryTableField id="3637" name="26374" tableColumnId="3637"/>
      <queryTableField id="3638" name="26376" tableColumnId="3638"/>
      <queryTableField id="3639" name="26377" tableColumnId="3639"/>
      <queryTableField id="3640" name="26378" tableColumnId="3640"/>
      <queryTableField id="3641" name="26384" tableColumnId="3641"/>
      <queryTableField id="3642" name="26385" tableColumnId="3642"/>
      <queryTableField id="3643" name="26386" tableColumnId="3643"/>
      <queryTableField id="3644" name="26404" tableColumnId="3644"/>
      <queryTableField id="3645" name="26405" tableColumnId="3645"/>
      <queryTableField id="3646" name="26408" tableColumnId="3646"/>
      <queryTableField id="3647" name="26410" tableColumnId="3647"/>
      <queryTableField id="3648" name="26411" tableColumnId="3648"/>
      <queryTableField id="3649" name="26412" tableColumnId="3649"/>
      <queryTableField id="3650" name="26415" tableColumnId="3650"/>
      <queryTableField id="3651" name="26416" tableColumnId="3651"/>
      <queryTableField id="3652" name="26419" tableColumnId="3652"/>
      <queryTableField id="3653" name="26421" tableColumnId="3653"/>
      <queryTableField id="3654" name="26422" tableColumnId="3654"/>
      <queryTableField id="3655" name="26424" tableColumnId="3655"/>
      <queryTableField id="3656" name="26425" tableColumnId="3656"/>
      <queryTableField id="3657" name="26426" tableColumnId="3657"/>
      <queryTableField id="3658" name="26430" tableColumnId="3658"/>
      <queryTableField id="3659" name="26431" tableColumnId="3659"/>
      <queryTableField id="3660" name="26435" tableColumnId="3660"/>
      <queryTableField id="3661" name="26436" tableColumnId="3661"/>
      <queryTableField id="3662" name="26437" tableColumnId="3662"/>
      <queryTableField id="3663" name="26438" tableColumnId="3663"/>
      <queryTableField id="3664" name="26440" tableColumnId="3664"/>
      <queryTableField id="3665" name="26443" tableColumnId="3665"/>
      <queryTableField id="3666" name="26444" tableColumnId="3666"/>
      <queryTableField id="3667" name="26447" tableColumnId="3667"/>
      <queryTableField id="3668" name="26448" tableColumnId="3668"/>
      <queryTableField id="3669" name="26451" tableColumnId="3669"/>
      <queryTableField id="3670" name="26452" tableColumnId="3670"/>
      <queryTableField id="3671" name="26456" tableColumnId="3671"/>
      <queryTableField id="3672" name="26463" tableColumnId="3672"/>
      <queryTableField id="3673" name="26501" tableColumnId="3673"/>
      <queryTableField id="3674" name="26505" tableColumnId="3674"/>
      <queryTableField id="3675" name="26506" tableColumnId="3675"/>
      <queryTableField id="3676" name="26508" tableColumnId="3676"/>
      <queryTableField id="3677" name="26519" tableColumnId="3677"/>
      <queryTableField id="3678" name="26520" tableColumnId="3678"/>
      <queryTableField id="3679" name="26521" tableColumnId="3679"/>
      <queryTableField id="3680" name="26524" tableColumnId="3680"/>
      <queryTableField id="3681" name="26525" tableColumnId="3681"/>
      <queryTableField id="3682" name="26534" tableColumnId="3682"/>
      <queryTableField id="3683" name="26537" tableColumnId="3683"/>
      <queryTableField id="3684" name="26541" tableColumnId="3684"/>
      <queryTableField id="3685" name="26542" tableColumnId="3685"/>
      <queryTableField id="3686" name="26543" tableColumnId="3686"/>
      <queryTableField id="3687" name="26544" tableColumnId="3687"/>
      <queryTableField id="3688" name="26546" tableColumnId="3688"/>
      <queryTableField id="3689" name="26547" tableColumnId="3689"/>
      <queryTableField id="3690" name="26554" tableColumnId="3690"/>
      <queryTableField id="3691" name="26559" tableColumnId="3691"/>
      <queryTableField id="3692" name="26560" tableColumnId="3692"/>
      <queryTableField id="3693" name="26562" tableColumnId="3693"/>
      <queryTableField id="3694" name="26563" tableColumnId="3694"/>
      <queryTableField id="3695" name="26568" tableColumnId="3695"/>
      <queryTableField id="3696" name="26570" tableColumnId="3696"/>
      <queryTableField id="3697" name="26571" tableColumnId="3697"/>
      <queryTableField id="3698" name="26572" tableColumnId="3698"/>
      <queryTableField id="3699" name="26574" tableColumnId="3699"/>
      <queryTableField id="3700" name="26575" tableColumnId="3700"/>
      <queryTableField id="3701" name="26576" tableColumnId="3701"/>
      <queryTableField id="3702" name="26581" tableColumnId="3702"/>
      <queryTableField id="3703" name="26582" tableColumnId="3703"/>
      <queryTableField id="3704" name="26585" tableColumnId="3704"/>
      <queryTableField id="3705" name="26586" tableColumnId="3705"/>
      <queryTableField id="3706" name="26587" tableColumnId="3706"/>
      <queryTableField id="3707" name="26588" tableColumnId="3707"/>
      <queryTableField id="3708" name="26590" tableColumnId="3708"/>
      <queryTableField id="3709" name="26591" tableColumnId="3709"/>
      <queryTableField id="3710" name="26601" tableColumnId="3710"/>
      <queryTableField id="3711" name="26610" tableColumnId="3711"/>
      <queryTableField id="3712" name="26611" tableColumnId="3712"/>
      <queryTableField id="3713" name="26615" tableColumnId="3713"/>
      <queryTableField id="3714" name="26617" tableColumnId="3714"/>
      <queryTableField id="3715" name="26619" tableColumnId="3715"/>
      <queryTableField id="3716" name="26621" tableColumnId="3716"/>
      <queryTableField id="3717" name="26623" tableColumnId="3717"/>
      <queryTableField id="3718" name="26624" tableColumnId="3718"/>
      <queryTableField id="3719" name="26627" tableColumnId="3719"/>
      <queryTableField id="3720" name="26629" tableColumnId="3720"/>
      <queryTableField id="3721" name="26631" tableColumnId="3721"/>
      <queryTableField id="3722" name="26636" tableColumnId="3722"/>
      <queryTableField id="3723" name="26638" tableColumnId="3723"/>
      <queryTableField id="3724" name="26651" tableColumnId="3724"/>
      <queryTableField id="3725" name="26656" tableColumnId="3725"/>
      <queryTableField id="3726" name="26660" tableColumnId="3726"/>
      <queryTableField id="3727" name="26662" tableColumnId="3727"/>
      <queryTableField id="3728" name="26667" tableColumnId="3728"/>
      <queryTableField id="3729" name="26671" tableColumnId="3729"/>
      <queryTableField id="3730" name="26676" tableColumnId="3730"/>
      <queryTableField id="3731" name="26678" tableColumnId="3731"/>
      <queryTableField id="3732" name="26679" tableColumnId="3732"/>
      <queryTableField id="3733" name="26680" tableColumnId="3733"/>
      <queryTableField id="3734" name="26681" tableColumnId="3734"/>
      <queryTableField id="3735" name="26684" tableColumnId="3735"/>
      <queryTableField id="3736" name="26690" tableColumnId="3736"/>
      <queryTableField id="3737" name="26691" tableColumnId="3737"/>
      <queryTableField id="3738" name="26704" tableColumnId="3738"/>
      <queryTableField id="3739" name="26705" tableColumnId="3739"/>
      <queryTableField id="3740" name="26707" tableColumnId="3740"/>
      <queryTableField id="3741" name="26710" tableColumnId="3741"/>
      <queryTableField id="3742" name="26711" tableColumnId="3742"/>
      <queryTableField id="3743" name="26714" tableColumnId="3743"/>
      <queryTableField id="3744" name="26716" tableColumnId="3744"/>
      <queryTableField id="3745" name="26717" tableColumnId="3745"/>
      <queryTableField id="3746" name="26719" tableColumnId="3746"/>
      <queryTableField id="3747" name="26720" tableColumnId="3747"/>
      <queryTableField id="3748" name="26722" tableColumnId="3748"/>
      <queryTableField id="3749" name="26726" tableColumnId="3749"/>
      <queryTableField id="3750" name="26731" tableColumnId="3750"/>
      <queryTableField id="3751" name="26739" tableColumnId="3751"/>
      <queryTableField id="3752" name="26743" tableColumnId="3752"/>
      <queryTableField id="3753" name="26750" tableColumnId="3753"/>
      <queryTableField id="3754" name="26753" tableColumnId="3754"/>
      <queryTableField id="3755" name="26755" tableColumnId="3755"/>
      <queryTableField id="3756" name="26757" tableColumnId="3756"/>
      <queryTableField id="3757" name="26761" tableColumnId="3757"/>
      <queryTableField id="3758" name="26763" tableColumnId="3758"/>
      <queryTableField id="3759" name="26764" tableColumnId="3759"/>
      <queryTableField id="3760" name="26767" tableColumnId="3760"/>
      <queryTableField id="3761" name="26801" tableColumnId="3761"/>
      <queryTableField id="3762" name="26802" tableColumnId="3762"/>
      <queryTableField id="3763" name="26804" tableColumnId="3763"/>
      <queryTableField id="3764" name="26807" tableColumnId="3764"/>
      <queryTableField id="3765" name="26808" tableColumnId="3765"/>
      <queryTableField id="3766" name="26810" tableColumnId="3766"/>
      <queryTableField id="3767" name="26812" tableColumnId="3767"/>
      <queryTableField id="3768" name="26814" tableColumnId="3768"/>
      <queryTableField id="3769" name="26815" tableColumnId="3769"/>
      <queryTableField id="3770" name="26817" tableColumnId="3770"/>
      <queryTableField id="3771" name="26818" tableColumnId="3771"/>
      <queryTableField id="3772" name="26823" tableColumnId="3772"/>
      <queryTableField id="3773" name="26833" tableColumnId="3773"/>
      <queryTableField id="3774" name="26836" tableColumnId="3774"/>
      <queryTableField id="3775" name="26838" tableColumnId="3775"/>
      <queryTableField id="3776" name="26845" tableColumnId="3776"/>
      <queryTableField id="3777" name="26847" tableColumnId="3777"/>
      <queryTableField id="3778" name="26851" tableColumnId="3778"/>
      <queryTableField id="3779" name="26852" tableColumnId="3779"/>
      <queryTableField id="3780" name="26855" tableColumnId="3780"/>
      <queryTableField id="3781" name="26865" tableColumnId="3781"/>
      <queryTableField id="3782" name="26866" tableColumnId="3782"/>
      <queryTableField id="3783" name="26884" tableColumnId="3783"/>
      <queryTableField id="3784" name="26886" tableColumnId="3784"/>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82D2D00-692B-4216-8A91-6CE70DD798A6}" name="Table16" displayName="Table16" ref="A5:I35" totalsRowShown="0" headerRowDxfId="4240" headerRowBorderDxfId="4239">
  <autoFilter ref="A5:I35" xr:uid="{482D2D00-692B-4216-8A91-6CE70DD798A6}"/>
  <tableColumns count="9">
    <tableColumn id="1" xr3:uid="{3FB41CFA-82D1-48A2-8702-B25B235FA4F6}" name=" "/>
    <tableColumn id="2" xr3:uid="{D4A1169A-11BF-4BFF-9DDC-F955E6B1A68B}" name="Income Tier" dataDxfId="4238"/>
    <tableColumn id="3" xr3:uid="{31C8F054-B464-4623-B8E9-F4B5C097ED27}" name="Obs. count"/>
    <tableColumn id="4" xr3:uid="{31C5599B-C0D8-445F-9F5E-36D4D88D373A}" name="Store count"/>
    <tableColumn id="5" xr3:uid="{D4ABC9F9-F58F-485F-B6AF-AEC818B4C4E8}" name="Avg soda PPU" dataDxfId="4237" dataCellStyle="Currency"/>
    <tableColumn id="6" xr3:uid="{F57F18C3-6B88-414E-A5B1-454A0B92DAA5}" name="Avg monthly units" dataDxfId="4236" dataCellStyle="Comma"/>
    <tableColumn id="7" xr3:uid="{13295068-4F19-485C-8ADB-341BC08B75A1}" name="Elasticity" dataDxfId="4235"/>
    <tableColumn id="8" xr3:uid="{E910F778-7E90-47D2-8B28-5F35E2D2447C}" name="R-squared" dataDxfId="4234"/>
    <tableColumn id="9" xr3:uid="{CEB64820-838A-4311-8D65-E96D4BFF066E}" name="Interpreta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1F56AD7-3E96-4E83-AA93-6D16EB580F12}" name="dataset" displayName="dataset" ref="A1:Q3601" tableType="queryTable" totalsRowShown="0">
  <autoFilter ref="A1:Q3601" xr:uid="{D1F56AD7-3E96-4E83-AA93-6D16EB580F12}"/>
  <sortState xmlns:xlrd2="http://schemas.microsoft.com/office/spreadsheetml/2017/richdata2" ref="A2:Q3601">
    <sortCondition ref="G1:G3601"/>
  </sortState>
  <tableColumns count="17">
    <tableColumn id="1" xr3:uid="{3E03D3D6-35EB-4DDE-9384-1C768E3C7C8A}" uniqueName="1" name="year_month" queryTableFieldId="1"/>
    <tableColumn id="2" xr3:uid="{55980DA6-1A67-4BD7-9BCC-C49D074DC974}" uniqueName="2" name="store_id" queryTableFieldId="2"/>
    <tableColumn id="3" xr3:uid="{8EAEB2FC-3156-41B7-9E1D-009CCEE40D7E}" uniqueName="3" name="total_sales" queryTableFieldId="3" dataCellStyle="Currency"/>
    <tableColumn id="4" xr3:uid="{39033ACD-5414-4268-8A5D-775426222ADD}" uniqueName="4" name="soda_ppu" queryTableFieldId="4" dataCellStyle="Currency"/>
    <tableColumn id="5" xr3:uid="{F1330C6A-FF8C-405C-99E1-00773CCE2D11}" uniqueName="5" name="soda_units_sold" queryTableFieldId="5" dataDxfId="4274" dataCellStyle="Comma"/>
    <tableColumn id="6" xr3:uid="{5AA29AEB-2380-46FA-ACB6-DE479B39C0C5}" uniqueName="6" name="soda_sales" queryTableFieldId="6" dataCellStyle="Currency"/>
    <tableColumn id="7" xr3:uid="{3954098F-5802-45D5-8CFA-01E37CE6C70C}" uniqueName="7" name="zip" queryTableFieldId="7" dataDxfId="4273"/>
    <tableColumn id="8" xr3:uid="{F0A0D440-3585-4FAB-A794-58DC814065A3}" uniqueName="8" name="state" queryTableFieldId="8" dataDxfId="4272"/>
    <tableColumn id="17" xr3:uid="{CFA28457-9F14-4123-A2C1-0C499EF4C4BA}" uniqueName="17" name="zip_med_inc_avg" queryTableFieldId="17" dataDxfId="4271">
      <calculatedColumnFormula>HLOOKUP(G2,zip_tiers!$A$1:$EON$2,2,FALSE)</calculatedColumnFormula>
    </tableColumn>
    <tableColumn id="16" xr3:uid="{2F8D8000-EAB2-42C2-B6D8-F5B23C9D8DF9}" uniqueName="16" name="zip_inc_tier" queryTableFieldId="16" dataDxfId="4270">
      <calculatedColumnFormula>IF(I2="","No Data",IF(I2&gt;=100000,"High",IF(I2&gt;=40000,"Med","Low")))</calculatedColumnFormula>
    </tableColumn>
    <tableColumn id="9" xr3:uid="{8D65D0A7-B0C8-4117-979B-B95C570BD3DA}" uniqueName="9" name="implied_soda_ppu" queryTableFieldId="9" dataDxfId="4269">
      <calculatedColumnFormula>dataset[[#This Row],[soda_sales]]/dataset[[#This Row],[soda_units_sold]]</calculatedColumnFormula>
    </tableColumn>
    <tableColumn id="10" xr3:uid="{B6C65ECA-30D3-409C-B03D-A8E1CD102ACC}" uniqueName="10" name="check_soda_ppu" queryTableFieldId="10" dataDxfId="4268">
      <calculatedColumnFormula>dataset[[#This Row],[implied_soda_ppu]]-dataset[[#This Row],[soda_ppu]]</calculatedColumnFormula>
    </tableColumn>
    <tableColumn id="11" xr3:uid="{742A3C6A-C19F-44BC-8EBA-2ED7BFC6D02F}" uniqueName="11" name="soda_sales_share" queryTableFieldId="11" dataDxfId="4267">
      <calculatedColumnFormula>dataset[[#This Row],[soda_sales]]/dataset[[#This Row],[total_sales]]</calculatedColumnFormula>
    </tableColumn>
    <tableColumn id="12" xr3:uid="{6ABCC9B4-F3D8-4958-A7B5-66B50404A782}" uniqueName="12" name="ln_soda_units" queryTableFieldId="12" dataDxfId="4266">
      <calculatedColumnFormula>LN(dataset[[#This Row],[soda_units_sold]])</calculatedColumnFormula>
    </tableColumn>
    <tableColumn id="13" xr3:uid="{743C22FF-A900-41A1-B7DF-F407473D20A3}" uniqueName="13" name="ln_soda_sales" queryTableFieldId="13" dataDxfId="4265">
      <calculatedColumnFormula>LN(dataset[[#This Row],[soda_sales]])</calculatedColumnFormula>
    </tableColumn>
    <tableColumn id="15" xr3:uid="{14D662F7-E507-4615-8706-EEB548992A58}" uniqueName="15" name="ln_soda_ppu" queryTableFieldId="15" dataDxfId="4264">
      <calculatedColumnFormula>LN(dataset[[#This Row],[soda_ppu]])</calculatedColumnFormula>
    </tableColumn>
    <tableColumn id="14" xr3:uid="{67871E5B-CDAE-406F-A7F1-604FC39DA0E3}" uniqueName="14" name="is_VA" queryTableFieldId="14" dataDxfId="4263">
      <calculatedColumnFormula>IF(dataset[[#This Row],[state]]="VA",1,0)</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01907E-48B5-4AF4-8D05-E908C80B4EF0}" name="tot_sales_tbl" displayName="tot_sales_tbl" ref="A1:CW37" totalsRowShown="0" dataCellStyle="Currency">
  <autoFilter ref="A1:CW37" xr:uid="{7D01907E-48B5-4AF4-8D05-E908C80B4EF0}"/>
  <tableColumns count="101">
    <tableColumn id="1" xr3:uid="{A5ABB17A-2A24-4778-B508-232EE20C5226}" name="year_month"/>
    <tableColumn id="2" xr3:uid="{574C0E36-A2AF-4F46-BA54-183C26CE3C9D}" name="total_sales_1" dataDxfId="4185" dataCellStyle="Currency"/>
    <tableColumn id="3" xr3:uid="{DB043669-ED2A-4FCD-A949-F8F70091D10F}" name="total_sales_2" dataDxfId="4184" dataCellStyle="Currency"/>
    <tableColumn id="4" xr3:uid="{E5EB23EE-D158-49A4-BEBD-FCCA64EBBDA8}" name="total_sales_3" dataDxfId="4183" dataCellStyle="Currency"/>
    <tableColumn id="5" xr3:uid="{6FC57172-406D-4569-B676-A8D3624A44CC}" name="total_sales_4" dataDxfId="4182" dataCellStyle="Currency"/>
    <tableColumn id="6" xr3:uid="{1766D10A-F4F3-4CE0-8979-E379211B9081}" name="total_sales_5" dataDxfId="4181" dataCellStyle="Currency"/>
    <tableColumn id="7" xr3:uid="{0A10D10C-989D-474C-B655-5493AB9D510C}" name="total_sales_6" dataDxfId="4180" dataCellStyle="Currency"/>
    <tableColumn id="8" xr3:uid="{922E7E7A-012C-4DD5-99B2-DE1E4849129D}" name="total_sales_7" dataDxfId="4179" dataCellStyle="Currency"/>
    <tableColumn id="9" xr3:uid="{52E4FD2A-9D22-4E1A-8E23-DC0D4C0BC6F8}" name="total_sales_8" dataDxfId="4178" dataCellStyle="Currency"/>
    <tableColumn id="10" xr3:uid="{A1F18AAF-9BC2-45F6-8195-70F7974BE7EA}" name="total_sales_9" dataDxfId="4177" dataCellStyle="Currency"/>
    <tableColumn id="11" xr3:uid="{803B8096-E1BF-4CC2-A407-7FE4C195C28D}" name="total_sales_10" dataDxfId="4176" dataCellStyle="Currency"/>
    <tableColumn id="12" xr3:uid="{6B74AD52-5577-4A61-B9E4-CF355C136FDE}" name="total_sales_11" dataDxfId="4175" dataCellStyle="Currency"/>
    <tableColumn id="13" xr3:uid="{459FACCE-4C7E-498E-A433-5DF78E4AD9BB}" name="total_sales_12" dataDxfId="4174" dataCellStyle="Currency"/>
    <tableColumn id="14" xr3:uid="{0A5E2567-86D9-4306-BC17-B467F2949D70}" name="total_sales_13" dataDxfId="4173" dataCellStyle="Currency"/>
    <tableColumn id="15" xr3:uid="{B44762A7-6B7F-4CB2-A786-5CB7397E80B9}" name="total_sales_14" dataDxfId="4172" dataCellStyle="Currency"/>
    <tableColumn id="16" xr3:uid="{83A05728-C90F-4383-BBAF-8CE0D4CB1309}" name="total_sales_15" dataDxfId="4171" dataCellStyle="Currency"/>
    <tableColumn id="17" xr3:uid="{CB728BDC-E16D-44EB-A645-C627034FC286}" name="total_sales_16" dataDxfId="4170" dataCellStyle="Currency"/>
    <tableColumn id="18" xr3:uid="{9CA8FB26-617B-4B09-A3D6-AB3B8AC37CAB}" name="total_sales_17" dataDxfId="4169" dataCellStyle="Currency"/>
    <tableColumn id="19" xr3:uid="{F71F5E4E-8765-4C30-9377-C915B4B8D87E}" name="total_sales_18" dataDxfId="4168" dataCellStyle="Currency"/>
    <tableColumn id="20" xr3:uid="{190DEB64-0435-4EB9-AFB3-25B5E66B5711}" name="total_sales_19" dataDxfId="4167" dataCellStyle="Currency"/>
    <tableColumn id="21" xr3:uid="{ECEE1666-9478-4236-9C5A-0919E448C071}" name="total_sales_20" dataDxfId="4166" dataCellStyle="Currency"/>
    <tableColumn id="22" xr3:uid="{0D3A9018-5784-4D65-ACF6-F6CA5534F4A6}" name="total_sales_21" dataDxfId="4165" dataCellStyle="Currency"/>
    <tableColumn id="23" xr3:uid="{0789AF1A-B46E-46BB-9796-9EB0BEDFF378}" name="total_sales_22" dataDxfId="4164" dataCellStyle="Currency"/>
    <tableColumn id="24" xr3:uid="{22EFA884-6D76-4016-8E74-BB11BFD5B68E}" name="total_sales_23" dataDxfId="4163" dataCellStyle="Currency"/>
    <tableColumn id="25" xr3:uid="{43C6A5E8-AA8A-4529-81AB-78D2E0A98AED}" name="total_sales_24" dataDxfId="4162" dataCellStyle="Currency"/>
    <tableColumn id="26" xr3:uid="{CEDA4D06-41A4-4540-999F-F07C7BE14F2E}" name="total_sales_25" dataDxfId="4161" dataCellStyle="Currency"/>
    <tableColumn id="27" xr3:uid="{5EC79898-8750-4222-8F43-73EB3C2BC5EE}" name="total_sales_26" dataDxfId="4160" dataCellStyle="Currency"/>
    <tableColumn id="28" xr3:uid="{EC40E7EB-B5C4-4DFC-898E-E8E16356B8A1}" name="total_sales_27" dataDxfId="4159" dataCellStyle="Currency"/>
    <tableColumn id="29" xr3:uid="{3FE03176-FD43-4B45-893A-8B20F9E3E4C8}" name="total_sales_28" dataDxfId="4158" dataCellStyle="Currency"/>
    <tableColumn id="30" xr3:uid="{381BFA57-8B9E-4C46-BB75-20CCC45C4E20}" name="total_sales_29" dataDxfId="4157" dataCellStyle="Currency"/>
    <tableColumn id="31" xr3:uid="{4BA11583-293A-4473-856D-346FE4F1A06E}" name="total_sales_30" dataDxfId="4156" dataCellStyle="Currency"/>
    <tableColumn id="32" xr3:uid="{928AEBB3-6BAB-423A-8965-6F4B5E3AFC45}" name="total_sales_31" dataDxfId="4155" dataCellStyle="Currency"/>
    <tableColumn id="33" xr3:uid="{9BC0289E-5CD6-458F-B2BA-B21BDEF8B6DD}" name="total_sales_32" dataDxfId="4154" dataCellStyle="Currency"/>
    <tableColumn id="34" xr3:uid="{272921A9-62C6-4EA9-81C0-5904D6C990EC}" name="total_sales_33" dataDxfId="4153" dataCellStyle="Currency"/>
    <tableColumn id="35" xr3:uid="{FA437098-18B9-4923-9BA9-88045D9872B3}" name="total_sales_34" dataDxfId="4152" dataCellStyle="Currency"/>
    <tableColumn id="36" xr3:uid="{CA3C784D-CF9C-48D7-A6B6-4404DE5D15A3}" name="total_sales_35" dataDxfId="4151" dataCellStyle="Currency"/>
    <tableColumn id="37" xr3:uid="{75F0F318-8B44-43B7-954C-FA589C26753C}" name="total_sales_36" dataDxfId="4150" dataCellStyle="Currency"/>
    <tableColumn id="38" xr3:uid="{DC79194E-7A77-489C-9A34-EB975319DCCD}" name="total_sales_37" dataDxfId="4149" dataCellStyle="Currency"/>
    <tableColumn id="39" xr3:uid="{885C84B3-C15F-4B0F-9945-5A80A1647B84}" name="total_sales_38" dataDxfId="4148" dataCellStyle="Currency"/>
    <tableColumn id="40" xr3:uid="{2B3D6DCA-7986-4F76-8C7C-4052E3D62D25}" name="total_sales_39" dataDxfId="4147" dataCellStyle="Currency"/>
    <tableColumn id="41" xr3:uid="{BEFDB939-20FA-4497-83AD-6BDA71A2923F}" name="total_sales_40" dataDxfId="4146" dataCellStyle="Currency"/>
    <tableColumn id="42" xr3:uid="{C5143990-B8F6-46FF-9487-6478113A4ED8}" name="total_sales_41" dataDxfId="4145" dataCellStyle="Currency"/>
    <tableColumn id="43" xr3:uid="{DD3A199C-C573-4134-8BEC-C1BE9D9B6C1C}" name="total_sales_42" dataDxfId="4144" dataCellStyle="Currency"/>
    <tableColumn id="44" xr3:uid="{F6A2C6BF-F534-41EC-8B85-B17C19B39C60}" name="total_sales_43" dataDxfId="4143" dataCellStyle="Currency"/>
    <tableColumn id="45" xr3:uid="{7261BA6E-39F6-4082-AE2B-FA853601655B}" name="total_sales_44" dataDxfId="4142" dataCellStyle="Currency"/>
    <tableColumn id="46" xr3:uid="{C4076F37-6A24-44F1-A05A-3D47CE18ABA4}" name="total_sales_45" dataDxfId="4141" dataCellStyle="Currency"/>
    <tableColumn id="47" xr3:uid="{F8BE171C-47D7-43C1-81CE-4B4A2DDBD209}" name="total_sales_46" dataDxfId="4140" dataCellStyle="Currency"/>
    <tableColumn id="48" xr3:uid="{CA36E720-0592-4BA0-B1F1-7878296B6321}" name="total_sales_47" dataDxfId="4139" dataCellStyle="Currency"/>
    <tableColumn id="49" xr3:uid="{F44A1254-8EE6-4568-9DCE-85155B0127E0}" name="total_sales_48" dataDxfId="4138" dataCellStyle="Currency"/>
    <tableColumn id="50" xr3:uid="{9BBAB4F3-675B-4D4F-B327-412534F66367}" name="total_sales_49" dataDxfId="4137" dataCellStyle="Currency"/>
    <tableColumn id="51" xr3:uid="{B78366BC-ED21-46E3-9896-300FA24124AA}" name="total_sales_50" dataDxfId="4136" dataCellStyle="Currency"/>
    <tableColumn id="52" xr3:uid="{235A8C52-A2EC-4521-9EF0-504299F97926}" name="total_sales_51" dataDxfId="4135" dataCellStyle="Currency"/>
    <tableColumn id="53" xr3:uid="{030E30C2-9D04-4AA1-8BAF-98016433DEF7}" name="total_sales_52" dataDxfId="4134" dataCellStyle="Currency"/>
    <tableColumn id="54" xr3:uid="{4594ABA4-393B-4759-B2E0-3504290E6AE3}" name="total_sales_53" dataDxfId="4133" dataCellStyle="Currency"/>
    <tableColumn id="55" xr3:uid="{D8959E8B-7BC9-4057-8379-7D18FBFFDAC6}" name="total_sales_54" dataDxfId="4132" dataCellStyle="Currency"/>
    <tableColumn id="56" xr3:uid="{42D3AF66-86FC-4866-B163-4AD1312D44BA}" name="total_sales_55" dataDxfId="4131" dataCellStyle="Currency"/>
    <tableColumn id="57" xr3:uid="{CEA9537F-1347-49CC-9170-67EA709D64F3}" name="total_sales_56" dataDxfId="4130" dataCellStyle="Currency"/>
    <tableColumn id="58" xr3:uid="{C908AAEB-587A-4CC9-997F-B24B8D3DF096}" name="total_sales_57" dataDxfId="4129" dataCellStyle="Currency"/>
    <tableColumn id="59" xr3:uid="{BCF35BB5-E9E3-4230-B8D1-136DF7768DDE}" name="total_sales_58" dataDxfId="4128" dataCellStyle="Currency"/>
    <tableColumn id="60" xr3:uid="{844C625B-1286-4D5B-8802-03E8654C2614}" name="total_sales_59" dataDxfId="4127" dataCellStyle="Currency"/>
    <tableColumn id="61" xr3:uid="{43F01023-D63A-4D34-A324-A88AE3D51AE5}" name="total_sales_60" dataDxfId="4126" dataCellStyle="Currency"/>
    <tableColumn id="62" xr3:uid="{3B9656F1-4344-4F16-A433-25BF61268B14}" name="total_sales_61" dataDxfId="4125" dataCellStyle="Currency"/>
    <tableColumn id="63" xr3:uid="{EF4B31D4-9354-4DFB-B51D-7841FAEBDB57}" name="total_sales_62" dataDxfId="4124" dataCellStyle="Currency"/>
    <tableColumn id="64" xr3:uid="{54477C8F-F20B-4896-ACA1-70E00D5E06B5}" name="total_sales_63" dataDxfId="4123" dataCellStyle="Currency"/>
    <tableColumn id="65" xr3:uid="{9CC763A0-D25C-4BD3-8D0E-9600A95D313B}" name="total_sales_64" dataDxfId="4122" dataCellStyle="Currency"/>
    <tableColumn id="66" xr3:uid="{C218B9A9-1703-4816-8EFD-9CEEF1402678}" name="total_sales_65" dataDxfId="4121" dataCellStyle="Currency"/>
    <tableColumn id="67" xr3:uid="{C57D6F87-ED5C-494A-A9F1-4045EA057162}" name="total_sales_66" dataDxfId="4120" dataCellStyle="Currency"/>
    <tableColumn id="68" xr3:uid="{8DF365E5-9382-4FAE-9684-DCAC0D0E9E6B}" name="total_sales_67" dataDxfId="4119" dataCellStyle="Currency"/>
    <tableColumn id="69" xr3:uid="{EC78B183-3876-4423-A061-A930392CB855}" name="total_sales_68" dataDxfId="4118" dataCellStyle="Currency"/>
    <tableColumn id="70" xr3:uid="{6D83B791-9111-41E8-A396-860A0791A186}" name="total_sales_69" dataDxfId="4117" dataCellStyle="Currency"/>
    <tableColumn id="71" xr3:uid="{7727F766-FA39-41B1-9B46-A83C506BE4B5}" name="total_sales_70" dataDxfId="4116" dataCellStyle="Currency"/>
    <tableColumn id="72" xr3:uid="{338C3A87-04FD-4B06-BBEE-7D64C1F4A82B}" name="total_sales_71" dataDxfId="4115" dataCellStyle="Currency"/>
    <tableColumn id="73" xr3:uid="{F7DED07F-2F44-4A86-B80B-7A727282B6F5}" name="total_sales_72" dataDxfId="4114" dataCellStyle="Currency"/>
    <tableColumn id="74" xr3:uid="{1C5C440A-A1E4-4C2D-A160-6373CA9010BB}" name="total_sales_73" dataDxfId="4113" dataCellStyle="Currency"/>
    <tableColumn id="75" xr3:uid="{1D5C7612-AFA7-48C2-99F4-3A1F40F99C9E}" name="total_sales_74" dataDxfId="4112" dataCellStyle="Currency"/>
    <tableColumn id="76" xr3:uid="{FEF8352A-4598-4459-9419-B53A50C34446}" name="total_sales_75" dataDxfId="4111" dataCellStyle="Currency"/>
    <tableColumn id="77" xr3:uid="{AC393E3F-0085-4951-BB70-06E2066526AA}" name="total_sales_76" dataDxfId="4110" dataCellStyle="Currency"/>
    <tableColumn id="78" xr3:uid="{009D623C-36E1-4CA5-AAC2-80AC9CBA7BAB}" name="total_sales_77" dataDxfId="4109" dataCellStyle="Currency"/>
    <tableColumn id="79" xr3:uid="{AA5234FF-2B31-4916-936B-14542598F650}" name="total_sales_78" dataDxfId="4108" dataCellStyle="Currency"/>
    <tableColumn id="80" xr3:uid="{525D2D26-5E48-4B62-928E-B2B5ECA829D4}" name="total_sales_79" dataDxfId="4107" dataCellStyle="Currency"/>
    <tableColumn id="81" xr3:uid="{13850B6F-5AD4-4A16-8CE2-4CEBC6A2E7DB}" name="total_sales_80" dataDxfId="4106" dataCellStyle="Currency"/>
    <tableColumn id="82" xr3:uid="{6EFF7783-7776-4DFA-9114-D93848C92538}" name="total_sales_81" dataDxfId="4105" dataCellStyle="Currency"/>
    <tableColumn id="83" xr3:uid="{18ACA65E-2E59-4303-A75F-0C1DD84A9ABE}" name="total_sales_82" dataDxfId="4104" dataCellStyle="Currency"/>
    <tableColumn id="84" xr3:uid="{29202BA5-E783-46CB-BA41-0C2A7AF47E83}" name="total_sales_83" dataDxfId="4103" dataCellStyle="Currency"/>
    <tableColumn id="85" xr3:uid="{3792A311-E6ED-4A8D-BF3E-5A4C8358E822}" name="total_sales_84" dataDxfId="4102" dataCellStyle="Currency"/>
    <tableColumn id="86" xr3:uid="{555200C3-1224-4CD9-B99A-B052DAD54F1E}" name="total_sales_85" dataDxfId="4101" dataCellStyle="Currency"/>
    <tableColumn id="87" xr3:uid="{56120C11-3095-4D58-9B9F-7742628941A1}" name="total_sales_86" dataDxfId="4100" dataCellStyle="Currency"/>
    <tableColumn id="88" xr3:uid="{B1CD4A74-DCA0-4995-97CE-FD4DF3EEBB54}" name="total_sales_87" dataDxfId="4099" dataCellStyle="Currency"/>
    <tableColumn id="89" xr3:uid="{F0B456A6-C64A-415F-A4DF-9FE99913663E}" name="total_sales_88" dataDxfId="4098" dataCellStyle="Currency"/>
    <tableColumn id="90" xr3:uid="{F160FA7B-3C7C-405F-B016-55AB1BE34868}" name="total_sales_89" dataDxfId="4097" dataCellStyle="Currency"/>
    <tableColumn id="91" xr3:uid="{4BEF730A-F7D1-40F2-A63E-A7F17CCE2E49}" name="total_sales_90" dataDxfId="4096" dataCellStyle="Currency"/>
    <tableColumn id="92" xr3:uid="{4A8F1F05-70C1-46F6-97E4-67D97100924F}" name="total_sales_91" dataDxfId="4095" dataCellStyle="Currency"/>
    <tableColumn id="93" xr3:uid="{553E3210-42E2-481A-910E-FE9907A2CDE3}" name="total_sales_92" dataDxfId="4094" dataCellStyle="Currency"/>
    <tableColumn id="94" xr3:uid="{BDADDB80-90B5-4783-B6E1-AECB11AC1AB4}" name="total_sales_93" dataDxfId="4093" dataCellStyle="Currency"/>
    <tableColumn id="95" xr3:uid="{6855D818-61FD-491B-9D41-0E1F2D907DAF}" name="total_sales_94" dataDxfId="4092" dataCellStyle="Currency"/>
    <tableColumn id="96" xr3:uid="{A6AA868A-C67D-4949-8EEB-1A3F81B81832}" name="total_sales_95" dataDxfId="4091" dataCellStyle="Currency"/>
    <tableColumn id="97" xr3:uid="{0A1113E3-E4A1-422D-9E8E-5CCE0A95CD11}" name="total_sales_96" dataDxfId="4090" dataCellStyle="Currency"/>
    <tableColumn id="98" xr3:uid="{8F9468F4-9358-44FB-B29D-192725D69450}" name="total_sales_97" dataDxfId="4089" dataCellStyle="Currency"/>
    <tableColumn id="99" xr3:uid="{2F921EC6-42DD-43CD-B6E8-5167DDEA7471}" name="total_sales_98" dataDxfId="4088" dataCellStyle="Currency"/>
    <tableColumn id="100" xr3:uid="{ECB66A09-0CE0-4D54-903C-4F99F3ECF66B}" name="total_sales_99" dataDxfId="4087" dataCellStyle="Currency"/>
    <tableColumn id="101" xr3:uid="{E23F29FC-8E8A-490D-B392-42F8062F83F4}" name="total_sales_100" dataDxfId="4086" dataCellStyle="Currenc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D3C7C1-C03D-4060-90EC-C150062A54E5}" name="store_tbl" displayName="store_tbl" ref="A1:C101" totalsRowShown="0">
  <autoFilter ref="A1:C101" xr:uid="{B8D3C7C1-C03D-4060-90EC-C150062A54E5}"/>
  <tableColumns count="3">
    <tableColumn id="1" xr3:uid="{953F33CE-675A-4D96-83DD-AAA5DCBDE1D2}" name="store_id" dataDxfId="4085"/>
    <tableColumn id="2" xr3:uid="{84C50731-662C-4DF2-9CF6-5A2EC051D857}" name="zip" dataDxfId="4084"/>
    <tableColumn id="3" xr3:uid="{C5EC8524-8E2F-4CA5-AE30-9A387AF921B6}" name="sta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0220B7-D29E-4A58-8F77-1719ADACFFCD}" name="soda_ppu_tbl" displayName="soda_ppu_tbl" ref="A1:CW37" totalsRowShown="0">
  <autoFilter ref="A1:CW37" xr:uid="{B60220B7-D29E-4A58-8F77-1719ADACFFCD}"/>
  <tableColumns count="101">
    <tableColumn id="1" xr3:uid="{B1E16DA8-203C-4497-8DA0-A40E1B164AAD}" name="year_month"/>
    <tableColumn id="2" xr3:uid="{D2216CAA-7297-4653-8494-A0AF0B6A346F}" name="total_sales_1" dataDxfId="4083" dataCellStyle="Currency"/>
    <tableColumn id="3" xr3:uid="{3C1906C3-30CD-46F3-9116-2346A3EF7F79}" name="total_sales_2" dataDxfId="4082" dataCellStyle="Currency"/>
    <tableColumn id="4" xr3:uid="{16355FDF-787B-4519-8452-FC5C6F153060}" name="total_sales_3" dataDxfId="4081" dataCellStyle="Currency"/>
    <tableColumn id="5" xr3:uid="{62A5DC28-238F-4482-B9B5-4A8B372B5466}" name="total_sales_4" dataDxfId="4080" dataCellStyle="Currency"/>
    <tableColumn id="6" xr3:uid="{B044F09C-8444-45D9-AFBC-BDCB21BA0DF1}" name="total_sales_5" dataDxfId="4079" dataCellStyle="Currency"/>
    <tableColumn id="7" xr3:uid="{0575DC98-9CDF-4CCB-9570-0906D5D1D14B}" name="total_sales_6" dataDxfId="4078" dataCellStyle="Currency"/>
    <tableColumn id="8" xr3:uid="{A10B61D6-0FF8-4002-AF07-97A44CA217BE}" name="total_sales_7" dataDxfId="4077" dataCellStyle="Currency"/>
    <tableColumn id="9" xr3:uid="{7765D3D5-165E-4C22-BDBD-DB0CC8902037}" name="total_sales_8" dataDxfId="4076" dataCellStyle="Currency"/>
    <tableColumn id="10" xr3:uid="{1A7076FF-9B9D-4850-88B3-F03217DB204F}" name="total_sales_9" dataDxfId="4075" dataCellStyle="Currency"/>
    <tableColumn id="11" xr3:uid="{ADD90C9C-4C17-47DD-8B52-8B2B82FA3015}" name="total_sales_10" dataDxfId="4074" dataCellStyle="Currency"/>
    <tableColumn id="12" xr3:uid="{F2C6ECE4-96EB-43AC-83E8-A4703EA540D2}" name="total_sales_11" dataDxfId="4073" dataCellStyle="Currency"/>
    <tableColumn id="13" xr3:uid="{FCD8B173-F270-4D3F-BDBD-E358AD99333A}" name="total_sales_12" dataDxfId="4072" dataCellStyle="Currency"/>
    <tableColumn id="14" xr3:uid="{F7956128-1BE2-4BF1-BB21-AC6D303E63BC}" name="total_sales_13" dataDxfId="4071" dataCellStyle="Currency"/>
    <tableColumn id="15" xr3:uid="{6AEF90C4-ECBD-45B6-865C-50A026DBD8A9}" name="total_sales_14" dataDxfId="4070" dataCellStyle="Currency"/>
    <tableColumn id="16" xr3:uid="{CE1A185A-ECF0-43C4-80B8-872F72351D02}" name="total_sales_15" dataDxfId="4069" dataCellStyle="Currency"/>
    <tableColumn id="17" xr3:uid="{0013D3DC-2E3D-41A1-BDFE-69F641929D35}" name="total_sales_16" dataDxfId="4068" dataCellStyle="Currency"/>
    <tableColumn id="18" xr3:uid="{649D02EC-9E0F-4D71-ADF0-794D55CCBDD2}" name="total_sales_17" dataDxfId="4067" dataCellStyle="Currency"/>
    <tableColumn id="19" xr3:uid="{097621E9-AC95-475E-A2E2-9AA11145BAA1}" name="total_sales_18" dataDxfId="4066" dataCellStyle="Currency"/>
    <tableColumn id="20" xr3:uid="{035E9D29-21EB-4C1A-BF1C-714C7D103FEE}" name="total_sales_19" dataDxfId="4065" dataCellStyle="Currency"/>
    <tableColumn id="21" xr3:uid="{25BAFDD6-B793-4746-AE7C-9A2E48115AD9}" name="total_sales_20" dataDxfId="4064" dataCellStyle="Currency"/>
    <tableColumn id="22" xr3:uid="{0476C4DC-B0E7-4B21-80D6-4E04DAB96C17}" name="total_sales_21" dataDxfId="4063" dataCellStyle="Currency"/>
    <tableColumn id="23" xr3:uid="{2FDD6304-A89F-489B-B7A9-0C85AE3DECD8}" name="total_sales_22" dataDxfId="4062" dataCellStyle="Currency"/>
    <tableColumn id="24" xr3:uid="{4BB17ABB-BD83-4F81-82A3-3FB245A05A9D}" name="total_sales_23" dataDxfId="4061" dataCellStyle="Currency"/>
    <tableColumn id="25" xr3:uid="{0C428A8F-DFB1-4750-B47A-D937FB83B54A}" name="total_sales_24" dataDxfId="4060" dataCellStyle="Currency"/>
    <tableColumn id="26" xr3:uid="{DCBD4D87-AB20-4D49-AA42-504D41860F1D}" name="total_sales_25" dataDxfId="4059" dataCellStyle="Currency"/>
    <tableColumn id="27" xr3:uid="{9FF1E497-B733-471E-8A5B-E3DF1265A904}" name="total_sales_26" dataDxfId="4058" dataCellStyle="Currency"/>
    <tableColumn id="28" xr3:uid="{49081008-5805-461D-930C-F0F49950A582}" name="total_sales_27" dataDxfId="4057" dataCellStyle="Currency"/>
    <tableColumn id="29" xr3:uid="{F10CE79A-0EBC-479D-B7B2-749FFDFA37DF}" name="total_sales_28" dataDxfId="4056" dataCellStyle="Currency"/>
    <tableColumn id="30" xr3:uid="{6471A739-4FDE-42C8-BEB0-3E51FEF452A2}" name="total_sales_29" dataDxfId="4055" dataCellStyle="Currency"/>
    <tableColumn id="31" xr3:uid="{FD50E68E-8877-4758-BFAF-120BDD487362}" name="total_sales_30" dataDxfId="4054" dataCellStyle="Currency"/>
    <tableColumn id="32" xr3:uid="{B45F4363-04E9-423F-A136-744329B55480}" name="total_sales_31" dataDxfId="4053" dataCellStyle="Currency"/>
    <tableColumn id="33" xr3:uid="{F97BF4D8-E808-4133-B74B-4312A049411D}" name="total_sales_32" dataDxfId="4052" dataCellStyle="Currency"/>
    <tableColumn id="34" xr3:uid="{648D775D-A324-454D-BF79-6F40286B0F26}" name="total_sales_33" dataDxfId="4051" dataCellStyle="Currency"/>
    <tableColumn id="35" xr3:uid="{676D85B6-A766-4EFA-99AB-84A7B26ADD6B}" name="total_sales_34" dataDxfId="4050" dataCellStyle="Currency"/>
    <tableColumn id="36" xr3:uid="{98534695-3F6A-4152-9A49-24D9D5825E37}" name="total_sales_35" dataDxfId="4049" dataCellStyle="Currency"/>
    <tableColumn id="37" xr3:uid="{F063FD83-C013-40E2-B0A8-D535543A8D28}" name="total_sales_36" dataDxfId="4048" dataCellStyle="Currency"/>
    <tableColumn id="38" xr3:uid="{89578E19-83A6-4F3C-866E-90E08B5C1397}" name="total_sales_37" dataDxfId="4047" dataCellStyle="Currency"/>
    <tableColumn id="39" xr3:uid="{CA53351F-E7D1-4D02-A336-134A65565BAD}" name="total_sales_38" dataDxfId="4046" dataCellStyle="Currency"/>
    <tableColumn id="40" xr3:uid="{FC3E3E9A-4367-47CA-ADCA-8497C72ABADF}" name="total_sales_39" dataDxfId="4045" dataCellStyle="Currency"/>
    <tableColumn id="41" xr3:uid="{FDDEF4A7-B54E-4ADC-B63B-2A24E3A0431F}" name="total_sales_40" dataDxfId="4044" dataCellStyle="Currency"/>
    <tableColumn id="42" xr3:uid="{B6896115-86FD-4CB6-9BF3-29206F326C62}" name="total_sales_41" dataDxfId="4043" dataCellStyle="Currency"/>
    <tableColumn id="43" xr3:uid="{BF9EDE85-54C4-4884-B1C2-FAFA8C7B7737}" name="total_sales_42" dataDxfId="4042" dataCellStyle="Currency"/>
    <tableColumn id="44" xr3:uid="{75554A10-7BDD-4893-8EE5-32C48DD1C063}" name="total_sales_43" dataDxfId="4041" dataCellStyle="Currency"/>
    <tableColumn id="45" xr3:uid="{EA5BF0B5-4B32-4717-A93C-569BA68ADE30}" name="total_sales_44" dataDxfId="4040" dataCellStyle="Currency"/>
    <tableColumn id="46" xr3:uid="{87EF82CB-7830-47FD-AFF4-2AF3F9D2E300}" name="total_sales_45" dataDxfId="4039" dataCellStyle="Currency"/>
    <tableColumn id="47" xr3:uid="{F6EA5831-AF69-4FDE-A070-83130681675B}" name="total_sales_46" dataDxfId="4038" dataCellStyle="Currency"/>
    <tableColumn id="48" xr3:uid="{117B54E4-BAAD-427B-A64F-59BBFB8914DA}" name="total_sales_47" dataDxfId="4037" dataCellStyle="Currency"/>
    <tableColumn id="49" xr3:uid="{F04B8F2D-40AE-4583-B46E-5D569CDAC1E1}" name="total_sales_48" dataDxfId="4036" dataCellStyle="Currency"/>
    <tableColumn id="50" xr3:uid="{4CA851CC-4EA7-4017-91BE-58DE7BE35CDD}" name="total_sales_49" dataDxfId="4035" dataCellStyle="Currency"/>
    <tableColumn id="51" xr3:uid="{6A75524C-5B53-463D-96E1-3B0F5BAC9FEA}" name="total_sales_50" dataDxfId="4034" dataCellStyle="Currency"/>
    <tableColumn id="52" xr3:uid="{93C4D49E-CEE0-48AB-BD56-E7E15A0CF609}" name="total_sales_51" dataDxfId="4033" dataCellStyle="Currency"/>
    <tableColumn id="53" xr3:uid="{4BFA4B36-552E-4895-97D8-7CC158DA4C56}" name="total_sales_52" dataDxfId="4032" dataCellStyle="Currency"/>
    <tableColumn id="54" xr3:uid="{B15E1785-06E3-4943-9330-DA2659C08A67}" name="total_sales_53" dataDxfId="4031" dataCellStyle="Currency"/>
    <tableColumn id="55" xr3:uid="{FB1B2C0D-9781-431F-9959-70230889AEBC}" name="total_sales_54" dataDxfId="4030" dataCellStyle="Currency"/>
    <tableColumn id="56" xr3:uid="{82018868-EE6D-4DB2-B7A8-FB96713E8CC1}" name="total_sales_55" dataDxfId="4029" dataCellStyle="Currency"/>
    <tableColumn id="57" xr3:uid="{91C9A9D0-8CC4-408F-8DF5-A2F178CEC53F}" name="total_sales_56" dataDxfId="4028" dataCellStyle="Currency"/>
    <tableColumn id="58" xr3:uid="{CA5A03E3-5593-4631-B281-131579B34B0E}" name="total_sales_57" dataDxfId="4027" dataCellStyle="Currency"/>
    <tableColumn id="59" xr3:uid="{2401936B-B519-404A-9057-BEEAD9CD61CC}" name="total_sales_58" dataDxfId="4026" dataCellStyle="Currency"/>
    <tableColumn id="60" xr3:uid="{CD141D37-3B2A-4F61-B946-7B14CB832232}" name="total_sales_59" dataDxfId="4025" dataCellStyle="Currency"/>
    <tableColumn id="61" xr3:uid="{92E88586-9710-4DAB-BAE3-162848AB4DDD}" name="total_sales_60" dataDxfId="4024" dataCellStyle="Currency"/>
    <tableColumn id="62" xr3:uid="{510F9F3C-ECF3-4BFB-80C0-5BBB17133F71}" name="total_sales_61" dataDxfId="4023" dataCellStyle="Currency"/>
    <tableColumn id="63" xr3:uid="{43CE97E4-40D0-4E8C-87BB-5066A17206C7}" name="total_sales_62" dataDxfId="4022" dataCellStyle="Currency"/>
    <tableColumn id="64" xr3:uid="{339636CF-82E7-4E8B-9742-CCCD6FC64083}" name="total_sales_63" dataDxfId="4021" dataCellStyle="Currency"/>
    <tableColumn id="65" xr3:uid="{70F148AC-E739-4C78-93F6-83F98ECAA014}" name="total_sales_64" dataDxfId="4020" dataCellStyle="Currency"/>
    <tableColumn id="66" xr3:uid="{538F0C32-6229-4045-96E6-C7D573BB8BD8}" name="total_sales_65" dataDxfId="4019" dataCellStyle="Currency"/>
    <tableColumn id="67" xr3:uid="{EB3A6A6A-93E3-445E-8C6A-055E93A00168}" name="total_sales_66" dataDxfId="4018" dataCellStyle="Currency"/>
    <tableColumn id="68" xr3:uid="{C460B7BB-24EA-48F7-80A9-2FA07143DC37}" name="total_sales_67" dataDxfId="4017" dataCellStyle="Currency"/>
    <tableColumn id="69" xr3:uid="{17019C66-4F6E-4790-A10E-80F418108A2D}" name="total_sales_68" dataDxfId="4016" dataCellStyle="Currency"/>
    <tableColumn id="70" xr3:uid="{3300DF1D-DF33-488E-AFDC-CFEF218AD8B1}" name="total_sales_69" dataDxfId="4015" dataCellStyle="Currency"/>
    <tableColumn id="71" xr3:uid="{2528F3EA-DFA4-48EC-852C-723292298995}" name="total_sales_70" dataDxfId="4014" dataCellStyle="Currency"/>
    <tableColumn id="72" xr3:uid="{821B08F6-EF0B-4366-9CC7-3526A2283412}" name="total_sales_71" dataDxfId="4013" dataCellStyle="Currency"/>
    <tableColumn id="73" xr3:uid="{C480FBDC-9DAE-4CF2-8F75-BD23E7E5E85D}" name="total_sales_72" dataDxfId="4012" dataCellStyle="Currency"/>
    <tableColumn id="74" xr3:uid="{392B59B7-7C6D-46BA-A07E-8AE6DFF8843F}" name="total_sales_73" dataDxfId="4011" dataCellStyle="Currency"/>
    <tableColumn id="75" xr3:uid="{DAC39D52-B284-4CE6-95C1-9135F4A83CBA}" name="total_sales_74" dataDxfId="4010" dataCellStyle="Currency"/>
    <tableColumn id="76" xr3:uid="{32504FC8-7701-43C5-9AFE-4F3C4CC1EF66}" name="total_sales_75" dataDxfId="4009" dataCellStyle="Currency"/>
    <tableColumn id="77" xr3:uid="{D3846403-1E13-4A84-9B44-DACE3C73FA43}" name="total_sales_76" dataDxfId="4008" dataCellStyle="Currency"/>
    <tableColumn id="78" xr3:uid="{465B4823-A2A9-424D-9F52-CBB61CA0EE14}" name="total_sales_77" dataDxfId="4007" dataCellStyle="Currency"/>
    <tableColumn id="79" xr3:uid="{E81D8BB3-57E3-4B3D-BB90-F812CA718B79}" name="total_sales_78" dataDxfId="4006" dataCellStyle="Currency"/>
    <tableColumn id="80" xr3:uid="{38FC8AB8-78E3-43EF-8096-0359E96FA538}" name="total_sales_79" dataDxfId="4005" dataCellStyle="Currency"/>
    <tableColumn id="81" xr3:uid="{1BC88D39-0361-4FCA-9709-D62B3DC1AC7B}" name="total_sales_80" dataDxfId="4004" dataCellStyle="Currency"/>
    <tableColumn id="82" xr3:uid="{C94CACB2-0BED-4471-97B6-F3C92D8087BD}" name="total_sales_81" dataDxfId="4003" dataCellStyle="Currency"/>
    <tableColumn id="83" xr3:uid="{BE736BF2-2586-45B5-A543-21C3C4CF6434}" name="total_sales_82" dataDxfId="4002" dataCellStyle="Currency"/>
    <tableColumn id="84" xr3:uid="{C2F13DE3-2F2F-46B0-BA81-A92146A083BE}" name="total_sales_83" dataDxfId="4001" dataCellStyle="Currency"/>
    <tableColumn id="85" xr3:uid="{8F50C9DD-9D10-4EFA-B336-109C9B729A5D}" name="total_sales_84" dataDxfId="4000" dataCellStyle="Currency"/>
    <tableColumn id="86" xr3:uid="{63F3B0C5-4978-4AB2-87ED-69887AB14D69}" name="total_sales_85" dataDxfId="3999" dataCellStyle="Currency"/>
    <tableColumn id="87" xr3:uid="{BC73B89E-C024-4CA0-9A0B-DD0868552546}" name="total_sales_86" dataDxfId="3998" dataCellStyle="Currency"/>
    <tableColumn id="88" xr3:uid="{55A310A7-E60E-44A0-882D-D625DDAF7E4A}" name="total_sales_87" dataDxfId="3997" dataCellStyle="Currency"/>
    <tableColumn id="89" xr3:uid="{6C5A1A2E-A75B-469A-A1E7-79BAC39BB89F}" name="total_sales_88" dataDxfId="3996" dataCellStyle="Currency"/>
    <tableColumn id="90" xr3:uid="{21B78552-611C-4484-9789-C075B4B2F420}" name="total_sales_89" dataDxfId="3995" dataCellStyle="Currency"/>
    <tableColumn id="91" xr3:uid="{4225BA97-CBC6-4C2D-903F-DCB6AED077EE}" name="total_sales_90" dataDxfId="3994" dataCellStyle="Currency"/>
    <tableColumn id="92" xr3:uid="{18DB0C95-1B0D-4683-9473-AF66E45F9AF7}" name="total_sales_91" dataDxfId="3993" dataCellStyle="Currency"/>
    <tableColumn id="93" xr3:uid="{228275E1-AE86-43E4-846E-3E415D4CE4EC}" name="total_sales_92" dataDxfId="3992" dataCellStyle="Currency"/>
    <tableColumn id="94" xr3:uid="{4E30FA64-B387-4CD1-B3AD-CA335A5C74CF}" name="total_sales_93" dataDxfId="3991" dataCellStyle="Currency"/>
    <tableColumn id="95" xr3:uid="{16D2DC36-9D8F-44CC-A42B-4013ADF917EE}" name="total_sales_94" dataDxfId="3990" dataCellStyle="Currency"/>
    <tableColumn id="96" xr3:uid="{D9E905B5-96F2-43CD-96CC-03D2BF74BD10}" name="total_sales_95" dataDxfId="3989" dataCellStyle="Currency"/>
    <tableColumn id="97" xr3:uid="{E7C363F0-DF98-4930-8251-A90D3DF91BB8}" name="total_sales_96" dataDxfId="3988" dataCellStyle="Currency"/>
    <tableColumn id="98" xr3:uid="{A543726E-1D20-4442-9941-18846A5953B4}" name="total_sales_97" dataDxfId="3987" dataCellStyle="Currency"/>
    <tableColumn id="99" xr3:uid="{E489D800-57FD-49F4-B054-AC5C5DC4C583}" name="total_sales_98" dataDxfId="3986" dataCellStyle="Currency"/>
    <tableColumn id="100" xr3:uid="{C9241DD1-DC15-4755-B697-DF237FFA680C}" name="total_sales_99" dataDxfId="3985" dataCellStyle="Currency"/>
    <tableColumn id="101" xr3:uid="{685EB3F2-6DEE-4211-8DE5-34C22C763C03}" name="total_sales_100" dataDxfId="3984" dataCellStyle="Currency"/>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F08C6B1-8C14-4EE5-A256-1912346B1A86}" name="soda_units_tbl" displayName="soda_units_tbl" ref="A1:CW37" totalsRowShown="0">
  <autoFilter ref="A1:CW37" xr:uid="{3F08C6B1-8C14-4EE5-A256-1912346B1A86}"/>
  <tableColumns count="101">
    <tableColumn id="1" xr3:uid="{C3AB9600-BB04-4914-BDF5-737FB060BCD3}" name="year_month"/>
    <tableColumn id="2" xr3:uid="{603C41B0-A799-4628-B845-6D26631F3A02}" name="total_sales_1" dataDxfId="3983" dataCellStyle="Comma"/>
    <tableColumn id="3" xr3:uid="{27E86DCA-AEEE-428F-A048-CC45C6E110D1}" name="total_sales_2" dataDxfId="3982" dataCellStyle="Comma"/>
    <tableColumn id="4" xr3:uid="{BA593CCF-EB75-4317-B41D-5B535F3B1A1E}" name="total_sales_3" dataDxfId="3981" dataCellStyle="Comma"/>
    <tableColumn id="5" xr3:uid="{8A47A85F-776C-47FE-904F-4A9FCF20D528}" name="total_sales_4" dataDxfId="3980" dataCellStyle="Comma"/>
    <tableColumn id="6" xr3:uid="{C6C7371B-66DF-4332-A009-E4AAD2F63880}" name="total_sales_5" dataDxfId="3979" dataCellStyle="Comma"/>
    <tableColumn id="7" xr3:uid="{6A350832-F9E8-49CF-833D-8192FCD3B044}" name="total_sales_6" dataDxfId="3978" dataCellStyle="Comma"/>
    <tableColumn id="8" xr3:uid="{7D4CC824-F8ED-4404-8232-AA41191E7EEE}" name="total_sales_7" dataDxfId="3977" dataCellStyle="Comma"/>
    <tableColumn id="9" xr3:uid="{DA19C56E-557A-449D-AB3B-866FB58C7AE7}" name="total_sales_8" dataDxfId="3976" dataCellStyle="Comma"/>
    <tableColumn id="10" xr3:uid="{B932F5D5-5528-4A1A-98DD-397F80DCB441}" name="total_sales_9" dataDxfId="3975" dataCellStyle="Comma"/>
    <tableColumn id="11" xr3:uid="{04A9F84A-0BF8-40C0-ADBC-3F3769EE4C12}" name="total_sales_10" dataDxfId="3974" dataCellStyle="Comma"/>
    <tableColumn id="12" xr3:uid="{565C17A7-219C-4989-BD7E-982175FF6BFC}" name="total_sales_11" dataDxfId="3973" dataCellStyle="Comma"/>
    <tableColumn id="13" xr3:uid="{9EE2F1DD-4F5F-4D1F-A1E6-BA2002FF6137}" name="total_sales_12" dataDxfId="3972" dataCellStyle="Comma"/>
    <tableColumn id="14" xr3:uid="{48AFD1C3-EEAB-4B4E-8D39-2EEF0D140EE9}" name="total_sales_13" dataDxfId="3971" dataCellStyle="Comma"/>
    <tableColumn id="15" xr3:uid="{7DCF396F-4870-431E-A808-CEAA858E2ACC}" name="total_sales_14" dataDxfId="3970" dataCellStyle="Comma"/>
    <tableColumn id="16" xr3:uid="{D4DB2510-BA34-4640-B413-396A9CF917E1}" name="total_sales_15" dataDxfId="3969" dataCellStyle="Comma"/>
    <tableColumn id="17" xr3:uid="{1183B5DE-279F-46D1-B627-42C3A3431F48}" name="total_sales_16" dataDxfId="3968" dataCellStyle="Comma"/>
    <tableColumn id="18" xr3:uid="{9B649F25-609F-41AE-8FD3-7AC5131EBB72}" name="total_sales_17" dataDxfId="3967" dataCellStyle="Comma"/>
    <tableColumn id="19" xr3:uid="{D4EA0DC1-5F40-475C-99F8-522068E4EF96}" name="total_sales_18" dataDxfId="3966" dataCellStyle="Comma"/>
    <tableColumn id="20" xr3:uid="{2B976CFC-90CD-45CB-A64A-BC1A51509E7D}" name="total_sales_19" dataDxfId="3965" dataCellStyle="Comma"/>
    <tableColumn id="21" xr3:uid="{0B548B77-BABF-462E-B3C8-74E5C7846AA0}" name="total_sales_20" dataDxfId="3964" dataCellStyle="Comma"/>
    <tableColumn id="22" xr3:uid="{37ACF95D-1376-4D42-ABA6-B236F1BC6C30}" name="total_sales_21" dataDxfId="3963" dataCellStyle="Comma"/>
    <tableColumn id="23" xr3:uid="{BD50B970-8902-49D4-A9D4-B5E9076ED17E}" name="total_sales_22" dataDxfId="3962" dataCellStyle="Comma"/>
    <tableColumn id="24" xr3:uid="{558C1A2E-89CE-4503-8425-53C2EAAAF39F}" name="total_sales_23" dataDxfId="3961" dataCellStyle="Comma"/>
    <tableColumn id="25" xr3:uid="{4386D6A7-F8A3-42F8-A43A-C671F5F35036}" name="total_sales_24" dataDxfId="3960" dataCellStyle="Comma"/>
    <tableColumn id="26" xr3:uid="{EA65496D-CC12-4DA0-81E9-EC7522AC0064}" name="total_sales_25" dataDxfId="3959" dataCellStyle="Comma"/>
    <tableColumn id="27" xr3:uid="{69FE73C1-F12F-48F6-9893-4AF75F2F3B80}" name="total_sales_26" dataDxfId="3958" dataCellStyle="Comma"/>
    <tableColumn id="28" xr3:uid="{8D11D720-9E8C-41D4-BA8B-4374C0F954A9}" name="total_sales_27" dataDxfId="3957" dataCellStyle="Comma"/>
    <tableColumn id="29" xr3:uid="{0E23CD26-3B9A-4F95-9A81-B1405AC63746}" name="total_sales_28" dataDxfId="3956" dataCellStyle="Comma"/>
    <tableColumn id="30" xr3:uid="{8FA4C08F-D002-4EE3-8AF9-08287A363474}" name="total_sales_29" dataDxfId="3955" dataCellStyle="Comma"/>
    <tableColumn id="31" xr3:uid="{12E6F586-C2E1-480D-B7DE-9803DF0E4191}" name="total_sales_30" dataDxfId="3954" dataCellStyle="Comma"/>
    <tableColumn id="32" xr3:uid="{76A0E5C8-00FB-4138-8250-AE9DC049C907}" name="total_sales_31" dataDxfId="3953" dataCellStyle="Comma"/>
    <tableColumn id="33" xr3:uid="{E4BCD42F-3020-4099-B943-033B2C6E71A1}" name="total_sales_32" dataDxfId="3952" dataCellStyle="Comma"/>
    <tableColumn id="34" xr3:uid="{784F23F6-DD2F-4136-A23F-45C9DB943FA7}" name="total_sales_33" dataDxfId="3951" dataCellStyle="Comma"/>
    <tableColumn id="35" xr3:uid="{B83CB883-0B91-46A5-9D7B-289B1F4A71C7}" name="total_sales_34" dataDxfId="3950" dataCellStyle="Comma"/>
    <tableColumn id="36" xr3:uid="{E4756BC4-C0AF-4F8E-9AF6-70D37026A49B}" name="total_sales_35" dataDxfId="3949" dataCellStyle="Comma"/>
    <tableColumn id="37" xr3:uid="{359F9CD2-6256-4D09-AD43-1C3ECEC45A4E}" name="total_sales_36" dataDxfId="3948" dataCellStyle="Comma"/>
    <tableColumn id="38" xr3:uid="{0E12AC76-0D5B-4A76-9F49-5601C37B2211}" name="total_sales_37" dataDxfId="3947" dataCellStyle="Comma"/>
    <tableColumn id="39" xr3:uid="{250633BF-112E-472C-8128-74A007785F4E}" name="total_sales_38" dataDxfId="3946" dataCellStyle="Comma"/>
    <tableColumn id="40" xr3:uid="{293367F2-4E6C-4F3E-B510-24535C770FA9}" name="total_sales_39" dataDxfId="3945" dataCellStyle="Comma"/>
    <tableColumn id="41" xr3:uid="{013ABC10-E77D-4B7E-8B43-ADD310E9B281}" name="total_sales_40" dataDxfId="3944" dataCellStyle="Comma"/>
    <tableColumn id="42" xr3:uid="{9993278E-589E-4305-9CBE-911A6CFFF138}" name="total_sales_41" dataDxfId="3943" dataCellStyle="Comma"/>
    <tableColumn id="43" xr3:uid="{35ECA699-04CE-4587-9877-C9CFDDDA4516}" name="total_sales_42" dataDxfId="3942" dataCellStyle="Comma"/>
    <tableColumn id="44" xr3:uid="{66255732-8D4C-442C-BD07-1394E64C8F5C}" name="total_sales_43" dataDxfId="3941" dataCellStyle="Comma"/>
    <tableColumn id="45" xr3:uid="{3C5A954C-0519-40D4-8B3B-A232C9196DB5}" name="total_sales_44" dataDxfId="3940" dataCellStyle="Comma"/>
    <tableColumn id="46" xr3:uid="{6D878A0D-1537-42DE-B6A9-92EE43488006}" name="total_sales_45" dataDxfId="3939" dataCellStyle="Comma"/>
    <tableColumn id="47" xr3:uid="{3438FD11-B2A0-4E80-A187-46E79163701F}" name="total_sales_46" dataDxfId="3938" dataCellStyle="Comma"/>
    <tableColumn id="48" xr3:uid="{4E6FC859-0F00-448F-A826-8B8A8D57557A}" name="total_sales_47" dataDxfId="3937" dataCellStyle="Comma"/>
    <tableColumn id="49" xr3:uid="{5CF36A0E-4F34-4C1F-B98E-960C24C8AEC7}" name="total_sales_48" dataDxfId="3936" dataCellStyle="Comma"/>
    <tableColumn id="50" xr3:uid="{5B94A81D-5825-4213-8742-9CA61CA8FFAC}" name="total_sales_49" dataDxfId="3935" dataCellStyle="Comma"/>
    <tableColumn id="51" xr3:uid="{01F2EBFD-123D-434D-8F91-D67A90EF7AD3}" name="total_sales_50" dataDxfId="3934" dataCellStyle="Comma"/>
    <tableColumn id="52" xr3:uid="{9630C12F-2613-4F01-B220-4B8DD8E98FE5}" name="total_sales_51" dataDxfId="3933" dataCellStyle="Comma"/>
    <tableColumn id="53" xr3:uid="{71FB8C78-C8E8-49AB-B9A2-F67C88F0D525}" name="total_sales_52" dataDxfId="3932" dataCellStyle="Comma"/>
    <tableColumn id="54" xr3:uid="{B5FCDFFF-5DD2-48F0-B979-5A4035E39DFC}" name="total_sales_53" dataDxfId="3931" dataCellStyle="Comma"/>
    <tableColumn id="55" xr3:uid="{0C587F3F-2176-4AB9-8D61-133E3A9B4095}" name="total_sales_54" dataDxfId="3930" dataCellStyle="Comma"/>
    <tableColumn id="56" xr3:uid="{852C2AD9-392C-4B2D-A897-093112E7569A}" name="total_sales_55" dataDxfId="3929" dataCellStyle="Comma"/>
    <tableColumn id="57" xr3:uid="{CA150757-7B8C-49A9-9941-5ED9DE387CA5}" name="total_sales_56" dataDxfId="3928" dataCellStyle="Comma"/>
    <tableColumn id="58" xr3:uid="{F921D37F-DE13-4818-A876-CA0356D47EC8}" name="total_sales_57" dataDxfId="3927" dataCellStyle="Comma"/>
    <tableColumn id="59" xr3:uid="{1EE5DB43-DE38-4741-98B4-AEAEE0C32DD2}" name="total_sales_58" dataDxfId="3926" dataCellStyle="Comma"/>
    <tableColumn id="60" xr3:uid="{F2BDC71C-108B-4E79-9F41-632F66934933}" name="total_sales_59" dataDxfId="3925" dataCellStyle="Comma"/>
    <tableColumn id="61" xr3:uid="{CE5B0C6D-13AB-4B48-BB02-3DD9E7E0A0DF}" name="total_sales_60" dataDxfId="3924" dataCellStyle="Comma"/>
    <tableColumn id="62" xr3:uid="{F9651798-F63F-43C0-B7DF-3B030D671076}" name="total_sales_61" dataDxfId="3923" dataCellStyle="Comma"/>
    <tableColumn id="63" xr3:uid="{CEE794B7-0258-4713-9597-A4034C3FD75C}" name="total_sales_62" dataDxfId="3922" dataCellStyle="Comma"/>
    <tableColumn id="64" xr3:uid="{17AACB78-C992-4DAE-8204-38FC85DB7C50}" name="total_sales_63" dataDxfId="3921" dataCellStyle="Comma"/>
    <tableColumn id="65" xr3:uid="{6C35C8FB-A4D5-48F9-A9E4-14166CEA8D70}" name="total_sales_64" dataDxfId="3920" dataCellStyle="Comma"/>
    <tableColumn id="66" xr3:uid="{82188BC9-5E4E-46F5-B2F3-4A413D947D2D}" name="total_sales_65" dataDxfId="3919" dataCellStyle="Comma"/>
    <tableColumn id="67" xr3:uid="{371541A0-DBDC-4E5F-BC94-C36A5FD35793}" name="total_sales_66" dataDxfId="3918" dataCellStyle="Comma"/>
    <tableColumn id="68" xr3:uid="{64A10CD6-E862-4FD0-AA26-3CEB4BDF1AF8}" name="total_sales_67" dataDxfId="3917" dataCellStyle="Comma"/>
    <tableColumn id="69" xr3:uid="{888E29DC-6BC7-40A2-9F94-229DA4B12ED4}" name="total_sales_68" dataDxfId="3916" dataCellStyle="Comma"/>
    <tableColumn id="70" xr3:uid="{2ED4BB4F-DE54-45A7-B263-7FFD4150D2F7}" name="total_sales_69" dataDxfId="3915" dataCellStyle="Comma"/>
    <tableColumn id="71" xr3:uid="{0A4C5DD0-2E8D-440F-8FC1-5011D818D819}" name="total_sales_70" dataDxfId="3914" dataCellStyle="Comma"/>
    <tableColumn id="72" xr3:uid="{825E981B-2C00-4311-87E8-F631E13857F2}" name="total_sales_71" dataDxfId="3913" dataCellStyle="Comma"/>
    <tableColumn id="73" xr3:uid="{5C46B587-3FFA-4431-822D-7FEA4ED84543}" name="total_sales_72" dataDxfId="3912" dataCellStyle="Comma"/>
    <tableColumn id="74" xr3:uid="{9C39B8F2-CA31-4C66-A9FC-94AADBF9F96E}" name="total_sales_73" dataDxfId="3911" dataCellStyle="Comma"/>
    <tableColumn id="75" xr3:uid="{500BC866-83D8-43E7-8C45-C9F32150E359}" name="total_sales_74" dataDxfId="3910" dataCellStyle="Comma"/>
    <tableColumn id="76" xr3:uid="{7B9505D6-A506-4199-8866-2C02C3C52E24}" name="total_sales_75" dataDxfId="3909" dataCellStyle="Comma"/>
    <tableColumn id="77" xr3:uid="{01C1B320-B920-4B1C-AA5A-EB72D6700468}" name="total_sales_76" dataDxfId="3908" dataCellStyle="Comma"/>
    <tableColumn id="78" xr3:uid="{75DAADEC-72E1-44B5-B28E-082BE9A12437}" name="total_sales_77" dataDxfId="3907" dataCellStyle="Comma"/>
    <tableColumn id="79" xr3:uid="{5E347AD6-6D7F-4539-8D33-08F61736134E}" name="total_sales_78" dataDxfId="3906" dataCellStyle="Comma"/>
    <tableColumn id="80" xr3:uid="{F5B4C049-6059-42C7-858D-AF9F09DB23F0}" name="total_sales_79" dataDxfId="3905" dataCellStyle="Comma"/>
    <tableColumn id="81" xr3:uid="{481ED037-707B-4240-891E-3866536A7D78}" name="total_sales_80" dataDxfId="3904" dataCellStyle="Comma"/>
    <tableColumn id="82" xr3:uid="{0A5703B7-A677-4AA7-BB7B-C809CF807476}" name="total_sales_81" dataDxfId="3903" dataCellStyle="Comma"/>
    <tableColumn id="83" xr3:uid="{30DF2239-A9CF-4674-9964-D99E3C2BFA85}" name="total_sales_82" dataDxfId="3902" dataCellStyle="Comma"/>
    <tableColumn id="84" xr3:uid="{1B1C1DA0-9B80-4C2C-80C2-D81D5C1B709F}" name="total_sales_83" dataDxfId="3901" dataCellStyle="Comma"/>
    <tableColumn id="85" xr3:uid="{81FEE346-D01A-4B26-867E-97813FF08EF8}" name="total_sales_84" dataDxfId="3900" dataCellStyle="Comma"/>
    <tableColumn id="86" xr3:uid="{9CD395B1-EE39-445A-B216-6CAA15A29C6F}" name="total_sales_85" dataDxfId="3899" dataCellStyle="Comma"/>
    <tableColumn id="87" xr3:uid="{79D0DE51-54D4-486C-91E3-AA3F128CD47F}" name="total_sales_86" dataDxfId="3898" dataCellStyle="Comma"/>
    <tableColumn id="88" xr3:uid="{91FEBCE3-C8E5-42F8-BE62-7809E4DA0CC2}" name="total_sales_87" dataDxfId="3897" dataCellStyle="Comma"/>
    <tableColumn id="89" xr3:uid="{1B2E613D-088A-4C36-B476-CABB96A098CD}" name="total_sales_88" dataDxfId="3896" dataCellStyle="Comma"/>
    <tableColumn id="90" xr3:uid="{34106A2A-0619-4BCC-A82D-7EC61917EAD6}" name="total_sales_89" dataDxfId="3895" dataCellStyle="Comma"/>
    <tableColumn id="91" xr3:uid="{A2979DB4-E465-4BA2-BA5F-CDF00AC05440}" name="total_sales_90" dataDxfId="3894" dataCellStyle="Comma"/>
    <tableColumn id="92" xr3:uid="{9850E51C-D71D-4132-82E2-7212939D6891}" name="total_sales_91" dataDxfId="3893" dataCellStyle="Comma"/>
    <tableColumn id="93" xr3:uid="{7E1C2648-98F2-4489-A789-DA4CCF596340}" name="total_sales_92" dataDxfId="3892" dataCellStyle="Comma"/>
    <tableColumn id="94" xr3:uid="{B44936C0-BD57-40F2-ABD6-C8AC291E58BC}" name="total_sales_93" dataDxfId="3891" dataCellStyle="Comma"/>
    <tableColumn id="95" xr3:uid="{36D01D62-942D-4363-A421-73E5274CEF33}" name="total_sales_94" dataDxfId="3890" dataCellStyle="Comma"/>
    <tableColumn id="96" xr3:uid="{82555CE5-BF5F-45CA-992E-7F6544D1722C}" name="total_sales_95" dataDxfId="3889" dataCellStyle="Comma"/>
    <tableColumn id="97" xr3:uid="{5FB49BF1-9AF2-4DF4-B523-4CCB62209CA7}" name="total_sales_96" dataDxfId="3888" dataCellStyle="Comma"/>
    <tableColumn id="98" xr3:uid="{643E3E4F-19F3-4664-B5FE-204390013440}" name="total_sales_97" dataDxfId="3887" dataCellStyle="Comma"/>
    <tableColumn id="99" xr3:uid="{3E5C4827-D9CD-4F17-8FC8-45EBDD6CD508}" name="total_sales_98" dataDxfId="3886" dataCellStyle="Comma"/>
    <tableColumn id="100" xr3:uid="{6CBF92B6-92A9-424E-A431-E0385974AEB7}" name="total_sales_99" dataDxfId="3885" dataCellStyle="Comma"/>
    <tableColumn id="101" xr3:uid="{C4782EA2-F21F-4147-9396-D787A52938F3}" name="total_sales_100" dataDxfId="3884" dataCellStyle="Comm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1A507E-237F-48F3-B390-963F2CFA66A5}" name="soda_sales_tbl" displayName="soda_sales_tbl" ref="A1:CW37" totalsRowShown="0">
  <autoFilter ref="A1:CW37" xr:uid="{B41A507E-237F-48F3-B390-963F2CFA66A5}"/>
  <tableColumns count="101">
    <tableColumn id="1" xr3:uid="{AE22DEAD-C448-4566-B28B-0359732CF05E}" name="year_month"/>
    <tableColumn id="2" xr3:uid="{2702CD0E-BAE9-43AA-9B47-D5858FFD7BE2}" name="total_sales_1" dataDxfId="3883" dataCellStyle="Currency"/>
    <tableColumn id="3" xr3:uid="{C7847C2F-C445-41B6-8EB0-4A8C57233284}" name="total_sales_2" dataDxfId="3882" dataCellStyle="Currency"/>
    <tableColumn id="4" xr3:uid="{7B3A1FEA-AA1C-4FEA-914F-E53425DD10C3}" name="total_sales_3" dataDxfId="3881" dataCellStyle="Currency"/>
    <tableColumn id="5" xr3:uid="{F239173C-AF94-4099-A608-82124AB7F241}" name="total_sales_4" dataDxfId="3880" dataCellStyle="Currency"/>
    <tableColumn id="6" xr3:uid="{48382BD9-1B6D-445B-BA46-4361C2E79F75}" name="total_sales_5" dataDxfId="3879" dataCellStyle="Currency"/>
    <tableColumn id="7" xr3:uid="{69E8410A-AAE0-4997-893E-CCDF3FB3F4AC}" name="total_sales_6" dataDxfId="3878" dataCellStyle="Currency"/>
    <tableColumn id="8" xr3:uid="{69701AE3-6110-4777-9897-98679D177EEF}" name="total_sales_7" dataDxfId="3877" dataCellStyle="Currency"/>
    <tableColumn id="9" xr3:uid="{97ACDFF9-B4C9-4F7F-9C8E-325ADA3768C3}" name="total_sales_8" dataDxfId="3876" dataCellStyle="Currency"/>
    <tableColumn id="10" xr3:uid="{9591E52B-55EC-4F91-B7F1-2415CAB4DCBC}" name="total_sales_9" dataDxfId="3875" dataCellStyle="Currency"/>
    <tableColumn id="11" xr3:uid="{8EF9FD45-40B4-4D47-B14C-1864149DD5A9}" name="total_sales_10" dataDxfId="3874" dataCellStyle="Currency"/>
    <tableColumn id="12" xr3:uid="{A3202DEB-EA12-42A1-BD8C-5BA0605C1C21}" name="total_sales_11" dataDxfId="3873" dataCellStyle="Currency"/>
    <tableColumn id="13" xr3:uid="{E9AE2C81-9460-48A6-A985-55A9963B61A4}" name="total_sales_12" dataDxfId="3872" dataCellStyle="Currency"/>
    <tableColumn id="14" xr3:uid="{4CF681A3-1798-4DB1-92CD-8A9EC2385773}" name="total_sales_13" dataDxfId="3871" dataCellStyle="Currency"/>
    <tableColumn id="15" xr3:uid="{887EC332-C517-4ED6-B02B-F15305C3B230}" name="total_sales_14" dataDxfId="3870" dataCellStyle="Currency"/>
    <tableColumn id="16" xr3:uid="{1A572242-CADA-42F6-92B7-A2D11356A918}" name="total_sales_15" dataDxfId="3869" dataCellStyle="Currency"/>
    <tableColumn id="17" xr3:uid="{2BA4DF1C-55DB-460C-8655-9573E4AD73C5}" name="total_sales_16" dataDxfId="3868" dataCellStyle="Currency"/>
    <tableColumn id="18" xr3:uid="{37267D4D-6D2D-4D38-A502-A6190A49C9EE}" name="total_sales_17" dataDxfId="3867" dataCellStyle="Currency"/>
    <tableColumn id="19" xr3:uid="{C29B5C27-0711-4679-871E-8F923E8E2F09}" name="total_sales_18" dataDxfId="3866" dataCellStyle="Currency"/>
    <tableColumn id="20" xr3:uid="{05910E89-A771-4E9B-BAA9-8EEBC7C47855}" name="total_sales_19" dataDxfId="3865" dataCellStyle="Currency"/>
    <tableColumn id="21" xr3:uid="{4D35F775-BDDC-4C8C-8F32-6B29A5AED549}" name="total_sales_20" dataDxfId="3864" dataCellStyle="Currency"/>
    <tableColumn id="22" xr3:uid="{DF33C953-54C0-4B42-9A2F-ACF5F7E5FE3E}" name="total_sales_21" dataDxfId="3863" dataCellStyle="Currency"/>
    <tableColumn id="23" xr3:uid="{EBEA4D67-76B0-40AF-8BCE-484C255C8F37}" name="total_sales_22" dataDxfId="3862" dataCellStyle="Currency"/>
    <tableColumn id="24" xr3:uid="{A92C8245-B87F-4EB9-BA38-C25557DFF77E}" name="total_sales_23" dataDxfId="3861" dataCellStyle="Currency"/>
    <tableColumn id="25" xr3:uid="{C8C5B01C-A89B-41AD-9EEE-23107DE09EE3}" name="total_sales_24" dataDxfId="3860" dataCellStyle="Currency"/>
    <tableColumn id="26" xr3:uid="{2D6CD5D3-82E3-403A-846B-7F489947FDC4}" name="total_sales_25" dataDxfId="3859" dataCellStyle="Currency"/>
    <tableColumn id="27" xr3:uid="{2554443D-EB93-4F54-9786-F49F920F3CF4}" name="total_sales_26" dataDxfId="3858" dataCellStyle="Currency"/>
    <tableColumn id="28" xr3:uid="{6A480B64-ED80-439D-A857-1F555F2D4102}" name="total_sales_27" dataDxfId="3857" dataCellStyle="Currency"/>
    <tableColumn id="29" xr3:uid="{9EC9471B-F3F8-42B4-BDC2-C54DFDE0D86D}" name="total_sales_28" dataDxfId="3856" dataCellStyle="Currency"/>
    <tableColumn id="30" xr3:uid="{9A64B238-2EAB-406C-98C7-066995622C3F}" name="total_sales_29" dataDxfId="3855" dataCellStyle="Currency"/>
    <tableColumn id="31" xr3:uid="{1B03C0BE-3C5C-46F7-9EB1-4323B6140990}" name="total_sales_30" dataDxfId="3854" dataCellStyle="Currency"/>
    <tableColumn id="32" xr3:uid="{7EAB3E40-CC49-46E7-908D-FF0FEF0C042F}" name="total_sales_31" dataDxfId="3853" dataCellStyle="Currency"/>
    <tableColumn id="33" xr3:uid="{9B94872F-8C64-41D3-AE71-F7D66D52CE51}" name="total_sales_32" dataDxfId="3852" dataCellStyle="Currency"/>
    <tableColumn id="34" xr3:uid="{6FFD70A3-3522-48E4-9522-B1A1B0E6D2F7}" name="total_sales_33" dataDxfId="3851" dataCellStyle="Currency"/>
    <tableColumn id="35" xr3:uid="{66E82041-E0EE-4F28-B35F-679FC94DEA89}" name="total_sales_34" dataDxfId="3850" dataCellStyle="Currency"/>
    <tableColumn id="36" xr3:uid="{F972B16B-D693-4E7F-978F-D0E8F6328ABB}" name="total_sales_35" dataDxfId="3849" dataCellStyle="Currency"/>
    <tableColumn id="37" xr3:uid="{32EDB69F-C6DB-41DD-A3F3-6C20DD385928}" name="total_sales_36" dataDxfId="3848" dataCellStyle="Currency"/>
    <tableColumn id="38" xr3:uid="{6097E183-9997-4EF6-B3A4-FECB09AF1649}" name="total_sales_37" dataDxfId="3847" dataCellStyle="Currency"/>
    <tableColumn id="39" xr3:uid="{F012ED9D-AD5F-4DC7-87A8-DB52AE4EE96B}" name="total_sales_38" dataDxfId="3846" dataCellStyle="Currency"/>
    <tableColumn id="40" xr3:uid="{D9DFCDA0-579F-4937-8EFD-F055FCBF841C}" name="total_sales_39" dataDxfId="3845" dataCellStyle="Currency"/>
    <tableColumn id="41" xr3:uid="{A46B8002-D7F5-40F6-A64F-3223546591A4}" name="total_sales_40" dataDxfId="3844" dataCellStyle="Currency"/>
    <tableColumn id="42" xr3:uid="{F01A8CDF-0C77-4BAE-9DAF-50E079740853}" name="total_sales_41" dataDxfId="3843" dataCellStyle="Currency"/>
    <tableColumn id="43" xr3:uid="{F1EA950B-2B95-43EC-B6E4-C969E91043E8}" name="total_sales_42" dataDxfId="3842" dataCellStyle="Currency"/>
    <tableColumn id="44" xr3:uid="{4E6D9418-428D-42C9-893C-D1DAF35A9357}" name="total_sales_43" dataDxfId="3841" dataCellStyle="Currency"/>
    <tableColumn id="45" xr3:uid="{7D2C47DB-278C-4B4D-8F46-A4FF8404749A}" name="total_sales_44" dataDxfId="3840" dataCellStyle="Currency"/>
    <tableColumn id="46" xr3:uid="{5819AE7F-4620-4BC3-BF94-9FA0529ADF60}" name="total_sales_45" dataDxfId="3839" dataCellStyle="Currency"/>
    <tableColumn id="47" xr3:uid="{A6B4B60B-AD50-42E8-9B53-4DEA5DC2A547}" name="total_sales_46" dataDxfId="3838" dataCellStyle="Currency"/>
    <tableColumn id="48" xr3:uid="{E00D3E2B-64A5-4648-8CDF-5477192CA794}" name="total_sales_47" dataDxfId="3837" dataCellStyle="Currency"/>
    <tableColumn id="49" xr3:uid="{F8907F99-612F-4FC8-81AB-D021859CFAEB}" name="total_sales_48" dataDxfId="3836" dataCellStyle="Currency"/>
    <tableColumn id="50" xr3:uid="{939241E6-69B0-429A-B9E3-487D47CC8853}" name="total_sales_49" dataDxfId="3835" dataCellStyle="Currency"/>
    <tableColumn id="51" xr3:uid="{68D498CE-818B-41BD-9A21-3B376E8904F8}" name="total_sales_50" dataDxfId="3834" dataCellStyle="Currency"/>
    <tableColumn id="52" xr3:uid="{53C2B909-3135-4B7D-80A9-77269F601B36}" name="total_sales_51" dataDxfId="3833" dataCellStyle="Currency"/>
    <tableColumn id="53" xr3:uid="{F6B79404-8081-4590-9DB0-AC726A4251BB}" name="total_sales_52" dataDxfId="3832" dataCellStyle="Currency"/>
    <tableColumn id="54" xr3:uid="{2772C7A7-1BB9-4211-93FD-EA05F099BAB1}" name="total_sales_53" dataDxfId="3831" dataCellStyle="Currency"/>
    <tableColumn id="55" xr3:uid="{05B44DBF-F618-4918-B556-4BA7BB63943E}" name="total_sales_54" dataDxfId="3830" dataCellStyle="Currency"/>
    <tableColumn id="56" xr3:uid="{388F8FE2-CD0F-48BE-B6C0-00A07CB7F35A}" name="total_sales_55" dataDxfId="3829" dataCellStyle="Currency"/>
    <tableColumn id="57" xr3:uid="{7E48D78A-CBC7-4F69-81F5-A1134DC4596C}" name="total_sales_56" dataDxfId="3828" dataCellStyle="Currency"/>
    <tableColumn id="58" xr3:uid="{93475E8F-5354-4A0F-9019-6695298E337B}" name="total_sales_57" dataDxfId="3827" dataCellStyle="Currency"/>
    <tableColumn id="59" xr3:uid="{F91C8090-565B-4986-90DF-7442BE979F56}" name="total_sales_58" dataDxfId="3826" dataCellStyle="Currency"/>
    <tableColumn id="60" xr3:uid="{BF52FCFC-1E53-436D-A8E9-AF837C1E730B}" name="total_sales_59" dataDxfId="3825" dataCellStyle="Currency"/>
    <tableColumn id="61" xr3:uid="{CA0DBDB1-A1B7-4062-A61E-2B884153DB14}" name="total_sales_60" dataDxfId="3824" dataCellStyle="Currency"/>
    <tableColumn id="62" xr3:uid="{7ED3468C-6828-47E3-8B6D-B9DAD0F58743}" name="total_sales_61" dataDxfId="3823" dataCellStyle="Currency"/>
    <tableColumn id="63" xr3:uid="{BE19948B-4F3D-4CF8-811D-C8B2F6F1850B}" name="total_sales_62" dataDxfId="3822" dataCellStyle="Currency"/>
    <tableColumn id="64" xr3:uid="{C3B5CEB1-FFA2-475C-9458-A1574B3612DE}" name="total_sales_63" dataDxfId="3821" dataCellStyle="Currency"/>
    <tableColumn id="65" xr3:uid="{9CA814AB-5424-484A-9596-D8D601C5E070}" name="total_sales_64" dataDxfId="3820" dataCellStyle="Currency"/>
    <tableColumn id="66" xr3:uid="{55E59774-E290-4985-BE46-D978DB6B9339}" name="total_sales_65" dataDxfId="3819" dataCellStyle="Currency"/>
    <tableColumn id="67" xr3:uid="{CC1467C6-AD70-4982-BD22-BF21D3E0BCAF}" name="total_sales_66" dataDxfId="3818" dataCellStyle="Currency"/>
    <tableColumn id="68" xr3:uid="{F87B4952-5022-4AD3-87C0-E5FFED3CE48A}" name="total_sales_67" dataDxfId="3817" dataCellStyle="Currency"/>
    <tableColumn id="69" xr3:uid="{EE8B3718-340D-4BC1-B409-38DE70AEE2A6}" name="total_sales_68" dataDxfId="3816" dataCellStyle="Currency"/>
    <tableColumn id="70" xr3:uid="{BEEA1CD9-0443-426F-98F3-BE3A99B9DEC4}" name="total_sales_69" dataDxfId="3815" dataCellStyle="Currency"/>
    <tableColumn id="71" xr3:uid="{213EE667-A2BA-477F-9B14-68D93F89D42F}" name="total_sales_70" dataDxfId="3814" dataCellStyle="Currency"/>
    <tableColumn id="72" xr3:uid="{25D6BB7C-BDA2-4D30-B219-494A7573F70E}" name="total_sales_71" dataDxfId="3813" dataCellStyle="Currency"/>
    <tableColumn id="73" xr3:uid="{67AE3CCA-DEF9-48F1-8F13-E2473AF5DD95}" name="total_sales_72" dataDxfId="3812" dataCellStyle="Currency"/>
    <tableColumn id="74" xr3:uid="{133007CC-B368-4310-A35E-A8A5D9E4DAFF}" name="total_sales_73" dataDxfId="3811" dataCellStyle="Currency"/>
    <tableColumn id="75" xr3:uid="{F89D0FD7-D0A0-4DE4-9769-49E2705AEB80}" name="total_sales_74" dataDxfId="3810" dataCellStyle="Currency"/>
    <tableColumn id="76" xr3:uid="{04D3D1F4-C165-4BE0-883A-58B0E51C3D63}" name="total_sales_75" dataDxfId="3809" dataCellStyle="Currency"/>
    <tableColumn id="77" xr3:uid="{B04E77E1-92D5-4E22-BFC4-267A06C3598F}" name="total_sales_76" dataDxfId="3808" dataCellStyle="Currency"/>
    <tableColumn id="78" xr3:uid="{E8B6C188-BDC3-48B7-B94A-1D541DAB11B2}" name="total_sales_77" dataDxfId="3807" dataCellStyle="Currency"/>
    <tableColumn id="79" xr3:uid="{C38A8F7D-69E8-4F38-8CC9-5756160C35FD}" name="total_sales_78" dataDxfId="3806" dataCellStyle="Currency"/>
    <tableColumn id="80" xr3:uid="{D852DCF4-88E5-4CD0-83A9-8191811A985E}" name="total_sales_79" dataDxfId="3805" dataCellStyle="Currency"/>
    <tableColumn id="81" xr3:uid="{64CC4263-EF19-4E4D-AAF4-7B53CB619FE2}" name="total_sales_80" dataDxfId="3804" dataCellStyle="Currency"/>
    <tableColumn id="82" xr3:uid="{CBC6111A-1556-4E1D-B26D-66FD9DE45BDF}" name="total_sales_81" dataDxfId="3803" dataCellStyle="Currency"/>
    <tableColumn id="83" xr3:uid="{4EBDB392-37CD-456D-A5B7-5B9E3C646141}" name="total_sales_82" dataDxfId="3802" dataCellStyle="Currency"/>
    <tableColumn id="84" xr3:uid="{F8712F57-5118-40D6-AB00-1147F2C1CFF3}" name="total_sales_83" dataDxfId="3801" dataCellStyle="Currency"/>
    <tableColumn id="85" xr3:uid="{2B8707C1-FB0B-4231-918E-F1141F0C50AA}" name="total_sales_84" dataDxfId="3800" dataCellStyle="Currency"/>
    <tableColumn id="86" xr3:uid="{425B135F-38B0-42F7-B84C-B95CA98ED32F}" name="total_sales_85" dataDxfId="3799" dataCellStyle="Currency"/>
    <tableColumn id="87" xr3:uid="{AA5CDB30-339B-4F0E-B7B3-4DBE3DCE9DBF}" name="total_sales_86" dataDxfId="3798" dataCellStyle="Currency"/>
    <tableColumn id="88" xr3:uid="{EB3E8A3E-E294-4B4A-A3C7-DDEFABC0BFBF}" name="total_sales_87" dataDxfId="3797" dataCellStyle="Currency"/>
    <tableColumn id="89" xr3:uid="{9711A951-46EA-41DE-8ED7-951C5F15F2BD}" name="total_sales_88" dataDxfId="3796" dataCellStyle="Currency"/>
    <tableColumn id="90" xr3:uid="{165B0955-D14D-420F-A932-EB59481B2480}" name="total_sales_89" dataDxfId="3795" dataCellStyle="Currency"/>
    <tableColumn id="91" xr3:uid="{00F35EA6-7CCC-465F-9FEB-9A7E2025901E}" name="total_sales_90" dataDxfId="3794" dataCellStyle="Currency"/>
    <tableColumn id="92" xr3:uid="{E05D480A-7E7D-4A1E-9664-66903038DE9A}" name="total_sales_91" dataDxfId="3793" dataCellStyle="Currency"/>
    <tableColumn id="93" xr3:uid="{824FE14A-EF7F-46A4-9028-CA8858EDBAFD}" name="total_sales_92" dataDxfId="3792" dataCellStyle="Currency"/>
    <tableColumn id="94" xr3:uid="{94A0378C-F4B3-4C17-B203-B9AEB44B8684}" name="total_sales_93" dataDxfId="3791" dataCellStyle="Currency"/>
    <tableColumn id="95" xr3:uid="{FC6ADBCD-2BD3-48E2-9077-670ADA54BB53}" name="total_sales_94" dataDxfId="3790" dataCellStyle="Currency"/>
    <tableColumn id="96" xr3:uid="{1902E03C-100E-4725-9FED-4769C0528676}" name="total_sales_95" dataDxfId="3789" dataCellStyle="Currency"/>
    <tableColumn id="97" xr3:uid="{BE61B228-4985-4C73-81A5-CB427E4F3CBD}" name="total_sales_96" dataDxfId="3788" dataCellStyle="Currency"/>
    <tableColumn id="98" xr3:uid="{77AC03D3-92C4-4FD3-80A8-8168EF60196C}" name="total_sales_97" dataDxfId="3787" dataCellStyle="Currency"/>
    <tableColumn id="99" xr3:uid="{3EEA7D9F-FE58-454E-ADA1-C92EA41A4B3C}" name="total_sales_98" dataDxfId="3786" dataCellStyle="Currency"/>
    <tableColumn id="100" xr3:uid="{F92709FF-58ED-47B1-9B30-3027C1E241C2}" name="total_sales_99" dataDxfId="3785" dataCellStyle="Currency"/>
    <tableColumn id="101" xr3:uid="{13B11F28-22F9-40A5-9ED5-CB054A63BBFA}" name="total_sales_100" dataDxfId="3784" dataCellStyle="Currency"/>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A51E5A-56FC-4A9C-8721-F817E70459EE}" name="inc_tbl" displayName="inc_tbl" ref="A1:EON4" totalsRowShown="0">
  <autoFilter ref="A1:EON4" xr:uid="{18A51E5A-56FC-4A9C-8721-F817E70459EE}"/>
  <tableColumns count="3784">
    <tableColumn id="1" xr3:uid="{A4E400F5-189E-4FB6-975F-4E6FA073731A}" name="Year"/>
    <tableColumn id="2" xr3:uid="{11570C28-E223-44FB-AA24-C8E7DDC0B2C0}" name="20001" dataDxfId="3783" dataCellStyle="Currency"/>
    <tableColumn id="3" xr3:uid="{E8F6F421-0644-473F-B559-2C72B40133A9}" name="20002" dataDxfId="3782" dataCellStyle="Currency"/>
    <tableColumn id="4" xr3:uid="{DD50D1BC-5258-4845-B31B-6BE793090A7D}" name="20003" dataDxfId="3781" dataCellStyle="Currency"/>
    <tableColumn id="5" xr3:uid="{60D42BF0-86AC-4D7B-8C36-B608750FF176}" name="20004" dataDxfId="3780" dataCellStyle="Currency"/>
    <tableColumn id="6" xr3:uid="{B6EAD5E5-C836-4ED7-B9C3-4F98BAB0F81C}" name="20005" dataDxfId="3779" dataCellStyle="Currency"/>
    <tableColumn id="7" xr3:uid="{AA2752AD-C20D-422B-BFF3-56B14C747FB4}" name="20006" dataDxfId="3778" dataCellStyle="Currency"/>
    <tableColumn id="8" xr3:uid="{E9455B86-7FC9-496B-B02F-722141F141B0}" name="20007" dataDxfId="3777" dataCellStyle="Currency"/>
    <tableColumn id="9" xr3:uid="{2FE1C8FB-FB99-46DD-8036-681331ACA63A}" name="20008" dataDxfId="3776" dataCellStyle="Currency"/>
    <tableColumn id="10" xr3:uid="{5BA15DE7-2C8F-4944-816F-4238974A0C58}" name="20009" dataDxfId="3775" dataCellStyle="Currency"/>
    <tableColumn id="11" xr3:uid="{CC84E6BD-CA70-4B16-BF59-B8ACEB97F89C}" name="20010" dataDxfId="3774" dataCellStyle="Currency"/>
    <tableColumn id="12" xr3:uid="{2A8CFF9D-4423-46D0-83BD-FFF1F3675DDA}" name="20011" dataDxfId="3773" dataCellStyle="Currency"/>
    <tableColumn id="13" xr3:uid="{89B0B5B4-4893-4C48-A4E7-D5239AA02A0C}" name="20012" dataDxfId="3772" dataCellStyle="Currency"/>
    <tableColumn id="14" xr3:uid="{D66FC1C3-3961-48C9-B3B0-16B4969BC7BC}" name="20015" dataDxfId="3771" dataCellStyle="Currency"/>
    <tableColumn id="15" xr3:uid="{A99850B4-75E5-48BE-B8CF-A2D1FF6CCC44}" name="20016" dataDxfId="3770" dataCellStyle="Currency"/>
    <tableColumn id="16" xr3:uid="{7A79BA53-593C-49AA-BABE-0DC969DB92C3}" name="20017" dataDxfId="3769" dataCellStyle="Currency"/>
    <tableColumn id="17" xr3:uid="{2C085849-7B34-480F-9139-2E522C4E2347}" name="20018" dataDxfId="3768" dataCellStyle="Currency"/>
    <tableColumn id="18" xr3:uid="{D0617EE6-2326-4655-A264-26B905412004}" name="20019" dataDxfId="3767" dataCellStyle="Currency"/>
    <tableColumn id="19" xr3:uid="{04932203-9ACA-4152-977B-80F46154571B}" name="20020" dataDxfId="3766" dataCellStyle="Currency"/>
    <tableColumn id="20" xr3:uid="{2F8E772E-1AFC-440D-8BA3-476870D4CA21}" name="20024" dataDxfId="3765" dataCellStyle="Currency"/>
    <tableColumn id="21" xr3:uid="{62637BD1-A55D-457F-9461-5662D7EC3EED}" name="20032" dataDxfId="3764" dataCellStyle="Currency"/>
    <tableColumn id="22" xr3:uid="{713351F7-BF09-48A7-BCC4-69EBDBEAA6E7}" name="20036" dataDxfId="3763" dataCellStyle="Currency"/>
    <tableColumn id="23" xr3:uid="{51A2CEE3-7E4F-439F-8924-7F3AE4D5D1B0}" name="20037" dataDxfId="3762" dataCellStyle="Currency"/>
    <tableColumn id="24" xr3:uid="{E6DB05D1-A81D-4AA0-953F-B46FBCC17A5A}" name="20045" dataDxfId="3761" dataCellStyle="Currency"/>
    <tableColumn id="25" xr3:uid="{7C128076-97F9-4CE4-8A1C-C66FF73F102F}" name="20052" dataDxfId="3760" dataCellStyle="Currency"/>
    <tableColumn id="26" xr3:uid="{D2B9C90C-E8AF-452C-A4C6-20C598E399FD}" name="20057" dataDxfId="3759" dataCellStyle="Currency"/>
    <tableColumn id="27" xr3:uid="{1E7EF6A9-75AF-4C31-946A-EC2F8D05C913}" name="20059" dataDxfId="3758" dataCellStyle="Currency"/>
    <tableColumn id="28" xr3:uid="{CF13BB9D-523E-40CE-A66B-69F5942089DA}" name="20064" dataDxfId="3757" dataCellStyle="Currency"/>
    <tableColumn id="29" xr3:uid="{12BD6077-0B18-4440-B77E-BDD0476645BF}" name="20204" dataDxfId="3756" dataCellStyle="Currency"/>
    <tableColumn id="30" xr3:uid="{C47C5410-550A-4A90-B5EC-BDA5BD469709}" name="20220" dataDxfId="3755" dataCellStyle="Currency"/>
    <tableColumn id="31" xr3:uid="{32AE4CC2-9CA2-4908-877E-D75991F183B9}" name="20230" dataDxfId="3754" dataCellStyle="Currency"/>
    <tableColumn id="32" xr3:uid="{214C3CF8-92F2-4705-A605-5808B7EDCEE9}" name="20240" dataDxfId="3753" dataCellStyle="Currency"/>
    <tableColumn id="33" xr3:uid="{D6F94782-A1F6-4367-B191-2110CFDD6878}" name="20245" dataDxfId="3752" dataCellStyle="Currency"/>
    <tableColumn id="34" xr3:uid="{3D45ABB3-8C17-42B6-A4A0-378A8F657698}" name="20250" dataDxfId="3751" dataCellStyle="Currency"/>
    <tableColumn id="35" xr3:uid="{08BA1085-BF76-47F2-A91E-7BDCE717431D}" name="20260" dataDxfId="3750" dataCellStyle="Currency"/>
    <tableColumn id="36" xr3:uid="{E2024AB8-8AD0-463F-A4E9-1AD95B4AE3FF}" name="20317" dataDxfId="3749" dataCellStyle="Currency"/>
    <tableColumn id="37" xr3:uid="{2F2E57EE-8EC9-4F58-A605-A3A7888B328D}" name="20319" dataDxfId="3748" dataCellStyle="Currency"/>
    <tableColumn id="38" xr3:uid="{0F96715B-2DEE-4325-B916-83B157DF2C0F}" name="20373" dataDxfId="3747" dataCellStyle="Currency"/>
    <tableColumn id="39" xr3:uid="{3D7907BA-ABF0-46DD-B843-ED2F12BB4DFB}" name="20388" dataDxfId="3746" dataCellStyle="Currency"/>
    <tableColumn id="40" xr3:uid="{CE178ACE-E3EC-4D74-9F83-9E4B47CD16FD}" name="20390" dataDxfId="3745" dataCellStyle="Currency"/>
    <tableColumn id="41" xr3:uid="{69CDDECA-EF11-4AB0-866B-580305C1029B}" name="20408" dataDxfId="3744" dataCellStyle="Currency"/>
    <tableColumn id="42" xr3:uid="{7575D7E2-2DBA-4D72-AB72-E7B4057381F3}" name="20415" dataDxfId="3743" dataCellStyle="Currency"/>
    <tableColumn id="43" xr3:uid="{ADC5239C-D0BE-4F10-9600-F3A41507F08A}" name="20418" dataDxfId="3742" dataCellStyle="Currency"/>
    <tableColumn id="44" xr3:uid="{E794B8C1-363A-4E0E-8F78-BFB26766CB26}" name="20422" dataDxfId="3741" dataCellStyle="Currency"/>
    <tableColumn id="45" xr3:uid="{D04B9FB4-5F05-4F38-9B35-B7C8F9319E44}" name="20427" dataDxfId="3740" dataCellStyle="Currency"/>
    <tableColumn id="46" xr3:uid="{76307081-039A-4384-8142-E52C072D4D2C}" name="20431" dataDxfId="3739" dataCellStyle="Currency"/>
    <tableColumn id="47" xr3:uid="{380DD56B-04D7-430D-B531-5F30A508C090}" name="20510" dataDxfId="3738" dataCellStyle="Currency"/>
    <tableColumn id="48" xr3:uid="{00E1AA18-0E94-4682-9107-79E270E4DD87}" name="20515" dataDxfId="3737" dataCellStyle="Currency"/>
    <tableColumn id="49" xr3:uid="{FD4027A3-BC85-4D03-86CE-E8074D280D85}" name="20520" dataDxfId="3736" dataCellStyle="Currency"/>
    <tableColumn id="50" xr3:uid="{42A40AC3-F35F-4FA4-9ECC-673A53327280}" name="20530" dataDxfId="3735" dataCellStyle="Currency"/>
    <tableColumn id="51" xr3:uid="{578B2FA5-9391-48BE-BE14-BDABDDEEA136}" name="20535" dataDxfId="3734" dataCellStyle="Currency"/>
    <tableColumn id="52" xr3:uid="{410583BB-C79F-4121-8BA1-BAE52ADB483D}" name="20540" dataDxfId="3733" dataCellStyle="Currency"/>
    <tableColumn id="53" xr3:uid="{FE5CA2A6-D590-46F6-B15C-8F5FA8CDEC7A}" name="20542" dataDxfId="3732" dataCellStyle="Currency"/>
    <tableColumn id="54" xr3:uid="{EF8263FA-69E0-48BF-AD66-9881AA785B8C}" name="20551" dataDxfId="3731" dataCellStyle="Currency"/>
    <tableColumn id="55" xr3:uid="{B6EA1BC8-46E6-4F82-8507-540B9ACDBDDC}" name="20560" dataDxfId="3730" dataCellStyle="Currency"/>
    <tableColumn id="56" xr3:uid="{1D729CED-67A3-40FF-966F-215BD5A312F8}" name="20565" dataDxfId="3729" dataCellStyle="Currency"/>
    <tableColumn id="57" xr3:uid="{A6D4A512-D9F5-45E2-AD82-FAD43EF15BB8}" name="20566" dataDxfId="3728" dataCellStyle="Currency"/>
    <tableColumn id="58" xr3:uid="{4A507614-C858-41C6-A53F-9B5A99ECC894}" name="20591" dataDxfId="3727" dataCellStyle="Currency"/>
    <tableColumn id="59" xr3:uid="{96B8E71F-F4E0-4334-9D61-FF1E03D1219C}" name="30002" dataDxfId="3726" dataCellStyle="Currency"/>
    <tableColumn id="60" xr3:uid="{46D4A866-1941-4356-935D-EB89901CD407}" name="30004" dataDxfId="3725" dataCellStyle="Currency"/>
    <tableColumn id="61" xr3:uid="{764E0674-971D-48C3-8EC2-9291433B81B9}" name="30005" dataDxfId="3724" dataCellStyle="Currency"/>
    <tableColumn id="62" xr3:uid="{A9198151-E7A4-4C3A-BEEE-9B94B314AEDC}" name="30008" dataDxfId="3723" dataCellStyle="Currency"/>
    <tableColumn id="63" xr3:uid="{A4153201-4038-483B-B32A-D223DC538489}" name="30009" dataDxfId="3722" dataCellStyle="Currency"/>
    <tableColumn id="64" xr3:uid="{02C29295-942A-4FC6-AA83-F77B5E0991E4}" name="30011" dataDxfId="3721" dataCellStyle="Currency"/>
    <tableColumn id="65" xr3:uid="{D90BB745-8E77-49F9-8DC9-E6AE4A3631CA}" name="30012" dataDxfId="3720" dataCellStyle="Currency"/>
    <tableColumn id="66" xr3:uid="{388BCBAC-8DF7-410D-B8BD-9AA86DC810A9}" name="30013" dataDxfId="3719" dataCellStyle="Currency"/>
    <tableColumn id="67" xr3:uid="{650304CD-38D0-4A1B-9C99-DE09CAFDE8F4}" name="30014" dataDxfId="3718" dataCellStyle="Currency"/>
    <tableColumn id="68" xr3:uid="{4571EC18-2FFF-487F-93FE-E8F821AF81D3}" name="30016" dataDxfId="3717" dataCellStyle="Currency"/>
    <tableColumn id="69" xr3:uid="{4FA2E50D-FD01-4CB6-8363-14E09C3B5FCB}" name="30017" dataDxfId="3716" dataCellStyle="Currency"/>
    <tableColumn id="70" xr3:uid="{2CDCF357-482D-4C6F-8A4D-0D44654AAAFB}" name="30018" dataDxfId="3715" dataCellStyle="Currency"/>
    <tableColumn id="71" xr3:uid="{5735ED5E-0360-4623-9BE3-25C2D46FB079}" name="30019" dataDxfId="3714" dataCellStyle="Currency"/>
    <tableColumn id="72" xr3:uid="{736B6DAC-761E-442D-929A-51D52A5BE443}" name="30021" dataDxfId="3713" dataCellStyle="Currency"/>
    <tableColumn id="73" xr3:uid="{7B514B8B-AF17-458E-81D6-0FEEA181E4A1}" name="30022" dataDxfId="3712" dataCellStyle="Currency"/>
    <tableColumn id="74" xr3:uid="{3F893915-0EFD-4870-A090-43F96E423A91}" name="30024" dataDxfId="3711" dataCellStyle="Currency"/>
    <tableColumn id="75" xr3:uid="{9126804E-23E9-4F91-9E92-129CF5042259}" name="30025" dataDxfId="3710" dataCellStyle="Currency"/>
    <tableColumn id="76" xr3:uid="{8E892D46-3359-41C5-BA90-44B8AB994B44}" name="30028" dataDxfId="3709" dataCellStyle="Currency"/>
    <tableColumn id="77" xr3:uid="{AFC97C6D-6C5C-4C54-96AA-866FF1DD3586}" name="30030" dataDxfId="3708" dataCellStyle="Currency"/>
    <tableColumn id="78" xr3:uid="{D70E59DC-B35B-4633-96A6-29D0BF69FFE8}" name="30032" dataDxfId="3707" dataCellStyle="Currency"/>
    <tableColumn id="79" xr3:uid="{C729417C-F6C9-4EA8-B0CB-26B664E7507E}" name="30033" dataDxfId="3706" dataCellStyle="Currency"/>
    <tableColumn id="80" xr3:uid="{FFE75B8B-6812-4034-8358-E0607A6140BB}" name="30034" dataDxfId="3705" dataCellStyle="Currency"/>
    <tableColumn id="81" xr3:uid="{F3B1BFDC-F1D1-4C4A-8B5A-C36896F4AD49}" name="30035" dataDxfId="3704" dataCellStyle="Currency"/>
    <tableColumn id="82" xr3:uid="{42F83077-A420-472F-9DD8-B41919FE4AE2}" name="30038" dataDxfId="3703" dataCellStyle="Currency"/>
    <tableColumn id="83" xr3:uid="{DB95D1CB-68BA-4F8C-B360-5D8E4FEC6809}" name="30039" dataDxfId="3702" dataCellStyle="Currency"/>
    <tableColumn id="84" xr3:uid="{F566A0DE-A89B-4208-90C8-4584CAE44511}" name="30040" dataDxfId="3701" dataCellStyle="Currency"/>
    <tableColumn id="85" xr3:uid="{5EB10961-482F-4A95-956D-86C84CBB46BC}" name="30041" dataDxfId="3700" dataCellStyle="Currency"/>
    <tableColumn id="86" xr3:uid="{1F635553-BE02-481E-957A-6AC87EEC8940}" name="30043" dataDxfId="3699" dataCellStyle="Currency"/>
    <tableColumn id="87" xr3:uid="{AD433F5A-03E3-4E52-8E42-B75BB51DFDA8}" name="30044" dataDxfId="3698" dataCellStyle="Currency"/>
    <tableColumn id="88" xr3:uid="{556FB714-5264-49EC-9B0C-8E5A19A1E490}" name="30045" dataDxfId="3697" dataCellStyle="Currency"/>
    <tableColumn id="89" xr3:uid="{635248D1-A042-4765-9C75-4FD7C99AD7EC}" name="30046" dataDxfId="3696" dataCellStyle="Currency"/>
    <tableColumn id="90" xr3:uid="{0E2F9520-D091-4EF2-9987-0FECEFD1406E}" name="30047" dataDxfId="3695" dataCellStyle="Currency"/>
    <tableColumn id="91" xr3:uid="{D1537520-A47C-4866-90D9-516CF7A32F66}" name="30052" dataDxfId="3694" dataCellStyle="Currency"/>
    <tableColumn id="92" xr3:uid="{F70E9EF1-7294-41F7-B993-842F532BDAC9}" name="30054" dataDxfId="3693" dataCellStyle="Currency"/>
    <tableColumn id="93" xr3:uid="{12C93160-58CE-490D-9B04-5C45FAF7278B}" name="30055" dataDxfId="3692" dataCellStyle="Currency"/>
    <tableColumn id="94" xr3:uid="{27FEB2F0-C43D-4091-AC04-22BF03CE926C}" name="30056" dataDxfId="3691" dataCellStyle="Currency"/>
    <tableColumn id="95" xr3:uid="{8353EA00-A866-48D4-8739-B8A1551DC9D1}" name="30058" dataDxfId="3690" dataCellStyle="Currency"/>
    <tableColumn id="96" xr3:uid="{4D17D32C-0687-477A-A2C5-C55B87597C27}" name="30060" dataDxfId="3689" dataCellStyle="Currency"/>
    <tableColumn id="97" xr3:uid="{CE43CB56-99BC-4D62-A584-7FB65FBA6D7A}" name="30062" dataDxfId="3688" dataCellStyle="Currency"/>
    <tableColumn id="98" xr3:uid="{46D035F8-1F43-42B0-96D2-95C69CFD8959}" name="30064" dataDxfId="3687" dataCellStyle="Currency"/>
    <tableColumn id="99" xr3:uid="{AE73FDD1-6A2A-444E-913F-1FE9B11E1127}" name="30066" dataDxfId="3686" dataCellStyle="Currency"/>
    <tableColumn id="100" xr3:uid="{541417FB-F10C-428E-AE20-CB258F6C05AF}" name="30067" dataDxfId="3685" dataCellStyle="Currency"/>
    <tableColumn id="101" xr3:uid="{99513C6B-E15C-4FD1-BF1F-60B7132AD1A3}" name="30068" dataDxfId="3684" dataCellStyle="Currency"/>
    <tableColumn id="102" xr3:uid="{51517833-9C7A-4465-B629-B00D9C4BE82A}" name="30070" dataDxfId="3683" dataCellStyle="Currency"/>
    <tableColumn id="103" xr3:uid="{F2924641-1914-4D88-A7C5-D50737D18417}" name="30071" dataDxfId="3682" dataCellStyle="Currency"/>
    <tableColumn id="104" xr3:uid="{58226845-7256-4161-B2C5-05FC2F8BAC7F}" name="30072" dataDxfId="3681" dataCellStyle="Currency"/>
    <tableColumn id="105" xr3:uid="{BEFE5CE8-9B6D-47FF-BF80-06DF6F82A69A}" name="30075" dataDxfId="3680" dataCellStyle="Currency"/>
    <tableColumn id="106" xr3:uid="{35FEA184-544F-4A17-8A2A-079E7E837DFF}" name="30076" dataDxfId="3679" dataCellStyle="Currency"/>
    <tableColumn id="107" xr3:uid="{11842179-DC82-4D49-9084-9808FCBDE91A}" name="30078" dataDxfId="3678" dataCellStyle="Currency"/>
    <tableColumn id="108" xr3:uid="{B690A8CE-1F47-41C5-AD8D-0D77A19827E6}" name="30079" dataDxfId="3677" dataCellStyle="Currency"/>
    <tableColumn id="109" xr3:uid="{11F82E6A-C63F-40C8-B4E7-70220AAD66F9}" name="30080" dataDxfId="3676" dataCellStyle="Currency"/>
    <tableColumn id="110" xr3:uid="{129A089B-6C9F-40C9-A1CC-50E67C546F26}" name="30082" dataDxfId="3675" dataCellStyle="Currency"/>
    <tableColumn id="111" xr3:uid="{3950E5E7-C6D4-4523-ADE2-63F25E09447A}" name="30083" dataDxfId="3674" dataCellStyle="Currency"/>
    <tableColumn id="112" xr3:uid="{6EA11FEE-5292-47F3-A995-8C06CCD2DA31}" name="30084" dataDxfId="3673" dataCellStyle="Currency"/>
    <tableColumn id="113" xr3:uid="{866F1B14-A3FD-4068-86BD-C2401F43E49A}" name="30087" dataDxfId="3672" dataCellStyle="Currency"/>
    <tableColumn id="114" xr3:uid="{C39F519D-B554-494A-B9E2-6C0E4A12FCF7}" name="30088" dataDxfId="3671" dataCellStyle="Currency"/>
    <tableColumn id="115" xr3:uid="{2DAABAC8-49E9-4490-B92D-D5B43B17AEB9}" name="30090" dataDxfId="3670" dataCellStyle="Currency"/>
    <tableColumn id="116" xr3:uid="{B4562FA1-422F-47F9-827F-C9757A0FBCCB}" name="30092" dataDxfId="3669" dataCellStyle="Currency"/>
    <tableColumn id="117" xr3:uid="{294B9B6E-9E8C-4C9A-8CDE-6934C2FB4427}" name="30093" dataDxfId="3668" dataCellStyle="Currency"/>
    <tableColumn id="118" xr3:uid="{832DA911-F25A-4F45-B0B7-F609EF1B1D6C}" name="30094" dataDxfId="3667" dataCellStyle="Currency"/>
    <tableColumn id="119" xr3:uid="{A2978631-2EC3-438F-9134-14CF6C4C25AE}" name="30096" dataDxfId="3666" dataCellStyle="Currency"/>
    <tableColumn id="120" xr3:uid="{B85BC4B5-4B26-4CAB-91B7-31EE1503D93F}" name="30097" dataDxfId="3665" dataCellStyle="Currency"/>
    <tableColumn id="121" xr3:uid="{EAAA75F3-D506-4A90-8A88-8401E08FAD07}" name="30101" dataDxfId="3664" dataCellStyle="Currency"/>
    <tableColumn id="122" xr3:uid="{78E9B5C4-D5F0-4029-B2F5-3DFEC6D91389}" name="30102" dataDxfId="3663" dataCellStyle="Currency"/>
    <tableColumn id="123" xr3:uid="{48676126-4F9C-467B-8BFA-396FD3A18C32}" name="30103" dataDxfId="3662" dataCellStyle="Currency"/>
    <tableColumn id="124" xr3:uid="{AA709664-D589-4B32-B6C9-6F1126860842}" name="30104" dataDxfId="3661" dataCellStyle="Currency"/>
    <tableColumn id="125" xr3:uid="{DA359BE7-BB3B-4AC9-BEA2-C97CF52C4DB0}" name="30105" dataDxfId="3660" dataCellStyle="Currency"/>
    <tableColumn id="126" xr3:uid="{E02A7153-6106-4FE7-B171-45FFFBC7D02E}" name="30106" dataDxfId="3659" dataCellStyle="Currency"/>
    <tableColumn id="127" xr3:uid="{DEC26DCD-94F7-4362-AB55-F7591572D3F2}" name="30107" dataDxfId="3658" dataCellStyle="Currency"/>
    <tableColumn id="128" xr3:uid="{9CD24D35-6608-4B9C-BF39-23DC033847DC}" name="30108" dataDxfId="3657" dataCellStyle="Currency"/>
    <tableColumn id="129" xr3:uid="{99BE1384-0D4B-468D-949C-AF573CFD51D0}" name="30110" dataDxfId="3656" dataCellStyle="Currency"/>
    <tableColumn id="130" xr3:uid="{61E5F1AC-7C3B-4038-8B38-3237DEBB20BE}" name="30111" dataDxfId="3655" dataCellStyle="Currency"/>
    <tableColumn id="131" xr3:uid="{1F708244-43F1-409C-BAFB-5751999D201E}" name="30113" dataDxfId="3654" dataCellStyle="Currency"/>
    <tableColumn id="132" xr3:uid="{02E15558-5A5B-4F02-A204-95FDF9411B45}" name="30114" dataDxfId="3653" dataCellStyle="Currency"/>
    <tableColumn id="133" xr3:uid="{1542C0D9-8B00-41A0-B993-82A9990E81A4}" name="30115" dataDxfId="3652" dataCellStyle="Currency"/>
    <tableColumn id="134" xr3:uid="{7E909E1B-49E3-41FF-A924-885A5E8DC5C5}" name="30116" dataDxfId="3651" dataCellStyle="Currency"/>
    <tableColumn id="135" xr3:uid="{23DAEFB4-3C48-4881-9F4C-F6F64458D2BB}" name="30117" dataDxfId="3650" dataCellStyle="Currency"/>
    <tableColumn id="136" xr3:uid="{1C642889-6FBF-4DE6-BF17-0436D812FAD8}" name="30118" dataDxfId="3649" dataCellStyle="Currency"/>
    <tableColumn id="137" xr3:uid="{723BD3F4-E488-435E-889E-A44799919290}" name="30120" dataDxfId="3648" dataCellStyle="Currency"/>
    <tableColumn id="138" xr3:uid="{E6B9EE40-82ED-49BE-8DAA-B4CE6F08A89A}" name="30121" dataDxfId="3647" dataCellStyle="Currency"/>
    <tableColumn id="139" xr3:uid="{5FE12C20-97E0-495C-9BF1-8E247D187951}" name="30122" dataDxfId="3646" dataCellStyle="Currency"/>
    <tableColumn id="140" xr3:uid="{349A289C-5D54-4135-9D38-36F005245A11}" name="30124" dataDxfId="3645" dataCellStyle="Currency"/>
    <tableColumn id="141" xr3:uid="{BF7F2985-B40F-4147-82CE-994782626EEC}" name="30125" dataDxfId="3644" dataCellStyle="Currency"/>
    <tableColumn id="142" xr3:uid="{1892EAEF-DBB3-4886-AF2B-E22F44863925}" name="30126" dataDxfId="3643" dataCellStyle="Currency"/>
    <tableColumn id="143" xr3:uid="{8DC0002B-3043-454F-BDCD-CDBCE64F7A7E}" name="30127" dataDxfId="3642" dataCellStyle="Currency"/>
    <tableColumn id="144" xr3:uid="{C99890E9-8939-4C4F-B9EE-C3BF189E12A2}" name="30132" dataDxfId="3641" dataCellStyle="Currency"/>
    <tableColumn id="145" xr3:uid="{4CC68928-1897-4D60-93DD-BD74C31BC909}" name="30134" dataDxfId="3640" dataCellStyle="Currency"/>
    <tableColumn id="146" xr3:uid="{AD850CF8-2C12-4496-B41E-B213E9C6FF17}" name="30135" dataDxfId="3639" dataCellStyle="Currency"/>
    <tableColumn id="147" xr3:uid="{60ADE108-F1F9-467E-8ACB-8519D82FF12D}" name="30137" dataDxfId="3638" dataCellStyle="Currency"/>
    <tableColumn id="148" xr3:uid="{B849A1E0-3E56-4223-BB33-496F7DB4A319}" name="30139" dataDxfId="3637" dataCellStyle="Currency"/>
    <tableColumn id="149" xr3:uid="{C09E59A1-4848-4A66-B3D5-9A1A2A93DE59}" name="30141" dataDxfId="3636" dataCellStyle="Currency"/>
    <tableColumn id="150" xr3:uid="{4945F533-4579-470E-B1BD-1EBD2268B7C9}" name="30143" dataDxfId="3635" dataCellStyle="Currency"/>
    <tableColumn id="151" xr3:uid="{596FD882-2ADC-4F89-97C7-3AAAD4833D79}" name="30144" dataDxfId="3634" dataCellStyle="Currency"/>
    <tableColumn id="152" xr3:uid="{9E84DD6D-FD53-404D-8741-E1025A28FA3B}" name="30145" dataDxfId="3633" dataCellStyle="Currency"/>
    <tableColumn id="153" xr3:uid="{D60A8760-8F3E-4F97-B93B-A3C68B3A4461}" name="30147" dataDxfId="3632" dataCellStyle="Currency"/>
    <tableColumn id="154" xr3:uid="{CDA7B166-6F83-4742-A009-3F6091503540}" name="30148" dataDxfId="3631" dataCellStyle="Currency"/>
    <tableColumn id="155" xr3:uid="{2B46ADAF-6FD5-4C8E-9194-8F691EC56DFA}" name="30149" dataDxfId="3630" dataCellStyle="Currency"/>
    <tableColumn id="156" xr3:uid="{379C7FF8-1B24-44C8-B421-4FA12E329BBA}" name="30152" dataDxfId="3629" dataCellStyle="Currency"/>
    <tableColumn id="157" xr3:uid="{96C36EB0-B6EA-4AA2-A78F-187E967EC343}" name="30153" dataDxfId="3628" dataCellStyle="Currency"/>
    <tableColumn id="158" xr3:uid="{69955E22-FF38-49BA-9631-EBBCD7B64BAE}" name="30157" dataDxfId="3627" dataCellStyle="Currency"/>
    <tableColumn id="159" xr3:uid="{95A14BE6-4075-4CBC-982C-8783CFDD206D}" name="30161" dataDxfId="3626" dataCellStyle="Currency"/>
    <tableColumn id="160" xr3:uid="{B1094146-F7D8-4EE7-BEE7-A8E3E77754E1}" name="30165" dataDxfId="3625" dataCellStyle="Currency"/>
    <tableColumn id="161" xr3:uid="{5EE7F5CC-6091-4828-BCE9-C4C1742EC10C}" name="30168" dataDxfId="3624" dataCellStyle="Currency"/>
    <tableColumn id="162" xr3:uid="{4E61131E-FAE4-4887-B6B9-CA3DB5C2E697}" name="30170" dataDxfId="3623" dataCellStyle="Currency"/>
    <tableColumn id="163" xr3:uid="{A5CE2DBF-A31E-4300-B7D3-075122256E99}" name="30171" dataDxfId="3622" dataCellStyle="Currency"/>
    <tableColumn id="164" xr3:uid="{2AA98CB8-120C-4E2C-A09B-478C8AB4991C}" name="30173" dataDxfId="3621" dataCellStyle="Currency"/>
    <tableColumn id="165" xr3:uid="{EA666EB3-E90A-43CB-B65A-1FFBD59FA908}" name="30175" dataDxfId="3620" dataCellStyle="Currency"/>
    <tableColumn id="166" xr3:uid="{E22270D4-4824-48E5-893D-DCAEEB9E53E8}" name="30176" dataDxfId="3619" dataCellStyle="Currency"/>
    <tableColumn id="167" xr3:uid="{4E6546C4-44EA-4592-AA26-1F75D2F08D4A}" name="30177" dataDxfId="3618" dataCellStyle="Currency"/>
    <tableColumn id="168" xr3:uid="{09E22C54-DBCC-4C1A-B5C8-E05093548248}" name="30178" dataDxfId="3617" dataCellStyle="Currency"/>
    <tableColumn id="169" xr3:uid="{54641182-CF11-4AF0-B953-DA5FD9280273}" name="30179" dataDxfId="3616" dataCellStyle="Currency"/>
    <tableColumn id="170" xr3:uid="{429F932C-6F87-460F-89A0-7262CE66989D}" name="30180" dataDxfId="3615" dataCellStyle="Currency"/>
    <tableColumn id="171" xr3:uid="{23A9F4F1-2BB9-4FFF-8000-9172ACEAC96D}" name="30182" dataDxfId="3614" dataCellStyle="Currency"/>
    <tableColumn id="172" xr3:uid="{DD859C87-8B73-4B31-AFE8-5799EFDFF54B}" name="30183" dataDxfId="3613" dataCellStyle="Currency"/>
    <tableColumn id="173" xr3:uid="{6151B8DC-EAD7-46D5-86A2-56DB8428B55F}" name="30184" dataDxfId="3612" dataCellStyle="Currency"/>
    <tableColumn id="174" xr3:uid="{B8365CA3-D2E8-437C-BD9F-D0A86DFCE4B9}" name="30185" dataDxfId="3611" dataCellStyle="Currency"/>
    <tableColumn id="175" xr3:uid="{7A73028F-6966-42AF-A2EB-08011BF2D72A}" name="30187" dataDxfId="3610" dataCellStyle="Currency"/>
    <tableColumn id="176" xr3:uid="{BD89CEB4-1E95-4782-A64D-0824D9741AD0}" name="30188" dataDxfId="3609" dataCellStyle="Currency"/>
    <tableColumn id="177" xr3:uid="{F46A1B62-83E0-457C-B0BA-086A360F1F38}" name="30189" dataDxfId="3608" dataCellStyle="Currency"/>
    <tableColumn id="178" xr3:uid="{B4FE6F07-B1B3-4A1D-A84F-3AFAB883D870}" name="30204" dataDxfId="3607" dataCellStyle="Currency"/>
    <tableColumn id="179" xr3:uid="{09A85485-9B03-469C-9632-890349467CEC}" name="30205" dataDxfId="3606" dataCellStyle="Currency"/>
    <tableColumn id="180" xr3:uid="{17267E29-96BC-4118-B59F-9B541FC2F47F}" name="30206" dataDxfId="3605" dataCellStyle="Currency"/>
    <tableColumn id="181" xr3:uid="{B2908D46-AB28-470D-A57D-794E9CA63E61}" name="30213" dataDxfId="3604" dataCellStyle="Currency"/>
    <tableColumn id="182" xr3:uid="{73B3F472-223F-46F6-84CF-201409C14389}" name="30214" dataDxfId="3603" dataCellStyle="Currency"/>
    <tableColumn id="183" xr3:uid="{036F7B3E-8EB2-4E86-BD04-405112BF020F}" name="30215" dataDxfId="3602" dataCellStyle="Currency"/>
    <tableColumn id="184" xr3:uid="{E6B337DE-A6B6-4BFB-A697-5B1048C1A006}" name="30216" dataDxfId="3601" dataCellStyle="Currency"/>
    <tableColumn id="185" xr3:uid="{2B356B3F-36A8-4B54-A409-71AE19FCE055}" name="30217" dataDxfId="3600" dataCellStyle="Currency"/>
    <tableColumn id="186" xr3:uid="{C07B4EF1-7087-43B8-AE88-90EEC4C80D5E}" name="30218" dataDxfId="3599" dataCellStyle="Currency"/>
    <tableColumn id="187" xr3:uid="{5EE334B2-841A-431E-BD07-39585C08FA49}" name="30220" dataDxfId="3598" dataCellStyle="Currency"/>
    <tableColumn id="188" xr3:uid="{1ED68B4D-B0B3-4883-8AB7-5EE117C936C4}" name="30222" dataDxfId="3597" dataCellStyle="Currency"/>
    <tableColumn id="189" xr3:uid="{99FC70C4-D919-441B-B1EA-5ACED1AA89FC}" name="30223" dataDxfId="3596" dataCellStyle="Currency"/>
    <tableColumn id="190" xr3:uid="{40CD3F5E-8D67-482B-A3E6-A4AB4870EA47}" name="30224" dataDxfId="3595" dataCellStyle="Currency"/>
    <tableColumn id="191" xr3:uid="{E3D14591-CE2E-429F-97FC-ACE895541E3A}" name="30228" dataDxfId="3594" dataCellStyle="Currency"/>
    <tableColumn id="192" xr3:uid="{760908DA-244B-4E1A-9237-3501006720CF}" name="30229" dataDxfId="3593" dataCellStyle="Currency"/>
    <tableColumn id="193" xr3:uid="{C87D4055-0220-4E6E-8591-E7ACFEEFF582}" name="30230" dataDxfId="3592" dataCellStyle="Currency"/>
    <tableColumn id="194" xr3:uid="{6F757C1D-1EA5-4E25-8F80-29EABFABBDFF}" name="30233" dataDxfId="3591" dataCellStyle="Currency"/>
    <tableColumn id="195" xr3:uid="{E81167BF-41ED-4A4C-9859-ABB6B5379FFA}" name="30234" dataDxfId="3590" dataCellStyle="Currency"/>
    <tableColumn id="196" xr3:uid="{8026FE83-52D7-4B2D-BE6B-6DBA04DAB3BE}" name="30236" dataDxfId="3589" dataCellStyle="Currency"/>
    <tableColumn id="197" xr3:uid="{A2A99184-45BF-4BA2-A78A-17B5A0DEE7F8}" name="30238" dataDxfId="3588" dataCellStyle="Currency"/>
    <tableColumn id="198" xr3:uid="{384C618A-DB3A-4E7B-B455-99D9D6C45EDC}" name="30240" dataDxfId="3587" dataCellStyle="Currency"/>
    <tableColumn id="199" xr3:uid="{E20502A6-44A2-4252-86FF-64CF1DAD93C7}" name="30241" dataDxfId="3586" dataCellStyle="Currency"/>
    <tableColumn id="200" xr3:uid="{10300FE0-04FC-423A-8FA6-C31B86A445C4}" name="30248" dataDxfId="3585" dataCellStyle="Currency"/>
    <tableColumn id="201" xr3:uid="{B2EF4CAE-3858-4AFA-B9DB-0BCD76DDB6A2}" name="30250" dataDxfId="3584" dataCellStyle="Currency"/>
    <tableColumn id="202" xr3:uid="{41550319-DDD2-431A-B893-569DD4EF0317}" name="30251" dataDxfId="3583" dataCellStyle="Currency"/>
    <tableColumn id="203" xr3:uid="{FEAD99EF-8619-489A-AF69-B63686FFB7C0}" name="30252" dataDxfId="3582" dataCellStyle="Currency"/>
    <tableColumn id="204" xr3:uid="{E3B63D02-BC62-4484-B49E-E2911838F5D9}" name="30253" dataDxfId="3581" dataCellStyle="Currency"/>
    <tableColumn id="205" xr3:uid="{2A5A4B8D-156D-4F19-9622-02CA6E2D22CC}" name="30256" dataDxfId="3580" dataCellStyle="Currency"/>
    <tableColumn id="206" xr3:uid="{41E72D91-D911-40C8-92BD-6A50BD96A4AF}" name="30257" dataDxfId="3579" dataCellStyle="Currency"/>
    <tableColumn id="207" xr3:uid="{DE8A0620-0646-47F9-826B-6E39753AEB8F}" name="30258" dataDxfId="3578" dataCellStyle="Currency"/>
    <tableColumn id="208" xr3:uid="{309BA7DE-058F-4335-861F-C0EDC24FC78E}" name="30259" dataDxfId="3577" dataCellStyle="Currency"/>
    <tableColumn id="209" xr3:uid="{F304B3CA-0390-46CD-B3DE-B6F95ECF1234}" name="30260" dataDxfId="3576" dataCellStyle="Currency"/>
    <tableColumn id="210" xr3:uid="{E3EC5084-5207-468A-919A-12A9B0098012}" name="30263" dataDxfId="3575" dataCellStyle="Currency"/>
    <tableColumn id="211" xr3:uid="{EC18B8DC-0619-4291-A1C2-915E5B061D8A}" name="30265" dataDxfId="3574" dataCellStyle="Currency"/>
    <tableColumn id="212" xr3:uid="{74717AD9-614E-4056-857F-EF9782BF2FED}" name="30268" dataDxfId="3573" dataCellStyle="Currency"/>
    <tableColumn id="213" xr3:uid="{807A0659-4052-476E-8589-7243402D826A}" name="30269" dataDxfId="3572" dataCellStyle="Currency"/>
    <tableColumn id="214" xr3:uid="{26423C00-E624-41F8-A7B3-CB44BAA3173D}" name="30272" dataDxfId="3571" dataCellStyle="Currency"/>
    <tableColumn id="215" xr3:uid="{0E46DE7D-E17B-4AE3-97DF-7362E0EC0622}" name="30273" dataDxfId="3570" dataCellStyle="Currency"/>
    <tableColumn id="216" xr3:uid="{FCEF0FE0-9332-4F72-A071-EDC9F0C2152B}" name="30274" dataDxfId="3569" dataCellStyle="Currency"/>
    <tableColumn id="217" xr3:uid="{2099E3C1-E354-4CF0-936B-7AE1DD12EDA0}" name="30275" dataDxfId="3568" dataCellStyle="Currency"/>
    <tableColumn id="218" xr3:uid="{280E509F-4E68-45BE-B97B-A7804558BF92}" name="30276" dataDxfId="3567" dataCellStyle="Currency"/>
    <tableColumn id="219" xr3:uid="{B2670D8D-B0DA-4732-A96D-07C1460FFB90}" name="30277" dataDxfId="3566" dataCellStyle="Currency"/>
    <tableColumn id="220" xr3:uid="{D80A68C3-9ED0-4ED7-9033-DBCD60C0B0E6}" name="30281" dataDxfId="3565" dataCellStyle="Currency"/>
    <tableColumn id="221" xr3:uid="{6F9655CF-9CA8-48DA-83D2-DDD7702EA64A}" name="30284" dataDxfId="3564" dataCellStyle="Currency"/>
    <tableColumn id="222" xr3:uid="{FB1B95EB-19B1-493C-940E-7ECB9564AC69}" name="30285" dataDxfId="3563" dataCellStyle="Currency"/>
    <tableColumn id="223" xr3:uid="{E160C63C-4262-41B1-9D71-86998A798C3E}" name="30286" dataDxfId="3562" dataCellStyle="Currency"/>
    <tableColumn id="224" xr3:uid="{1544E7EF-AAC2-4071-9FA6-FB1DFDCB0F51}" name="30288" dataDxfId="3561" dataCellStyle="Currency"/>
    <tableColumn id="225" xr3:uid="{03A7F37E-450B-48A0-B0F6-1FEA1ACBDB75}" name="30289" dataDxfId="3560" dataCellStyle="Currency"/>
    <tableColumn id="226" xr3:uid="{C2EB2BD0-72C0-4665-98B5-0A3629F41A1D}" name="30290" dataDxfId="3559" dataCellStyle="Currency"/>
    <tableColumn id="227" xr3:uid="{86342EB6-336D-4070-A98E-66A733485144}" name="30291" dataDxfId="3558" dataCellStyle="Currency"/>
    <tableColumn id="228" xr3:uid="{8BEF3F5B-9BDB-41C1-819E-514BFD481C9F}" name="30292" dataDxfId="3557" dataCellStyle="Currency"/>
    <tableColumn id="229" xr3:uid="{31741B75-D906-41A9-898E-7FA918F3787E}" name="30293" dataDxfId="3556" dataCellStyle="Currency"/>
    <tableColumn id="230" xr3:uid="{E10F4222-5EF4-4E21-8DE1-CF528079BAFC}" name="30294" dataDxfId="3555" dataCellStyle="Currency"/>
    <tableColumn id="231" xr3:uid="{D90041B8-17D3-4112-BC2E-E94674F16782}" name="30295" dataDxfId="3554" dataCellStyle="Currency"/>
    <tableColumn id="232" xr3:uid="{9DF47BF7-7CF1-4EEC-B1BD-B5BF91FA7DA2}" name="30296" dataDxfId="3553" dataCellStyle="Currency"/>
    <tableColumn id="233" xr3:uid="{7096C8D1-1111-40A3-A3C8-DE5296461075}" name="30297" dataDxfId="3552" dataCellStyle="Currency"/>
    <tableColumn id="234" xr3:uid="{EEA266B4-7829-435B-A14C-E0336C27FDEE}" name="30303" dataDxfId="3551" dataCellStyle="Currency"/>
    <tableColumn id="235" xr3:uid="{4796DC97-FF51-4113-9EF2-981403B74CC9}" name="30305" dataDxfId="3550" dataCellStyle="Currency"/>
    <tableColumn id="236" xr3:uid="{B8F42937-FC0B-4240-A371-EF57D3689100}" name="30306" dataDxfId="3549" dataCellStyle="Currency"/>
    <tableColumn id="237" xr3:uid="{03E8E300-6C84-461D-92B1-948D09A48082}" name="30307" dataDxfId="3548" dataCellStyle="Currency"/>
    <tableColumn id="238" xr3:uid="{8942868D-CF62-4370-A5F6-16AF2602E726}" name="30308" dataDxfId="3547" dataCellStyle="Currency"/>
    <tableColumn id="239" xr3:uid="{76F763C3-FB33-4AE3-90D1-99FCE54F1D99}" name="30309" dataDxfId="3546" dataCellStyle="Currency"/>
    <tableColumn id="240" xr3:uid="{A4E5654B-F085-4F49-8C50-F3D68A6AC21D}" name="30310" dataDxfId="3545" dataCellStyle="Currency"/>
    <tableColumn id="241" xr3:uid="{3922C35A-AC49-484E-9F5C-1222D8731DED}" name="30311" dataDxfId="3544" dataCellStyle="Currency"/>
    <tableColumn id="242" xr3:uid="{A637C884-0057-4C83-BDD2-51792B1B8700}" name="30312" dataDxfId="3543" dataCellStyle="Currency"/>
    <tableColumn id="243" xr3:uid="{A34AABEE-C0DA-4634-8B19-BF44DF0B8472}" name="30313" dataDxfId="3542" dataCellStyle="Currency"/>
    <tableColumn id="244" xr3:uid="{BA1686A2-4964-4983-A642-65D0823412F2}" name="30314" dataDxfId="3541" dataCellStyle="Currency"/>
    <tableColumn id="245" xr3:uid="{56252CFA-EE68-4803-9A66-ED1A13BF0B03}" name="30315" dataDxfId="3540" dataCellStyle="Currency"/>
    <tableColumn id="246" xr3:uid="{C21410D0-F07E-4C67-B73C-D495A6E4536F}" name="30316" dataDxfId="3539" dataCellStyle="Currency"/>
    <tableColumn id="247" xr3:uid="{907F8775-25A8-468A-8D3F-C31546A0AD54}" name="30317" dataDxfId="3538" dataCellStyle="Currency"/>
    <tableColumn id="248" xr3:uid="{DB9E7FBA-8D62-487B-992B-0FD011FF1FE2}" name="30318" dataDxfId="3537" dataCellStyle="Currency"/>
    <tableColumn id="249" xr3:uid="{07AAB8E1-D29B-466B-A4AA-66588FCC9AAD}" name="30319" dataDxfId="3536" dataCellStyle="Currency"/>
    <tableColumn id="250" xr3:uid="{B0A3CCDC-365F-40E7-A248-EADF21E1E3F6}" name="30322" dataDxfId="3535" dataCellStyle="Currency"/>
    <tableColumn id="251" xr3:uid="{64E9343D-8505-45D2-87A7-66013F64299D}" name="30324" dataDxfId="3534" dataCellStyle="Currency"/>
    <tableColumn id="252" xr3:uid="{450096A3-C8DD-413E-8A19-53510B2CD042}" name="30326" dataDxfId="3533" dataCellStyle="Currency"/>
    <tableColumn id="253" xr3:uid="{E9EBBED4-15F1-4C49-A474-0C39B09670EC}" name="30327" dataDxfId="3532" dataCellStyle="Currency"/>
    <tableColumn id="254" xr3:uid="{5432CD0C-BD12-414D-A0A1-2BD4D5BF7C13}" name="30328" dataDxfId="3531" dataCellStyle="Currency"/>
    <tableColumn id="255" xr3:uid="{77EC3B4D-74A9-410E-AE11-4B3654501876}" name="30329" dataDxfId="3530" dataCellStyle="Currency"/>
    <tableColumn id="256" xr3:uid="{14B460F8-C89A-42BF-ADAD-F62AB7E3D7C7}" name="30331" dataDxfId="3529" dataCellStyle="Currency"/>
    <tableColumn id="257" xr3:uid="{0746265A-0765-4896-BA9B-20C1FBA72A48}" name="30332" dataDxfId="3528" dataCellStyle="Currency"/>
    <tableColumn id="258" xr3:uid="{59288085-A91D-412F-96A9-655A63A22755}" name="30334" dataDxfId="3527" dataCellStyle="Currency"/>
    <tableColumn id="259" xr3:uid="{51630FB6-9C1B-4E68-875D-1D0146CFAD3E}" name="30336" dataDxfId="3526" dataCellStyle="Currency"/>
    <tableColumn id="260" xr3:uid="{24948DA0-5BDE-4C7F-ADA3-377291E0183E}" name="30337" dataDxfId="3525" dataCellStyle="Currency"/>
    <tableColumn id="261" xr3:uid="{4C30FDB1-2CFA-4B80-B11D-6A61B7890CC1}" name="30338" dataDxfId="3524" dataCellStyle="Currency"/>
    <tableColumn id="262" xr3:uid="{050C4D15-AA19-4786-8C0B-26772E2E65A0}" name="30339" dataDxfId="3523" dataCellStyle="Currency"/>
    <tableColumn id="263" xr3:uid="{1E47A8AF-7CD9-43B6-BABF-1B718700A9CC}" name="30340" dataDxfId="3522" dataCellStyle="Currency"/>
    <tableColumn id="264" xr3:uid="{846B6693-0849-4BD8-8F43-E4A733A128CD}" name="30341" dataDxfId="3521" dataCellStyle="Currency"/>
    <tableColumn id="265" xr3:uid="{8503C9DF-1C0C-4062-8E88-72E3D4B716D3}" name="30342" dataDxfId="3520" dataCellStyle="Currency"/>
    <tableColumn id="266" xr3:uid="{E98CE462-CC61-4430-99C3-625B7902F19E}" name="30344" dataDxfId="3519" dataCellStyle="Currency"/>
    <tableColumn id="267" xr3:uid="{33CCAB30-81B2-451C-B95D-D7146BB4F90A}" name="30345" dataDxfId="3518" dataCellStyle="Currency"/>
    <tableColumn id="268" xr3:uid="{8DD98F22-6603-4380-9954-59A0DFC15793}" name="30346" dataDxfId="3517" dataCellStyle="Currency"/>
    <tableColumn id="269" xr3:uid="{00F7754B-7DE3-45B9-AC2A-BD4BEE314880}" name="30349" dataDxfId="3516" dataCellStyle="Currency"/>
    <tableColumn id="270" xr3:uid="{4B845816-291D-4E32-9B98-5E7770B7F3F9}" name="30350" dataDxfId="3515" dataCellStyle="Currency"/>
    <tableColumn id="271" xr3:uid="{2F6A8A7B-8B23-40FE-AD9C-C2280CC8CFB7}" name="30354" dataDxfId="3514" dataCellStyle="Currency"/>
    <tableColumn id="272" xr3:uid="{88AD1250-8B8A-4385-9822-1F0A2D45D78B}" name="30360" dataDxfId="3513" dataCellStyle="Currency"/>
    <tableColumn id="273" xr3:uid="{281BB381-21E5-45A2-869C-0215F60C5A82}" name="30363" dataDxfId="3512" dataCellStyle="Currency"/>
    <tableColumn id="274" xr3:uid="{D5BDF55C-FC15-445B-A15F-77AF66E6808A}" name="30401" dataDxfId="3511" dataCellStyle="Currency"/>
    <tableColumn id="275" xr3:uid="{706AEB8E-C60B-4900-B78B-20025E46E9CA}" name="30410" dataDxfId="3510" dataCellStyle="Currency"/>
    <tableColumn id="276" xr3:uid="{321C0F53-F82D-4EC6-8031-013C6FDD74A0}" name="30411" dataDxfId="3509" dataCellStyle="Currency"/>
    <tableColumn id="277" xr3:uid="{48B407D7-1312-4868-9C83-38006C4F41C3}" name="30412" dataDxfId="3508" dataCellStyle="Currency"/>
    <tableColumn id="278" xr3:uid="{C82652CC-C894-43C2-8E46-B2D0FABC8E4E}" name="30413" dataDxfId="3507" dataCellStyle="Currency"/>
    <tableColumn id="279" xr3:uid="{1175FB40-CDAE-40E8-8D78-D0F3E05BC4C9}" name="30414" dataDxfId="3506" dataCellStyle="Currency"/>
    <tableColumn id="280" xr3:uid="{4E4E2AD8-E428-4349-94C1-ACBAAC981C48}" name="30415" dataDxfId="3505" dataCellStyle="Currency"/>
    <tableColumn id="281" xr3:uid="{6FCFE07F-40A8-491B-9ACC-08E49A0B066D}" name="30417" dataDxfId="3504" dataCellStyle="Currency"/>
    <tableColumn id="282" xr3:uid="{F4361863-97FD-4D07-87BE-3837C97E07DA}" name="30420" dataDxfId="3503" dataCellStyle="Currency"/>
    <tableColumn id="283" xr3:uid="{E10894A5-20AC-454A-8E23-23FCF5F2142B}" name="30421" dataDxfId="3502" dataCellStyle="Currency"/>
    <tableColumn id="284" xr3:uid="{94C48842-7318-46A5-84A6-DEDC4356EDBC}" name="30423" dataDxfId="3501" dataCellStyle="Currency"/>
    <tableColumn id="285" xr3:uid="{B1DDCBC4-BE91-431C-942A-1B50F485C8DC}" name="30425" dataDxfId="3500" dataCellStyle="Currency"/>
    <tableColumn id="286" xr3:uid="{2A0B5387-1C6C-4357-B528-8E33195329E1}" name="30426" dataDxfId="3499" dataCellStyle="Currency"/>
    <tableColumn id="287" xr3:uid="{0C013ECD-FBCD-4D4F-ADC1-B5799D8A7C5B}" name="30427" dataDxfId="3498" dataCellStyle="Currency"/>
    <tableColumn id="288" xr3:uid="{7432491F-571A-49CD-96FF-93D6185022F4}" name="30428" dataDxfId="3497" dataCellStyle="Currency"/>
    <tableColumn id="289" xr3:uid="{92B8BBFE-9B95-4F36-AADA-FDAAC38209E7}" name="30429" dataDxfId="3496" dataCellStyle="Currency"/>
    <tableColumn id="290" xr3:uid="{77A5F5DF-BB76-4B52-AB14-492C07E79480}" name="30434" dataDxfId="3495" dataCellStyle="Currency"/>
    <tableColumn id="291" xr3:uid="{D675F525-8D98-40CF-855A-8629D9414CA2}" name="30436" dataDxfId="3494" dataCellStyle="Currency"/>
    <tableColumn id="292" xr3:uid="{DF444A3B-D69D-4F19-9A77-C0CC321A6B74}" name="30439" dataDxfId="3493" dataCellStyle="Currency"/>
    <tableColumn id="293" xr3:uid="{5CF95DB4-8514-40D3-93AF-922DD2155D1B}" name="30441" dataDxfId="3492" dataCellStyle="Currency"/>
    <tableColumn id="294" xr3:uid="{12CEAA27-700F-4C1A-BB03-243651AE37B3}" name="30442" dataDxfId="3491" dataCellStyle="Currency"/>
    <tableColumn id="295" xr3:uid="{395DAAB8-651B-4567-90C3-5D802986966D}" name="30445" dataDxfId="3490" dataCellStyle="Currency"/>
    <tableColumn id="296" xr3:uid="{4487612A-DDB3-4D98-A9BE-F95484EB6C10}" name="30446" dataDxfId="3489" dataCellStyle="Currency"/>
    <tableColumn id="297" xr3:uid="{8614ADF7-214E-45C2-AB81-DAA3EAF3E740}" name="30448" dataDxfId="3488" dataCellStyle="Currency"/>
    <tableColumn id="298" xr3:uid="{BB72AE18-557B-4070-8966-EB199F751255}" name="30449" dataDxfId="3487" dataCellStyle="Currency"/>
    <tableColumn id="299" xr3:uid="{7D1024B0-B121-4ED7-97ED-0DF087E46EE2}" name="30450" dataDxfId="3486" dataCellStyle="Currency"/>
    <tableColumn id="300" xr3:uid="{2BDAFC8F-BBA4-431E-B2C6-60CF0E535503}" name="30451" dataDxfId="3485" dataCellStyle="Currency"/>
    <tableColumn id="301" xr3:uid="{E8856CDD-A61B-441B-B59A-01C01C05880E}" name="30452" dataDxfId="3484" dataCellStyle="Currency"/>
    <tableColumn id="302" xr3:uid="{7315E9BE-415D-488B-AEB5-5D90B4B725B3}" name="30453" dataDxfId="3483" dataCellStyle="Currency"/>
    <tableColumn id="303" xr3:uid="{85A0C19A-F3FF-43D7-8148-B339D615206C}" name="30454" dataDxfId="3482" dataCellStyle="Currency"/>
    <tableColumn id="304" xr3:uid="{643632C0-37B7-4329-8F8E-B113261392D9}" name="30455" dataDxfId="3481" dataCellStyle="Currency"/>
    <tableColumn id="305" xr3:uid="{B56A15A4-E2C9-4892-8C4C-068EA95057ED}" name="30456" dataDxfId="3480" dataCellStyle="Currency"/>
    <tableColumn id="306" xr3:uid="{9037579B-F1FF-4DC2-8559-DA0DCF0CB069}" name="30457" dataDxfId="3479" dataCellStyle="Currency"/>
    <tableColumn id="307" xr3:uid="{C1D10042-97A8-417C-8866-BBD10C493254}" name="30458" dataDxfId="3478" dataCellStyle="Currency"/>
    <tableColumn id="308" xr3:uid="{8A136011-B8FD-4729-AC5D-B66A6859ED4E}" name="30460" dataDxfId="3477" dataCellStyle="Currency"/>
    <tableColumn id="309" xr3:uid="{8586CF27-DF11-4F3B-80EE-9560D7252EBF}" name="30461" dataDxfId="3476" dataCellStyle="Currency"/>
    <tableColumn id="310" xr3:uid="{646ACCB2-14A5-45CA-9D12-232B59EB0D10}" name="30464" dataDxfId="3475" dataCellStyle="Currency"/>
    <tableColumn id="311" xr3:uid="{0EC5B617-AD37-4D30-BDD0-4D977A4D7D75}" name="30467" dataDxfId="3474" dataCellStyle="Currency"/>
    <tableColumn id="312" xr3:uid="{F3A4FF68-E6A4-486D-9BFA-1700487CF745}" name="30470" dataDxfId="3473" dataCellStyle="Currency"/>
    <tableColumn id="313" xr3:uid="{E7B4C8D6-0A4B-42C6-B348-9234063CF68A}" name="30471" dataDxfId="3472" dataCellStyle="Currency"/>
    <tableColumn id="314" xr3:uid="{F8F73EAE-B2A4-4818-8EE9-B717A99C2A38}" name="30473" dataDxfId="3471" dataCellStyle="Currency"/>
    <tableColumn id="315" xr3:uid="{FE519FCF-36A3-41D2-B2F5-24268506F39F}" name="30474" dataDxfId="3470" dataCellStyle="Currency"/>
    <tableColumn id="316" xr3:uid="{9D9AD90A-5053-4531-8544-5A0F30B4E35D}" name="30477" dataDxfId="3469" dataCellStyle="Currency"/>
    <tableColumn id="317" xr3:uid="{9C16268E-6AA6-43D7-AA78-98C907CE752B}" name="30501" dataDxfId="3468" dataCellStyle="Currency"/>
    <tableColumn id="318" xr3:uid="{0B6FE151-96AC-45FB-8130-6B7414A0E052}" name="30504" dataDxfId="3467" dataCellStyle="Currency"/>
    <tableColumn id="319" xr3:uid="{4DE340E9-DE99-4A27-B40F-70188706AD4E}" name="30506" dataDxfId="3466" dataCellStyle="Currency"/>
    <tableColumn id="320" xr3:uid="{5F75A0C5-F46F-44F4-A5EB-9D0EC3B7010F}" name="30507" dataDxfId="3465" dataCellStyle="Currency"/>
    <tableColumn id="321" xr3:uid="{FDF91ECE-8170-4353-9F3B-D704002DDB7E}" name="30510" dataDxfId="3464" dataCellStyle="Currency"/>
    <tableColumn id="322" xr3:uid="{C7CB4C9F-09AF-4EBC-B842-88E6DC5A455F}" name="30511" dataDxfId="3463" dataCellStyle="Currency"/>
    <tableColumn id="323" xr3:uid="{484909BF-30D6-481F-AA3B-9D364076A7DC}" name="30512" dataDxfId="3462" dataCellStyle="Currency"/>
    <tableColumn id="324" xr3:uid="{41E90991-E0B5-44F4-AD4E-E44982D81563}" name="30513" dataDxfId="3461" dataCellStyle="Currency"/>
    <tableColumn id="325" xr3:uid="{3B87BF23-7C73-4010-BB45-A84D3CE77296}" name="30516" dataDxfId="3460" dataCellStyle="Currency"/>
    <tableColumn id="326" xr3:uid="{09182F92-817A-4650-85D7-3DEB249D919F}" name="30517" dataDxfId="3459" dataCellStyle="Currency"/>
    <tableColumn id="327" xr3:uid="{9646753A-9802-4C87-8975-A02521DC5F67}" name="30518" dataDxfId="3458" dataCellStyle="Currency"/>
    <tableColumn id="328" xr3:uid="{C033621A-0643-4B44-96C1-37E3EA7845A4}" name="30519" dataDxfId="3457" dataCellStyle="Currency"/>
    <tableColumn id="329" xr3:uid="{2A8FF023-4CC4-4097-B698-CC4EFBC63B47}" name="30520" dataDxfId="3456" dataCellStyle="Currency"/>
    <tableColumn id="330" xr3:uid="{4A36E1D6-6775-4758-A3A0-533E34FFA7EF}" name="30521" dataDxfId="3455" dataCellStyle="Currency"/>
    <tableColumn id="331" xr3:uid="{C71CB08B-7845-4D26-B908-7C1C55170D4C}" name="30522" dataDxfId="3454" dataCellStyle="Currency"/>
    <tableColumn id="332" xr3:uid="{E78197E0-F91C-4A2E-8124-A37A693A9AC8}" name="30523" dataDxfId="3453" dataCellStyle="Currency"/>
    <tableColumn id="333" xr3:uid="{65497656-2EA1-4E41-A0FA-04E192AA6DBA}" name="30525" dataDxfId="3452" dataCellStyle="Currency"/>
    <tableColumn id="334" xr3:uid="{ED4F6151-6AAF-4C81-9B8A-D084568A5336}" name="30527" dataDxfId="3451" dataCellStyle="Currency"/>
    <tableColumn id="335" xr3:uid="{58DD5C32-9762-4F29-BD00-4E005B75C84F}" name="30528" dataDxfId="3450" dataCellStyle="Currency"/>
    <tableColumn id="336" xr3:uid="{55292604-B1AB-48B2-AFFD-CB2C0BA47B05}" name="30529" dataDxfId="3449" dataCellStyle="Currency"/>
    <tableColumn id="337" xr3:uid="{6FEF99BE-DAC0-4AE5-849A-CE48AB9FDF9D}" name="30530" dataDxfId="3448" dataCellStyle="Currency"/>
    <tableColumn id="338" xr3:uid="{3B8923D2-426C-4A10-91C8-DB3DA1F8DFE1}" name="30531" dataDxfId="3447" dataCellStyle="Currency"/>
    <tableColumn id="339" xr3:uid="{497AC93C-0F1D-4D67-B9A9-0F1F20215A9F}" name="30533" dataDxfId="3446" dataCellStyle="Currency"/>
    <tableColumn id="340" xr3:uid="{15BDC8CD-5C6F-4CC2-A3A1-44063F190E90}" name="30534" dataDxfId="3445" dataCellStyle="Currency"/>
    <tableColumn id="341" xr3:uid="{5ED5CEB9-9F19-4C4A-87E7-287307BE53B6}" name="30535" dataDxfId="3444" dataCellStyle="Currency"/>
    <tableColumn id="342" xr3:uid="{9378FAE8-2737-4959-8DE3-CD40BC74B2A1}" name="30536" dataDxfId="3443" dataCellStyle="Currency"/>
    <tableColumn id="343" xr3:uid="{F77FD27A-2778-47CF-B8E2-D7DF1A1F1697}" name="30537" dataDxfId="3442" dataCellStyle="Currency"/>
    <tableColumn id="344" xr3:uid="{AB3BD5F1-353B-4D97-8598-5255F8E238F1}" name="30538" dataDxfId="3441" dataCellStyle="Currency"/>
    <tableColumn id="345" xr3:uid="{C52835C4-28FD-402B-B339-B2FED4F76B41}" name="30539" dataDxfId="3440" dataCellStyle="Currency"/>
    <tableColumn id="346" xr3:uid="{2D1BB7EC-4937-4D13-844A-AF8F1E07D2A7}" name="30540" dataDxfId="3439" dataCellStyle="Currency"/>
    <tableColumn id="347" xr3:uid="{DAB6DEEC-B268-4BD9-84A2-E6C93D4424F1}" name="30541" dataDxfId="3438" dataCellStyle="Currency"/>
    <tableColumn id="348" xr3:uid="{8D921326-31FC-43AF-8BBE-60523FD2FFE4}" name="30542" dataDxfId="3437" dataCellStyle="Currency"/>
    <tableColumn id="349" xr3:uid="{9E24767C-819F-4456-BD3E-45128FF8F408}" name="30543" dataDxfId="3436" dataCellStyle="Currency"/>
    <tableColumn id="350" xr3:uid="{9E435EBA-F1D0-447B-9CE4-D4F092113D74}" name="30545" dataDxfId="3435" dataCellStyle="Currency"/>
    <tableColumn id="351" xr3:uid="{BE08FE51-DAC3-4FF8-85FB-796815B57D3A}" name="30546" dataDxfId="3434" dataCellStyle="Currency"/>
    <tableColumn id="352" xr3:uid="{801BBC80-D943-4C24-8B99-F72D56745224}" name="30547" dataDxfId="3433" dataCellStyle="Currency"/>
    <tableColumn id="353" xr3:uid="{D410E6AF-6AB9-41E1-AD42-7341257FFDF2}" name="30548" dataDxfId="3432" dataCellStyle="Currency"/>
    <tableColumn id="354" xr3:uid="{77E75A87-05EE-4DDC-BE0C-825216728922}" name="30549" dataDxfId="3431" dataCellStyle="Currency"/>
    <tableColumn id="355" xr3:uid="{4F1C994F-2992-4C4A-AB90-9D61CFDAD472}" name="30552" dataDxfId="3430" dataCellStyle="Currency"/>
    <tableColumn id="356" xr3:uid="{DD1C3025-837F-4B9E-A689-C154B5703905}" name="30553" dataDxfId="3429" dataCellStyle="Currency"/>
    <tableColumn id="357" xr3:uid="{4550C735-3EEA-471C-A011-BAFEDE6766C7}" name="30554" dataDxfId="3428" dataCellStyle="Currency"/>
    <tableColumn id="358" xr3:uid="{DF007A61-9AE1-4171-A78D-DA44FC99E24D}" name="30555" dataDxfId="3427" dataCellStyle="Currency"/>
    <tableColumn id="359" xr3:uid="{97C6C3CE-E933-487B-AEF4-BD1684690E59}" name="30557" dataDxfId="3426" dataCellStyle="Currency"/>
    <tableColumn id="360" xr3:uid="{DA26ABC0-7798-4173-9BAC-F72FDB36B0A8}" name="30558" dataDxfId="3425" dataCellStyle="Currency"/>
    <tableColumn id="361" xr3:uid="{7EDE3F6A-0798-4DE0-8D34-F8356E644225}" name="30559" dataDxfId="3424" dataCellStyle="Currency"/>
    <tableColumn id="362" xr3:uid="{86A8BBA0-CB7C-4CDF-AD49-2BF679616031}" name="30560" dataDxfId="3423" dataCellStyle="Currency"/>
    <tableColumn id="363" xr3:uid="{64CB59F3-D4B0-49B2-9582-161FFD570EE4}" name="30562" dataDxfId="3422" dataCellStyle="Currency"/>
    <tableColumn id="364" xr3:uid="{59E4866E-BFFD-4C3E-9E1F-4901FC784229}" name="30563" dataDxfId="3421" dataCellStyle="Currency"/>
    <tableColumn id="365" xr3:uid="{4B97F754-DA36-45C4-B135-C05CEF36A166}" name="30564" dataDxfId="3420" dataCellStyle="Currency"/>
    <tableColumn id="366" xr3:uid="{638A71AD-E92D-424E-B2E4-50189F31F459}" name="30565" dataDxfId="3419" dataCellStyle="Currency"/>
    <tableColumn id="367" xr3:uid="{50138553-6FDC-4674-B7F9-8BF4A745D241}" name="30566" dataDxfId="3418" dataCellStyle="Currency"/>
    <tableColumn id="368" xr3:uid="{99F76DBE-C0C0-4ADB-974D-37413FD073B6}" name="30567" dataDxfId="3417" dataCellStyle="Currency"/>
    <tableColumn id="369" xr3:uid="{CBE6F8B2-1DBC-48DB-8967-DAB3484E1E8F}" name="30568" dataDxfId="3416" dataCellStyle="Currency"/>
    <tableColumn id="370" xr3:uid="{0D12984A-7ADD-4969-A199-8399A5B958B2}" name="30571" dataDxfId="3415" dataCellStyle="Currency"/>
    <tableColumn id="371" xr3:uid="{DF8F2125-8072-49EB-8A20-DC8F8E1B5540}" name="30572" dataDxfId="3414" dataCellStyle="Currency"/>
    <tableColumn id="372" xr3:uid="{1CD81A7D-4DBF-4040-BCDF-9136CA151E43}" name="30573" dataDxfId="3413" dataCellStyle="Currency"/>
    <tableColumn id="373" xr3:uid="{A6BC8D4A-F9EF-4724-B6FB-3B1D9D0469EC}" name="30575" dataDxfId="3412" dataCellStyle="Currency"/>
    <tableColumn id="374" xr3:uid="{0CDB3F28-9DAF-4D8A-9700-DC4BE76E6FDF}" name="30576" dataDxfId="3411" dataCellStyle="Currency"/>
    <tableColumn id="375" xr3:uid="{F304CC01-9F23-4408-8CB0-F7CB926722F2}" name="30577" dataDxfId="3410" dataCellStyle="Currency"/>
    <tableColumn id="376" xr3:uid="{C40B4CE1-238D-4486-A775-C7BBCF269B4D}" name="30581" dataDxfId="3409" dataCellStyle="Currency"/>
    <tableColumn id="377" xr3:uid="{658AB42C-5EF2-40D2-B29B-BFB100A9F6C7}" name="30582" dataDxfId="3408" dataCellStyle="Currency"/>
    <tableColumn id="378" xr3:uid="{C5F00C2E-8E3C-4F0B-8BC4-B45C221C1A62}" name="30597" dataDxfId="3407" dataCellStyle="Currency"/>
    <tableColumn id="379" xr3:uid="{365269DD-5659-476F-B034-8CE8B3BE183D}" name="30598" dataDxfId="3406" dataCellStyle="Currency"/>
    <tableColumn id="380" xr3:uid="{FAD2120F-A577-4D7E-B226-DF05EBAEB89C}" name="30601" dataDxfId="3405" dataCellStyle="Currency"/>
    <tableColumn id="381" xr3:uid="{74F29487-3000-4533-839A-77E80109018A}" name="30602" dataDxfId="3404" dataCellStyle="Currency"/>
    <tableColumn id="382" xr3:uid="{65838BF8-C411-4A0D-B75C-0E0674159679}" name="30605" dataDxfId="3403" dataCellStyle="Currency"/>
    <tableColumn id="383" xr3:uid="{256994A3-E3A4-4877-A1C7-8C2104D86B9A}" name="30606" dataDxfId="3402" dataCellStyle="Currency"/>
    <tableColumn id="384" xr3:uid="{42E1C25E-73B3-4C47-AB7E-D0AD8A1B790A}" name="30607" dataDxfId="3401" dataCellStyle="Currency"/>
    <tableColumn id="385" xr3:uid="{5366D4FF-77B0-4C11-AF85-99C4DF9F703F}" name="30609" dataDxfId="3400" dataCellStyle="Currency"/>
    <tableColumn id="386" xr3:uid="{832E836C-A360-4637-A7EF-26FE732A9C28}" name="30619" dataDxfId="3399" dataCellStyle="Currency"/>
    <tableColumn id="387" xr3:uid="{A9021F3C-62D4-4378-BCAE-0E60F869F490}" name="30620" dataDxfId="3398" dataCellStyle="Currency"/>
    <tableColumn id="388" xr3:uid="{0E1FFE8B-8333-4E49-8973-B465EC3F53A8}" name="30621" dataDxfId="3397" dataCellStyle="Currency"/>
    <tableColumn id="389" xr3:uid="{E3D875D5-3872-452B-BEF9-CC5CE8D42A89}" name="30622" dataDxfId="3396" dataCellStyle="Currency"/>
    <tableColumn id="390" xr3:uid="{D50F2409-A168-4D52-AC5A-EE659903E13E}" name="30623" dataDxfId="3395" dataCellStyle="Currency"/>
    <tableColumn id="391" xr3:uid="{8D1A16F8-CF76-4270-8775-15508B4B72FD}" name="30624" dataDxfId="3394" dataCellStyle="Currency"/>
    <tableColumn id="392" xr3:uid="{AF850D27-032D-42CE-8D47-3F3243A632EF}" name="30625" dataDxfId="3393" dataCellStyle="Currency"/>
    <tableColumn id="393" xr3:uid="{A208546F-1F8E-4039-8519-9ECAAA68D49F}" name="30627" dataDxfId="3392" dataCellStyle="Currency"/>
    <tableColumn id="394" xr3:uid="{1F3CE35C-9BCC-4F03-B629-6F3A844CD730}" name="30628" dataDxfId="3391" dataCellStyle="Currency"/>
    <tableColumn id="395" xr3:uid="{66491D29-2DE4-412A-84EB-E960C2B20FFF}" name="30629" dataDxfId="3390" dataCellStyle="Currency"/>
    <tableColumn id="396" xr3:uid="{91965D57-D544-45D4-B331-C9E1C17686C1}" name="30630" dataDxfId="3389" dataCellStyle="Currency"/>
    <tableColumn id="397" xr3:uid="{C79FBFB0-4528-430D-9C6D-E69A67CFEC13}" name="30631" dataDxfId="3388" dataCellStyle="Currency"/>
    <tableColumn id="398" xr3:uid="{EFC258D2-C086-478C-A136-EDB5DC8B1DAF}" name="30633" dataDxfId="3387" dataCellStyle="Currency"/>
    <tableColumn id="399" xr3:uid="{B4D67E32-44AF-4DC2-8ED3-72BBB05FB685}" name="30634" dataDxfId="3386" dataCellStyle="Currency"/>
    <tableColumn id="400" xr3:uid="{20CDD669-937E-419A-871F-6E71E82D9396}" name="30635" dataDxfId="3385" dataCellStyle="Currency"/>
    <tableColumn id="401" xr3:uid="{0459AF2A-6E30-4D38-B183-F985514393A6}" name="30639" dataDxfId="3384" dataCellStyle="Currency"/>
    <tableColumn id="402" xr3:uid="{4EB0CFF0-26A1-4A87-87A9-69072FB9A5F6}" name="30641" dataDxfId="3383" dataCellStyle="Currency"/>
    <tableColumn id="403" xr3:uid="{2DD6704E-F86C-45DC-98B0-2D253DC38342}" name="30642" dataDxfId="3382" dataCellStyle="Currency"/>
    <tableColumn id="404" xr3:uid="{B1B7754C-AA78-49D1-AD95-E6ACC4874039}" name="30643" dataDxfId="3381" dataCellStyle="Currency"/>
    <tableColumn id="405" xr3:uid="{82079CAA-7534-4C70-8382-8874875CB615}" name="30646" dataDxfId="3380" dataCellStyle="Currency"/>
    <tableColumn id="406" xr3:uid="{ABB318A7-0BB6-44C6-9C56-06A5D80ED040}" name="30648" dataDxfId="3379" dataCellStyle="Currency"/>
    <tableColumn id="407" xr3:uid="{4E4E5397-A723-495A-9E3C-2840AE6E153B}" name="30650" dataDxfId="3378" dataCellStyle="Currency"/>
    <tableColumn id="408" xr3:uid="{4FE0C0D4-4CD4-478D-BFE5-516277DB5D33}" name="30655" dataDxfId="3377" dataCellStyle="Currency"/>
    <tableColumn id="409" xr3:uid="{897D5B57-34A5-44D8-B509-680B997C39D5}" name="30656" dataDxfId="3376" dataCellStyle="Currency"/>
    <tableColumn id="410" xr3:uid="{ECF150F9-3417-4F2D-966E-53B41AFA8E82}" name="30660" dataDxfId="3375" dataCellStyle="Currency"/>
    <tableColumn id="411" xr3:uid="{C2F77D47-EC91-4077-AC53-7701C8209EC7}" name="30662" dataDxfId="3374" dataCellStyle="Currency"/>
    <tableColumn id="412" xr3:uid="{8E4995D3-2FFC-48C9-9382-33C091D7DE09}" name="30663" dataDxfId="3373" dataCellStyle="Currency"/>
    <tableColumn id="413" xr3:uid="{F31C83E4-61E4-4078-A0C9-CECE56CDBEFB}" name="30664" dataDxfId="3372" dataCellStyle="Currency"/>
    <tableColumn id="414" xr3:uid="{AAB640D5-A75D-42ED-BE6E-91BA0DA88AC2}" name="30665" dataDxfId="3371" dataCellStyle="Currency"/>
    <tableColumn id="415" xr3:uid="{EC17B87B-39F2-4276-B2D3-1CFA6A25CB59}" name="30666" dataDxfId="3370" dataCellStyle="Currency"/>
    <tableColumn id="416" xr3:uid="{00E2AFDF-9337-4874-B3C5-19C457AC5233}" name="30667" dataDxfId="3369" dataCellStyle="Currency"/>
    <tableColumn id="417" xr3:uid="{5E961A00-5D65-4B4C-9F44-720E88B999D4}" name="30668" dataDxfId="3368" dataCellStyle="Currency"/>
    <tableColumn id="418" xr3:uid="{38A794BD-A644-486B-AABB-1E510F142096}" name="30669" dataDxfId="3367" dataCellStyle="Currency"/>
    <tableColumn id="419" xr3:uid="{65610057-2258-4D0C-A726-88BA60F24795}" name="30673" dataDxfId="3366" dataCellStyle="Currency"/>
    <tableColumn id="420" xr3:uid="{9A4E5E99-2DF6-44D8-A576-D390C217EAD4}" name="30677" dataDxfId="3365" dataCellStyle="Currency"/>
    <tableColumn id="421" xr3:uid="{3A763B7A-58CA-4FEB-95B7-FA620406A60D}" name="30678" dataDxfId="3364" dataCellStyle="Currency"/>
    <tableColumn id="422" xr3:uid="{DE1F3BA1-4238-448B-88E4-4E5861D74A18}" name="30680" dataDxfId="3363" dataCellStyle="Currency"/>
    <tableColumn id="423" xr3:uid="{D0D72CF6-4DE3-418B-805A-FC00C0F25A81}" name="30683" dataDxfId="3362" dataCellStyle="Currency"/>
    <tableColumn id="424" xr3:uid="{60BAD2C9-E944-4714-AC09-23CBEA61585B}" name="30701" dataDxfId="3361" dataCellStyle="Currency"/>
    <tableColumn id="425" xr3:uid="{D2F6A529-89A9-481E-B474-52FF095FB562}" name="30705" dataDxfId="3360" dataCellStyle="Currency"/>
    <tableColumn id="426" xr3:uid="{ADE097E3-7D5D-4503-9310-E68C7E8B0A8B}" name="30707" dataDxfId="3359" dataCellStyle="Currency"/>
    <tableColumn id="427" xr3:uid="{FEDD7F82-FC20-4AD5-A508-510273B525E6}" name="30708" dataDxfId="3358" dataCellStyle="Currency"/>
    <tableColumn id="428" xr3:uid="{0BB56094-A37B-4000-BE7B-60996E6633F3}" name="30710" dataDxfId="3357" dataCellStyle="Currency"/>
    <tableColumn id="429" xr3:uid="{73037F57-7629-4B89-A35A-C885181F7927}" name="30711" dataDxfId="3356" dataCellStyle="Currency"/>
    <tableColumn id="430" xr3:uid="{94D84CA9-99AC-4239-9018-DAB9B9B68BBF}" name="30720" dataDxfId="3355" dataCellStyle="Currency"/>
    <tableColumn id="431" xr3:uid="{A2691D20-EDEF-4F47-8A3C-99BBBA211C15}" name="30721" dataDxfId="3354" dataCellStyle="Currency"/>
    <tableColumn id="432" xr3:uid="{72FA32EC-0702-4E2D-9170-921340A03104}" name="30724" dataDxfId="3353" dataCellStyle="Currency"/>
    <tableColumn id="433" xr3:uid="{5C156A51-C28E-48F5-A63A-9F6C2F67CBA0}" name="30725" dataDxfId="3352" dataCellStyle="Currency"/>
    <tableColumn id="434" xr3:uid="{2A2CB5DF-FA8C-40E2-9FC0-EA4A52C641ED}" name="30726" dataDxfId="3351" dataCellStyle="Currency"/>
    <tableColumn id="435" xr3:uid="{F62879D5-6BD6-4506-A754-519A21425AF8}" name="30728" dataDxfId="3350" dataCellStyle="Currency"/>
    <tableColumn id="436" xr3:uid="{6C25ADE9-54CF-4A2E-BCF6-429E43BC21FE}" name="30730" dataDxfId="3349" dataCellStyle="Currency"/>
    <tableColumn id="437" xr3:uid="{2F3E4DBE-39A1-4C97-9978-5656EE9B8B0B}" name="30731" dataDxfId="3348" dataCellStyle="Currency"/>
    <tableColumn id="438" xr3:uid="{12CB0A79-3D63-4265-A8A8-77CAA8E55C4A}" name="30733" dataDxfId="3347" dataCellStyle="Currency"/>
    <tableColumn id="439" xr3:uid="{36ED54A7-008D-4941-BEBF-0B64795A0A8F}" name="30734" dataDxfId="3346" dataCellStyle="Currency"/>
    <tableColumn id="440" xr3:uid="{5AE874B1-6E3D-479F-B3CA-00A382C38189}" name="30735" dataDxfId="3345" dataCellStyle="Currency"/>
    <tableColumn id="441" xr3:uid="{92265E21-410A-4B73-B629-64DF80CA3BF6}" name="30736" dataDxfId="3344" dataCellStyle="Currency"/>
    <tableColumn id="442" xr3:uid="{47D8AA72-E580-4D7C-9C8E-9F3EBECF48CD}" name="30738" dataDxfId="3343" dataCellStyle="Currency"/>
    <tableColumn id="443" xr3:uid="{645FAD80-6389-486D-809B-3B48B591BB0D}" name="30739" dataDxfId="3342" dataCellStyle="Currency"/>
    <tableColumn id="444" xr3:uid="{1FCC5DF7-4620-4D9A-B3AE-9D182441892D}" name="30740" dataDxfId="3341" dataCellStyle="Currency"/>
    <tableColumn id="445" xr3:uid="{EBDD3A82-FC70-4C01-893E-8CAFA5F61B6A}" name="30741" dataDxfId="3340" dataCellStyle="Currency"/>
    <tableColumn id="446" xr3:uid="{BD3FCA36-088F-4781-8409-997A0F6A0879}" name="30742" dataDxfId="3339" dataCellStyle="Currency"/>
    <tableColumn id="447" xr3:uid="{783BA351-507F-43A6-A77B-CF36DF04A46A}" name="30746" dataDxfId="3338" dataCellStyle="Currency"/>
    <tableColumn id="448" xr3:uid="{AD0C3613-E24B-4796-8B6F-DBD3875583E9}" name="30747" dataDxfId="3337" dataCellStyle="Currency"/>
    <tableColumn id="449" xr3:uid="{40C6C147-8048-42A0-A2B2-3E497DD1ED2C}" name="30750" dataDxfId="3336" dataCellStyle="Currency"/>
    <tableColumn id="450" xr3:uid="{AED21306-5C6F-44D6-A229-D70D73540150}" name="30751" dataDxfId="3335" dataCellStyle="Currency"/>
    <tableColumn id="451" xr3:uid="{BD4D6854-EBE0-4E12-9F45-F0E87ADB2B16}" name="30752" dataDxfId="3334" dataCellStyle="Currency"/>
    <tableColumn id="452" xr3:uid="{3763F0D6-9D4E-4B0E-A4F5-307EED9C23E5}" name="30753" dataDxfId="3333" dataCellStyle="Currency"/>
    <tableColumn id="453" xr3:uid="{A874F278-8E93-44D9-B70F-4FE279979AB4}" name="30755" dataDxfId="3332" dataCellStyle="Currency"/>
    <tableColumn id="454" xr3:uid="{9BC8C500-83A9-442D-8900-9FD06EA7D081}" name="30756" dataDxfId="3331" dataCellStyle="Currency"/>
    <tableColumn id="455" xr3:uid="{D3C9513A-8901-439F-9877-DCDF58F53478}" name="30757" dataDxfId="3330" dataCellStyle="Currency"/>
    <tableColumn id="456" xr3:uid="{D08E0BCB-74F3-4CE1-B7AD-B0D0761EC9B2}" name="30802" dataDxfId="3329" dataCellStyle="Currency"/>
    <tableColumn id="457" xr3:uid="{47D70AC4-976F-43D7-BEA8-D01761DB4941}" name="30803" dataDxfId="3328" dataCellStyle="Currency"/>
    <tableColumn id="458" xr3:uid="{C58F9316-AD90-4F8D-8AE3-93DA37423A65}" name="30805" dataDxfId="3327" dataCellStyle="Currency"/>
    <tableColumn id="459" xr3:uid="{DE70AAAB-E4D1-4262-9433-2D16909F474C}" name="30807" dataDxfId="3326" dataCellStyle="Currency"/>
    <tableColumn id="460" xr3:uid="{BD82424F-94AB-4C81-9B8F-E295E3E0D8ED}" name="30808" dataDxfId="3325" dataCellStyle="Currency"/>
    <tableColumn id="461" xr3:uid="{DA5BAF83-E044-4EE0-8BC9-40459D616956}" name="30809" dataDxfId="3324" dataCellStyle="Currency"/>
    <tableColumn id="462" xr3:uid="{F8C4E158-3758-42D0-A2C5-E90C6D4A0BF2}" name="30810" dataDxfId="3323" dataCellStyle="Currency"/>
    <tableColumn id="463" xr3:uid="{1EB9F486-CBCC-483E-B7F1-8CF041F744DD}" name="30812" dataDxfId="3322" dataCellStyle="Currency"/>
    <tableColumn id="464" xr3:uid="{E8194682-70D4-4732-A1EF-8D58C9CDFE0A}" name="30813" dataDxfId="3321" dataCellStyle="Currency"/>
    <tableColumn id="465" xr3:uid="{D07C5A3B-38ED-452C-8AA0-A48E9D953487}" name="30814" dataDxfId="3320" dataCellStyle="Currency"/>
    <tableColumn id="466" xr3:uid="{F7826CCE-D17B-44AC-AEAA-7B9F946BA7A9}" name="30815" dataDxfId="3319" dataCellStyle="Currency"/>
    <tableColumn id="467" xr3:uid="{A00B52D5-73FD-4091-BB32-1FBCEAA67F82}" name="30816" dataDxfId="3318" dataCellStyle="Currency"/>
    <tableColumn id="468" xr3:uid="{F00964EB-B198-4D79-AA55-377590D4D953}" name="30817" dataDxfId="3317" dataCellStyle="Currency"/>
    <tableColumn id="469" xr3:uid="{E7453908-DA92-422D-BF12-F4FA9015422F}" name="30818" dataDxfId="3316" dataCellStyle="Currency"/>
    <tableColumn id="470" xr3:uid="{B8822916-9282-4890-BC4D-892DE9AF7E2A}" name="30820" dataDxfId="3315" dataCellStyle="Currency"/>
    <tableColumn id="471" xr3:uid="{C9AABF43-1E35-4749-A595-CAD07355783D}" name="30821" dataDxfId="3314" dataCellStyle="Currency"/>
    <tableColumn id="472" xr3:uid="{F6B8F820-47D1-466D-B690-52AB3DE95287}" name="30822" dataDxfId="3313" dataCellStyle="Currency"/>
    <tableColumn id="473" xr3:uid="{CD9D26BC-D128-44D4-A004-0441417D40C0}" name="30823" dataDxfId="3312" dataCellStyle="Currency"/>
    <tableColumn id="474" xr3:uid="{4C682193-AC03-4C31-BC09-A6DBC3077385}" name="30824" dataDxfId="3311" dataCellStyle="Currency"/>
    <tableColumn id="475" xr3:uid="{EE867482-CB94-440C-8E3B-49C356F2E7FC}" name="30828" dataDxfId="3310" dataCellStyle="Currency"/>
    <tableColumn id="476" xr3:uid="{73773503-1E6B-4037-B20C-2745B1115D42}" name="30830" dataDxfId="3309" dataCellStyle="Currency"/>
    <tableColumn id="477" xr3:uid="{E02673F6-BE02-4CC1-9541-3F81E071F825}" name="30833" dataDxfId="3308" dataCellStyle="Currency"/>
    <tableColumn id="478" xr3:uid="{E821471D-A8F0-4DAC-A7BF-16E42150A54D}" name="30901" dataDxfId="3307" dataCellStyle="Currency"/>
    <tableColumn id="479" xr3:uid="{3F95DD4E-C36E-4D6B-916A-DC337EA79878}" name="30904" dataDxfId="3306" dataCellStyle="Currency"/>
    <tableColumn id="480" xr3:uid="{39757819-324F-4AEB-BC0F-EBD9A0E28CAF}" name="30905" dataDxfId="3305" dataCellStyle="Currency"/>
    <tableColumn id="481" xr3:uid="{65898E2A-10C6-432C-B89B-127ED8F6A366}" name="30906" dataDxfId="3304" dataCellStyle="Currency"/>
    <tableColumn id="482" xr3:uid="{8A29B387-9E49-4093-AC24-35D524201ADE}" name="30907" dataDxfId="3303" dataCellStyle="Currency"/>
    <tableColumn id="483" xr3:uid="{341DA5E7-B98D-477C-A2CB-6303EFD26B36}" name="30909" dataDxfId="3302" dataCellStyle="Currency"/>
    <tableColumn id="484" xr3:uid="{5A5D6D2C-2428-41EA-8D2C-8C4459AC0531}" name="30912" dataDxfId="3301" dataCellStyle="Currency"/>
    <tableColumn id="485" xr3:uid="{43860D47-A480-488F-B4FD-80D572125283}" name="31001" dataDxfId="3300" dataCellStyle="Currency"/>
    <tableColumn id="486" xr3:uid="{6BE65E7A-DF24-4BB6-B2D6-08A432924FF7}" name="31002" dataDxfId="3299" dataCellStyle="Currency"/>
    <tableColumn id="487" xr3:uid="{6840A683-6FA5-4AF3-B4BF-D6805127457A}" name="31003" dataDxfId="3298" dataCellStyle="Currency"/>
    <tableColumn id="488" xr3:uid="{9CBCE916-F004-4ABF-ADAD-2BCB5113E955}" name="31004" dataDxfId="3297" dataCellStyle="Currency"/>
    <tableColumn id="489" xr3:uid="{E3B42800-A8AE-4D90-B8E9-2CF978C6CC42}" name="31005" dataDxfId="3296" dataCellStyle="Currency"/>
    <tableColumn id="490" xr3:uid="{0B8E56C3-ABAD-41FB-B160-22A2BEE811A5}" name="31006" dataDxfId="3295" dataCellStyle="Currency"/>
    <tableColumn id="491" xr3:uid="{00DC4B64-1259-4545-8FCA-4AC25FF6FB9C}" name="31007" dataDxfId="3294" dataCellStyle="Currency"/>
    <tableColumn id="492" xr3:uid="{7D18AB18-9113-41C9-BE91-881990BDB246}" name="31008" dataDxfId="3293" dataCellStyle="Currency"/>
    <tableColumn id="493" xr3:uid="{30F232D8-2A2B-4043-B6EA-259DE1AEA23D}" name="31009" dataDxfId="3292" dataCellStyle="Currency"/>
    <tableColumn id="494" xr3:uid="{953426FE-AC50-4FCC-8860-8F66001DE5EB}" name="31011" dataDxfId="3291" dataCellStyle="Currency"/>
    <tableColumn id="495" xr3:uid="{B5A783AF-612F-4104-B967-F8D9AD45296E}" name="31012" dataDxfId="3290" dataCellStyle="Currency"/>
    <tableColumn id="496" xr3:uid="{BBDFDAAE-95BD-4660-893E-7FAEB3C27C16}" name="31014" dataDxfId="3289" dataCellStyle="Currency"/>
    <tableColumn id="497" xr3:uid="{F9DE1583-16AC-4E3F-B5D0-484C298F245A}" name="31015" dataDxfId="3288" dataCellStyle="Currency"/>
    <tableColumn id="498" xr3:uid="{BB4E08D2-40B3-4410-A13C-843399506DE8}" name="31016" dataDxfId="3287" dataCellStyle="Currency"/>
    <tableColumn id="499" xr3:uid="{8E12E9AC-429C-4D16-B7C4-6E48274E76AE}" name="31017" dataDxfId="3286" dataCellStyle="Currency"/>
    <tableColumn id="500" xr3:uid="{2D8EF070-CA50-46FF-8080-23B82B886A84}" name="31018" dataDxfId="3285" dataCellStyle="Currency"/>
    <tableColumn id="501" xr3:uid="{9FB4C179-3D79-4A7A-8D12-049F565CF974}" name="31019" dataDxfId="3284" dataCellStyle="Currency"/>
    <tableColumn id="502" xr3:uid="{6914A2A0-188E-48EC-9728-D4CC0317862E}" name="31020" dataDxfId="3283" dataCellStyle="Currency"/>
    <tableColumn id="503" xr3:uid="{9A444262-5B3F-469A-A002-5D839B4C6B54}" name="31021" dataDxfId="3282" dataCellStyle="Currency"/>
    <tableColumn id="504" xr3:uid="{8DCBE257-39AD-4CD6-930F-374FC1A691FA}" name="31022" dataDxfId="3281" dataCellStyle="Currency"/>
    <tableColumn id="505" xr3:uid="{6A100ECB-7383-430A-B07B-DEE6D519DE45}" name="31023" dataDxfId="3280" dataCellStyle="Currency"/>
    <tableColumn id="506" xr3:uid="{BF084195-D88D-4C00-9690-4EA949EF31C7}" name="31024" dataDxfId="3279" dataCellStyle="Currency"/>
    <tableColumn id="507" xr3:uid="{42EAA87E-B5D6-4076-8BA3-32B6038BC9DD}" name="31025" dataDxfId="3278" dataCellStyle="Currency"/>
    <tableColumn id="508" xr3:uid="{37EFBAFF-F254-463D-B42E-2B1A6C6818AB}" name="31027" dataDxfId="3277" dataCellStyle="Currency"/>
    <tableColumn id="509" xr3:uid="{76D506EB-03F3-490E-82C7-463FC153E3D0}" name="31028" dataDxfId="3276" dataCellStyle="Currency"/>
    <tableColumn id="510" xr3:uid="{8EE82C2D-EC47-4175-BCF5-81382A497914}" name="31029" dataDxfId="3275" dataCellStyle="Currency"/>
    <tableColumn id="511" xr3:uid="{CE6E0CBF-80AC-450B-BA76-686BED7A9F3C}" name="31030" dataDxfId="3274" dataCellStyle="Currency"/>
    <tableColumn id="512" xr3:uid="{1D794A54-EDC5-4EEB-BABF-0D2FF29BF798}" name="31031" dataDxfId="3273" dataCellStyle="Currency"/>
    <tableColumn id="513" xr3:uid="{131319AA-61D8-4342-AA83-A94D6B867FDA}" name="31032" dataDxfId="3272" dataCellStyle="Currency"/>
    <tableColumn id="514" xr3:uid="{5CE9E95D-60F0-41C0-8DC1-E4B3407D49FE}" name="31033" dataDxfId="3271" dataCellStyle="Currency"/>
    <tableColumn id="515" xr3:uid="{A0F71940-B664-4FA1-94B6-D2890D005343}" name="31034" dataDxfId="3270" dataCellStyle="Currency"/>
    <tableColumn id="516" xr3:uid="{DFEB5523-3A90-4651-972F-23C9C2542BBB}" name="31035" dataDxfId="3269" dataCellStyle="Currency"/>
    <tableColumn id="517" xr3:uid="{46A05B55-5106-424A-9F72-9A37AB9CC2BF}" name="31036" dataDxfId="3268" dataCellStyle="Currency"/>
    <tableColumn id="518" xr3:uid="{C7ED6276-2055-487E-93AB-3D02D3C474E8}" name="31037" dataDxfId="3267" dataCellStyle="Currency"/>
    <tableColumn id="519" xr3:uid="{7FEB1214-4006-44A4-A5C3-27439024FF64}" name="31038" dataDxfId="3266" dataCellStyle="Currency"/>
    <tableColumn id="520" xr3:uid="{A714D04D-F601-441A-BE65-0A8ECD851E9E}" name="31039" dataDxfId="3265" dataCellStyle="Currency"/>
    <tableColumn id="521" xr3:uid="{825FAD53-0F47-429B-8EEC-E2859354DA16}" name="31041" dataDxfId="3264" dataCellStyle="Currency"/>
    <tableColumn id="522" xr3:uid="{0E962C58-9867-40DC-93AE-54FF2FEBD5DA}" name="31042" dataDxfId="3263" dataCellStyle="Currency"/>
    <tableColumn id="523" xr3:uid="{8E8B4309-4F24-4DF7-98A6-682E1E923285}" name="31044" dataDxfId="3262" dataCellStyle="Currency"/>
    <tableColumn id="524" xr3:uid="{47937A0E-3ABC-4671-9979-DD01A685D6F7}" name="31045" dataDxfId="3261" dataCellStyle="Currency"/>
    <tableColumn id="525" xr3:uid="{5CCD010B-5832-4182-B4CD-C2FE8D27F5B8}" name="31046" dataDxfId="3260" dataCellStyle="Currency"/>
    <tableColumn id="526" xr3:uid="{4B1119DB-8B25-4E9B-91A7-243C35E9E065}" name="31047" dataDxfId="3259" dataCellStyle="Currency"/>
    <tableColumn id="527" xr3:uid="{AC76D7AD-D2EF-4DD5-85E3-8069EF182E2F}" name="31049" dataDxfId="3258" dataCellStyle="Currency"/>
    <tableColumn id="528" xr3:uid="{A37E7848-AB33-4D6F-B40B-E6EE93FC38E0}" name="31050" dataDxfId="3257" dataCellStyle="Currency"/>
    <tableColumn id="529" xr3:uid="{A7BD9CEB-EC9F-4590-9590-3C32F2D135A3}" name="31051" dataDxfId="3256" dataCellStyle="Currency"/>
    <tableColumn id="530" xr3:uid="{D891014F-04C4-4EBF-B177-61E1C1EFED87}" name="31052" dataDxfId="3255" dataCellStyle="Currency"/>
    <tableColumn id="531" xr3:uid="{66DE67C9-76E6-4644-9F13-8C54E63CDE6A}" name="31054" dataDxfId="3254" dataCellStyle="Currency"/>
    <tableColumn id="532" xr3:uid="{79DE18D8-2D26-4C42-A6C4-0D14C8E525D3}" name="31055" dataDxfId="3253" dataCellStyle="Currency"/>
    <tableColumn id="533" xr3:uid="{1F8B5336-1A57-4141-AD61-AC740EAF21ED}" name="31057" dataDxfId="3252" dataCellStyle="Currency"/>
    <tableColumn id="534" xr3:uid="{46DA48FB-E547-4F12-A3DA-0B4D86D0976B}" name="31058" dataDxfId="3251" dataCellStyle="Currency"/>
    <tableColumn id="535" xr3:uid="{5424DDAE-3A7C-4408-BF83-25D0B8045D49}" name="31060" dataDxfId="3250" dataCellStyle="Currency"/>
    <tableColumn id="536" xr3:uid="{92185A59-0A31-4F14-B7C7-D51326831349}" name="31061" dataDxfId="3249" dataCellStyle="Currency"/>
    <tableColumn id="537" xr3:uid="{FF58672A-8F67-4272-86BA-920F3281897A}" name="31062" dataDxfId="3248" dataCellStyle="Currency"/>
    <tableColumn id="538" xr3:uid="{D20C732D-9C11-411D-A878-B82F7BDC23CA}" name="31063" dataDxfId="3247" dataCellStyle="Currency"/>
    <tableColumn id="539" xr3:uid="{9D17DB3D-2BEB-4FD8-BF87-96719B429B2A}" name="31064" dataDxfId="3246" dataCellStyle="Currency"/>
    <tableColumn id="540" xr3:uid="{91789E5D-8C41-4CC3-B365-7888C48EE31B}" name="31065" dataDxfId="3245" dataCellStyle="Currency"/>
    <tableColumn id="541" xr3:uid="{DBE22787-ACB4-4B7E-B56B-39CB27F30B5C}" name="31066" dataDxfId="3244" dataCellStyle="Currency"/>
    <tableColumn id="542" xr3:uid="{F8D11167-10AB-4966-BBE5-3184F694C708}" name="31067" dataDxfId="3243" dataCellStyle="Currency"/>
    <tableColumn id="543" xr3:uid="{429ABC7E-8EB8-4445-94FD-227AEE55182E}" name="31068" dataDxfId="3242" dataCellStyle="Currency"/>
    <tableColumn id="544" xr3:uid="{EB5810AB-8E9D-40DB-9C44-2B160FD27452}" name="31069" dataDxfId="3241" dataCellStyle="Currency"/>
    <tableColumn id="545" xr3:uid="{4508E649-159D-400B-94F8-50D612209D57}" name="31070" dataDxfId="3240" dataCellStyle="Currency"/>
    <tableColumn id="546" xr3:uid="{4C172D95-AF8C-4375-BBA5-A0B86F8F69C2}" name="31071" dataDxfId="3239" dataCellStyle="Currency"/>
    <tableColumn id="547" xr3:uid="{6D1EC6D3-1C6E-481E-AF66-E92AA2D0B4BA}" name="31072" dataDxfId="3238" dataCellStyle="Currency"/>
    <tableColumn id="548" xr3:uid="{48A760E7-9E9B-4A66-A079-D0472F10B9FE}" name="31075" dataDxfId="3237" dataCellStyle="Currency"/>
    <tableColumn id="549" xr3:uid="{7E3EB4FB-6F78-482B-BE9A-DDF7EFCD54EA}" name="31076" dataDxfId="3236" dataCellStyle="Currency"/>
    <tableColumn id="550" xr3:uid="{5F8D9F8E-5257-48AB-8836-304C88BDB82D}" name="31077" dataDxfId="3235" dataCellStyle="Currency"/>
    <tableColumn id="551" xr3:uid="{BB052265-8BB8-4024-B577-0A2E911EE7B4}" name="31078" dataDxfId="3234" dataCellStyle="Currency"/>
    <tableColumn id="552" xr3:uid="{798D9BD6-88E9-42DD-96FB-D1E086802FF4}" name="31079" dataDxfId="3233" dataCellStyle="Currency"/>
    <tableColumn id="553" xr3:uid="{22E794F3-B2FB-4F53-930A-C547BD5D456F}" name="31081" dataDxfId="3232" dataCellStyle="Currency"/>
    <tableColumn id="554" xr3:uid="{62D82040-14B0-4DA0-823E-EDEEC613ED84}" name="31082" dataDxfId="3231" dataCellStyle="Currency"/>
    <tableColumn id="555" xr3:uid="{D24D230B-CEA2-4977-89F2-0F05CC9635B6}" name="31083" dataDxfId="3230" dataCellStyle="Currency"/>
    <tableColumn id="556" xr3:uid="{1D4CF440-9CD0-47D9-BB44-2FB31FD38729}" name="31084" dataDxfId="3229" dataCellStyle="Currency"/>
    <tableColumn id="557" xr3:uid="{1DDA965A-1E5C-4529-88F7-0A47E47CAA46}" name="31085" dataDxfId="3228" dataCellStyle="Currency"/>
    <tableColumn id="558" xr3:uid="{D6D6377E-A7C3-41CA-92CD-141AF1CD2045}" name="31087" dataDxfId="3227" dataCellStyle="Currency"/>
    <tableColumn id="559" xr3:uid="{CD11F489-9012-454B-9D8C-603C7955764E}" name="31088" dataDxfId="3226" dataCellStyle="Currency"/>
    <tableColumn id="560" xr3:uid="{9DE553C1-C923-4DB4-A952-AC35F8026AFE}" name="31089" dataDxfId="3225" dataCellStyle="Currency"/>
    <tableColumn id="561" xr3:uid="{61AC1183-7821-4C5F-B60A-E8D31546D7D9}" name="31090" dataDxfId="3224" dataCellStyle="Currency"/>
    <tableColumn id="562" xr3:uid="{364E39FC-F6D9-4140-9600-1F2281DCD7D2}" name="31091" dataDxfId="3223" dataCellStyle="Currency"/>
    <tableColumn id="563" xr3:uid="{36FEE704-9040-4547-B0D3-1156AF8C374D}" name="31092" dataDxfId="3222" dataCellStyle="Currency"/>
    <tableColumn id="564" xr3:uid="{3A48D4F6-D8D7-4EC5-82F8-6F7BC529A4DD}" name="31093" dataDxfId="3221" dataCellStyle="Currency"/>
    <tableColumn id="565" xr3:uid="{DBA88CB8-1056-4923-ACAF-59AE67EB21EE}" name="31094" dataDxfId="3220" dataCellStyle="Currency"/>
    <tableColumn id="566" xr3:uid="{81D58772-8713-43C4-926A-5B0CE9D4E934}" name="31096" dataDxfId="3219" dataCellStyle="Currency"/>
    <tableColumn id="567" xr3:uid="{364079D6-FF7D-4E6C-9E5B-D49DCF79A910}" name="31097" dataDxfId="3218" dataCellStyle="Currency"/>
    <tableColumn id="568" xr3:uid="{C43FF50F-5EC6-4E0C-BFA3-501DAB759244}" name="31098" dataDxfId="3217" dataCellStyle="Currency"/>
    <tableColumn id="569" xr3:uid="{65FDC84A-803F-43A1-8CB5-1C6E69A3B529}" name="31201" dataDxfId="3216" dataCellStyle="Currency"/>
    <tableColumn id="570" xr3:uid="{A3855750-9173-43FE-A4B1-33F354CF74A3}" name="31204" dataDxfId="3215" dataCellStyle="Currency"/>
    <tableColumn id="571" xr3:uid="{EDC63D65-DB19-4C0D-BD85-702C3906A3AC}" name="31206" dataDxfId="3214" dataCellStyle="Currency"/>
    <tableColumn id="572" xr3:uid="{07BBB3B9-BFC7-4FE8-9947-44FF8E299C89}" name="31207" dataDxfId="3213" dataCellStyle="Currency"/>
    <tableColumn id="573" xr3:uid="{3A6ACEBD-BB6A-4661-A92D-9A7A68D4AB8E}" name="31210" dataDxfId="3212" dataCellStyle="Currency"/>
    <tableColumn id="574" xr3:uid="{0B598924-31B7-4FD1-BD51-D1E74C2F4B28}" name="31211" dataDxfId="3211" dataCellStyle="Currency"/>
    <tableColumn id="575" xr3:uid="{5BCE1746-A43B-40F7-B557-91F1D57846DA}" name="31213" dataDxfId="3210" dataCellStyle="Currency"/>
    <tableColumn id="576" xr3:uid="{4CF323A6-028C-47BC-A65E-DFFAD0761992}" name="31216" dataDxfId="3209" dataCellStyle="Currency"/>
    <tableColumn id="577" xr3:uid="{E3265577-3A99-47C4-BDD3-2DB87CE47EC8}" name="31217" dataDxfId="3208" dataCellStyle="Currency"/>
    <tableColumn id="578" xr3:uid="{91583AB8-7789-41B1-B793-0F5C57E7EC79}" name="31220" dataDxfId="3207" dataCellStyle="Currency"/>
    <tableColumn id="579" xr3:uid="{1EC17EF0-CA91-4862-A1F2-D2590A688AF1}" name="31301" dataDxfId="3206" dataCellStyle="Currency"/>
    <tableColumn id="580" xr3:uid="{DA3D640B-2F40-4A70-A2F3-4071AC7FB0F6}" name="31302" dataDxfId="3205" dataCellStyle="Currency"/>
    <tableColumn id="581" xr3:uid="{1992D6A4-7C9B-4872-87BC-4818E3AD7336}" name="31303" dataDxfId="3204" dataCellStyle="Currency"/>
    <tableColumn id="582" xr3:uid="{CA4E37F4-3DFD-4465-ABB5-F53238AE21AA}" name="31305" dataDxfId="3203" dataCellStyle="Currency"/>
    <tableColumn id="583" xr3:uid="{BF6AC3F0-0807-4927-9498-CCE0090274C0}" name="31307" dataDxfId="3202" dataCellStyle="Currency"/>
    <tableColumn id="584" xr3:uid="{95B46086-DD92-4EBC-B1C0-89D280676EDD}" name="31308" dataDxfId="3201" dataCellStyle="Currency"/>
    <tableColumn id="585" xr3:uid="{9CE19128-701E-436A-811B-FBDB65EEE0D8}" name="31309" dataDxfId="3200" dataCellStyle="Currency"/>
    <tableColumn id="586" xr3:uid="{E2506E75-FB4B-49BC-B60B-DA9DCF8F163E}" name="31312" dataDxfId="3199" dataCellStyle="Currency"/>
    <tableColumn id="587" xr3:uid="{7CBD8B9B-2E12-43F3-BC3C-DFB734BA3571}" name="31313" dataDxfId="3198" dataCellStyle="Currency"/>
    <tableColumn id="588" xr3:uid="{5A2C59CE-048A-42CF-BDF1-9AC890248B3D}" name="31314" dataDxfId="3197" dataCellStyle="Currency"/>
    <tableColumn id="589" xr3:uid="{01DEFEAB-72E6-4E84-A8F1-262C95239FCA}" name="31315" dataDxfId="3196" dataCellStyle="Currency"/>
    <tableColumn id="590" xr3:uid="{10088A7F-C469-4C46-A995-3BC952113D2F}" name="31316" dataDxfId="3195" dataCellStyle="Currency"/>
    <tableColumn id="591" xr3:uid="{DB9489F5-1453-4CFD-99AF-2FCFC4666494}" name="31318" dataDxfId="3194" dataCellStyle="Currency"/>
    <tableColumn id="592" xr3:uid="{E67FBE9D-3BDD-461B-8457-30BB060564FA}" name="31320" dataDxfId="3193" dataCellStyle="Currency"/>
    <tableColumn id="593" xr3:uid="{9DBF33AD-1201-4E30-8657-A3504CAFEBA1}" name="31321" dataDxfId="3192" dataCellStyle="Currency"/>
    <tableColumn id="594" xr3:uid="{E39D7A8B-080B-4A41-9B95-E11C6B0D572D}" name="31322" dataDxfId="3191" dataCellStyle="Currency"/>
    <tableColumn id="595" xr3:uid="{5F162D4B-6192-49CD-8127-67C1700889AA}" name="31323" dataDxfId="3190" dataCellStyle="Currency"/>
    <tableColumn id="596" xr3:uid="{A9E509DA-9D90-4EB0-89F0-B96C75B15712}" name="31324" dataDxfId="3189" dataCellStyle="Currency"/>
    <tableColumn id="597" xr3:uid="{658C96CB-9934-47BC-9F61-43FC9584B4A9}" name="31326" dataDxfId="3188" dataCellStyle="Currency"/>
    <tableColumn id="598" xr3:uid="{FF5E0E10-7153-4721-94E0-6146BC50C33A}" name="31327" dataDxfId="3187" dataCellStyle="Currency"/>
    <tableColumn id="599" xr3:uid="{4A18BB48-5859-43E1-B594-B1B6770DF773}" name="31328" dataDxfId="3186" dataCellStyle="Currency"/>
    <tableColumn id="600" xr3:uid="{31DD3A14-CA80-4C41-9DB4-90276184AFC7}" name="31329" dataDxfId="3185" dataCellStyle="Currency"/>
    <tableColumn id="601" xr3:uid="{3EB61BD1-6B7D-406D-9232-E3EE4C280DE4}" name="31331" dataDxfId="3184" dataCellStyle="Currency"/>
    <tableColumn id="602" xr3:uid="{92780812-0ED0-4D9F-BD4A-649741E76143}" name="31333" dataDxfId="3183" dataCellStyle="Currency"/>
    <tableColumn id="603" xr3:uid="{C1603955-6C7C-4656-B0A7-99E429AF33C7}" name="31401" dataDxfId="3182" dataCellStyle="Currency"/>
    <tableColumn id="604" xr3:uid="{2EBE669E-9721-4C9B-81C5-37CE3E043027}" name="31404" dataDxfId="3181" dataCellStyle="Currency"/>
    <tableColumn id="605" xr3:uid="{74FB797F-7D85-4AE8-AB04-43627ACE7CE6}" name="31405" dataDxfId="3180" dataCellStyle="Currency"/>
    <tableColumn id="606" xr3:uid="{11D09A83-0626-4196-B2A4-C6204AFF3B63}" name="31406" dataDxfId="3179" dataCellStyle="Currency"/>
    <tableColumn id="607" xr3:uid="{C5A70F88-0C08-4DC5-A954-965C28467267}" name="31407" dataDxfId="3178" dataCellStyle="Currency"/>
    <tableColumn id="608" xr3:uid="{83C0E80E-E9E8-415F-912E-16E1C88F4798}" name="31408" dataDxfId="3177" dataCellStyle="Currency"/>
    <tableColumn id="609" xr3:uid="{E525835E-37D6-49C9-A90E-9068C211C7A2}" name="31409" dataDxfId="3176" dataCellStyle="Currency"/>
    <tableColumn id="610" xr3:uid="{70EF39D3-26CD-4972-9D2F-A32A94CF2C9B}" name="31410" dataDxfId="3175" dataCellStyle="Currency"/>
    <tableColumn id="611" xr3:uid="{38E38A8D-73E1-4EED-B143-C2D6D561EE18}" name="31411" dataDxfId="3174" dataCellStyle="Currency"/>
    <tableColumn id="612" xr3:uid="{9899EC6D-26A1-4D61-8E6E-AB9D2DB72352}" name="31415" dataDxfId="3173" dataCellStyle="Currency"/>
    <tableColumn id="613" xr3:uid="{DA153386-4829-4483-BE8C-95AA0DD47703}" name="31419" dataDxfId="3172" dataCellStyle="Currency"/>
    <tableColumn id="614" xr3:uid="{589D8A35-4B4C-4C44-BAB5-64AF7878385F}" name="31421" dataDxfId="3171" dataCellStyle="Currency"/>
    <tableColumn id="615" xr3:uid="{BD014BE9-3BF8-4471-8E2E-0F118D60C7BC}" name="31501" dataDxfId="3170" dataCellStyle="Currency"/>
    <tableColumn id="616" xr3:uid="{611AA3A8-A0E9-460F-8BB0-0B959EE65007}" name="31503" dataDxfId="3169" dataCellStyle="Currency"/>
    <tableColumn id="617" xr3:uid="{D765D38C-CB6C-42CA-9712-E83C4E14BE4B}" name="31510" dataDxfId="3168" dataCellStyle="Currency"/>
    <tableColumn id="618" xr3:uid="{AB460164-8945-4243-91BB-D3C501DEFB25}" name="31512" dataDxfId="3167" dataCellStyle="Currency"/>
    <tableColumn id="619" xr3:uid="{F59F97B9-4FCC-4CF6-99E7-07A74BCCB76C}" name="31513" dataDxfId="3166" dataCellStyle="Currency"/>
    <tableColumn id="620" xr3:uid="{180ABBAC-70F4-49F3-A0C2-BCD87E4B69ED}" name="31516" dataDxfId="3165" dataCellStyle="Currency"/>
    <tableColumn id="621" xr3:uid="{717F9253-D36B-4420-9EED-875E240812DE}" name="31518" dataDxfId="3164" dataCellStyle="Currency"/>
    <tableColumn id="622" xr3:uid="{3F84DC14-BF6D-427B-A37E-234903C97300}" name="31519" dataDxfId="3163" dataCellStyle="Currency"/>
    <tableColumn id="623" xr3:uid="{0A8502B9-7661-4D28-9366-5486850071B7}" name="31520" dataDxfId="3162" dataCellStyle="Currency"/>
    <tableColumn id="624" xr3:uid="{392F4208-379B-44BB-853D-BCDCC747C383}" name="31522" dataDxfId="3161" dataCellStyle="Currency"/>
    <tableColumn id="625" xr3:uid="{C1C16A99-53DF-4989-B84F-BBCD0266CAC0}" name="31523" dataDxfId="3160" dataCellStyle="Currency"/>
    <tableColumn id="626" xr3:uid="{92FA642C-EF7F-4591-9868-A7D2ECADA478}" name="31524" dataDxfId="3159" dataCellStyle="Currency"/>
    <tableColumn id="627" xr3:uid="{539283C2-3B6F-40FF-846C-227F897DB599}" name="31525" dataDxfId="3158" dataCellStyle="Currency"/>
    <tableColumn id="628" xr3:uid="{CCC28428-495F-46FE-B660-94173F5727DE}" name="31527" dataDxfId="3157" dataCellStyle="Currency"/>
    <tableColumn id="629" xr3:uid="{9BEDA6DB-F371-4CFD-8684-777B5FAF8D3C}" name="31532" dataDxfId="3156" dataCellStyle="Currency"/>
    <tableColumn id="630" xr3:uid="{6C98DDEE-ADE8-46CB-B55B-1435E3F225F3}" name="31533" dataDxfId="3155" dataCellStyle="Currency"/>
    <tableColumn id="631" xr3:uid="{4ABF5C63-DCFC-4C4B-9519-D498A8BE5947}" name="31535" dataDxfId="3154" dataCellStyle="Currency"/>
    <tableColumn id="632" xr3:uid="{75E45609-66B5-47BA-8919-70B1BD6C171D}" name="31537" dataDxfId="3153" dataCellStyle="Currency"/>
    <tableColumn id="633" xr3:uid="{EEFECC53-8356-46AF-B543-262592935332}" name="31539" dataDxfId="3152" dataCellStyle="Currency"/>
    <tableColumn id="634" xr3:uid="{45A794C0-7E2C-400C-99B2-7EBE08988FC2}" name="31542" dataDxfId="3151" dataCellStyle="Currency"/>
    <tableColumn id="635" xr3:uid="{9775FB63-2BE4-4EC9-A1B2-112B08F9E37B}" name="31543" dataDxfId="3150" dataCellStyle="Currency"/>
    <tableColumn id="636" xr3:uid="{2AAB958F-165A-4919-A515-2576A5030FFB}" name="31544" dataDxfId="3149" dataCellStyle="Currency"/>
    <tableColumn id="637" xr3:uid="{D4363EA9-C3EA-4E04-8C86-BE121CEF3D81}" name="31545" dataDxfId="3148" dataCellStyle="Currency"/>
    <tableColumn id="638" xr3:uid="{6C51FD40-609A-44AB-BB3F-591E1EAC1520}" name="31546" dataDxfId="3147" dataCellStyle="Currency"/>
    <tableColumn id="639" xr3:uid="{319706EE-3AD4-418D-837A-FCBAD0E40EAD}" name="31547" dataDxfId="3146" dataCellStyle="Currency"/>
    <tableColumn id="640" xr3:uid="{DB121D95-9E27-4A5C-B490-590F1EAEB9CA}" name="31548" dataDxfId="3145" dataCellStyle="Currency"/>
    <tableColumn id="641" xr3:uid="{D927C039-68C6-4178-9E93-00530C0E964A}" name="31549" dataDxfId="3144" dataCellStyle="Currency"/>
    <tableColumn id="642" xr3:uid="{6A5DB679-C3C0-4DFE-A67F-2FC118D3E5F8}" name="31550" dataDxfId="3143" dataCellStyle="Currency"/>
    <tableColumn id="643" xr3:uid="{57861C5E-6E18-4BCE-A172-AB6ECA0F50A4}" name="31551" dataDxfId="3142" dataCellStyle="Currency"/>
    <tableColumn id="644" xr3:uid="{5140FD87-3EB7-4CC9-815F-F877F13AFB27}" name="31552" dataDxfId="3141" dataCellStyle="Currency"/>
    <tableColumn id="645" xr3:uid="{AEFD7631-665C-4244-A08C-AABE6BD4F6D7}" name="31553" dataDxfId="3140" dataCellStyle="Currency"/>
    <tableColumn id="646" xr3:uid="{D4D5989D-882B-407F-BD1D-DFE8C1F3176D}" name="31554" dataDxfId="3139" dataCellStyle="Currency"/>
    <tableColumn id="647" xr3:uid="{9493B22A-989C-4A89-AAD7-EE3AC6C8551E}" name="31555" dataDxfId="3138" dataCellStyle="Currency"/>
    <tableColumn id="648" xr3:uid="{62C40C6A-2041-468E-9CCB-153D49953AD7}" name="31556" dataDxfId="3137" dataCellStyle="Currency"/>
    <tableColumn id="649" xr3:uid="{8983DDDB-DA73-47BB-9182-1C5E787ACCF0}" name="31557" dataDxfId="3136" dataCellStyle="Currency"/>
    <tableColumn id="650" xr3:uid="{E3F14695-576C-43D2-B17D-555C47D3F4CF}" name="31558" dataDxfId="3135" dataCellStyle="Currency"/>
    <tableColumn id="651" xr3:uid="{5A344FA2-7E4B-4DD8-B8DB-AF21214F7040}" name="31560" dataDxfId="3134" dataCellStyle="Currency"/>
    <tableColumn id="652" xr3:uid="{F9730C55-D92B-42FC-9A99-7171AC4EAA03}" name="31561" dataDxfId="3133" dataCellStyle="Currency"/>
    <tableColumn id="653" xr3:uid="{9562F508-5E85-4FE0-90FE-47309FA6B3B1}" name="31562" dataDxfId="3132" dataCellStyle="Currency"/>
    <tableColumn id="654" xr3:uid="{5C7E2A0E-5269-4F95-8C86-8750DDE06F99}" name="31563" dataDxfId="3131" dataCellStyle="Currency"/>
    <tableColumn id="655" xr3:uid="{03956EA0-6624-4F9F-B829-AD0959CDE186}" name="31564" dataDxfId="3130" dataCellStyle="Currency"/>
    <tableColumn id="656" xr3:uid="{90760FDD-9DEE-477A-B847-8966F79AD9F6}" name="31565" dataDxfId="3129" dataCellStyle="Currency"/>
    <tableColumn id="657" xr3:uid="{E4C39559-C3F8-465A-B797-B54274A2BDAD}" name="31566" dataDxfId="3128" dataCellStyle="Currency"/>
    <tableColumn id="658" xr3:uid="{B373A5C6-FCC2-47B8-9E2E-9D49C0C77564}" name="31567" dataDxfId="3127" dataCellStyle="Currency"/>
    <tableColumn id="659" xr3:uid="{645DC882-C0D9-4B0E-999F-FE633A2732BF}" name="31568" dataDxfId="3126" dataCellStyle="Currency"/>
    <tableColumn id="660" xr3:uid="{BE4B7EE4-2185-4526-A85F-CFDEF3AA4B07}" name="31569" dataDxfId="3125" dataCellStyle="Currency"/>
    <tableColumn id="661" xr3:uid="{FEC7F112-696F-4F3C-9601-06CFA972A00A}" name="31599" dataDxfId="3124" dataCellStyle="Currency"/>
    <tableColumn id="662" xr3:uid="{4E513346-2E28-416C-B7A2-1B5E3B0BABDE}" name="31601" dataDxfId="3123" dataCellStyle="Currency"/>
    <tableColumn id="663" xr3:uid="{DBB4C5C3-143A-484D-B2D0-A8C6BE0245F9}" name="31602" dataDxfId="3122" dataCellStyle="Currency"/>
    <tableColumn id="664" xr3:uid="{C343E532-6983-477B-8A34-B99D9F423A0C}" name="31605" dataDxfId="3121" dataCellStyle="Currency"/>
    <tableColumn id="665" xr3:uid="{573E2276-4C14-4671-AB54-FA353C89ABFF}" name="31606" dataDxfId="3120" dataCellStyle="Currency"/>
    <tableColumn id="666" xr3:uid="{AFF519F9-A962-48B3-AF70-B80E968DE218}" name="31620" dataDxfId="3119" dataCellStyle="Currency"/>
    <tableColumn id="667" xr3:uid="{21908EEE-5160-42DC-8D77-A6C51C5A05A0}" name="31622" dataDxfId="3118" dataCellStyle="Currency"/>
    <tableColumn id="668" xr3:uid="{F1D0AAA8-EB84-4910-A47E-243138B5502B}" name="31623" dataDxfId="3117" dataCellStyle="Currency"/>
    <tableColumn id="669" xr3:uid="{E85EB063-DFC6-43A9-B90A-66221419258F}" name="31624" dataDxfId="3116" dataCellStyle="Currency"/>
    <tableColumn id="670" xr3:uid="{6C990F1D-667B-49EA-8C54-3A7110790B8C}" name="31625" dataDxfId="3115" dataCellStyle="Currency"/>
    <tableColumn id="671" xr3:uid="{B564033A-67DC-4821-AAA5-74EE2A4F079C}" name="31626" dataDxfId="3114" dataCellStyle="Currency"/>
    <tableColumn id="672" xr3:uid="{0D540E8A-269F-4829-9E0C-899BD0849BFB}" name="31627" dataDxfId="3113" dataCellStyle="Currency"/>
    <tableColumn id="673" xr3:uid="{87001D56-0FEA-47DF-A628-B2FACAC95779}" name="31629" dataDxfId="3112" dataCellStyle="Currency"/>
    <tableColumn id="674" xr3:uid="{4F8A68E8-8805-4434-9221-F6C8CE407E6B}" name="31630" dataDxfId="3111" dataCellStyle="Currency"/>
    <tableColumn id="675" xr3:uid="{25702120-909C-471B-9E71-BC50DF9C8C9D}" name="31631" dataDxfId="3110" dataCellStyle="Currency"/>
    <tableColumn id="676" xr3:uid="{ABBC3F8F-F14E-4189-AD4B-925016B0FD7B}" name="31632" dataDxfId="3109" dataCellStyle="Currency"/>
    <tableColumn id="677" xr3:uid="{206661AC-61AC-45F3-A472-57D36FAF5667}" name="31634" dataDxfId="3108" dataCellStyle="Currency"/>
    <tableColumn id="678" xr3:uid="{CB4BC601-FD35-43CC-B32D-3078797EAA59}" name="31635" dataDxfId="3107" dataCellStyle="Currency"/>
    <tableColumn id="679" xr3:uid="{AEC268F3-BE82-4C15-8F03-7E95248ACC1B}" name="31636" dataDxfId="3106" dataCellStyle="Currency"/>
    <tableColumn id="680" xr3:uid="{DA1C9EE4-7640-46D8-B737-F6F594471485}" name="31637" dataDxfId="3105" dataCellStyle="Currency"/>
    <tableColumn id="681" xr3:uid="{96C2D320-B045-4969-9485-38C3FCA755C7}" name="31638" dataDxfId="3104" dataCellStyle="Currency"/>
    <tableColumn id="682" xr3:uid="{B04A1303-25EF-42AD-BD52-855E0152BF00}" name="31639" dataDxfId="3103" dataCellStyle="Currency"/>
    <tableColumn id="683" xr3:uid="{D855F2A0-A3C2-4472-9F0F-DE5E76739C9F}" name="31641" dataDxfId="3102" dataCellStyle="Currency"/>
    <tableColumn id="684" xr3:uid="{6ED94F36-DF7F-4A6D-A487-0F4931854EF9}" name="31642" dataDxfId="3101" dataCellStyle="Currency"/>
    <tableColumn id="685" xr3:uid="{CC396501-6AA6-4D76-A0EA-5DD4DDC97B8A}" name="31643" dataDxfId="3100" dataCellStyle="Currency"/>
    <tableColumn id="686" xr3:uid="{A2763F60-4274-4F44-B617-2B3B38F8E4FC}" name="31645" dataDxfId="3099" dataCellStyle="Currency"/>
    <tableColumn id="687" xr3:uid="{8D7078A4-CD35-45F7-B97D-E2B5B909EA50}" name="31647" dataDxfId="3098" dataCellStyle="Currency"/>
    <tableColumn id="688" xr3:uid="{CCB35ED1-EB7B-45AE-AD0D-A02005FA5729}" name="31648" dataDxfId="3097" dataCellStyle="Currency"/>
    <tableColumn id="689" xr3:uid="{0DE6F1FC-85B9-4F65-9115-A10BBA41CFBC}" name="31649" dataDxfId="3096" dataCellStyle="Currency"/>
    <tableColumn id="690" xr3:uid="{40B59CCE-21C9-4AF3-9E42-25FA338640D2}" name="31650" dataDxfId="3095" dataCellStyle="Currency"/>
    <tableColumn id="691" xr3:uid="{214A339A-41EB-44E9-97A1-9927471C258E}" name="31698" dataDxfId="3094" dataCellStyle="Currency"/>
    <tableColumn id="692" xr3:uid="{1B74F2DF-3684-47CF-8132-DFA60DAE4909}" name="31699" dataDxfId="3093" dataCellStyle="Currency"/>
    <tableColumn id="693" xr3:uid="{5EE5B00E-16F5-4932-89FD-99F24288927A}" name="31701" dataDxfId="3092" dataCellStyle="Currency"/>
    <tableColumn id="694" xr3:uid="{88A38006-B853-4BCD-976C-73B8D15B71A9}" name="31704" dataDxfId="3091" dataCellStyle="Currency"/>
    <tableColumn id="695" xr3:uid="{33793EF7-5235-4C57-AFA2-8C5814D8100D}" name="31705" dataDxfId="3090" dataCellStyle="Currency"/>
    <tableColumn id="696" xr3:uid="{9B4644A4-F81C-4570-A219-0CCDB1F7C9C1}" name="31707" dataDxfId="3089" dataCellStyle="Currency"/>
    <tableColumn id="697" xr3:uid="{DB21EFF9-F360-489C-A236-07869E5ABCFE}" name="31709" dataDxfId="3088" dataCellStyle="Currency"/>
    <tableColumn id="698" xr3:uid="{25835029-522F-479F-80A2-DB8C455A75B3}" name="31711" dataDxfId="3087" dataCellStyle="Currency"/>
    <tableColumn id="699" xr3:uid="{74237C89-75EE-4E6F-BB9C-9A2BC3CCDB8D}" name="31712" dataDxfId="3086" dataCellStyle="Currency"/>
    <tableColumn id="700" xr3:uid="{B3B224CC-6F11-4A18-9361-4B54C08E4C53}" name="31714" dataDxfId="3085" dataCellStyle="Currency"/>
    <tableColumn id="701" xr3:uid="{F2D24B9C-17E6-47E4-8783-C7F417FC02F1}" name="31716" dataDxfId="3084" dataCellStyle="Currency"/>
    <tableColumn id="702" xr3:uid="{3903A56B-8F67-4E2A-8DA1-902ED505CE9E}" name="31719" dataDxfId="3083" dataCellStyle="Currency"/>
    <tableColumn id="703" xr3:uid="{325922DF-0B1E-412A-A3A1-A5EFD09DBD56}" name="31720" dataDxfId="3082" dataCellStyle="Currency"/>
    <tableColumn id="704" xr3:uid="{275063A8-4F42-4985-9EAF-F725705A15C2}" name="31721" dataDxfId="3081" dataCellStyle="Currency"/>
    <tableColumn id="705" xr3:uid="{DE5A8E84-F585-4D62-B9E1-E535795CAB1A}" name="31722" dataDxfId="3080" dataCellStyle="Currency"/>
    <tableColumn id="706" xr3:uid="{103BEB4B-4B59-4D96-9AE9-B3C8E28712CD}" name="31727" dataDxfId="3079" dataCellStyle="Currency"/>
    <tableColumn id="707" xr3:uid="{2EEEE7A1-8339-4F1A-A490-C67D3E1A8BEC}" name="31730" dataDxfId="3078" dataCellStyle="Currency"/>
    <tableColumn id="708" xr3:uid="{B1DED27A-56BD-44C5-B85D-39C6974E2333}" name="31733" dataDxfId="3077" dataCellStyle="Currency"/>
    <tableColumn id="709" xr3:uid="{3A6329FC-DC93-4467-A1F6-7F896FB18561}" name="31735" dataDxfId="3076" dataCellStyle="Currency"/>
    <tableColumn id="710" xr3:uid="{CE93CEE9-531B-4EC4-BFB8-6FE4CAD470DD}" name="31738" dataDxfId="3075" dataCellStyle="Currency"/>
    <tableColumn id="711" xr3:uid="{5B3A1975-2078-4E2B-9886-75A69C873A4B}" name="31743" dataDxfId="3074" dataCellStyle="Currency"/>
    <tableColumn id="712" xr3:uid="{08727732-611A-4CD0-BC0E-F8EBCF22582F}" name="31744" dataDxfId="3073" dataCellStyle="Currency"/>
    <tableColumn id="713" xr3:uid="{1023C81E-0764-460A-BB3B-07B2E94DD930}" name="31747" dataDxfId="3072" dataCellStyle="Currency"/>
    <tableColumn id="714" xr3:uid="{BE6D6924-29CB-4A20-BB1A-953BB44F121C}" name="31749" dataDxfId="3071" dataCellStyle="Currency"/>
    <tableColumn id="715" xr3:uid="{2D2B57C2-897D-4A8D-A3B9-135E3F0BD049}" name="31750" dataDxfId="3070" dataCellStyle="Currency"/>
    <tableColumn id="716" xr3:uid="{F0F2C703-0F03-4DA0-808A-F907AFD5837E}" name="31753" dataDxfId="3069" dataCellStyle="Currency"/>
    <tableColumn id="717" xr3:uid="{91EEE5E2-DA47-4A00-85D3-C0011BBA075A}" name="31756" dataDxfId="3068" dataCellStyle="Currency"/>
    <tableColumn id="718" xr3:uid="{AE0FA8A7-F4A0-436A-B6E1-0D1D5DE7F536}" name="31757" dataDxfId="3067" dataCellStyle="Currency"/>
    <tableColumn id="719" xr3:uid="{C5A1E14A-B8F1-4FBD-9578-914E3AB8E6C9}" name="31763" dataDxfId="3066" dataCellStyle="Currency"/>
    <tableColumn id="720" xr3:uid="{F8831237-CF6A-48DF-B1F2-1B4B8121F58A}" name="31764" dataDxfId="3065" dataCellStyle="Currency"/>
    <tableColumn id="721" xr3:uid="{10F8F744-5A99-483E-9FB9-D17A6E534F1E}" name="31765" dataDxfId="3064" dataCellStyle="Currency"/>
    <tableColumn id="722" xr3:uid="{B3B330F2-48E4-4A55-BA07-78E9CCEE5091}" name="31768" dataDxfId="3063" dataCellStyle="Currency"/>
    <tableColumn id="723" xr3:uid="{E4A70F25-D344-4989-8078-B7F4B8CAD073}" name="31771" dataDxfId="3062" dataCellStyle="Currency"/>
    <tableColumn id="724" xr3:uid="{0641F187-2AC2-4F82-A677-B4F1F507A6BD}" name="31772" dataDxfId="3061" dataCellStyle="Currency"/>
    <tableColumn id="725" xr3:uid="{B835F5E6-B4F8-409A-9ED0-BB3E895935D3}" name="31773" dataDxfId="3060" dataCellStyle="Currency"/>
    <tableColumn id="726" xr3:uid="{0BB3F6D4-D09D-49AB-8A11-14F293091FB2}" name="31774" dataDxfId="3059" dataCellStyle="Currency"/>
    <tableColumn id="727" xr3:uid="{3F989F8F-1574-4470-9E89-79333AB4EA89}" name="31775" dataDxfId="3058" dataCellStyle="Currency"/>
    <tableColumn id="728" xr3:uid="{D7320C73-D39F-4CE7-9488-02038BEDBD64}" name="31778" dataDxfId="3057" dataCellStyle="Currency"/>
    <tableColumn id="729" xr3:uid="{9C6A1A23-EEE0-492B-A342-14780BE1DDC5}" name="31779" dataDxfId="3056" dataCellStyle="Currency"/>
    <tableColumn id="730" xr3:uid="{047A524D-8887-4D7A-9F1A-E3A92249CE23}" name="31780" dataDxfId="3055" dataCellStyle="Currency"/>
    <tableColumn id="731" xr3:uid="{E694E0EC-C938-4521-9F8E-ECA4AA99AE7A}" name="31781" dataDxfId="3054" dataCellStyle="Currency"/>
    <tableColumn id="732" xr3:uid="{191C7E83-8210-4998-9759-D84D743DA619}" name="31783" dataDxfId="3053" dataCellStyle="Currency"/>
    <tableColumn id="733" xr3:uid="{5BEA8A35-12EE-41AE-A9BF-C697566A97F2}" name="31784" dataDxfId="3052" dataCellStyle="Currency"/>
    <tableColumn id="734" xr3:uid="{CA4557F2-0DB2-4428-8E4A-A283BDFA7D4F}" name="31787" dataDxfId="3051" dataCellStyle="Currency"/>
    <tableColumn id="735" xr3:uid="{B497F2DA-5D4D-45DC-8B98-49CFB0B4BDB9}" name="31788" dataDxfId="3050" dataCellStyle="Currency"/>
    <tableColumn id="736" xr3:uid="{C0AE5A37-9084-4F73-80BE-7AF7B4B5B08D}" name="31789" dataDxfId="3049" dataCellStyle="Currency"/>
    <tableColumn id="737" xr3:uid="{6FACC524-F949-444E-978F-EE5260D87BA2}" name="31790" dataDxfId="3048" dataCellStyle="Currency"/>
    <tableColumn id="738" xr3:uid="{72E4012F-2CA7-488D-B4D1-1233B517E879}" name="31791" dataDxfId="3047" dataCellStyle="Currency"/>
    <tableColumn id="739" xr3:uid="{5EC603C3-A484-47C3-9803-CFCE27946D8B}" name="31792" dataDxfId="3046" dataCellStyle="Currency"/>
    <tableColumn id="740" xr3:uid="{8266C3AB-B871-4C79-9E12-F427F0043C14}" name="31793" dataDxfId="3045" dataCellStyle="Currency"/>
    <tableColumn id="741" xr3:uid="{34842330-3699-4804-8236-4EA89DB3D153}" name="31794" dataDxfId="3044" dataCellStyle="Currency"/>
    <tableColumn id="742" xr3:uid="{1B76C38D-1AAB-403A-9205-9478B04B2FAA}" name="31795" dataDxfId="3043" dataCellStyle="Currency"/>
    <tableColumn id="743" xr3:uid="{688C2FD0-96B9-484F-A96F-09256030F28B}" name="31796" dataDxfId="3042" dataCellStyle="Currency"/>
    <tableColumn id="744" xr3:uid="{5DA80D9B-883F-48C2-8811-696187CE7446}" name="31798" dataDxfId="3041" dataCellStyle="Currency"/>
    <tableColumn id="745" xr3:uid="{950026AD-F6AF-4B1D-9747-5084BB6D4DF6}" name="31801" dataDxfId="3040" dataCellStyle="Currency"/>
    <tableColumn id="746" xr3:uid="{F082136A-5D8C-419C-A743-EFBBB71803E5}" name="31803" dataDxfId="3039" dataCellStyle="Currency"/>
    <tableColumn id="747" xr3:uid="{51C6F589-77CC-4581-9292-F0EA8958A656}" name="31804" dataDxfId="3038" dataCellStyle="Currency"/>
    <tableColumn id="748" xr3:uid="{38ED451F-994E-4AF5-B11B-E62548876889}" name="31805" dataDxfId="3037" dataCellStyle="Currency"/>
    <tableColumn id="749" xr3:uid="{B18A2862-5203-47DA-9863-E39B01E6655B}" name="31806" dataDxfId="3036" dataCellStyle="Currency"/>
    <tableColumn id="750" xr3:uid="{EA6E901E-CBC6-41EC-ACAC-5C378186BC09}" name="31807" dataDxfId="3035" dataCellStyle="Currency"/>
    <tableColumn id="751" xr3:uid="{F4EB0684-436D-4CE5-92FB-BB5EAA76AAC2}" name="31808" dataDxfId="3034" dataCellStyle="Currency"/>
    <tableColumn id="752" xr3:uid="{BB223A17-F417-4662-A1EA-CA8687C54E43}" name="31810" dataDxfId="3033" dataCellStyle="Currency"/>
    <tableColumn id="753" xr3:uid="{13C39E59-FB9A-48B3-BF5E-F656DDD58A40}" name="31811" dataDxfId="3032" dataCellStyle="Currency"/>
    <tableColumn id="754" xr3:uid="{DCA8763C-1120-44FC-9492-861C8E427FEB}" name="31812" dataDxfId="3031" dataCellStyle="Currency"/>
    <tableColumn id="755" xr3:uid="{B4E29D48-B98F-40DF-AAA0-9F478EC98CCC}" name="31814" dataDxfId="3030" dataCellStyle="Currency"/>
    <tableColumn id="756" xr3:uid="{B37ACA42-25E8-4039-91D3-4D53834A3392}" name="31815" dataDxfId="3029" dataCellStyle="Currency"/>
    <tableColumn id="757" xr3:uid="{AFD3B394-F301-41EC-8B40-5BC55089DC03}" name="31816" dataDxfId="3028" dataCellStyle="Currency"/>
    <tableColumn id="758" xr3:uid="{06CA7B79-36F5-4BE6-94F6-3DDA09C5F5BF}" name="31820" dataDxfId="3027" dataCellStyle="Currency"/>
    <tableColumn id="759" xr3:uid="{A316FABA-31F3-4873-9312-05AD8A4EC6F9}" name="31821" dataDxfId="3026" dataCellStyle="Currency"/>
    <tableColumn id="760" xr3:uid="{14D69FB3-2ED4-4E72-A7A8-D5FB958F0573}" name="31822" dataDxfId="3025" dataCellStyle="Currency"/>
    <tableColumn id="761" xr3:uid="{EC2E75E2-25D0-4919-AA10-8DAE4FE235DC}" name="31823" dataDxfId="3024" dataCellStyle="Currency"/>
    <tableColumn id="762" xr3:uid="{DCD29EFA-6F26-45D0-83CA-33CAC9B9EA85}" name="31824" dataDxfId="3023" dataCellStyle="Currency"/>
    <tableColumn id="763" xr3:uid="{D009FF1F-5E2F-468D-BA51-7903F9BC1581}" name="31825" dataDxfId="3022" dataCellStyle="Currency"/>
    <tableColumn id="764" xr3:uid="{DAD1017D-FA94-4E01-B516-62F61BB329D6}" name="31826" dataDxfId="3021" dataCellStyle="Currency"/>
    <tableColumn id="765" xr3:uid="{C9356FA1-37D3-44DA-B5F7-3ED9A60E20C9}" name="31827" dataDxfId="3020" dataCellStyle="Currency"/>
    <tableColumn id="766" xr3:uid="{62666CF7-0AB5-4060-BD43-AF9E19ED3BDF}" name="31829" dataDxfId="3019" dataCellStyle="Currency"/>
    <tableColumn id="767" xr3:uid="{B6EEC56D-D9EA-4522-A55D-39D73205AC58}" name="31830" dataDxfId="3018" dataCellStyle="Currency"/>
    <tableColumn id="768" xr3:uid="{DD04C756-9051-4E10-87D8-26C641D9077C}" name="31831" dataDxfId="3017" dataCellStyle="Currency"/>
    <tableColumn id="769" xr3:uid="{7426EC67-56BF-4978-AC0F-DF21C14DE2DC}" name="31832" dataDxfId="3016" dataCellStyle="Currency"/>
    <tableColumn id="770" xr3:uid="{EBE3EA4B-FC95-4834-BCD7-EDF053464CBE}" name="31833" dataDxfId="3015" dataCellStyle="Currency"/>
    <tableColumn id="771" xr3:uid="{D02EB914-87A3-45AA-AF1D-8D5A0D08FC9D}" name="31836" dataDxfId="3014" dataCellStyle="Currency"/>
    <tableColumn id="772" xr3:uid="{22670FD2-E05A-4C3D-8D1C-4E8A1581344A}" name="31901" dataDxfId="3013" dataCellStyle="Currency"/>
    <tableColumn id="773" xr3:uid="{69F80534-4CE6-484B-93E8-F4A49FCD789A}" name="31903" dataDxfId="3012" dataCellStyle="Currency"/>
    <tableColumn id="774" xr3:uid="{CE31D61F-251F-4935-9EBF-2947832274B6}" name="31904" dataDxfId="3011" dataCellStyle="Currency"/>
    <tableColumn id="775" xr3:uid="{544B20C0-B8D9-4467-A5A5-C243B4E54CCA}" name="31905" dataDxfId="3010" dataCellStyle="Currency"/>
    <tableColumn id="776" xr3:uid="{FC03AC5D-24BA-4A92-9ABB-3EDDF74DB9B0}" name="31906" dataDxfId="3009" dataCellStyle="Currency"/>
    <tableColumn id="777" xr3:uid="{2EF8E067-5429-4B0D-9267-1A5A05283780}" name="31907" dataDxfId="3008" dataCellStyle="Currency"/>
    <tableColumn id="778" xr3:uid="{CB372484-F59C-4C09-B33F-F212E7B33AF6}" name="31909" dataDxfId="3007" dataCellStyle="Currency"/>
    <tableColumn id="779" xr3:uid="{858F1DFE-5646-4026-9433-AADB5DA96B32}" name="36855" dataDxfId="3006" dataCellStyle="Currency"/>
    <tableColumn id="780" xr3:uid="{7193DBF2-88CA-4C82-B61D-837E5EEBDC3E}" name="39813" dataDxfId="3005" dataCellStyle="Currency"/>
    <tableColumn id="781" xr3:uid="{CE748B2C-3AF0-47FD-8266-70D623781CD1}" name="39815" dataDxfId="3004" dataCellStyle="Currency"/>
    <tableColumn id="782" xr3:uid="{B6C04A28-CDBC-40A9-B904-E96D8864E39D}" name="39817" dataDxfId="3003" dataCellStyle="Currency"/>
    <tableColumn id="783" xr3:uid="{1CC1D13E-D064-47CF-9F35-CBA62DA7135F}" name="39819" dataDxfId="3002" dataCellStyle="Currency"/>
    <tableColumn id="784" xr3:uid="{4C940BB0-9BEC-47AA-B0B6-E2A436BAEDAA}" name="39823" dataDxfId="3001" dataCellStyle="Currency"/>
    <tableColumn id="785" xr3:uid="{E0118ABD-8CA1-4644-93C2-400B5575A775}" name="39824" dataDxfId="3000" dataCellStyle="Currency"/>
    <tableColumn id="786" xr3:uid="{46B2BA8C-92F1-4C93-8B80-730B915B7483}" name="39825" dataDxfId="2999" dataCellStyle="Currency"/>
    <tableColumn id="787" xr3:uid="{65D9C847-256A-43AD-8F31-45EE984F0551}" name="39826" dataDxfId="2998" dataCellStyle="Currency"/>
    <tableColumn id="788" xr3:uid="{4FDD7109-D90C-4439-BDBC-FDC3D1E7B410}" name="39827" dataDxfId="2997" dataCellStyle="Currency"/>
    <tableColumn id="789" xr3:uid="{2CC78F7E-E1E8-4F9A-AB6C-A8146F85E9F3}" name="39828" dataDxfId="2996" dataCellStyle="Currency"/>
    <tableColumn id="790" xr3:uid="{8F167A61-46A7-4571-AA93-61662BD78886}" name="39832" dataDxfId="2995" dataCellStyle="Currency"/>
    <tableColumn id="791" xr3:uid="{728D73C2-B015-4471-B09A-34872C633B59}" name="39834" dataDxfId="2994" dataCellStyle="Currency"/>
    <tableColumn id="792" xr3:uid="{1339EF21-0DD8-4323-A263-AF03B5EDED25}" name="39836" dataDxfId="2993" dataCellStyle="Currency"/>
    <tableColumn id="793" xr3:uid="{B2F1290E-DA91-43E8-9946-D70BD498DC02}" name="39837" dataDxfId="2992" dataCellStyle="Currency"/>
    <tableColumn id="794" xr3:uid="{D9F14770-3B0E-4F5F-806E-710916092F2B}" name="39840" dataDxfId="2991" dataCellStyle="Currency"/>
    <tableColumn id="795" xr3:uid="{3E939FF9-F76C-4CF3-AF56-9D51C8342DE3}" name="39841" dataDxfId="2990" dataCellStyle="Currency"/>
    <tableColumn id="796" xr3:uid="{BF741148-6A8E-452E-A4A5-E8C4AB806EB0}" name="39842" dataDxfId="2989" dataCellStyle="Currency"/>
    <tableColumn id="797" xr3:uid="{4D95DB8E-FDB2-46BF-B12B-40EA35B0869E}" name="39845" dataDxfId="2988" dataCellStyle="Currency"/>
    <tableColumn id="798" xr3:uid="{02CCB54E-59D4-471C-83E0-06FFEA220009}" name="39846" dataDxfId="2987" dataCellStyle="Currency"/>
    <tableColumn id="799" xr3:uid="{03CC2B55-B0FE-4C6E-B1F7-EC1C721BEF23}" name="39851" dataDxfId="2986" dataCellStyle="Currency"/>
    <tableColumn id="800" xr3:uid="{501D3131-0C65-4A7D-BBD9-7120F8DDC64D}" name="39854" dataDxfId="2985" dataCellStyle="Currency"/>
    <tableColumn id="801" xr3:uid="{D3BAB534-F30A-4A29-804F-E44D067C86D9}" name="39859" dataDxfId="2984" dataCellStyle="Currency"/>
    <tableColumn id="802" xr3:uid="{51EED6A1-E397-4E4F-A92C-F6AB7FBE3E64}" name="39861" dataDxfId="2983" dataCellStyle="Currency"/>
    <tableColumn id="803" xr3:uid="{C19C19CC-70CE-4701-B1A2-46612FB07214}" name="39862" dataDxfId="2982" dataCellStyle="Currency"/>
    <tableColumn id="804" xr3:uid="{E45B51B9-8717-4185-AC5B-AE99459E3237}" name="39866" dataDxfId="2981" dataCellStyle="Currency"/>
    <tableColumn id="805" xr3:uid="{F62155A4-10C6-41DC-87FF-F2956FF93E61}" name="39867" dataDxfId="2980" dataCellStyle="Currency"/>
    <tableColumn id="806" xr3:uid="{CD088CE1-8362-4AB8-A142-B3CB463EB3A3}" name="39870" dataDxfId="2979" dataCellStyle="Currency"/>
    <tableColumn id="807" xr3:uid="{BC626ED2-9031-4280-A229-405C68BC511D}" name="39877" dataDxfId="2978" dataCellStyle="Currency"/>
    <tableColumn id="808" xr3:uid="{401CA67B-1070-4CD1-8121-C8C7DD72C4A8}" name="39885" dataDxfId="2977" dataCellStyle="Currency"/>
    <tableColumn id="809" xr3:uid="{5C83BD8A-44E9-421A-ACC3-2684ADBE6B94}" name="39886" dataDxfId="2976" dataCellStyle="Currency"/>
    <tableColumn id="810" xr3:uid="{80D24C76-DE6F-4A86-82A1-7E0FECAABB88}" name="39897" dataDxfId="2975" dataCellStyle="Currency"/>
    <tableColumn id="811" xr3:uid="{DF17C7E3-FEFF-4B4A-87B3-352BB89D785F}" name="19973" dataDxfId="2974" dataCellStyle="Currency"/>
    <tableColumn id="812" xr3:uid="{1B0A5A17-96B3-4774-B1C2-97CDC3BC22C2}" name="20601" dataDxfId="2973" dataCellStyle="Currency"/>
    <tableColumn id="813" xr3:uid="{4E134FA9-F097-421A-9117-4D8320255E92}" name="20602" dataDxfId="2972" dataCellStyle="Currency"/>
    <tableColumn id="814" xr3:uid="{603E2686-D209-4D6D-9FF0-962AA18DACA4}" name="20603" dataDxfId="2971" dataCellStyle="Currency"/>
    <tableColumn id="815" xr3:uid="{A992C279-BA98-45F4-BEE1-06AE119042D3}" name="20606" dataDxfId="2970" dataCellStyle="Currency"/>
    <tableColumn id="816" xr3:uid="{9EF53F9F-EA28-4615-828E-7D692922D745}" name="20607" dataDxfId="2969" dataCellStyle="Currency"/>
    <tableColumn id="817" xr3:uid="{17E43FA9-FF62-4AB6-8A21-D1C668B49E8F}" name="20608" dataDxfId="2968" dataCellStyle="Currency"/>
    <tableColumn id="818" xr3:uid="{249D2BD9-818F-4621-8550-A27C3E611026}" name="20609" dataDxfId="2967" dataCellStyle="Currency"/>
    <tableColumn id="819" xr3:uid="{E0E7F464-8499-4700-8A5D-F4BC2E17743B}" name="20611" dataDxfId="2966" dataCellStyle="Currency"/>
    <tableColumn id="820" xr3:uid="{B1D24159-3784-45A3-86A0-E36D1890E2E3}" name="20612" dataDxfId="2965" dataCellStyle="Currency"/>
    <tableColumn id="821" xr3:uid="{CC36625F-D717-4466-ACE8-31BC46D91D9A}" name="20613" dataDxfId="2964" dataCellStyle="Currency"/>
    <tableColumn id="822" xr3:uid="{E7401A9E-8ADA-4105-8725-6C48B4260CA8}" name="20615" dataDxfId="2963" dataCellStyle="Currency"/>
    <tableColumn id="823" xr3:uid="{C7ED0ED2-9A26-40E6-B8F0-3E29319769AE}" name="20616" dataDxfId="2962" dataCellStyle="Currency"/>
    <tableColumn id="824" xr3:uid="{F45621AC-4991-46A9-B13C-85F23E8C2DC4}" name="20617" dataDxfId="2961" dataCellStyle="Currency"/>
    <tableColumn id="825" xr3:uid="{AEC293F7-85D1-42CC-A9BF-01ECD91BCB3D}" name="20618" dataDxfId="2960" dataCellStyle="Currency"/>
    <tableColumn id="826" xr3:uid="{92EB2C68-B4E8-4988-B82F-C785C7038EE9}" name="20619" dataDxfId="2959" dataCellStyle="Currency"/>
    <tableColumn id="827" xr3:uid="{0D53CFBE-E671-4573-9FCF-5BA22FA7117D}" name="20620" dataDxfId="2958" dataCellStyle="Currency"/>
    <tableColumn id="828" xr3:uid="{33C3E600-4907-4041-8346-F96055EEBDA2}" name="20621" dataDxfId="2957" dataCellStyle="Currency"/>
    <tableColumn id="829" xr3:uid="{ED91F0D6-4E0A-4B0D-B0B8-996B344C568E}" name="20622" dataDxfId="2956" dataCellStyle="Currency"/>
    <tableColumn id="830" xr3:uid="{C2165166-7F45-4247-BA3B-ACCA27176165}" name="20623" dataDxfId="2955" dataCellStyle="Currency"/>
    <tableColumn id="831" xr3:uid="{08F8BCCD-F8C4-4E67-A538-90BBB41C0026}" name="20624" dataDxfId="2954" dataCellStyle="Currency"/>
    <tableColumn id="832" xr3:uid="{4432DF11-AB89-427A-9296-E0D8D2DB4D0C}" name="20625" dataDxfId="2953" dataCellStyle="Currency"/>
    <tableColumn id="833" xr3:uid="{39CA86ED-60AA-4B82-8211-99B7E5DC3E15}" name="20626" dataDxfId="2952" dataCellStyle="Currency"/>
    <tableColumn id="834" xr3:uid="{2B5F20E3-44FE-47F8-9AF5-EC6BD4BFFAE5}" name="20628" dataDxfId="2951" dataCellStyle="Currency"/>
    <tableColumn id="835" xr3:uid="{345CCF61-83D7-4758-8C18-86AB0617C87C}" name="20629" dataDxfId="2950" dataCellStyle="Currency"/>
    <tableColumn id="836" xr3:uid="{B1453F45-F34F-450C-A346-68F1A71B6AAA}" name="20630" dataDxfId="2949" dataCellStyle="Currency"/>
    <tableColumn id="837" xr3:uid="{5F1AD9A6-BBD7-4BB4-9279-2E3424413465}" name="20632" dataDxfId="2948" dataCellStyle="Currency"/>
    <tableColumn id="838" xr3:uid="{D3E2DF0B-8583-42E6-B301-CF433E47CC5B}" name="20634" dataDxfId="2947" dataCellStyle="Currency"/>
    <tableColumn id="839" xr3:uid="{BAA919C2-52AB-44A4-B947-6377E2D1B488}" name="20636" dataDxfId="2946" dataCellStyle="Currency"/>
    <tableColumn id="840" xr3:uid="{70BE4A2E-D083-4565-9EE3-E93EF93FF13B}" name="20637" dataDxfId="2945" dataCellStyle="Currency"/>
    <tableColumn id="841" xr3:uid="{BD403A57-C3B3-4643-BF67-45476BC277EF}" name="20639" dataDxfId="2944" dataCellStyle="Currency"/>
    <tableColumn id="842" xr3:uid="{C22EF6E2-EE1D-478E-89AF-D6FC96C4119E}" name="20640" dataDxfId="2943" dataCellStyle="Currency"/>
    <tableColumn id="843" xr3:uid="{82C4D167-9FCE-4A77-8398-B3B896CB0EAD}" name="20645" dataDxfId="2942" dataCellStyle="Currency"/>
    <tableColumn id="844" xr3:uid="{6C4093D7-1CFD-48E0-A9EC-9B4F5BB84C3B}" name="20646" dataDxfId="2941" dataCellStyle="Currency"/>
    <tableColumn id="845" xr3:uid="{1B043278-E555-4A04-B896-356C7E20F4B5}" name="20650" dataDxfId="2940" dataCellStyle="Currency"/>
    <tableColumn id="846" xr3:uid="{3A679F77-4A4E-45B5-A537-A00B5C130779}" name="20653" dataDxfId="2939" dataCellStyle="Currency"/>
    <tableColumn id="847" xr3:uid="{9A8AA216-4C86-47CD-8FB1-4F27E105F6C1}" name="20656" dataDxfId="2938" dataCellStyle="Currency"/>
    <tableColumn id="848" xr3:uid="{171D92BA-D5C1-4A98-9B27-B6EF21E86D4B}" name="20657" dataDxfId="2937" dataCellStyle="Currency"/>
    <tableColumn id="849" xr3:uid="{502BB63E-7DE5-46B4-91C9-0EFA7E97942C}" name="20658" dataDxfId="2936" dataCellStyle="Currency"/>
    <tableColumn id="850" xr3:uid="{FF738704-99A5-413F-914F-4F49B83F0B46}" name="20659" dataDxfId="2935" dataCellStyle="Currency"/>
    <tableColumn id="851" xr3:uid="{6FAE137F-6D53-4ECB-BEF0-FB8004AE1E83}" name="20660" dataDxfId="2934" dataCellStyle="Currency"/>
    <tableColumn id="852" xr3:uid="{9019C7CC-63D4-4112-B985-DF5FF911B6B3}" name="20661" dataDxfId="2933" dataCellStyle="Currency"/>
    <tableColumn id="853" xr3:uid="{A20C7E48-B2AB-45B1-B2D2-0CF5058AED45}" name="20662" dataDxfId="2932" dataCellStyle="Currency"/>
    <tableColumn id="854" xr3:uid="{F384F219-39F3-4668-B9FB-28EEB0D27741}" name="20664" dataDxfId="2931" dataCellStyle="Currency"/>
    <tableColumn id="855" xr3:uid="{18E904B1-7EAB-4C5E-B1BD-68F89B4FB0A2}" name="20667" dataDxfId="2930" dataCellStyle="Currency"/>
    <tableColumn id="856" xr3:uid="{CA736760-C6E0-4585-A6D0-5A33BAD675F8}" name="20670" dataDxfId="2929" dataCellStyle="Currency"/>
    <tableColumn id="857" xr3:uid="{CF5C76C6-E0CE-42FC-904D-99508BD429B8}" name="20674" dataDxfId="2928" dataCellStyle="Currency"/>
    <tableColumn id="858" xr3:uid="{81DC52E3-B46A-4892-8C03-C40FF3DE0BF0}" name="20675" dataDxfId="2927" dataCellStyle="Currency"/>
    <tableColumn id="859" xr3:uid="{0297EC0C-EE61-4570-BFBB-CE8542B2A866}" name="20676" dataDxfId="2926" dataCellStyle="Currency"/>
    <tableColumn id="860" xr3:uid="{D779BE2A-E753-4FFA-BBF6-7326739834A0}" name="20677" dataDxfId="2925" dataCellStyle="Currency"/>
    <tableColumn id="861" xr3:uid="{D16F7666-6220-4951-8038-6B08B94615A2}" name="20678" dataDxfId="2924" dataCellStyle="Currency"/>
    <tableColumn id="862" xr3:uid="{8D3840D4-0F0D-450E-B7E4-3BA08FD8510C}" name="20680" dataDxfId="2923" dataCellStyle="Currency"/>
    <tableColumn id="863" xr3:uid="{6D2BAE73-A103-4E45-B197-8B00F5275245}" name="20684" dataDxfId="2922" dataCellStyle="Currency"/>
    <tableColumn id="864" xr3:uid="{84853208-A64C-4687-912F-9E875E9550AB}" name="20685" dataDxfId="2921" dataCellStyle="Currency"/>
    <tableColumn id="865" xr3:uid="{8609C866-4D9D-46FE-AB89-8297A487FC77}" name="20686" dataDxfId="2920" dataCellStyle="Currency"/>
    <tableColumn id="866" xr3:uid="{F3B0D6B5-CA48-4313-9AE6-CC9B4E278572}" name="20687" dataDxfId="2919" dataCellStyle="Currency"/>
    <tableColumn id="867" xr3:uid="{5D3FAF5D-366D-4CCA-B21B-1170A636A106}" name="20688" dataDxfId="2918" dataCellStyle="Currency"/>
    <tableColumn id="868" xr3:uid="{690FDF99-04E2-4646-B461-4E996F71CB99}" name="20689" dataDxfId="2917" dataCellStyle="Currency"/>
    <tableColumn id="869" xr3:uid="{CF1DDF19-F990-4446-BF62-56BCC8174B28}" name="20690" dataDxfId="2916" dataCellStyle="Currency"/>
    <tableColumn id="870" xr3:uid="{5BCF15D7-D80A-4C36-862B-4111598FCE7D}" name="20692" dataDxfId="2915" dataCellStyle="Currency"/>
    <tableColumn id="871" xr3:uid="{12E87882-76B1-412E-BB6F-225C0700E1B6}" name="20693" dataDxfId="2914" dataCellStyle="Currency"/>
    <tableColumn id="872" xr3:uid="{FF4A7FA1-D936-4D9A-A859-46EE74E55AFA}" name="20695" dataDxfId="2913" dataCellStyle="Currency"/>
    <tableColumn id="873" xr3:uid="{D83A7E74-86A3-4B89-86C4-4DBEFB152658}" name="20701" dataDxfId="2912" dataCellStyle="Currency"/>
    <tableColumn id="874" xr3:uid="{B217D4B7-3BC2-40DE-99ED-6458C3DC5AB4}" name="20705" dataDxfId="2911" dataCellStyle="Currency"/>
    <tableColumn id="875" xr3:uid="{0F161515-AE84-4C28-8A48-92DD7ED8D8F6}" name="20706" dataDxfId="2910" dataCellStyle="Currency"/>
    <tableColumn id="876" xr3:uid="{898CA78E-9BF7-4CB8-8DDE-B0248B0D6DC5}" name="20707" dataDxfId="2909" dataCellStyle="Currency"/>
    <tableColumn id="877" xr3:uid="{607FA892-F5EF-4358-9997-40E55D4A41F4}" name="20708" dataDxfId="2908" dataCellStyle="Currency"/>
    <tableColumn id="878" xr3:uid="{09FE6502-DDE5-47AB-B668-994D0322739E}" name="20710" dataDxfId="2907" dataCellStyle="Currency"/>
    <tableColumn id="879" xr3:uid="{BECC9697-4872-48B2-80FD-CBD306633288}" name="20711" dataDxfId="2906" dataCellStyle="Currency"/>
    <tableColumn id="880" xr3:uid="{BB57B56D-023B-4D99-91C0-A2298AE58FE7}" name="20712" dataDxfId="2905" dataCellStyle="Currency"/>
    <tableColumn id="881" xr3:uid="{160944D7-9A0C-4E97-8580-963408BD1EE0}" name="20714" dataDxfId="2904" dataCellStyle="Currency"/>
    <tableColumn id="882" xr3:uid="{DBE54DE8-C94F-4D6E-A91C-A179FBEA9586}" name="20715" dataDxfId="2903" dataCellStyle="Currency"/>
    <tableColumn id="883" xr3:uid="{7C3F2DD8-0334-431B-94D0-177D1246A4B0}" name="20716" dataDxfId="2902" dataCellStyle="Currency"/>
    <tableColumn id="884" xr3:uid="{743EA5D2-1FCB-46B5-A86D-B7032C0A1286}" name="20720" dataDxfId="2901" dataCellStyle="Currency"/>
    <tableColumn id="885" xr3:uid="{5C370C11-3CC3-485C-8055-9C76F7481B5C}" name="20721" dataDxfId="2900" dataCellStyle="Currency"/>
    <tableColumn id="886" xr3:uid="{2800F6E4-4A7B-4068-AABD-72F7B012E073}" name="20722" dataDxfId="2899" dataCellStyle="Currency"/>
    <tableColumn id="887" xr3:uid="{B14B02C0-7E0B-4E02-9FFF-11A7038D9C7C}" name="20723" dataDxfId="2898" dataCellStyle="Currency"/>
    <tableColumn id="888" xr3:uid="{0E887207-EB0C-4C34-B221-0819DB9102AF}" name="20724" dataDxfId="2897" dataCellStyle="Currency"/>
    <tableColumn id="889" xr3:uid="{34C8516C-FBC5-4F0A-A01B-E4EE6B0ECEFE}" name="20732" dataDxfId="2896" dataCellStyle="Currency"/>
    <tableColumn id="890" xr3:uid="{AC709959-A38A-4696-B015-565567EA1003}" name="20733" dataDxfId="2895" dataCellStyle="Currency"/>
    <tableColumn id="891" xr3:uid="{CD13325A-544E-462F-93A0-DC82C4F253B3}" name="20735" dataDxfId="2894" dataCellStyle="Currency"/>
    <tableColumn id="892" xr3:uid="{835E14BA-576F-4925-BB91-237099936F0E}" name="20736" dataDxfId="2893" dataCellStyle="Currency"/>
    <tableColumn id="893" xr3:uid="{2297C36C-59A1-480A-A4CF-6D64C7F018D8}" name="20737" dataDxfId="2892" dataCellStyle="Currency"/>
    <tableColumn id="894" xr3:uid="{8DBED11E-47FC-4285-9EFC-3F2EF62B2474}" name="20740" dataDxfId="2891" dataCellStyle="Currency"/>
    <tableColumn id="895" xr3:uid="{159E6DCA-6D6F-4E34-A6B4-635BFB8803E6}" name="20742" dataDxfId="2890" dataCellStyle="Currency"/>
    <tableColumn id="896" xr3:uid="{8996D2BB-60C4-4E3D-A5C2-02BFFD895A1B}" name="20743" dataDxfId="2889" dataCellStyle="Currency"/>
    <tableColumn id="897" xr3:uid="{56AC093A-2D00-4270-85D2-7B24C97C8E9A}" name="20744" dataDxfId="2888" dataCellStyle="Currency"/>
    <tableColumn id="898" xr3:uid="{38FCF303-D8B9-49D1-A4C5-B00BA48B53AB}" name="20745" dataDxfId="2887" dataCellStyle="Currency"/>
    <tableColumn id="899" xr3:uid="{A3D43499-3B8E-4A09-B648-0D9ACCD5403E}" name="20746" dataDxfId="2886" dataCellStyle="Currency"/>
    <tableColumn id="900" xr3:uid="{DB021CB6-164B-4E6C-996D-C6A67E5D6762}" name="20747" dataDxfId="2885" dataCellStyle="Currency"/>
    <tableColumn id="901" xr3:uid="{FEF6C800-927E-460A-A38B-D9571DC01B9D}" name="20748" dataDxfId="2884" dataCellStyle="Currency"/>
    <tableColumn id="902" xr3:uid="{C120737C-7E05-4097-9496-0CF6EBB82097}" name="20751" dataDxfId="2883" dataCellStyle="Currency"/>
    <tableColumn id="903" xr3:uid="{3FA4EBB2-EAA7-44F7-B8F8-7247D624BEBB}" name="20754" dataDxfId="2882" dataCellStyle="Currency"/>
    <tableColumn id="904" xr3:uid="{46D0E04D-2C61-4E4D-8959-F4994621C4CA}" name="20755" dataDxfId="2881" dataCellStyle="Currency"/>
    <tableColumn id="905" xr3:uid="{FDF4FDF1-56E5-43F3-828C-FEF81FD59A44}" name="20758" dataDxfId="2880" dataCellStyle="Currency"/>
    <tableColumn id="906" xr3:uid="{59D70E0C-6172-4FF5-AEEF-93C5D0B34716}" name="20759" dataDxfId="2879" dataCellStyle="Currency"/>
    <tableColumn id="907" xr3:uid="{23C0AA78-2927-4C56-AC9C-3F2FC8991FAD}" name="20762" dataDxfId="2878" dataCellStyle="Currency"/>
    <tableColumn id="908" xr3:uid="{4C5B47AE-D7B7-4109-BCBE-64B4DD08AC6D}" name="20763" dataDxfId="2877" dataCellStyle="Currency"/>
    <tableColumn id="909" xr3:uid="{07ADCE75-DEEC-438A-AF56-0DA490CCD2A9}" name="20764" dataDxfId="2876" dataCellStyle="Currency"/>
    <tableColumn id="910" xr3:uid="{01F49A81-C272-491C-B772-EA4A5643FD85}" name="20765" dataDxfId="2875" dataCellStyle="Currency"/>
    <tableColumn id="911" xr3:uid="{97DF6656-481B-4FF4-BF40-DBCB8F0C4269}" name="20769" dataDxfId="2874" dataCellStyle="Currency"/>
    <tableColumn id="912" xr3:uid="{46AF3821-2A65-4ADC-837E-01B4DEDDE314}" name="20770" dataDxfId="2873" dataCellStyle="Currency"/>
    <tableColumn id="913" xr3:uid="{64B2E51E-021E-4F42-84AB-B25F7A822845}" name="20771" dataDxfId="2872" dataCellStyle="Currency"/>
    <tableColumn id="914" xr3:uid="{4B306A15-A64A-4606-B816-3DD7E5593768}" name="20772" dataDxfId="2871" dataCellStyle="Currency"/>
    <tableColumn id="915" xr3:uid="{A541F7CD-503E-4A8A-8D69-720892F39CD0}" name="20774" dataDxfId="2870" dataCellStyle="Currency"/>
    <tableColumn id="916" xr3:uid="{B257AB18-9A2B-46CD-9714-07CB8C4B122E}" name="20776" dataDxfId="2869" dataCellStyle="Currency"/>
    <tableColumn id="917" xr3:uid="{D41C5325-CF95-4AB6-81CE-2AEDCF2712FC}" name="20777" dataDxfId="2868" dataCellStyle="Currency"/>
    <tableColumn id="918" xr3:uid="{39AB1A21-8BBA-4B90-893F-5E6CF2274B96}" name="20778" dataDxfId="2867" dataCellStyle="Currency"/>
    <tableColumn id="919" xr3:uid="{65D6F9E7-270D-45D5-8408-8EC1E6A5F819}" name="20779" dataDxfId="2866" dataCellStyle="Currency"/>
    <tableColumn id="920" xr3:uid="{BDE485EC-B73F-4B8B-8940-C40945197FDE}" name="20781" dataDxfId="2865" dataCellStyle="Currency"/>
    <tableColumn id="921" xr3:uid="{FCC64DA4-E06D-43A8-8C4E-E83BA192405F}" name="20782" dataDxfId="2864" dataCellStyle="Currency"/>
    <tableColumn id="922" xr3:uid="{53C448CB-4A21-4210-9644-111436588798}" name="20783" dataDxfId="2863" dataCellStyle="Currency"/>
    <tableColumn id="923" xr3:uid="{35BB0677-68D7-41C8-AD8C-E301ADE2A36F}" name="20784" dataDxfId="2862" dataCellStyle="Currency"/>
    <tableColumn id="924" xr3:uid="{6CD81D21-43D2-4EA2-818C-C63E7C599DEA}" name="20785" dataDxfId="2861" dataCellStyle="Currency"/>
    <tableColumn id="925" xr3:uid="{BEBBC1C8-9EA7-4553-A3BE-DFF106173B02}" name="20794" dataDxfId="2860" dataCellStyle="Currency"/>
    <tableColumn id="926" xr3:uid="{85EF21D6-EF30-4021-A390-1AA19C7205E9}" name="20812" dataDxfId="2859" dataCellStyle="Currency"/>
    <tableColumn id="927" xr3:uid="{9FF81330-F8FB-4D35-AC98-8ABED53E69B0}" name="20814" dataDxfId="2858" dataCellStyle="Currency"/>
    <tableColumn id="928" xr3:uid="{7EE8BF38-9593-4903-BD69-64219FF0C559}" name="20815" dataDxfId="2857" dataCellStyle="Currency"/>
    <tableColumn id="929" xr3:uid="{ECD61612-7900-41D8-AA04-9F2687FFF34C}" name="20816" dataDxfId="2856" dataCellStyle="Currency"/>
    <tableColumn id="930" xr3:uid="{AEEE913D-D755-4DD3-94A9-285DBD0C4D2F}" name="20817" dataDxfId="2855" dataCellStyle="Currency"/>
    <tableColumn id="931" xr3:uid="{B40E7888-D019-4F23-BB7F-F71662723CBD}" name="20818" dataDxfId="2854" dataCellStyle="Currency"/>
    <tableColumn id="932" xr3:uid="{6ADD762B-254C-44C7-A432-F6E2547B3B15}" name="20832" dataDxfId="2853" dataCellStyle="Currency"/>
    <tableColumn id="933" xr3:uid="{0C3F6823-9713-41EE-9A1A-2ADBB05AFDC0}" name="20833" dataDxfId="2852" dataCellStyle="Currency"/>
    <tableColumn id="934" xr3:uid="{6BC41B23-D12D-4DCC-9C15-330143048EC2}" name="20837" dataDxfId="2851" dataCellStyle="Currency"/>
    <tableColumn id="935" xr3:uid="{022DB5C0-06C4-4B30-9F67-1969550BAB73}" name="20838" dataDxfId="2850" dataCellStyle="Currency"/>
    <tableColumn id="936" xr3:uid="{E608B152-500B-438A-9EE7-B92B30DCBEAE}" name="20839" dataDxfId="2849" dataCellStyle="Currency"/>
    <tableColumn id="937" xr3:uid="{3DF5A8B4-DBF7-4A25-B23D-D59D3A813F0B}" name="20841" dataDxfId="2848" dataCellStyle="Currency"/>
    <tableColumn id="938" xr3:uid="{9E9EE1A3-229E-4E73-BEC2-7F6B0154B247}" name="20842" dataDxfId="2847" dataCellStyle="Currency"/>
    <tableColumn id="939" xr3:uid="{5BF758CC-911F-492F-94E9-5540CFBAC887}" name="20850" dataDxfId="2846" dataCellStyle="Currency"/>
    <tableColumn id="940" xr3:uid="{FD9EA536-C98C-48C1-85F0-6DEB2F8B2505}" name="20851" dataDxfId="2845" dataCellStyle="Currency"/>
    <tableColumn id="941" xr3:uid="{32D0D307-CF9A-4D37-B862-7AFCBB5DEDF4}" name="20852" dataDxfId="2844" dataCellStyle="Currency"/>
    <tableColumn id="942" xr3:uid="{DAE22B85-83F9-4A34-A2D1-ECC6DC479757}" name="20853" dataDxfId="2843" dataCellStyle="Currency"/>
    <tableColumn id="943" xr3:uid="{0AFDF6C1-D5C3-44C8-88F5-31ADCB77B831}" name="20854" dataDxfId="2842" dataCellStyle="Currency"/>
    <tableColumn id="944" xr3:uid="{FEBAFE1F-E346-45C9-8BE1-5338E50A2058}" name="20855" dataDxfId="2841" dataCellStyle="Currency"/>
    <tableColumn id="945" xr3:uid="{44BE3819-6A4D-4687-8013-8553BC46D987}" name="20860" dataDxfId="2840" dataCellStyle="Currency"/>
    <tableColumn id="946" xr3:uid="{77D424C1-B6A1-4F31-8D2B-37BB3706911F}" name="20861" dataDxfId="2839" dataCellStyle="Currency"/>
    <tableColumn id="947" xr3:uid="{EF4ABA2E-AF77-4C84-80BF-FE445C069E71}" name="20862" dataDxfId="2838" dataCellStyle="Currency"/>
    <tableColumn id="948" xr3:uid="{4D882A14-BE4C-426C-AD35-9F8CA31AB11A}" name="20866" dataDxfId="2837" dataCellStyle="Currency"/>
    <tableColumn id="949" xr3:uid="{30073D97-60CA-46B1-83E8-D9C1628561DF}" name="20868" dataDxfId="2836" dataCellStyle="Currency"/>
    <tableColumn id="950" xr3:uid="{A62C879B-2EDD-44E8-A37E-EA1ADF9CD15D}" name="20871" dataDxfId="2835" dataCellStyle="Currency"/>
    <tableColumn id="951" xr3:uid="{83E944E8-F47D-4CAF-92E1-C0AA56234FB3}" name="20872" dataDxfId="2834" dataCellStyle="Currency"/>
    <tableColumn id="952" xr3:uid="{EFA59E89-4DA5-41E6-A261-6921A4E1D444}" name="20874" dataDxfId="2833" dataCellStyle="Currency"/>
    <tableColumn id="953" xr3:uid="{FEBD3048-3709-400E-9B5A-5516CC8E787E}" name="20876" dataDxfId="2832" dataCellStyle="Currency"/>
    <tableColumn id="954" xr3:uid="{6AADDEAC-7B17-4ACF-9765-348E0AE0A7D5}" name="20877" dataDxfId="2831" dataCellStyle="Currency"/>
    <tableColumn id="955" xr3:uid="{CA52EB08-EA70-4ECB-811E-4141781CD8EB}" name="20878" dataDxfId="2830" dataCellStyle="Currency"/>
    <tableColumn id="956" xr3:uid="{26ACCF88-632C-42EA-9DD4-B76661AF16F3}" name="20879" dataDxfId="2829" dataCellStyle="Currency"/>
    <tableColumn id="957" xr3:uid="{FC1FD4FB-1CF0-4D19-A2E9-3E658654A429}" name="20880" dataDxfId="2828" dataCellStyle="Currency"/>
    <tableColumn id="958" xr3:uid="{A57BA3F2-FA4A-41F6-921D-D7E45C482ED1}" name="20882" dataDxfId="2827" dataCellStyle="Currency"/>
    <tableColumn id="959" xr3:uid="{22A50277-78A0-4E81-85F8-285A1DB1C636}" name="20886" dataDxfId="2826" dataCellStyle="Currency"/>
    <tableColumn id="960" xr3:uid="{362EB059-9CF8-4276-AF20-4FD470441328}" name="20889" dataDxfId="2825" dataCellStyle="Currency"/>
    <tableColumn id="961" xr3:uid="{F29C8F60-FBCB-4319-A762-145EEBAB95F1}" name="20892" dataDxfId="2824" dataCellStyle="Currency"/>
    <tableColumn id="962" xr3:uid="{2C3841B7-5EF8-42A9-B647-EC296CEB2686}" name="20894" dataDxfId="2823" dataCellStyle="Currency"/>
    <tableColumn id="963" xr3:uid="{F902495E-CA0D-47BD-B13F-8C3934DF0D36}" name="20895" dataDxfId="2822" dataCellStyle="Currency"/>
    <tableColumn id="964" xr3:uid="{63C9C263-C2F5-41A5-B478-24C599A0C970}" name="20896" dataDxfId="2821" dataCellStyle="Currency"/>
    <tableColumn id="965" xr3:uid="{BDF660B1-C440-42E5-8560-DE0BCBBE2DE4}" name="20899" dataDxfId="2820" dataCellStyle="Currency"/>
    <tableColumn id="966" xr3:uid="{D47CACDF-F1AA-4AEC-874A-548359699931}" name="20901" dataDxfId="2819" dataCellStyle="Currency"/>
    <tableColumn id="967" xr3:uid="{ECCAF994-C0B7-4BF8-AFE4-E9D525433FC4}" name="20902" dataDxfId="2818" dataCellStyle="Currency"/>
    <tableColumn id="968" xr3:uid="{DE729C58-DD08-4A1F-B209-A6D85373C4ED}" name="20903" dataDxfId="2817" dataCellStyle="Currency"/>
    <tableColumn id="969" xr3:uid="{20FCBD9F-29B4-470C-B903-0E0ACABF2781}" name="20904" dataDxfId="2816" dataCellStyle="Currency"/>
    <tableColumn id="970" xr3:uid="{A51E55B7-BCB0-4346-8311-7BAD7440BE2F}" name="20905" dataDxfId="2815" dataCellStyle="Currency"/>
    <tableColumn id="971" xr3:uid="{DC2F5394-16D7-4F4D-BD31-C2FC3E8025AC}" name="20906" dataDxfId="2814" dataCellStyle="Currency"/>
    <tableColumn id="972" xr3:uid="{254B7F6D-3159-4C33-8308-19933EE561F2}" name="20910" dataDxfId="2813" dataCellStyle="Currency"/>
    <tableColumn id="973" xr3:uid="{80241F01-E5A8-459E-9C00-024713034FD1}" name="20912" dataDxfId="2812" dataCellStyle="Currency"/>
    <tableColumn id="974" xr3:uid="{3F39AF3E-1797-4D38-B857-085392A7CFE0}" name="21001" dataDxfId="2811" dataCellStyle="Currency"/>
    <tableColumn id="975" xr3:uid="{EDB126FC-0D56-4B3E-AF31-FCE622F23246}" name="21005" dataDxfId="2810" dataCellStyle="Currency"/>
    <tableColumn id="976" xr3:uid="{E48AB612-BF52-44E1-9D5F-C25F9499341F}" name="21009" dataDxfId="2809" dataCellStyle="Currency"/>
    <tableColumn id="977" xr3:uid="{DFC951F7-B100-42F9-85B9-805C1CD06C6B}" name="21010" dataDxfId="2808" dataCellStyle="Currency"/>
    <tableColumn id="978" xr3:uid="{4579EC56-A8A8-471D-9EB3-3F9881166ACE}" name="21012" dataDxfId="2807" dataCellStyle="Currency"/>
    <tableColumn id="979" xr3:uid="{D06EED75-EE77-4963-93FA-F4E5C3716115}" name="21013" dataDxfId="2806" dataCellStyle="Currency"/>
    <tableColumn id="980" xr3:uid="{66FFA957-4452-40B1-B179-76198CDFC823}" name="21014" dataDxfId="2805" dataCellStyle="Currency"/>
    <tableColumn id="981" xr3:uid="{8E618111-0DB2-4541-A442-2814708C9A92}" name="21015" dataDxfId="2804" dataCellStyle="Currency"/>
    <tableColumn id="982" xr3:uid="{5C40D774-EE02-402F-B0E6-CA2C4DAB134F}" name="21017" dataDxfId="2803" dataCellStyle="Currency"/>
    <tableColumn id="983" xr3:uid="{D2551350-432E-4713-9932-2EDF803B9EF6}" name="21023" dataDxfId="2802" dataCellStyle="Currency"/>
    <tableColumn id="984" xr3:uid="{8FD72905-4196-4CFB-BA41-A030B80785CF}" name="21028" dataDxfId="2801" dataCellStyle="Currency"/>
    <tableColumn id="985" xr3:uid="{B67C2242-EF32-4CF0-A651-F6C937A078F4}" name="21029" dataDxfId="2800" dataCellStyle="Currency"/>
    <tableColumn id="986" xr3:uid="{0AF7A3FF-BDB1-4E4B-AA31-67EAED8A2975}" name="21030" dataDxfId="2799" dataCellStyle="Currency"/>
    <tableColumn id="987" xr3:uid="{3FB76E5F-13B2-4584-8490-6538E6DAF5BF}" name="21031" dataDxfId="2798" dataCellStyle="Currency"/>
    <tableColumn id="988" xr3:uid="{3706909F-B854-48E5-9850-7F8E50384D1E}" name="21032" dataDxfId="2797" dataCellStyle="Currency"/>
    <tableColumn id="989" xr3:uid="{ACAE6A3B-A509-4667-BE50-C4549069F826}" name="21034" dataDxfId="2796" dataCellStyle="Currency"/>
    <tableColumn id="990" xr3:uid="{4CC85535-0392-4FBE-8AE1-1EE57842D60A}" name="21035" dataDxfId="2795" dataCellStyle="Currency"/>
    <tableColumn id="991" xr3:uid="{969AB573-4D37-4930-86F6-A7CAF6C56B25}" name="21036" dataDxfId="2794" dataCellStyle="Currency"/>
    <tableColumn id="992" xr3:uid="{1851A354-3969-4513-895E-34CFAB0707A3}" name="21037" dataDxfId="2793" dataCellStyle="Currency"/>
    <tableColumn id="993" xr3:uid="{6A168102-A437-41EF-B173-A4D3763DBF58}" name="21040" dataDxfId="2792" dataCellStyle="Currency"/>
    <tableColumn id="994" xr3:uid="{66225445-1379-40C8-8654-0C4E7FCCD87B}" name="21042" dataDxfId="2791" dataCellStyle="Currency"/>
    <tableColumn id="995" xr3:uid="{8A4A7FE8-92E2-4312-A8AE-15703720B7FA}" name="21043" dataDxfId="2790" dataCellStyle="Currency"/>
    <tableColumn id="996" xr3:uid="{FE4C2F5D-ED32-4780-9F43-88D65A5FB950}" name="21044" dataDxfId="2789" dataCellStyle="Currency"/>
    <tableColumn id="997" xr3:uid="{7019305E-844D-4AA6-80B6-50B0B0FB0B64}" name="21045" dataDxfId="2788" dataCellStyle="Currency"/>
    <tableColumn id="998" xr3:uid="{F11808F5-D60B-4519-B941-1F97F95BAAA2}" name="21046" dataDxfId="2787" dataCellStyle="Currency"/>
    <tableColumn id="999" xr3:uid="{BAB016BE-A472-4430-B180-FF4F3B394DFB}" name="21047" dataDxfId="2786" dataCellStyle="Currency"/>
    <tableColumn id="1000" xr3:uid="{77763D6D-52FB-406B-A1A8-791203D82B0D}" name="21048" dataDxfId="2785" dataCellStyle="Currency"/>
    <tableColumn id="1001" xr3:uid="{A8EFBA18-40AC-4098-80C0-756CED1A056C}" name="21050" dataDxfId="2784" dataCellStyle="Currency"/>
    <tableColumn id="1002" xr3:uid="{A2BCB764-F1AF-45A3-AB10-870C19C3541C}" name="21051" dataDxfId="2783" dataCellStyle="Currency"/>
    <tableColumn id="1003" xr3:uid="{7F2E2EE9-432B-4997-A701-375F3D766FA4}" name="21052" dataDxfId="2782" dataCellStyle="Currency"/>
    <tableColumn id="1004" xr3:uid="{510C07AA-C4D5-4300-A47F-A2520703567E}" name="21053" dataDxfId="2781" dataCellStyle="Currency"/>
    <tableColumn id="1005" xr3:uid="{02CED43E-E1DF-4636-B26E-780B517F0381}" name="21054" dataDxfId="2780" dataCellStyle="Currency"/>
    <tableColumn id="1006" xr3:uid="{B47F2F09-2925-4896-AF32-FF352EFF48A0}" name="21056" dataDxfId="2779" dataCellStyle="Currency"/>
    <tableColumn id="1007" xr3:uid="{DAAF84D0-B45C-4A77-A3A6-A84DBAB71382}" name="21057" dataDxfId="2778" dataCellStyle="Currency"/>
    <tableColumn id="1008" xr3:uid="{E142BB67-32E7-46A0-AD12-DAAEEF64DBDC}" name="21060" dataDxfId="2777" dataCellStyle="Currency"/>
    <tableColumn id="1009" xr3:uid="{84840AB3-F891-4839-9DC6-D64D4D169455}" name="21061" dataDxfId="2776" dataCellStyle="Currency"/>
    <tableColumn id="1010" xr3:uid="{6711D971-62BA-4271-82B6-FDC159E95244}" name="21071" dataDxfId="2775" dataCellStyle="Currency"/>
    <tableColumn id="1011" xr3:uid="{31823495-7171-49F2-B043-071FC47C80B2}" name="21074" dataDxfId="2774" dataCellStyle="Currency"/>
    <tableColumn id="1012" xr3:uid="{A52E2538-1E61-448D-899B-C3B2C1225231}" name="21075" dataDxfId="2773" dataCellStyle="Currency"/>
    <tableColumn id="1013" xr3:uid="{380021BC-E8AD-48EF-96B4-9B366EBB4339}" name="21076" dataDxfId="2772" dataCellStyle="Currency"/>
    <tableColumn id="1014" xr3:uid="{5DD9DACF-0649-4128-AC0C-DC041ECFE6F6}" name="21077" dataDxfId="2771" dataCellStyle="Currency"/>
    <tableColumn id="1015" xr3:uid="{99AB3016-AF03-4631-A612-608763A814E0}" name="21078" dataDxfId="2770" dataCellStyle="Currency"/>
    <tableColumn id="1016" xr3:uid="{6E77E1F2-4CB7-4862-BD41-E2578F692A2C}" name="21082" dataDxfId="2769" dataCellStyle="Currency"/>
    <tableColumn id="1017" xr3:uid="{16812366-3C89-482D-A27B-E99B1A22540B}" name="21084" dataDxfId="2768" dataCellStyle="Currency"/>
    <tableColumn id="1018" xr3:uid="{1992270C-22D6-44C1-8B87-ACF73D82CC63}" name="21085" dataDxfId="2767" dataCellStyle="Currency"/>
    <tableColumn id="1019" xr3:uid="{579A7BF0-6373-4253-8960-D6732F4A8A2C}" name="21087" dataDxfId="2766" dataCellStyle="Currency"/>
    <tableColumn id="1020" xr3:uid="{12F85FB7-0680-4855-980C-4C111EEF314A}" name="21090" dataDxfId="2765" dataCellStyle="Currency"/>
    <tableColumn id="1021" xr3:uid="{5896097A-A7AD-4581-B7E1-621DE81A6323}" name="21093" dataDxfId="2764" dataCellStyle="Currency"/>
    <tableColumn id="1022" xr3:uid="{D32E60E4-2680-49AA-AF9E-2E243A5466E8}" name="21102" dataDxfId="2763" dataCellStyle="Currency"/>
    <tableColumn id="1023" xr3:uid="{B8DB0D2E-06A9-4C0B-8190-ED18BD9FEEDB}" name="21104" dataDxfId="2762" dataCellStyle="Currency"/>
    <tableColumn id="1024" xr3:uid="{FA6B3838-0CDF-4699-A903-81D330E1FF23}" name="21105" dataDxfId="2761" dataCellStyle="Currency"/>
    <tableColumn id="1025" xr3:uid="{DD206128-D73E-4CFE-89CE-65835DBB627A}" name="21108" dataDxfId="2760" dataCellStyle="Currency"/>
    <tableColumn id="1026" xr3:uid="{B42E60DB-2171-43FE-A44C-8B880A3E730B}" name="21111" dataDxfId="2759" dataCellStyle="Currency"/>
    <tableColumn id="1027" xr3:uid="{0781E5A4-F4B2-4528-BA44-AE825396E52E}" name="21113" dataDxfId="2758" dataCellStyle="Currency"/>
    <tableColumn id="1028" xr3:uid="{59804FF9-EE96-4DB4-BEC5-3E898CF5A043}" name="21114" dataDxfId="2757" dataCellStyle="Currency"/>
    <tableColumn id="1029" xr3:uid="{8465A863-1C2A-4CE8-B3D1-E20698F5AA6A}" name="21117" dataDxfId="2756" dataCellStyle="Currency"/>
    <tableColumn id="1030" xr3:uid="{B25F8718-D943-49CD-8A69-B01E76676104}" name="21120" dataDxfId="2755" dataCellStyle="Currency"/>
    <tableColumn id="1031" xr3:uid="{F692B563-3891-4481-AE11-B86B655BA913}" name="21122" dataDxfId="2754" dataCellStyle="Currency"/>
    <tableColumn id="1032" xr3:uid="{672E2315-2B56-4866-BAE3-76263A5EC195}" name="21128" dataDxfId="2753" dataCellStyle="Currency"/>
    <tableColumn id="1033" xr3:uid="{EB879DAD-4777-4958-8E0D-0770A7630149}" name="21130" dataDxfId="2752" dataCellStyle="Currency"/>
    <tableColumn id="1034" xr3:uid="{5E301DF9-B076-4492-86FB-31A09DC04460}" name="21131" dataDxfId="2751" dataCellStyle="Currency"/>
    <tableColumn id="1035" xr3:uid="{7498992C-9428-4729-B151-6E2FD9E8C844}" name="21132" dataDxfId="2750" dataCellStyle="Currency"/>
    <tableColumn id="1036" xr3:uid="{1BBE3F7F-09DB-4A47-8D9D-81B910329804}" name="21133" dataDxfId="2749" dataCellStyle="Currency"/>
    <tableColumn id="1037" xr3:uid="{90FCA7BB-1394-437F-8F7E-2686D7C139AF}" name="21136" dataDxfId="2748" dataCellStyle="Currency"/>
    <tableColumn id="1038" xr3:uid="{1FEF3F16-83FF-4427-9669-44404D29E1F2}" name="21140" dataDxfId="2747" dataCellStyle="Currency"/>
    <tableColumn id="1039" xr3:uid="{F031E44D-2825-4F2F-BE3E-64C655E3E0B3}" name="21144" dataDxfId="2746" dataCellStyle="Currency"/>
    <tableColumn id="1040" xr3:uid="{935B50B1-2587-45EE-BEF8-F4A1D26CCA1C}" name="21146" dataDxfId="2745" dataCellStyle="Currency"/>
    <tableColumn id="1041" xr3:uid="{A95A43E8-347D-4CFA-884A-E67B6E7993CF}" name="21152" dataDxfId="2744" dataCellStyle="Currency"/>
    <tableColumn id="1042" xr3:uid="{BA1DD10A-3A2C-4CA3-9058-1FF50B5732D3}" name="21153" dataDxfId="2743" dataCellStyle="Currency"/>
    <tableColumn id="1043" xr3:uid="{F4CE8606-92B4-493A-B173-BC8A63D3A53C}" name="21154" dataDxfId="2742" dataCellStyle="Currency"/>
    <tableColumn id="1044" xr3:uid="{8883FA05-490A-4003-B2C5-7BE62F60A19B}" name="21155" dataDxfId="2741" dataCellStyle="Currency"/>
    <tableColumn id="1045" xr3:uid="{4DB42A29-841B-4E8C-BFFD-E7535A5FBEA8}" name="21156" dataDxfId="2740" dataCellStyle="Currency"/>
    <tableColumn id="1046" xr3:uid="{052BAEB9-E166-4E08-B067-7D1835FC14C5}" name="21157" dataDxfId="2739" dataCellStyle="Currency"/>
    <tableColumn id="1047" xr3:uid="{37103546-F0BB-4D41-8A86-D6F3D763BBAF}" name="21158" dataDxfId="2738" dataCellStyle="Currency"/>
    <tableColumn id="1048" xr3:uid="{8BBA3AFC-730F-4468-A0CA-E12A520E6C64}" name="21160" dataDxfId="2737" dataCellStyle="Currency"/>
    <tableColumn id="1049" xr3:uid="{F93DC9A5-DDA1-4083-889E-C5FB28FAC562}" name="21161" dataDxfId="2736" dataCellStyle="Currency"/>
    <tableColumn id="1050" xr3:uid="{B3FDA817-59ED-4464-802E-E12743CBAAA1}" name="21162" dataDxfId="2735" dataCellStyle="Currency"/>
    <tableColumn id="1051" xr3:uid="{234CB778-8305-4FB3-A4A9-9B6D954AAD39}" name="21163" dataDxfId="2734" dataCellStyle="Currency"/>
    <tableColumn id="1052" xr3:uid="{07F16CC6-7D02-4924-A80B-6E1E8E094F59}" name="21201" dataDxfId="2733" dataCellStyle="Currency"/>
    <tableColumn id="1053" xr3:uid="{3E307744-9126-47B0-928A-FD580D38DBB2}" name="21202" dataDxfId="2732" dataCellStyle="Currency"/>
    <tableColumn id="1054" xr3:uid="{155717DE-6782-49F5-8DB6-57EBB7E80C4A}" name="21204" dataDxfId="2731" dataCellStyle="Currency"/>
    <tableColumn id="1055" xr3:uid="{4D22A395-3B61-476D-B264-5B60ADB87B1D}" name="21205" dataDxfId="2730" dataCellStyle="Currency"/>
    <tableColumn id="1056" xr3:uid="{A2BC4965-CC62-4C76-9FAC-58C75F686C0D}" name="21206" dataDxfId="2729" dataCellStyle="Currency"/>
    <tableColumn id="1057" xr3:uid="{25C00977-27E6-4E90-B719-3D42FA1CEF90}" name="21207" dataDxfId="2728" dataCellStyle="Currency"/>
    <tableColumn id="1058" xr3:uid="{8B02739D-FF40-48DA-A0C0-8F2473735D64}" name="21208" dataDxfId="2727" dataCellStyle="Currency"/>
    <tableColumn id="1059" xr3:uid="{DC782CBF-448E-4C8C-8B7E-8E8767EC20D2}" name="21209" dataDxfId="2726" dataCellStyle="Currency"/>
    <tableColumn id="1060" xr3:uid="{6F9C780A-F545-405B-BF62-490F1DF15A22}" name="21210" dataDxfId="2725" dataCellStyle="Currency"/>
    <tableColumn id="1061" xr3:uid="{F8605E80-E195-4C13-9F87-3C206538DE8D}" name="21211" dataDxfId="2724" dataCellStyle="Currency"/>
    <tableColumn id="1062" xr3:uid="{3E083599-90C3-4A01-B609-1C21C400ED23}" name="21212" dataDxfId="2723" dataCellStyle="Currency"/>
    <tableColumn id="1063" xr3:uid="{4A2A0947-659D-4656-AE2F-8B1E1CA3C152}" name="21213" dataDxfId="2722" dataCellStyle="Currency"/>
    <tableColumn id="1064" xr3:uid="{067123D7-163D-400E-86CD-5B5FD35857F8}" name="21214" dataDxfId="2721" dataCellStyle="Currency"/>
    <tableColumn id="1065" xr3:uid="{EC05EAAF-E2EB-42CA-95B6-10EB7D99B618}" name="21215" dataDxfId="2720" dataCellStyle="Currency"/>
    <tableColumn id="1066" xr3:uid="{B37242C7-98D2-413C-87BF-34A88E4C10FD}" name="21216" dataDxfId="2719" dataCellStyle="Currency"/>
    <tableColumn id="1067" xr3:uid="{72807EB0-9048-4319-9E0A-5AC8E4E3239B}" name="21217" dataDxfId="2718" dataCellStyle="Currency"/>
    <tableColumn id="1068" xr3:uid="{E124FA66-4801-47EB-A073-745EC5764087}" name="21218" dataDxfId="2717" dataCellStyle="Currency"/>
    <tableColumn id="1069" xr3:uid="{C7D0F923-DAAC-41E3-A5B1-ADFDD6751B2A}" name="21219" dataDxfId="2716" dataCellStyle="Currency"/>
    <tableColumn id="1070" xr3:uid="{BD888D2D-9706-4D4A-BD89-1DB8BB84C11B}" name="21220" dataDxfId="2715" dataCellStyle="Currency"/>
    <tableColumn id="1071" xr3:uid="{9E17EE73-FC89-4411-A48D-15229AC9457C}" name="21221" dataDxfId="2714" dataCellStyle="Currency"/>
    <tableColumn id="1072" xr3:uid="{AEA9BB7C-A37C-4E2B-A32B-C6E83883C6D4}" name="21222" dataDxfId="2713" dataCellStyle="Currency"/>
    <tableColumn id="1073" xr3:uid="{7B9117BD-AE5F-4C8C-94E1-70763CA2F08A}" name="21223" dataDxfId="2712" dataCellStyle="Currency"/>
    <tableColumn id="1074" xr3:uid="{5D6DC960-31C3-43A6-BDB8-1546FFC8AC99}" name="21224" dataDxfId="2711" dataCellStyle="Currency"/>
    <tableColumn id="1075" xr3:uid="{CB2EC2F8-73AA-4329-B483-3CFB2438B889}" name="21225" dataDxfId="2710" dataCellStyle="Currency"/>
    <tableColumn id="1076" xr3:uid="{5B031509-F590-4685-AF4C-B533936E7BD4}" name="21226" dataDxfId="2709" dataCellStyle="Currency"/>
    <tableColumn id="1077" xr3:uid="{182E727C-85F7-41EE-919D-FDA12E3DDC19}" name="21227" dataDxfId="2708" dataCellStyle="Currency"/>
    <tableColumn id="1078" xr3:uid="{634EE410-E0DB-40FE-8077-217F98857D26}" name="21228" dataDxfId="2707" dataCellStyle="Currency"/>
    <tableColumn id="1079" xr3:uid="{85272D1F-8365-4376-950A-4898943A7B9A}" name="21229" dataDxfId="2706" dataCellStyle="Currency"/>
    <tableColumn id="1080" xr3:uid="{5965C86F-4EBE-48D0-9EDB-DF8AFAC4FFD1}" name="21230" dataDxfId="2705" dataCellStyle="Currency"/>
    <tableColumn id="1081" xr3:uid="{08EB593B-BEAD-48D8-BF3E-CE3932764789}" name="21231" dataDxfId="2704" dataCellStyle="Currency"/>
    <tableColumn id="1082" xr3:uid="{7C88E310-67E3-42C7-83F3-36F2CFD38B12}" name="21233" dataDxfId="2703" dataCellStyle="Currency"/>
    <tableColumn id="1083" xr3:uid="{A299EC82-31F7-44EA-A2BA-8EDEE91B2B64}" name="21234" dataDxfId="2702" dataCellStyle="Currency"/>
    <tableColumn id="1084" xr3:uid="{9A8D3510-5AEC-442A-9D51-154154632CBA}" name="21236" dataDxfId="2701" dataCellStyle="Currency"/>
    <tableColumn id="1085" xr3:uid="{E00F42A8-7E60-4DE6-9EF0-0E3AB5954264}" name="21237" dataDxfId="2700" dataCellStyle="Currency"/>
    <tableColumn id="1086" xr3:uid="{A16F708E-39F2-46AA-8A71-55C93D40DA0E}" name="21239" dataDxfId="2699" dataCellStyle="Currency"/>
    <tableColumn id="1087" xr3:uid="{5DF716A5-57E5-4FDB-A602-B3A9CDA2C61E}" name="21240" dataDxfId="2698" dataCellStyle="Currency"/>
    <tableColumn id="1088" xr3:uid="{FC4F0E9A-4787-424E-BB86-FD7829323B41}" name="21244" dataDxfId="2697" dataCellStyle="Currency"/>
    <tableColumn id="1089" xr3:uid="{27CE81B6-F043-4C47-B10B-FEB43EB132BE}" name="21250" dataDxfId="2696" dataCellStyle="Currency"/>
    <tableColumn id="1090" xr3:uid="{F06453D4-B0FD-46A5-87EC-44DFCDBDB244}" name="21251" dataDxfId="2695" dataCellStyle="Currency"/>
    <tableColumn id="1091" xr3:uid="{15F3108B-3A7C-48D6-8BEF-74567B88C8C9}" name="21252" dataDxfId="2694" dataCellStyle="Currency"/>
    <tableColumn id="1092" xr3:uid="{A28143F5-41B1-4383-87E7-C56025973B6C}" name="21285" dataDxfId="2693" dataCellStyle="Currency"/>
    <tableColumn id="1093" xr3:uid="{28A73854-27F0-4763-B30C-3568DAF5CF8C}" name="21286" dataDxfId="2692" dataCellStyle="Currency"/>
    <tableColumn id="1094" xr3:uid="{A809C9D1-0273-4CEF-8AB2-1F8D52D01C50}" name="21287" dataDxfId="2691" dataCellStyle="Currency"/>
    <tableColumn id="1095" xr3:uid="{44FB54BB-4F6F-43B9-858A-F47142A419AF}" name="21401" dataDxfId="2690" dataCellStyle="Currency"/>
    <tableColumn id="1096" xr3:uid="{B2024F81-EB91-4402-BCC7-207313730053}" name="21402" dataDxfId="2689" dataCellStyle="Currency"/>
    <tableColumn id="1097" xr3:uid="{922968BD-CCA8-4917-9951-9E0C504E9FE9}" name="21403" dataDxfId="2688" dataCellStyle="Currency"/>
    <tableColumn id="1098" xr3:uid="{38039870-B6A8-4B0F-A695-CE0EB0A721F2}" name="21405" dataDxfId="2687" dataCellStyle="Currency"/>
    <tableColumn id="1099" xr3:uid="{3FC54DCB-6D8B-4FBB-BE68-2DDFBD537161}" name="21409" dataDxfId="2686" dataCellStyle="Currency"/>
    <tableColumn id="1100" xr3:uid="{F5CF0AE8-FA5B-40D8-B236-DCC6D0484202}" name="21502" dataDxfId="2685" dataCellStyle="Currency"/>
    <tableColumn id="1101" xr3:uid="{F92AFA73-B0C8-45D0-BA53-0933543F9899}" name="21520" dataDxfId="2684" dataCellStyle="Currency"/>
    <tableColumn id="1102" xr3:uid="{DAFD2942-2CDA-4C74-90E3-82F3E7BAEAC8}" name="21521" dataDxfId="2683" dataCellStyle="Currency"/>
    <tableColumn id="1103" xr3:uid="{A14121F8-577B-402E-A747-7C6045ED996A}" name="21523" dataDxfId="2682" dataCellStyle="Currency"/>
    <tableColumn id="1104" xr3:uid="{D6081BDD-48C8-4C70-9C41-8A64AE54B047}" name="21524" dataDxfId="2681" dataCellStyle="Currency"/>
    <tableColumn id="1105" xr3:uid="{7D864FA5-11EC-460A-AE84-FE5935604627}" name="21529" dataDxfId="2680" dataCellStyle="Currency"/>
    <tableColumn id="1106" xr3:uid="{B108C694-93F4-4815-BD19-F8094E7D79AB}" name="21530" dataDxfId="2679" dataCellStyle="Currency"/>
    <tableColumn id="1107" xr3:uid="{762D0CCE-0765-48DE-9B91-60693AF867F7}" name="21531" dataDxfId="2678" dataCellStyle="Currency"/>
    <tableColumn id="1108" xr3:uid="{0DE4684E-6695-408C-8482-CA6F95FA16C1}" name="21532" dataDxfId="2677" dataCellStyle="Currency"/>
    <tableColumn id="1109" xr3:uid="{4A6BB509-F3C1-4AB5-9E05-A20472BDB0CA}" name="21536" dataDxfId="2676" dataCellStyle="Currency"/>
    <tableColumn id="1110" xr3:uid="{CEE7AE47-C6B0-4ED7-94AF-7AC34869D7E9}" name="21538" dataDxfId="2675" dataCellStyle="Currency"/>
    <tableColumn id="1111" xr3:uid="{E857FB0C-E5CD-4DB9-95EB-94A97A9A20D0}" name="21539" dataDxfId="2674" dataCellStyle="Currency"/>
    <tableColumn id="1112" xr3:uid="{6FB4D46A-2467-45DF-9511-FC9AADDB8571}" name="21540" dataDxfId="2673" dataCellStyle="Currency"/>
    <tableColumn id="1113" xr3:uid="{7A3DEDD5-0E1E-4D10-961D-C42D0772B9C8}" name="21541" dataDxfId="2672" dataCellStyle="Currency"/>
    <tableColumn id="1114" xr3:uid="{F403A7F9-EAC4-4F6D-801E-5ADFE06DA605}" name="21542" dataDxfId="2671" dataCellStyle="Currency"/>
    <tableColumn id="1115" xr3:uid="{EDB56ECB-7C8D-4F2E-B826-C800A12518E1}" name="21543" dataDxfId="2670" dataCellStyle="Currency"/>
    <tableColumn id="1116" xr3:uid="{F9707F8D-32D0-4F11-8379-B1962A8BD8C0}" name="21545" dataDxfId="2669" dataCellStyle="Currency"/>
    <tableColumn id="1117" xr3:uid="{07687465-99BC-4A7E-88A6-907157E6438F}" name="21550" dataDxfId="2668" dataCellStyle="Currency"/>
    <tableColumn id="1118" xr3:uid="{EBE4615B-7057-4BEB-A14B-80816A8FA5F4}" name="21555" dataDxfId="2667" dataCellStyle="Currency"/>
    <tableColumn id="1119" xr3:uid="{6E4EFE60-7DE6-45DB-9B17-A6A12A281341}" name="21557" dataDxfId="2666" dataCellStyle="Currency"/>
    <tableColumn id="1120" xr3:uid="{DF0808E5-05B3-4825-AABF-8E688D355AF9}" name="21560" dataDxfId="2665" dataCellStyle="Currency"/>
    <tableColumn id="1121" xr3:uid="{9D7ABC55-C395-4908-841C-294EFEC92C9D}" name="21561" dataDxfId="2664" dataCellStyle="Currency"/>
    <tableColumn id="1122" xr3:uid="{04D01CF3-980F-4E61-805D-2D17C9D9F1B5}" name="21562" dataDxfId="2663" dataCellStyle="Currency"/>
    <tableColumn id="1123" xr3:uid="{DE1565B0-EEFF-454B-9160-9F2C04C09BF9}" name="21601" dataDxfId="2662" dataCellStyle="Currency"/>
    <tableColumn id="1124" xr3:uid="{986DEA7B-4DE2-4652-A060-3DB6A4414534}" name="21607" dataDxfId="2661" dataCellStyle="Currency"/>
    <tableColumn id="1125" xr3:uid="{87605FF1-A58D-44CA-814A-AAC3C428EC13}" name="21610" dataDxfId="2660" dataCellStyle="Currency"/>
    <tableColumn id="1126" xr3:uid="{F500ECD9-3391-4BF1-82D5-E844F7560B18}" name="21612" dataDxfId="2659" dataCellStyle="Currency"/>
    <tableColumn id="1127" xr3:uid="{B68793DC-032E-4FEC-99F1-12BB269D972B}" name="21613" dataDxfId="2658" dataCellStyle="Currency"/>
    <tableColumn id="1128" xr3:uid="{AB913867-292F-4B97-9E18-A5A1C47CA883}" name="21617" dataDxfId="2657" dataCellStyle="Currency"/>
    <tableColumn id="1129" xr3:uid="{BF1C5600-F4E9-4DF1-A38A-72A9960AD2A9}" name="21619" dataDxfId="2656" dataCellStyle="Currency"/>
    <tableColumn id="1130" xr3:uid="{4D6B8131-DE04-4D58-9300-D9DBC344BA88}" name="21620" dataDxfId="2655" dataCellStyle="Currency"/>
    <tableColumn id="1131" xr3:uid="{2EC7B6FF-0AEC-4342-9804-D9ADD236D807}" name="21622" dataDxfId="2654" dataCellStyle="Currency"/>
    <tableColumn id="1132" xr3:uid="{ABDF27C0-D104-4D78-B1A5-5E2B777D4087}" name="21623" dataDxfId="2653" dataCellStyle="Currency"/>
    <tableColumn id="1133" xr3:uid="{3461B495-D138-4410-B9CB-EEEFB5F9A3A5}" name="21624" dataDxfId="2652" dataCellStyle="Currency"/>
    <tableColumn id="1134" xr3:uid="{D1C71C8B-B252-4F36-80FF-15FD7BB2F206}" name="21625" dataDxfId="2651" dataCellStyle="Currency"/>
    <tableColumn id="1135" xr3:uid="{EBC99E11-828A-4335-842E-2EDCAD7D34AC}" name="21626" dataDxfId="2650" dataCellStyle="Currency"/>
    <tableColumn id="1136" xr3:uid="{470FA6B2-E2C9-46B6-B2ED-60D134CA00B9}" name="21627" dataDxfId="2649" dataCellStyle="Currency"/>
    <tableColumn id="1137" xr3:uid="{8C81372C-F692-486C-9B59-4362E6BBAFF3}" name="21628" dataDxfId="2648" dataCellStyle="Currency"/>
    <tableColumn id="1138" xr3:uid="{C44AAF8F-3AF4-42B4-ADAF-65DDF769EDB2}" name="21629" dataDxfId="2647" dataCellStyle="Currency"/>
    <tableColumn id="1139" xr3:uid="{B94D7917-3136-4C15-8B21-1007FEC534A6}" name="21631" dataDxfId="2646" dataCellStyle="Currency"/>
    <tableColumn id="1140" xr3:uid="{EBF13B3B-9266-41AA-A472-E04B202A84DF}" name="21632" dataDxfId="2645" dataCellStyle="Currency"/>
    <tableColumn id="1141" xr3:uid="{7CABF06D-18C2-4E5B-928A-1D08D87771BE}" name="21634" dataDxfId="2644" dataCellStyle="Currency"/>
    <tableColumn id="1142" xr3:uid="{BB40E30C-AC2C-4B29-A72C-B2B0AA074926}" name="21635" dataDxfId="2643" dataCellStyle="Currency"/>
    <tableColumn id="1143" xr3:uid="{B0BAB27D-2846-4F8C-A53D-9DC0986E3D8A}" name="21636" dataDxfId="2642" dataCellStyle="Currency"/>
    <tableColumn id="1144" xr3:uid="{6C34883A-9AB9-4CD4-A562-A4FCA22A63B0}" name="21638" dataDxfId="2641" dataCellStyle="Currency"/>
    <tableColumn id="1145" xr3:uid="{A603BD29-7879-4B1D-A48B-BDA47D0CD0DE}" name="21639" dataDxfId="2640" dataCellStyle="Currency"/>
    <tableColumn id="1146" xr3:uid="{465CA0E5-93A0-40A4-AF28-945EE7CC5526}" name="21640" dataDxfId="2639" dataCellStyle="Currency"/>
    <tableColumn id="1147" xr3:uid="{4656706F-99C7-46CD-A0EC-14594E13CF32}" name="21641" dataDxfId="2638" dataCellStyle="Currency"/>
    <tableColumn id="1148" xr3:uid="{D5F06D0A-1B00-49D4-AE42-3F1E5B03F13E}" name="21643" dataDxfId="2637" dataCellStyle="Currency"/>
    <tableColumn id="1149" xr3:uid="{3241616A-D09B-477F-889E-7FEE52792E2C}" name="21644" dataDxfId="2636" dataCellStyle="Currency"/>
    <tableColumn id="1150" xr3:uid="{EDAC547D-ED15-4FF6-B11C-4B095D8AD309}" name="21645" dataDxfId="2635" dataCellStyle="Currency"/>
    <tableColumn id="1151" xr3:uid="{35900D07-6EF3-44DA-8C52-B80E07A268F8}" name="21647" dataDxfId="2634" dataCellStyle="Currency"/>
    <tableColumn id="1152" xr3:uid="{8D9C650A-4E10-4F9E-B129-2FADE58E8ACC}" name="21648" dataDxfId="2633" dataCellStyle="Currency"/>
    <tableColumn id="1153" xr3:uid="{E57760D5-FD1E-4ED1-94CC-C0C45E0CF845}" name="21649" dataDxfId="2632" dataCellStyle="Currency"/>
    <tableColumn id="1154" xr3:uid="{850257E2-0340-4A6A-A3BA-7DC4586D3706}" name="21650" dataDxfId="2631" dataCellStyle="Currency"/>
    <tableColumn id="1155" xr3:uid="{3433DC99-531E-4BA2-9EEC-40D1F47FD693}" name="21651" dataDxfId="2630" dataCellStyle="Currency"/>
    <tableColumn id="1156" xr3:uid="{A0A04CAE-FE43-4EB6-AA29-2484D0671781}" name="21652" dataDxfId="2629" dataCellStyle="Currency"/>
    <tableColumn id="1157" xr3:uid="{B1AA9FBC-D17C-459F-9FBE-F26C78DA16E8}" name="21653" dataDxfId="2628" dataCellStyle="Currency"/>
    <tableColumn id="1158" xr3:uid="{BE24CD7C-801E-4758-BC58-C774105FB1D6}" name="21654" dataDxfId="2627" dataCellStyle="Currency"/>
    <tableColumn id="1159" xr3:uid="{922514D9-32EA-4D55-8A45-2F05C3D5322F}" name="21655" dataDxfId="2626" dataCellStyle="Currency"/>
    <tableColumn id="1160" xr3:uid="{22C2C845-1670-4FE1-B323-3FB87A0A04B4}" name="21657" dataDxfId="2625" dataCellStyle="Currency"/>
    <tableColumn id="1161" xr3:uid="{C72451FD-8101-466F-A443-3D176CB66FDC}" name="21658" dataDxfId="2624" dataCellStyle="Currency"/>
    <tableColumn id="1162" xr3:uid="{CD7445F5-775F-474D-8C11-C254BF43BF8A}" name="21659" dataDxfId="2623" dataCellStyle="Currency"/>
    <tableColumn id="1163" xr3:uid="{5E3B6925-F98C-4EEB-9805-C0C0B3AB7A6A}" name="21660" dataDxfId="2622" dataCellStyle="Currency"/>
    <tableColumn id="1164" xr3:uid="{5097C2B4-0407-4631-A998-395D058317FD}" name="21661" dataDxfId="2621" dataCellStyle="Currency"/>
    <tableColumn id="1165" xr3:uid="{AF0B3C2F-AE88-415E-B1DF-6E8F3F5A5936}" name="21662" dataDxfId="2620" dataCellStyle="Currency"/>
    <tableColumn id="1166" xr3:uid="{44BE2E60-EAE4-485E-A982-8804437BAA62}" name="21663" dataDxfId="2619" dataCellStyle="Currency"/>
    <tableColumn id="1167" xr3:uid="{8B2C0749-BFE0-41F6-A9CC-BA99AC153411}" name="21664" dataDxfId="2618" dataCellStyle="Currency"/>
    <tableColumn id="1168" xr3:uid="{F1D9BD05-5773-4829-8844-AD7DB1761F7F}" name="21665" dataDxfId="2617" dataCellStyle="Currency"/>
    <tableColumn id="1169" xr3:uid="{F65251CC-6FD8-4A77-A7DF-EA498A862796}" name="21666" dataDxfId="2616" dataCellStyle="Currency"/>
    <tableColumn id="1170" xr3:uid="{A01B8E91-9DC5-4600-81FD-B0F0639F7672}" name="21667" dataDxfId="2615" dataCellStyle="Currency"/>
    <tableColumn id="1171" xr3:uid="{BF2C080F-221E-470A-9452-CA3F6456B7DA}" name="21668" dataDxfId="2614" dataCellStyle="Currency"/>
    <tableColumn id="1172" xr3:uid="{7C452EBC-1C8D-4D31-A566-2DB043A6019A}" name="21669" dataDxfId="2613" dataCellStyle="Currency"/>
    <tableColumn id="1173" xr3:uid="{9C4041D8-7BEF-44F4-8E30-024109DF9C5E}" name="21671" dataDxfId="2612" dataCellStyle="Currency"/>
    <tableColumn id="1174" xr3:uid="{E0D53259-6D63-4804-8A5C-9A4A5D238DA1}" name="21672" dataDxfId="2611" dataCellStyle="Currency"/>
    <tableColumn id="1175" xr3:uid="{B90C68CC-7D4C-446B-B21F-9CB73257970A}" name="21673" dataDxfId="2610" dataCellStyle="Currency"/>
    <tableColumn id="1176" xr3:uid="{83DC2CBF-81E4-4718-8142-C45D0888C279}" name="21675" dataDxfId="2609" dataCellStyle="Currency"/>
    <tableColumn id="1177" xr3:uid="{0BD1DBA0-BEEF-4497-832B-4794C9236366}" name="21676" dataDxfId="2608" dataCellStyle="Currency"/>
    <tableColumn id="1178" xr3:uid="{1A425E27-2AF3-411F-8095-ADAFE5DEE403}" name="21677" dataDxfId="2607" dataCellStyle="Currency"/>
    <tableColumn id="1179" xr3:uid="{97FB9C70-9C75-4AEA-8894-166F06A82B3C}" name="21678" dataDxfId="2606" dataCellStyle="Currency"/>
    <tableColumn id="1180" xr3:uid="{4FCAFB70-A50B-4F4A-B98C-382289D5F213}" name="21679" dataDxfId="2605" dataCellStyle="Currency"/>
    <tableColumn id="1181" xr3:uid="{A08FE45E-D40F-4058-B0BE-3B618C24FE94}" name="21701" dataDxfId="2604" dataCellStyle="Currency"/>
    <tableColumn id="1182" xr3:uid="{AD4AD83E-8DC7-4A34-A97A-1E1E506B4F4E}" name="21702" dataDxfId="2603" dataCellStyle="Currency"/>
    <tableColumn id="1183" xr3:uid="{875B873E-097F-41FA-A2FC-FF34199796AF}" name="21703" dataDxfId="2602" dataCellStyle="Currency"/>
    <tableColumn id="1184" xr3:uid="{BB45F70A-BE39-44FD-9252-BD5E19BA1379}" name="21704" dataDxfId="2601" dataCellStyle="Currency"/>
    <tableColumn id="1185" xr3:uid="{51A71662-7807-479A-B947-7BD7CD0BAE92}" name="21705" dataDxfId="2600" dataCellStyle="Currency"/>
    <tableColumn id="1186" xr3:uid="{5CFCDEB9-192D-4765-8A9A-5A8377625DA5}" name="21710" dataDxfId="2599" dataCellStyle="Currency"/>
    <tableColumn id="1187" xr3:uid="{EB1FB234-2181-4D73-846D-808A0FA4F495}" name="21711" dataDxfId="2598" dataCellStyle="Currency"/>
    <tableColumn id="1188" xr3:uid="{6BB99E9B-98C9-4FEB-840F-C78BF1DA0028}" name="21713" dataDxfId="2597" dataCellStyle="Currency"/>
    <tableColumn id="1189" xr3:uid="{7979A7F1-8675-49F4-AE37-1488E231D5F7}" name="21714" dataDxfId="2596" dataCellStyle="Currency"/>
    <tableColumn id="1190" xr3:uid="{777D0A41-0F7E-483B-9CF4-818A8AED2A31}" name="21715" dataDxfId="2595" dataCellStyle="Currency"/>
    <tableColumn id="1191" xr3:uid="{487788BD-2037-4ACD-A1C6-E765C97C02A9}" name="21716" dataDxfId="2594" dataCellStyle="Currency"/>
    <tableColumn id="1192" xr3:uid="{DB89EFCA-2930-4408-BC7B-1623DF8F1BBE}" name="21717" dataDxfId="2593" dataCellStyle="Currency"/>
    <tableColumn id="1193" xr3:uid="{ABBBEB58-5C9A-42A2-8A36-B6941296F9B4}" name="21718" dataDxfId="2592" dataCellStyle="Currency"/>
    <tableColumn id="1194" xr3:uid="{7BE32242-920B-46D2-94EC-6D1B9FF48EC2}" name="21719" dataDxfId="2591" dataCellStyle="Currency"/>
    <tableColumn id="1195" xr3:uid="{FD91B946-F79C-4B35-B7B4-1F34811F1FD6}" name="21722" dataDxfId="2590" dataCellStyle="Currency"/>
    <tableColumn id="1196" xr3:uid="{EF619374-D05E-4248-9405-DC66462FCFE4}" name="21723" dataDxfId="2589" dataCellStyle="Currency"/>
    <tableColumn id="1197" xr3:uid="{B2EC5DCB-BA5B-4A3C-8167-F9613A97DB19}" name="21727" dataDxfId="2588" dataCellStyle="Currency"/>
    <tableColumn id="1198" xr3:uid="{D31B8BA6-4CD9-4A8A-81BB-F734A44EDFCC}" name="21733" dataDxfId="2587" dataCellStyle="Currency"/>
    <tableColumn id="1199" xr3:uid="{733F32BF-3915-4676-A210-5631F347F459}" name="21734" dataDxfId="2586" dataCellStyle="Currency"/>
    <tableColumn id="1200" xr3:uid="{DF551F36-6E3F-48F0-86AE-F6116CE96146}" name="21737" dataDxfId="2585" dataCellStyle="Currency"/>
    <tableColumn id="1201" xr3:uid="{71072B2A-CE0C-4F28-AFDA-515A2E032CAA}" name="21738" dataDxfId="2584" dataCellStyle="Currency"/>
    <tableColumn id="1202" xr3:uid="{7F5C80B5-B3FA-423E-B1B1-7F1973E5196A}" name="21740" dataDxfId="2583" dataCellStyle="Currency"/>
    <tableColumn id="1203" xr3:uid="{B07D9806-1883-453D-AC19-851B017C5536}" name="21742" dataDxfId="2582" dataCellStyle="Currency"/>
    <tableColumn id="1204" xr3:uid="{0B2AD935-C5EB-4B1D-8CE5-B60E58E745F8}" name="21746" dataDxfId="2581" dataCellStyle="Currency"/>
    <tableColumn id="1205" xr3:uid="{08D2B012-9258-4D29-BA66-34857041E844}" name="21750" dataDxfId="2580" dataCellStyle="Currency"/>
    <tableColumn id="1206" xr3:uid="{89BB0636-4C98-4ECC-9802-A0424A8C31FA}" name="21754" dataDxfId="2579" dataCellStyle="Currency"/>
    <tableColumn id="1207" xr3:uid="{E22AD806-69B2-4DE7-A2DD-B4A1029C8FFC}" name="21755" dataDxfId="2578" dataCellStyle="Currency"/>
    <tableColumn id="1208" xr3:uid="{20250D55-6350-479D-870D-A02B12F4151D}" name="21756" dataDxfId="2577" dataCellStyle="Currency"/>
    <tableColumn id="1209" xr3:uid="{D4B967E0-9AB6-408A-963C-B66D07D6072F}" name="21757" dataDxfId="2576" dataCellStyle="Currency"/>
    <tableColumn id="1210" xr3:uid="{6C1CF537-47C2-47A8-B0F4-566C1267A7C3}" name="21758" dataDxfId="2575" dataCellStyle="Currency"/>
    <tableColumn id="1211" xr3:uid="{E8792D19-0AA1-45EA-87DA-E260F4C791CB}" name="21762" dataDxfId="2574" dataCellStyle="Currency"/>
    <tableColumn id="1212" xr3:uid="{12366C71-96A3-43AA-A82A-764B736AE4D4}" name="21766" dataDxfId="2573" dataCellStyle="Currency"/>
    <tableColumn id="1213" xr3:uid="{0B64CE38-2EA8-401F-9CDF-292BD2718E95}" name="21767" dataDxfId="2572" dataCellStyle="Currency"/>
    <tableColumn id="1214" xr3:uid="{CD21C9DC-D339-420D-9C52-5973DA0DD663}" name="21769" dataDxfId="2571" dataCellStyle="Currency"/>
    <tableColumn id="1215" xr3:uid="{FDC21287-378A-4573-A26D-6BD163BB151C}" name="21770" dataDxfId="2570" dataCellStyle="Currency"/>
    <tableColumn id="1216" xr3:uid="{01E56B79-2E4B-4692-B0E1-2F9D350CAA31}" name="21771" dataDxfId="2569" dataCellStyle="Currency"/>
    <tableColumn id="1217" xr3:uid="{351649AC-8AA6-42DE-A0A9-39660FEEF510}" name="21773" dataDxfId="2568" dataCellStyle="Currency"/>
    <tableColumn id="1218" xr3:uid="{DD75971F-8B26-44C9-8676-363550A88D94}" name="21774" dataDxfId="2567" dataCellStyle="Currency"/>
    <tableColumn id="1219" xr3:uid="{9BF9F0A8-5EED-497D-8E66-C4D2A7584901}" name="21776" dataDxfId="2566" dataCellStyle="Currency"/>
    <tableColumn id="1220" xr3:uid="{9E102326-0A81-4C57-B44A-C747AF3810C2}" name="21777" dataDxfId="2565" dataCellStyle="Currency"/>
    <tableColumn id="1221" xr3:uid="{0E917DD6-0BF0-4766-9AA0-09CC31101D0F}" name="21778" dataDxfId="2564" dataCellStyle="Currency"/>
    <tableColumn id="1222" xr3:uid="{D4964702-B757-4D23-AD13-CD3C863CB92A}" name="21779" dataDxfId="2563" dataCellStyle="Currency"/>
    <tableColumn id="1223" xr3:uid="{09816517-4A62-4ED2-A5A4-08A696E0EDF2}" name="21780" dataDxfId="2562" dataCellStyle="Currency"/>
    <tableColumn id="1224" xr3:uid="{27BF8B9F-292D-4623-984D-146AA7E336A8}" name="21781" dataDxfId="2561" dataCellStyle="Currency"/>
    <tableColumn id="1225" xr3:uid="{CE35CE75-B7B3-4DF3-B2C9-473E3871E76D}" name="21782" dataDxfId="2560" dataCellStyle="Currency"/>
    <tableColumn id="1226" xr3:uid="{C345A15B-9C56-423F-B358-FD937AA32CF4}" name="21783" dataDxfId="2559" dataCellStyle="Currency"/>
    <tableColumn id="1227" xr3:uid="{4DAEE4FE-669E-4399-9091-4BAA6E098C44}" name="21784" dataDxfId="2558" dataCellStyle="Currency"/>
    <tableColumn id="1228" xr3:uid="{8B1FDE07-A8D3-46B8-AA7E-3EDDA7D306EA}" name="21787" dataDxfId="2557" dataCellStyle="Currency"/>
    <tableColumn id="1229" xr3:uid="{7C149421-935E-40C8-ADCA-38FC6A05E074}" name="21788" dataDxfId="2556" dataCellStyle="Currency"/>
    <tableColumn id="1230" xr3:uid="{511D110F-B085-4697-BD62-B0C2C0DDD9B2}" name="21790" dataDxfId="2555" dataCellStyle="Currency"/>
    <tableColumn id="1231" xr3:uid="{65625ED7-BE44-4F6F-BDCA-25B30FE179CF}" name="21791" dataDxfId="2554" dataCellStyle="Currency"/>
    <tableColumn id="1232" xr3:uid="{6CFC8CCD-E0BD-4803-9BE4-F6A716D212E3}" name="21793" dataDxfId="2553" dataCellStyle="Currency"/>
    <tableColumn id="1233" xr3:uid="{EEFF8E16-B5B5-404F-9CEF-43A7E66B2852}" name="21794" dataDxfId="2552" dataCellStyle="Currency"/>
    <tableColumn id="1234" xr3:uid="{92EAF582-E718-4F97-9BFA-EC9D98D775E4}" name="21795" dataDxfId="2551" dataCellStyle="Currency"/>
    <tableColumn id="1235" xr3:uid="{73FD3895-8DC3-4618-A3F8-D900BC09BD5C}" name="21797" dataDxfId="2550" dataCellStyle="Currency"/>
    <tableColumn id="1236" xr3:uid="{AC47DBBE-2259-4972-9A9E-5DF539BBD300}" name="21798" dataDxfId="2549" dataCellStyle="Currency"/>
    <tableColumn id="1237" xr3:uid="{66F89CD9-1F5A-47B1-8EB9-EAFF57DF786A}" name="21801" dataDxfId="2548" dataCellStyle="Currency"/>
    <tableColumn id="1238" xr3:uid="{022BA0DA-79CD-454F-B03C-D0C0FCDDDB83}" name="21804" dataDxfId="2547" dataCellStyle="Currency"/>
    <tableColumn id="1239" xr3:uid="{200562A6-6A5B-44B0-B2A2-8651BB2C00EC}" name="21810" dataDxfId="2546" dataCellStyle="Currency"/>
    <tableColumn id="1240" xr3:uid="{E8671F53-75F7-45AC-BCF4-4CB5A93E9630}" name="21811" dataDxfId="2545" dataCellStyle="Currency"/>
    <tableColumn id="1241" xr3:uid="{6D6B0F12-5A3F-4C82-A706-AAA9D2215ED4}" name="21813" dataDxfId="2544" dataCellStyle="Currency"/>
    <tableColumn id="1242" xr3:uid="{0C66AEF6-92F7-4591-8F07-FDE10ABB5558}" name="21814" dataDxfId="2543" dataCellStyle="Currency"/>
    <tableColumn id="1243" xr3:uid="{39624F16-F127-4FDC-8EFD-AB0BA5307899}" name="21817" dataDxfId="2542" dataCellStyle="Currency"/>
    <tableColumn id="1244" xr3:uid="{79062985-FB02-4CC2-A72B-686BB312AB34}" name="21821" dataDxfId="2541" dataCellStyle="Currency"/>
    <tableColumn id="1245" xr3:uid="{5E5EEF58-56F4-4705-AD25-27D2B6C52D90}" name="21822" dataDxfId="2540" dataCellStyle="Currency"/>
    <tableColumn id="1246" xr3:uid="{FE22ECD2-7B5C-4F53-822B-C1D6ACF87C07}" name="21824" dataDxfId="2539" dataCellStyle="Currency"/>
    <tableColumn id="1247" xr3:uid="{28BB7DE5-D849-4F83-889E-E2A619A925A7}" name="21826" dataDxfId="2538" dataCellStyle="Currency"/>
    <tableColumn id="1248" xr3:uid="{88824878-1C28-4F7F-A56D-0AA833F9D99C}" name="21829" dataDxfId="2537" dataCellStyle="Currency"/>
    <tableColumn id="1249" xr3:uid="{6EE87E4F-5096-489C-89D2-5EFD493F06F8}" name="21830" dataDxfId="2536" dataCellStyle="Currency"/>
    <tableColumn id="1250" xr3:uid="{607FCD9D-A77E-4EDA-9CA9-1ED1B863DC2E}" name="21835" dataDxfId="2535" dataCellStyle="Currency"/>
    <tableColumn id="1251" xr3:uid="{F52D7397-FDCE-4271-A8E0-2B728F1D2EC4}" name="21837" dataDxfId="2534" dataCellStyle="Currency"/>
    <tableColumn id="1252" xr3:uid="{AEA19F29-3A9A-4C43-83F9-FFD2A92C68A1}" name="21838" dataDxfId="2533" dataCellStyle="Currency"/>
    <tableColumn id="1253" xr3:uid="{DA8239D0-72C2-4A0F-83B1-932E5CEC3A28}" name="21840" dataDxfId="2532" dataCellStyle="Currency"/>
    <tableColumn id="1254" xr3:uid="{A60349E5-FA6D-42AC-9015-588930EE4568}" name="21841" dataDxfId="2531" dataCellStyle="Currency"/>
    <tableColumn id="1255" xr3:uid="{E26E57F9-BE74-437D-B2F9-DC4AD21688A9}" name="21842" dataDxfId="2530" dataCellStyle="Currency"/>
    <tableColumn id="1256" xr3:uid="{2384B509-6A3B-4D5D-AC55-FD5AA077D9E1}" name="21849" dataDxfId="2529" dataCellStyle="Currency"/>
    <tableColumn id="1257" xr3:uid="{4351D266-DE52-4E9D-B0C4-A52474A39827}" name="21850" dataDxfId="2528" dataCellStyle="Currency"/>
    <tableColumn id="1258" xr3:uid="{9BC366D8-4EC2-4961-A1C5-FFCA96E9DC6E}" name="21851" dataDxfId="2527" dataCellStyle="Currency"/>
    <tableColumn id="1259" xr3:uid="{04460369-BE32-4A39-93A2-9B74936983C7}" name="21853" dataDxfId="2526" dataCellStyle="Currency"/>
    <tableColumn id="1260" xr3:uid="{AF72DAB4-A551-441A-8995-19985484FE01}" name="21856" dataDxfId="2525" dataCellStyle="Currency"/>
    <tableColumn id="1261" xr3:uid="{A3B62476-FF93-41DC-8A22-A9EE2935E487}" name="21861" dataDxfId="2524" dataCellStyle="Currency"/>
    <tableColumn id="1262" xr3:uid="{E8BEC827-0E44-43EF-BE10-826D8D491EF2}" name="21862" dataDxfId="2523" dataCellStyle="Currency"/>
    <tableColumn id="1263" xr3:uid="{D1B521A5-49CE-4A8E-82AA-ADEA70504CBA}" name="21863" dataDxfId="2522" dataCellStyle="Currency"/>
    <tableColumn id="1264" xr3:uid="{01F7517E-6DF2-413C-B31A-499822CF0474}" name="21864" dataDxfId="2521" dataCellStyle="Currency"/>
    <tableColumn id="1265" xr3:uid="{A29195E2-DCA5-41BC-8E93-533F7D67AE15}" name="21865" dataDxfId="2520" dataCellStyle="Currency"/>
    <tableColumn id="1266" xr3:uid="{28CE1733-D808-4B73-AA95-6049F5548B0F}" name="21866" dataDxfId="2519" dataCellStyle="Currency"/>
    <tableColumn id="1267" xr3:uid="{29FBC14F-5E3B-4FF7-A4D6-67FA8426412E}" name="21867" dataDxfId="2518" dataCellStyle="Currency"/>
    <tableColumn id="1268" xr3:uid="{4D1F3FC8-5149-47DC-8FB1-7AEEE44B9436}" name="21869" dataDxfId="2517" dataCellStyle="Currency"/>
    <tableColumn id="1269" xr3:uid="{D1F3D73A-E32C-441A-9181-116BCEF86332}" name="21871" dataDxfId="2516" dataCellStyle="Currency"/>
    <tableColumn id="1270" xr3:uid="{B7B05609-3271-4A57-B1AF-17E258F26249}" name="21872" dataDxfId="2515" dataCellStyle="Currency"/>
    <tableColumn id="1271" xr3:uid="{2D1D2A39-70DF-4E2A-A54F-30CA8CE86800}" name="21874" dataDxfId="2514" dataCellStyle="Currency"/>
    <tableColumn id="1272" xr3:uid="{458DA20A-7628-44CB-8ADE-D4B53707637F}" name="21875" dataDxfId="2513" dataCellStyle="Currency"/>
    <tableColumn id="1273" xr3:uid="{7BB14E0A-333D-40E6-87CD-E57308477946}" name="21890" dataDxfId="2512" dataCellStyle="Currency"/>
    <tableColumn id="1274" xr3:uid="{C4ECA7E5-C6D0-4BDA-9FBC-DBC1B7E508DE}" name="21901" dataDxfId="2511" dataCellStyle="Currency"/>
    <tableColumn id="1275" xr3:uid="{3441F737-5534-439E-84C0-91FC81EA6502}" name="21902" dataDxfId="2510" dataCellStyle="Currency"/>
    <tableColumn id="1276" xr3:uid="{3D7FA7C0-5D1F-466E-B71D-42BA29DAEAE4}" name="21903" dataDxfId="2509" dataCellStyle="Currency"/>
    <tableColumn id="1277" xr3:uid="{4B2F2A8C-41AD-44A5-B0B7-36B07307802C}" name="21904" dataDxfId="2508" dataCellStyle="Currency"/>
    <tableColumn id="1278" xr3:uid="{5D7B1A95-0622-430A-ACA0-243F40255239}" name="21911" dataDxfId="2507" dataCellStyle="Currency"/>
    <tableColumn id="1279" xr3:uid="{AA5D193E-9202-4CDA-AE64-11093C5A9105}" name="21912" dataDxfId="2506" dataCellStyle="Currency"/>
    <tableColumn id="1280" xr3:uid="{99092CC0-52FB-4508-90BF-6E82E1A883B2}" name="21913" dataDxfId="2505" dataCellStyle="Currency"/>
    <tableColumn id="1281" xr3:uid="{D8170BE8-0A2B-457A-992B-2C8DBEBDF120}" name="21914" dataDxfId="2504" dataCellStyle="Currency"/>
    <tableColumn id="1282" xr3:uid="{4685920E-B651-4B6F-9EFA-80217C386511}" name="21915" dataDxfId="2503" dataCellStyle="Currency"/>
    <tableColumn id="1283" xr3:uid="{BEC8C004-28C4-4E3B-8E2A-58F368C0BE6F}" name="21917" dataDxfId="2502" dataCellStyle="Currency"/>
    <tableColumn id="1284" xr3:uid="{2FD6337D-5E71-46D3-86BA-2F1B8846E9A1}" name="21918" dataDxfId="2501" dataCellStyle="Currency"/>
    <tableColumn id="1285" xr3:uid="{3978B19B-0595-47BC-A6D7-05E1EEBFF9A1}" name="21919" dataDxfId="2500" dataCellStyle="Currency"/>
    <tableColumn id="1286" xr3:uid="{7E0432B6-4B36-4CA6-A324-C2AB3DE6D108}" name="21920" dataDxfId="2499" dataCellStyle="Currency"/>
    <tableColumn id="1287" xr3:uid="{F1B5F5AF-A7F6-4021-89D4-626B2B8746B7}" name="21921" dataDxfId="2498" dataCellStyle="Currency"/>
    <tableColumn id="1288" xr3:uid="{7DBCCC4D-F2AD-4F5A-976F-3223117B4211}" name="21930" dataDxfId="2497" dataCellStyle="Currency"/>
    <tableColumn id="1289" xr3:uid="{BE03D86F-D973-41FA-95FB-B96230F08143}" name="27006" dataDxfId="2496" dataCellStyle="Currency"/>
    <tableColumn id="1290" xr3:uid="{B6EE9EA2-FA94-4238-B104-19816EDBA86E}" name="27007" dataDxfId="2495" dataCellStyle="Currency"/>
    <tableColumn id="1291" xr3:uid="{373CB66F-2192-485C-99FA-D5F7C4E2ECA1}" name="27009" dataDxfId="2494" dataCellStyle="Currency"/>
    <tableColumn id="1292" xr3:uid="{BB415D11-54A4-410A-8096-59247762AF1C}" name="27011" dataDxfId="2493" dataCellStyle="Currency"/>
    <tableColumn id="1293" xr3:uid="{3A616674-ECCB-410F-8C79-372548518A18}" name="27012" dataDxfId="2492" dataCellStyle="Currency"/>
    <tableColumn id="1294" xr3:uid="{5C9253FE-42EE-4E7B-8F60-2C7A5D43C6EC}" name="27013" dataDxfId="2491" dataCellStyle="Currency"/>
    <tableColumn id="1295" xr3:uid="{0CD4CDB6-566F-40A9-B4E6-32694DFB8469}" name="27014" dataDxfId="2490" dataCellStyle="Currency"/>
    <tableColumn id="1296" xr3:uid="{DC5D527F-42D1-4BE5-B67A-7764D3A7ECFA}" name="27016" dataDxfId="2489" dataCellStyle="Currency"/>
    <tableColumn id="1297" xr3:uid="{02A2117C-F298-4B53-B07D-AA6C22BEAAA8}" name="27017" dataDxfId="2488" dataCellStyle="Currency"/>
    <tableColumn id="1298" xr3:uid="{2576032B-2C40-4608-8822-DD120C8BA7EF}" name="27018" dataDxfId="2487" dataCellStyle="Currency"/>
    <tableColumn id="1299" xr3:uid="{660FCEC5-1E68-4A93-876E-9C6FC1B3DA97}" name="27019" dataDxfId="2486" dataCellStyle="Currency"/>
    <tableColumn id="1300" xr3:uid="{64E4C2AD-C05D-4793-8702-F0DB1A91E314}" name="27020" dataDxfId="2485" dataCellStyle="Currency"/>
    <tableColumn id="1301" xr3:uid="{6141D13A-6E2D-435A-B1BC-FB3D5D25E857}" name="27021" dataDxfId="2484" dataCellStyle="Currency"/>
    <tableColumn id="1302" xr3:uid="{85C83A58-F868-48AC-BF2B-12E6E88D55FB}" name="27022" dataDxfId="2483" dataCellStyle="Currency"/>
    <tableColumn id="1303" xr3:uid="{F13C8C77-CCB4-4CF6-A959-7FBBB4AAFFD9}" name="27023" dataDxfId="2482" dataCellStyle="Currency"/>
    <tableColumn id="1304" xr3:uid="{474A4214-D851-4271-9EF7-AEDB9FB1BE4E}" name="27024" dataDxfId="2481" dataCellStyle="Currency"/>
    <tableColumn id="1305" xr3:uid="{A0236323-4686-491B-B6C0-64ECE3CD1C53}" name="27025" dataDxfId="2480" dataCellStyle="Currency"/>
    <tableColumn id="1306" xr3:uid="{ED23B172-24B7-4049-A592-C94265623D80}" name="27027" dataDxfId="2479" dataCellStyle="Currency"/>
    <tableColumn id="1307" xr3:uid="{E66BBA0B-B867-400B-ADAD-49DEE6A0FD47}" name="27028" dataDxfId="2478" dataCellStyle="Currency"/>
    <tableColumn id="1308" xr3:uid="{7E1A128A-403D-42A9-8B06-C0DF730D5107}" name="27030" dataDxfId="2477" dataCellStyle="Currency"/>
    <tableColumn id="1309" xr3:uid="{306134CF-CA0C-4945-9E5F-F10DA6A51BDF}" name="27040" dataDxfId="2476" dataCellStyle="Currency"/>
    <tableColumn id="1310" xr3:uid="{C067558A-EDD8-4CE5-8148-7A3DC2ED1A51}" name="27041" dataDxfId="2475" dataCellStyle="Currency"/>
    <tableColumn id="1311" xr3:uid="{332BF055-D9C2-422D-9465-B5796369BCC6}" name="27042" dataDxfId="2474" dataCellStyle="Currency"/>
    <tableColumn id="1312" xr3:uid="{BD0B3E0C-0D09-4486-BFC0-E82130254D96}" name="27043" dataDxfId="2473" dataCellStyle="Currency"/>
    <tableColumn id="1313" xr3:uid="{616F45A7-BC30-49A3-8782-3BD7BEE987E2}" name="27045" dataDxfId="2472" dataCellStyle="Currency"/>
    <tableColumn id="1314" xr3:uid="{8DD44177-6DD1-4419-B13D-79F88AD16168}" name="27046" dataDxfId="2471" dataCellStyle="Currency"/>
    <tableColumn id="1315" xr3:uid="{BF85B11E-EB71-447F-A61D-00EC394EB787}" name="27047" dataDxfId="2470" dataCellStyle="Currency"/>
    <tableColumn id="1316" xr3:uid="{1C169C96-1BAF-4C50-88E6-568BADFC5C63}" name="27048" dataDxfId="2469" dataCellStyle="Currency"/>
    <tableColumn id="1317" xr3:uid="{FBF03D0B-76F7-4705-BAB9-444AF3EF8E10}" name="27050" dataDxfId="2468" dataCellStyle="Currency"/>
    <tableColumn id="1318" xr3:uid="{37FB4174-DFA3-4650-9C85-62EDD06C0558}" name="27051" dataDxfId="2467" dataCellStyle="Currency"/>
    <tableColumn id="1319" xr3:uid="{524B1728-DEA8-454D-A599-8E83D16A68D5}" name="27052" dataDxfId="2466" dataCellStyle="Currency"/>
    <tableColumn id="1320" xr3:uid="{7AB56C3E-24D7-4831-986B-041F283F7DE3}" name="27053" dataDxfId="2465" dataCellStyle="Currency"/>
    <tableColumn id="1321" xr3:uid="{2AE7AB29-86F5-4D38-AC01-35859C7F4301}" name="27054" dataDxfId="2464" dataCellStyle="Currency"/>
    <tableColumn id="1322" xr3:uid="{78CFB98A-0FD7-4179-B311-DBA300FB35CA}" name="27055" dataDxfId="2463" dataCellStyle="Currency"/>
    <tableColumn id="1323" xr3:uid="{853403CA-2608-4544-AEB3-FA1C8803FEE7}" name="27101" dataDxfId="2462" dataCellStyle="Currency"/>
    <tableColumn id="1324" xr3:uid="{D5455557-D4AD-475C-8755-B61C6A2D26D4}" name="27103" dataDxfId="2461" dataCellStyle="Currency"/>
    <tableColumn id="1325" xr3:uid="{4D105425-53EE-40FA-8A61-0DE4828E8A97}" name="27104" dataDxfId="2460" dataCellStyle="Currency"/>
    <tableColumn id="1326" xr3:uid="{9F3FACA2-6561-4B05-83B5-2F6F8D05AB78}" name="27105" dataDxfId="2459" dataCellStyle="Currency"/>
    <tableColumn id="1327" xr3:uid="{831EDF13-93BA-4397-B84A-3FED3F5DC341}" name="27106" dataDxfId="2458" dataCellStyle="Currency"/>
    <tableColumn id="1328" xr3:uid="{91DDF844-E11C-44D2-991F-895B2E1FDC01}" name="27107" dataDxfId="2457" dataCellStyle="Currency"/>
    <tableColumn id="1329" xr3:uid="{051AB531-E759-4BA4-AE29-74B06BDA1B37}" name="27109" dataDxfId="2456" dataCellStyle="Currency"/>
    <tableColumn id="1330" xr3:uid="{5AABFFC6-B5A2-4CB9-908A-60ACD91EB71A}" name="27110" dataDxfId="2455" dataCellStyle="Currency"/>
    <tableColumn id="1331" xr3:uid="{CC2BFE3F-1CB2-4193-AE73-472C4114842B}" name="27127" dataDxfId="2454" dataCellStyle="Currency"/>
    <tableColumn id="1332" xr3:uid="{B64B8A56-0302-43AE-98CB-0B8AC5AFD2DE}" name="27201" dataDxfId="2453" dataCellStyle="Currency"/>
    <tableColumn id="1333" xr3:uid="{59894231-4555-4EC2-A909-683B565FD3EC}" name="27202" dataDxfId="2452" dataCellStyle="Currency"/>
    <tableColumn id="1334" xr3:uid="{95022812-4FB3-45C4-8730-E3B295437A4F}" name="27203" dataDxfId="2451" dataCellStyle="Currency"/>
    <tableColumn id="1335" xr3:uid="{B815815F-B6BA-4010-9C0F-025A21FDB7AD}" name="27205" dataDxfId="2450" dataCellStyle="Currency"/>
    <tableColumn id="1336" xr3:uid="{AAF828DF-F4CA-448B-A992-8187A47BC04F}" name="27207" dataDxfId="2449" dataCellStyle="Currency"/>
    <tableColumn id="1337" xr3:uid="{D2026F11-E9FC-4F34-B70C-FDE69D82434A}" name="27208" dataDxfId="2448" dataCellStyle="Currency"/>
    <tableColumn id="1338" xr3:uid="{B6AA94DA-05CC-4CF8-9F6B-3FB5E3F0705F}" name="27209" dataDxfId="2447" dataCellStyle="Currency"/>
    <tableColumn id="1339" xr3:uid="{D1F33EE4-74C3-4370-B798-03CF0F8B7DD6}" name="27212" dataDxfId="2446" dataCellStyle="Currency"/>
    <tableColumn id="1340" xr3:uid="{C16956C8-8FFC-4C0F-B4B7-4C29CC6CB311}" name="27213" dataDxfId="2445" dataCellStyle="Currency"/>
    <tableColumn id="1341" xr3:uid="{B4AAFBCD-6FD6-4089-BD31-A0F0F3BA9502}" name="27214" dataDxfId="2444" dataCellStyle="Currency"/>
    <tableColumn id="1342" xr3:uid="{D1D766A0-891D-404D-82E2-939A371DEC17}" name="27215" dataDxfId="2443" dataCellStyle="Currency"/>
    <tableColumn id="1343" xr3:uid="{99E9D61E-9B5E-4070-AB49-7A06490C51F1}" name="27217" dataDxfId="2442" dataCellStyle="Currency"/>
    <tableColumn id="1344" xr3:uid="{CD79E585-F543-47D9-A78C-6D784C85CE6A}" name="27229" dataDxfId="2441" dataCellStyle="Currency"/>
    <tableColumn id="1345" xr3:uid="{41F5F9F9-8FB0-448D-A67F-CC802054F908}" name="27231" dataDxfId="2440" dataCellStyle="Currency"/>
    <tableColumn id="1346" xr3:uid="{0599FF98-326E-4C04-9C9B-C244CCD430B7}" name="27233" dataDxfId="2439" dataCellStyle="Currency"/>
    <tableColumn id="1347" xr3:uid="{13AB6FA9-C890-436B-9381-BCF2C0DB5CFC}" name="27235" dataDxfId="2438" dataCellStyle="Currency"/>
    <tableColumn id="1348" xr3:uid="{D2857676-A45B-444E-9448-BA3E46B06B1C}" name="27239" dataDxfId="2437" dataCellStyle="Currency"/>
    <tableColumn id="1349" xr3:uid="{CC77B109-ED81-4948-812E-315C5A948967}" name="27242" dataDxfId="2436" dataCellStyle="Currency"/>
    <tableColumn id="1350" xr3:uid="{4433E245-27D3-4F6D-BC54-991D0B4BC431}" name="27243" dataDxfId="2435" dataCellStyle="Currency"/>
    <tableColumn id="1351" xr3:uid="{F933C09F-ACAC-40F7-A6A5-A08641C0F26F}" name="27244" dataDxfId="2434" dataCellStyle="Currency"/>
    <tableColumn id="1352" xr3:uid="{D944982F-B0DD-49DE-8C7B-D15A186E4063}" name="27247" dataDxfId="2433" dataCellStyle="Currency"/>
    <tableColumn id="1353" xr3:uid="{2EC82430-906F-401E-A774-242AB14780FF}" name="27248" dataDxfId="2432" dataCellStyle="Currency"/>
    <tableColumn id="1354" xr3:uid="{49319DF1-4641-4C3C-8206-0717ECDF040A}" name="27249" dataDxfId="2431" dataCellStyle="Currency"/>
    <tableColumn id="1355" xr3:uid="{8645CA5B-F2D6-4EC1-9CDE-264D176EF54B}" name="27252" dataDxfId="2430" dataCellStyle="Currency"/>
    <tableColumn id="1356" xr3:uid="{CDA1EAD5-8151-4239-999F-D0EA4F1BE4BF}" name="27253" dataDxfId="2429" dataCellStyle="Currency"/>
    <tableColumn id="1357" xr3:uid="{6DCA4C94-D2E5-436C-9461-776A76DEA712}" name="27256" dataDxfId="2428" dataCellStyle="Currency"/>
    <tableColumn id="1358" xr3:uid="{8D3B762B-4D4E-46FE-9C31-03947FADF5E5}" name="27258" dataDxfId="2427" dataCellStyle="Currency"/>
    <tableColumn id="1359" xr3:uid="{F1518CE3-91F9-41CC-86E4-65BC54230EC2}" name="27259" dataDxfId="2426" dataCellStyle="Currency"/>
    <tableColumn id="1360" xr3:uid="{FE65D9AD-E83A-4769-B703-4896F49BDD2B}" name="27260" dataDxfId="2425" dataCellStyle="Currency"/>
    <tableColumn id="1361" xr3:uid="{99A84F9F-9332-4F7B-8DCA-1152E19BA66E}" name="27262" dataDxfId="2424" dataCellStyle="Currency"/>
    <tableColumn id="1362" xr3:uid="{4242C0DB-8905-4873-A996-54F5904538D2}" name="27263" dataDxfId="2423" dataCellStyle="Currency"/>
    <tableColumn id="1363" xr3:uid="{425A7FE0-3064-4A5C-A3BF-7B79543DCA19}" name="27265" dataDxfId="2422" dataCellStyle="Currency"/>
    <tableColumn id="1364" xr3:uid="{BA76A689-66C1-4A0F-89DE-5F1A3367F5D9}" name="27268" dataDxfId="2421" dataCellStyle="Currency"/>
    <tableColumn id="1365" xr3:uid="{ACECAA06-176E-46A8-86FD-C03B710B0675}" name="27278" dataDxfId="2420" dataCellStyle="Currency"/>
    <tableColumn id="1366" xr3:uid="{4754F5C2-BB89-4FAE-B008-4DA7F7328D96}" name="27281" dataDxfId="2419" dataCellStyle="Currency"/>
    <tableColumn id="1367" xr3:uid="{B7160035-A3E0-41B6-9B88-0A4D4550499A}" name="27282" dataDxfId="2418" dataCellStyle="Currency"/>
    <tableColumn id="1368" xr3:uid="{DF4A3C04-1443-4052-8F27-27D04CE75BB4}" name="27283" dataDxfId="2417" dataCellStyle="Currency"/>
    <tableColumn id="1369" xr3:uid="{A362AE4C-C097-4736-9011-FE2BAE87E839}" name="27284" dataDxfId="2416" dataCellStyle="Currency"/>
    <tableColumn id="1370" xr3:uid="{A94E12AF-6B62-4B85-B5B3-E87D073C5E4B}" name="27288" dataDxfId="2415" dataCellStyle="Currency"/>
    <tableColumn id="1371" xr3:uid="{1D5B6F58-2CE2-46B9-A791-716CC95CE8D5}" name="27291" dataDxfId="2414" dataCellStyle="Currency"/>
    <tableColumn id="1372" xr3:uid="{7CE69C13-7E94-4D34-B45D-E416343F64F5}" name="27292" dataDxfId="2413" dataCellStyle="Currency"/>
    <tableColumn id="1373" xr3:uid="{528262B5-4297-451C-ACE6-8491F1174F44}" name="27295" dataDxfId="2412" dataCellStyle="Currency"/>
    <tableColumn id="1374" xr3:uid="{F1F97BAC-464A-484E-A84C-FC856F2B7DA6}" name="27298" dataDxfId="2411" dataCellStyle="Currency"/>
    <tableColumn id="1375" xr3:uid="{E1E33F86-BA2A-45DB-9CB9-B062D70269D1}" name="27299" dataDxfId="2410" dataCellStyle="Currency"/>
    <tableColumn id="1376" xr3:uid="{3E72413B-B4BD-4AD7-A78C-CF9C1975F1C8}" name="27301" dataDxfId="2409" dataCellStyle="Currency"/>
    <tableColumn id="1377" xr3:uid="{85537EFE-9CDE-41FD-AA94-9D5310E6AA6E}" name="27302" dataDxfId="2408" dataCellStyle="Currency"/>
    <tableColumn id="1378" xr3:uid="{363E5983-B3DC-4894-829B-2E2928AA8E78}" name="27305" dataDxfId="2407" dataCellStyle="Currency"/>
    <tableColumn id="1379" xr3:uid="{D4FC8EA1-F27D-40E0-9A5D-26522DC35FA6}" name="27306" dataDxfId="2406" dataCellStyle="Currency"/>
    <tableColumn id="1380" xr3:uid="{A1F40A8E-2E2A-4507-BA80-17BE5459F8C4}" name="27310" dataDxfId="2405" dataCellStyle="Currency"/>
    <tableColumn id="1381" xr3:uid="{2B3FD328-D871-4261-965D-E320577005A4}" name="27311" dataDxfId="2404" dataCellStyle="Currency"/>
    <tableColumn id="1382" xr3:uid="{945A31DE-F776-4048-8678-B6D0F5CF44E3}" name="27312" dataDxfId="2403" dataCellStyle="Currency"/>
    <tableColumn id="1383" xr3:uid="{A9C9AF25-2638-4396-B188-F110C0EEA88E}" name="27313" dataDxfId="2402" dataCellStyle="Currency"/>
    <tableColumn id="1384" xr3:uid="{26C71D4A-C32D-40E3-9041-ED32DECF13C9}" name="27314" dataDxfId="2401" dataCellStyle="Currency"/>
    <tableColumn id="1385" xr3:uid="{6B0810C9-7F0E-44C0-B271-6340AFDC5563}" name="27315" dataDxfId="2400" dataCellStyle="Currency"/>
    <tableColumn id="1386" xr3:uid="{99E5BC23-8CEF-4E0E-858A-F0E8B1FBDD99}" name="27316" dataDxfId="2399" dataCellStyle="Currency"/>
    <tableColumn id="1387" xr3:uid="{1FFD3431-A280-4E46-A7AB-34C615CCE430}" name="27317" dataDxfId="2398" dataCellStyle="Currency"/>
    <tableColumn id="1388" xr3:uid="{AF1029A9-1648-45E7-861D-19F936016ED5}" name="27320" dataDxfId="2397" dataCellStyle="Currency"/>
    <tableColumn id="1389" xr3:uid="{6F849C43-EA29-40D8-A48C-5A758A646BEB}" name="27325" dataDxfId="2396" dataCellStyle="Currency"/>
    <tableColumn id="1390" xr3:uid="{F27BAAF7-AF49-4F6F-974F-194B19AA6BF5}" name="27326" dataDxfId="2395" dataCellStyle="Currency"/>
    <tableColumn id="1391" xr3:uid="{7B816897-69F1-4CA6-A195-A5C3F0013706}" name="27330" dataDxfId="2394" dataCellStyle="Currency"/>
    <tableColumn id="1392" xr3:uid="{EDA4885F-BFBF-478C-8C20-34BC4A87D01B}" name="27332" dataDxfId="2393" dataCellStyle="Currency"/>
    <tableColumn id="1393" xr3:uid="{CFEC9F2C-2124-49BA-A469-0B83AFEB501E}" name="27340" dataDxfId="2392" dataCellStyle="Currency"/>
    <tableColumn id="1394" xr3:uid="{73CEDC14-E231-4455-A7BD-E28CED767F61}" name="27341" dataDxfId="2391" dataCellStyle="Currency"/>
    <tableColumn id="1395" xr3:uid="{C24DCDD7-35AE-49E1-A6B9-250741DE16DF}" name="27342" dataDxfId="2390" dataCellStyle="Currency"/>
    <tableColumn id="1396" xr3:uid="{787F463C-3ADC-4506-B348-44B9DC1B0237}" name="27343" dataDxfId="2389" dataCellStyle="Currency"/>
    <tableColumn id="1397" xr3:uid="{AF7DF43F-A672-4408-B2DF-9400634BB1E3}" name="27344" dataDxfId="2388" dataCellStyle="Currency"/>
    <tableColumn id="1398" xr3:uid="{E887B091-EBBE-4870-9780-7939D4681A14}" name="27349" dataDxfId="2387" dataCellStyle="Currency"/>
    <tableColumn id="1399" xr3:uid="{EA3E7901-8F98-4F97-BA3C-EE0DDA30295F}" name="27350" dataDxfId="2386" dataCellStyle="Currency"/>
    <tableColumn id="1400" xr3:uid="{D1424F66-4E2A-4E45-ABD5-B48F9C1BBD30}" name="27351" dataDxfId="2385" dataCellStyle="Currency"/>
    <tableColumn id="1401" xr3:uid="{8C5FC472-DE26-4762-9965-F48AA92D4EC1}" name="27355" dataDxfId="2384" dataCellStyle="Currency"/>
    <tableColumn id="1402" xr3:uid="{EDDE1EC6-53C9-4CEC-83E8-0C56A2DD6638}" name="27356" dataDxfId="2383" dataCellStyle="Currency"/>
    <tableColumn id="1403" xr3:uid="{505D147F-CF0C-468D-B9AB-679089BCB86B}" name="27357" dataDxfId="2382" dataCellStyle="Currency"/>
    <tableColumn id="1404" xr3:uid="{D64691C0-2E52-479F-80A9-F53514A438CD}" name="27358" dataDxfId="2381" dataCellStyle="Currency"/>
    <tableColumn id="1405" xr3:uid="{B7FDAAC9-FBCB-4394-878D-E70E0F7F05C9}" name="27360" dataDxfId="2380" dataCellStyle="Currency"/>
    <tableColumn id="1406" xr3:uid="{ED017AFB-0437-4547-BA41-D84EE062CAF2}" name="27370" dataDxfId="2379" dataCellStyle="Currency"/>
    <tableColumn id="1407" xr3:uid="{8C3C1B65-717D-4D07-AD2A-257EF9E3BDED}" name="27371" dataDxfId="2378" dataCellStyle="Currency"/>
    <tableColumn id="1408" xr3:uid="{5C304A91-39E0-4D5E-95A4-86303D76A997}" name="27374" dataDxfId="2377" dataCellStyle="Currency"/>
    <tableColumn id="1409" xr3:uid="{9DA5DC85-4DDE-4E51-A503-A025455508D1}" name="27376" dataDxfId="2376" dataCellStyle="Currency"/>
    <tableColumn id="1410" xr3:uid="{C7C6DA47-8AE8-45CF-83A5-636E5CE0E400}" name="27377" dataDxfId="2375" dataCellStyle="Currency"/>
    <tableColumn id="1411" xr3:uid="{E5A49086-8CA5-42DE-AB77-24C4678BEE52}" name="27379" dataDxfId="2374" dataCellStyle="Currency"/>
    <tableColumn id="1412" xr3:uid="{58EFAA02-21B5-4710-AF41-22BD0A536081}" name="27401" dataDxfId="2373" dataCellStyle="Currency"/>
    <tableColumn id="1413" xr3:uid="{F0F594B7-7287-49ED-8AFF-4B534FE1E007}" name="27403" dataDxfId="2372" dataCellStyle="Currency"/>
    <tableColumn id="1414" xr3:uid="{2171F8CE-1B15-4956-8BFA-5793C217B063}" name="27405" dataDxfId="2371" dataCellStyle="Currency"/>
    <tableColumn id="1415" xr3:uid="{83087599-7560-4966-ABAF-71EB83F54894}" name="27406" dataDxfId="2370" dataCellStyle="Currency"/>
    <tableColumn id="1416" xr3:uid="{175C52E9-AEB0-4E6D-A645-D8A6E15D20D2}" name="27407" dataDxfId="2369" dataCellStyle="Currency"/>
    <tableColumn id="1417" xr3:uid="{9FD25B2C-A24C-4107-B136-AC65F05BBC81}" name="27408" dataDxfId="2368" dataCellStyle="Currency"/>
    <tableColumn id="1418" xr3:uid="{F0D76E68-2B3E-4DDF-A94F-B80B28C32D9F}" name="27409" dataDxfId="2367" dataCellStyle="Currency"/>
    <tableColumn id="1419" xr3:uid="{A0AC7B23-D086-48C6-A8B8-511C349523C3}" name="27410" dataDxfId="2366" dataCellStyle="Currency"/>
    <tableColumn id="1420" xr3:uid="{ACA5A49D-EEA1-4CA2-85D7-F23337CAAA0F}" name="27411" dataDxfId="2365" dataCellStyle="Currency"/>
    <tableColumn id="1421" xr3:uid="{20291114-E4C8-4DB0-BE3B-8788DF771C3D}" name="27412" dataDxfId="2364" dataCellStyle="Currency"/>
    <tableColumn id="1422" xr3:uid="{B63CCFC5-E982-4663-9845-21E7C4781849}" name="27455" dataDxfId="2363" dataCellStyle="Currency"/>
    <tableColumn id="1423" xr3:uid="{FA3A1CE8-F2E5-4BC8-9E3F-91C9112748D6}" name="27501" dataDxfId="2362" dataCellStyle="Currency"/>
    <tableColumn id="1424" xr3:uid="{BDDEC557-41B7-443E-9850-F387A84B3076}" name="27502" dataDxfId="2361" dataCellStyle="Currency"/>
    <tableColumn id="1425" xr3:uid="{F045D05D-2BB2-445D-85F2-CA18F6C8E7EF}" name="27503" dataDxfId="2360" dataCellStyle="Currency"/>
    <tableColumn id="1426" xr3:uid="{D04A5746-9CEE-470E-9989-2E4CE103764A}" name="27504" dataDxfId="2359" dataCellStyle="Currency"/>
    <tableColumn id="1427" xr3:uid="{DF65D1A8-FDE2-47B2-BEE9-501F805B26EB}" name="27505" dataDxfId="2358" dataCellStyle="Currency"/>
    <tableColumn id="1428" xr3:uid="{34C4A7B7-82B8-419C-85B2-E7512AF0F67D}" name="27506" dataDxfId="2357" dataCellStyle="Currency"/>
    <tableColumn id="1429" xr3:uid="{83BE3096-4918-40E8-900F-1BE94AA568EF}" name="27507" dataDxfId="2356" dataCellStyle="Currency"/>
    <tableColumn id="1430" xr3:uid="{3AB107FB-8B10-4056-9214-75FE77DB020B}" name="27508" dataDxfId="2355" dataCellStyle="Currency"/>
    <tableColumn id="1431" xr3:uid="{FB2038A3-A3B1-4909-9DD6-69F7EB3713C0}" name="27509" dataDxfId="2354" dataCellStyle="Currency"/>
    <tableColumn id="1432" xr3:uid="{76DB6825-7E2A-49A2-BEA3-EB9B1D6F013A}" name="27510" dataDxfId="2353" dataCellStyle="Currency"/>
    <tableColumn id="1433" xr3:uid="{765CA4F3-4A6B-40B4-941B-0D33BBE677AE}" name="27511" dataDxfId="2352" dataCellStyle="Currency"/>
    <tableColumn id="1434" xr3:uid="{7B369690-05BE-409B-BB27-9E24A1DEF61B}" name="27513" dataDxfId="2351" dataCellStyle="Currency"/>
    <tableColumn id="1435" xr3:uid="{FD7065F8-29DD-44C9-9006-5406BCD3053A}" name="27514" dataDxfId="2350" dataCellStyle="Currency"/>
    <tableColumn id="1436" xr3:uid="{CD8D67AD-7E86-447F-97F6-8ACBDF35C549}" name="27516" dataDxfId="2349" dataCellStyle="Currency"/>
    <tableColumn id="1437" xr3:uid="{6636FAFD-F9BD-43B5-A098-02AEDF5C4827}" name="27517" dataDxfId="2348" dataCellStyle="Currency"/>
    <tableColumn id="1438" xr3:uid="{2063AE53-C51E-4484-A8A6-15360A1B30FF}" name="27518" dataDxfId="2347" dataCellStyle="Currency"/>
    <tableColumn id="1439" xr3:uid="{AC3C1ABE-E53D-4453-8D61-73C2F079B2B4}" name="27519" dataDxfId="2346" dataCellStyle="Currency"/>
    <tableColumn id="1440" xr3:uid="{7C46F64A-64B5-4ABD-B583-223578BE7045}" name="27520" dataDxfId="2345" dataCellStyle="Currency"/>
    <tableColumn id="1441" xr3:uid="{806EB937-1F3A-40EC-BF0D-F9F309F88472}" name="27521" dataDxfId="2344" dataCellStyle="Currency"/>
    <tableColumn id="1442" xr3:uid="{5FBCD432-895C-4A4F-8702-1DE1D134FEE9}" name="27522" dataDxfId="2343" dataCellStyle="Currency"/>
    <tableColumn id="1443" xr3:uid="{E67C1483-9034-4913-ACF8-2939826F250D}" name="27523" dataDxfId="2342" dataCellStyle="Currency"/>
    <tableColumn id="1444" xr3:uid="{B1E3C440-F066-4894-83AF-95F3DEAD0ACD}" name="27524" dataDxfId="2341" dataCellStyle="Currency"/>
    <tableColumn id="1445" xr3:uid="{DCAF812A-4489-48B5-8AAE-023E2B2792B0}" name="27525" dataDxfId="2340" dataCellStyle="Currency"/>
    <tableColumn id="1446" xr3:uid="{07B1E892-7B1F-41BA-BEB7-08EA4CC16FA6}" name="27526" dataDxfId="2339" dataCellStyle="Currency"/>
    <tableColumn id="1447" xr3:uid="{0B187B94-3DCD-4565-9C6B-FEDBBCD87BE7}" name="27527" dataDxfId="2338" dataCellStyle="Currency"/>
    <tableColumn id="1448" xr3:uid="{D5D1E89C-5093-464B-8CFF-B60F8200091F}" name="27529" dataDxfId="2337" dataCellStyle="Currency"/>
    <tableColumn id="1449" xr3:uid="{3C7CD512-69FA-4FB2-A060-0A37B3CED4D8}" name="27530" dataDxfId="2336" dataCellStyle="Currency"/>
    <tableColumn id="1450" xr3:uid="{E7A51F74-E490-4199-A034-B1A631C7A146}" name="27531" dataDxfId="2335" dataCellStyle="Currency"/>
    <tableColumn id="1451" xr3:uid="{8478E284-6852-408C-B555-FF671AB9DD54}" name="27533" dataDxfId="2334" dataCellStyle="Currency"/>
    <tableColumn id="1452" xr3:uid="{381BD6AD-1953-4F87-AC41-C2DE2241195A}" name="27534" dataDxfId="2333" dataCellStyle="Currency"/>
    <tableColumn id="1453" xr3:uid="{874ED5FF-3E56-44FE-9FAF-0333475FD210}" name="27536" dataDxfId="2332" dataCellStyle="Currency"/>
    <tableColumn id="1454" xr3:uid="{AD899769-225F-49F3-ACE0-7D1937470167}" name="27537" dataDxfId="2331" dataCellStyle="Currency"/>
    <tableColumn id="1455" xr3:uid="{B1684359-9184-4659-B2EA-E578FF1B30C7}" name="27539" dataDxfId="2330" dataCellStyle="Currency"/>
    <tableColumn id="1456" xr3:uid="{847E012E-7101-407A-B354-4A6E6A34FE97}" name="27540" dataDxfId="2329" dataCellStyle="Currency"/>
    <tableColumn id="1457" xr3:uid="{A5EFA4F9-B719-4AA6-9E53-74A6E8FCB2D7}" name="27541" dataDxfId="2328" dataCellStyle="Currency"/>
    <tableColumn id="1458" xr3:uid="{F7EA4742-0465-4E63-B0D6-DC050BFA14C4}" name="27542" dataDxfId="2327" dataCellStyle="Currency"/>
    <tableColumn id="1459" xr3:uid="{3F09682D-E38F-4776-A116-93CAA9AC43D9}" name="27544" dataDxfId="2326" dataCellStyle="Currency"/>
    <tableColumn id="1460" xr3:uid="{563BC56F-C7EC-4407-B942-954B99FF9C79}" name="27545" dataDxfId="2325" dataCellStyle="Currency"/>
    <tableColumn id="1461" xr3:uid="{190AB392-A678-4706-B4F1-D40411334E8F}" name="27546" dataDxfId="2324" dataCellStyle="Currency"/>
    <tableColumn id="1462" xr3:uid="{44AC5421-02FC-47D6-BF1C-7F27B405ADF1}" name="27549" dataDxfId="2323" dataCellStyle="Currency"/>
    <tableColumn id="1463" xr3:uid="{951740F2-6098-4F9F-AD91-B93A7CAFE72E}" name="27551" dataDxfId="2322" dataCellStyle="Currency"/>
    <tableColumn id="1464" xr3:uid="{44AA4D86-2F67-4780-A86C-D0DB76D8617C}" name="27553" dataDxfId="2321" dataCellStyle="Currency"/>
    <tableColumn id="1465" xr3:uid="{2465ED5B-9F14-4C49-9C84-10E4C8CEE1C6}" name="27555" dataDxfId="2320" dataCellStyle="Currency"/>
    <tableColumn id="1466" xr3:uid="{0D666D98-FE1C-4900-86F1-09D75FCCCE63}" name="27556" dataDxfId="2319" dataCellStyle="Currency"/>
    <tableColumn id="1467" xr3:uid="{43B23805-62D6-4A5B-A685-9BD735B0583A}" name="27557" dataDxfId="2318" dataCellStyle="Currency"/>
    <tableColumn id="1468" xr3:uid="{B77EA8B0-2E78-42E0-BC5A-7EA1BA77F4A5}" name="27559" dataDxfId="2317" dataCellStyle="Currency"/>
    <tableColumn id="1469" xr3:uid="{1ED02773-496C-4E92-B1C6-2CBAC7F8377B}" name="27560" dataDxfId="2316" dataCellStyle="Currency"/>
    <tableColumn id="1470" xr3:uid="{43D72E8E-17DB-4CDE-B132-445286C971D5}" name="27562" dataDxfId="2315" dataCellStyle="Currency"/>
    <tableColumn id="1471" xr3:uid="{0594B7F0-4171-42CD-AC12-3DE5D4C14026}" name="27563" dataDxfId="2314" dataCellStyle="Currency"/>
    <tableColumn id="1472" xr3:uid="{A38AA8A7-6F6A-4610-9861-999944A58DFA}" name="27565" dataDxfId="2313" dataCellStyle="Currency"/>
    <tableColumn id="1473" xr3:uid="{51C3846C-915B-4EE2-B313-25754B3F4DD3}" name="27568" dataDxfId="2312" dataCellStyle="Currency"/>
    <tableColumn id="1474" xr3:uid="{A010C055-0C11-4C4B-AD70-B78A772EB77C}" name="27569" dataDxfId="2311" dataCellStyle="Currency"/>
    <tableColumn id="1475" xr3:uid="{4A52E853-F67F-49B5-A8F6-7473071BB535}" name="27570" dataDxfId="2310" dataCellStyle="Currency"/>
    <tableColumn id="1476" xr3:uid="{25B9B7C3-D82B-4CFB-AB9D-3076ECA81BD5}" name="27571" dataDxfId="2309" dataCellStyle="Currency"/>
    <tableColumn id="1477" xr3:uid="{5A398EDC-82B3-4A4C-A099-8B79C4215670}" name="27572" dataDxfId="2308" dataCellStyle="Currency"/>
    <tableColumn id="1478" xr3:uid="{1814F580-41C3-4EF1-9410-359FED159D0C}" name="27573" dataDxfId="2307" dataCellStyle="Currency"/>
    <tableColumn id="1479" xr3:uid="{E8C7C702-FDAE-4AE7-B274-3BD4617C2F59}" name="27574" dataDxfId="2306" dataCellStyle="Currency"/>
    <tableColumn id="1480" xr3:uid="{65DF2192-1C68-4ED3-B995-EC54B2080A06}" name="27576" dataDxfId="2305" dataCellStyle="Currency"/>
    <tableColumn id="1481" xr3:uid="{E0A1BA36-9923-4DD6-A7DE-7C995A68A595}" name="27577" dataDxfId="2304" dataCellStyle="Currency"/>
    <tableColumn id="1482" xr3:uid="{9B8443C8-9047-48B4-83A8-AD1974E3CA6C}" name="27581" dataDxfId="2303" dataCellStyle="Currency"/>
    <tableColumn id="1483" xr3:uid="{A6DF37E8-16DF-4B63-B522-35DD12CDE610}" name="27582" dataDxfId="2302" dataCellStyle="Currency"/>
    <tableColumn id="1484" xr3:uid="{39F873F3-78AE-4CF5-8C05-90DFCA59E366}" name="27583" dataDxfId="2301" dataCellStyle="Currency"/>
    <tableColumn id="1485" xr3:uid="{B2B79E40-0FE5-4598-97D2-8684D00D28CF}" name="27584" dataDxfId="2300" dataCellStyle="Currency"/>
    <tableColumn id="1486" xr3:uid="{5BCB11F2-B0A5-40EC-A02B-7E0B03EB87E2}" name="27587" dataDxfId="2299" dataCellStyle="Currency"/>
    <tableColumn id="1487" xr3:uid="{A9622849-7FFF-4D9A-90E1-7975414A9515}" name="27589" dataDxfId="2298" dataCellStyle="Currency"/>
    <tableColumn id="1488" xr3:uid="{B8DF56DB-272C-464A-AAA2-304A8707A3AB}" name="27591" dataDxfId="2297" dataCellStyle="Currency"/>
    <tableColumn id="1489" xr3:uid="{60508A14-C7B0-46FE-B6E5-22E363FF952B}" name="27592" dataDxfId="2296" dataCellStyle="Currency"/>
    <tableColumn id="1490" xr3:uid="{63C1E490-1384-4F18-A15D-84602DCEEA7C}" name="27593" dataDxfId="2295" dataCellStyle="Currency"/>
    <tableColumn id="1491" xr3:uid="{522759C6-AE7B-4875-9891-EF852C7A219C}" name="27594" dataDxfId="2294" dataCellStyle="Currency"/>
    <tableColumn id="1492" xr3:uid="{3696F5C0-CEB8-4102-8E38-674B99EC7DDE}" name="27596" dataDxfId="2293" dataCellStyle="Currency"/>
    <tableColumn id="1493" xr3:uid="{1FB4651D-C532-49A7-995C-E4F8EAB4CAB1}" name="27597" dataDxfId="2292" dataCellStyle="Currency"/>
    <tableColumn id="1494" xr3:uid="{63FE46E7-65B2-4682-8679-85F78BF5EE02}" name="27599" dataDxfId="2291" dataCellStyle="Currency"/>
    <tableColumn id="1495" xr3:uid="{D8899504-8C04-44C0-A2FB-3A1F6824B0E8}" name="27601" dataDxfId="2290" dataCellStyle="Currency"/>
    <tableColumn id="1496" xr3:uid="{54EA632E-DD3C-41E8-927C-8DCA2144E6C9}" name="27603" dataDxfId="2289" dataCellStyle="Currency"/>
    <tableColumn id="1497" xr3:uid="{33F1C372-E130-41C8-8A30-DCC85461D5B5}" name="27604" dataDxfId="2288" dataCellStyle="Currency"/>
    <tableColumn id="1498" xr3:uid="{0DA3DE5F-1363-4855-B978-933405B718D8}" name="27605" dataDxfId="2287" dataCellStyle="Currency"/>
    <tableColumn id="1499" xr3:uid="{3F2B0699-75A7-4EE2-BC35-676F4B82474A}" name="27606" dataDxfId="2286" dataCellStyle="Currency"/>
    <tableColumn id="1500" xr3:uid="{AD48FBAF-D0C4-404E-801C-FC633B7E2874}" name="27607" dataDxfId="2285" dataCellStyle="Currency"/>
    <tableColumn id="1501" xr3:uid="{C6235036-0835-49C9-AFEF-7A03255C3A77}" name="27608" dataDxfId="2284" dataCellStyle="Currency"/>
    <tableColumn id="1502" xr3:uid="{2ABD9660-BBCB-4E07-A2AC-B8AE769370C8}" name="27609" dataDxfId="2283" dataCellStyle="Currency"/>
    <tableColumn id="1503" xr3:uid="{EB798392-8786-4EAA-A4DD-FF4A934513F3}" name="27610" dataDxfId="2282" dataCellStyle="Currency"/>
    <tableColumn id="1504" xr3:uid="{25407B87-F206-4718-B7F3-90DF1F96D7F8}" name="27612" dataDxfId="2281" dataCellStyle="Currency"/>
    <tableColumn id="1505" xr3:uid="{CFAE1DDA-B2F5-44B8-8B60-C7ED6B5290EB}" name="27613" dataDxfId="2280" dataCellStyle="Currency"/>
    <tableColumn id="1506" xr3:uid="{417DF250-AD37-4210-90CA-F3FF809BDB37}" name="27614" dataDxfId="2279" dataCellStyle="Currency"/>
    <tableColumn id="1507" xr3:uid="{C7A51180-2151-4721-8188-23713D1C5F26}" name="27615" dataDxfId="2278" dataCellStyle="Currency"/>
    <tableColumn id="1508" xr3:uid="{26E0DD3A-1FF5-4216-9D07-4DC1BCAC9BED}" name="27616" dataDxfId="2277" dataCellStyle="Currency"/>
    <tableColumn id="1509" xr3:uid="{63BBDDD6-2504-4A17-9A1A-6921FC6A321A}" name="27617" dataDxfId="2276" dataCellStyle="Currency"/>
    <tableColumn id="1510" xr3:uid="{553CC91C-41F7-44A6-A2EB-C3C0450F70B7}" name="27695" dataDxfId="2275" dataCellStyle="Currency"/>
    <tableColumn id="1511" xr3:uid="{38CFAC3A-038F-4078-9C34-894DFD876987}" name="27697" dataDxfId="2274" dataCellStyle="Currency"/>
    <tableColumn id="1512" xr3:uid="{AF4E15B9-DF72-40BE-BCCD-4243DE0E6963}" name="27701" dataDxfId="2273" dataCellStyle="Currency"/>
    <tableColumn id="1513" xr3:uid="{7894642A-0B7F-4F98-B7FC-2CE96CC5F9FC}" name="27703" dataDxfId="2272" dataCellStyle="Currency"/>
    <tableColumn id="1514" xr3:uid="{892FAD38-855A-4833-BBD2-B8211FA937A9}" name="27704" dataDxfId="2271" dataCellStyle="Currency"/>
    <tableColumn id="1515" xr3:uid="{CE06F216-8390-4F36-B888-8075316FA9CD}" name="27705" dataDxfId="2270" dataCellStyle="Currency"/>
    <tableColumn id="1516" xr3:uid="{2257EA47-84FE-4126-81D6-BCDD30C1AB91}" name="27707" dataDxfId="2269" dataCellStyle="Currency"/>
    <tableColumn id="1517" xr3:uid="{35823EDE-C8EB-4F0B-B949-8633798ED03F}" name="27708" dataDxfId="2268" dataCellStyle="Currency"/>
    <tableColumn id="1518" xr3:uid="{688A22BC-B0D2-44F2-BB78-868CF6EB83DC}" name="27709" dataDxfId="2267" dataCellStyle="Currency"/>
    <tableColumn id="1519" xr3:uid="{AFA23DD2-8C6F-49CF-9659-2CF2F0026D1D}" name="27712" dataDxfId="2266" dataCellStyle="Currency"/>
    <tableColumn id="1520" xr3:uid="{9921BAC6-09E0-43F9-8647-DB6C33E0524D}" name="27713" dataDxfId="2265" dataCellStyle="Currency"/>
    <tableColumn id="1521" xr3:uid="{FDCADE60-3090-4C6F-BC8A-7C72CBEE8951}" name="27801" dataDxfId="2264" dataCellStyle="Currency"/>
    <tableColumn id="1522" xr3:uid="{1E72C29D-D12D-4D7C-8B35-5F893BE975F7}" name="27803" dataDxfId="2263" dataCellStyle="Currency"/>
    <tableColumn id="1523" xr3:uid="{74284F55-65E2-4694-A240-6C600511C6B9}" name="27804" dataDxfId="2262" dataCellStyle="Currency"/>
    <tableColumn id="1524" xr3:uid="{877D7D7C-6495-4BD2-A0AE-80743CB659C1}" name="27805" dataDxfId="2261" dataCellStyle="Currency"/>
    <tableColumn id="1525" xr3:uid="{2CC95FD1-CF2F-40E3-8CAA-2D2CE01E32CA}" name="27806" dataDxfId="2260" dataCellStyle="Currency"/>
    <tableColumn id="1526" xr3:uid="{44F76E19-0B58-4340-A640-0680B49B20F2}" name="27807" dataDxfId="2259" dataCellStyle="Currency"/>
    <tableColumn id="1527" xr3:uid="{764DF1A1-87DB-40A9-951B-35CECB474379}" name="27808" dataDxfId="2258" dataCellStyle="Currency"/>
    <tableColumn id="1528" xr3:uid="{B8E4731D-C5CF-4492-ADD6-99A6C609E22A}" name="27809" dataDxfId="2257" dataCellStyle="Currency"/>
    <tableColumn id="1529" xr3:uid="{AAA3E703-DF93-4181-80A1-F7AEBABCD130}" name="27810" dataDxfId="2256" dataCellStyle="Currency"/>
    <tableColumn id="1530" xr3:uid="{C320B29A-3891-413D-B094-17B5D75214FF}" name="27812" dataDxfId="2255" dataCellStyle="Currency"/>
    <tableColumn id="1531" xr3:uid="{64F1A5D8-41E7-4BAE-BCDE-A37C5E122C54}" name="27813" dataDxfId="2254" dataCellStyle="Currency"/>
    <tableColumn id="1532" xr3:uid="{60615597-3D77-4B6B-AFDD-84C24D2907DB}" name="27814" dataDxfId="2253" dataCellStyle="Currency"/>
    <tableColumn id="1533" xr3:uid="{6A75661D-631C-4319-BB53-773C24A9C008}" name="27815" dataDxfId="2252" dataCellStyle="Currency"/>
    <tableColumn id="1534" xr3:uid="{1C34F665-A14A-4F09-9BCC-56A2EE1B5635}" name="27816" dataDxfId="2251" dataCellStyle="Currency"/>
    <tableColumn id="1535" xr3:uid="{A120F99D-CD6C-4D22-BFE7-AC06F81008FB}" name="27817" dataDxfId="2250" dataCellStyle="Currency"/>
    <tableColumn id="1536" xr3:uid="{92511703-594F-40CA-80CA-C0E8989E1926}" name="27818" dataDxfId="2249" dataCellStyle="Currency"/>
    <tableColumn id="1537" xr3:uid="{43D55A41-287A-4D44-96D6-449A90B85835}" name="27819" dataDxfId="2248" dataCellStyle="Currency"/>
    <tableColumn id="1538" xr3:uid="{BAF9B1BE-1979-472D-91FA-75A4524506A7}" name="27820" dataDxfId="2247" dataCellStyle="Currency"/>
    <tableColumn id="1539" xr3:uid="{669D79BA-C39A-4356-ABED-6C43FA61F283}" name="27821" dataDxfId="2246" dataCellStyle="Currency"/>
    <tableColumn id="1540" xr3:uid="{648E3A5F-46E5-4C87-92C7-17C87239A968}" name="27822" dataDxfId="2245" dataCellStyle="Currency"/>
    <tableColumn id="1541" xr3:uid="{B6346904-55D8-4E8B-9F11-AEBE1FB36CA5}" name="27823" dataDxfId="2244" dataCellStyle="Currency"/>
    <tableColumn id="1542" xr3:uid="{E7422E31-1B62-427E-BE94-2C1D00E4E00B}" name="27824" dataDxfId="2243" dataCellStyle="Currency"/>
    <tableColumn id="1543" xr3:uid="{87D5CE88-AF04-4AC8-A853-130F1325B30E}" name="27825" dataDxfId="2242" dataCellStyle="Currency"/>
    <tableColumn id="1544" xr3:uid="{33A6E437-4B01-4269-ADC1-A3A08C397B38}" name="27826" dataDxfId="2241" dataCellStyle="Currency"/>
    <tableColumn id="1545" xr3:uid="{7AB0966F-14D3-4BF1-8970-DC50784F205E}" name="27827" dataDxfId="2240" dataCellStyle="Currency"/>
    <tableColumn id="1546" xr3:uid="{67DAFD95-8CD2-4B7A-87FE-B9477AEFE6DA}" name="27828" dataDxfId="2239" dataCellStyle="Currency"/>
    <tableColumn id="1547" xr3:uid="{202EC5F5-5782-4CF1-B548-4D2DCA2FDA14}" name="27829" dataDxfId="2238" dataCellStyle="Currency"/>
    <tableColumn id="1548" xr3:uid="{EA8B62C7-E2A2-4D06-81CB-4E5454D0EB5D}" name="27830" dataDxfId="2237" dataCellStyle="Currency"/>
    <tableColumn id="1549" xr3:uid="{35D911CD-B859-4686-88C9-755A1BD3A259}" name="27831" dataDxfId="2236" dataCellStyle="Currency"/>
    <tableColumn id="1550" xr3:uid="{3E43CC0D-8EDC-40EC-B3E9-9A031888DCE1}" name="27832" dataDxfId="2235" dataCellStyle="Currency"/>
    <tableColumn id="1551" xr3:uid="{7F516F7A-5C5D-4D46-A4CD-19B3E5FD6F6C}" name="27834" dataDxfId="2234" dataCellStyle="Currency"/>
    <tableColumn id="1552" xr3:uid="{5CF2481D-C276-4784-AD47-6D8CC37218AE}" name="27837" dataDxfId="2233" dataCellStyle="Currency"/>
    <tableColumn id="1553" xr3:uid="{C45D9EB4-FEB7-4D46-BF41-4D6BF0536AB9}" name="27839" dataDxfId="2232" dataCellStyle="Currency"/>
    <tableColumn id="1554" xr3:uid="{7DBF8D1E-CB98-4B54-8D23-C5F45A101616}" name="27840" dataDxfId="2231" dataCellStyle="Currency"/>
    <tableColumn id="1555" xr3:uid="{530FF189-1E0A-4A80-AF93-CC872912D748}" name="27841" dataDxfId="2230" dataCellStyle="Currency"/>
    <tableColumn id="1556" xr3:uid="{ED4672A9-7E67-4C66-A66E-DBD1A38452F4}" name="27842" dataDxfId="2229" dataCellStyle="Currency"/>
    <tableColumn id="1557" xr3:uid="{E16A47A4-A519-4D0B-A0FE-AA36E78CEF43}" name="27843" dataDxfId="2228" dataCellStyle="Currency"/>
    <tableColumn id="1558" xr3:uid="{7088E50E-83A6-4DAB-8C91-33B20C96C460}" name="27844" dataDxfId="2227" dataCellStyle="Currency"/>
    <tableColumn id="1559" xr3:uid="{512DD948-9A86-41AC-8B62-A9D23630D8AA}" name="27845" dataDxfId="2226" dataCellStyle="Currency"/>
    <tableColumn id="1560" xr3:uid="{9D9301F8-44B9-4083-AC68-2DE9EA783866}" name="27846" dataDxfId="2225" dataCellStyle="Currency"/>
    <tableColumn id="1561" xr3:uid="{ABA1B9F3-76A1-46C1-857A-DF2316FFD346}" name="27847" dataDxfId="2224" dataCellStyle="Currency"/>
    <tableColumn id="1562" xr3:uid="{7CB98A73-1F6A-4A1C-BCF5-9B3FB73BE91D}" name="27849" dataDxfId="2223" dataCellStyle="Currency"/>
    <tableColumn id="1563" xr3:uid="{D269D697-A970-4B76-9EEE-C4FF9AA13A84}" name="27850" dataDxfId="2222" dataCellStyle="Currency"/>
    <tableColumn id="1564" xr3:uid="{1BC6A9AB-6E48-449C-8456-4BB4C612435C}" name="27851" dataDxfId="2221" dataCellStyle="Currency"/>
    <tableColumn id="1565" xr3:uid="{DBBFB7F2-394E-4E5A-BEBC-025AF8D482B3}" name="27852" dataDxfId="2220" dataCellStyle="Currency"/>
    <tableColumn id="1566" xr3:uid="{9B824CAB-6F4F-4E0B-86E2-806DA0068E59}" name="27853" dataDxfId="2219" dataCellStyle="Currency"/>
    <tableColumn id="1567" xr3:uid="{F59B2F1A-2394-4656-B614-11C72188BD2D}" name="27855" dataDxfId="2218" dataCellStyle="Currency"/>
    <tableColumn id="1568" xr3:uid="{CFE14B61-2272-452C-A75B-49F0C280C1C6}" name="27856" dataDxfId="2217" dataCellStyle="Currency"/>
    <tableColumn id="1569" xr3:uid="{65EAC12E-A571-4EEA-B6CD-E8C366B56CED}" name="27857" dataDxfId="2216" dataCellStyle="Currency"/>
    <tableColumn id="1570" xr3:uid="{9AF5B516-79C9-45BE-BCFD-E3BE15E9CEC3}" name="27858" dataDxfId="2215" dataCellStyle="Currency"/>
    <tableColumn id="1571" xr3:uid="{A2D8935F-DBD1-4835-AB86-77152E17AECA}" name="27860" dataDxfId="2214" dataCellStyle="Currency"/>
    <tableColumn id="1572" xr3:uid="{85ED9238-0C4F-4D44-9BD9-629804051CF6}" name="27861" dataDxfId="2213" dataCellStyle="Currency"/>
    <tableColumn id="1573" xr3:uid="{8EFCBFAA-5812-4CBB-A9B6-D1405CE25BAE}" name="27862" dataDxfId="2212" dataCellStyle="Currency"/>
    <tableColumn id="1574" xr3:uid="{38B62676-3448-4B5D-94F2-5E17D7C2AAF8}" name="27863" dataDxfId="2211" dataCellStyle="Currency"/>
    <tableColumn id="1575" xr3:uid="{E48C2E88-5620-413C-AE82-503431AA1BD7}" name="27864" dataDxfId="2210" dataCellStyle="Currency"/>
    <tableColumn id="1576" xr3:uid="{54CD0F54-2A64-42F7-B475-38C41295596B}" name="27865" dataDxfId="2209" dataCellStyle="Currency"/>
    <tableColumn id="1577" xr3:uid="{3FD5775A-911B-41FC-8AF4-1A6EE1A07CA9}" name="27866" dataDxfId="2208" dataCellStyle="Currency"/>
    <tableColumn id="1578" xr3:uid="{2B6CAF33-B6BB-4FA3-97F8-A4F8684DA6C1}" name="27869" dataDxfId="2207" dataCellStyle="Currency"/>
    <tableColumn id="1579" xr3:uid="{E7B36A27-7641-4FDD-9B5D-0C651009897F}" name="27870" dataDxfId="2206" dataCellStyle="Currency"/>
    <tableColumn id="1580" xr3:uid="{526E4519-A35A-40C5-B9B3-8617F58385D1}" name="27871" dataDxfId="2205" dataCellStyle="Currency"/>
    <tableColumn id="1581" xr3:uid="{E4F6D9A7-86BE-4A29-9CB4-73D52B7721C2}" name="27872" dataDxfId="2204" dataCellStyle="Currency"/>
    <tableColumn id="1582" xr3:uid="{F008DBFB-75CE-4355-ABF0-EDD5E1433E02}" name="27873" dataDxfId="2203" dataCellStyle="Currency"/>
    <tableColumn id="1583" xr3:uid="{D318F45D-71AF-4411-94F7-8B7A4F19272B}" name="27874" dataDxfId="2202" dataCellStyle="Currency"/>
    <tableColumn id="1584" xr3:uid="{23EB90BF-914A-4F1B-9C53-C1C73D0CA7A8}" name="27875" dataDxfId="2201" dataCellStyle="Currency"/>
    <tableColumn id="1585" xr3:uid="{7F823E54-F663-41D2-B385-E90A9CEA540B}" name="27876" dataDxfId="2200" dataCellStyle="Currency"/>
    <tableColumn id="1586" xr3:uid="{30E138FC-1C4B-492A-8ECD-A1CB81100696}" name="27877" dataDxfId="2199" dataCellStyle="Currency"/>
    <tableColumn id="1587" xr3:uid="{A504B90C-A931-47A7-902D-EDDD6F49142B}" name="27878" dataDxfId="2198" dataCellStyle="Currency"/>
    <tableColumn id="1588" xr3:uid="{F9CBC32B-8766-47F7-BFD3-8451B76D5C63}" name="27879" dataDxfId="2197" dataCellStyle="Currency"/>
    <tableColumn id="1589" xr3:uid="{A0250CA6-5D86-47F0-9228-7A51E3BC41F3}" name="27880" dataDxfId="2196" dataCellStyle="Currency"/>
    <tableColumn id="1590" xr3:uid="{3CB51D68-6370-4CF6-A6B0-1B0E6D81AF0E}" name="27881" dataDxfId="2195" dataCellStyle="Currency"/>
    <tableColumn id="1591" xr3:uid="{749A5694-5A58-4448-8C37-260F0C1BF4F2}" name="27882" dataDxfId="2194" dataCellStyle="Currency"/>
    <tableColumn id="1592" xr3:uid="{AB5795B8-9A57-4D29-95A4-DC95D2FC319B}" name="27883" dataDxfId="2193" dataCellStyle="Currency"/>
    <tableColumn id="1593" xr3:uid="{00B52BFE-3B5B-432B-9A41-3986A8EE0A7D}" name="27884" dataDxfId="2192" dataCellStyle="Currency"/>
    <tableColumn id="1594" xr3:uid="{BE8FE07E-FA04-4279-B0D0-066D21CD5EEB}" name="27885" dataDxfId="2191" dataCellStyle="Currency"/>
    <tableColumn id="1595" xr3:uid="{DFC84625-80AC-46E6-898D-4DDF274A8DB2}" name="27886" dataDxfId="2190" dataCellStyle="Currency"/>
    <tableColumn id="1596" xr3:uid="{F075D671-5621-4644-ABB1-A1B2B2A4B631}" name="27888" dataDxfId="2189" dataCellStyle="Currency"/>
    <tableColumn id="1597" xr3:uid="{4FF92B8E-0E1C-40A5-83A1-0819619E12FA}" name="27889" dataDxfId="2188" dataCellStyle="Currency"/>
    <tableColumn id="1598" xr3:uid="{6895D93A-F1AA-4B11-A1E2-8D483F38A126}" name="27890" dataDxfId="2187" dataCellStyle="Currency"/>
    <tableColumn id="1599" xr3:uid="{A86A1F2C-A730-4B34-BF46-2C0A76F40122}" name="27891" dataDxfId="2186" dataCellStyle="Currency"/>
    <tableColumn id="1600" xr3:uid="{B210F846-8AF2-4D31-AA32-775133DF11D1}" name="27892" dataDxfId="2185" dataCellStyle="Currency"/>
    <tableColumn id="1601" xr3:uid="{539A1EFF-8D42-41E7-9305-65FCAAC59C4F}" name="27893" dataDxfId="2184" dataCellStyle="Currency"/>
    <tableColumn id="1602" xr3:uid="{A1C52A8E-3367-4574-AFC8-ECE03EB6AAB3}" name="27896" dataDxfId="2183" dataCellStyle="Currency"/>
    <tableColumn id="1603" xr3:uid="{899C9583-E061-43FD-8785-01EA9F9A50CD}" name="27897" dataDxfId="2182" dataCellStyle="Currency"/>
    <tableColumn id="1604" xr3:uid="{480DCEB7-93B6-4281-9596-7783274B1952}" name="27909" dataDxfId="2181" dataCellStyle="Currency"/>
    <tableColumn id="1605" xr3:uid="{5CE0F53F-3F0C-4B5B-B235-AAA32A219EC0}" name="27910" dataDxfId="2180" dataCellStyle="Currency"/>
    <tableColumn id="1606" xr3:uid="{AC510F02-521F-4C67-A489-37FAE952DDFD}" name="27915" dataDxfId="2179" dataCellStyle="Currency"/>
    <tableColumn id="1607" xr3:uid="{77CED3C8-B95C-44CB-AD45-E50E62B563AB}" name="27916" dataDxfId="2178" dataCellStyle="Currency"/>
    <tableColumn id="1608" xr3:uid="{F16078B1-514E-4AF5-B301-BB0698C64315}" name="27917" dataDxfId="2177" dataCellStyle="Currency"/>
    <tableColumn id="1609" xr3:uid="{A0524CD7-3358-47B2-AE8B-6B4BA59E4FD6}" name="27919" dataDxfId="2176" dataCellStyle="Currency"/>
    <tableColumn id="1610" xr3:uid="{910BF97F-45FF-4EF2-BE26-B1F0978E21FD}" name="27920" dataDxfId="2175" dataCellStyle="Currency"/>
    <tableColumn id="1611" xr3:uid="{11BD4A57-FC55-4810-BF71-F9A2F6AE140D}" name="27921" dataDxfId="2174" dataCellStyle="Currency"/>
    <tableColumn id="1612" xr3:uid="{9B43D915-E982-44A9-9F99-2AD5C4BE4956}" name="27922" dataDxfId="2173" dataCellStyle="Currency"/>
    <tableColumn id="1613" xr3:uid="{5A3ECB31-AEF1-43C1-BEF6-71F1F1A08818}" name="27923" dataDxfId="2172" dataCellStyle="Currency"/>
    <tableColumn id="1614" xr3:uid="{4335CAF8-F439-44D4-8FA9-D65C55541C6D}" name="27924" dataDxfId="2171" dataCellStyle="Currency"/>
    <tableColumn id="1615" xr3:uid="{0119AF41-0C18-4A40-9E33-B6BED6D23EB1}" name="27925" dataDxfId="2170" dataCellStyle="Currency"/>
    <tableColumn id="1616" xr3:uid="{55818E51-F0FA-4555-97A4-7D7DAE186782}" name="27926" dataDxfId="2169" dataCellStyle="Currency"/>
    <tableColumn id="1617" xr3:uid="{A96BBB18-3961-4D5C-92A9-EF6628384D0C}" name="27927" dataDxfId="2168" dataCellStyle="Currency"/>
    <tableColumn id="1618" xr3:uid="{F8F8DB18-CCD9-40E8-A231-335C316C7A55}" name="27928" dataDxfId="2167" dataCellStyle="Currency"/>
    <tableColumn id="1619" xr3:uid="{29F976E3-8296-43C8-AF83-41C444210542}" name="27929" dataDxfId="2166" dataCellStyle="Currency"/>
    <tableColumn id="1620" xr3:uid="{73F965AB-1930-4A96-AD36-77D851367EFD}" name="27932" dataDxfId="2165" dataCellStyle="Currency"/>
    <tableColumn id="1621" xr3:uid="{6500EE0E-B560-4D93-A2D3-4B455B8FF5C8}" name="27935" dataDxfId="2164" dataCellStyle="Currency"/>
    <tableColumn id="1622" xr3:uid="{355DBECB-37C3-4191-B1C6-01B958578730}" name="27936" dataDxfId="2163" dataCellStyle="Currency"/>
    <tableColumn id="1623" xr3:uid="{97B43B60-CB0C-451F-8B47-5DD0EA6C1AED}" name="27937" dataDxfId="2162" dataCellStyle="Currency"/>
    <tableColumn id="1624" xr3:uid="{51679D0B-6B6A-4704-8835-0CA828D7233E}" name="27938" dataDxfId="2161" dataCellStyle="Currency"/>
    <tableColumn id="1625" xr3:uid="{21B822A8-38AC-44AD-9ED1-4E455ED06781}" name="27939" dataDxfId="2160" dataCellStyle="Currency"/>
    <tableColumn id="1626" xr3:uid="{B512AD0F-135A-451A-80CD-01083C414A6E}" name="27941" dataDxfId="2159" dataCellStyle="Currency"/>
    <tableColumn id="1627" xr3:uid="{CFC2640C-F90E-4215-8ED3-5AAC5A82A03C}" name="27942" dataDxfId="2158" dataCellStyle="Currency"/>
    <tableColumn id="1628" xr3:uid="{FB78C8E6-6BE1-40EC-8EA1-769D4EAD97F8}" name="27943" dataDxfId="2157" dataCellStyle="Currency"/>
    <tableColumn id="1629" xr3:uid="{4F5507F3-AEF3-47CE-98A8-BE611CD27954}" name="27944" dataDxfId="2156" dataCellStyle="Currency"/>
    <tableColumn id="1630" xr3:uid="{17969ABF-F4A1-4AD6-AFD3-B72BF8914D8A}" name="27946" dataDxfId="2155" dataCellStyle="Currency"/>
    <tableColumn id="1631" xr3:uid="{86B83B80-C1DF-41C3-B00D-589054B4D834}" name="27947" dataDxfId="2154" dataCellStyle="Currency"/>
    <tableColumn id="1632" xr3:uid="{0A5B2BDB-1AC7-4852-9545-A5695ED8940F}" name="27948" dataDxfId="2153" dataCellStyle="Currency"/>
    <tableColumn id="1633" xr3:uid="{B3DC309C-AF21-43B1-814A-72133CCB9644}" name="27949" dataDxfId="2152" dataCellStyle="Currency"/>
    <tableColumn id="1634" xr3:uid="{51592524-6B49-4A5D-8B12-B51BF394060A}" name="27950" dataDxfId="2151" dataCellStyle="Currency"/>
    <tableColumn id="1635" xr3:uid="{31AA0380-9EA6-45DB-856C-E6277DC0AE13}" name="27953" dataDxfId="2150" dataCellStyle="Currency"/>
    <tableColumn id="1636" xr3:uid="{0E79EAAB-B60B-47C4-9362-03F4242AB610}" name="27954" dataDxfId="2149" dataCellStyle="Currency"/>
    <tableColumn id="1637" xr3:uid="{493A4AAB-5AF8-48ED-A327-00EEB5F19776}" name="27956" dataDxfId="2148" dataCellStyle="Currency"/>
    <tableColumn id="1638" xr3:uid="{6332EE72-9A33-419C-AAF7-674912ED9DD3}" name="27957" dataDxfId="2147" dataCellStyle="Currency"/>
    <tableColumn id="1639" xr3:uid="{859A0D00-E469-4305-B03C-D41553638BC6}" name="27958" dataDxfId="2146" dataCellStyle="Currency"/>
    <tableColumn id="1640" xr3:uid="{A96590A8-5371-4B1B-83B9-88810578D590}" name="27959" dataDxfId="2145" dataCellStyle="Currency"/>
    <tableColumn id="1641" xr3:uid="{24420550-01FE-4BCF-812F-0762A5EDD9FF}" name="27960" dataDxfId="2144" dataCellStyle="Currency"/>
    <tableColumn id="1642" xr3:uid="{90680ED5-92CA-4990-A22D-724B21F5EC36}" name="27962" dataDxfId="2143" dataCellStyle="Currency"/>
    <tableColumn id="1643" xr3:uid="{F05AEF3B-76AE-47D5-9EFB-05D01D423DA1}" name="27964" dataDxfId="2142" dataCellStyle="Currency"/>
    <tableColumn id="1644" xr3:uid="{D97EBADE-20AE-4483-B077-00134679E152}" name="27965" dataDxfId="2141" dataCellStyle="Currency"/>
    <tableColumn id="1645" xr3:uid="{5C51E10B-8C76-4B03-95F9-87CF98434348}" name="27966" dataDxfId="2140" dataCellStyle="Currency"/>
    <tableColumn id="1646" xr3:uid="{0EEB1F0A-A58F-4CCB-BF8C-38311FBC6278}" name="27967" dataDxfId="2139" dataCellStyle="Currency"/>
    <tableColumn id="1647" xr3:uid="{0E6A033E-A0A8-4091-9414-6384C9AEAFF7}" name="27968" dataDxfId="2138" dataCellStyle="Currency"/>
    <tableColumn id="1648" xr3:uid="{F8DDD70F-7A37-4B18-930A-A964E2B70A40}" name="27969" dataDxfId="2137" dataCellStyle="Currency"/>
    <tableColumn id="1649" xr3:uid="{DE876159-0A90-4EE2-ABE8-382BA16900B3}" name="27970" dataDxfId="2136" dataCellStyle="Currency"/>
    <tableColumn id="1650" xr3:uid="{38414B34-5C64-4D66-939D-110BB8DE8EBD}" name="27972" dataDxfId="2135" dataCellStyle="Currency"/>
    <tableColumn id="1651" xr3:uid="{9E9C00CF-01FC-46BC-86F0-B4CFC8CFA9B6}" name="27973" dataDxfId="2134" dataCellStyle="Currency"/>
    <tableColumn id="1652" xr3:uid="{2C190EFD-27A1-48C1-84CC-7D988559F5E9}" name="27974" dataDxfId="2133" dataCellStyle="Currency"/>
    <tableColumn id="1653" xr3:uid="{9F9B9955-E930-4CBA-BA5F-4CAD5A47E88D}" name="27976" dataDxfId="2132" dataCellStyle="Currency"/>
    <tableColumn id="1654" xr3:uid="{17EE1D0F-57BB-4439-9345-6260F2C95B3D}" name="27978" dataDxfId="2131" dataCellStyle="Currency"/>
    <tableColumn id="1655" xr3:uid="{399780FE-5864-4032-9233-ED8AE46FE71E}" name="27979" dataDxfId="2130" dataCellStyle="Currency"/>
    <tableColumn id="1656" xr3:uid="{4C094E8A-A250-492B-98AE-51C9E2DF06A8}" name="27980" dataDxfId="2129" dataCellStyle="Currency"/>
    <tableColumn id="1657" xr3:uid="{085BF3C9-0F71-4D11-8FCF-625F08B8D168}" name="27981" dataDxfId="2128" dataCellStyle="Currency"/>
    <tableColumn id="1658" xr3:uid="{8618CC24-674F-4EDA-98D5-1B3D1B33052C}" name="27982" dataDxfId="2127" dataCellStyle="Currency"/>
    <tableColumn id="1659" xr3:uid="{10C83CA5-95D6-46B6-9535-5775C8EB0497}" name="27983" dataDxfId="2126" dataCellStyle="Currency"/>
    <tableColumn id="1660" xr3:uid="{F794ADAE-3494-4740-9702-8DD270A62516}" name="27985" dataDxfId="2125" dataCellStyle="Currency"/>
    <tableColumn id="1661" xr3:uid="{5A1B4085-872A-4F20-8FA7-620B4AF2368F}" name="27986" dataDxfId="2124" dataCellStyle="Currency"/>
    <tableColumn id="1662" xr3:uid="{555787E4-10CD-4FB6-9526-6290481451F5}" name="28001" dataDxfId="2123" dataCellStyle="Currency"/>
    <tableColumn id="1663" xr3:uid="{078B2DA5-E22A-4C7C-98AF-771A5E2442B7}" name="28006" dataDxfId="2122" dataCellStyle="Currency"/>
    <tableColumn id="1664" xr3:uid="{BF6EE74D-3E08-4DF7-A678-223717B087C7}" name="28007" dataDxfId="2121" dataCellStyle="Currency"/>
    <tableColumn id="1665" xr3:uid="{FA8FE827-F674-4177-9377-7C2F3C79E148}" name="28009" dataDxfId="2120" dataCellStyle="Currency"/>
    <tableColumn id="1666" xr3:uid="{FC5DE4B1-AACA-48F6-A754-86737893A065}" name="28012" dataDxfId="2119" dataCellStyle="Currency"/>
    <tableColumn id="1667" xr3:uid="{99BE4146-4C5B-48B1-B209-4C7295C7FFA5}" name="28016" dataDxfId="2118" dataCellStyle="Currency"/>
    <tableColumn id="1668" xr3:uid="{F4422A68-1B9B-480A-9EB2-C137757458C9}" name="28017" dataDxfId="2117" dataCellStyle="Currency"/>
    <tableColumn id="1669" xr3:uid="{AE6BB9EA-0AAE-4800-88FB-825330049B0F}" name="28018" dataDxfId="2116" dataCellStyle="Currency"/>
    <tableColumn id="1670" xr3:uid="{656DFB16-4614-45D0-AE43-FE7224BEE895}" name="28019" dataDxfId="2115" dataCellStyle="Currency"/>
    <tableColumn id="1671" xr3:uid="{A6241773-3DF1-4434-8B6B-11CDD311D6E9}" name="28020" dataDxfId="2114" dataCellStyle="Currency"/>
    <tableColumn id="1672" xr3:uid="{49B30372-89FE-4304-83BD-C82DBD7C3846}" name="28021" dataDxfId="2113" dataCellStyle="Currency"/>
    <tableColumn id="1673" xr3:uid="{61D64436-6697-4F18-BAA1-5DF09BD6FCF1}" name="28023" dataDxfId="2112" dataCellStyle="Currency"/>
    <tableColumn id="1674" xr3:uid="{9F1E3EE6-B584-4778-A931-600DFEC39BC9}" name="28024" dataDxfId="2111" dataCellStyle="Currency"/>
    <tableColumn id="1675" xr3:uid="{73722453-32E0-417A-A707-44AF895E087F}" name="28025" dataDxfId="2110" dataCellStyle="Currency"/>
    <tableColumn id="1676" xr3:uid="{122615AA-599C-46E4-AAAE-CAB2350FAA75}" name="28027" dataDxfId="2109" dataCellStyle="Currency"/>
    <tableColumn id="1677" xr3:uid="{57C1453E-420F-4A02-8EAA-83C9CE158862}" name="28031" dataDxfId="2108" dataCellStyle="Currency"/>
    <tableColumn id="1678" xr3:uid="{D2BE9CCA-6D20-424A-8F8F-F713188598EE}" name="28032" dataDxfId="2107" dataCellStyle="Currency"/>
    <tableColumn id="1679" xr3:uid="{6E7B4928-A8D8-40DA-8584-CF4D21F24F2D}" name="28033" dataDxfId="2106" dataCellStyle="Currency"/>
    <tableColumn id="1680" xr3:uid="{C1481076-94D5-42EC-B938-275DB81FD4F0}" name="28034" dataDxfId="2105" dataCellStyle="Currency"/>
    <tableColumn id="1681" xr3:uid="{B24FD61D-C01D-4B27-9090-92B71F901948}" name="28036" dataDxfId="2104" dataCellStyle="Currency"/>
    <tableColumn id="1682" xr3:uid="{A1BDFBC2-4282-4420-A807-14577CE6CE30}" name="28037" dataDxfId="2103" dataCellStyle="Currency"/>
    <tableColumn id="1683" xr3:uid="{6508BF8B-731F-4FD1-85EC-B5E4DE2AAF3B}" name="28039" dataDxfId="2102" dataCellStyle="Currency"/>
    <tableColumn id="1684" xr3:uid="{C9638AD9-3338-4416-8283-FD5FF7592419}" name="28040" dataDxfId="2101" dataCellStyle="Currency"/>
    <tableColumn id="1685" xr3:uid="{657D72DA-B298-4F46-AF99-0C4DD3AB62FC}" name="28041" dataDxfId="2100" dataCellStyle="Currency"/>
    <tableColumn id="1686" xr3:uid="{B113B1D9-6351-4203-988E-1816E400AB48}" name="28042" dataDxfId="2099" dataCellStyle="Currency"/>
    <tableColumn id="1687" xr3:uid="{BE8B7B5B-F95C-44D5-8970-5AE17A521471}" name="28043" dataDxfId="2098" dataCellStyle="Currency"/>
    <tableColumn id="1688" xr3:uid="{894BC14B-47B3-4D26-A1CD-CB2E05C0714B}" name="28052" dataDxfId="2097" dataCellStyle="Currency"/>
    <tableColumn id="1689" xr3:uid="{E8ED3CBF-4355-4BA4-B482-5B451539D328}" name="28054" dataDxfId="2096" dataCellStyle="Currency"/>
    <tableColumn id="1690" xr3:uid="{B73FA17B-73B8-446C-9296-B183DAF56204}" name="28056" dataDxfId="2095" dataCellStyle="Currency"/>
    <tableColumn id="1691" xr3:uid="{E67E63A4-3386-476A-8517-20785AD2C79F}" name="28071" dataDxfId="2094" dataCellStyle="Currency"/>
    <tableColumn id="1692" xr3:uid="{8E9FF72A-403A-4C39-A3C7-03FC5F42E0A7}" name="28072" dataDxfId="2093" dataCellStyle="Currency"/>
    <tableColumn id="1693" xr3:uid="{38A459E7-5B15-463F-B579-F40FC9052FA3}" name="28073" dataDxfId="2092" dataCellStyle="Currency"/>
    <tableColumn id="1694" xr3:uid="{FF7C7BBC-C84B-498C-9736-90917F5C7E64}" name="28074" dataDxfId="2091" dataCellStyle="Currency"/>
    <tableColumn id="1695" xr3:uid="{4B939F96-A51B-4D08-B77A-F8032FDA416E}" name="28075" dataDxfId="2090" dataCellStyle="Currency"/>
    <tableColumn id="1696" xr3:uid="{03BBAB9D-02F3-4807-80C3-C89CEB4E916B}" name="28076" dataDxfId="2089" dataCellStyle="Currency"/>
    <tableColumn id="1697" xr3:uid="{58825438-D665-46D1-9F4A-C9EF1DFCCF22}" name="28077" dataDxfId="2088" dataCellStyle="Currency"/>
    <tableColumn id="1698" xr3:uid="{BB64BD7C-F3B3-484A-99AF-B45583182BDF}" name="28078" dataDxfId="2087" dataCellStyle="Currency"/>
    <tableColumn id="1699" xr3:uid="{4F277191-185B-4771-A525-8FC6677A0141}" name="28079" dataDxfId="2086" dataCellStyle="Currency"/>
    <tableColumn id="1700" xr3:uid="{6C581ADA-0655-4CDC-943D-69B992698A9C}" name="28080" dataDxfId="2085" dataCellStyle="Currency"/>
    <tableColumn id="1701" xr3:uid="{0930A988-B4DD-460D-A975-7CA175F434C4}" name="28081" dataDxfId="2084" dataCellStyle="Currency"/>
    <tableColumn id="1702" xr3:uid="{77872FDA-C178-4734-8478-142129FCA33A}" name="28083" dataDxfId="2083" dataCellStyle="Currency"/>
    <tableColumn id="1703" xr3:uid="{138D2B57-E9E6-4E63-A5E6-ECAE1708E386}" name="28086" dataDxfId="2082" dataCellStyle="Currency"/>
    <tableColumn id="1704" xr3:uid="{4C91ED00-7E6F-4B3D-BCD2-775353DF56C2}" name="28088" dataDxfId="2081" dataCellStyle="Currency"/>
    <tableColumn id="1705" xr3:uid="{1A8438BD-5999-40C6-8C02-E11FBE4800A7}" name="28089" dataDxfId="2080" dataCellStyle="Currency"/>
    <tableColumn id="1706" xr3:uid="{E6EC787F-598C-4C12-BB39-E2AFCA3596B9}" name="28090" dataDxfId="2079" dataCellStyle="Currency"/>
    <tableColumn id="1707" xr3:uid="{437CD8E1-6D6B-42B7-8F5E-479674EDF0B0}" name="28091" dataDxfId="2078" dataCellStyle="Currency"/>
    <tableColumn id="1708" xr3:uid="{6FE0F788-F0A5-4B31-822B-AB255AC5EC25}" name="28092" dataDxfId="2077" dataCellStyle="Currency"/>
    <tableColumn id="1709" xr3:uid="{9615DB84-B12F-43D7-BE91-4A228C83A43E}" name="28097" dataDxfId="2076" dataCellStyle="Currency"/>
    <tableColumn id="1710" xr3:uid="{1FCBF1CD-69D4-4B4E-BEB1-5CAAC96CD7F6}" name="28098" dataDxfId="2075" dataCellStyle="Currency"/>
    <tableColumn id="1711" xr3:uid="{D51022F2-D842-4B08-BD71-1F80179EA975}" name="28101" dataDxfId="2074" dataCellStyle="Currency"/>
    <tableColumn id="1712" xr3:uid="{0D200357-BFE8-4DCB-BBC5-9E8F83CAC8D1}" name="28102" dataDxfId="2073" dataCellStyle="Currency"/>
    <tableColumn id="1713" xr3:uid="{04D8B767-9CD1-4B6E-869A-092C4B75D4A1}" name="28103" dataDxfId="2072" dataCellStyle="Currency"/>
    <tableColumn id="1714" xr3:uid="{2F9C10BA-87C8-4E6A-9788-199FB38A422A}" name="28104" dataDxfId="2071" dataCellStyle="Currency"/>
    <tableColumn id="1715" xr3:uid="{C4344708-C59D-4107-8A36-06B01E9AB3B7}" name="28105" dataDxfId="2070" dataCellStyle="Currency"/>
    <tableColumn id="1716" xr3:uid="{3F974DDE-50D4-411F-AF74-B65D554AC82B}" name="28107" dataDxfId="2069" dataCellStyle="Currency"/>
    <tableColumn id="1717" xr3:uid="{C570E007-2F8E-4EF2-AEFE-295B9EC44434}" name="28108" dataDxfId="2068" dataCellStyle="Currency"/>
    <tableColumn id="1718" xr3:uid="{65C3E3A8-38D9-48B0-9FF4-2754BB13C18C}" name="28109" dataDxfId="2067" dataCellStyle="Currency"/>
    <tableColumn id="1719" xr3:uid="{95651B88-328C-485E-84C3-9B2F5357E54B}" name="28110" dataDxfId="2066" dataCellStyle="Currency"/>
    <tableColumn id="1720" xr3:uid="{5726F0E1-F0C1-4E4C-8939-181F83C410F8}" name="28112" dataDxfId="2065" dataCellStyle="Currency"/>
    <tableColumn id="1721" xr3:uid="{1719E519-C80F-45B8-A443-5D50E985A11F}" name="28114" dataDxfId="2064" dataCellStyle="Currency"/>
    <tableColumn id="1722" xr3:uid="{B5122FD3-E6BF-4501-B9B5-C2B37C09B157}" name="28115" dataDxfId="2063" dataCellStyle="Currency"/>
    <tableColumn id="1723" xr3:uid="{239FDA13-6F13-42F4-9B52-1C824B653A35}" name="28117" dataDxfId="2062" dataCellStyle="Currency"/>
    <tableColumn id="1724" xr3:uid="{3F2C969B-B672-4D60-B2FA-23485C5195E9}" name="28119" dataDxfId="2061" dataCellStyle="Currency"/>
    <tableColumn id="1725" xr3:uid="{A65E2B8D-AB45-4F98-9472-575AA3A35241}" name="28120" dataDxfId="2060" dataCellStyle="Currency"/>
    <tableColumn id="1726" xr3:uid="{368D72AE-BAFF-458C-BEFE-0C871072E55B}" name="28124" dataDxfId="2059" dataCellStyle="Currency"/>
    <tableColumn id="1727" xr3:uid="{55D486C5-53D5-4A6F-8B92-ADCDBE12CB74}" name="28125" dataDxfId="2058" dataCellStyle="Currency"/>
    <tableColumn id="1728" xr3:uid="{07038502-4271-4206-94D3-00479F92A439}" name="28127" dataDxfId="2057" dataCellStyle="Currency"/>
    <tableColumn id="1729" xr3:uid="{CFDB6207-7877-4EC1-B9AD-6D126A9E2C2C}" name="28128" dataDxfId="2056" dataCellStyle="Currency"/>
    <tableColumn id="1730" xr3:uid="{DF74DBC7-3E6D-429B-B137-8FFB8DABCD70}" name="28129" dataDxfId="2055" dataCellStyle="Currency"/>
    <tableColumn id="1731" xr3:uid="{7037719C-5DF3-42CD-84F3-37AAAFDDE5D6}" name="28133" dataDxfId="2054" dataCellStyle="Currency"/>
    <tableColumn id="1732" xr3:uid="{54D18BDD-1A6B-40F5-B2DE-D9E54FDACD0A}" name="28134" dataDxfId="2053" dataCellStyle="Currency"/>
    <tableColumn id="1733" xr3:uid="{51A332E7-64A5-49AB-93E3-7806771A5B91}" name="28135" dataDxfId="2052" dataCellStyle="Currency"/>
    <tableColumn id="1734" xr3:uid="{C6524FAA-42ED-4BF8-8458-D00920ADCFDA}" name="28136" dataDxfId="2051" dataCellStyle="Currency"/>
    <tableColumn id="1735" xr3:uid="{8303DF22-F2BE-4DFD-9EF1-9A64C8E54D7F}" name="28137" dataDxfId="2050" dataCellStyle="Currency"/>
    <tableColumn id="1736" xr3:uid="{2D843807-E2E3-4B32-8A09-F63E4244AE93}" name="28138" dataDxfId="2049" dataCellStyle="Currency"/>
    <tableColumn id="1737" xr3:uid="{05CC3DCB-7ABB-4887-A183-60F93D3EF047}" name="28139" dataDxfId="2048" dataCellStyle="Currency"/>
    <tableColumn id="1738" xr3:uid="{CE849BD2-CB11-4367-B6EC-CFB4BE9C8767}" name="28144" dataDxfId="2047" dataCellStyle="Currency"/>
    <tableColumn id="1739" xr3:uid="{2451335E-CE96-45AF-A9EE-C92BEF048002}" name="28146" dataDxfId="2046" dataCellStyle="Currency"/>
    <tableColumn id="1740" xr3:uid="{AD9A5FC3-FA78-4530-A8B0-75672E4A70C1}" name="28147" dataDxfId="2045" dataCellStyle="Currency"/>
    <tableColumn id="1741" xr3:uid="{53261906-F19A-438B-927C-34FDD29DB4D9}" name="28150" dataDxfId="2044" dataCellStyle="Currency"/>
    <tableColumn id="1742" xr3:uid="{5F56074B-CCE0-4A3A-87CB-2B2B87447280}" name="28152" dataDxfId="2043" dataCellStyle="Currency"/>
    <tableColumn id="1743" xr3:uid="{4997DBD4-6576-4CF8-8DE1-5A1BD534B2A9}" name="28159" dataDxfId="2042" dataCellStyle="Currency"/>
    <tableColumn id="1744" xr3:uid="{E021A042-35CF-435E-9A51-FDAE724CCAAB}" name="28160" dataDxfId="2041" dataCellStyle="Currency"/>
    <tableColumn id="1745" xr3:uid="{2CDA6280-53DE-4F23-B3F8-7CC5E927A3BE}" name="28163" dataDxfId="2040" dataCellStyle="Currency"/>
    <tableColumn id="1746" xr3:uid="{8C542DF7-DD66-4BB8-860C-354BE0B0699C}" name="28164" dataDxfId="2039" dataCellStyle="Currency"/>
    <tableColumn id="1747" xr3:uid="{FBFC571E-128A-40AB-A6B9-5C38802441D8}" name="28166" dataDxfId="2038" dataCellStyle="Currency"/>
    <tableColumn id="1748" xr3:uid="{580951CC-FF05-4D3D-949C-2AA7D64ACE18}" name="28167" dataDxfId="2037" dataCellStyle="Currency"/>
    <tableColumn id="1749" xr3:uid="{864CC2A1-1EA6-44F1-9EC1-95157A8144C5}" name="28168" dataDxfId="2036" dataCellStyle="Currency"/>
    <tableColumn id="1750" xr3:uid="{DDA42262-E454-4A50-8CC0-9AE12EC18D35}" name="28169" dataDxfId="2035" dataCellStyle="Currency"/>
    <tableColumn id="1751" xr3:uid="{5F0DA596-9D7B-4BD9-92AC-DE7F406885B1}" name="28170" dataDxfId="2034" dataCellStyle="Currency"/>
    <tableColumn id="1752" xr3:uid="{51C55C17-A519-4ECC-B6C5-4916AB07CCAB}" name="28173" dataDxfId="2033" dataCellStyle="Currency"/>
    <tableColumn id="1753" xr3:uid="{EDEDCE1B-5AB0-4910-B1EC-2453453C6DDA}" name="28174" dataDxfId="2032" dataCellStyle="Currency"/>
    <tableColumn id="1754" xr3:uid="{1434327D-31EF-46BA-9A2A-4FE4E6CD52F3}" name="28202" dataDxfId="2031" dataCellStyle="Currency"/>
    <tableColumn id="1755" xr3:uid="{7ADA93FC-2E1B-4466-9179-D2C6E77BD819}" name="28203" dataDxfId="2030" dataCellStyle="Currency"/>
    <tableColumn id="1756" xr3:uid="{AE409769-E708-4F75-8D94-4BEC1B133911}" name="28204" dataDxfId="2029" dataCellStyle="Currency"/>
    <tableColumn id="1757" xr3:uid="{271652A3-378A-4D68-8DC3-A9240DB4C6E4}" name="28205" dataDxfId="2028" dataCellStyle="Currency"/>
    <tableColumn id="1758" xr3:uid="{C296747D-F1AA-496C-8A45-B8625BFD52C3}" name="28206" dataDxfId="2027" dataCellStyle="Currency"/>
    <tableColumn id="1759" xr3:uid="{98A72F5C-F6AC-441E-8996-82167E9A7025}" name="28207" dataDxfId="2026" dataCellStyle="Currency"/>
    <tableColumn id="1760" xr3:uid="{D38EA0BA-9CAF-470C-8B64-B466955A557B}" name="28208" dataDxfId="2025" dataCellStyle="Currency"/>
    <tableColumn id="1761" xr3:uid="{9D608DB7-C525-4FAC-AFB4-E2BA4576C71D}" name="28209" dataDxfId="2024" dataCellStyle="Currency"/>
    <tableColumn id="1762" xr3:uid="{FF887403-D857-4CD2-A24D-CE0F881A894E}" name="28210" dataDxfId="2023" dataCellStyle="Currency"/>
    <tableColumn id="1763" xr3:uid="{978FCFEF-1014-485B-8F34-43E6F05BEC4B}" name="28211" dataDxfId="2022" dataCellStyle="Currency"/>
    <tableColumn id="1764" xr3:uid="{70BF3478-26B9-4445-BC3F-1F1974A68FB8}" name="28212" dataDxfId="2021" dataCellStyle="Currency"/>
    <tableColumn id="1765" xr3:uid="{3BAFD0D2-876C-4975-B37A-6CBFBFCE08EB}" name="28213" dataDxfId="2020" dataCellStyle="Currency"/>
    <tableColumn id="1766" xr3:uid="{2AD823FA-1F46-48C0-833A-131D5E2F5992}" name="28214" dataDxfId="2019" dataCellStyle="Currency"/>
    <tableColumn id="1767" xr3:uid="{6861A1F1-F539-40D6-BACE-8ECAEFAB752C}" name="28215" dataDxfId="2018" dataCellStyle="Currency"/>
    <tableColumn id="1768" xr3:uid="{0A59661B-A8B5-4C9C-BA2C-5E1EF07C5278}" name="28216" dataDxfId="2017" dataCellStyle="Currency"/>
    <tableColumn id="1769" xr3:uid="{370B7B39-96F0-43C9-A57B-19767A8A754F}" name="28217" dataDxfId="2016" dataCellStyle="Currency"/>
    <tableColumn id="1770" xr3:uid="{EC8DEAC3-D9BC-4FFF-A2C0-4F8E43707E17}" name="28223" dataDxfId="2015" dataCellStyle="Currency"/>
    <tableColumn id="1771" xr3:uid="{8E34B880-B44B-47B6-921B-DFE1FD1E1770}" name="28226" dataDxfId="2014" dataCellStyle="Currency"/>
    <tableColumn id="1772" xr3:uid="{2643DD0B-7435-4F0D-A265-BCEE96376464}" name="28227" dataDxfId="2013" dataCellStyle="Currency"/>
    <tableColumn id="1773" xr3:uid="{6A780D7A-948E-41A8-A8B3-1DE018C28AC2}" name="28244" dataDxfId="2012" dataCellStyle="Currency"/>
    <tableColumn id="1774" xr3:uid="{10955121-7D9D-4FD9-84C2-54E056CCAADE}" name="28262" dataDxfId="2011" dataCellStyle="Currency"/>
    <tableColumn id="1775" xr3:uid="{9B657F29-36EE-4019-B25E-9A308F1D5169}" name="28269" dataDxfId="2010" dataCellStyle="Currency"/>
    <tableColumn id="1776" xr3:uid="{A18EE8C5-EFBD-40FC-80EB-96A91FF2407F}" name="28270" dataDxfId="2009" dataCellStyle="Currency"/>
    <tableColumn id="1777" xr3:uid="{3502F601-8CE4-4EEA-A72F-BE37AEB4B85B}" name="28273" dataDxfId="2008" dataCellStyle="Currency"/>
    <tableColumn id="1778" xr3:uid="{C000B91F-A96B-4B82-B9B3-760BD8F96213}" name="28274" dataDxfId="2007" dataCellStyle="Currency"/>
    <tableColumn id="1779" xr3:uid="{9E06C934-79BB-4467-910A-3087A7FE0AC7}" name="28277" dataDxfId="2006" dataCellStyle="Currency"/>
    <tableColumn id="1780" xr3:uid="{3EC21949-F571-4308-9B75-F4E2155FF198}" name="28278" dataDxfId="2005" dataCellStyle="Currency"/>
    <tableColumn id="1781" xr3:uid="{9EC6A8C2-C347-4CFC-8AEC-29C9858550D3}" name="28280" dataDxfId="2004" dataCellStyle="Currency"/>
    <tableColumn id="1782" xr3:uid="{D071102F-A556-4628-AE7E-35C08EEC9C5D}" name="28282" dataDxfId="2003" dataCellStyle="Currency"/>
    <tableColumn id="1783" xr3:uid="{6729A6A1-2876-4023-8DB8-FD4A47197E46}" name="28301" dataDxfId="2002" dataCellStyle="Currency"/>
    <tableColumn id="1784" xr3:uid="{B96F7AEB-5BE7-4E8E-8A66-30BFB2640BCF}" name="28303" dataDxfId="2001" dataCellStyle="Currency"/>
    <tableColumn id="1785" xr3:uid="{5DC931D5-FE82-4D2E-9196-3C1DD0DE9DAC}" name="28304" dataDxfId="2000" dataCellStyle="Currency"/>
    <tableColumn id="1786" xr3:uid="{02C642B7-A1CE-401E-A588-9E395FE55EB5}" name="28305" dataDxfId="1999" dataCellStyle="Currency"/>
    <tableColumn id="1787" xr3:uid="{111393B8-FC1B-4954-BE2F-1C69DB7B803D}" name="28306" dataDxfId="1998" dataCellStyle="Currency"/>
    <tableColumn id="1788" xr3:uid="{906C52ED-2304-4258-ACBB-9B968A054E96}" name="28307" dataDxfId="1997" dataCellStyle="Currency"/>
    <tableColumn id="1789" xr3:uid="{2044270D-0569-482B-BFB2-A2D30791495B}" name="28308" dataDxfId="1996" dataCellStyle="Currency"/>
    <tableColumn id="1790" xr3:uid="{E83B4BB2-A507-466C-976B-015141DD25FF}" name="28310" dataDxfId="1995" dataCellStyle="Currency"/>
    <tableColumn id="1791" xr3:uid="{802B7AF5-9948-4BAC-91B2-E2E0C88914A9}" name="28311" dataDxfId="1994" dataCellStyle="Currency"/>
    <tableColumn id="1792" xr3:uid="{79F33A6A-14FC-492B-83AF-9714233CB750}" name="28312" dataDxfId="1993" dataCellStyle="Currency"/>
    <tableColumn id="1793" xr3:uid="{B9198E00-CFC7-4500-A100-A9F10BBFD8E9}" name="28314" dataDxfId="1992" dataCellStyle="Currency"/>
    <tableColumn id="1794" xr3:uid="{A92704F1-DFA6-44CA-B3EB-325E483AB32E}" name="28315" dataDxfId="1991" dataCellStyle="Currency"/>
    <tableColumn id="1795" xr3:uid="{0EDE68E1-EE62-47A3-8A35-1FABD269A6FF}" name="28318" dataDxfId="1990" dataCellStyle="Currency"/>
    <tableColumn id="1796" xr3:uid="{47AF8FEB-B52C-4CE9-B2C8-FE3D4E1CF034}" name="28320" dataDxfId="1989" dataCellStyle="Currency"/>
    <tableColumn id="1797" xr3:uid="{C69F857C-C2AE-4BA6-80E7-F6D658E2DE13}" name="28323" dataDxfId="1988" dataCellStyle="Currency"/>
    <tableColumn id="1798" xr3:uid="{129D9C39-C4F0-415F-AB4D-F99718AF5ABB}" name="28325" dataDxfId="1987" dataCellStyle="Currency"/>
    <tableColumn id="1799" xr3:uid="{C6980CC9-8F21-40A4-B523-602EAE83782C}" name="28326" dataDxfId="1986" dataCellStyle="Currency"/>
    <tableColumn id="1800" xr3:uid="{553F6554-38FD-451D-B8A3-BEEB0A68216A}" name="28327" dataDxfId="1985" dataCellStyle="Currency"/>
    <tableColumn id="1801" xr3:uid="{AEFBC735-B92A-4482-A503-4AAC982453F6}" name="28328" dataDxfId="1984" dataCellStyle="Currency"/>
    <tableColumn id="1802" xr3:uid="{E6798DBA-2900-4AAA-9D55-526D53CD3E0B}" name="28330" dataDxfId="1983" dataCellStyle="Currency"/>
    <tableColumn id="1803" xr3:uid="{B9784969-7744-4C4D-B6B7-0946BAF1E10F}" name="28331" dataDxfId="1982" dataCellStyle="Currency"/>
    <tableColumn id="1804" xr3:uid="{BBEA65AF-A48A-4FE9-8625-20807985B092}" name="28332" dataDxfId="1981" dataCellStyle="Currency"/>
    <tableColumn id="1805" xr3:uid="{BD7FCAC4-3EBB-46A4-911A-5735C68A9E32}" name="28333" dataDxfId="1980" dataCellStyle="Currency"/>
    <tableColumn id="1806" xr3:uid="{C34022C5-F73C-46BA-9534-3C94B5482859}" name="28334" dataDxfId="1979" dataCellStyle="Currency"/>
    <tableColumn id="1807" xr3:uid="{8C7C5DD6-E78A-4640-AD02-7E5B018682B9}" name="28337" dataDxfId="1978" dataCellStyle="Currency"/>
    <tableColumn id="1808" xr3:uid="{45DADD39-6335-4166-983B-44EBFC10AFEF}" name="28338" dataDxfId="1977" dataCellStyle="Currency"/>
    <tableColumn id="1809" xr3:uid="{BFC7B206-0327-4CE5-B0D2-AE6118D8A3AB}" name="28339" dataDxfId="1976" dataCellStyle="Currency"/>
    <tableColumn id="1810" xr3:uid="{9A4B950D-A2A1-4E8D-84F5-9938009B6B0F}" name="28340" dataDxfId="1975" dataCellStyle="Currency"/>
    <tableColumn id="1811" xr3:uid="{C8062A95-0115-46C1-AEBB-0370412DC3C5}" name="28341" dataDxfId="1974" dataCellStyle="Currency"/>
    <tableColumn id="1812" xr3:uid="{CBDEB6A9-4348-4DD2-89D3-2618BBEC66ED}" name="28342" dataDxfId="1973" dataCellStyle="Currency"/>
    <tableColumn id="1813" xr3:uid="{62B0661B-316F-408E-A2FE-0BE68DFBC986}" name="28343" dataDxfId="1972" dataCellStyle="Currency"/>
    <tableColumn id="1814" xr3:uid="{AD3B5C0A-F8EC-4A7F-8938-E8D51A271AB3}" name="28344" dataDxfId="1971" dataCellStyle="Currency"/>
    <tableColumn id="1815" xr3:uid="{B40640B8-3D02-4AAD-940B-91B01982BAEF}" name="28345" dataDxfId="1970" dataCellStyle="Currency"/>
    <tableColumn id="1816" xr3:uid="{B2D55037-583F-4BB9-BE9F-EEA6A43D7ADC}" name="28347" dataDxfId="1969" dataCellStyle="Currency"/>
    <tableColumn id="1817" xr3:uid="{3A4A8F33-A71A-4978-BC73-8CFCE9ADFDD4}" name="28348" dataDxfId="1968" dataCellStyle="Currency"/>
    <tableColumn id="1818" xr3:uid="{30C48F7A-47F0-4A67-AA34-8C9E43A8FDA6}" name="28349" dataDxfId="1967" dataCellStyle="Currency"/>
    <tableColumn id="1819" xr3:uid="{76D67072-7676-4AC8-BEA2-272B494111E0}" name="28350" dataDxfId="1966" dataCellStyle="Currency"/>
    <tableColumn id="1820" xr3:uid="{99736F2F-3455-406E-B0D7-BF7C3BCDB19D}" name="28351" dataDxfId="1965" dataCellStyle="Currency"/>
    <tableColumn id="1821" xr3:uid="{C3C2021C-8644-453F-A8D2-4C7D7C486629}" name="28352" dataDxfId="1964" dataCellStyle="Currency"/>
    <tableColumn id="1822" xr3:uid="{4CA99066-B334-4194-BBD5-62FE5F9B5BC1}" name="28355" dataDxfId="1963" dataCellStyle="Currency"/>
    <tableColumn id="1823" xr3:uid="{30A7F540-16DA-4A1D-9D34-31A4571E0342}" name="28356" dataDxfId="1962" dataCellStyle="Currency"/>
    <tableColumn id="1824" xr3:uid="{EE0156E0-4B6D-49E9-A04B-908A8F3B5C89}" name="28357" dataDxfId="1961" dataCellStyle="Currency"/>
    <tableColumn id="1825" xr3:uid="{84F9BB87-D2B5-4F5C-B3AC-D3CDBDE66B9B}" name="28358" dataDxfId="1960" dataCellStyle="Currency"/>
    <tableColumn id="1826" xr3:uid="{5448249B-1D9B-4432-AAFE-B610E4016105}" name="28359" dataDxfId="1959" dataCellStyle="Currency"/>
    <tableColumn id="1827" xr3:uid="{A46A01CD-FE5A-4786-8F28-FDDB8D53A4B8}" name="28360" dataDxfId="1958" dataCellStyle="Currency"/>
    <tableColumn id="1828" xr3:uid="{415D97E7-C9C4-4AB1-8EFC-066BCC718FF3}" name="28362" dataDxfId="1957" dataCellStyle="Currency"/>
    <tableColumn id="1829" xr3:uid="{D7FA92C6-A9A9-42FE-9D0C-F5D952A1E8F8}" name="28363" dataDxfId="1956" dataCellStyle="Currency"/>
    <tableColumn id="1830" xr3:uid="{E7CB65B6-9711-4CE6-87C2-0E1D6C18EDD6}" name="28364" dataDxfId="1955" dataCellStyle="Currency"/>
    <tableColumn id="1831" xr3:uid="{787BFD7A-8843-45E5-AE0D-77E9212A3BDB}" name="28365" dataDxfId="1954" dataCellStyle="Currency"/>
    <tableColumn id="1832" xr3:uid="{13937D5F-6C7E-4698-8B06-5C2DBF78F726}" name="28366" dataDxfId="1953" dataCellStyle="Currency"/>
    <tableColumn id="1833" xr3:uid="{81D7D163-6106-4CC3-9CC2-79ED1DBD791A}" name="28367" dataDxfId="1952" dataCellStyle="Currency"/>
    <tableColumn id="1834" xr3:uid="{29BD7913-D677-4A24-A27B-B985AB139F58}" name="28368" dataDxfId="1951" dataCellStyle="Currency"/>
    <tableColumn id="1835" xr3:uid="{A36C6CCF-7F56-40DD-B538-F1A36AB705E5}" name="28369" dataDxfId="1950" dataCellStyle="Currency"/>
    <tableColumn id="1836" xr3:uid="{AB9F5492-65DD-40F5-9260-034DC0F67561}" name="28371" dataDxfId="1949" dataCellStyle="Currency"/>
    <tableColumn id="1837" xr3:uid="{872C3E05-8560-4986-863F-BF868298BAFC}" name="28372" dataDxfId="1948" dataCellStyle="Currency"/>
    <tableColumn id="1838" xr3:uid="{03F3C331-3479-4CEC-97B8-488016CA3A19}" name="28373" dataDxfId="1947" dataCellStyle="Currency"/>
    <tableColumn id="1839" xr3:uid="{FEE96067-B76F-449E-AD01-AFCA9A55066A}" name="28374" dataDxfId="1946" dataCellStyle="Currency"/>
    <tableColumn id="1840" xr3:uid="{B1E38319-F1F9-46A3-A964-9CDA5F660AF3}" name="28375" dataDxfId="1945" dataCellStyle="Currency"/>
    <tableColumn id="1841" xr3:uid="{AF5E49E7-853C-41DC-940F-7B38406491CC}" name="28376" dataDxfId="1944" dataCellStyle="Currency"/>
    <tableColumn id="1842" xr3:uid="{8D849B7E-A51A-4464-8983-F34E1069D81A}" name="28377" dataDxfId="1943" dataCellStyle="Currency"/>
    <tableColumn id="1843" xr3:uid="{BD7A8AE9-1EDF-4BBE-9A1A-8B2046F5A793}" name="28378" dataDxfId="1942" dataCellStyle="Currency"/>
    <tableColumn id="1844" xr3:uid="{41C5E32D-EFCA-490A-8618-EA433149886F}" name="28379" dataDxfId="1941" dataCellStyle="Currency"/>
    <tableColumn id="1845" xr3:uid="{43333FF1-08AF-4EE2-A216-BB043B8B71BD}" name="28382" dataDxfId="1940" dataCellStyle="Currency"/>
    <tableColumn id="1846" xr3:uid="{3A13D773-7872-4DE1-8ADF-EB8A96911977}" name="28383" dataDxfId="1939" dataCellStyle="Currency"/>
    <tableColumn id="1847" xr3:uid="{37C57D85-553C-49E6-BC8D-11BB27C64C57}" name="28384" dataDxfId="1938" dataCellStyle="Currency"/>
    <tableColumn id="1848" xr3:uid="{0882171E-36E6-4AE9-8356-B05B2E4961FB}" name="28385" dataDxfId="1937" dataCellStyle="Currency"/>
    <tableColumn id="1849" xr3:uid="{FC4E69C5-9D1C-4CFB-83B4-1D8619718A2E}" name="28386" dataDxfId="1936" dataCellStyle="Currency"/>
    <tableColumn id="1850" xr3:uid="{08CA8692-4AA7-479E-B08D-41A199932705}" name="28387" dataDxfId="1935" dataCellStyle="Currency"/>
    <tableColumn id="1851" xr3:uid="{622A108D-7FD3-4142-A632-5A218F059BCD}" name="28390" dataDxfId="1934" dataCellStyle="Currency"/>
    <tableColumn id="1852" xr3:uid="{159E29EE-B069-42B0-A888-202503E30F12}" name="28391" dataDxfId="1933" dataCellStyle="Currency"/>
    <tableColumn id="1853" xr3:uid="{7AC50C71-1EA6-4459-8D8C-F20C044607CC}" name="28392" dataDxfId="1932" dataCellStyle="Currency"/>
    <tableColumn id="1854" xr3:uid="{DB127677-B450-4978-8D16-1A5AA959D3C5}" name="28393" dataDxfId="1931" dataCellStyle="Currency"/>
    <tableColumn id="1855" xr3:uid="{324EFC77-F740-46AF-B9C4-ED4E42FC9033}" name="28394" dataDxfId="1930" dataCellStyle="Currency"/>
    <tableColumn id="1856" xr3:uid="{CA6D89C8-850E-4D57-9595-D1657832BE06}" name="28395" dataDxfId="1929" dataCellStyle="Currency"/>
    <tableColumn id="1857" xr3:uid="{FB186280-278B-47AA-B16D-B03CD3A5ACCD}" name="28396" dataDxfId="1928" dataCellStyle="Currency"/>
    <tableColumn id="1858" xr3:uid="{594C052C-72C0-4F02-BB1E-47AC8F45CF59}" name="28398" dataDxfId="1927" dataCellStyle="Currency"/>
    <tableColumn id="1859" xr3:uid="{905A5F35-42ED-4E5B-B9A1-E5F871DE7A5D}" name="28399" dataDxfId="1926" dataCellStyle="Currency"/>
    <tableColumn id="1860" xr3:uid="{F2EF1C86-A193-4954-B4FB-B2658B48DC07}" name="28401" dataDxfId="1925" dataCellStyle="Currency"/>
    <tableColumn id="1861" xr3:uid="{BB4A90FD-12AF-4451-A2DB-3A34F41F2C1B}" name="28403" dataDxfId="1924" dataCellStyle="Currency"/>
    <tableColumn id="1862" xr3:uid="{54E2F996-9A0C-48D3-998E-0141BDE33078}" name="28405" dataDxfId="1923" dataCellStyle="Currency"/>
    <tableColumn id="1863" xr3:uid="{7CBDCF9F-FADE-4F0F-BA25-0ACA60BBD890}" name="28409" dataDxfId="1922" dataCellStyle="Currency"/>
    <tableColumn id="1864" xr3:uid="{A4302FF3-0134-4F92-8261-16102AA80D59}" name="28411" dataDxfId="1921" dataCellStyle="Currency"/>
    <tableColumn id="1865" xr3:uid="{43CE2E83-D702-4B9B-81DC-65F6D0DDF769}" name="28412" dataDxfId="1920" dataCellStyle="Currency"/>
    <tableColumn id="1866" xr3:uid="{F009DBBA-2772-4FED-A5AE-EFF022740615}" name="28420" dataDxfId="1919" dataCellStyle="Currency"/>
    <tableColumn id="1867" xr3:uid="{B972735F-D256-4B14-963E-51012F794EEB}" name="28421" dataDxfId="1918" dataCellStyle="Currency"/>
    <tableColumn id="1868" xr3:uid="{C628423E-AC0C-4107-A953-5D32A15F763B}" name="28422" dataDxfId="1917" dataCellStyle="Currency"/>
    <tableColumn id="1869" xr3:uid="{92F2C352-AFC5-4CB2-A5B3-76B85B2AAAA1}" name="28423" dataDxfId="1916" dataCellStyle="Currency"/>
    <tableColumn id="1870" xr3:uid="{956B7A3E-AF3E-4B2D-94A0-8DF180FE137C}" name="28424" dataDxfId="1915" dataCellStyle="Currency"/>
    <tableColumn id="1871" xr3:uid="{882DB090-AD55-47CF-A6E3-4EF6AE034514}" name="28425" dataDxfId="1914" dataCellStyle="Currency"/>
    <tableColumn id="1872" xr3:uid="{1CFC7876-820C-433C-A462-BBE0FC8DD06C}" name="28428" dataDxfId="1913" dataCellStyle="Currency"/>
    <tableColumn id="1873" xr3:uid="{66D47B13-35A5-4E5B-A464-50D8BE263398}" name="28429" dataDxfId="1912" dataCellStyle="Currency"/>
    <tableColumn id="1874" xr3:uid="{4B022662-5804-460D-89AA-7675D97A820B}" name="28430" dataDxfId="1911" dataCellStyle="Currency"/>
    <tableColumn id="1875" xr3:uid="{72B62163-CB63-4FAB-BC94-F0D8C6D9F779}" name="28431" dataDxfId="1910" dataCellStyle="Currency"/>
    <tableColumn id="1876" xr3:uid="{8F1669AD-56AD-4F76-8F4E-CC0A71E6A499}" name="28432" dataDxfId="1909" dataCellStyle="Currency"/>
    <tableColumn id="1877" xr3:uid="{53FAFE48-2B7A-4E52-BD91-B7AAC1CAD02C}" name="28433" dataDxfId="1908" dataCellStyle="Currency"/>
    <tableColumn id="1878" xr3:uid="{833A3A0E-3DB6-4C34-9FFC-921A8C0DF8E0}" name="28434" dataDxfId="1907" dataCellStyle="Currency"/>
    <tableColumn id="1879" xr3:uid="{A96FA38A-9300-4835-B9C9-EE06FC42DD1C}" name="28435" dataDxfId="1906" dataCellStyle="Currency"/>
    <tableColumn id="1880" xr3:uid="{115712B8-251C-4406-9673-4CBB163CCCD8}" name="28436" dataDxfId="1905" dataCellStyle="Currency"/>
    <tableColumn id="1881" xr3:uid="{1C85F048-6310-412C-9E4F-D684AC024B92}" name="28438" dataDxfId="1904" dataCellStyle="Currency"/>
    <tableColumn id="1882" xr3:uid="{82E2D805-5E0B-400A-B907-465E2F441A06}" name="28439" dataDxfId="1903" dataCellStyle="Currency"/>
    <tableColumn id="1883" xr3:uid="{2F7D66AF-94DE-468E-9E4D-80CF849CDC4E}" name="28441" dataDxfId="1902" dataCellStyle="Currency"/>
    <tableColumn id="1884" xr3:uid="{E43DAD66-779E-49E2-A082-E328C78C17B6}" name="28442" dataDxfId="1901" dataCellStyle="Currency"/>
    <tableColumn id="1885" xr3:uid="{6944C4FC-9195-4C96-8A37-C8B1F88D6FC3}" name="28443" dataDxfId="1900" dataCellStyle="Currency"/>
    <tableColumn id="1886" xr3:uid="{BC995C00-2665-49EB-B1D6-07E7945BA511}" name="28444" dataDxfId="1899" dataCellStyle="Currency"/>
    <tableColumn id="1887" xr3:uid="{3D67A98B-0245-4F3C-9963-6CD796792EAE}" name="28445" dataDxfId="1898" dataCellStyle="Currency"/>
    <tableColumn id="1888" xr3:uid="{C93F965B-4FA5-4B62-AEBD-9EDB47AF7B00}" name="28447" dataDxfId="1897" dataCellStyle="Currency"/>
    <tableColumn id="1889" xr3:uid="{2D34103C-8494-4941-90B0-CA022008A8C5}" name="28448" dataDxfId="1896" dataCellStyle="Currency"/>
    <tableColumn id="1890" xr3:uid="{87ACA97B-9E1D-4A96-95C9-7F98FE25EAEC}" name="28449" dataDxfId="1895" dataCellStyle="Currency"/>
    <tableColumn id="1891" xr3:uid="{68736B46-65BD-4F34-843E-C92D7AD78FEC}" name="28450" dataDxfId="1894" dataCellStyle="Currency"/>
    <tableColumn id="1892" xr3:uid="{89C3BF45-A29C-4F5D-810B-797D16F5A122}" name="28451" dataDxfId="1893" dataCellStyle="Currency"/>
    <tableColumn id="1893" xr3:uid="{33019CEF-A1AA-4F32-B5EB-2087C1C08FDB}" name="28452" dataDxfId="1892" dataCellStyle="Currency"/>
    <tableColumn id="1894" xr3:uid="{2EA17C44-0E83-45B7-8D22-8981C2134784}" name="28453" dataDxfId="1891" dataCellStyle="Currency"/>
    <tableColumn id="1895" xr3:uid="{38615EA9-8EAD-4888-93F6-BD64C108CCA3}" name="28454" dataDxfId="1890" dataCellStyle="Currency"/>
    <tableColumn id="1896" xr3:uid="{49045385-55FD-4E8C-966F-FD86FD595D97}" name="28455" dataDxfId="1889" dataCellStyle="Currency"/>
    <tableColumn id="1897" xr3:uid="{8A652028-9F9D-49B2-A842-E246B1ADB043}" name="28456" dataDxfId="1888" dataCellStyle="Currency"/>
    <tableColumn id="1898" xr3:uid="{8513FBB8-C8D3-4E66-A4BD-E2226C085400}" name="28457" dataDxfId="1887" dataCellStyle="Currency"/>
    <tableColumn id="1899" xr3:uid="{2ED4F110-C8A4-4B4C-9D42-BA16F53C03BD}" name="28458" dataDxfId="1886" dataCellStyle="Currency"/>
    <tableColumn id="1900" xr3:uid="{47818BD1-DB76-4D9B-B9AE-79831F839EA1}" name="28460" dataDxfId="1885" dataCellStyle="Currency"/>
    <tableColumn id="1901" xr3:uid="{1ECB3E3E-4B9E-4116-B6D1-F5D44DBC5F3D}" name="28461" dataDxfId="1884" dataCellStyle="Currency"/>
    <tableColumn id="1902" xr3:uid="{5E40031A-9C3F-4D9E-A9D3-24AB02A741F7}" name="28462" dataDxfId="1883" dataCellStyle="Currency"/>
    <tableColumn id="1903" xr3:uid="{A0CEE12B-109E-4170-B373-BB4A9FD855C1}" name="28463" dataDxfId="1882" dataCellStyle="Currency"/>
    <tableColumn id="1904" xr3:uid="{EFCB42B8-4F06-4C5C-AA05-4702D38B5509}" name="28464" dataDxfId="1881" dataCellStyle="Currency"/>
    <tableColumn id="1905" xr3:uid="{77CD8C92-B3A4-4A14-8648-0DBC590BD052}" name="28465" dataDxfId="1880" dataCellStyle="Currency"/>
    <tableColumn id="1906" xr3:uid="{21CA201A-E5C6-40F3-A91D-7C7283B22C74}" name="28466" dataDxfId="1879" dataCellStyle="Currency"/>
    <tableColumn id="1907" xr3:uid="{DBBF08FA-841C-499A-BDB3-7E046DB6B0C4}" name="28467" dataDxfId="1878" dataCellStyle="Currency"/>
    <tableColumn id="1908" xr3:uid="{EBB5054A-DE45-4799-9DF7-066783FFA8D2}" name="28468" dataDxfId="1877" dataCellStyle="Currency"/>
    <tableColumn id="1909" xr3:uid="{8C5E8D6D-4323-4BD6-BB16-0500BEDCEE7B}" name="28469" dataDxfId="1876" dataCellStyle="Currency"/>
    <tableColumn id="1910" xr3:uid="{4C0B7959-9733-4347-A5AA-576F22EE631A}" name="28470" dataDxfId="1875" dataCellStyle="Currency"/>
    <tableColumn id="1911" xr3:uid="{28955172-394E-471C-807A-61F592C63FC3}" name="28472" dataDxfId="1874" dataCellStyle="Currency"/>
    <tableColumn id="1912" xr3:uid="{87CB076B-DA5C-40A3-B213-127ED224E43C}" name="28478" dataDxfId="1873" dataCellStyle="Currency"/>
    <tableColumn id="1913" xr3:uid="{EBE31B9A-3ED4-46BD-BD18-6A3BE197E570}" name="28479" dataDxfId="1872" dataCellStyle="Currency"/>
    <tableColumn id="1914" xr3:uid="{74C86814-C4A5-4C1E-A12C-2F183032DF21}" name="28480" dataDxfId="1871" dataCellStyle="Currency"/>
    <tableColumn id="1915" xr3:uid="{E694FEF3-4C6D-4D2A-A147-6F7F9935584B}" name="28501" dataDxfId="1870" dataCellStyle="Currency"/>
    <tableColumn id="1916" xr3:uid="{376AB8B9-19CA-47F2-9315-410085E93C82}" name="28504" dataDxfId="1869" dataCellStyle="Currency"/>
    <tableColumn id="1917" xr3:uid="{CA512774-6AEC-4B95-B06F-2C1A5B416593}" name="28508" dataDxfId="1868" dataCellStyle="Currency"/>
    <tableColumn id="1918" xr3:uid="{B575A165-9946-4C00-8694-57679E73A83C}" name="28509" dataDxfId="1867" dataCellStyle="Currency"/>
    <tableColumn id="1919" xr3:uid="{EE367295-B774-4C74-AF39-D2C32F759B67}" name="28510" dataDxfId="1866" dataCellStyle="Currency"/>
    <tableColumn id="1920" xr3:uid="{D27D46CB-1409-447E-9D3A-CB16B7A1E684}" name="28511" dataDxfId="1865" dataCellStyle="Currency"/>
    <tableColumn id="1921" xr3:uid="{E15309F4-275A-4D86-BED0-566E704FDFD7}" name="28512" dataDxfId="1864" dataCellStyle="Currency"/>
    <tableColumn id="1922" xr3:uid="{27F1FB5F-A396-41E6-8FA2-72470EF3BF0E}" name="28513" dataDxfId="1863" dataCellStyle="Currency"/>
    <tableColumn id="1923" xr3:uid="{DCA83A48-58C6-4DF1-BEB4-55CF9114618D}" name="28515" dataDxfId="1862" dataCellStyle="Currency"/>
    <tableColumn id="1924" xr3:uid="{9A4EAEDD-4D76-4B77-90F4-29070200D0FB}" name="28516" dataDxfId="1861" dataCellStyle="Currency"/>
    <tableColumn id="1925" xr3:uid="{B3F90B64-DA62-49FF-8AB7-22AD8CF7683D}" name="28518" dataDxfId="1860" dataCellStyle="Currency"/>
    <tableColumn id="1926" xr3:uid="{3EB496C9-26B2-401F-8757-155929F6ABA6}" name="28519" dataDxfId="1859" dataCellStyle="Currency"/>
    <tableColumn id="1927" xr3:uid="{B8096237-7912-4FB7-865D-1FC2AB7BF41D}" name="28520" dataDxfId="1858" dataCellStyle="Currency"/>
    <tableColumn id="1928" xr3:uid="{B97AB174-0E00-4184-85A8-FE2D7C3CD67B}" name="28521" dataDxfId="1857" dataCellStyle="Currency"/>
    <tableColumn id="1929" xr3:uid="{D9287472-B913-45AF-AB25-97CC329F0554}" name="28523" dataDxfId="1856" dataCellStyle="Currency"/>
    <tableColumn id="1930" xr3:uid="{5B0A3645-F2A8-40EE-B168-392FF933B95D}" name="28524" dataDxfId="1855" dataCellStyle="Currency"/>
    <tableColumn id="1931" xr3:uid="{CB5F71D5-DCFE-445E-965D-62DDF54F31EB}" name="28525" dataDxfId="1854" dataCellStyle="Currency"/>
    <tableColumn id="1932" xr3:uid="{BE4B3ECF-2D8B-4C64-A5F2-6B720EAEE3AC}" name="28526" dataDxfId="1853" dataCellStyle="Currency"/>
    <tableColumn id="1933" xr3:uid="{0253C0FD-29CA-4700-BEB7-2DAFF381D0C3}" name="28527" dataDxfId="1852" dataCellStyle="Currency"/>
    <tableColumn id="1934" xr3:uid="{F45CC5C9-16DF-486C-B46F-E76D3E356EAF}" name="28528" dataDxfId="1851" dataCellStyle="Currency"/>
    <tableColumn id="1935" xr3:uid="{7CA091F4-0DFD-4996-9E3D-3673E8D96D3E}" name="28529" dataDxfId="1850" dataCellStyle="Currency"/>
    <tableColumn id="1936" xr3:uid="{07220335-D322-42A9-BEF1-64758D7E5F56}" name="28530" dataDxfId="1849" dataCellStyle="Currency"/>
    <tableColumn id="1937" xr3:uid="{154A6B36-2D0E-4243-B1CF-851FB1B2B5A4}" name="28531" dataDxfId="1848" dataCellStyle="Currency"/>
    <tableColumn id="1938" xr3:uid="{23A87AEC-2946-4B51-B30C-4FD890930041}" name="28532" dataDxfId="1847" dataCellStyle="Currency"/>
    <tableColumn id="1939" xr3:uid="{4C8B1299-70FD-41C8-BCD5-4D23794DDB39}" name="28533" dataDxfId="1846" dataCellStyle="Currency"/>
    <tableColumn id="1940" xr3:uid="{D457F413-EEAD-484F-B3A1-FE0ED9E80F70}" name="28537" dataDxfId="1845" dataCellStyle="Currency"/>
    <tableColumn id="1941" xr3:uid="{2528D15F-A722-45E5-B089-F5518AD4F97E}" name="28538" dataDxfId="1844" dataCellStyle="Currency"/>
    <tableColumn id="1942" xr3:uid="{587E86EB-A5BE-49E1-B90B-EF0F37415690}" name="28539" dataDxfId="1843" dataCellStyle="Currency"/>
    <tableColumn id="1943" xr3:uid="{57E17124-87D8-488A-BB2C-285F7193C571}" name="28540" dataDxfId="1842" dataCellStyle="Currency"/>
    <tableColumn id="1944" xr3:uid="{90F777A9-3FAE-4CCA-902D-B1203069840E}" name="28542" dataDxfId="1841" dataCellStyle="Currency"/>
    <tableColumn id="1945" xr3:uid="{F3200CE2-3E6F-45DA-A679-3ECFACCC5F8F}" name="28543" dataDxfId="1840" dataCellStyle="Currency"/>
    <tableColumn id="1946" xr3:uid="{6FE768CB-7D2E-47B6-ADC4-7B0522CEFCC4}" name="28544" dataDxfId="1839" dataCellStyle="Currency"/>
    <tableColumn id="1947" xr3:uid="{67705C22-BA1C-4AAC-9A7E-1D7ABA7174A6}" name="28546" dataDxfId="1838" dataCellStyle="Currency"/>
    <tableColumn id="1948" xr3:uid="{05E01B46-2C46-45FC-B5CC-07686A0FBADE}" name="28547" dataDxfId="1837" dataCellStyle="Currency"/>
    <tableColumn id="1949" xr3:uid="{68E5EA32-8862-455B-8D3D-2EB80261C555}" name="28551" dataDxfId="1836" dataCellStyle="Currency"/>
    <tableColumn id="1950" xr3:uid="{FB23626E-B171-4A07-B5AD-309EC3214C9E}" name="28552" dataDxfId="1835" dataCellStyle="Currency"/>
    <tableColumn id="1951" xr3:uid="{D3AA09ED-7574-44AC-AA6A-ACA0FA657F10}" name="28553" dataDxfId="1834" dataCellStyle="Currency"/>
    <tableColumn id="1952" xr3:uid="{C0B9E735-7DA5-40FF-B3B0-2ABF36D2DDC2}" name="28554" dataDxfId="1833" dataCellStyle="Currency"/>
    <tableColumn id="1953" xr3:uid="{283D1D00-70F0-434D-8F31-BF5B1572B795}" name="28555" dataDxfId="1832" dataCellStyle="Currency"/>
    <tableColumn id="1954" xr3:uid="{D64A51AC-7935-4B60-AADE-6C59180A61EA}" name="28556" dataDxfId="1831" dataCellStyle="Currency"/>
    <tableColumn id="1955" xr3:uid="{163C493D-19AB-428D-A3C8-8841A07FEA1F}" name="28557" dataDxfId="1830" dataCellStyle="Currency"/>
    <tableColumn id="1956" xr3:uid="{2DA31130-F0EB-49EF-B5AE-1D4E0E837857}" name="28560" dataDxfId="1829" dataCellStyle="Currency"/>
    <tableColumn id="1957" xr3:uid="{7399BFB2-2B32-448E-8D60-EE2BB26468C0}" name="28562" dataDxfId="1828" dataCellStyle="Currency"/>
    <tableColumn id="1958" xr3:uid="{42F0466A-8A15-4C83-B323-10B7D343DF0B}" name="28570" dataDxfId="1827" dataCellStyle="Currency"/>
    <tableColumn id="1959" xr3:uid="{192D24D7-14B6-4992-989D-84C8A1B6D213}" name="28571" dataDxfId="1826" dataCellStyle="Currency"/>
    <tableColumn id="1960" xr3:uid="{A93501D5-B5B0-4BAA-89AB-3097DF490712}" name="28572" dataDxfId="1825" dataCellStyle="Currency"/>
    <tableColumn id="1961" xr3:uid="{D70FBB7A-56AC-4D3E-B819-8D7977EBD75E}" name="28573" dataDxfId="1824" dataCellStyle="Currency"/>
    <tableColumn id="1962" xr3:uid="{1916A2A4-682F-414C-94B8-B83D1990DBC6}" name="28574" dataDxfId="1823" dataCellStyle="Currency"/>
    <tableColumn id="1963" xr3:uid="{D182695B-C3A4-4373-8433-DBAF5C5577B6}" name="28575" dataDxfId="1822" dataCellStyle="Currency"/>
    <tableColumn id="1964" xr3:uid="{96036CC1-6A18-4EB8-B1E1-CD96CC4A19B0}" name="28577" dataDxfId="1821" dataCellStyle="Currency"/>
    <tableColumn id="1965" xr3:uid="{5A363AC3-3055-4238-BE4E-3A706EA96DE9}" name="28578" dataDxfId="1820" dataCellStyle="Currency"/>
    <tableColumn id="1966" xr3:uid="{4D6ED0D0-3871-46FC-976A-E62660D2A52F}" name="28579" dataDxfId="1819" dataCellStyle="Currency"/>
    <tableColumn id="1967" xr3:uid="{7E270AE5-8BDC-408B-8BD0-87149C83904C}" name="28580" dataDxfId="1818" dataCellStyle="Currency"/>
    <tableColumn id="1968" xr3:uid="{C67DE76F-D76F-4571-957A-7CB2715F6CBB}" name="28581" dataDxfId="1817" dataCellStyle="Currency"/>
    <tableColumn id="1969" xr3:uid="{81E76417-A6AD-4982-A5F6-0055EDFD2C3F}" name="28582" dataDxfId="1816" dataCellStyle="Currency"/>
    <tableColumn id="1970" xr3:uid="{C7F2F46A-4AEA-4B52-AE8D-F608398E73AC}" name="28584" dataDxfId="1815" dataCellStyle="Currency"/>
    <tableColumn id="1971" xr3:uid="{83624EAE-3057-4F7E-81A8-CCAD643E9653}" name="28585" dataDxfId="1814" dataCellStyle="Currency"/>
    <tableColumn id="1972" xr3:uid="{F88D6E0F-30CB-4667-8A39-8A494AFA839C}" name="28586" dataDxfId="1813" dataCellStyle="Currency"/>
    <tableColumn id="1973" xr3:uid="{C84F4901-DFCE-431C-820B-C24AEBF5ABE7}" name="28587" dataDxfId="1812" dataCellStyle="Currency"/>
    <tableColumn id="1974" xr3:uid="{258D0D78-1F32-477D-BC75-4DAD5C12BF2B}" name="28589" dataDxfId="1811" dataCellStyle="Currency"/>
    <tableColumn id="1975" xr3:uid="{53698CB1-08B5-4C59-A7D6-0EF096BFCD06}" name="28590" dataDxfId="1810" dataCellStyle="Currency"/>
    <tableColumn id="1976" xr3:uid="{EF54D12C-ECDF-455C-A4B5-B429F2EF5505}" name="28594" dataDxfId="1809" dataCellStyle="Currency"/>
    <tableColumn id="1977" xr3:uid="{BA250280-DBF1-42E4-A90E-91BDADA22CA5}" name="28601" dataDxfId="1808" dataCellStyle="Currency"/>
    <tableColumn id="1978" xr3:uid="{666F0FDB-ADF1-4E1B-984B-01D0388BB1C0}" name="28602" dataDxfId="1807" dataCellStyle="Currency"/>
    <tableColumn id="1979" xr3:uid="{0A5CB28C-8C51-4D1E-ACD5-E9BD38AA59E4}" name="28604" dataDxfId="1806" dataCellStyle="Currency"/>
    <tableColumn id="1980" xr3:uid="{7494A512-2F67-48CC-B1B1-327EB1E103CA}" name="28605" dataDxfId="1805" dataCellStyle="Currency"/>
    <tableColumn id="1981" xr3:uid="{376ED5F0-8952-4C30-8A75-DE5EC404A226}" name="28606" dataDxfId="1804" dataCellStyle="Currency"/>
    <tableColumn id="1982" xr3:uid="{5741FBE0-B67B-49EF-889B-88155A1E258D}" name="28607" dataDxfId="1803" dataCellStyle="Currency"/>
    <tableColumn id="1983" xr3:uid="{AEFFF5F2-DD20-4824-B87D-9307E042986E}" name="28609" dataDxfId="1802" dataCellStyle="Currency"/>
    <tableColumn id="1984" xr3:uid="{C13F38D6-962A-4372-A7E8-CA9C6A4F3F6B}" name="28610" dataDxfId="1801" dataCellStyle="Currency"/>
    <tableColumn id="1985" xr3:uid="{87003FD5-1E7D-41D0-B869-32BE1E98631A}" name="28611" dataDxfId="1800" dataCellStyle="Currency"/>
    <tableColumn id="1986" xr3:uid="{B79C30B1-5516-42CA-A2F6-B202F3FB63EE}" name="28612" dataDxfId="1799" dataCellStyle="Currency"/>
    <tableColumn id="1987" xr3:uid="{1B4B18FE-18BB-48F5-B890-9A9E9F383CB2}" name="28613" dataDxfId="1798" dataCellStyle="Currency"/>
    <tableColumn id="1988" xr3:uid="{901C1B21-B90A-4DBA-8719-496037F5D30C}" name="28615" dataDxfId="1797" dataCellStyle="Currency"/>
    <tableColumn id="1989" xr3:uid="{1C91C007-50F7-4368-819F-670DBDDFFC89}" name="28616" dataDxfId="1796" dataCellStyle="Currency"/>
    <tableColumn id="1990" xr3:uid="{142496C4-195D-49EE-97D6-D0315AA242D4}" name="28617" dataDxfId="1795" dataCellStyle="Currency"/>
    <tableColumn id="1991" xr3:uid="{2A4D23F3-51E1-40AD-9988-B5864B323DD7}" name="28618" dataDxfId="1794" dataCellStyle="Currency"/>
    <tableColumn id="1992" xr3:uid="{39F97A02-F8A5-4E86-83C0-68C91B0A87C7}" name="28619" dataDxfId="1793" dataCellStyle="Currency"/>
    <tableColumn id="1993" xr3:uid="{A5C9C072-A144-41A7-AFB1-FD39331F54D6}" name="28621" dataDxfId="1792" dataCellStyle="Currency"/>
    <tableColumn id="1994" xr3:uid="{60CD9CA4-9FF9-417F-AAF4-1C269A9046DB}" name="28622" dataDxfId="1791" dataCellStyle="Currency"/>
    <tableColumn id="1995" xr3:uid="{96519EC9-5C6B-4CBF-B9FB-E17267C7B1D1}" name="28623" dataDxfId="1790" dataCellStyle="Currency"/>
    <tableColumn id="1996" xr3:uid="{C98B621F-E103-480E-951B-906F0E08ADEA}" name="28624" dataDxfId="1789" dataCellStyle="Currency"/>
    <tableColumn id="1997" xr3:uid="{2E57EFDE-B9B3-412B-82E3-AF96E439624F}" name="28625" dataDxfId="1788" dataCellStyle="Currency"/>
    <tableColumn id="1998" xr3:uid="{C05BBEEF-CFAA-43BD-AC0D-8533907E02A6}" name="28626" dataDxfId="1787" dataCellStyle="Currency"/>
    <tableColumn id="1999" xr3:uid="{2B250555-090B-4BE4-8181-B504DB7F578C}" name="28627" dataDxfId="1786" dataCellStyle="Currency"/>
    <tableColumn id="2000" xr3:uid="{DF0698C2-DECF-4F61-AB07-B28138CA12FC}" name="28628" dataDxfId="1785" dataCellStyle="Currency"/>
    <tableColumn id="2001" xr3:uid="{A3306C99-851B-4D69-96D3-F78398913836}" name="28629" dataDxfId="1784" dataCellStyle="Currency"/>
    <tableColumn id="2002" xr3:uid="{34692161-E1CC-4BD5-A37D-835EC84B5147}" name="28630" dataDxfId="1783" dataCellStyle="Currency"/>
    <tableColumn id="2003" xr3:uid="{E794715A-85FB-4DFD-B367-DC427FA95402}" name="28631" dataDxfId="1782" dataCellStyle="Currency"/>
    <tableColumn id="2004" xr3:uid="{1846AB6F-053B-4FF9-BDDC-34CE89753D36}" name="28634" dataDxfId="1781" dataCellStyle="Currency"/>
    <tableColumn id="2005" xr3:uid="{EBB614F9-A671-4BBD-8B94-D2F5DD8287FA}" name="28635" dataDxfId="1780" dataCellStyle="Currency"/>
    <tableColumn id="2006" xr3:uid="{E2054DED-A941-4930-AAF4-4AB5DB72B7B6}" name="28636" dataDxfId="1779" dataCellStyle="Currency"/>
    <tableColumn id="2007" xr3:uid="{8F0492CD-297C-4E9C-A456-1A9270B2212A}" name="28637" dataDxfId="1778" dataCellStyle="Currency"/>
    <tableColumn id="2008" xr3:uid="{A7889874-F955-42D0-8A59-0B41DA649037}" name="28638" dataDxfId="1777" dataCellStyle="Currency"/>
    <tableColumn id="2009" xr3:uid="{DD0619B8-5C1E-4AC5-B977-94D6CA9B561D}" name="28640" dataDxfId="1776" dataCellStyle="Currency"/>
    <tableColumn id="2010" xr3:uid="{09877B8D-8E99-42E6-9E19-A4DF19A63F04}" name="28641" dataDxfId="1775" dataCellStyle="Currency"/>
    <tableColumn id="2011" xr3:uid="{1D2F2572-29FC-4AA6-A120-96BCEBD52CA7}" name="28642" dataDxfId="1774" dataCellStyle="Currency"/>
    <tableColumn id="2012" xr3:uid="{C60B2A5C-5208-435C-9F10-81C79231937B}" name="28643" dataDxfId="1773" dataCellStyle="Currency"/>
    <tableColumn id="2013" xr3:uid="{3C067F77-D34E-4F05-AAAF-808F7BBEB0B3}" name="28644" dataDxfId="1772" dataCellStyle="Currency"/>
    <tableColumn id="2014" xr3:uid="{26DB6110-AE0C-4DE4-806B-D014FF65A305}" name="28645" dataDxfId="1771" dataCellStyle="Currency"/>
    <tableColumn id="2015" xr3:uid="{D28CAB64-0EF0-481B-91C5-6C4139AE09EF}" name="28646" dataDxfId="1770" dataCellStyle="Currency"/>
    <tableColumn id="2016" xr3:uid="{DE3506E3-729D-4B7A-86C7-2370B4BDAD3E}" name="28649" dataDxfId="1769" dataCellStyle="Currency"/>
    <tableColumn id="2017" xr3:uid="{73E516E1-0C27-4D5B-B2F1-8876C64660BF}" name="28650" dataDxfId="1768" dataCellStyle="Currency"/>
    <tableColumn id="2018" xr3:uid="{0E0F37B7-1684-444C-BC32-BD59A46894A3}" name="28651" dataDxfId="1767" dataCellStyle="Currency"/>
    <tableColumn id="2019" xr3:uid="{1986AAD0-F7FB-4DFD-88AA-32BB403D46BC}" name="28652" dataDxfId="1766" dataCellStyle="Currency"/>
    <tableColumn id="2020" xr3:uid="{DDD81353-E714-4FD3-8D8D-094607952C68}" name="28653" dataDxfId="1765" dataCellStyle="Currency"/>
    <tableColumn id="2021" xr3:uid="{46CA71AE-A3B5-45E2-9D7D-DC828C656F3A}" name="28654" dataDxfId="1764" dataCellStyle="Currency"/>
    <tableColumn id="2022" xr3:uid="{8F9D4C7B-3475-4F14-83E5-1930DA77621B}" name="28655" dataDxfId="1763" dataCellStyle="Currency"/>
    <tableColumn id="2023" xr3:uid="{444B2323-E0C0-4E8A-95D0-5958ECB673F7}" name="28657" dataDxfId="1762" dataCellStyle="Currency"/>
    <tableColumn id="2024" xr3:uid="{80FC0153-87C0-4AC5-AB20-8D311BB237EF}" name="28658" dataDxfId="1761" dataCellStyle="Currency"/>
    <tableColumn id="2025" xr3:uid="{F1F538CC-5675-4C52-B49E-C275057ED213}" name="28659" dataDxfId="1760" dataCellStyle="Currency"/>
    <tableColumn id="2026" xr3:uid="{9D3531DD-23F3-4715-A182-FCAA59B74BAC}" name="28660" dataDxfId="1759" dataCellStyle="Currency"/>
    <tableColumn id="2027" xr3:uid="{6F066732-7F1E-485E-8320-6A5C30CB92A3}" name="28662" dataDxfId="1758" dataCellStyle="Currency"/>
    <tableColumn id="2028" xr3:uid="{98840630-4B41-40BC-AE95-BF6F1B96F3EA}" name="28663" dataDxfId="1757" dataCellStyle="Currency"/>
    <tableColumn id="2029" xr3:uid="{93304731-53E8-431B-9940-33EEA5D237E5}" name="28664" dataDxfId="1756" dataCellStyle="Currency"/>
    <tableColumn id="2030" xr3:uid="{A30E7A58-6267-4ED7-AC5C-1213AAE1B912}" name="28665" dataDxfId="1755" dataCellStyle="Currency"/>
    <tableColumn id="2031" xr3:uid="{8B04AEB7-A2B8-4E84-9D1D-34BA3A7C52E1}" name="28666" dataDxfId="1754" dataCellStyle="Currency"/>
    <tableColumn id="2032" xr3:uid="{3429452B-B880-4A40-99DC-938093B5B8E2}" name="28667" dataDxfId="1753" dataCellStyle="Currency"/>
    <tableColumn id="2033" xr3:uid="{DBA303F2-C3DE-480A-BF9D-CCADE5BFBBF8}" name="28668" dataDxfId="1752" dataCellStyle="Currency"/>
    <tableColumn id="2034" xr3:uid="{F0B21187-3D83-4FA8-A3C8-64B512602A83}" name="28669" dataDxfId="1751" dataCellStyle="Currency"/>
    <tableColumn id="2035" xr3:uid="{A441D801-E54E-41BB-B933-7A36A6274FF8}" name="28670" dataDxfId="1750" dataCellStyle="Currency"/>
    <tableColumn id="2036" xr3:uid="{112AFA5E-798D-4D9F-9B1D-F2254A8057E0}" name="28671" dataDxfId="1749" dataCellStyle="Currency"/>
    <tableColumn id="2037" xr3:uid="{C7CD7148-B5D5-4906-B30F-9E8A385F68BF}" name="28672" dataDxfId="1748" dataCellStyle="Currency"/>
    <tableColumn id="2038" xr3:uid="{ECFE5ADF-E187-420A-B8A2-5DFE2AC941E9}" name="28673" dataDxfId="1747" dataCellStyle="Currency"/>
    <tableColumn id="2039" xr3:uid="{8CD1C283-3A1D-42BE-91B0-6F8B7A1A1D11}" name="28675" dataDxfId="1746" dataCellStyle="Currency"/>
    <tableColumn id="2040" xr3:uid="{CAA043E8-ACA9-4D9E-9E55-E76D000304BC}" name="28676" dataDxfId="1745" dataCellStyle="Currency"/>
    <tableColumn id="2041" xr3:uid="{2B75C880-91F7-43D8-8066-D7E6A7C4FC17}" name="28677" dataDxfId="1744" dataCellStyle="Currency"/>
    <tableColumn id="2042" xr3:uid="{62C7FE90-FBDD-4DD1-B0BA-B6F7EB9F5E98}" name="28678" dataDxfId="1743" dataCellStyle="Currency"/>
    <tableColumn id="2043" xr3:uid="{03BCC16A-FAB8-42BB-A16C-3857A3C4896F}" name="28679" dataDxfId="1742" dataCellStyle="Currency"/>
    <tableColumn id="2044" xr3:uid="{A943A1BF-BD47-4C1F-8606-A2BF6EA30D55}" name="28681" dataDxfId="1741" dataCellStyle="Currency"/>
    <tableColumn id="2045" xr3:uid="{C04C5C50-C280-45C2-902C-8EF1F9CD8B11}" name="28682" dataDxfId="1740" dataCellStyle="Currency"/>
    <tableColumn id="2046" xr3:uid="{8F71F11D-A2F1-49EE-84A7-331C2922970A}" name="28683" dataDxfId="1739" dataCellStyle="Currency"/>
    <tableColumn id="2047" xr3:uid="{D4B58E64-44CD-4A48-AFA2-602B0B7D30C6}" name="28684" dataDxfId="1738" dataCellStyle="Currency"/>
    <tableColumn id="2048" xr3:uid="{DD1F9772-F4C8-4AE2-B672-453B69CCEE43}" name="28685" dataDxfId="1737" dataCellStyle="Currency"/>
    <tableColumn id="2049" xr3:uid="{C7FCB91B-9D99-4597-B9BB-F6FB4ACF2D68}" name="28689" dataDxfId="1736" dataCellStyle="Currency"/>
    <tableColumn id="2050" xr3:uid="{B7B04C98-740A-44AE-8D52-9AE19AE58849}" name="28690" dataDxfId="1735" dataCellStyle="Currency"/>
    <tableColumn id="2051" xr3:uid="{E456879A-6F27-48F0-9009-DBC7FFD8999C}" name="28692" dataDxfId="1734" dataCellStyle="Currency"/>
    <tableColumn id="2052" xr3:uid="{5A1AF873-4D43-4345-A373-F39277948416}" name="28693" dataDxfId="1733" dataCellStyle="Currency"/>
    <tableColumn id="2053" xr3:uid="{C881EFEA-DA51-42CF-B128-8EF14CD87D1A}" name="28694" dataDxfId="1732" dataCellStyle="Currency"/>
    <tableColumn id="2054" xr3:uid="{DA44571C-43F7-49A0-9FDF-6D708EC9FD8C}" name="28697" dataDxfId="1731" dataCellStyle="Currency"/>
    <tableColumn id="2055" xr3:uid="{92E6C55D-2AD4-402E-BBA7-CAB3436CCC35}" name="28698" dataDxfId="1730" dataCellStyle="Currency"/>
    <tableColumn id="2056" xr3:uid="{4452B05B-415B-48AC-A59A-AAEC7D433410}" name="28701" dataDxfId="1729" dataCellStyle="Currency"/>
    <tableColumn id="2057" xr3:uid="{5893DC19-7F07-41CC-B1D1-37C680179A19}" name="28702" dataDxfId="1728" dataCellStyle="Currency"/>
    <tableColumn id="2058" xr3:uid="{D87B173F-381B-442B-AFD3-43376538D49E}" name="28704" dataDxfId="1727" dataCellStyle="Currency"/>
    <tableColumn id="2059" xr3:uid="{7D94A272-0DA8-4720-8F3A-A25EC1624150}" name="28705" dataDxfId="1726" dataCellStyle="Currency"/>
    <tableColumn id="2060" xr3:uid="{3A0102B8-661A-4321-827E-BD97B3E8441C}" name="28707" dataDxfId="1725" dataCellStyle="Currency"/>
    <tableColumn id="2061" xr3:uid="{C327CF03-B775-4032-93D2-7D6D2A58831E}" name="28708" dataDxfId="1724" dataCellStyle="Currency"/>
    <tableColumn id="2062" xr3:uid="{CCCF957F-64EF-4B4D-BC48-E13A8E44B537}" name="28709" dataDxfId="1723" dataCellStyle="Currency"/>
    <tableColumn id="2063" xr3:uid="{8C056F02-CC66-4BC0-96A0-272B9C71753A}" name="28710" dataDxfId="1722" dataCellStyle="Currency"/>
    <tableColumn id="2064" xr3:uid="{F35736F5-5EBD-4A9B-B8A2-27696BAAA20A}" name="28711" dataDxfId="1721" dataCellStyle="Currency"/>
    <tableColumn id="2065" xr3:uid="{7B6058D3-EEA3-4EAC-9634-2C3AE3D99A0F}" name="28712" dataDxfId="1720" dataCellStyle="Currency"/>
    <tableColumn id="2066" xr3:uid="{F91D38F5-E0B1-4932-BE18-AB4C877DC061}" name="28713" dataDxfId="1719" dataCellStyle="Currency"/>
    <tableColumn id="2067" xr3:uid="{1E8C35A8-1BC3-44DC-A11B-CB46E0DC7E93}" name="28714" dataDxfId="1718" dataCellStyle="Currency"/>
    <tableColumn id="2068" xr3:uid="{EDB1488E-297B-4971-90E1-CAE34815812F}" name="28715" dataDxfId="1717" dataCellStyle="Currency"/>
    <tableColumn id="2069" xr3:uid="{29AA43C2-DD6E-4964-A61F-7235190B1B44}" name="28716" dataDxfId="1716" dataCellStyle="Currency"/>
    <tableColumn id="2070" xr3:uid="{B983CF75-6668-4A2A-B7AF-0D908C4428D8}" name="28717" dataDxfId="1715" dataCellStyle="Currency"/>
    <tableColumn id="2071" xr3:uid="{C7EE3127-F679-4C29-9875-938E1B192630}" name="28718" dataDxfId="1714" dataCellStyle="Currency"/>
    <tableColumn id="2072" xr3:uid="{B901AEC2-0D4B-4593-8579-802206D2D9BD}" name="28719" dataDxfId="1713" dataCellStyle="Currency"/>
    <tableColumn id="2073" xr3:uid="{518EEB04-FCFA-4755-B2F6-81F860168442}" name="28720" dataDxfId="1712" dataCellStyle="Currency"/>
    <tableColumn id="2074" xr3:uid="{62E428D3-58A9-442D-8F37-18ED99A8C027}" name="28721" dataDxfId="1711" dataCellStyle="Currency"/>
    <tableColumn id="2075" xr3:uid="{6BB9823A-8851-443D-A452-6778B8C4E6A8}" name="28722" dataDxfId="1710" dataCellStyle="Currency"/>
    <tableColumn id="2076" xr3:uid="{E1A02590-CDD7-4F5E-9D4A-8C85303E730D}" name="28723" dataDxfId="1709" dataCellStyle="Currency"/>
    <tableColumn id="2077" xr3:uid="{EA7884AD-9D49-4B29-BD30-00942EBAC25D}" name="28725" dataDxfId="1708" dataCellStyle="Currency"/>
    <tableColumn id="2078" xr3:uid="{4511DE61-947A-48D7-B344-8D57AB84F4F8}" name="28726" dataDxfId="1707" dataCellStyle="Currency"/>
    <tableColumn id="2079" xr3:uid="{603DEFED-68F6-4429-8FD0-E60D4002A957}" name="28729" dataDxfId="1706" dataCellStyle="Currency"/>
    <tableColumn id="2080" xr3:uid="{76D710FE-A266-46F8-A15B-C54C8BC4F56D}" name="28730" dataDxfId="1705" dataCellStyle="Currency"/>
    <tableColumn id="2081" xr3:uid="{EB2E4621-0AD4-4EFD-9242-1766A74F2D20}" name="28731" dataDxfId="1704" dataCellStyle="Currency"/>
    <tableColumn id="2082" xr3:uid="{302514F2-1FCE-4B04-9F1E-EF295E7C70AF}" name="28732" dataDxfId="1703" dataCellStyle="Currency"/>
    <tableColumn id="2083" xr3:uid="{5BF4CC5B-892C-4B5D-92AA-924CEACBE8A8}" name="28733" dataDxfId="1702" dataCellStyle="Currency"/>
    <tableColumn id="2084" xr3:uid="{6168B0BF-4DE0-4596-AEBD-A867DCBED2D0}" name="28734" dataDxfId="1701" dataCellStyle="Currency"/>
    <tableColumn id="2085" xr3:uid="{7092E2AD-CA04-4FA1-AEF0-DF656F7509F7}" name="28735" dataDxfId="1700" dataCellStyle="Currency"/>
    <tableColumn id="2086" xr3:uid="{29DD6302-E29C-477F-BC8C-720A8A9B661B}" name="28736" dataDxfId="1699" dataCellStyle="Currency"/>
    <tableColumn id="2087" xr3:uid="{2A0CFF6C-8CD8-4A36-A892-8ADE9753520B}" name="28739" dataDxfId="1698" dataCellStyle="Currency"/>
    <tableColumn id="2088" xr3:uid="{FDD17B86-D17C-4146-8FFA-B1FCE557CEF4}" name="28740" dataDxfId="1697" dataCellStyle="Currency"/>
    <tableColumn id="2089" xr3:uid="{E6D8F2B2-F16E-4CAC-95E8-C763A30617C6}" name="28741" dataDxfId="1696" dataCellStyle="Currency"/>
    <tableColumn id="2090" xr3:uid="{5678DF23-5458-4617-8ED8-C977CE34A51A}" name="28742" dataDxfId="1695" dataCellStyle="Currency"/>
    <tableColumn id="2091" xr3:uid="{4201E71D-D403-4477-9AD3-A1D3EFD59CFE}" name="28743" dataDxfId="1694" dataCellStyle="Currency"/>
    <tableColumn id="2092" xr3:uid="{C1CE7641-D10E-47E6-89D5-68E8AB6B9D84}" name="28745" dataDxfId="1693" dataCellStyle="Currency"/>
    <tableColumn id="2093" xr3:uid="{51C55738-0598-413E-9B0F-245815133BA3}" name="28746" dataDxfId="1692" dataCellStyle="Currency"/>
    <tableColumn id="2094" xr3:uid="{6FCFDEFE-6C71-427C-A60D-D7BC52BFCAD4}" name="28747" dataDxfId="1691" dataCellStyle="Currency"/>
    <tableColumn id="2095" xr3:uid="{C0865CEF-B693-4A84-B598-071BAF2F19AF}" name="28748" dataDxfId="1690" dataCellStyle="Currency"/>
    <tableColumn id="2096" xr3:uid="{2371DB61-287D-4E0C-8484-24B0203A6D56}" name="28749" dataDxfId="1689" dataCellStyle="Currency"/>
    <tableColumn id="2097" xr3:uid="{369C61C1-9ADE-456B-B457-F83EEF690E20}" name="28751" dataDxfId="1688" dataCellStyle="Currency"/>
    <tableColumn id="2098" xr3:uid="{B7168EED-728E-492B-A46A-5DB34B3BA07F}" name="28752" dataDxfId="1687" dataCellStyle="Currency"/>
    <tableColumn id="2099" xr3:uid="{11F37434-995E-44D9-BE53-9F9C2C267360}" name="28753" dataDxfId="1686" dataCellStyle="Currency"/>
    <tableColumn id="2100" xr3:uid="{0E894D25-4A6E-47C6-B4FA-D41161FF95ED}" name="28754" dataDxfId="1685" dataCellStyle="Currency"/>
    <tableColumn id="2101" xr3:uid="{C436514A-304F-4DE4-978E-3EC39ADB47B6}" name="28755" dataDxfId="1684" dataCellStyle="Currency"/>
    <tableColumn id="2102" xr3:uid="{08434470-2CDF-4C1A-B24D-C2129287792C}" name="28756" dataDxfId="1683" dataCellStyle="Currency"/>
    <tableColumn id="2103" xr3:uid="{4078B651-1682-41D8-B42C-07E3083A8118}" name="28757" dataDxfId="1682" dataCellStyle="Currency"/>
    <tableColumn id="2104" xr3:uid="{7D16F7C1-9A73-413D-B97E-CE170278B3CF}" name="28758" dataDxfId="1681" dataCellStyle="Currency"/>
    <tableColumn id="2105" xr3:uid="{4C1140D0-C5F2-4009-9A37-A511A249B62D}" name="28759" dataDxfId="1680" dataCellStyle="Currency"/>
    <tableColumn id="2106" xr3:uid="{B04AFF96-EE25-4003-BDD4-20852F675A94}" name="28761" dataDxfId="1679" dataCellStyle="Currency"/>
    <tableColumn id="2107" xr3:uid="{0FE10490-5834-45DB-BA8F-36E2DA46CB71}" name="28762" dataDxfId="1678" dataCellStyle="Currency"/>
    <tableColumn id="2108" xr3:uid="{2942E91F-E316-44B7-9C03-BB1073194BE6}" name="28763" dataDxfId="1677" dataCellStyle="Currency"/>
    <tableColumn id="2109" xr3:uid="{E404E3FF-99C2-47C3-9F23-E12BBBADA23B}" name="28766" dataDxfId="1676" dataCellStyle="Currency"/>
    <tableColumn id="2110" xr3:uid="{A5EFDC7E-6E87-4BFC-AC38-B601162F9908}" name="28768" dataDxfId="1675" dataCellStyle="Currency"/>
    <tableColumn id="2111" xr3:uid="{60D1F3BC-4995-4A80-86AF-94B7E49E66A4}" name="28770" dataDxfId="1674" dataCellStyle="Currency"/>
    <tableColumn id="2112" xr3:uid="{DBCA9FDF-B252-4321-81DB-74F5402B95D6}" name="28771" dataDxfId="1673" dataCellStyle="Currency"/>
    <tableColumn id="2113" xr3:uid="{74C96D00-4909-437E-9DA3-19A3CA48F38A}" name="28772" dataDxfId="1672" dataCellStyle="Currency"/>
    <tableColumn id="2114" xr3:uid="{53F997E0-036E-4583-8FD6-023D309A43C6}" name="28773" dataDxfId="1671" dataCellStyle="Currency"/>
    <tableColumn id="2115" xr3:uid="{68469D2A-0744-45D6-A9E8-3A2392A2D870}" name="28774" dataDxfId="1670" dataCellStyle="Currency"/>
    <tableColumn id="2116" xr3:uid="{59A25106-DC2A-4DF0-A26E-101BC00CBA8A}" name="28775" dataDxfId="1669" dataCellStyle="Currency"/>
    <tableColumn id="2117" xr3:uid="{E545AA60-E663-40DD-B0E7-AA2931CD9075}" name="28777" dataDxfId="1668" dataCellStyle="Currency"/>
    <tableColumn id="2118" xr3:uid="{A9378B9D-E736-403C-BD22-F8D0BE2E53A3}" name="28778" dataDxfId="1667" dataCellStyle="Currency"/>
    <tableColumn id="2119" xr3:uid="{98255C24-052A-4F5D-A605-7ACBAA877CC1}" name="28779" dataDxfId="1666" dataCellStyle="Currency"/>
    <tableColumn id="2120" xr3:uid="{04D4D9C8-573D-4F9F-B7DC-CAB8193215E3}" name="28781" dataDxfId="1665" dataCellStyle="Currency"/>
    <tableColumn id="2121" xr3:uid="{5C2826BC-C021-405F-8EE3-AFB841685EE3}" name="28782" dataDxfId="1664" dataCellStyle="Currency"/>
    <tableColumn id="2122" xr3:uid="{3F6EE8C6-39B6-4881-A957-62B670CD398B}" name="28783" dataDxfId="1663" dataCellStyle="Currency"/>
    <tableColumn id="2123" xr3:uid="{3E2FF552-A552-450C-873D-250559BF83EF}" name="28785" dataDxfId="1662" dataCellStyle="Currency"/>
    <tableColumn id="2124" xr3:uid="{ED1F7930-04DE-443C-B36A-4CB259BABD00}" name="28786" dataDxfId="1661" dataCellStyle="Currency"/>
    <tableColumn id="2125" xr3:uid="{B55C0898-0DD9-449C-8F1E-85D0137E1019}" name="28787" dataDxfId="1660" dataCellStyle="Currency"/>
    <tableColumn id="2126" xr3:uid="{175DF699-30D1-41EC-AD4A-B05D49A7108F}" name="28788" dataDxfId="1659" dataCellStyle="Currency"/>
    <tableColumn id="2127" xr3:uid="{2B6F2CD6-286A-4C83-8FE0-86B52AA737BE}" name="28789" dataDxfId="1658" dataCellStyle="Currency"/>
    <tableColumn id="2128" xr3:uid="{1DE69105-3C87-48CB-A100-543C0C64C906}" name="28790" dataDxfId="1657" dataCellStyle="Currency"/>
    <tableColumn id="2129" xr3:uid="{E2C5B255-061C-447C-B874-2478DFB5BAE7}" name="28791" dataDxfId="1656" dataCellStyle="Currency"/>
    <tableColumn id="2130" xr3:uid="{6ADFC113-A1DC-4371-ABD9-2CBB541183B0}" name="28792" dataDxfId="1655" dataCellStyle="Currency"/>
    <tableColumn id="2131" xr3:uid="{AB939C55-9659-413E-80C6-FFA416E00E6B}" name="28801" dataDxfId="1654" dataCellStyle="Currency"/>
    <tableColumn id="2132" xr3:uid="{7A468F7D-1AA9-4ED6-B3A2-455924781405}" name="28803" dataDxfId="1653" dataCellStyle="Currency"/>
    <tableColumn id="2133" xr3:uid="{B48045A0-FC6B-4C2F-ABFF-CC9F39EE349E}" name="28804" dataDxfId="1652" dataCellStyle="Currency"/>
    <tableColumn id="2134" xr3:uid="{45A1AF35-4E9F-4A1D-B951-A346021D5ED4}" name="28805" dataDxfId="1651" dataCellStyle="Currency"/>
    <tableColumn id="2135" xr3:uid="{D7C010F9-B0B4-454A-9153-53897B56519B}" name="28806" dataDxfId="1650" dataCellStyle="Currency"/>
    <tableColumn id="2136" xr3:uid="{B4E87764-171C-41B1-8C6E-F251E63FBA95}" name="28901" dataDxfId="1649" dataCellStyle="Currency"/>
    <tableColumn id="2137" xr3:uid="{CFF718A5-EE07-402D-A602-3C59A3EB6922}" name="28902" dataDxfId="1648" dataCellStyle="Currency"/>
    <tableColumn id="2138" xr3:uid="{3C74473F-9328-449F-8C11-3920C639DAE4}" name="28904" dataDxfId="1647" dataCellStyle="Currency"/>
    <tableColumn id="2139" xr3:uid="{A69E907D-4253-48C8-ACDB-B16E7F401F1B}" name="28905" dataDxfId="1646" dataCellStyle="Currency"/>
    <tableColumn id="2140" xr3:uid="{1E173DDC-8854-4EFA-8055-00AFD40A4ABD}" name="28906" dataDxfId="1645" dataCellStyle="Currency"/>
    <tableColumn id="2141" xr3:uid="{D2773224-975E-4309-8505-9633E828D6D7}" name="28909" dataDxfId="1644" dataCellStyle="Currency"/>
    <tableColumn id="2142" xr3:uid="{FCF9A183-4311-4CE0-B975-EC52F4DCB57B}" name="20105" dataDxfId="1643" dataCellStyle="Currency"/>
    <tableColumn id="2143" xr3:uid="{7B6D76DA-ECAD-4351-AED0-BF780EC30876}" name="20106" dataDxfId="1642" dataCellStyle="Currency"/>
    <tableColumn id="2144" xr3:uid="{C1BC47AB-BAF2-427F-A36C-EC72F8C4C01E}" name="20109" dataDxfId="1641" dataCellStyle="Currency"/>
    <tableColumn id="2145" xr3:uid="{D2121111-49A2-4BD4-878C-5DE6A0BEE950}" name="20110" dataDxfId="1640" dataCellStyle="Currency"/>
    <tableColumn id="2146" xr3:uid="{918918D2-505A-43A9-A8BE-CB87D3CDB40C}" name="20111" dataDxfId="1639" dataCellStyle="Currency"/>
    <tableColumn id="2147" xr3:uid="{12F4322F-C47C-4B5D-AB14-825112783EBF}" name="20112" dataDxfId="1638" dataCellStyle="Currency"/>
    <tableColumn id="2148" xr3:uid="{2F822A75-4092-452F-8FEA-BBA1F659E4AC}" name="20115" dataDxfId="1637" dataCellStyle="Currency"/>
    <tableColumn id="2149" xr3:uid="{A7AA2595-0243-4534-9B9F-72E2377EAB5D}" name="20117" dataDxfId="1636" dataCellStyle="Currency"/>
    <tableColumn id="2150" xr3:uid="{3D04838C-3875-4786-B943-FC169DB71DD3}" name="20119" dataDxfId="1635" dataCellStyle="Currency"/>
    <tableColumn id="2151" xr3:uid="{9236556E-5BB2-4C99-93F7-5D2830116CAE}" name="20120" dataDxfId="1634" dataCellStyle="Currency"/>
    <tableColumn id="2152" xr3:uid="{14303DF4-2CA9-48C4-94FF-DD04372F8657}" name="20121" dataDxfId="1633" dataCellStyle="Currency"/>
    <tableColumn id="2153" xr3:uid="{7623839E-5869-4585-A65F-966EEE6035CC}" name="20124" dataDxfId="1632" dataCellStyle="Currency"/>
    <tableColumn id="2154" xr3:uid="{0CC27D5F-DEA1-4C78-86F1-78118FEB210D}" name="20129" dataDxfId="1631" dataCellStyle="Currency"/>
    <tableColumn id="2155" xr3:uid="{C0037D2F-5B01-421E-98BE-0384E864E482}" name="20130" dataDxfId="1630" dataCellStyle="Currency"/>
    <tableColumn id="2156" xr3:uid="{F19D1F3C-9B34-4AE6-96F4-416264EE51A0}" name="20132" dataDxfId="1629" dataCellStyle="Currency"/>
    <tableColumn id="2157" xr3:uid="{467DE984-124D-4A39-9369-E5D84F7750D3}" name="20135" dataDxfId="1628" dataCellStyle="Currency"/>
    <tableColumn id="2158" xr3:uid="{F460DF99-26E6-4D12-87DF-7478404825A6}" name="20136" dataDxfId="1627" dataCellStyle="Currency"/>
    <tableColumn id="2159" xr3:uid="{FFB5EBF4-7E60-48CD-B6B4-91757EB69927}" name="20137" dataDxfId="1626" dataCellStyle="Currency"/>
    <tableColumn id="2160" xr3:uid="{4928F005-2635-4321-BA60-AAC504FEEFB4}" name="20141" dataDxfId="1625" dataCellStyle="Currency"/>
    <tableColumn id="2161" xr3:uid="{42C706D4-7002-44E0-870D-04A2E328CDD1}" name="20143" dataDxfId="1624" dataCellStyle="Currency"/>
    <tableColumn id="2162" xr3:uid="{A873052B-7BDB-4CA8-A193-7CD0253B7B4B}" name="20144" dataDxfId="1623" dataCellStyle="Currency"/>
    <tableColumn id="2163" xr3:uid="{93E7BAFC-9D73-42D2-80FA-1630D0A9D641}" name="20147" dataDxfId="1622" dataCellStyle="Currency"/>
    <tableColumn id="2164" xr3:uid="{7156E513-778E-46C5-A064-0CF1FEA75D45}" name="20148" dataDxfId="1621" dataCellStyle="Currency"/>
    <tableColumn id="2165" xr3:uid="{4CE62484-2BB9-4C9B-91EB-639171008CB4}" name="20151" dataDxfId="1620" dataCellStyle="Currency"/>
    <tableColumn id="2166" xr3:uid="{4934A483-07F8-43F8-AF1F-96A9D87253D6}" name="20152" dataDxfId="1619" dataCellStyle="Currency"/>
    <tableColumn id="2167" xr3:uid="{A0F13C09-8748-47A6-951C-7B935486AE7A}" name="20155" dataDxfId="1618" dataCellStyle="Currency"/>
    <tableColumn id="2168" xr3:uid="{2080FE3C-C059-4C32-BB45-4AA103BDE018}" name="20158" dataDxfId="1617" dataCellStyle="Currency"/>
    <tableColumn id="2169" xr3:uid="{53EC9AB1-9FCC-4BC4-9ECE-A3F3C8F345E2}" name="20164" dataDxfId="1616" dataCellStyle="Currency"/>
    <tableColumn id="2170" xr3:uid="{4B0DBAFF-B3D4-487E-A003-D2A95E71E86E}" name="20165" dataDxfId="1615" dataCellStyle="Currency"/>
    <tableColumn id="2171" xr3:uid="{2833EBFF-8B35-430B-801C-CBDD670455E2}" name="20166" dataDxfId="1614" dataCellStyle="Currency"/>
    <tableColumn id="2172" xr3:uid="{9E17757F-588D-486D-B744-B385FB26D1EB}" name="20169" dataDxfId="1613" dataCellStyle="Currency"/>
    <tableColumn id="2173" xr3:uid="{6DF1FDF3-B916-436E-ADB9-32DF52DECCF3}" name="20170" dataDxfId="1612" dataCellStyle="Currency"/>
    <tableColumn id="2174" xr3:uid="{2A858CDC-0455-46C0-A69C-65A867CAE563}" name="20171" dataDxfId="1611" dataCellStyle="Currency"/>
    <tableColumn id="2175" xr3:uid="{9CDF4D46-14E5-42AC-A2BF-86B4F42B64AE}" name="20175" dataDxfId="1610" dataCellStyle="Currency"/>
    <tableColumn id="2176" xr3:uid="{69883C04-6341-4798-82F8-A649A8E35F25}" name="20176" dataDxfId="1609" dataCellStyle="Currency"/>
    <tableColumn id="2177" xr3:uid="{400DD380-71F6-49FB-A8A0-49D13A501623}" name="20180" dataDxfId="1608" dataCellStyle="Currency"/>
    <tableColumn id="2178" xr3:uid="{4D76912D-911A-4B6D-8CD0-422AD1688F03}" name="20181" dataDxfId="1607" dataCellStyle="Currency"/>
    <tableColumn id="2179" xr3:uid="{9436561D-831C-4A85-B28D-4A19DC0970E2}" name="20184" dataDxfId="1606" dataCellStyle="Currency"/>
    <tableColumn id="2180" xr3:uid="{12F7A1B2-9E46-46F9-AE2E-316E45F542C5}" name="20186" dataDxfId="1605" dataCellStyle="Currency"/>
    <tableColumn id="2181" xr3:uid="{25070EC8-5A46-47CE-941F-26773BC60637}" name="20187" dataDxfId="1604" dataCellStyle="Currency"/>
    <tableColumn id="2182" xr3:uid="{2290C4C2-1E30-4796-8DF2-7AA34253388C}" name="20190" dataDxfId="1603" dataCellStyle="Currency"/>
    <tableColumn id="2183" xr3:uid="{4C7C1DD4-B71D-45A8-9B7F-BA45D4C3CE89}" name="20191" dataDxfId="1602" dataCellStyle="Currency"/>
    <tableColumn id="2184" xr3:uid="{68592E5D-590A-432C-949C-5A5730F59BD5}" name="20194" dataDxfId="1601" dataCellStyle="Currency"/>
    <tableColumn id="2185" xr3:uid="{15E3D94E-1A8B-4FF9-B5AC-DBB254068F49}" name="20197" dataDxfId="1600" dataCellStyle="Currency"/>
    <tableColumn id="2186" xr3:uid="{1ABFEAF7-E01E-4D73-92E1-B3EBD1775267}" name="20198" dataDxfId="1599" dataCellStyle="Currency"/>
    <tableColumn id="2187" xr3:uid="{EE94389F-F27A-4520-AA7F-AB8421531CDB}" name="22003" dataDxfId="1598" dataCellStyle="Currency"/>
    <tableColumn id="2188" xr3:uid="{0F0F3569-F918-4F85-A25D-A0A58F7B02DD}" name="22015" dataDxfId="1597" dataCellStyle="Currency"/>
    <tableColumn id="2189" xr3:uid="{81B320DE-8B70-4A02-B3E6-086C0E7B1930}" name="22025" dataDxfId="1596" dataCellStyle="Currency"/>
    <tableColumn id="2190" xr3:uid="{A1F86487-7593-414A-B2CB-74CE653CFB3B}" name="22026" dataDxfId="1595" dataCellStyle="Currency"/>
    <tableColumn id="2191" xr3:uid="{93274D2C-A938-4042-B70E-A4916CE255BA}" name="22027" dataDxfId="1594" dataCellStyle="Currency"/>
    <tableColumn id="2192" xr3:uid="{A50E95BB-118F-4F08-B1AC-2F97BAE0AD1E}" name="22030" dataDxfId="1593" dataCellStyle="Currency"/>
    <tableColumn id="2193" xr3:uid="{EADE4E53-0335-402F-9E59-197E231B3B7A}" name="22031" dataDxfId="1592" dataCellStyle="Currency"/>
    <tableColumn id="2194" xr3:uid="{5C8FBEE7-0BC4-4D86-B223-127D9F0F4FD4}" name="22032" dataDxfId="1591" dataCellStyle="Currency"/>
    <tableColumn id="2195" xr3:uid="{065F8EB7-1ED2-45A6-91AC-4EBCC9F23C30}" name="22033" dataDxfId="1590" dataCellStyle="Currency"/>
    <tableColumn id="2196" xr3:uid="{EE5CF1D0-7146-462D-99F7-FFC463115A96}" name="22035" dataDxfId="1589" dataCellStyle="Currency"/>
    <tableColumn id="2197" xr3:uid="{10F09BA4-3D2D-4B18-8F96-0AD123E81237}" name="22039" dataDxfId="1588" dataCellStyle="Currency"/>
    <tableColumn id="2198" xr3:uid="{53CE8728-C7F1-40D7-91CE-1A3753EDCB92}" name="22041" dataDxfId="1587" dataCellStyle="Currency"/>
    <tableColumn id="2199" xr3:uid="{941FE3D1-5CA9-441B-A5E8-5F69E6FCD853}" name="22042" dataDxfId="1586" dataCellStyle="Currency"/>
    <tableColumn id="2200" xr3:uid="{8073BC70-571B-485C-8561-54A4BD0D087F}" name="22043" dataDxfId="1585" dataCellStyle="Currency"/>
    <tableColumn id="2201" xr3:uid="{AD357D81-A473-49CA-93C6-4FDD263A3C89}" name="22044" dataDxfId="1584" dataCellStyle="Currency"/>
    <tableColumn id="2202" xr3:uid="{3082E4B4-E3E6-462B-B97F-7581C16B556A}" name="22046" dataDxfId="1583" dataCellStyle="Currency"/>
    <tableColumn id="2203" xr3:uid="{D1595C26-2C3A-4EC1-8504-A0DB8FC31201}" name="22060" dataDxfId="1582" dataCellStyle="Currency"/>
    <tableColumn id="2204" xr3:uid="{9A6483C4-39F0-4CF4-A635-E9DEB2D1A2A3}" name="22066" dataDxfId="1581" dataCellStyle="Currency"/>
    <tableColumn id="2205" xr3:uid="{57592243-C558-402E-A878-7C764225FE89}" name="22079" dataDxfId="1580" dataCellStyle="Currency"/>
    <tableColumn id="2206" xr3:uid="{2B9C460D-FC3D-4236-9136-6D40134B8882}" name="22101" dataDxfId="1579" dataCellStyle="Currency"/>
    <tableColumn id="2207" xr3:uid="{8AF3DBC2-EA93-4C93-88EC-7F40761F2353}" name="22102" dataDxfId="1578" dataCellStyle="Currency"/>
    <tableColumn id="2208" xr3:uid="{AD355A26-7D95-4103-99E2-57707FD89619}" name="22124" dataDxfId="1577" dataCellStyle="Currency"/>
    <tableColumn id="2209" xr3:uid="{085D2379-1ADA-44E8-9D3E-23E3BFC052EC}" name="22125" dataDxfId="1576" dataCellStyle="Currency"/>
    <tableColumn id="2210" xr3:uid="{4223554E-7E39-43ED-84EE-90AC4C1A9ADD}" name="22134" dataDxfId="1575" dataCellStyle="Currency"/>
    <tableColumn id="2211" xr3:uid="{13DC7707-DBBB-4AF0-8052-CEB25FFCCDE4}" name="22150" dataDxfId="1574" dataCellStyle="Currency"/>
    <tableColumn id="2212" xr3:uid="{CA173ECC-3691-40F9-92EE-FF41FE5B1C6D}" name="22151" dataDxfId="1573" dataCellStyle="Currency"/>
    <tableColumn id="2213" xr3:uid="{4DDE2BAB-1FEA-438D-B4E5-07CC80F33A52}" name="22152" dataDxfId="1572" dataCellStyle="Currency"/>
    <tableColumn id="2214" xr3:uid="{0CB7B05C-E65A-46E8-994F-F2F8AC8A6284}" name="22153" dataDxfId="1571" dataCellStyle="Currency"/>
    <tableColumn id="2215" xr3:uid="{8A124301-C47E-4CCA-9948-9137C7905B5E}" name="22172" dataDxfId="1570" dataCellStyle="Currency"/>
    <tableColumn id="2216" xr3:uid="{72323BF4-A179-4AAC-B33F-929048C9B818}" name="22180" dataDxfId="1569" dataCellStyle="Currency"/>
    <tableColumn id="2217" xr3:uid="{DD66C67F-FD35-4631-9B85-82C3CF9CBDE2}" name="22181" dataDxfId="1568" dataCellStyle="Currency"/>
    <tableColumn id="2218" xr3:uid="{06E268F2-765E-46BD-8B12-3E44087C157B}" name="22182" dataDxfId="1567" dataCellStyle="Currency"/>
    <tableColumn id="2219" xr3:uid="{2BE9CDC5-3E22-4D08-AFF0-0F5A14073900}" name="22191" dataDxfId="1566" dataCellStyle="Currency"/>
    <tableColumn id="2220" xr3:uid="{3206ED6E-13E3-47E9-ABF0-685F75AD947C}" name="22192" dataDxfId="1565" dataCellStyle="Currency"/>
    <tableColumn id="2221" xr3:uid="{751496E7-B6FF-4A2F-9852-180DBB4AD5D7}" name="22193" dataDxfId="1564" dataCellStyle="Currency"/>
    <tableColumn id="2222" xr3:uid="{031D3A23-A61F-4CA2-AD4E-B303968AD735}" name="22201" dataDxfId="1563" dataCellStyle="Currency"/>
    <tableColumn id="2223" xr3:uid="{67DCC8C5-D4F2-4D90-BB91-03B97F319EE3}" name="22202" dataDxfId="1562" dataCellStyle="Currency"/>
    <tableColumn id="2224" xr3:uid="{0359B08E-D5B0-4C31-BF4C-540B022673F6}" name="22203" dataDxfId="1561" dataCellStyle="Currency"/>
    <tableColumn id="2225" xr3:uid="{6E7A8B53-4D44-47AA-9C9C-B3697CAB9F7A}" name="22204" dataDxfId="1560" dataCellStyle="Currency"/>
    <tableColumn id="2226" xr3:uid="{ABA8F832-5A89-469A-87C6-2B3DA9204C79}" name="22205" dataDxfId="1559" dataCellStyle="Currency"/>
    <tableColumn id="2227" xr3:uid="{F2BCECA4-9C29-402B-B3FC-251CD7442720}" name="22206" dataDxfId="1558" dataCellStyle="Currency"/>
    <tableColumn id="2228" xr3:uid="{12FA7AC4-0D85-407C-BE1D-77FA410AE4E1}" name="22207" dataDxfId="1557" dataCellStyle="Currency"/>
    <tableColumn id="2229" xr3:uid="{B5D92BD0-B270-4E63-9CA1-5722C7284E8C}" name="22209" dataDxfId="1556" dataCellStyle="Currency"/>
    <tableColumn id="2230" xr3:uid="{A5E9AF30-63E0-44DB-8AB2-3ACD552F13FB}" name="22211" dataDxfId="1555" dataCellStyle="Currency"/>
    <tableColumn id="2231" xr3:uid="{39706454-B219-45CF-8B89-DB637610F139}" name="22213" dataDxfId="1554" dataCellStyle="Currency"/>
    <tableColumn id="2232" xr3:uid="{1F1815E6-A9D3-4DA5-91E2-FA128B455EE8}" name="22214" dataDxfId="1553" dataCellStyle="Currency"/>
    <tableColumn id="2233" xr3:uid="{D7010504-AD45-463D-B0AC-0C7A162EA96E}" name="22301" dataDxfId="1552" dataCellStyle="Currency"/>
    <tableColumn id="2234" xr3:uid="{EFBBA9F0-DB82-4343-8E40-885F75A28163}" name="22302" dataDxfId="1551" dataCellStyle="Currency"/>
    <tableColumn id="2235" xr3:uid="{E74D8BBE-867F-4E28-8F6F-35FFDB7BA378}" name="22303" dataDxfId="1550" dataCellStyle="Currency"/>
    <tableColumn id="2236" xr3:uid="{785766B6-53F0-4388-9BCF-F40758290294}" name="22304" dataDxfId="1549" dataCellStyle="Currency"/>
    <tableColumn id="2237" xr3:uid="{FBAC7F49-0464-48C0-B24A-9847FD7FCC06}" name="22305" dataDxfId="1548" dataCellStyle="Currency"/>
    <tableColumn id="2238" xr3:uid="{C0145F2E-92CD-4ABA-9CE3-8832CE7606C5}" name="22306" dataDxfId="1547" dataCellStyle="Currency"/>
    <tableColumn id="2239" xr3:uid="{0226315F-02F6-4CA4-A85A-6405AEC22CE4}" name="22307" dataDxfId="1546" dataCellStyle="Currency"/>
    <tableColumn id="2240" xr3:uid="{27125722-FB58-41D7-933B-B6C4BAE290DB}" name="22308" dataDxfId="1545" dataCellStyle="Currency"/>
    <tableColumn id="2241" xr3:uid="{BF754D48-0F25-41DB-998E-EE3EAE82E86E}" name="22309" dataDxfId="1544" dataCellStyle="Currency"/>
    <tableColumn id="2242" xr3:uid="{49F18623-A8CB-4D2F-8D87-A276F8D9C2DD}" name="22310" dataDxfId="1543" dataCellStyle="Currency"/>
    <tableColumn id="2243" xr3:uid="{2846A7F0-7F15-43C7-AE7A-412910950472}" name="22311" dataDxfId="1542" dataCellStyle="Currency"/>
    <tableColumn id="2244" xr3:uid="{6D2F76B5-E2FE-4F0C-8F3F-1E4078C53DAA}" name="22312" dataDxfId="1541" dataCellStyle="Currency"/>
    <tableColumn id="2245" xr3:uid="{DA2C91E5-0B23-4195-8E05-D6DA0F0C0A5B}" name="22314" dataDxfId="1540" dataCellStyle="Currency"/>
    <tableColumn id="2246" xr3:uid="{8AC5EE55-4EDB-46B0-A8EF-C1138F6698FA}" name="22315" dataDxfId="1539" dataCellStyle="Currency"/>
    <tableColumn id="2247" xr3:uid="{51D21785-C39C-460F-BD07-CC53CD59A5A0}" name="22401" dataDxfId="1538" dataCellStyle="Currency"/>
    <tableColumn id="2248" xr3:uid="{1A056D86-E0C8-4AF3-BE8A-6E1AF1727893}" name="22405" dataDxfId="1537" dataCellStyle="Currency"/>
    <tableColumn id="2249" xr3:uid="{9C7EF962-F62F-47EA-B51A-736C5C81947B}" name="22406" dataDxfId="1536" dataCellStyle="Currency"/>
    <tableColumn id="2250" xr3:uid="{3CBD34C9-7848-4641-B06B-5A5302FCF03C}" name="22407" dataDxfId="1535" dataCellStyle="Currency"/>
    <tableColumn id="2251" xr3:uid="{0812BD61-7168-4B67-9FAF-DECCBCB2926B}" name="22408" dataDxfId="1534" dataCellStyle="Currency"/>
    <tableColumn id="2252" xr3:uid="{4D23C857-6C1C-425B-B302-F023A96DA829}" name="22427" dataDxfId="1533" dataCellStyle="Currency"/>
    <tableColumn id="2253" xr3:uid="{78F01AB7-106E-4196-B6F9-448EEC0F7F51}" name="22432" dataDxfId="1532" dataCellStyle="Currency"/>
    <tableColumn id="2254" xr3:uid="{FE49D651-32E8-4562-B484-335BB8592B08}" name="22433" dataDxfId="1531" dataCellStyle="Currency"/>
    <tableColumn id="2255" xr3:uid="{03DE8626-0287-4212-BCAD-672C84BF598C}" name="22435" dataDxfId="1530" dataCellStyle="Currency"/>
    <tableColumn id="2256" xr3:uid="{2A717EBA-DAE6-4B86-AA2E-63E47BB1B106}" name="22436" dataDxfId="1529" dataCellStyle="Currency"/>
    <tableColumn id="2257" xr3:uid="{15C13B5E-CBFF-401E-9038-279A045CE574}" name="22437" dataDxfId="1528" dataCellStyle="Currency"/>
    <tableColumn id="2258" xr3:uid="{7D03E800-8CC5-4A14-8D1D-BF7DFFE34CB0}" name="22438" dataDxfId="1527" dataCellStyle="Currency"/>
    <tableColumn id="2259" xr3:uid="{314BA4F0-BF0F-4652-B7F4-00D3B40C053A}" name="22443" dataDxfId="1526" dataCellStyle="Currency"/>
    <tableColumn id="2260" xr3:uid="{BE22FF3A-9399-477A-8C7D-133979FB28B5}" name="22448" dataDxfId="1525" dataCellStyle="Currency"/>
    <tableColumn id="2261" xr3:uid="{A7B0B8AC-D712-4D4F-9AC8-81FCFB1AE679}" name="22454" dataDxfId="1524" dataCellStyle="Currency"/>
    <tableColumn id="2262" xr3:uid="{A065A8BE-606A-4044-8959-DCD46BD0A7BF}" name="22460" dataDxfId="1523" dataCellStyle="Currency"/>
    <tableColumn id="2263" xr3:uid="{80BEFE38-73ED-4CCA-B4FE-2994FFBFACCD}" name="22469" dataDxfId="1522" dataCellStyle="Currency"/>
    <tableColumn id="2264" xr3:uid="{863DFE27-DC3A-4A83-AF5A-7F87B67E41EB}" name="22472" dataDxfId="1521" dataCellStyle="Currency"/>
    <tableColumn id="2265" xr3:uid="{D292E59B-9C08-4BD9-A505-982358AF7417}" name="22473" dataDxfId="1520" dataCellStyle="Currency"/>
    <tableColumn id="2266" xr3:uid="{0B728A3E-ACC8-40CB-AFDC-84D3AC2AE727}" name="22476" dataDxfId="1519" dataCellStyle="Currency"/>
    <tableColumn id="2267" xr3:uid="{DBCC6639-E79F-407D-94C5-A7E094BE213D}" name="22480" dataDxfId="1518" dataCellStyle="Currency"/>
    <tableColumn id="2268" xr3:uid="{0BA4CE63-ECEF-461D-BFA1-7617705821E1}" name="22482" dataDxfId="1517" dataCellStyle="Currency"/>
    <tableColumn id="2269" xr3:uid="{B00FB202-0FF5-4C29-BA84-95CC3F8263A1}" name="22485" dataDxfId="1516" dataCellStyle="Currency"/>
    <tableColumn id="2270" xr3:uid="{F6892D49-0B9D-4A01-94B0-CF9D2BBB9FDB}" name="22488" dataDxfId="1515" dataCellStyle="Currency"/>
    <tableColumn id="2271" xr3:uid="{FDF41752-F5DF-4304-85F8-EF3E3EB66FE3}" name="22503" dataDxfId="1514" dataCellStyle="Currency"/>
    <tableColumn id="2272" xr3:uid="{16921A43-A3F7-422D-BBF4-146B79F09A9A}" name="22504" dataDxfId="1513" dataCellStyle="Currency"/>
    <tableColumn id="2273" xr3:uid="{C2C6E86E-B73F-4C05-8F17-117BDC71FA75}" name="22508" dataDxfId="1512" dataCellStyle="Currency"/>
    <tableColumn id="2274" xr3:uid="{1CDF24EB-A22F-471A-ABA4-C34CD89DA224}" name="22509" dataDxfId="1511" dataCellStyle="Currency"/>
    <tableColumn id="2275" xr3:uid="{150BEDB7-2653-4360-8C21-2BB5657C2F9E}" name="22511" dataDxfId="1510" dataCellStyle="Currency"/>
    <tableColumn id="2276" xr3:uid="{CF8BEBF6-F9FD-4DD0-8774-CC4D6FFE3D6E}" name="22514" dataDxfId="1509" dataCellStyle="Currency"/>
    <tableColumn id="2277" xr3:uid="{781C2B19-4749-45DD-B00C-368DB38E1E6B}" name="22520" dataDxfId="1508" dataCellStyle="Currency"/>
    <tableColumn id="2278" xr3:uid="{0DB30828-D6F9-4454-8286-93B08550FFCD}" name="22529" dataDxfId="1507" dataCellStyle="Currency"/>
    <tableColumn id="2279" xr3:uid="{3CBFFAE2-FC0E-4C5E-B12D-4EBA7A975BB4}" name="22534" dataDxfId="1506" dataCellStyle="Currency"/>
    <tableColumn id="2280" xr3:uid="{4F05AA4C-C115-45BE-A567-71BC8D9EEE28}" name="22535" dataDxfId="1505" dataCellStyle="Currency"/>
    <tableColumn id="2281" xr3:uid="{920DE7F9-12EC-4097-960B-FA9C6FA0881A}" name="22538" dataDxfId="1504" dataCellStyle="Currency"/>
    <tableColumn id="2282" xr3:uid="{B67A7A04-6282-4E90-B081-0CC476846E98}" name="22539" dataDxfId="1503" dataCellStyle="Currency"/>
    <tableColumn id="2283" xr3:uid="{16833F00-3F92-4F76-91FE-AEDA4FB51725}" name="22542" dataDxfId="1502" dataCellStyle="Currency"/>
    <tableColumn id="2284" xr3:uid="{49B586B5-BB01-4D3D-92B2-0D5863F1BFB3}" name="22546" dataDxfId="1501" dataCellStyle="Currency"/>
    <tableColumn id="2285" xr3:uid="{B11E7714-05DD-492F-BDEF-8C40FDA6BA90}" name="22548" dataDxfId="1500" dataCellStyle="Currency"/>
    <tableColumn id="2286" xr3:uid="{1A14D4D1-5D23-442F-9506-681A6EFB68E4}" name="22551" dataDxfId="1499" dataCellStyle="Currency"/>
    <tableColumn id="2287" xr3:uid="{1F1269F5-AD90-40AD-88F8-836038679919}" name="22553" dataDxfId="1498" dataCellStyle="Currency"/>
    <tableColumn id="2288" xr3:uid="{628B3DBE-4C5E-4988-BB5D-56BE73974506}" name="22554" dataDxfId="1497" dataCellStyle="Currency"/>
    <tableColumn id="2289" xr3:uid="{3CE49E91-B92D-458E-9DF2-11F4AF5A811C}" name="22556" dataDxfId="1496" dataCellStyle="Currency"/>
    <tableColumn id="2290" xr3:uid="{F0E0EAC7-11D1-41AD-A193-65CBAFC23BF1}" name="22560" dataDxfId="1495" dataCellStyle="Currency"/>
    <tableColumn id="2291" xr3:uid="{3EE56649-9B57-4584-ADC2-43D489907D37}" name="22567" dataDxfId="1494" dataCellStyle="Currency"/>
    <tableColumn id="2292" xr3:uid="{3577EC82-73AF-43D0-ADB4-A7CD4B117FE1}" name="22572" dataDxfId="1493" dataCellStyle="Currency"/>
    <tableColumn id="2293" xr3:uid="{2AE10B50-E0D9-44DC-A9F2-A1137D20808D}" name="22576" dataDxfId="1492" dataCellStyle="Currency"/>
    <tableColumn id="2294" xr3:uid="{039293C9-796C-4F96-B5DE-E688670190F7}" name="22578" dataDxfId="1491" dataCellStyle="Currency"/>
    <tableColumn id="2295" xr3:uid="{EB32F87F-E7D5-4D23-B451-E14DED75926E}" name="22580" dataDxfId="1490" dataCellStyle="Currency"/>
    <tableColumn id="2296" xr3:uid="{D4A75A16-D767-4160-A9E3-DE4A3CBD416C}" name="22601" dataDxfId="1489" dataCellStyle="Currency"/>
    <tableColumn id="2297" xr3:uid="{4ED7FF81-5906-45B9-A2C2-26826B4C609E}" name="22602" dataDxfId="1488" dataCellStyle="Currency"/>
    <tableColumn id="2298" xr3:uid="{EC0B3938-29DE-4F46-86A6-000308EDA1C4}" name="22603" dataDxfId="1487" dataCellStyle="Currency"/>
    <tableColumn id="2299" xr3:uid="{B9B4BAF4-8B89-4E34-9A71-7C2FC691AF4B}" name="22610" dataDxfId="1486" dataCellStyle="Currency"/>
    <tableColumn id="2300" xr3:uid="{4416122D-E82D-4586-B197-BBD475D6FAD9}" name="22611" dataDxfId="1485" dataCellStyle="Currency"/>
    <tableColumn id="2301" xr3:uid="{EF72775A-5266-4196-9CEA-8DBF1BF253E9}" name="22620" dataDxfId="1484" dataCellStyle="Currency"/>
    <tableColumn id="2302" xr3:uid="{294889FE-E2FF-4B24-ACEF-132E7CA3A8DE}" name="22623" dataDxfId="1483" dataCellStyle="Currency"/>
    <tableColumn id="2303" xr3:uid="{F10FFC7D-672D-47FA-915F-9C9A868374C8}" name="22624" dataDxfId="1482" dataCellStyle="Currency"/>
    <tableColumn id="2304" xr3:uid="{24FF70D8-DF63-4348-8B88-524F531A0FEE}" name="22625" dataDxfId="1481" dataCellStyle="Currency"/>
    <tableColumn id="2305" xr3:uid="{CB01E7B0-AE0D-40DA-9BE9-2D9A34C56F2D}" name="22627" dataDxfId="1480" dataCellStyle="Currency"/>
    <tableColumn id="2306" xr3:uid="{20497218-ABF2-44D2-9BF6-08BB8FA39DBE}" name="22630" dataDxfId="1479" dataCellStyle="Currency"/>
    <tableColumn id="2307" xr3:uid="{4BACBD0F-5948-454A-A22A-1DC78A80765C}" name="22637" dataDxfId="1478" dataCellStyle="Currency"/>
    <tableColumn id="2308" xr3:uid="{5BC1A2E5-B337-4E9C-8727-E0F0245C2F6B}" name="22639" dataDxfId="1477" dataCellStyle="Currency"/>
    <tableColumn id="2309" xr3:uid="{A197F873-0B2D-4309-BA01-5E7C1236590B}" name="22640" dataDxfId="1476" dataCellStyle="Currency"/>
    <tableColumn id="2310" xr3:uid="{E111D08C-E30C-4FDB-A13B-2FE29DF8AE1D}" name="22641" dataDxfId="1475" dataCellStyle="Currency"/>
    <tableColumn id="2311" xr3:uid="{8BD981D6-76A3-46E4-8786-6DD0F04ED082}" name="22642" dataDxfId="1474" dataCellStyle="Currency"/>
    <tableColumn id="2312" xr3:uid="{D8FB7E82-02E8-4400-8AD0-6DE8F36633BF}" name="22643" dataDxfId="1473" dataCellStyle="Currency"/>
    <tableColumn id="2313" xr3:uid="{CA976359-FBB7-4D89-9334-8A13144DDB62}" name="22644" dataDxfId="1472" dataCellStyle="Currency"/>
    <tableColumn id="2314" xr3:uid="{955FE07B-BF23-42D5-BABE-8EE48181C336}" name="22645" dataDxfId="1471" dataCellStyle="Currency"/>
    <tableColumn id="2315" xr3:uid="{D83C6312-C9C0-47E3-B818-23F3A1727862}" name="22646" dataDxfId="1470" dataCellStyle="Currency"/>
    <tableColumn id="2316" xr3:uid="{2DF9885E-14CB-49C8-9276-C3BD36220117}" name="22650" dataDxfId="1469" dataCellStyle="Currency"/>
    <tableColumn id="2317" xr3:uid="{3AA2390E-5A4C-4B03-A31C-2C1AE6139791}" name="22652" dataDxfId="1468" dataCellStyle="Currency"/>
    <tableColumn id="2318" xr3:uid="{086150AF-95D2-479A-A6E8-F4E0D5872534}" name="22654" dataDxfId="1467" dataCellStyle="Currency"/>
    <tableColumn id="2319" xr3:uid="{92AB7A00-957E-4F4A-9E67-BA67E1BA5FE1}" name="22655" dataDxfId="1466" dataCellStyle="Currency"/>
    <tableColumn id="2320" xr3:uid="{CA0071FF-C411-4359-85B5-7DA46438D3E1}" name="22656" dataDxfId="1465" dataCellStyle="Currency"/>
    <tableColumn id="2321" xr3:uid="{A604813D-47C4-4F00-B58C-DED336D693EB}" name="22657" dataDxfId="1464" dataCellStyle="Currency"/>
    <tableColumn id="2322" xr3:uid="{2BBF606A-783A-4A66-A343-BDD78BFC0690}" name="22660" dataDxfId="1463" dataCellStyle="Currency"/>
    <tableColumn id="2323" xr3:uid="{B5CE087B-4B82-4048-AB07-DB541EA78FE7}" name="22663" dataDxfId="1462" dataCellStyle="Currency"/>
    <tableColumn id="2324" xr3:uid="{0A18E7E7-7CBD-4B38-A4B1-24D07D3607D6}" name="22664" dataDxfId="1461" dataCellStyle="Currency"/>
    <tableColumn id="2325" xr3:uid="{CB91F76C-0777-4912-92B5-5CDC718C6309}" name="22701" dataDxfId="1460" dataCellStyle="Currency"/>
    <tableColumn id="2326" xr3:uid="{953937E6-55B7-474E-9224-24F5FE898D0A}" name="22709" dataDxfId="1459" dataCellStyle="Currency"/>
    <tableColumn id="2327" xr3:uid="{087BFD16-436E-46ED-8F34-798B66DE88EA}" name="22711" dataDxfId="1458" dataCellStyle="Currency"/>
    <tableColumn id="2328" xr3:uid="{805D7BE4-8CB2-425D-88E8-7B36F97CB6EC}" name="22712" dataDxfId="1457" dataCellStyle="Currency"/>
    <tableColumn id="2329" xr3:uid="{4E267484-D700-4765-B507-675B5B9437CE}" name="22713" dataDxfId="1456" dataCellStyle="Currency"/>
    <tableColumn id="2330" xr3:uid="{313DA98A-CC0F-45DA-B928-4782138D6AE1}" name="22714" dataDxfId="1455" dataCellStyle="Currency"/>
    <tableColumn id="2331" xr3:uid="{E7B2CE59-5F7B-4780-95C0-098BAE08B2F8}" name="22715" dataDxfId="1454" dataCellStyle="Currency"/>
    <tableColumn id="2332" xr3:uid="{D854F521-D3BF-4B58-89A6-FA2630FA9E4B}" name="22716" dataDxfId="1453" dataCellStyle="Currency"/>
    <tableColumn id="2333" xr3:uid="{20AA1D0B-C284-47FF-ACAE-980D8CB4FA4A}" name="22718" dataDxfId="1452" dataCellStyle="Currency"/>
    <tableColumn id="2334" xr3:uid="{5FF543EC-01E1-4776-A84C-3F1AC9C8FEE0}" name="22719" dataDxfId="1451" dataCellStyle="Currency"/>
    <tableColumn id="2335" xr3:uid="{2C16CEA4-3FA0-43C3-8A47-B9FC2FE8061B}" name="22720" dataDxfId="1450" dataCellStyle="Currency"/>
    <tableColumn id="2336" xr3:uid="{493EFD69-16B1-4FD3-858D-31E71F90CECB}" name="22722" dataDxfId="1449" dataCellStyle="Currency"/>
    <tableColumn id="2337" xr3:uid="{85B5E51F-93F9-4F47-B10C-55FE03D57DE3}" name="22723" dataDxfId="1448" dataCellStyle="Currency"/>
    <tableColumn id="2338" xr3:uid="{0DB61DDD-3170-4CDA-ADB6-58A7DFB490F6}" name="22724" dataDxfId="1447" dataCellStyle="Currency"/>
    <tableColumn id="2339" xr3:uid="{F7C567C7-B58B-454D-8680-B28DDC3872B6}" name="22725" dataDxfId="1446" dataCellStyle="Currency"/>
    <tableColumn id="2340" xr3:uid="{5CD2F86B-C944-438A-A9BB-D59A5CF46B67}" name="22726" dataDxfId="1445" dataCellStyle="Currency"/>
    <tableColumn id="2341" xr3:uid="{58C1D11A-2EB6-4AE3-B540-016BFEEC5B79}" name="22727" dataDxfId="1444" dataCellStyle="Currency"/>
    <tableColumn id="2342" xr3:uid="{B03A20E6-9D7D-473C-AEA6-6BDC41CD7628}" name="22728" dataDxfId="1443" dataCellStyle="Currency"/>
    <tableColumn id="2343" xr3:uid="{A2E042DA-49ED-46FF-83AB-61522795A785}" name="22729" dataDxfId="1442" dataCellStyle="Currency"/>
    <tableColumn id="2344" xr3:uid="{49484778-0451-4D88-89DE-2D0B791B4C51}" name="22730" dataDxfId="1441" dataCellStyle="Currency"/>
    <tableColumn id="2345" xr3:uid="{69787561-E65D-4A9A-93F1-407E1391FBDF}" name="22731" dataDxfId="1440" dataCellStyle="Currency"/>
    <tableColumn id="2346" xr3:uid="{74F85EC4-0803-41CB-B0BB-12905D19A717}" name="22732" dataDxfId="1439" dataCellStyle="Currency"/>
    <tableColumn id="2347" xr3:uid="{9DADD4B2-EC16-421C-B71B-B66F71E7112A}" name="22733" dataDxfId="1438" dataCellStyle="Currency"/>
    <tableColumn id="2348" xr3:uid="{37932AFC-867C-4E64-B288-06B064BD7D18}" name="22734" dataDxfId="1437" dataCellStyle="Currency"/>
    <tableColumn id="2349" xr3:uid="{E3626ABB-20CE-4113-88BF-7B56BAAD7B2A}" name="22735" dataDxfId="1436" dataCellStyle="Currency"/>
    <tableColumn id="2350" xr3:uid="{C0468527-C93A-45DA-8C1A-35BDB3448984}" name="22736" dataDxfId="1435" dataCellStyle="Currency"/>
    <tableColumn id="2351" xr3:uid="{DC8FCA6E-48BB-4C50-A990-BEA5C917E87F}" name="22737" dataDxfId="1434" dataCellStyle="Currency"/>
    <tableColumn id="2352" xr3:uid="{62DA0145-A0FF-493A-BA1E-880BA84CFD58}" name="22738" dataDxfId="1433" dataCellStyle="Currency"/>
    <tableColumn id="2353" xr3:uid="{A26C9BEB-855D-4DFE-A57D-0DF82CC7862C}" name="22740" dataDxfId="1432" dataCellStyle="Currency"/>
    <tableColumn id="2354" xr3:uid="{375F9985-0858-4D2D-89D8-4A1DBA3F660B}" name="22741" dataDxfId="1431" dataCellStyle="Currency"/>
    <tableColumn id="2355" xr3:uid="{D4702C1A-65FD-4D8B-ACCD-7F190F79D5D3}" name="22742" dataDxfId="1430" dataCellStyle="Currency"/>
    <tableColumn id="2356" xr3:uid="{B828C172-BDEB-4DBB-96A8-C576A4E34435}" name="22743" dataDxfId="1429" dataCellStyle="Currency"/>
    <tableColumn id="2357" xr3:uid="{BEF577CB-6A03-476D-B4BD-FF3262CC346A}" name="22746" dataDxfId="1428" dataCellStyle="Currency"/>
    <tableColumn id="2358" xr3:uid="{14543E15-078F-4E30-83AC-83D4B99C3116}" name="22747" dataDxfId="1427" dataCellStyle="Currency"/>
    <tableColumn id="2359" xr3:uid="{2A3170E7-B4B4-409C-A2DE-573549B5F487}" name="22749" dataDxfId="1426" dataCellStyle="Currency"/>
    <tableColumn id="2360" xr3:uid="{EF5E071A-9B72-4773-95E8-C92800844483}" name="22801" dataDxfId="1425" dataCellStyle="Currency"/>
    <tableColumn id="2361" xr3:uid="{D2D4E4A2-759C-4342-8FE7-334E7E2DB9FA}" name="22802" dataDxfId="1424" dataCellStyle="Currency"/>
    <tableColumn id="2362" xr3:uid="{9AA0DCEB-95E9-4264-B28F-8B30B80E52F3}" name="22807" dataDxfId="1423" dataCellStyle="Currency"/>
    <tableColumn id="2363" xr3:uid="{0C550129-D31B-46B0-B05A-4C4F16EDAF0A}" name="22810" dataDxfId="1422" dataCellStyle="Currency"/>
    <tableColumn id="2364" xr3:uid="{B3C254D1-26C5-4B47-979D-280F49F61CAB}" name="22811" dataDxfId="1421" dataCellStyle="Currency"/>
    <tableColumn id="2365" xr3:uid="{9FC5C253-D143-43F4-B662-980DA48EAEEC}" name="22812" dataDxfId="1420" dataCellStyle="Currency"/>
    <tableColumn id="2366" xr3:uid="{789B996C-B377-498E-8011-E8D72334531C}" name="22815" dataDxfId="1419" dataCellStyle="Currency"/>
    <tableColumn id="2367" xr3:uid="{8D48F53A-7945-49AC-8547-734E55556214}" name="22820" dataDxfId="1418" dataCellStyle="Currency"/>
    <tableColumn id="2368" xr3:uid="{DB3A1B90-8566-46C7-8A93-8E81D3C36823}" name="22821" dataDxfId="1417" dataCellStyle="Currency"/>
    <tableColumn id="2369" xr3:uid="{3FB42192-6CD4-4FC4-B7AD-69FC7A4ACF0A}" name="22824" dataDxfId="1416" dataCellStyle="Currency"/>
    <tableColumn id="2370" xr3:uid="{CEE4938D-FB8F-4474-B55F-294F61C245E9}" name="22827" dataDxfId="1415" dataCellStyle="Currency"/>
    <tableColumn id="2371" xr3:uid="{1678AA15-0B70-459F-ACB9-0BA304AE5D2B}" name="22830" dataDxfId="1414" dataCellStyle="Currency"/>
    <tableColumn id="2372" xr3:uid="{10210562-4C8F-4A23-A016-559211D76152}" name="22831" dataDxfId="1413" dataCellStyle="Currency"/>
    <tableColumn id="2373" xr3:uid="{06B889B8-B2DA-4A3F-88CE-75206ECE4BD6}" name="22832" dataDxfId="1412" dataCellStyle="Currency"/>
    <tableColumn id="2374" xr3:uid="{E571163A-F85E-48E1-9E5B-0A09F28A941D}" name="22834" dataDxfId="1411" dataCellStyle="Currency"/>
    <tableColumn id="2375" xr3:uid="{8B51D83F-5537-458A-A391-A0978D6D1544}" name="22835" dataDxfId="1410" dataCellStyle="Currency"/>
    <tableColumn id="2376" xr3:uid="{C9B1C71E-59FB-4D34-B45D-2E9FD680E32D}" name="22840" dataDxfId="1409" dataCellStyle="Currency"/>
    <tableColumn id="2377" xr3:uid="{D5BF0937-4DBE-48F5-A205-A95BC7D717C1}" name="22841" dataDxfId="1408" dataCellStyle="Currency"/>
    <tableColumn id="2378" xr3:uid="{81A1F859-E4BF-4D57-AFA0-6263951FC58E}" name="22842" dataDxfId="1407" dataCellStyle="Currency"/>
    <tableColumn id="2379" xr3:uid="{2A3B9057-0366-4945-807A-1976B5D59D6D}" name="22843" dataDxfId="1406" dataCellStyle="Currency"/>
    <tableColumn id="2380" xr3:uid="{ED35E747-ABA4-4356-BD5F-16B4D8077653}" name="22844" dataDxfId="1405" dataCellStyle="Currency"/>
    <tableColumn id="2381" xr3:uid="{FA0E8880-5AE8-45E2-95E1-9C7495942627}" name="22845" dataDxfId="1404" dataCellStyle="Currency"/>
    <tableColumn id="2382" xr3:uid="{32114DE5-A17A-458F-B9F0-ECFC7AC8A8B6}" name="22846" dataDxfId="1403" dataCellStyle="Currency"/>
    <tableColumn id="2383" xr3:uid="{166C24FD-D932-40F8-987A-FB6B28C4307D}" name="22847" dataDxfId="1402" dataCellStyle="Currency"/>
    <tableColumn id="2384" xr3:uid="{EB0E16FD-5D90-4192-ABBF-329F8E668475}" name="22849" dataDxfId="1401" dataCellStyle="Currency"/>
    <tableColumn id="2385" xr3:uid="{F852B9E9-95B9-45FE-A3FC-7BB78FC9F2B5}" name="22850" dataDxfId="1400" dataCellStyle="Currency"/>
    <tableColumn id="2386" xr3:uid="{86F7827B-DBBF-4DA9-B51D-ED8B9A03AA94}" name="22851" dataDxfId="1399" dataCellStyle="Currency"/>
    <tableColumn id="2387" xr3:uid="{3BFD8822-F2A0-4AF8-8EC4-94BDA30A676B}" name="22853" dataDxfId="1398" dataCellStyle="Currency"/>
    <tableColumn id="2388" xr3:uid="{FF3EDE3A-FD83-49D1-9F86-DE52C3583DE5}" name="22901" dataDxfId="1397" dataCellStyle="Currency"/>
    <tableColumn id="2389" xr3:uid="{40518950-4A0F-4B18-9BEF-53F0C2247102}" name="22902" dataDxfId="1396" dataCellStyle="Currency"/>
    <tableColumn id="2390" xr3:uid="{0102EFA2-83D3-4A08-A591-75A394FFB184}" name="22903" dataDxfId="1395" dataCellStyle="Currency"/>
    <tableColumn id="2391" xr3:uid="{207B799A-50DF-44D7-A7B8-EA11DA4DB13F}" name="22904" dataDxfId="1394" dataCellStyle="Currency"/>
    <tableColumn id="2392" xr3:uid="{47F6C63E-B2B9-4474-B36D-FB99B905D46F}" name="22908" dataDxfId="1393" dataCellStyle="Currency"/>
    <tableColumn id="2393" xr3:uid="{3B2E5DCD-6C33-44FC-8882-2E9A6356ADC3}" name="22911" dataDxfId="1392" dataCellStyle="Currency"/>
    <tableColumn id="2394" xr3:uid="{54317FA9-F0D9-4A9F-995B-76949656200C}" name="22920" dataDxfId="1391" dataCellStyle="Currency"/>
    <tableColumn id="2395" xr3:uid="{E3BB29B8-3FE3-471C-BEE2-06CF1A2932C4}" name="22922" dataDxfId="1390" dataCellStyle="Currency"/>
    <tableColumn id="2396" xr3:uid="{1D176DCE-2203-4BCD-8646-9A0CD39B557B}" name="22923" dataDxfId="1389" dataCellStyle="Currency"/>
    <tableColumn id="2397" xr3:uid="{E2F87B11-C608-4AA4-97FB-CC81EE357E2F}" name="22931" dataDxfId="1388" dataCellStyle="Currency"/>
    <tableColumn id="2398" xr3:uid="{12C2B99B-CF6C-4FFF-953F-CFF823E7C49B}" name="22932" dataDxfId="1387" dataCellStyle="Currency"/>
    <tableColumn id="2399" xr3:uid="{3C0AD0EC-FCB1-4202-A2C9-5124DAD2FD88}" name="22935" dataDxfId="1386" dataCellStyle="Currency"/>
    <tableColumn id="2400" xr3:uid="{0BC44CF2-4662-4E68-9E77-06E31085A8EB}" name="22936" dataDxfId="1385" dataCellStyle="Currency"/>
    <tableColumn id="2401" xr3:uid="{1AA67BED-A1E2-497F-88DA-240C07ED11EC}" name="22937" dataDxfId="1384" dataCellStyle="Currency"/>
    <tableColumn id="2402" xr3:uid="{022CC0BB-2831-4880-8A79-8C9189DF3561}" name="22938" dataDxfId="1383" dataCellStyle="Currency"/>
    <tableColumn id="2403" xr3:uid="{108B3FA9-A744-4F6A-B111-124687F55691}" name="22939" dataDxfId="1382" dataCellStyle="Currency"/>
    <tableColumn id="2404" xr3:uid="{73D0D664-B427-4E17-BC25-A8D8E24DD529}" name="22940" dataDxfId="1381" dataCellStyle="Currency"/>
    <tableColumn id="2405" xr3:uid="{AE35F4AA-96B6-4216-9D3F-6AF7DF9D2649}" name="22942" dataDxfId="1380" dataCellStyle="Currency"/>
    <tableColumn id="2406" xr3:uid="{645B9DA7-0FD3-4C42-834C-2AFA344055D3}" name="22943" dataDxfId="1379" dataCellStyle="Currency"/>
    <tableColumn id="2407" xr3:uid="{9F5DEA30-BA6D-40A2-B3BB-854E45F31687}" name="22946" dataDxfId="1378" dataCellStyle="Currency"/>
    <tableColumn id="2408" xr3:uid="{5869192D-E306-4102-8453-80DD59D83FB4}" name="22947" dataDxfId="1377" dataCellStyle="Currency"/>
    <tableColumn id="2409" xr3:uid="{B54B3081-B9B3-4252-B56D-C9918BE92BBE}" name="22948" dataDxfId="1376" dataCellStyle="Currency"/>
    <tableColumn id="2410" xr3:uid="{3491BC0E-A0FB-4FAA-8BC3-0D0285E124F9}" name="22949" dataDxfId="1375" dataCellStyle="Currency"/>
    <tableColumn id="2411" xr3:uid="{75FAC878-1018-4BE0-9A25-A72151ECCA31}" name="22952" dataDxfId="1374" dataCellStyle="Currency"/>
    <tableColumn id="2412" xr3:uid="{DABAC637-9573-412F-BBF2-2F26733F668E}" name="22957" dataDxfId="1373" dataCellStyle="Currency"/>
    <tableColumn id="2413" xr3:uid="{DFEEF849-914A-4BFD-AE6C-13600D1E266B}" name="22958" dataDxfId="1372" dataCellStyle="Currency"/>
    <tableColumn id="2414" xr3:uid="{FC74F326-F8E6-439C-B377-81B6D31AB56F}" name="22959" dataDxfId="1371" dataCellStyle="Currency"/>
    <tableColumn id="2415" xr3:uid="{5017FE1A-48E0-4778-BCFF-6FBB583E41B9}" name="22960" dataDxfId="1370" dataCellStyle="Currency"/>
    <tableColumn id="2416" xr3:uid="{020C8B71-4B22-46A4-A9A4-6DAC025833A3}" name="22963" dataDxfId="1369" dataCellStyle="Currency"/>
    <tableColumn id="2417" xr3:uid="{8DA9635B-495E-411A-AB0C-2D65C8BCDCC0}" name="22964" dataDxfId="1368" dataCellStyle="Currency"/>
    <tableColumn id="2418" xr3:uid="{025BE324-6B5C-4BAD-8878-2627E02EEF3C}" name="22967" dataDxfId="1367" dataCellStyle="Currency"/>
    <tableColumn id="2419" xr3:uid="{41D96A8C-14B5-4624-B3EF-92F257AD40C1}" name="22968" dataDxfId="1366" dataCellStyle="Currency"/>
    <tableColumn id="2420" xr3:uid="{B401888B-B2AF-4017-B785-9AABFE90FFBD}" name="22969" dataDxfId="1365" dataCellStyle="Currency"/>
    <tableColumn id="2421" xr3:uid="{51D553F3-5284-4A96-B70F-271663E6CE08}" name="22971" dataDxfId="1364" dataCellStyle="Currency"/>
    <tableColumn id="2422" xr3:uid="{E239274B-248D-432E-AC19-D2AA8281B4E6}" name="22972" dataDxfId="1363" dataCellStyle="Currency"/>
    <tableColumn id="2423" xr3:uid="{5984ADCE-9080-486E-A528-46A2E6B96838}" name="22973" dataDxfId="1362" dataCellStyle="Currency"/>
    <tableColumn id="2424" xr3:uid="{F3F68FF6-9216-4C7B-8BA6-B010FEA8EE4B}" name="22974" dataDxfId="1361" dataCellStyle="Currency"/>
    <tableColumn id="2425" xr3:uid="{C02F8D17-9941-48E9-8EF8-CC97F039C4FA}" name="22976" dataDxfId="1360" dataCellStyle="Currency"/>
    <tableColumn id="2426" xr3:uid="{3A91A8E1-C263-45A2-9E9F-9BF96D874777}" name="22980" dataDxfId="1359" dataCellStyle="Currency"/>
    <tableColumn id="2427" xr3:uid="{81AD2043-2FA9-4473-B26C-CEA926FFAC88}" name="22989" dataDxfId="1358" dataCellStyle="Currency"/>
    <tableColumn id="2428" xr3:uid="{4D5AD6CB-E040-4004-8A58-E84B06DFED02}" name="23002" dataDxfId="1357" dataCellStyle="Currency"/>
    <tableColumn id="2429" xr3:uid="{FCEFAF68-C98E-48E2-AED4-535047777772}" name="23004" dataDxfId="1356" dataCellStyle="Currency"/>
    <tableColumn id="2430" xr3:uid="{5C38FC07-C7E6-48CB-A659-430991C82668}" name="23005" dataDxfId="1355" dataCellStyle="Currency"/>
    <tableColumn id="2431" xr3:uid="{79F8CBC5-6392-4A49-A98B-1ED2BC136CD7}" name="23009" dataDxfId="1354" dataCellStyle="Currency"/>
    <tableColumn id="2432" xr3:uid="{E4C862C5-C4B9-4664-878C-B8D867A7FD03}" name="23011" dataDxfId="1353" dataCellStyle="Currency"/>
    <tableColumn id="2433" xr3:uid="{5CC7F461-D8A8-487D-B48A-5C93142AFF07}" name="23015" dataDxfId="1352" dataCellStyle="Currency"/>
    <tableColumn id="2434" xr3:uid="{01C43B31-C58C-4B13-8612-E7290C20646A}" name="23021" dataDxfId="1351" dataCellStyle="Currency"/>
    <tableColumn id="2435" xr3:uid="{DBFBDF21-3007-4710-B36C-6ADFD8B764BF}" name="23022" dataDxfId="1350" dataCellStyle="Currency"/>
    <tableColumn id="2436" xr3:uid="{3BBCC79C-D107-4BBD-B769-D165CB8D8699}" name="23023" dataDxfId="1349" dataCellStyle="Currency"/>
    <tableColumn id="2437" xr3:uid="{15F047BE-EAAF-4B27-B455-0396B3529024}" name="23024" dataDxfId="1348" dataCellStyle="Currency"/>
    <tableColumn id="2438" xr3:uid="{E0FA8A96-2BC3-41DF-BA5A-DF214E99BAE8}" name="23025" dataDxfId="1347" dataCellStyle="Currency"/>
    <tableColumn id="2439" xr3:uid="{9B794360-AB68-42C3-ABA0-79DFF6CE0BEC}" name="23027" dataDxfId="1346" dataCellStyle="Currency"/>
    <tableColumn id="2440" xr3:uid="{6C5CAEF7-8A6A-4088-96E3-7C7CBC1AA3F4}" name="23030" dataDxfId="1345" dataCellStyle="Currency"/>
    <tableColumn id="2441" xr3:uid="{8CAF90CB-2CD8-4328-AE93-56235D69F5CE}" name="23032" dataDxfId="1344" dataCellStyle="Currency"/>
    <tableColumn id="2442" xr3:uid="{A18D6526-562F-4AD4-A079-386751FD5BAA}" name="23035" dataDxfId="1343" dataCellStyle="Currency"/>
    <tableColumn id="2443" xr3:uid="{737E9370-2947-4DD5-87CD-5EE05E54258B}" name="23038" dataDxfId="1342" dataCellStyle="Currency"/>
    <tableColumn id="2444" xr3:uid="{ED800292-D066-4A0C-97C6-9947E8A255B9}" name="23039" dataDxfId="1341" dataCellStyle="Currency"/>
    <tableColumn id="2445" xr3:uid="{63C9B201-9580-437E-A742-E63D5EFB3AA9}" name="23040" dataDxfId="1340" dataCellStyle="Currency"/>
    <tableColumn id="2446" xr3:uid="{B5FCA981-18F0-4F61-B5D2-AFEFCC74063B}" name="23043" dataDxfId="1339" dataCellStyle="Currency"/>
    <tableColumn id="2447" xr3:uid="{95A2959B-D528-4C9C-B90E-3417EEA82906}" name="23045" dataDxfId="1338" dataCellStyle="Currency"/>
    <tableColumn id="2448" xr3:uid="{71B5DF3B-8D47-4B23-A5F3-78CD79D7E665}" name="23047" dataDxfId="1337" dataCellStyle="Currency"/>
    <tableColumn id="2449" xr3:uid="{E2CE15E3-3BFE-494D-89F4-5EE06CE76D70}" name="23050" dataDxfId="1336" dataCellStyle="Currency"/>
    <tableColumn id="2450" xr3:uid="{9D96745F-F5E3-4001-82BE-5FEB86802DEF}" name="23055" dataDxfId="1335" dataCellStyle="Currency"/>
    <tableColumn id="2451" xr3:uid="{D61832B3-94D8-44A8-833C-313BF56EEFBD}" name="23056" dataDxfId="1334" dataCellStyle="Currency"/>
    <tableColumn id="2452" xr3:uid="{BBCB4E65-472B-4F44-BF90-6DBD5ED3824A}" name="23059" dataDxfId="1333" dataCellStyle="Currency"/>
    <tableColumn id="2453" xr3:uid="{3E35153F-07AD-48A8-B024-2A9A93D51DE1}" name="23060" dataDxfId="1332" dataCellStyle="Currency"/>
    <tableColumn id="2454" xr3:uid="{EC13AB26-9D64-48B5-818C-F3738C3C2EE9}" name="23061" dataDxfId="1331" dataCellStyle="Currency"/>
    <tableColumn id="2455" xr3:uid="{436B10E1-E0D3-4459-92FF-019A1BAD7836}" name="23062" dataDxfId="1330" dataCellStyle="Currency"/>
    <tableColumn id="2456" xr3:uid="{164C7635-743C-4302-8BDC-9BF463D4C0EB}" name="23063" dataDxfId="1329" dataCellStyle="Currency"/>
    <tableColumn id="2457" xr3:uid="{6D0B2BB6-9409-422B-9C09-10626E4E583A}" name="23065" dataDxfId="1328" dataCellStyle="Currency"/>
    <tableColumn id="2458" xr3:uid="{464E6766-ED7A-4533-AB6A-EC352540A326}" name="23066" dataDxfId="1327" dataCellStyle="Currency"/>
    <tableColumn id="2459" xr3:uid="{FCE93B90-D7E1-47B5-B59F-27D377DD3A51}" name="23068" dataDxfId="1326" dataCellStyle="Currency"/>
    <tableColumn id="2460" xr3:uid="{79022440-3215-4428-A1E3-84EE584A3CB8}" name="23069" dataDxfId="1325" dataCellStyle="Currency"/>
    <tableColumn id="2461" xr3:uid="{EAF076C2-9C65-4882-BF1E-82AC76307B44}" name="23070" dataDxfId="1324" dataCellStyle="Currency"/>
    <tableColumn id="2462" xr3:uid="{7FDD15E2-19FF-4A2C-80C2-04977EFFFE66}" name="23071" dataDxfId="1323" dataCellStyle="Currency"/>
    <tableColumn id="2463" xr3:uid="{76AD8E18-1E34-4AF7-B96F-B307BC8BA5B0}" name="23072" dataDxfId="1322" dataCellStyle="Currency"/>
    <tableColumn id="2464" xr3:uid="{8B9EB171-33E8-46EC-9D6C-334EBB1300AE}" name="23075" dataDxfId="1321" dataCellStyle="Currency"/>
    <tableColumn id="2465" xr3:uid="{3A2B4657-086C-45B2-9E25-8F6AAB34692F}" name="23076" dataDxfId="1320" dataCellStyle="Currency"/>
    <tableColumn id="2466" xr3:uid="{6AA2590B-E46C-481C-B30A-B6860E2E218B}" name="23079" dataDxfId="1319" dataCellStyle="Currency"/>
    <tableColumn id="2467" xr3:uid="{E2534A87-0147-4EE3-A18F-9FBB84F44F49}" name="23081" dataDxfId="1318" dataCellStyle="Currency"/>
    <tableColumn id="2468" xr3:uid="{911CF2DB-9CB0-4AD6-BCFD-A8163017F849}" name="23083" dataDxfId="1317" dataCellStyle="Currency"/>
    <tableColumn id="2469" xr3:uid="{2E1B9C09-A281-4AA1-B7A4-ABD8669FD0C5}" name="23084" dataDxfId="1316" dataCellStyle="Currency"/>
    <tableColumn id="2470" xr3:uid="{567CAE00-7E35-4AE2-A986-2EA26956AF73}" name="23085" dataDxfId="1315" dataCellStyle="Currency"/>
    <tableColumn id="2471" xr3:uid="{F02FBB12-A08D-452C-87D9-18022AEF3DAB}" name="23086" dataDxfId="1314" dataCellStyle="Currency"/>
    <tableColumn id="2472" xr3:uid="{46A99DC0-7854-4510-97BC-BD7C0B7B2E88}" name="23089" dataDxfId="1313" dataCellStyle="Currency"/>
    <tableColumn id="2473" xr3:uid="{61C5B8F6-D875-4CC4-97EC-66FA4AC87478}" name="23091" dataDxfId="1312" dataCellStyle="Currency"/>
    <tableColumn id="2474" xr3:uid="{CCB4434F-5EC4-4BA5-8243-CA1E178F1CB5}" name="23092" dataDxfId="1311" dataCellStyle="Currency"/>
    <tableColumn id="2475" xr3:uid="{0BB33BCC-BD95-462C-B4B4-120C581E2A8D}" name="23093" dataDxfId="1310" dataCellStyle="Currency"/>
    <tableColumn id="2476" xr3:uid="{C4E23863-39F5-4294-A8D9-7AB6F09A1E5F}" name="23102" dataDxfId="1309" dataCellStyle="Currency"/>
    <tableColumn id="2477" xr3:uid="{89FA28EA-2FF6-4F87-9B0F-E686E223C297}" name="23103" dataDxfId="1308" dataCellStyle="Currency"/>
    <tableColumn id="2478" xr3:uid="{59E5A9B2-5516-4BA9-B099-1F857C974951}" name="23106" dataDxfId="1307" dataCellStyle="Currency"/>
    <tableColumn id="2479" xr3:uid="{E5F0F7DB-2C7C-4739-815C-C74FF4BF619C}" name="23108" dataDxfId="1306" dataCellStyle="Currency"/>
    <tableColumn id="2480" xr3:uid="{526F4AB1-F011-4EA1-8F6D-ABDACF2C91E4}" name="23109" dataDxfId="1305" dataCellStyle="Currency"/>
    <tableColumn id="2481" xr3:uid="{8561BB50-6FB9-4A5B-8DB5-5311F5282D79}" name="23110" dataDxfId="1304" dataCellStyle="Currency"/>
    <tableColumn id="2482" xr3:uid="{E11B9DF8-708A-4845-8396-CE55D9730DF2}" name="23111" dataDxfId="1303" dataCellStyle="Currency"/>
    <tableColumn id="2483" xr3:uid="{74EDA684-A60E-4240-AD4B-3DD11C3D463B}" name="23112" dataDxfId="1302" dataCellStyle="Currency"/>
    <tableColumn id="2484" xr3:uid="{E6C87A8B-7D0B-4E4D-B9E9-0858F90177DA}" name="23113" dataDxfId="1301" dataCellStyle="Currency"/>
    <tableColumn id="2485" xr3:uid="{7B68DCF3-3220-48E1-BC68-23ECC2A10B64}" name="23114" dataDxfId="1300" dataCellStyle="Currency"/>
    <tableColumn id="2486" xr3:uid="{F2710AF7-FDF2-470D-B77A-ED4FA07F1A38}" name="23116" dataDxfId="1299" dataCellStyle="Currency"/>
    <tableColumn id="2487" xr3:uid="{D41C0D41-F9D9-409B-BA42-7AE7C2404D37}" name="23117" dataDxfId="1298" dataCellStyle="Currency"/>
    <tableColumn id="2488" xr3:uid="{24A7C4F5-277D-4324-9FCC-6D278D323988}" name="23119" dataDxfId="1297" dataCellStyle="Currency"/>
    <tableColumn id="2489" xr3:uid="{270211B7-DB7D-4D34-916C-5DB4C130BA62}" name="23120" dataDxfId="1296" dataCellStyle="Currency"/>
    <tableColumn id="2490" xr3:uid="{481C054E-77D8-4B53-BA44-419E9F3645E6}" name="23123" dataDxfId="1295" dataCellStyle="Currency"/>
    <tableColumn id="2491" xr3:uid="{FBDE0D61-DF50-4FD9-B729-CABBAED6F3BB}" name="23124" dataDxfId="1294" dataCellStyle="Currency"/>
    <tableColumn id="2492" xr3:uid="{86A40D06-004E-4B72-B88F-B9524BF6500E}" name="23126" dataDxfId="1293" dataCellStyle="Currency"/>
    <tableColumn id="2493" xr3:uid="{358C6D00-F378-433C-B3AE-F0A6A3CB8E0A}" name="23128" dataDxfId="1292" dataCellStyle="Currency"/>
    <tableColumn id="2494" xr3:uid="{D5B6C1FA-CA8B-45A8-9B95-348CBE17A24C}" name="23129" dataDxfId="1291" dataCellStyle="Currency"/>
    <tableColumn id="2495" xr3:uid="{E2684FD0-2503-478D-AD81-7A5FFB19A983}" name="23130" dataDxfId="1290" dataCellStyle="Currency"/>
    <tableColumn id="2496" xr3:uid="{9FED7A01-F46A-4D0F-B1DE-9BF4AE42EEDF}" name="23138" dataDxfId="1289" dataCellStyle="Currency"/>
    <tableColumn id="2497" xr3:uid="{A5CC1C60-14D9-4C36-B06C-F30FE42C6613}" name="23139" dataDxfId="1288" dataCellStyle="Currency"/>
    <tableColumn id="2498" xr3:uid="{AB1B3AFE-5390-4212-9817-A06668B28602}" name="23140" dataDxfId="1287" dataCellStyle="Currency"/>
    <tableColumn id="2499" xr3:uid="{B0DE7285-E51E-478E-A7CE-A35DCFC2F371}" name="23141" dataDxfId="1286" dataCellStyle="Currency"/>
    <tableColumn id="2500" xr3:uid="{11812448-7FF8-43D6-89D6-275CF8054B9D}" name="23146" dataDxfId="1285" dataCellStyle="Currency"/>
    <tableColumn id="2501" xr3:uid="{E145384C-95E7-4639-8ED5-65EDC17B9BBB}" name="23147" dataDxfId="1284" dataCellStyle="Currency"/>
    <tableColumn id="2502" xr3:uid="{4453CA30-8DDA-4EE2-ABC3-B794E044E261}" name="23148" dataDxfId="1283" dataCellStyle="Currency"/>
    <tableColumn id="2503" xr3:uid="{67A72139-9D25-452C-8F53-B18BDFCB6CA7}" name="23149" dataDxfId="1282" dataCellStyle="Currency"/>
    <tableColumn id="2504" xr3:uid="{B0DE9BA8-9FBF-4AD6-B707-49D706FAACDC}" name="23150" dataDxfId="1281" dataCellStyle="Currency"/>
    <tableColumn id="2505" xr3:uid="{84654FF2-221B-42C7-955C-58EC1CE52207}" name="23153" dataDxfId="1280" dataCellStyle="Currency"/>
    <tableColumn id="2506" xr3:uid="{DBD1EC01-158F-4FF8-823C-D06B1B4D07FE}" name="23156" dataDxfId="1279" dataCellStyle="Currency"/>
    <tableColumn id="2507" xr3:uid="{C8DA4C84-4C7D-4AD8-83DB-07197503AF2F}" name="23160" dataDxfId="1278" dataCellStyle="Currency"/>
    <tableColumn id="2508" xr3:uid="{77FEDFC6-8055-4DD1-BDD1-74058D8A7ED1}" name="23161" dataDxfId="1277" dataCellStyle="Currency"/>
    <tableColumn id="2509" xr3:uid="{FA439EE7-EDF6-4EEA-8D1A-7A685F0B99F4}" name="23163" dataDxfId="1276" dataCellStyle="Currency"/>
    <tableColumn id="2510" xr3:uid="{60B7F378-2990-41AC-B62E-A3433CBFBD96}" name="23168" dataDxfId="1275" dataCellStyle="Currency"/>
    <tableColumn id="2511" xr3:uid="{0135DCBB-C07B-49FB-A5D5-B32069DBEE6F}" name="23169" dataDxfId="1274" dataCellStyle="Currency"/>
    <tableColumn id="2512" xr3:uid="{9DC32572-EFCF-419D-8754-C0423150EA6E}" name="23173" dataDxfId="1273" dataCellStyle="Currency"/>
    <tableColumn id="2513" xr3:uid="{565D8AD1-23ED-4FCD-936C-0026F477C8B8}" name="23175" dataDxfId="1272" dataCellStyle="Currency"/>
    <tableColumn id="2514" xr3:uid="{66F9C217-8B6B-41D8-9E99-D350D87A8728}" name="23176" dataDxfId="1271" dataCellStyle="Currency"/>
    <tableColumn id="2515" xr3:uid="{A5CBE613-082E-4C49-852E-38677FBE587C}" name="23177" dataDxfId="1270" dataCellStyle="Currency"/>
    <tableColumn id="2516" xr3:uid="{E37B8AD4-FCA3-4B53-BBF7-DDF66A6B2607}" name="23180" dataDxfId="1269" dataCellStyle="Currency"/>
    <tableColumn id="2517" xr3:uid="{E0093F3A-9905-4797-AFFE-E93C0924565C}" name="23181" dataDxfId="1268" dataCellStyle="Currency"/>
    <tableColumn id="2518" xr3:uid="{85C99B3A-F11D-4DA0-812E-C53A7638B2A4}" name="23185" dataDxfId="1267" dataCellStyle="Currency"/>
    <tableColumn id="2519" xr3:uid="{FC4840FF-66B7-4BBE-BAC1-E1D387D6705A}" name="23188" dataDxfId="1266" dataCellStyle="Currency"/>
    <tableColumn id="2520" xr3:uid="{319F1EDB-3B56-4EA4-9C94-7DE30A1D09BF}" name="23192" dataDxfId="1265" dataCellStyle="Currency"/>
    <tableColumn id="2521" xr3:uid="{BDC7DECF-3967-47A9-8884-AFF7BF7770ED}" name="23219" dataDxfId="1264" dataCellStyle="Currency"/>
    <tableColumn id="2522" xr3:uid="{C44C90B3-8E6F-4E64-AB2C-898FC3A9E4C4}" name="23220" dataDxfId="1263" dataCellStyle="Currency"/>
    <tableColumn id="2523" xr3:uid="{DA1565BA-7167-4F1E-BAD3-DCEA8DBBF30F}" name="23221" dataDxfId="1262" dataCellStyle="Currency"/>
    <tableColumn id="2524" xr3:uid="{A237E44C-9D48-456E-9F9E-8F5C6819EC1C}" name="23222" dataDxfId="1261" dataCellStyle="Currency"/>
    <tableColumn id="2525" xr3:uid="{771E9C13-FBBD-4C4F-A3AE-85891097741C}" name="23223" dataDxfId="1260" dataCellStyle="Currency"/>
    <tableColumn id="2526" xr3:uid="{330D8F67-7C0C-4EF4-A466-BE03424950A8}" name="23224" dataDxfId="1259" dataCellStyle="Currency"/>
    <tableColumn id="2527" xr3:uid="{7BB62B76-E852-475C-ABA9-FA6F29000395}" name="23225" dataDxfId="1258" dataCellStyle="Currency"/>
    <tableColumn id="2528" xr3:uid="{C2654466-2E41-491B-95BD-395FD57664C1}" name="23226" dataDxfId="1257" dataCellStyle="Currency"/>
    <tableColumn id="2529" xr3:uid="{EA131CCA-8C27-49DE-B0DB-BD661EB32E90}" name="23227" dataDxfId="1256" dataCellStyle="Currency"/>
    <tableColumn id="2530" xr3:uid="{B14FF427-FB61-4784-853D-14EF6D4CA088}" name="23228" dataDxfId="1255" dataCellStyle="Currency"/>
    <tableColumn id="2531" xr3:uid="{43AC9E72-3327-4637-B594-4FE021E13AF8}" name="23229" dataDxfId="1254" dataCellStyle="Currency"/>
    <tableColumn id="2532" xr3:uid="{6DDD9E4C-C646-45BF-BCDD-CED584F2DE8D}" name="23230" dataDxfId="1253" dataCellStyle="Currency"/>
    <tableColumn id="2533" xr3:uid="{958D2CD3-04D0-4E54-A969-36AA82B086DB}" name="23231" dataDxfId="1252" dataCellStyle="Currency"/>
    <tableColumn id="2534" xr3:uid="{E18CD2C7-5705-42AF-8565-E879FEFE4E24}" name="23233" dataDxfId="1251" dataCellStyle="Currency"/>
    <tableColumn id="2535" xr3:uid="{EB6FF276-F693-4A7F-9663-72038975A326}" name="23234" dataDxfId="1250" dataCellStyle="Currency"/>
    <tableColumn id="2536" xr3:uid="{CFDB228E-2037-4558-9E21-03EB63AC32A5}" name="23235" dataDxfId="1249" dataCellStyle="Currency"/>
    <tableColumn id="2537" xr3:uid="{C245C031-03F0-41BE-96F6-85437186E1B4}" name="23236" dataDxfId="1248" dataCellStyle="Currency"/>
    <tableColumn id="2538" xr3:uid="{4E46AA60-F025-49FE-B2DF-311F997B8B56}" name="23237" dataDxfId="1247" dataCellStyle="Currency"/>
    <tableColumn id="2539" xr3:uid="{14586099-F2C4-4482-933B-B392C5412335}" name="23238" dataDxfId="1246" dataCellStyle="Currency"/>
    <tableColumn id="2540" xr3:uid="{5FD1D104-C75F-46DC-8CFE-B3775F6C3B5E}" name="23250" dataDxfId="1245" dataCellStyle="Currency"/>
    <tableColumn id="2541" xr3:uid="{964495E9-2D2B-465E-89D5-C728E94937C6}" name="23284" dataDxfId="1244" dataCellStyle="Currency"/>
    <tableColumn id="2542" xr3:uid="{200155E9-C5DC-404A-8211-33B1318F951D}" name="23294" dataDxfId="1243" dataCellStyle="Currency"/>
    <tableColumn id="2543" xr3:uid="{93C7B4C1-B36F-4B3E-9BF3-886C13F971E0}" name="23298" dataDxfId="1242" dataCellStyle="Currency"/>
    <tableColumn id="2544" xr3:uid="{1A3F575A-527C-45E8-BD96-BC4093968D3D}" name="23301" dataDxfId="1241" dataCellStyle="Currency"/>
    <tableColumn id="2545" xr3:uid="{644300FB-2ECC-4834-9F78-D0B7A53EA6C0}" name="23302" dataDxfId="1240" dataCellStyle="Currency"/>
    <tableColumn id="2546" xr3:uid="{16FAB8C8-D6F3-4E31-A242-B2E462FFE269}" name="23303" dataDxfId="1239" dataCellStyle="Currency"/>
    <tableColumn id="2547" xr3:uid="{7D7DEC6B-23FF-4162-A819-6255B2B64365}" name="23304" dataDxfId="1238" dataCellStyle="Currency"/>
    <tableColumn id="2548" xr3:uid="{E6552D1C-4605-4CD3-A201-FEA07AA60A94}" name="23306" dataDxfId="1237" dataCellStyle="Currency"/>
    <tableColumn id="2549" xr3:uid="{0D13F644-CA46-454E-AC7C-B83BB7763102}" name="23307" dataDxfId="1236" dataCellStyle="Currency"/>
    <tableColumn id="2550" xr3:uid="{BC1ED7C8-244A-4439-BDE9-B12FF3949E47}" name="23308" dataDxfId="1235" dataCellStyle="Currency"/>
    <tableColumn id="2551" xr3:uid="{0E19EC0D-8D6C-47EC-AA22-9DABAC3179C7}" name="23310" dataDxfId="1234" dataCellStyle="Currency"/>
    <tableColumn id="2552" xr3:uid="{59B6DE4B-9C6F-47F7-8AF2-0AB5A08D6CC4}" name="23314" dataDxfId="1233" dataCellStyle="Currency"/>
    <tableColumn id="2553" xr3:uid="{32BD093D-CFC6-4847-841E-DC9E19A583E9}" name="23315" dataDxfId="1232" dataCellStyle="Currency"/>
    <tableColumn id="2554" xr3:uid="{61B831F9-E069-4C87-8105-D2D4826CC3CC}" name="23316" dataDxfId="1231" dataCellStyle="Currency"/>
    <tableColumn id="2555" xr3:uid="{9930D635-E803-4BEB-8814-B72E4099A629}" name="23320" dataDxfId="1230" dataCellStyle="Currency"/>
    <tableColumn id="2556" xr3:uid="{2FD93916-94EA-491C-B2A8-6AF1844AEC51}" name="23321" dataDxfId="1229" dataCellStyle="Currency"/>
    <tableColumn id="2557" xr3:uid="{62F0B41F-2186-4694-8BAC-E191B7B3E183}" name="23322" dataDxfId="1228" dataCellStyle="Currency"/>
    <tableColumn id="2558" xr3:uid="{7E413981-C277-4C6F-8101-3761CC730628}" name="23323" dataDxfId="1227" dataCellStyle="Currency"/>
    <tableColumn id="2559" xr3:uid="{A361D905-2B45-47BF-BF1C-85F0CD2CDC2D}" name="23324" dataDxfId="1226" dataCellStyle="Currency"/>
    <tableColumn id="2560" xr3:uid="{D09D8B5C-F6FC-4287-ACEC-8106CFBB94DE}" name="23325" dataDxfId="1225" dataCellStyle="Currency"/>
    <tableColumn id="2561" xr3:uid="{79292F15-B020-457F-8463-4412E72AEE0A}" name="23336" dataDxfId="1224" dataCellStyle="Currency"/>
    <tableColumn id="2562" xr3:uid="{5AE405EB-FA0C-48F4-A069-E5EC00CBD360}" name="23337" dataDxfId="1223" dataCellStyle="Currency"/>
    <tableColumn id="2563" xr3:uid="{0660A00C-9CF9-44F2-90F9-5939BE4B4AB3}" name="23347" dataDxfId="1222" dataCellStyle="Currency"/>
    <tableColumn id="2564" xr3:uid="{6FE421A5-5A81-4DC0-8918-4ED1E3AE284E}" name="23350" dataDxfId="1221" dataCellStyle="Currency"/>
    <tableColumn id="2565" xr3:uid="{B7C6D621-5191-49AB-98A2-B55AC57744C2}" name="23354" dataDxfId="1220" dataCellStyle="Currency"/>
    <tableColumn id="2566" xr3:uid="{C0F3ADFF-DA6F-4ECE-887F-CA7ED0B3ADBD}" name="23356" dataDxfId="1219" dataCellStyle="Currency"/>
    <tableColumn id="2567" xr3:uid="{98EB0B42-5190-4A1A-8A53-739E30D5D1B9}" name="23357" dataDxfId="1218" dataCellStyle="Currency"/>
    <tableColumn id="2568" xr3:uid="{5DE7B352-1990-4590-AB08-E6449573E42E}" name="23358" dataDxfId="1217" dataCellStyle="Currency"/>
    <tableColumn id="2569" xr3:uid="{2CE9D338-EE9F-4F72-B3E4-C5AC2BA9FF07}" name="23359" dataDxfId="1216" dataCellStyle="Currency"/>
    <tableColumn id="2570" xr3:uid="{8D2E8F22-6EFD-4093-ADA6-6C13CDFE1CC1}" name="23389" dataDxfId="1215" dataCellStyle="Currency"/>
    <tableColumn id="2571" xr3:uid="{345D2950-304A-48C2-A9CB-809B3C315B64}" name="23395" dataDxfId="1214" dataCellStyle="Currency"/>
    <tableColumn id="2572" xr3:uid="{9C85B307-8B66-45C0-B00C-9A76419F344B}" name="23398" dataDxfId="1213" dataCellStyle="Currency"/>
    <tableColumn id="2573" xr3:uid="{1B7C1291-CF13-4841-AF86-F6F2F3CE4812}" name="23401" dataDxfId="1212" dataCellStyle="Currency"/>
    <tableColumn id="2574" xr3:uid="{07C1F7E6-3B00-4F82-89EC-0408F7DBA23A}" name="23405" dataDxfId="1211" dataCellStyle="Currency"/>
    <tableColumn id="2575" xr3:uid="{839FEA02-896A-4CD9-8F67-14A0001FB3D4}" name="23407" dataDxfId="1210" dataCellStyle="Currency"/>
    <tableColumn id="2576" xr3:uid="{E81C3D25-94B4-4758-9C4F-E2740E681BFD}" name="23408" dataDxfId="1209" dataCellStyle="Currency"/>
    <tableColumn id="2577" xr3:uid="{8AA0BAC6-7C40-42AC-915B-FFA14FF848AC}" name="23409" dataDxfId="1208" dataCellStyle="Currency"/>
    <tableColumn id="2578" xr3:uid="{01F9CDA4-1CCA-4D5D-A8A9-27760769ED1B}" name="23410" dataDxfId="1207" dataCellStyle="Currency"/>
    <tableColumn id="2579" xr3:uid="{06DEC0DD-956F-498D-89B4-104D40C3FEE6}" name="23413" dataDxfId="1206" dataCellStyle="Currency"/>
    <tableColumn id="2580" xr3:uid="{89553814-F7BE-4BBA-B8B4-C8481ACEC01C}" name="23414" dataDxfId="1205" dataCellStyle="Currency"/>
    <tableColumn id="2581" xr3:uid="{33C5DA99-8938-4932-A643-9BC49853298F}" name="23415" dataDxfId="1204" dataCellStyle="Currency"/>
    <tableColumn id="2582" xr3:uid="{E0D466E7-5CA8-4044-81CD-94A44E310880}" name="23416" dataDxfId="1203" dataCellStyle="Currency"/>
    <tableColumn id="2583" xr3:uid="{76A0EC19-0A7A-42E8-BC1B-8088BCAE9137}" name="23417" dataDxfId="1202" dataCellStyle="Currency"/>
    <tableColumn id="2584" xr3:uid="{144FFABF-3832-4136-BA9A-9AC9FC62CCE5}" name="23418" dataDxfId="1201" dataCellStyle="Currency"/>
    <tableColumn id="2585" xr3:uid="{2086A37E-73CC-4E8C-9868-1A30C5C9B9DA}" name="23420" dataDxfId="1200" dataCellStyle="Currency"/>
    <tableColumn id="2586" xr3:uid="{CE82330E-4BCB-4089-9212-1A13C9120475}" name="23421" dataDxfId="1199" dataCellStyle="Currency"/>
    <tableColumn id="2587" xr3:uid="{204632E6-7294-45F7-81C9-A2AF6182B4ED}" name="23422" dataDxfId="1198" dataCellStyle="Currency"/>
    <tableColumn id="2588" xr3:uid="{B56967B4-0DEC-4EB7-A2A0-7AB37B84EA4D}" name="23423" dataDxfId="1197" dataCellStyle="Currency"/>
    <tableColumn id="2589" xr3:uid="{F824080D-49B8-449C-9EBD-B10B22DF87A5}" name="23426" dataDxfId="1196" dataCellStyle="Currency"/>
    <tableColumn id="2590" xr3:uid="{218BC064-DBDD-4300-9376-A0BC57D09A94}" name="23427" dataDxfId="1195" dataCellStyle="Currency"/>
    <tableColumn id="2591" xr3:uid="{BF125AEB-47A2-495E-AB01-5F30DE7007CD}" name="23430" dataDxfId="1194" dataCellStyle="Currency"/>
    <tableColumn id="2592" xr3:uid="{702A46D9-EC18-4554-97B8-C2A80396849D}" name="23432" dataDxfId="1193" dataCellStyle="Currency"/>
    <tableColumn id="2593" xr3:uid="{0E3BC065-07C0-440B-A021-54DF2B8F068E}" name="23433" dataDxfId="1192" dataCellStyle="Currency"/>
    <tableColumn id="2594" xr3:uid="{55CA87C4-91C2-4E55-BB73-47D6BBC72E21}" name="23434" dataDxfId="1191" dataCellStyle="Currency"/>
    <tableColumn id="2595" xr3:uid="{968A338D-2801-4BDE-B45F-608CDF1C8A58}" name="23435" dataDxfId="1190" dataCellStyle="Currency"/>
    <tableColumn id="2596" xr3:uid="{CC7DD754-6B51-4508-A0B9-2F9931CB4152}" name="23436" dataDxfId="1189" dataCellStyle="Currency"/>
    <tableColumn id="2597" xr3:uid="{AB30E309-B62D-4A78-8AA4-58C8A67D9E66}" name="23437" dataDxfId="1188" dataCellStyle="Currency"/>
    <tableColumn id="2598" xr3:uid="{3B39E771-AC03-4E31-AF29-37F934B49E61}" name="23438" dataDxfId="1187" dataCellStyle="Currency"/>
    <tableColumn id="2599" xr3:uid="{50420944-499C-4F9E-977D-DB5D18590B05}" name="23440" dataDxfId="1186" dataCellStyle="Currency"/>
    <tableColumn id="2600" xr3:uid="{5DA6E3AB-5242-49D8-9B55-17CE0FCFE919}" name="23441" dataDxfId="1185" dataCellStyle="Currency"/>
    <tableColumn id="2601" xr3:uid="{4C78497C-757A-4068-937C-68011161ACE7}" name="23442" dataDxfId="1184" dataCellStyle="Currency"/>
    <tableColumn id="2602" xr3:uid="{83C95739-4FE4-405C-B459-4009F99028A9}" name="23451" dataDxfId="1183" dataCellStyle="Currency"/>
    <tableColumn id="2603" xr3:uid="{E68419D1-4289-4D26-AC44-ED1BCB31BCC2}" name="23452" dataDxfId="1182" dataCellStyle="Currency"/>
    <tableColumn id="2604" xr3:uid="{F75718DB-71D1-4B56-B687-AFA1384E382D}" name="23453" dataDxfId="1181" dataCellStyle="Currency"/>
    <tableColumn id="2605" xr3:uid="{D4FF9742-8764-4F1C-A1CD-D5BF3B2CA773}" name="23454" dataDxfId="1180" dataCellStyle="Currency"/>
    <tableColumn id="2606" xr3:uid="{2EC80A28-D979-408F-B2BD-8649B2F7B57D}" name="23455" dataDxfId="1179" dataCellStyle="Currency"/>
    <tableColumn id="2607" xr3:uid="{896B033F-41A6-4695-A3AE-BF1A0D8487D7}" name="23456" dataDxfId="1178" dataCellStyle="Currency"/>
    <tableColumn id="2608" xr3:uid="{EED9DFA8-A758-47F7-813A-1F2C806FF600}" name="23457" dataDxfId="1177" dataCellStyle="Currency"/>
    <tableColumn id="2609" xr3:uid="{18508A93-889C-4FBB-880D-29A871ECDD81}" name="23459" dataDxfId="1176" dataCellStyle="Currency"/>
    <tableColumn id="2610" xr3:uid="{D9FDB182-6426-46E8-B560-9F57121BB179}" name="23460" dataDxfId="1175" dataCellStyle="Currency"/>
    <tableColumn id="2611" xr3:uid="{8A3F8F08-AAFB-40F4-85F2-F67916D8DC24}" name="23461" dataDxfId="1174" dataCellStyle="Currency"/>
    <tableColumn id="2612" xr3:uid="{74935F31-42C7-4778-ABCA-44FB927B8BB8}" name="23462" dataDxfId="1173" dataCellStyle="Currency"/>
    <tableColumn id="2613" xr3:uid="{7BDD80B6-0444-41A5-B296-F84297A7AD0A}" name="23464" dataDxfId="1172" dataCellStyle="Currency"/>
    <tableColumn id="2614" xr3:uid="{74B936DC-8CB1-486C-9DE8-50401DCDD73F}" name="23480" dataDxfId="1171" dataCellStyle="Currency"/>
    <tableColumn id="2615" xr3:uid="{50F10596-A8F3-484F-BDA0-5350BA7D37F3}" name="23486" dataDxfId="1170" dataCellStyle="Currency"/>
    <tableColumn id="2616" xr3:uid="{19A965A0-04C0-4537-8566-71E184B23E02}" name="23487" dataDxfId="1169" dataCellStyle="Currency"/>
    <tableColumn id="2617" xr3:uid="{4CD0F67A-7FD9-4382-B5E4-09097EDD9935}" name="23488" dataDxfId="1168" dataCellStyle="Currency"/>
    <tableColumn id="2618" xr3:uid="{F074E899-633D-407D-A200-99C43954AD61}" name="23502" dataDxfId="1167" dataCellStyle="Currency"/>
    <tableColumn id="2619" xr3:uid="{FF87438A-19DD-404B-B3DA-D8A5BCEB6DA1}" name="23503" dataDxfId="1166" dataCellStyle="Currency"/>
    <tableColumn id="2620" xr3:uid="{36DBC00B-16B3-46BF-9DF0-4472784C786F}" name="23504" dataDxfId="1165" dataCellStyle="Currency"/>
    <tableColumn id="2621" xr3:uid="{19D3823C-3E3A-45D6-9494-75CC85256C18}" name="23505" dataDxfId="1164" dataCellStyle="Currency"/>
    <tableColumn id="2622" xr3:uid="{1CC3DF7C-025C-429F-BA59-1E3866678556}" name="23507" dataDxfId="1163" dataCellStyle="Currency"/>
    <tableColumn id="2623" xr3:uid="{CADFB92C-6D27-42AD-99A3-595513617B6F}" name="23508" dataDxfId="1162" dataCellStyle="Currency"/>
    <tableColumn id="2624" xr3:uid="{71A5A1F9-0D42-4BD5-8342-BE0A344F9A79}" name="23509" dataDxfId="1161" dataCellStyle="Currency"/>
    <tableColumn id="2625" xr3:uid="{E6A19C39-9547-411B-B94B-89E777A357E3}" name="23510" dataDxfId="1160" dataCellStyle="Currency"/>
    <tableColumn id="2626" xr3:uid="{BAEEF5D1-CAA9-4584-A783-597AFFCE96C9}" name="23511" dataDxfId="1159" dataCellStyle="Currency"/>
    <tableColumn id="2627" xr3:uid="{C9F4E482-A09D-441B-AB03-A375BA199FE4}" name="23513" dataDxfId="1158" dataCellStyle="Currency"/>
    <tableColumn id="2628" xr3:uid="{8229FD4D-1413-49A4-A68D-85CE2B1F1A5F}" name="23517" dataDxfId="1157" dataCellStyle="Currency"/>
    <tableColumn id="2629" xr3:uid="{2C025C7E-6E73-4D19-9EE6-65E93FB3E58E}" name="23518" dataDxfId="1156" dataCellStyle="Currency"/>
    <tableColumn id="2630" xr3:uid="{9E45FC6A-A89C-4616-9CD2-45CBD53D6E4D}" name="23523" dataDxfId="1155" dataCellStyle="Currency"/>
    <tableColumn id="2631" xr3:uid="{31CC4EE6-BF27-4D33-B317-A96279A4E669}" name="23551" dataDxfId="1154" dataCellStyle="Currency"/>
    <tableColumn id="2632" xr3:uid="{C9D4DF7F-5339-402E-84D2-CDD6A285149D}" name="23601" dataDxfId="1153" dataCellStyle="Currency"/>
    <tableColumn id="2633" xr3:uid="{CBE90E78-2F5F-4CC9-BE62-D1A62126163B}" name="23602" dataDxfId="1152" dataCellStyle="Currency"/>
    <tableColumn id="2634" xr3:uid="{BC681AEE-15BE-4628-8DD3-AE0ADE10B02C}" name="23603" dataDxfId="1151" dataCellStyle="Currency"/>
    <tableColumn id="2635" xr3:uid="{C226E2DA-7830-4675-B485-6AEFD7856179}" name="23604" dataDxfId="1150" dataCellStyle="Currency"/>
    <tableColumn id="2636" xr3:uid="{CDA05332-73DB-4B67-BC7B-6B00DF6B1F73}" name="23605" dataDxfId="1149" dataCellStyle="Currency"/>
    <tableColumn id="2637" xr3:uid="{B525EACF-24BB-410C-846D-BE309DE5B624}" name="23606" dataDxfId="1148" dataCellStyle="Currency"/>
    <tableColumn id="2638" xr3:uid="{45C6F51D-D799-429D-B40B-022C5C01AAA9}" name="23607" dataDxfId="1147" dataCellStyle="Currency"/>
    <tableColumn id="2639" xr3:uid="{888E93AF-26DE-4C11-ABF9-4B58306F0D7A}" name="23608" dataDxfId="1146" dataCellStyle="Currency"/>
    <tableColumn id="2640" xr3:uid="{8FBD997C-2221-428C-A576-B44616172657}" name="23651" dataDxfId="1145" dataCellStyle="Currency"/>
    <tableColumn id="2641" xr3:uid="{B3CE1C78-333C-4A73-BD87-4762C51BEDD5}" name="23661" dataDxfId="1144" dataCellStyle="Currency"/>
    <tableColumn id="2642" xr3:uid="{FB7FB836-E994-436E-A43F-9CDDE524964C}" name="23662" dataDxfId="1143" dataCellStyle="Currency"/>
    <tableColumn id="2643" xr3:uid="{478653E7-3F94-4C52-A030-9AE49465913B}" name="23663" dataDxfId="1142" dataCellStyle="Currency"/>
    <tableColumn id="2644" xr3:uid="{4904EA64-D298-473C-BA08-018E6E257286}" name="23664" dataDxfId="1141" dataCellStyle="Currency"/>
    <tableColumn id="2645" xr3:uid="{429F4298-4BB4-4032-9548-42B6464E8D55}" name="23665" dataDxfId="1140" dataCellStyle="Currency"/>
    <tableColumn id="2646" xr3:uid="{FE2E5689-93B0-475D-B0AA-A6FF13402BBA}" name="23666" dataDxfId="1139" dataCellStyle="Currency"/>
    <tableColumn id="2647" xr3:uid="{CD42D465-500E-43C2-84D8-46DEFDA2F91E}" name="23667" dataDxfId="1138" dataCellStyle="Currency"/>
    <tableColumn id="2648" xr3:uid="{299B94EE-8231-4543-A477-7D9F162DE3DA}" name="23668" dataDxfId="1137" dataCellStyle="Currency"/>
    <tableColumn id="2649" xr3:uid="{76928067-19D6-4D1C-B2CA-22B742EADA8E}" name="23669" dataDxfId="1136" dataCellStyle="Currency"/>
    <tableColumn id="2650" xr3:uid="{138A3820-09D5-47D4-A3F2-5C22BED120BF}" name="23681" dataDxfId="1135" dataCellStyle="Currency"/>
    <tableColumn id="2651" xr3:uid="{2878A840-DB1D-491E-A845-36D882A97366}" name="23690" dataDxfId="1134" dataCellStyle="Currency"/>
    <tableColumn id="2652" xr3:uid="{5085001D-FB36-42E1-9053-82FFD5A8416C}" name="23691" dataDxfId="1133" dataCellStyle="Currency"/>
    <tableColumn id="2653" xr3:uid="{2D88BB5A-BAB0-4B38-A891-E38133DEC0D3}" name="23692" dataDxfId="1132" dataCellStyle="Currency"/>
    <tableColumn id="2654" xr3:uid="{BA1B3366-15FA-4A25-915F-0B9CB78C1C8C}" name="23693" dataDxfId="1131" dataCellStyle="Currency"/>
    <tableColumn id="2655" xr3:uid="{C7CCE181-3ECA-4AB6-8248-4473F6EC0B48}" name="23696" dataDxfId="1130" dataCellStyle="Currency"/>
    <tableColumn id="2656" xr3:uid="{AA5DA5CF-5A02-4A85-828D-D0BF020C7C1B}" name="23701" dataDxfId="1129" dataCellStyle="Currency"/>
    <tableColumn id="2657" xr3:uid="{E936727B-86A2-4F9E-B69E-9D896179AF0D}" name="23702" dataDxfId="1128" dataCellStyle="Currency"/>
    <tableColumn id="2658" xr3:uid="{F437F07E-354E-4610-8E66-2FA6EA01B49F}" name="23703" dataDxfId="1127" dataCellStyle="Currency"/>
    <tableColumn id="2659" xr3:uid="{A0EC355F-A25C-42E8-B730-4C46E4077DD1}" name="23704" dataDxfId="1126" dataCellStyle="Currency"/>
    <tableColumn id="2660" xr3:uid="{B1D36AF4-18D6-4F7E-8AC4-143408E0BFC6}" name="23707" dataDxfId="1125" dataCellStyle="Currency"/>
    <tableColumn id="2661" xr3:uid="{5F8325DA-2AFB-4396-8051-EB2DB277BC04}" name="23708" dataDxfId="1124" dataCellStyle="Currency"/>
    <tableColumn id="2662" xr3:uid="{DE814411-CFB5-4680-B400-EBA716850EC9}" name="23709" dataDxfId="1123" dataCellStyle="Currency"/>
    <tableColumn id="2663" xr3:uid="{2352407B-A298-4F2E-9767-0B31DBB49C0A}" name="23801" dataDxfId="1122" dataCellStyle="Currency"/>
    <tableColumn id="2664" xr3:uid="{B5D92E89-15F2-490D-AFE4-68C79858C3B7}" name="23803" dataDxfId="1121" dataCellStyle="Currency"/>
    <tableColumn id="2665" xr3:uid="{D203820F-E31B-4E9C-952D-A82F650385D1}" name="23805" dataDxfId="1120" dataCellStyle="Currency"/>
    <tableColumn id="2666" xr3:uid="{28903F1C-7F1E-4372-9AF9-9E9264CBA2F5}" name="23821" dataDxfId="1119" dataCellStyle="Currency"/>
    <tableColumn id="2667" xr3:uid="{F1C1E0A9-A15A-4AD9-8767-AE5C924598D2}" name="23824" dataDxfId="1118" dataCellStyle="Currency"/>
    <tableColumn id="2668" xr3:uid="{4681C9E4-96AE-4A38-A03A-7A87320E5466}" name="23827" dataDxfId="1117" dataCellStyle="Currency"/>
    <tableColumn id="2669" xr3:uid="{9A8382FC-A4B3-4280-A5DA-5BE031D496EB}" name="23828" dataDxfId="1116" dataCellStyle="Currency"/>
    <tableColumn id="2670" xr3:uid="{58579022-E3F3-418B-858E-9B2910725967}" name="23829" dataDxfId="1115" dataCellStyle="Currency"/>
    <tableColumn id="2671" xr3:uid="{49060DF7-8D4C-4A14-BD9D-624E56E96D7F}" name="23830" dataDxfId="1114" dataCellStyle="Currency"/>
    <tableColumn id="2672" xr3:uid="{ED0FD7FB-4CAD-438E-99B8-CC96907C75B6}" name="23831" dataDxfId="1113" dataCellStyle="Currency"/>
    <tableColumn id="2673" xr3:uid="{7765BC7C-45B7-4BF7-8A4E-6A38C423AD08}" name="23832" dataDxfId="1112" dataCellStyle="Currency"/>
    <tableColumn id="2674" xr3:uid="{3C94D0EC-B0D3-475F-8D0F-852FC3716D64}" name="23833" dataDxfId="1111" dataCellStyle="Currency"/>
    <tableColumn id="2675" xr3:uid="{592D8D5F-44A3-4D80-9265-26C26AF37921}" name="23834" dataDxfId="1110" dataCellStyle="Currency"/>
    <tableColumn id="2676" xr3:uid="{BF73A7FB-892B-408C-8A9D-1CC729139DF8}" name="23836" dataDxfId="1109" dataCellStyle="Currency"/>
    <tableColumn id="2677" xr3:uid="{8EB98990-2FD9-43A7-856C-5FD7D60D6F58}" name="23837" dataDxfId="1108" dataCellStyle="Currency"/>
    <tableColumn id="2678" xr3:uid="{68DF9773-6CA8-4678-8317-C265AFB3D790}" name="23838" dataDxfId="1107" dataCellStyle="Currency"/>
    <tableColumn id="2679" xr3:uid="{28274012-D708-41C2-BF8C-FB851EF7DCA5}" name="23839" dataDxfId="1106" dataCellStyle="Currency"/>
    <tableColumn id="2680" xr3:uid="{6340A1AD-CC5D-4440-909C-6B8742EB314D}" name="23840" dataDxfId="1105" dataCellStyle="Currency"/>
    <tableColumn id="2681" xr3:uid="{07A781BF-0E45-42CB-94B6-BBA6554026CC}" name="23841" dataDxfId="1104" dataCellStyle="Currency"/>
    <tableColumn id="2682" xr3:uid="{765F4704-90CB-4777-8AF1-124225F20EFA}" name="23842" dataDxfId="1103" dataCellStyle="Currency"/>
    <tableColumn id="2683" xr3:uid="{5988F26D-5A8C-4A24-8615-97EFFC3CCC57}" name="23843" dataDxfId="1102" dataCellStyle="Currency"/>
    <tableColumn id="2684" xr3:uid="{3392775D-CB60-41C7-9299-0BD3D22C2916}" name="23844" dataDxfId="1101" dataCellStyle="Currency"/>
    <tableColumn id="2685" xr3:uid="{1E723F8A-C8EB-4DC7-8E72-4F92BFDD15B0}" name="23845" dataDxfId="1100" dataCellStyle="Currency"/>
    <tableColumn id="2686" xr3:uid="{52360297-AB4C-4005-ACF6-15B159ED286F}" name="23846" dataDxfId="1099" dataCellStyle="Currency"/>
    <tableColumn id="2687" xr3:uid="{2A6F5762-0AC5-4DA4-8E78-D503440972FC}" name="23847" dataDxfId="1098" dataCellStyle="Currency"/>
    <tableColumn id="2688" xr3:uid="{8D9E1022-BB79-44FA-B3E7-C4FFE38CBFE8}" name="23850" dataDxfId="1097" dataCellStyle="Currency"/>
    <tableColumn id="2689" xr3:uid="{B646DB0E-09AE-4971-9994-A0E8556D9AAF}" name="23851" dataDxfId="1096" dataCellStyle="Currency"/>
    <tableColumn id="2690" xr3:uid="{0CC01BFC-21B7-467D-805C-AEE058DCA22B}" name="23856" dataDxfId="1095" dataCellStyle="Currency"/>
    <tableColumn id="2691" xr3:uid="{121F00BB-8326-460B-8A43-8C3E4A8AEB73}" name="23857" dataDxfId="1094" dataCellStyle="Currency"/>
    <tableColumn id="2692" xr3:uid="{35CF03FF-08CA-4434-9C7E-04E906D86ED5}" name="23860" dataDxfId="1093" dataCellStyle="Currency"/>
    <tableColumn id="2693" xr3:uid="{B31EE4B4-B6A2-4411-A98F-0D3767501437}" name="23866" dataDxfId="1092" dataCellStyle="Currency"/>
    <tableColumn id="2694" xr3:uid="{DA6F9D1B-75BE-4FE3-ABC1-207A6CE1F080}" name="23867" dataDxfId="1091" dataCellStyle="Currency"/>
    <tableColumn id="2695" xr3:uid="{ADADEA26-8F35-4E2B-85A0-CFB2BE7260A3}" name="23868" dataDxfId="1090" dataCellStyle="Currency"/>
    <tableColumn id="2696" xr3:uid="{29A53E2D-6673-475B-B9BB-D03915185FFC}" name="23870" dataDxfId="1089" dataCellStyle="Currency"/>
    <tableColumn id="2697" xr3:uid="{AC203889-25F1-4029-BCEF-16C1612D8161}" name="23872" dataDxfId="1088" dataCellStyle="Currency"/>
    <tableColumn id="2698" xr3:uid="{CD30BD8D-4D85-4796-9C7E-02398BC87CAB}" name="23874" dataDxfId="1087" dataCellStyle="Currency"/>
    <tableColumn id="2699" xr3:uid="{12A491D7-69C9-4F7A-A1C9-FB38138D06B7}" name="23875" dataDxfId="1086" dataCellStyle="Currency"/>
    <tableColumn id="2700" xr3:uid="{DDBCA6C4-D8B8-4C6A-98C3-54CF8C4DF8A0}" name="23876" dataDxfId="1085" dataCellStyle="Currency"/>
    <tableColumn id="2701" xr3:uid="{2F059C83-E117-45ED-8F7B-79FD82AF895A}" name="23878" dataDxfId="1084" dataCellStyle="Currency"/>
    <tableColumn id="2702" xr3:uid="{971EF355-49D7-4041-91BB-7E2647F6E38C}" name="23879" dataDxfId="1083" dataCellStyle="Currency"/>
    <tableColumn id="2703" xr3:uid="{207A262D-A321-4E94-BBAA-2665A31916B1}" name="23881" dataDxfId="1082" dataCellStyle="Currency"/>
    <tableColumn id="2704" xr3:uid="{EB34B47B-459B-41CE-B427-790BFAB8FA33}" name="23882" dataDxfId="1081" dataCellStyle="Currency"/>
    <tableColumn id="2705" xr3:uid="{6ABF0262-C9EB-4384-B478-456EBD4C7134}" name="23883" dataDxfId="1080" dataCellStyle="Currency"/>
    <tableColumn id="2706" xr3:uid="{63D30F17-1C55-46D4-A1CC-359A1DF86B95}" name="23884" dataDxfId="1079" dataCellStyle="Currency"/>
    <tableColumn id="2707" xr3:uid="{7342AB6F-0F13-438F-9A2B-A7390E5B9E12}" name="23885" dataDxfId="1078" dataCellStyle="Currency"/>
    <tableColumn id="2708" xr3:uid="{E492BB27-40D3-4370-B2EA-0EAA2A2BE660}" name="23887" dataDxfId="1077" dataCellStyle="Currency"/>
    <tableColumn id="2709" xr3:uid="{5BC4229A-52DB-4491-8761-B91B406E0D2D}" name="23888" dataDxfId="1076" dataCellStyle="Currency"/>
    <tableColumn id="2710" xr3:uid="{A072B77A-5E8B-4FA9-990C-8353D1099160}" name="23889" dataDxfId="1075" dataCellStyle="Currency"/>
    <tableColumn id="2711" xr3:uid="{99591F3C-ACB7-4166-BFAB-B0B2844F83DA}" name="23890" dataDxfId="1074" dataCellStyle="Currency"/>
    <tableColumn id="2712" xr3:uid="{9335B579-DAE1-490E-87D2-BABC2A6FE401}" name="23891" dataDxfId="1073" dataCellStyle="Currency"/>
    <tableColumn id="2713" xr3:uid="{1A30B963-37B5-448A-B117-16C41D167B9A}" name="23893" dataDxfId="1072" dataCellStyle="Currency"/>
    <tableColumn id="2714" xr3:uid="{DE28B09D-8321-40CA-9839-7B7422386240}" name="23894" dataDxfId="1071" dataCellStyle="Currency"/>
    <tableColumn id="2715" xr3:uid="{E12340FF-4127-4C3A-B7A1-52DDA0680CE2}" name="23897" dataDxfId="1070" dataCellStyle="Currency"/>
    <tableColumn id="2716" xr3:uid="{CD37135B-8B23-4FE1-8E69-5AD4879CCCA2}" name="23898" dataDxfId="1069" dataCellStyle="Currency"/>
    <tableColumn id="2717" xr3:uid="{F277DABD-1846-4E4A-8739-86D361C8B1EA}" name="23899" dataDxfId="1068" dataCellStyle="Currency"/>
    <tableColumn id="2718" xr3:uid="{46825351-24E6-4459-87C3-688B5DD7B187}" name="23901" dataDxfId="1067" dataCellStyle="Currency"/>
    <tableColumn id="2719" xr3:uid="{D0358F05-4E6C-4DC6-BEB6-4CFEDA73919B}" name="23909" dataDxfId="1066" dataCellStyle="Currency"/>
    <tableColumn id="2720" xr3:uid="{D2D94C73-3249-455F-8A6E-4632B09D674F}" name="23915" dataDxfId="1065" dataCellStyle="Currency"/>
    <tableColumn id="2721" xr3:uid="{DE4C47DB-48EE-4C8E-8313-D161EE38EBC1}" name="23917" dataDxfId="1064" dataCellStyle="Currency"/>
    <tableColumn id="2722" xr3:uid="{A687C881-61E3-4E79-9082-6043C37B0452}" name="23919" dataDxfId="1063" dataCellStyle="Currency"/>
    <tableColumn id="2723" xr3:uid="{F77B4FC4-5360-410A-BCE3-45B77A6C580F}" name="23920" dataDxfId="1062" dataCellStyle="Currency"/>
    <tableColumn id="2724" xr3:uid="{F21CFAE2-BCDC-4447-8D63-F9E94C86DABE}" name="23921" dataDxfId="1061" dataCellStyle="Currency"/>
    <tableColumn id="2725" xr3:uid="{0C41930B-FC60-40EE-BAB5-3F3917D9AA38}" name="23922" dataDxfId="1060" dataCellStyle="Currency"/>
    <tableColumn id="2726" xr3:uid="{FBCB6F28-95DE-42CF-9574-9C8C0F764F29}" name="23923" dataDxfId="1059" dataCellStyle="Currency"/>
    <tableColumn id="2727" xr3:uid="{659423F7-C039-410B-BF73-04865D386877}" name="23924" dataDxfId="1058" dataCellStyle="Currency"/>
    <tableColumn id="2728" xr3:uid="{20211FF3-5C0D-444B-BDC0-6C1E0E80D096}" name="23927" dataDxfId="1057" dataCellStyle="Currency"/>
    <tableColumn id="2729" xr3:uid="{41CD51C0-FE0A-4159-8BA2-F4470AA68AD5}" name="23930" dataDxfId="1056" dataCellStyle="Currency"/>
    <tableColumn id="2730" xr3:uid="{4D841FC1-AD3C-4072-B31B-8E49FEBCD243}" name="23934" dataDxfId="1055" dataCellStyle="Currency"/>
    <tableColumn id="2731" xr3:uid="{7A2553D9-5DDE-4088-B54E-44440BB9A9DF}" name="23936" dataDxfId="1054" dataCellStyle="Currency"/>
    <tableColumn id="2732" xr3:uid="{8E0C23CD-54AC-4D5D-A8A7-1896E07104CA}" name="23937" dataDxfId="1053" dataCellStyle="Currency"/>
    <tableColumn id="2733" xr3:uid="{6FBCB9E2-C99D-4F44-8FBC-C5CE77FB6173}" name="23938" dataDxfId="1052" dataCellStyle="Currency"/>
    <tableColumn id="2734" xr3:uid="{D5384C57-D508-46C4-AD5C-6661266EF35B}" name="23942" dataDxfId="1051" dataCellStyle="Currency"/>
    <tableColumn id="2735" xr3:uid="{84BCFC49-0C42-4CF7-A10D-9B811018BB68}" name="23943" dataDxfId="1050" dataCellStyle="Currency"/>
    <tableColumn id="2736" xr3:uid="{F1B79A5D-716E-42B4-923B-35CDCBFE0B14}" name="23944" dataDxfId="1049" dataCellStyle="Currency"/>
    <tableColumn id="2737" xr3:uid="{EE9A699F-04A0-43FB-9BC6-CC45526E3917}" name="23947" dataDxfId="1048" dataCellStyle="Currency"/>
    <tableColumn id="2738" xr3:uid="{4A01CB26-19E5-4F93-B45B-080678900B4E}" name="23950" dataDxfId="1047" dataCellStyle="Currency"/>
    <tableColumn id="2739" xr3:uid="{D6CE8F0C-2A6B-4B56-BA68-8806C5FCEFBD}" name="23952" dataDxfId="1046" dataCellStyle="Currency"/>
    <tableColumn id="2740" xr3:uid="{D4AD6374-E9F0-4186-BB2A-534BAA42D500}" name="23954" dataDxfId="1045" dataCellStyle="Currency"/>
    <tableColumn id="2741" xr3:uid="{4EE11FD3-3288-46FD-8033-E43597C2DF00}" name="23955" dataDxfId="1044" dataCellStyle="Currency"/>
    <tableColumn id="2742" xr3:uid="{ADA809E4-6994-49B1-A504-C50325DFBDDB}" name="23958" dataDxfId="1043" dataCellStyle="Currency"/>
    <tableColumn id="2743" xr3:uid="{4DBE4EA8-5F53-4774-88BC-403760F391FB}" name="23959" dataDxfId="1042" dataCellStyle="Currency"/>
    <tableColumn id="2744" xr3:uid="{546E8FA6-2928-4B8A-B39B-F8E5DF1416F2}" name="23960" dataDxfId="1041" dataCellStyle="Currency"/>
    <tableColumn id="2745" xr3:uid="{8961F48F-EBFC-479F-916B-3E1F5B4280ED}" name="23962" dataDxfId="1040" dataCellStyle="Currency"/>
    <tableColumn id="2746" xr3:uid="{59455B89-A601-47A3-B7F1-4B5360F383A2}" name="23963" dataDxfId="1039" dataCellStyle="Currency"/>
    <tableColumn id="2747" xr3:uid="{C1BC09A6-B76E-4260-AF84-ABB910951522}" name="23964" dataDxfId="1038" dataCellStyle="Currency"/>
    <tableColumn id="2748" xr3:uid="{BC1FA74B-C7BE-4BF6-BD1E-3DEFF47FAB31}" name="23966" dataDxfId="1037" dataCellStyle="Currency"/>
    <tableColumn id="2749" xr3:uid="{FEA39FA0-9061-4EE1-93C6-575C8BC217F0}" name="23967" dataDxfId="1036" dataCellStyle="Currency"/>
    <tableColumn id="2750" xr3:uid="{C2C3E8F2-36A4-4277-9EE0-E3EC065BBD13}" name="23968" dataDxfId="1035" dataCellStyle="Currency"/>
    <tableColumn id="2751" xr3:uid="{22F6181C-6EDC-46FA-A284-21331530061E}" name="23970" dataDxfId="1034" dataCellStyle="Currency"/>
    <tableColumn id="2752" xr3:uid="{FF3972D7-4EDE-478B-9EB6-A4F5D040233A}" name="23974" dataDxfId="1033" dataCellStyle="Currency"/>
    <tableColumn id="2753" xr3:uid="{7107EEA4-5D3B-4443-8DDB-9AED94D7364C}" name="23976" dataDxfId="1032" dataCellStyle="Currency"/>
    <tableColumn id="2754" xr3:uid="{E4FD2521-4B52-48D5-9136-299D8DA7BDD9}" name="24011" dataDxfId="1031" dataCellStyle="Currency"/>
    <tableColumn id="2755" xr3:uid="{A350D73D-B9E8-482B-B4D9-C15CF120DB61}" name="24012" dataDxfId="1030" dataCellStyle="Currency"/>
    <tableColumn id="2756" xr3:uid="{47997B36-1D81-493C-A1ED-F106CE5C04F6}" name="24013" dataDxfId="1029" dataCellStyle="Currency"/>
    <tableColumn id="2757" xr3:uid="{A6CC1030-66FE-419E-A1D4-00CA940BCEB1}" name="24014" dataDxfId="1028" dataCellStyle="Currency"/>
    <tableColumn id="2758" xr3:uid="{8BFBD1B1-4927-46BB-8E35-E61D310AD915}" name="24015" dataDxfId="1027" dataCellStyle="Currency"/>
    <tableColumn id="2759" xr3:uid="{3DA28390-1570-4055-A752-351583C50C35}" name="24016" dataDxfId="1026" dataCellStyle="Currency"/>
    <tableColumn id="2760" xr3:uid="{5EE52E1C-480A-4AD2-8FF3-03E83820B0B0}" name="24017" dataDxfId="1025" dataCellStyle="Currency"/>
    <tableColumn id="2761" xr3:uid="{CB78F796-B6DC-481F-A5B0-CF5D5DE88369}" name="24018" dataDxfId="1024" dataCellStyle="Currency"/>
    <tableColumn id="2762" xr3:uid="{69F18D38-4EF6-45ED-9050-92F7685DC416}" name="24019" dataDxfId="1023" dataCellStyle="Currency"/>
    <tableColumn id="2763" xr3:uid="{CB160175-03C2-4CFE-AF0C-75910C9EF874}" name="24020" dataDxfId="1022" dataCellStyle="Currency"/>
    <tableColumn id="2764" xr3:uid="{826C532F-50F6-4311-A54B-CC2488FE648B}" name="24022" dataDxfId="1021" dataCellStyle="Currency"/>
    <tableColumn id="2765" xr3:uid="{6BEF273E-82AA-48F2-847B-55E7229762CB}" name="24053" dataDxfId="1020" dataCellStyle="Currency"/>
    <tableColumn id="2766" xr3:uid="{436A531C-FD6E-41DE-98A0-F8AEF388DCD6}" name="24054" dataDxfId="1019" dataCellStyle="Currency"/>
    <tableColumn id="2767" xr3:uid="{60E44092-6917-40DB-B2A2-9EDA2EA38549}" name="24055" dataDxfId="1018" dataCellStyle="Currency"/>
    <tableColumn id="2768" xr3:uid="{60FE1F56-B0C6-4DFB-8719-4A0FA5D696C5}" name="24058" dataDxfId="1017" dataCellStyle="Currency"/>
    <tableColumn id="2769" xr3:uid="{AFD830FE-E825-48FB-B9D8-22FE1633DF54}" name="24059" dataDxfId="1016" dataCellStyle="Currency"/>
    <tableColumn id="2770" xr3:uid="{16C2B504-6F63-488A-A961-FABB3642C50D}" name="24060" dataDxfId="1015" dataCellStyle="Currency"/>
    <tableColumn id="2771" xr3:uid="{43AF1CDF-6EC0-4863-9ECD-43823818A722}" name="24061" dataDxfId="1014" dataCellStyle="Currency"/>
    <tableColumn id="2772" xr3:uid="{3F24AD7C-3677-4E1E-8878-5AAB9ED601DF}" name="24064" dataDxfId="1013" dataCellStyle="Currency"/>
    <tableColumn id="2773" xr3:uid="{0EA21324-0FAA-46BC-BC00-409D61507C70}" name="24065" dataDxfId="1012" dataCellStyle="Currency"/>
    <tableColumn id="2774" xr3:uid="{FF086695-2559-4A98-BDBC-3DF6FA5BDC70}" name="24066" dataDxfId="1011" dataCellStyle="Currency"/>
    <tableColumn id="2775" xr3:uid="{6A996D74-0EE0-4993-A5DC-C726AA6BAA14}" name="24067" dataDxfId="1010" dataCellStyle="Currency"/>
    <tableColumn id="2776" xr3:uid="{F0F7FAB3-1BBD-42AA-BE58-704FEFD323C4}" name="24069" dataDxfId="1009" dataCellStyle="Currency"/>
    <tableColumn id="2777" xr3:uid="{0D80D6CA-3BA9-4C32-88F9-DCF37D89DC2B}" name="24070" dataDxfId="1008" dataCellStyle="Currency"/>
    <tableColumn id="2778" xr3:uid="{54696A80-740F-4B99-A31B-52D63FC5B516}" name="24072" dataDxfId="1007" dataCellStyle="Currency"/>
    <tableColumn id="2779" xr3:uid="{2AD31212-1A0F-40BB-9BAC-2A05A38FE67B}" name="24073" dataDxfId="1006" dataCellStyle="Currency"/>
    <tableColumn id="2780" xr3:uid="{C14E7535-BA94-4B83-B385-BE6525E73D8D}" name="24076" dataDxfId="1005" dataCellStyle="Currency"/>
    <tableColumn id="2781" xr3:uid="{678ED9D1-FC50-4A2A-A0AA-1666DC88D007}" name="24077" dataDxfId="1004" dataCellStyle="Currency"/>
    <tableColumn id="2782" xr3:uid="{B9BACB24-C3A0-4D0A-8D44-AD687FDCA3B2}" name="24078" dataDxfId="1003" dataCellStyle="Currency"/>
    <tableColumn id="2783" xr3:uid="{36405DB5-044C-46D5-BDE8-81FC41D012E5}" name="24079" dataDxfId="1002" dataCellStyle="Currency"/>
    <tableColumn id="2784" xr3:uid="{652345B4-D0E4-41B7-BF24-64DD9EE7F84A}" name="24082" dataDxfId="1001" dataCellStyle="Currency"/>
    <tableColumn id="2785" xr3:uid="{B8325199-339B-4D55-95A4-5BE54EC7BEDE}" name="24083" dataDxfId="1000" dataCellStyle="Currency"/>
    <tableColumn id="2786" xr3:uid="{15F020C1-DBD4-4947-A61D-26393D81C28E}" name="24084" dataDxfId="999" dataCellStyle="Currency"/>
    <tableColumn id="2787" xr3:uid="{A537F4A8-59F2-42F8-8748-F5BB74F45170}" name="24085" dataDxfId="998" dataCellStyle="Currency"/>
    <tableColumn id="2788" xr3:uid="{265D761C-AC06-4096-8ACD-5260B01EEB05}" name="24086" dataDxfId="997" dataCellStyle="Currency"/>
    <tableColumn id="2789" xr3:uid="{96311166-A4E0-4607-88F5-931F9B28E9CA}" name="24087" dataDxfId="996" dataCellStyle="Currency"/>
    <tableColumn id="2790" xr3:uid="{3160B753-26A1-4463-9A72-29947F45F04E}" name="24088" dataDxfId="995" dataCellStyle="Currency"/>
    <tableColumn id="2791" xr3:uid="{F193E87B-72B1-4C7B-BAB9-D912204D471A}" name="24089" dataDxfId="994" dataCellStyle="Currency"/>
    <tableColumn id="2792" xr3:uid="{5CA0C985-8B85-4070-85F1-DDA5A2A82291}" name="24090" dataDxfId="993" dataCellStyle="Currency"/>
    <tableColumn id="2793" xr3:uid="{218AF82F-FAC1-4AA3-A70E-9C49E70D1EBB}" name="24091" dataDxfId="992" dataCellStyle="Currency"/>
    <tableColumn id="2794" xr3:uid="{97C4C182-18B4-4304-8A7A-DF41626A47A9}" name="24092" dataDxfId="991" dataCellStyle="Currency"/>
    <tableColumn id="2795" xr3:uid="{99C5B874-75A2-4DCE-8E6D-D6E8594D0E0C}" name="24093" dataDxfId="990" dataCellStyle="Currency"/>
    <tableColumn id="2796" xr3:uid="{8ABD9821-39A7-4862-BEDC-1ACDC2B97D66}" name="24095" dataDxfId="989" dataCellStyle="Currency"/>
    <tableColumn id="2797" xr3:uid="{423F1AF4-48D6-44B0-B5C4-3F8CC9FF0B2C}" name="24101" dataDxfId="988" dataCellStyle="Currency"/>
    <tableColumn id="2798" xr3:uid="{7744E645-A050-42C5-B0C1-A4F17F967403}" name="24102" dataDxfId="987" dataCellStyle="Currency"/>
    <tableColumn id="2799" xr3:uid="{672C8108-D4A8-47B1-8EB9-39E3EA59ABB5}" name="24104" dataDxfId="986" dataCellStyle="Currency"/>
    <tableColumn id="2800" xr3:uid="{2E63F17E-108E-42DC-9C88-2116D180D433}" name="24105" dataDxfId="985" dataCellStyle="Currency"/>
    <tableColumn id="2801" xr3:uid="{0C7C61A2-B5C4-45EE-959F-3507D82ACE6A}" name="24112" dataDxfId="984" dataCellStyle="Currency"/>
    <tableColumn id="2802" xr3:uid="{30ECCE0E-835E-4DE3-90C8-4A1386E10E47}" name="24120" dataDxfId="983" dataCellStyle="Currency"/>
    <tableColumn id="2803" xr3:uid="{802E1428-909B-48FD-86C0-1567E67B2414}" name="24121" dataDxfId="982" dataCellStyle="Currency"/>
    <tableColumn id="2804" xr3:uid="{25BA084E-DDD4-4AA8-B6EB-B58DB37CA5BA}" name="24122" dataDxfId="981" dataCellStyle="Currency"/>
    <tableColumn id="2805" xr3:uid="{F6C7EECD-C1FC-4A78-BEBF-795BC7FF4DB3}" name="24124" dataDxfId="980" dataCellStyle="Currency"/>
    <tableColumn id="2806" xr3:uid="{0133C54C-3757-4C85-BF8A-90CAAB2C7263}" name="24127" dataDxfId="979" dataCellStyle="Currency"/>
    <tableColumn id="2807" xr3:uid="{E1379F95-DED1-4349-8FFB-A27BF09BE262}" name="24128" dataDxfId="978" dataCellStyle="Currency"/>
    <tableColumn id="2808" xr3:uid="{EE1F536C-2BE0-4C86-9A12-8DA91666A448}" name="24129" dataDxfId="977" dataCellStyle="Currency"/>
    <tableColumn id="2809" xr3:uid="{1A662F76-49F7-4845-8058-3AAE81B67DD9}" name="24131" dataDxfId="976" dataCellStyle="Currency"/>
    <tableColumn id="2810" xr3:uid="{C749B278-E510-4ACC-9B54-452DCE0ED793}" name="24132" dataDxfId="975" dataCellStyle="Currency"/>
    <tableColumn id="2811" xr3:uid="{20AA1FAD-68BC-4057-B9B8-FC369D7D4210}" name="24133" dataDxfId="974" dataCellStyle="Currency"/>
    <tableColumn id="2812" xr3:uid="{CDBF63B6-F4E0-4C7D-9060-04B015342D0E}" name="24134" dataDxfId="973" dataCellStyle="Currency"/>
    <tableColumn id="2813" xr3:uid="{52E79865-796B-48E4-AF68-4C7AC756F5CE}" name="24136" dataDxfId="972" dataCellStyle="Currency"/>
    <tableColumn id="2814" xr3:uid="{446FEB73-B120-489F-8497-44F0D1D5323A}" name="24137" dataDxfId="971" dataCellStyle="Currency"/>
    <tableColumn id="2815" xr3:uid="{ED813F7F-7BB9-48AA-9138-B3A39B5F1547}" name="24138" dataDxfId="970" dataCellStyle="Currency"/>
    <tableColumn id="2816" xr3:uid="{E9D3FEE6-7997-4A16-890A-A61149D9C0E0}" name="24139" dataDxfId="969" dataCellStyle="Currency"/>
    <tableColumn id="2817" xr3:uid="{5CF55B8D-F9B3-4307-B8E7-D49B0FF46B1B}" name="24141" dataDxfId="968" dataCellStyle="Currency"/>
    <tableColumn id="2818" xr3:uid="{0FA082DD-693B-4A45-A25C-E002732EC2E4}" name="24142" dataDxfId="967" dataCellStyle="Currency"/>
    <tableColumn id="2819" xr3:uid="{420C278D-1FA7-41F3-B044-C42CE6398C8F}" name="24147" dataDxfId="966" dataCellStyle="Currency"/>
    <tableColumn id="2820" xr3:uid="{E09693FA-0B1E-4482-B44A-71C24C82B65B}" name="24148" dataDxfId="965" dataCellStyle="Currency"/>
    <tableColumn id="2821" xr3:uid="{7AFAE826-CF04-4C9E-BBC0-59A19FD95B77}" name="24149" dataDxfId="964" dataCellStyle="Currency"/>
    <tableColumn id="2822" xr3:uid="{90273697-6882-4935-8848-4406F097A561}" name="24150" dataDxfId="963" dataCellStyle="Currency"/>
    <tableColumn id="2823" xr3:uid="{E23B9CF9-B458-41AF-9C80-61DDA220BC83}" name="24151" dataDxfId="962" dataCellStyle="Currency"/>
    <tableColumn id="2824" xr3:uid="{81B7C0A9-99CB-4750-BC17-106E306391F8}" name="24153" dataDxfId="961" dataCellStyle="Currency"/>
    <tableColumn id="2825" xr3:uid="{6BF13BBD-75D7-43C3-8ED1-B07C9D249CE2}" name="24161" dataDxfId="960" dataCellStyle="Currency"/>
    <tableColumn id="2826" xr3:uid="{05422847-224F-4566-8D34-0A99C1656049}" name="24162" dataDxfId="959" dataCellStyle="Currency"/>
    <tableColumn id="2827" xr3:uid="{EA52BBAB-A632-4EDD-831D-663B34091167}" name="24165" dataDxfId="958" dataCellStyle="Currency"/>
    <tableColumn id="2828" xr3:uid="{5FBF380A-BFD0-41CC-B637-3E4AA19089C8}" name="24167" dataDxfId="957" dataCellStyle="Currency"/>
    <tableColumn id="2829" xr3:uid="{5C81AF02-D691-45FE-9B26-627BCB4C4EBC}" name="24168" dataDxfId="956" dataCellStyle="Currency"/>
    <tableColumn id="2830" xr3:uid="{4F13BC6C-2A1B-425A-AEEB-6492AF27F049}" name="24171" dataDxfId="955" dataCellStyle="Currency"/>
    <tableColumn id="2831" xr3:uid="{966A35C5-8361-483A-A241-5223A887326B}" name="24174" dataDxfId="954" dataCellStyle="Currency"/>
    <tableColumn id="2832" xr3:uid="{6304FD81-CB1F-411B-B877-5E9D145E88CB}" name="24175" dataDxfId="953" dataCellStyle="Currency"/>
    <tableColumn id="2833" xr3:uid="{D8C475D6-0AB4-4892-ABA6-6AF7A7AB65BE}" name="24176" dataDxfId="952" dataCellStyle="Currency"/>
    <tableColumn id="2834" xr3:uid="{74049878-C63E-40E3-BF97-6AF96ECA4D44}" name="24179" dataDxfId="951" dataCellStyle="Currency"/>
    <tableColumn id="2835" xr3:uid="{C33486C8-F3C0-47DB-9BBD-C9CF08999BA4}" name="24184" dataDxfId="950" dataCellStyle="Currency"/>
    <tableColumn id="2836" xr3:uid="{F7A922F6-551D-497B-A4D8-94510CA0A475}" name="24185" dataDxfId="949" dataCellStyle="Currency"/>
    <tableColumn id="2837" xr3:uid="{15E5FEA0-4CB1-4313-A670-42F7D5FEF95E}" name="24201" dataDxfId="948" dataCellStyle="Currency"/>
    <tableColumn id="2838" xr3:uid="{75D64A1D-B19A-4229-9B6D-89050E788288}" name="24202" dataDxfId="947" dataCellStyle="Currency"/>
    <tableColumn id="2839" xr3:uid="{1BDE34DB-B61A-4E23-8627-6E8B4C0FC238}" name="24210" dataDxfId="946" dataCellStyle="Currency"/>
    <tableColumn id="2840" xr3:uid="{D5B3D643-DE7B-48D6-9873-A80CEDCC1F24}" name="24211" dataDxfId="945" dataCellStyle="Currency"/>
    <tableColumn id="2841" xr3:uid="{2473215B-43F9-4643-9324-1ADF9A59F9AD}" name="24216" dataDxfId="944" dataCellStyle="Currency"/>
    <tableColumn id="2842" xr3:uid="{0BFC3F31-4FC9-47BD-AD95-C339B2B5FFB3}" name="24217" dataDxfId="943" dataCellStyle="Currency"/>
    <tableColumn id="2843" xr3:uid="{BB914461-C280-44E8-B54C-55CA1B84F297}" name="24219" dataDxfId="942" dataCellStyle="Currency"/>
    <tableColumn id="2844" xr3:uid="{76F6FAD7-0EF5-4674-B85A-59F2BB3CD8CB}" name="24220" dataDxfId="941" dataCellStyle="Currency"/>
    <tableColumn id="2845" xr3:uid="{93E61404-3F17-4E84-B21D-4B5A03C16649}" name="24221" dataDxfId="940" dataCellStyle="Currency"/>
    <tableColumn id="2846" xr3:uid="{4EF931E4-E334-444F-BE7D-6736B243D981}" name="24224" dataDxfId="939" dataCellStyle="Currency"/>
    <tableColumn id="2847" xr3:uid="{239C5CCA-8D8D-47CB-BBB0-8CCEED45F34D}" name="24225" dataDxfId="938" dataCellStyle="Currency"/>
    <tableColumn id="2848" xr3:uid="{8502D3D7-9109-45B0-8734-4A516448716B}" name="24226" dataDxfId="937" dataCellStyle="Currency"/>
    <tableColumn id="2849" xr3:uid="{7FEA1FFC-92DA-4D15-8548-4262AE904B9A}" name="24228" dataDxfId="936" dataCellStyle="Currency"/>
    <tableColumn id="2850" xr3:uid="{545F65B8-BE96-40EE-AD6F-42F94C69438C}" name="24230" dataDxfId="935" dataCellStyle="Currency"/>
    <tableColumn id="2851" xr3:uid="{605D92C7-D64A-48A3-9E78-33B174213068}" name="24236" dataDxfId="934" dataCellStyle="Currency"/>
    <tableColumn id="2852" xr3:uid="{D7DB1EC7-7329-4509-8853-4AC2936A17BA}" name="24237" dataDxfId="933" dataCellStyle="Currency"/>
    <tableColumn id="2853" xr3:uid="{CE02B82D-4FAE-483C-8D88-33515180921D}" name="24239" dataDxfId="932" dataCellStyle="Currency"/>
    <tableColumn id="2854" xr3:uid="{61200C34-4F33-492B-93EE-1CCAE6EB9004}" name="24243" dataDxfId="931" dataCellStyle="Currency"/>
    <tableColumn id="2855" xr3:uid="{3620B3CA-44EF-4A0A-A25A-48E063BC9B78}" name="24244" dataDxfId="930" dataCellStyle="Currency"/>
    <tableColumn id="2856" xr3:uid="{EC9C5142-3D86-4B2A-A091-A1F85CD1090F}" name="24245" dataDxfId="929" dataCellStyle="Currency"/>
    <tableColumn id="2857" xr3:uid="{CE3DB312-6ABE-4BD8-BB2B-991303710BB8}" name="24246" dataDxfId="928" dataCellStyle="Currency"/>
    <tableColumn id="2858" xr3:uid="{EBCF14A4-1E59-4382-936D-FD09442CEFB8}" name="24248" dataDxfId="927" dataCellStyle="Currency"/>
    <tableColumn id="2859" xr3:uid="{632BB81D-DEBE-4DC1-A4B8-BF287C0C6771}" name="24250" dataDxfId="926" dataCellStyle="Currency"/>
    <tableColumn id="2860" xr3:uid="{3779AD6C-6EE1-45AD-88CF-033BEE1B9E9E}" name="24251" dataDxfId="925" dataCellStyle="Currency"/>
    <tableColumn id="2861" xr3:uid="{73732325-FC7D-41AB-94B8-8F1ED0EEB894}" name="24256" dataDxfId="924" dataCellStyle="Currency"/>
    <tableColumn id="2862" xr3:uid="{6E2267E5-2B88-4E33-8421-16A07B2BA390}" name="24258" dataDxfId="923" dataCellStyle="Currency"/>
    <tableColumn id="2863" xr3:uid="{28D91224-1922-435C-ABE9-E13D9AA3A1D9}" name="24260" dataDxfId="922" dataCellStyle="Currency"/>
    <tableColumn id="2864" xr3:uid="{E729BC6C-E666-4559-98D4-B0DF2360BAC5}" name="24263" dataDxfId="921" dataCellStyle="Currency"/>
    <tableColumn id="2865" xr3:uid="{AFD84898-AEC6-4BFF-90A9-29846498DA88}" name="24265" dataDxfId="920" dataCellStyle="Currency"/>
    <tableColumn id="2866" xr3:uid="{D2F8A032-2C18-4F16-943F-1198120D7721}" name="24266" dataDxfId="919" dataCellStyle="Currency"/>
    <tableColumn id="2867" xr3:uid="{A4D4C928-EF33-4C2F-A4C0-164E2516B37D}" name="24269" dataDxfId="918" dataCellStyle="Currency"/>
    <tableColumn id="2868" xr3:uid="{2A348BA8-C0F5-48D6-BF18-66FEEE5C7C57}" name="24270" dataDxfId="917" dataCellStyle="Currency"/>
    <tableColumn id="2869" xr3:uid="{CD4AF3C8-1AC1-4B63-9FCA-215D7F30117B}" name="24271" dataDxfId="916" dataCellStyle="Currency"/>
    <tableColumn id="2870" xr3:uid="{B6141D94-198F-4B0E-9EC0-93C5FD861C89}" name="24272" dataDxfId="915" dataCellStyle="Currency"/>
    <tableColumn id="2871" xr3:uid="{89928E33-F981-4306-B774-D38D01D68BEA}" name="24273" dataDxfId="914" dataCellStyle="Currency"/>
    <tableColumn id="2872" xr3:uid="{D0742DC8-B331-4035-8F13-C3D16F5D8C56}" name="24277" dataDxfId="913" dataCellStyle="Currency"/>
    <tableColumn id="2873" xr3:uid="{C2F7BA65-3A4A-4E45-B4E4-67017B9E2083}" name="24279" dataDxfId="912" dataCellStyle="Currency"/>
    <tableColumn id="2874" xr3:uid="{1CC26576-865F-4975-B28E-CE2DCD5EC246}" name="24280" dataDxfId="911" dataCellStyle="Currency"/>
    <tableColumn id="2875" xr3:uid="{36585004-4995-444A-B904-C1A9C946BED5}" name="24281" dataDxfId="910" dataCellStyle="Currency"/>
    <tableColumn id="2876" xr3:uid="{AC354867-B678-4BC1-96D4-05718DE0A791}" name="24282" dataDxfId="909" dataCellStyle="Currency"/>
    <tableColumn id="2877" xr3:uid="{E9C05384-C377-4FD0-978D-91EB6E8D6EC0}" name="24283" dataDxfId="908" dataCellStyle="Currency"/>
    <tableColumn id="2878" xr3:uid="{2596FF57-6421-475C-B7EC-22895807C66B}" name="24290" dataDxfId="907" dataCellStyle="Currency"/>
    <tableColumn id="2879" xr3:uid="{BBF00CF3-5900-4EF0-82E7-17564F6ECC27}" name="24292" dataDxfId="906" dataCellStyle="Currency"/>
    <tableColumn id="2880" xr3:uid="{7CDF90B8-1D5E-43BA-8222-723950C69634}" name="24293" dataDxfId="905" dataCellStyle="Currency"/>
    <tableColumn id="2881" xr3:uid="{BC607916-B79E-4198-965A-B9875D1A92B9}" name="24301" dataDxfId="904" dataCellStyle="Currency"/>
    <tableColumn id="2882" xr3:uid="{1A0E23F2-8DDF-4105-A570-62AE4A16367D}" name="24311" dataDxfId="903" dataCellStyle="Currency"/>
    <tableColumn id="2883" xr3:uid="{01B1AF42-A9D5-4834-B92A-11321D048CCA}" name="24312" dataDxfId="902" dataCellStyle="Currency"/>
    <tableColumn id="2884" xr3:uid="{0D5C0511-58A8-450B-B46B-3D42CA68EADF}" name="24313" dataDxfId="901" dataCellStyle="Currency"/>
    <tableColumn id="2885" xr3:uid="{6DBDAAA3-49B6-4153-8230-3A4A742A5644}" name="24314" dataDxfId="900" dataCellStyle="Currency"/>
    <tableColumn id="2886" xr3:uid="{AC8134F9-6044-4361-A5D1-D33D48493FF8}" name="24315" dataDxfId="899" dataCellStyle="Currency"/>
    <tableColumn id="2887" xr3:uid="{64F27458-783C-4A1E-BFB8-162551E6B90A}" name="24316" dataDxfId="898" dataCellStyle="Currency"/>
    <tableColumn id="2888" xr3:uid="{3C5F831D-6198-4695-80D5-1249B67AC9B4}" name="24317" dataDxfId="897" dataCellStyle="Currency"/>
    <tableColumn id="2889" xr3:uid="{4E8054C6-F8B0-48ED-BBB2-664D5A4C02FD}" name="24318" dataDxfId="896" dataCellStyle="Currency"/>
    <tableColumn id="2890" xr3:uid="{8242E81F-DD98-4A67-AEFE-6530B437A118}" name="24319" dataDxfId="895" dataCellStyle="Currency"/>
    <tableColumn id="2891" xr3:uid="{BEEB01C5-474B-4525-A737-A39D5DA42E9D}" name="24322" dataDxfId="894" dataCellStyle="Currency"/>
    <tableColumn id="2892" xr3:uid="{23949205-88A3-4ACC-98EE-0610558C1EC3}" name="24323" dataDxfId="893" dataCellStyle="Currency"/>
    <tableColumn id="2893" xr3:uid="{6B1AA045-D822-4FD3-AE55-058A5FB846F8}" name="24324" dataDxfId="892" dataCellStyle="Currency"/>
    <tableColumn id="2894" xr3:uid="{186AFF4B-B2CA-4CE6-81A4-0D84F1FBB58F}" name="24325" dataDxfId="891" dataCellStyle="Currency"/>
    <tableColumn id="2895" xr3:uid="{ABC55FE4-B02B-454C-97CA-C052767B18DC}" name="24326" dataDxfId="890" dataCellStyle="Currency"/>
    <tableColumn id="2896" xr3:uid="{5EE32A39-11F7-4F1A-98BE-33B27993CEE4}" name="24327" dataDxfId="889" dataCellStyle="Currency"/>
    <tableColumn id="2897" xr3:uid="{FA5D40E2-F6D0-46FA-9059-06C3F003A53D}" name="24328" dataDxfId="888" dataCellStyle="Currency"/>
    <tableColumn id="2898" xr3:uid="{721A40C0-359C-4606-A398-5132B4CE6E50}" name="24330" dataDxfId="887" dataCellStyle="Currency"/>
    <tableColumn id="2899" xr3:uid="{31702ECE-E3E3-4A1E-A18E-AFDEA1F6C6CB}" name="24333" dataDxfId="886" dataCellStyle="Currency"/>
    <tableColumn id="2900" xr3:uid="{8AB3B034-E0A8-47D1-8228-9E7E4FBBD9DE}" name="24340" dataDxfId="885" dataCellStyle="Currency"/>
    <tableColumn id="2901" xr3:uid="{FCD708D9-503F-4230-A6CD-E169063E6CAB}" name="24343" dataDxfId="884" dataCellStyle="Currency"/>
    <tableColumn id="2902" xr3:uid="{E87D6A92-D5F6-4958-AFDE-D375FC89266B}" name="24347" dataDxfId="883" dataCellStyle="Currency"/>
    <tableColumn id="2903" xr3:uid="{328E1FF4-15C6-48D8-B60A-221007F91443}" name="24348" dataDxfId="882" dataCellStyle="Currency"/>
    <tableColumn id="2904" xr3:uid="{4C96FE9C-0E5B-4186-88B9-DC48AFD3D1CF}" name="24350" dataDxfId="881" dataCellStyle="Currency"/>
    <tableColumn id="2905" xr3:uid="{A0758AFE-6B14-405E-ABC6-1AA79716EF23}" name="24351" dataDxfId="880" dataCellStyle="Currency"/>
    <tableColumn id="2906" xr3:uid="{3AAD3ACC-C6FE-4319-9230-0E361CE8CDEB}" name="24352" dataDxfId="879" dataCellStyle="Currency"/>
    <tableColumn id="2907" xr3:uid="{9035F61E-14F7-4549-BD2C-68AFB22D20B9}" name="24354" dataDxfId="878" dataCellStyle="Currency"/>
    <tableColumn id="2908" xr3:uid="{B72323CD-35FC-4527-8021-DE97A6AE3F10}" name="24360" dataDxfId="877" dataCellStyle="Currency"/>
    <tableColumn id="2909" xr3:uid="{3353A81F-849C-49E5-8EA8-52B2BCFB16A4}" name="24361" dataDxfId="876" dataCellStyle="Currency"/>
    <tableColumn id="2910" xr3:uid="{93743D3B-9391-4C23-9247-712F143BEF2D}" name="24363" dataDxfId="875" dataCellStyle="Currency"/>
    <tableColumn id="2911" xr3:uid="{BB35FE46-59AC-4D97-B2E6-D0E0400DAC92}" name="24366" dataDxfId="874" dataCellStyle="Currency"/>
    <tableColumn id="2912" xr3:uid="{7AF798DD-9B58-4AA5-A5A2-20234CAF3100}" name="24368" dataDxfId="873" dataCellStyle="Currency"/>
    <tableColumn id="2913" xr3:uid="{B042EA62-4284-455E-B1DE-5CCF98370E07}" name="24370" dataDxfId="872" dataCellStyle="Currency"/>
    <tableColumn id="2914" xr3:uid="{F41FE774-4268-406D-B029-21343CD9BD97}" name="24374" dataDxfId="871" dataCellStyle="Currency"/>
    <tableColumn id="2915" xr3:uid="{A9C18389-D2C0-4311-974A-E64F47D9B784}" name="24375" dataDxfId="870" dataCellStyle="Currency"/>
    <tableColumn id="2916" xr3:uid="{E2204B52-BBFE-4DE8-A34D-DE7D4BF1DD82}" name="24377" dataDxfId="869" dataCellStyle="Currency"/>
    <tableColumn id="2917" xr3:uid="{689180E0-48E0-4C61-BFB6-DB24B3E4B32F}" name="24378" dataDxfId="868" dataCellStyle="Currency"/>
    <tableColumn id="2918" xr3:uid="{53D01D8D-C316-4B7F-891C-A56E4CC37E85}" name="24380" dataDxfId="867" dataCellStyle="Currency"/>
    <tableColumn id="2919" xr3:uid="{4AF6ECDA-46EA-4266-8B69-0BB63955018B}" name="24381" dataDxfId="866" dataCellStyle="Currency"/>
    <tableColumn id="2920" xr3:uid="{98F22EC0-44DC-45C8-BE7C-B7ECD4FEA8FA}" name="24382" dataDxfId="865" dataCellStyle="Currency"/>
    <tableColumn id="2921" xr3:uid="{07EE2C94-48E3-47EE-83C3-41B4711CC823}" name="24401" dataDxfId="864" dataCellStyle="Currency"/>
    <tableColumn id="2922" xr3:uid="{E2BC9F29-76B9-4679-AD46-C6DF02336DFF}" name="24411" dataDxfId="863" dataCellStyle="Currency"/>
    <tableColumn id="2923" xr3:uid="{620C9C60-67AB-4EEA-B9B0-2BB2056BE67E}" name="24412" dataDxfId="862" dataCellStyle="Currency"/>
    <tableColumn id="2924" xr3:uid="{9DFEFD65-F5DC-4337-93E4-267E214C3BBE}" name="24413" dataDxfId="861" dataCellStyle="Currency"/>
    <tableColumn id="2925" xr3:uid="{7B48889B-C735-408E-B90B-0075245EBB9E}" name="24415" dataDxfId="860" dataCellStyle="Currency"/>
    <tableColumn id="2926" xr3:uid="{007E4841-405B-404C-9BEB-88E7AF851108}" name="24416" dataDxfId="859" dataCellStyle="Currency"/>
    <tableColumn id="2927" xr3:uid="{8D355D99-0E3C-4210-9780-9F81ED2812BD}" name="24421" dataDxfId="858" dataCellStyle="Currency"/>
    <tableColumn id="2928" xr3:uid="{059D8371-0DBA-423A-A86D-51666D9F62B4}" name="24422" dataDxfId="857" dataCellStyle="Currency"/>
    <tableColumn id="2929" xr3:uid="{391C852F-454F-4DCA-9A00-84CC5BA09023}" name="24426" dataDxfId="856" dataCellStyle="Currency"/>
    <tableColumn id="2930" xr3:uid="{784289C2-F175-4E8C-9B36-1BDCEFDB5DF9}" name="24430" dataDxfId="855" dataCellStyle="Currency"/>
    <tableColumn id="2931" xr3:uid="{10325838-91CE-40AC-914E-4C6B3057C40D}" name="24431" dataDxfId="854" dataCellStyle="Currency"/>
    <tableColumn id="2932" xr3:uid="{E9F58DF1-02D9-4707-8A37-9E13BE5AABB5}" name="24432" dataDxfId="853" dataCellStyle="Currency"/>
    <tableColumn id="2933" xr3:uid="{2FAA4085-5F77-42B3-9294-B0EA895956BB}" name="24433" dataDxfId="852" dataCellStyle="Currency"/>
    <tableColumn id="2934" xr3:uid="{9EFFDBD9-3353-497E-8FFC-32BDBB9AEA34}" name="24435" dataDxfId="851" dataCellStyle="Currency"/>
    <tableColumn id="2935" xr3:uid="{D648F1BD-EE79-4C93-A0B2-EBD65B14B45D}" name="24437" dataDxfId="850" dataCellStyle="Currency"/>
    <tableColumn id="2936" xr3:uid="{9C88FAD0-148D-4F9D-BC99-A5E0FBEE8A8F}" name="24439" dataDxfId="849" dataCellStyle="Currency"/>
    <tableColumn id="2937" xr3:uid="{A4DF5270-B84B-48E5-8449-43E81825E9A4}" name="24440" dataDxfId="848" dataCellStyle="Currency"/>
    <tableColumn id="2938" xr3:uid="{A1725C5B-B743-4423-8B16-B9D6BF113552}" name="24441" dataDxfId="847" dataCellStyle="Currency"/>
    <tableColumn id="2939" xr3:uid="{AB4A41DA-F02F-44CA-BD34-15C9F140EB8F}" name="24442" dataDxfId="846" dataCellStyle="Currency"/>
    <tableColumn id="2940" xr3:uid="{29FB7FDB-C063-4F0B-9966-D43D555431E9}" name="24445" dataDxfId="845" dataCellStyle="Currency"/>
    <tableColumn id="2941" xr3:uid="{648FBEB7-5953-4B34-B071-91F1ACC3A529}" name="24448" dataDxfId="844" dataCellStyle="Currency"/>
    <tableColumn id="2942" xr3:uid="{A0552B4C-3727-48C1-94A3-AA813843AB26}" name="24450" dataDxfId="843" dataCellStyle="Currency"/>
    <tableColumn id="2943" xr3:uid="{7BCC8F61-9EE2-49C6-A0FF-065C77B16717}" name="24457" dataDxfId="842" dataCellStyle="Currency"/>
    <tableColumn id="2944" xr3:uid="{1009769E-435E-4363-85F0-83B2AF79DA59}" name="24458" dataDxfId="841" dataCellStyle="Currency"/>
    <tableColumn id="2945" xr3:uid="{F349DB93-8611-46C4-9CE9-6C9F62EA4779}" name="24459" dataDxfId="840" dataCellStyle="Currency"/>
    <tableColumn id="2946" xr3:uid="{F8C89773-C59C-4557-A5F3-219395B8254F}" name="24460" dataDxfId="839" dataCellStyle="Currency"/>
    <tableColumn id="2947" xr3:uid="{9EB4AE35-F3F3-40F1-889C-A895C962F8A5}" name="24464" dataDxfId="838" dataCellStyle="Currency"/>
    <tableColumn id="2948" xr3:uid="{47178ECC-B8A7-464F-97B2-F9E72AD331A5}" name="24465" dataDxfId="837" dataCellStyle="Currency"/>
    <tableColumn id="2949" xr3:uid="{32D386A4-5DD1-4764-B0BD-87EB793904B8}" name="24467" dataDxfId="836" dataCellStyle="Currency"/>
    <tableColumn id="2950" xr3:uid="{20286D68-B5D2-4E3E-A52D-C0B4F7142B32}" name="24469" dataDxfId="835" dataCellStyle="Currency"/>
    <tableColumn id="2951" xr3:uid="{BE310A75-1E7E-4F54-B918-C821FBDE56D5}" name="24471" dataDxfId="834" dataCellStyle="Currency"/>
    <tableColumn id="2952" xr3:uid="{2A9987CA-63CA-4B08-8C14-9CDFEED7F072}" name="24472" dataDxfId="833" dataCellStyle="Currency"/>
    <tableColumn id="2953" xr3:uid="{B9CCB34E-32E0-4745-9C51-000974A84069}" name="24473" dataDxfId="832" dataCellStyle="Currency"/>
    <tableColumn id="2954" xr3:uid="{23605D62-CA91-49D0-A915-3C9FF80889BF}" name="24474" dataDxfId="831" dataCellStyle="Currency"/>
    <tableColumn id="2955" xr3:uid="{3D374C15-9036-4B55-97B2-0666F75D7F00}" name="24476" dataDxfId="830" dataCellStyle="Currency"/>
    <tableColumn id="2956" xr3:uid="{03AE25D7-CD64-4FB5-9C96-809B6548DA50}" name="24477" dataDxfId="829" dataCellStyle="Currency"/>
    <tableColumn id="2957" xr3:uid="{83DFB9BC-9E2F-4241-8250-2BC8F763437A}" name="24479" dataDxfId="828" dataCellStyle="Currency"/>
    <tableColumn id="2958" xr3:uid="{A99D1AFA-C43F-4DBA-B174-7361C73F6FE7}" name="24482" dataDxfId="827" dataCellStyle="Currency"/>
    <tableColumn id="2959" xr3:uid="{F8C7F2B1-0C27-4AB5-946B-8A73540A1AF5}" name="24483" dataDxfId="826" dataCellStyle="Currency"/>
    <tableColumn id="2960" xr3:uid="{08505DF2-BE44-45A5-AE4E-82D011BA72B2}" name="24484" dataDxfId="825" dataCellStyle="Currency"/>
    <tableColumn id="2961" xr3:uid="{EFAD227E-03A3-4BCE-8C6D-DD7852B5719B}" name="24485" dataDxfId="824" dataCellStyle="Currency"/>
    <tableColumn id="2962" xr3:uid="{2F88BFE0-971D-44D5-BE46-57ABEA8C6DCE}" name="24486" dataDxfId="823" dataCellStyle="Currency"/>
    <tableColumn id="2963" xr3:uid="{71B13941-87CF-4C1F-B454-4DC7EBC2CA79}" name="24487" dataDxfId="822" dataCellStyle="Currency"/>
    <tableColumn id="2964" xr3:uid="{6388857D-86CC-4C58-97D0-9048850845D0}" name="24501" dataDxfId="821" dataCellStyle="Currency"/>
    <tableColumn id="2965" xr3:uid="{98A4CF13-E4E1-4AE8-83A6-4CC39D5CEA88}" name="24502" dataDxfId="820" dataCellStyle="Currency"/>
    <tableColumn id="2966" xr3:uid="{19350E28-F737-4963-91ED-3C01CFD402F0}" name="24503" dataDxfId="819" dataCellStyle="Currency"/>
    <tableColumn id="2967" xr3:uid="{654AB0AF-8782-441E-8BC9-535E0AC5250A}" name="24504" dataDxfId="818" dataCellStyle="Currency"/>
    <tableColumn id="2968" xr3:uid="{A6F6D511-D7A8-451C-BF2F-42F0F7DBE56D}" name="24515" dataDxfId="817" dataCellStyle="Currency"/>
    <tableColumn id="2969" xr3:uid="{3B2FB5C8-3F53-4429-97BF-E694D1EB3BC5}" name="24517" dataDxfId="816" dataCellStyle="Currency"/>
    <tableColumn id="2970" xr3:uid="{6D74366F-3049-4DA9-BE6F-CB0F59850A80}" name="24520" dataDxfId="815" dataCellStyle="Currency"/>
    <tableColumn id="2971" xr3:uid="{0EB81041-B8B7-4CBF-852E-A8FEBED8662F}" name="24521" dataDxfId="814" dataCellStyle="Currency"/>
    <tableColumn id="2972" xr3:uid="{DFC4CC6C-96EA-4D29-9AF6-1BDDF2132851}" name="24522" dataDxfId="813" dataCellStyle="Currency"/>
    <tableColumn id="2973" xr3:uid="{1801DFB7-76BC-4DD6-8519-D2B929406F63}" name="24523" dataDxfId="812" dataCellStyle="Currency"/>
    <tableColumn id="2974" xr3:uid="{9B1C2F11-ACF4-4C49-BD43-053A4B04D1A2}" name="24526" dataDxfId="811" dataCellStyle="Currency"/>
    <tableColumn id="2975" xr3:uid="{FC132120-948C-4716-9FCC-2FF8F722A2FF}" name="24527" dataDxfId="810" dataCellStyle="Currency"/>
    <tableColumn id="2976" xr3:uid="{B8CD500E-DCA4-4FDF-AC87-AB2FB7612C81}" name="24528" dataDxfId="809" dataCellStyle="Currency"/>
    <tableColumn id="2977" xr3:uid="{E303E913-0506-4DE7-96D8-7E4872BCB3CC}" name="24529" dataDxfId="808" dataCellStyle="Currency"/>
    <tableColumn id="2978" xr3:uid="{7D1251E5-4DC6-492D-B731-5B8619ACFFCA}" name="24530" dataDxfId="807" dataCellStyle="Currency"/>
    <tableColumn id="2979" xr3:uid="{6B9592AE-A222-4B6C-9F86-31D53957DE67}" name="24531" dataDxfId="806" dataCellStyle="Currency"/>
    <tableColumn id="2980" xr3:uid="{B85FF5BC-5804-40D3-9CC0-645B4F26B92F}" name="24534" dataDxfId="805" dataCellStyle="Currency"/>
    <tableColumn id="2981" xr3:uid="{7DE6CE39-A4D9-4753-A359-AAF9B070B062}" name="24536" dataDxfId="804" dataCellStyle="Currency"/>
    <tableColumn id="2982" xr3:uid="{EE425F40-3003-406C-A1A4-C14F61071827}" name="24538" dataDxfId="803" dataCellStyle="Currency"/>
    <tableColumn id="2983" xr3:uid="{6E4BD143-C908-472B-B524-13F04DCCBAB3}" name="24539" dataDxfId="802" dataCellStyle="Currency"/>
    <tableColumn id="2984" xr3:uid="{302ACD72-7F06-4049-880C-16268A6B3797}" name="24540" dataDxfId="801" dataCellStyle="Currency"/>
    <tableColumn id="2985" xr3:uid="{7991B812-DFC1-47F1-A032-949EC259C2F9}" name="24541" dataDxfId="800" dataCellStyle="Currency"/>
    <tableColumn id="2986" xr3:uid="{09856146-E912-40E6-9AA8-EEB53862D53B}" name="24549" dataDxfId="799" dataCellStyle="Currency"/>
    <tableColumn id="2987" xr3:uid="{057CC537-52B0-48C3-B552-20EE9CD085C1}" name="24550" dataDxfId="798" dataCellStyle="Currency"/>
    <tableColumn id="2988" xr3:uid="{6A99CB3C-B49A-4002-9222-54D324155E55}" name="24551" dataDxfId="797" dataCellStyle="Currency"/>
    <tableColumn id="2989" xr3:uid="{483CECD4-9063-4700-838E-9510227CAF81}" name="24553" dataDxfId="796" dataCellStyle="Currency"/>
    <tableColumn id="2990" xr3:uid="{872536B6-28A5-4DE7-8272-692932912625}" name="24554" dataDxfId="795" dataCellStyle="Currency"/>
    <tableColumn id="2991" xr3:uid="{2A2A444E-2CDF-4F11-8002-1C3FD20A6670}" name="24555" dataDxfId="794" dataCellStyle="Currency"/>
    <tableColumn id="2992" xr3:uid="{AE3EB2BE-5525-4C98-BD7F-492376B18A0A}" name="24556" dataDxfId="793" dataCellStyle="Currency"/>
    <tableColumn id="2993" xr3:uid="{81EC84B5-D631-4CD4-9552-6AE6E07FF07E}" name="24557" dataDxfId="792" dataCellStyle="Currency"/>
    <tableColumn id="2994" xr3:uid="{9377C7A2-DA57-4193-86DF-3F703294862C}" name="24558" dataDxfId="791" dataCellStyle="Currency"/>
    <tableColumn id="2995" xr3:uid="{D65B73B0-8336-4DC6-AC88-8FD750B87852}" name="24562" dataDxfId="790" dataCellStyle="Currency"/>
    <tableColumn id="2996" xr3:uid="{08F2D50A-CBC6-451D-9502-A8D80D525FE2}" name="24563" dataDxfId="789" dataCellStyle="Currency"/>
    <tableColumn id="2997" xr3:uid="{91989F83-57C5-444C-8BA0-68CFCD437CB7}" name="24565" dataDxfId="788" dataCellStyle="Currency"/>
    <tableColumn id="2998" xr3:uid="{4F13C7B5-6B76-445C-8AB3-9B946654B05C}" name="24566" dataDxfId="787" dataCellStyle="Currency"/>
    <tableColumn id="2999" xr3:uid="{D8BBD2B8-98A9-4851-BA77-0ACF7963F073}" name="24569" dataDxfId="786" dataCellStyle="Currency"/>
    <tableColumn id="3000" xr3:uid="{D7005C28-C7CB-4872-84FD-D15D8E48AF20}" name="24570" dataDxfId="785" dataCellStyle="Currency"/>
    <tableColumn id="3001" xr3:uid="{DC322905-B251-41D6-AFD1-46C55CACB0BD}" name="24571" dataDxfId="784" dataCellStyle="Currency"/>
    <tableColumn id="3002" xr3:uid="{0F0A405D-FAD3-43C8-ACFC-33751222308E}" name="24572" dataDxfId="783" dataCellStyle="Currency"/>
    <tableColumn id="3003" xr3:uid="{C80CD472-6153-4819-AD7D-28F99D3E1780}" name="24574" dataDxfId="782" dataCellStyle="Currency"/>
    <tableColumn id="3004" xr3:uid="{33A7B18F-20FA-4BE5-9AFC-3CB548218B1F}" name="24577" dataDxfId="781" dataCellStyle="Currency"/>
    <tableColumn id="3005" xr3:uid="{D0DDAC73-841F-4DDB-A108-014256DFC059}" name="24578" dataDxfId="780" dataCellStyle="Currency"/>
    <tableColumn id="3006" xr3:uid="{CE40A30E-83BA-4174-A7C2-AB9B37DC798C}" name="24579" dataDxfId="779" dataCellStyle="Currency"/>
    <tableColumn id="3007" xr3:uid="{7F1D9BB7-8402-4E9F-960F-B246F8038CFC}" name="24580" dataDxfId="778" dataCellStyle="Currency"/>
    <tableColumn id="3008" xr3:uid="{E23E234A-46A7-4D2C-BD76-7A20E81803E9}" name="24581" dataDxfId="777" dataCellStyle="Currency"/>
    <tableColumn id="3009" xr3:uid="{3BE1BA0A-167D-4E42-8D05-D4646B99BEF7}" name="24586" dataDxfId="776" dataCellStyle="Currency"/>
    <tableColumn id="3010" xr3:uid="{C2AA2E61-0D5E-4697-A08A-9C4A49076F24}" name="24588" dataDxfId="775" dataCellStyle="Currency"/>
    <tableColumn id="3011" xr3:uid="{63FFC407-DF59-41C7-8CC6-23973B06D4AB}" name="24589" dataDxfId="774" dataCellStyle="Currency"/>
    <tableColumn id="3012" xr3:uid="{FD54629C-9499-4E7B-98BB-BC1103912C4E}" name="24590" dataDxfId="773" dataCellStyle="Currency"/>
    <tableColumn id="3013" xr3:uid="{3D1DD9AC-9034-4FF6-83A7-9F8E50136D2B}" name="24592" dataDxfId="772" dataCellStyle="Currency"/>
    <tableColumn id="3014" xr3:uid="{895B1297-CC45-4BF2-900E-28E8E6745484}" name="24593" dataDxfId="771" dataCellStyle="Currency"/>
    <tableColumn id="3015" xr3:uid="{96E25D5C-9B21-4F7A-B415-A4DCFFC26D3D}" name="24594" dataDxfId="770" dataCellStyle="Currency"/>
    <tableColumn id="3016" xr3:uid="{F5640116-DC22-4708-BB01-B791773CD1C1}" name="24595" dataDxfId="769" dataCellStyle="Currency"/>
    <tableColumn id="3017" xr3:uid="{002C535A-7EE7-4DA1-A47B-EA7DBC5EB626}" name="24597" dataDxfId="768" dataCellStyle="Currency"/>
    <tableColumn id="3018" xr3:uid="{B0DD4118-D698-4A48-BB56-4BDF025000F5}" name="24598" dataDxfId="767" dataCellStyle="Currency"/>
    <tableColumn id="3019" xr3:uid="{FAF2D552-8E45-4AF1-928B-45010037DA4D}" name="24599" dataDxfId="766" dataCellStyle="Currency"/>
    <tableColumn id="3020" xr3:uid="{DFD566C8-1501-4CB3-B632-FAEF62632802}" name="24601" dataDxfId="765" dataCellStyle="Currency"/>
    <tableColumn id="3021" xr3:uid="{5632331C-348C-4EB3-B2F5-A338FE7E2DDF}" name="24602" dataDxfId="764" dataCellStyle="Currency"/>
    <tableColumn id="3022" xr3:uid="{C011675B-78C5-4B1D-A6B5-038A14E0EFEA}" name="24603" dataDxfId="763" dataCellStyle="Currency"/>
    <tableColumn id="3023" xr3:uid="{F4E60802-AC12-4182-830E-0198F9CDD996}" name="24604" dataDxfId="762" dataCellStyle="Currency"/>
    <tableColumn id="3024" xr3:uid="{4CE68DA1-5DD9-4525-9C02-E26EFF577758}" name="24605" dataDxfId="761" dataCellStyle="Currency"/>
    <tableColumn id="3025" xr3:uid="{C9296173-F65C-4194-96F4-A033D30EBA3C}" name="24606" dataDxfId="760" dataCellStyle="Currency"/>
    <tableColumn id="3026" xr3:uid="{350AEC24-7A41-4777-B27A-AFEDE64ED9D0}" name="24607" dataDxfId="759" dataCellStyle="Currency"/>
    <tableColumn id="3027" xr3:uid="{2646B87C-38A1-457B-A945-6777AFE1380D}" name="24609" dataDxfId="758" dataCellStyle="Currency"/>
    <tableColumn id="3028" xr3:uid="{752A6A66-982A-405C-B745-A129A4918A5D}" name="24612" dataDxfId="757" dataCellStyle="Currency"/>
    <tableColumn id="3029" xr3:uid="{F64D8742-DF67-4E94-BC50-A6A5D060BC4C}" name="24613" dataDxfId="756" dataCellStyle="Currency"/>
    <tableColumn id="3030" xr3:uid="{9C821C69-788D-438D-8672-DF935DEDDE5A}" name="24614" dataDxfId="755" dataCellStyle="Currency"/>
    <tableColumn id="3031" xr3:uid="{1A769CB4-2FE6-4838-853C-9393B1413CAD}" name="24620" dataDxfId="754" dataCellStyle="Currency"/>
    <tableColumn id="3032" xr3:uid="{464CDAAB-B600-4754-8B02-D5D87541CCA0}" name="24622" dataDxfId="753" dataCellStyle="Currency"/>
    <tableColumn id="3033" xr3:uid="{DB3AAD4E-CC0F-40FF-8616-D396564F1B57}" name="24630" dataDxfId="752" dataCellStyle="Currency"/>
    <tableColumn id="3034" xr3:uid="{DA50CC97-E826-4E45-BB19-DE05A246EA21}" name="24631" dataDxfId="751" dataCellStyle="Currency"/>
    <tableColumn id="3035" xr3:uid="{232B8ED6-F12F-45F1-A903-7228152AEC76}" name="24634" dataDxfId="750" dataCellStyle="Currency"/>
    <tableColumn id="3036" xr3:uid="{F1B3537D-9463-4228-A84E-5070073A09B6}" name="24635" dataDxfId="749" dataCellStyle="Currency"/>
    <tableColumn id="3037" xr3:uid="{6486853B-CC71-4217-8E46-5C6295FC8876}" name="24637" dataDxfId="748" dataCellStyle="Currency"/>
    <tableColumn id="3038" xr3:uid="{CCD64870-50AB-49BC-98D0-FF3776749F1D}" name="24639" dataDxfId="747" dataCellStyle="Currency"/>
    <tableColumn id="3039" xr3:uid="{C2C42254-432D-4403-BACE-34B983D66D76}" name="24641" dataDxfId="746" dataCellStyle="Currency"/>
    <tableColumn id="3040" xr3:uid="{536E58CF-A436-4FFB-A4B1-5FC90EF12AB6}" name="24646" dataDxfId="745" dataCellStyle="Currency"/>
    <tableColumn id="3041" xr3:uid="{E4A7D0DF-8CBE-4C4E-9748-DB604EE0E384}" name="24649" dataDxfId="744" dataCellStyle="Currency"/>
    <tableColumn id="3042" xr3:uid="{47E6727F-3985-49DD-B1E9-9D06A423CA5A}" name="24651" dataDxfId="743" dataCellStyle="Currency"/>
    <tableColumn id="3043" xr3:uid="{94F1C355-276F-433C-A6D1-8FEB990D26B0}" name="24656" dataDxfId="742" dataCellStyle="Currency"/>
    <tableColumn id="3044" xr3:uid="{68DF4C60-6FB4-4FC6-B12D-2AF0697A2078}" name="24657" dataDxfId="741" dataCellStyle="Currency"/>
    <tableColumn id="3045" xr3:uid="{B4C37715-3133-4EC2-8AC8-B1A4B93EC11F}" name="37642" dataDxfId="740" dataCellStyle="Currency"/>
    <tableColumn id="3046" xr3:uid="{31DD0AE4-677C-46FF-854F-9B6B8BE0394C}" name="37752" dataDxfId="739" dataCellStyle="Currency"/>
    <tableColumn id="3047" xr3:uid="{C19285B2-9E50-4FBC-96FC-133D93CAA595}" name="24701" dataDxfId="738" dataCellStyle="Currency"/>
    <tableColumn id="3048" xr3:uid="{5F8F5B64-2523-469A-8CD6-BB36CEB507D6}" name="24712" dataDxfId="737" dataCellStyle="Currency"/>
    <tableColumn id="3049" xr3:uid="{DCB6C908-7DA0-4A94-B4BA-13E8D38062F1}" name="24714" dataDxfId="736" dataCellStyle="Currency"/>
    <tableColumn id="3050" xr3:uid="{07FC1200-3EA7-48C6-A0AF-459406B333A7}" name="24715" dataDxfId="735" dataCellStyle="Currency"/>
    <tableColumn id="3051" xr3:uid="{9579AF43-C5C0-42AA-9AF4-90F04645AD14}" name="24716" dataDxfId="734" dataCellStyle="Currency"/>
    <tableColumn id="3052" xr3:uid="{8B3F56B8-CCFB-4CB0-81A2-765C4E8EE37D}" name="24719" dataDxfId="733" dataCellStyle="Currency"/>
    <tableColumn id="3053" xr3:uid="{AF87685C-A3E6-4AA7-826F-E34099B23028}" name="24724" dataDxfId="732" dataCellStyle="Currency"/>
    <tableColumn id="3054" xr3:uid="{C0E77865-89EB-478C-9202-9365130E6450}" name="24726" dataDxfId="731" dataCellStyle="Currency"/>
    <tableColumn id="3055" xr3:uid="{310E3EA5-7502-488D-8DF1-ECC69A234814}" name="24729" dataDxfId="730" dataCellStyle="Currency"/>
    <tableColumn id="3056" xr3:uid="{6E145626-B64A-4CF8-A2E0-68C16B3D5346}" name="24731" dataDxfId="729" dataCellStyle="Currency"/>
    <tableColumn id="3057" xr3:uid="{3C713F0B-7386-4F04-BE44-ED6C99170EA0}" name="24733" dataDxfId="728" dataCellStyle="Currency"/>
    <tableColumn id="3058" xr3:uid="{15FDFC44-4082-4306-BDB5-A8803808E0A6}" name="24736" dataDxfId="727" dataCellStyle="Currency"/>
    <tableColumn id="3059" xr3:uid="{32E25AF4-3CD8-4257-A438-BF6E2EFAD41B}" name="24737" dataDxfId="726" dataCellStyle="Currency"/>
    <tableColumn id="3060" xr3:uid="{0D88AE45-9BEB-4A8C-96A4-808D0FBAD96C}" name="24738" dataDxfId="725" dataCellStyle="Currency"/>
    <tableColumn id="3061" xr3:uid="{D1706EA9-3B7C-452A-B101-7749F4D8A535}" name="24739" dataDxfId="724" dataCellStyle="Currency"/>
    <tableColumn id="3062" xr3:uid="{61E8B700-8295-4A16-B5BF-E2F7E78988D0}" name="24740" dataDxfId="723" dataCellStyle="Currency"/>
    <tableColumn id="3063" xr3:uid="{81AFAA42-3920-45F1-A09D-21F04A72C4EB}" name="24747" dataDxfId="722" dataCellStyle="Currency"/>
    <tableColumn id="3064" xr3:uid="{1FA896CA-DC69-405F-837C-E3BC7F0FE194}" name="24801" dataDxfId="721" dataCellStyle="Currency"/>
    <tableColumn id="3065" xr3:uid="{CA06C812-DE06-4704-8CC9-4FD7DC8094C8}" name="24808" dataDxfId="720" dataCellStyle="Currency"/>
    <tableColumn id="3066" xr3:uid="{3533BEBE-23B4-4CF4-83A5-43180A0DFD31}" name="24811" dataDxfId="719" dataCellStyle="Currency"/>
    <tableColumn id="3067" xr3:uid="{C29FD27D-A206-4EDA-A40F-CB1BC1486766}" name="24813" dataDxfId="718" dataCellStyle="Currency"/>
    <tableColumn id="3068" xr3:uid="{7203B849-3631-4882-BA31-782634319A17}" name="24815" dataDxfId="717" dataCellStyle="Currency"/>
    <tableColumn id="3069" xr3:uid="{F0205912-1A82-49B0-9863-AF93D08718F9}" name="24816" dataDxfId="716" dataCellStyle="Currency"/>
    <tableColumn id="3070" xr3:uid="{43AAC0F8-1CDF-4E64-AFCE-F4A3E95D5520}" name="24817" dataDxfId="715" dataCellStyle="Currency"/>
    <tableColumn id="3071" xr3:uid="{0D0FBB00-337D-47A1-99A1-9796BD482AD3}" name="24818" dataDxfId="714" dataCellStyle="Currency"/>
    <tableColumn id="3072" xr3:uid="{7C36EF6E-AED5-432D-AD6A-210848A2070C}" name="24822" dataDxfId="713" dataCellStyle="Currency"/>
    <tableColumn id="3073" xr3:uid="{255C7865-6F73-45EB-AE99-CAFA40E41FD8}" name="24823" dataDxfId="712" dataCellStyle="Currency"/>
    <tableColumn id="3074" xr3:uid="{773F4842-2C72-4149-B7B2-0B3898B8C913}" name="24826" dataDxfId="711" dataCellStyle="Currency"/>
    <tableColumn id="3075" xr3:uid="{604B4DA6-5AC0-4769-90FC-EFFE261ABE81}" name="24827" dataDxfId="710" dataCellStyle="Currency"/>
    <tableColumn id="3076" xr3:uid="{A6167EDD-76FF-4CE5-A7F7-EFCCA6B1956B}" name="24828" dataDxfId="709" dataCellStyle="Currency"/>
    <tableColumn id="3077" xr3:uid="{CC28E7A0-44EA-4E8D-B280-C0E96944F740}" name="24830" dataDxfId="708" dataCellStyle="Currency"/>
    <tableColumn id="3078" xr3:uid="{00D290A4-34FD-4A90-88B8-4F77181F89C8}" name="24831" dataDxfId="707" dataCellStyle="Currency"/>
    <tableColumn id="3079" xr3:uid="{09AD2464-9397-4921-98C4-A4A86F1445D1}" name="24834" dataDxfId="706" dataCellStyle="Currency"/>
    <tableColumn id="3080" xr3:uid="{8B44FC2F-76B5-4ABB-8AC5-6F69E277AD1B}" name="24836" dataDxfId="705" dataCellStyle="Currency"/>
    <tableColumn id="3081" xr3:uid="{DB9F7EC5-0DA5-4C35-BB02-23DF03C1338B}" name="24839" dataDxfId="704" dataCellStyle="Currency"/>
    <tableColumn id="3082" xr3:uid="{50F5074B-EC66-4FA3-AB89-B97ACB0823D5}" name="24843" dataDxfId="703" dataCellStyle="Currency"/>
    <tableColumn id="3083" xr3:uid="{C3D664E3-CEF0-431A-AAFC-61BB482A65EE}" name="24844" dataDxfId="702" dataCellStyle="Currency"/>
    <tableColumn id="3084" xr3:uid="{B09D88CC-2D6A-4B85-BA82-8171B6D69B15}" name="24845" dataDxfId="701" dataCellStyle="Currency"/>
    <tableColumn id="3085" xr3:uid="{43CB0CC2-0C9F-48FC-9F9C-931AFC400015}" name="24846" dataDxfId="700" dataCellStyle="Currency"/>
    <tableColumn id="3086" xr3:uid="{EBAD74E5-87D7-4238-8873-36CF006CAF8D}" name="24847" dataDxfId="699" dataCellStyle="Currency"/>
    <tableColumn id="3087" xr3:uid="{1A011E5E-A3C1-4136-8EA4-4D5D029FA26D}" name="24848" dataDxfId="698" dataCellStyle="Currency"/>
    <tableColumn id="3088" xr3:uid="{03E12867-0807-4656-B032-23E9CDF81676}" name="24849" dataDxfId="697" dataCellStyle="Currency"/>
    <tableColumn id="3089" xr3:uid="{3741DE81-48E2-40F3-AF6C-AA11B62EA1EA}" name="24850" dataDxfId="696" dataCellStyle="Currency"/>
    <tableColumn id="3090" xr3:uid="{CCFA0267-18C0-40B9-B7B3-9A1B6443AD44}" name="24851" dataDxfId="695" dataCellStyle="Currency"/>
    <tableColumn id="3091" xr3:uid="{A965C6FA-B254-41EA-84A0-CE9C1DCF16A0}" name="24853" dataDxfId="694" dataCellStyle="Currency"/>
    <tableColumn id="3092" xr3:uid="{AFDC2663-729B-4CA6-9074-9836EA22CFC0}" name="24854" dataDxfId="693" dataCellStyle="Currency"/>
    <tableColumn id="3093" xr3:uid="{D389E591-C68E-46B1-A709-B5FC85F83FFC}" name="24855" dataDxfId="692" dataCellStyle="Currency"/>
    <tableColumn id="3094" xr3:uid="{AC0D52D1-532D-4E8D-9230-81D16D6FD8EC}" name="24857" dataDxfId="691" dataCellStyle="Currency"/>
    <tableColumn id="3095" xr3:uid="{66D31169-1E61-4A8A-A6E1-5B57D6EAABD2}" name="24860" dataDxfId="690" dataCellStyle="Currency"/>
    <tableColumn id="3096" xr3:uid="{1F6E61CB-FA27-4B9F-B692-D42DF4586AEC}" name="24861" dataDxfId="689" dataCellStyle="Currency"/>
    <tableColumn id="3097" xr3:uid="{D5C0F5B6-2331-410C-BF62-7FDF423FC1BB}" name="24862" dataDxfId="688" dataCellStyle="Currency"/>
    <tableColumn id="3098" xr3:uid="{C201E7F6-CB46-4877-A54B-A925A7118605}" name="24866" dataDxfId="687" dataCellStyle="Currency"/>
    <tableColumn id="3099" xr3:uid="{45B90C0C-DDF4-4290-9342-1862FB321E86}" name="24867" dataDxfId="686" dataCellStyle="Currency"/>
    <tableColumn id="3100" xr3:uid="{1EC30467-4918-4094-AAC4-78EEBC5F97B8}" name="24868" dataDxfId="685" dataCellStyle="Currency"/>
    <tableColumn id="3101" xr3:uid="{2244DBC4-3295-4044-8462-5CB3EFCABAC9}" name="24869" dataDxfId="684" dataCellStyle="Currency"/>
    <tableColumn id="3102" xr3:uid="{F7935426-D2A8-4A4B-B354-DED36DEB074C}" name="24870" dataDxfId="683" dataCellStyle="Currency"/>
    <tableColumn id="3103" xr3:uid="{C1B66636-9D27-4061-9658-61586032AD80}" name="24871" dataDxfId="682" dataCellStyle="Currency"/>
    <tableColumn id="3104" xr3:uid="{609A06BB-DD12-40EF-957D-362E26388E01}" name="24872" dataDxfId="681" dataCellStyle="Currency"/>
    <tableColumn id="3105" xr3:uid="{2BD38BA0-F613-4F2E-9A71-ECEFE3964ED9}" name="24873" dataDxfId="680" dataCellStyle="Currency"/>
    <tableColumn id="3106" xr3:uid="{064675B5-3E3A-4CC6-B55A-BA517DD88044}" name="24874" dataDxfId="679" dataCellStyle="Currency"/>
    <tableColumn id="3107" xr3:uid="{0C0246D8-A735-4C6B-9AD7-0F773537B729}" name="24878" dataDxfId="678" dataCellStyle="Currency"/>
    <tableColumn id="3108" xr3:uid="{B0A7597A-D685-49E5-8BEC-A3D6D05FC474}" name="24879" dataDxfId="677" dataCellStyle="Currency"/>
    <tableColumn id="3109" xr3:uid="{1A659054-32E9-4B3A-8F33-1AEE8E2C11A8}" name="24880" dataDxfId="676" dataCellStyle="Currency"/>
    <tableColumn id="3110" xr3:uid="{D4BDBE25-DAC2-4503-8B46-5AF616EB7E77}" name="24881" dataDxfId="675" dataCellStyle="Currency"/>
    <tableColumn id="3111" xr3:uid="{4EC30A49-1FD5-4D9A-B2E0-95F34F972A4D}" name="24882" dataDxfId="674" dataCellStyle="Currency"/>
    <tableColumn id="3112" xr3:uid="{F54400CC-3BCA-4F53-8615-293D75806FD3}" name="24884" dataDxfId="673" dataCellStyle="Currency"/>
    <tableColumn id="3113" xr3:uid="{42F5EEFD-D559-48D6-ADB6-EF8337BFABDC}" name="24887" dataDxfId="672" dataCellStyle="Currency"/>
    <tableColumn id="3114" xr3:uid="{EB748AB2-4C53-415F-B030-67BF1D20618C}" name="24888" dataDxfId="671" dataCellStyle="Currency"/>
    <tableColumn id="3115" xr3:uid="{75E5084E-5C87-42A1-8394-907EBD585783}" name="24892" dataDxfId="670" dataCellStyle="Currency"/>
    <tableColumn id="3116" xr3:uid="{7648271A-790E-40D8-8E94-F706D97EBDB9}" name="24894" dataDxfId="669" dataCellStyle="Currency"/>
    <tableColumn id="3117" xr3:uid="{B79F1CB8-22B2-454A-A9AC-B689BB367724}" name="24895" dataDxfId="668" dataCellStyle="Currency"/>
    <tableColumn id="3118" xr3:uid="{8DCF615D-80C5-4B2E-9697-8D935F972B5B}" name="24898" dataDxfId="667" dataCellStyle="Currency"/>
    <tableColumn id="3119" xr3:uid="{77DAA0FC-F440-44D5-86B2-BAF8E2BB3C71}" name="24901" dataDxfId="666" dataCellStyle="Currency"/>
    <tableColumn id="3120" xr3:uid="{E1AD1C89-F4CB-4378-9BA1-7E214423EBAF}" name="24910" dataDxfId="665" dataCellStyle="Currency"/>
    <tableColumn id="3121" xr3:uid="{AE5B71EB-4D13-47D0-8525-43B02F73B126}" name="24915" dataDxfId="664" dataCellStyle="Currency"/>
    <tableColumn id="3122" xr3:uid="{A6DD2113-0071-4A58-B753-5CB790ED1ED3}" name="24916" dataDxfId="663" dataCellStyle="Currency"/>
    <tableColumn id="3123" xr3:uid="{EDB41636-5591-47B6-BFD6-FDFBD191B68B}" name="24918" dataDxfId="662" dataCellStyle="Currency"/>
    <tableColumn id="3124" xr3:uid="{1D60B9EC-8547-403D-BD23-3AE3B35A5494}" name="24920" dataDxfId="661" dataCellStyle="Currency"/>
    <tableColumn id="3125" xr3:uid="{C1E415BB-EAE7-4B3C-95AD-015490A73D06}" name="24924" dataDxfId="660" dataCellStyle="Currency"/>
    <tableColumn id="3126" xr3:uid="{44B1610C-8AB4-40BF-B682-B09883BA7AD3}" name="24925" dataDxfId="659" dataCellStyle="Currency"/>
    <tableColumn id="3127" xr3:uid="{B27667E5-2405-4255-A56B-F1613E8BD454}" name="24927" dataDxfId="658" dataCellStyle="Currency"/>
    <tableColumn id="3128" xr3:uid="{5CE224B4-F9AC-49BE-B7D0-57626172E7F8}" name="24931" dataDxfId="657" dataCellStyle="Currency"/>
    <tableColumn id="3129" xr3:uid="{4CC829D4-362D-4C12-BCD4-C82FE91CEC54}" name="24934" dataDxfId="656" dataCellStyle="Currency"/>
    <tableColumn id="3130" xr3:uid="{94BF47DD-5EED-45AE-8331-A1AAB4B32FD7}" name="24935" dataDxfId="655" dataCellStyle="Currency"/>
    <tableColumn id="3131" xr3:uid="{2AA180B6-0D37-46D5-AD21-C3944EEC46EC}" name="24938" dataDxfId="654" dataCellStyle="Currency"/>
    <tableColumn id="3132" xr3:uid="{241017FF-F654-4D30-9E59-11E271901F94}" name="24941" dataDxfId="653" dataCellStyle="Currency"/>
    <tableColumn id="3133" xr3:uid="{5977B411-9244-45B8-A032-7DCFDEA90EFE}" name="24943" dataDxfId="652" dataCellStyle="Currency"/>
    <tableColumn id="3134" xr3:uid="{B0E8D57C-6FFD-4077-A1C3-A32392E7FB48}" name="24944" dataDxfId="651" dataCellStyle="Currency"/>
    <tableColumn id="3135" xr3:uid="{E5C13CA2-9C77-46EC-AADF-527A807994D2}" name="24945" dataDxfId="650" dataCellStyle="Currency"/>
    <tableColumn id="3136" xr3:uid="{5395B4DB-AC39-49B0-926B-D7FA2F1BF404}" name="24946" dataDxfId="649" dataCellStyle="Currency"/>
    <tableColumn id="3137" xr3:uid="{FAEA59DE-0422-48B9-906A-91ECE7F8C36B}" name="24951" dataDxfId="648" dataCellStyle="Currency"/>
    <tableColumn id="3138" xr3:uid="{2B3C72F6-4CE8-471D-9668-9139AB13C9BD}" name="24954" dataDxfId="647" dataCellStyle="Currency"/>
    <tableColumn id="3139" xr3:uid="{C6E35874-E592-4F02-8568-454D5CD94EAD}" name="24957" dataDxfId="646" dataCellStyle="Currency"/>
    <tableColumn id="3140" xr3:uid="{D2EADE1B-7726-4F3B-BCD4-06573D642186}" name="24962" dataDxfId="645" dataCellStyle="Currency"/>
    <tableColumn id="3141" xr3:uid="{A578D50F-3EAD-44E6-8AD6-5CB1B54B1E37}" name="24963" dataDxfId="644" dataCellStyle="Currency"/>
    <tableColumn id="3142" xr3:uid="{760C29B2-14DD-48E6-98DF-B5C238E15F3D}" name="24966" dataDxfId="643" dataCellStyle="Currency"/>
    <tableColumn id="3143" xr3:uid="{A86BB07A-D5EC-455E-B0AF-B394F921D564}" name="24970" dataDxfId="642" dataCellStyle="Currency"/>
    <tableColumn id="3144" xr3:uid="{279779F6-8363-4D9A-AAA0-8FAA05004A2C}" name="24974" dataDxfId="641" dataCellStyle="Currency"/>
    <tableColumn id="3145" xr3:uid="{AB0EECEF-E36A-4F90-B394-42905AE64CE5}" name="24976" dataDxfId="640" dataCellStyle="Currency"/>
    <tableColumn id="3146" xr3:uid="{F535E16C-F0F8-4A6D-B3AA-BE00BE184BE6}" name="24977" dataDxfId="639" dataCellStyle="Currency"/>
    <tableColumn id="3147" xr3:uid="{B084F06A-470A-4181-94EA-7100DE907D33}" name="24981" dataDxfId="638" dataCellStyle="Currency"/>
    <tableColumn id="3148" xr3:uid="{7EEE9905-5951-4431-A823-02CA85DAD55E}" name="24983" dataDxfId="637" dataCellStyle="Currency"/>
    <tableColumn id="3149" xr3:uid="{D1671678-152B-43BC-ACC2-3285A83AE643}" name="24984" dataDxfId="636" dataCellStyle="Currency"/>
    <tableColumn id="3150" xr3:uid="{EC6E4702-C3A7-4C12-9937-961ACC34537F}" name="24985" dataDxfId="635" dataCellStyle="Currency"/>
    <tableColumn id="3151" xr3:uid="{1B13A261-8349-4895-BC95-7A46BDC2937B}" name="24986" dataDxfId="634" dataCellStyle="Currency"/>
    <tableColumn id="3152" xr3:uid="{595D89B9-18EA-4B87-ACC1-4446F9820EDE}" name="24991" dataDxfId="633" dataCellStyle="Currency"/>
    <tableColumn id="3153" xr3:uid="{20E00C08-3C5D-4077-803F-89531C21442B}" name="24993" dataDxfId="632" dataCellStyle="Currency"/>
    <tableColumn id="3154" xr3:uid="{A90ECA94-85D9-4D15-84D0-DF46DCC20822}" name="25002" dataDxfId="631" dataCellStyle="Currency"/>
    <tableColumn id="3155" xr3:uid="{100C7FD6-25C1-42E2-AACA-7E7659DE0A21}" name="25003" dataDxfId="630" dataCellStyle="Currency"/>
    <tableColumn id="3156" xr3:uid="{24ECD42A-7A84-4A51-A30B-1BD31F097D6D}" name="25005" dataDxfId="629" dataCellStyle="Currency"/>
    <tableColumn id="3157" xr3:uid="{A9B70B11-8B47-4217-B428-84EE169C56DB}" name="25007" dataDxfId="628" dataCellStyle="Currency"/>
    <tableColumn id="3158" xr3:uid="{C0E0453C-9F63-4736-A0FC-AD9A042FEB1F}" name="25008" dataDxfId="627" dataCellStyle="Currency"/>
    <tableColumn id="3159" xr3:uid="{87775DA0-31C7-4CAE-8718-CECE263B66B8}" name="25009" dataDxfId="626" dataCellStyle="Currency"/>
    <tableColumn id="3160" xr3:uid="{5570CED8-92A5-4344-900F-84AE6BE4A867}" name="25011" dataDxfId="625" dataCellStyle="Currency"/>
    <tableColumn id="3161" xr3:uid="{B3B62664-C31D-4A7F-8085-888B6DAAD78F}" name="25015" dataDxfId="624" dataCellStyle="Currency"/>
    <tableColumn id="3162" xr3:uid="{FA0DBC77-ED0C-44FA-8261-33710A86FE39}" name="25019" dataDxfId="623" dataCellStyle="Currency"/>
    <tableColumn id="3163" xr3:uid="{D81BC9FF-743D-4FCB-B01E-5DAB13491DEA}" name="25021" dataDxfId="622" dataCellStyle="Currency"/>
    <tableColumn id="3164" xr3:uid="{9F3000F4-7488-4D1A-ACB2-32A0A4F117E0}" name="25022" dataDxfId="621" dataCellStyle="Currency"/>
    <tableColumn id="3165" xr3:uid="{E1035977-1F69-46C9-8385-DD3AE33D75DF}" name="25024" dataDxfId="620" dataCellStyle="Currency"/>
    <tableColumn id="3166" xr3:uid="{20479E78-E2F6-49F6-A4C2-8CC4DA1F2A01}" name="25025" dataDxfId="619" dataCellStyle="Currency"/>
    <tableColumn id="3167" xr3:uid="{11F27782-9E33-43D3-8ADB-E31F4C659B03}" name="25028" dataDxfId="618" dataCellStyle="Currency"/>
    <tableColumn id="3168" xr3:uid="{2A8FB537-61C5-4F80-A155-6FEDAE560575}" name="25030" dataDxfId="617" dataCellStyle="Currency"/>
    <tableColumn id="3169" xr3:uid="{BC7120E2-10E0-4928-BC5F-40331715A617}" name="25031" dataDxfId="616" dataCellStyle="Currency"/>
    <tableColumn id="3170" xr3:uid="{FB19C2EC-E60D-4CEB-B1F0-999F45D07C5C}" name="25033" dataDxfId="615" dataCellStyle="Currency"/>
    <tableColumn id="3171" xr3:uid="{904396EC-EA68-44F8-86EB-0CB2F444DDBA}" name="25035" dataDxfId="614" dataCellStyle="Currency"/>
    <tableColumn id="3172" xr3:uid="{81CFD0B3-1EAC-48E5-B03F-F82CAA025C77}" name="25036" dataDxfId="613" dataCellStyle="Currency"/>
    <tableColumn id="3173" xr3:uid="{81FEBB33-ACDE-4109-8BBC-3DBF73620DAB}" name="25039" dataDxfId="612" dataCellStyle="Currency"/>
    <tableColumn id="3174" xr3:uid="{DB0DD529-CF99-46CB-8732-21F9BBD8BF59}" name="25040" dataDxfId="611" dataCellStyle="Currency"/>
    <tableColumn id="3175" xr3:uid="{74A7892D-239E-4D37-ABE9-0455203488FD}" name="25043" dataDxfId="610" dataCellStyle="Currency"/>
    <tableColumn id="3176" xr3:uid="{DFBC1A24-BC4D-465E-A200-5F57692D5E57}" name="25044" dataDxfId="609" dataCellStyle="Currency"/>
    <tableColumn id="3177" xr3:uid="{8645C3BB-B63A-4ED7-A555-C771DAA59E59}" name="25045" dataDxfId="608" dataCellStyle="Currency"/>
    <tableColumn id="3178" xr3:uid="{7E568222-4B24-465F-BD94-9AD4AC0BC495}" name="25047" dataDxfId="607" dataCellStyle="Currency"/>
    <tableColumn id="3179" xr3:uid="{88022F88-D499-4704-AB2C-516B4764FAB6}" name="25048" dataDxfId="606" dataCellStyle="Currency"/>
    <tableColumn id="3180" xr3:uid="{8836C5C0-89A3-4D78-95FD-CA1E239AAB7C}" name="25049" dataDxfId="605" dataCellStyle="Currency"/>
    <tableColumn id="3181" xr3:uid="{BFDF9DF5-9875-4D01-AD75-EB871B690ADF}" name="25051" dataDxfId="604" dataCellStyle="Currency"/>
    <tableColumn id="3182" xr3:uid="{6CABFAB6-0791-427E-8F5E-2DC8013A0BDA}" name="25053" dataDxfId="603" dataCellStyle="Currency"/>
    <tableColumn id="3183" xr3:uid="{5064EDCE-6AF2-48B1-BC61-51B6E8530608}" name="25054" dataDxfId="602" dataCellStyle="Currency"/>
    <tableColumn id="3184" xr3:uid="{8D07B0F5-E0FE-4214-BE84-3EF40EE7D14A}" name="25057" dataDxfId="601" dataCellStyle="Currency"/>
    <tableColumn id="3185" xr3:uid="{8A38A602-8973-4942-A420-3C9DFD999979}" name="25059" dataDxfId="600" dataCellStyle="Currency"/>
    <tableColumn id="3186" xr3:uid="{FC82BCCC-B646-408C-B9B7-4F7928075419}" name="25060" dataDxfId="599" dataCellStyle="Currency"/>
    <tableColumn id="3187" xr3:uid="{A18E1B95-0F0C-423D-9DDF-595E77195754}" name="25061" dataDxfId="598" dataCellStyle="Currency"/>
    <tableColumn id="3188" xr3:uid="{B5493313-4C4A-47D1-8CF2-81521AF1152B}" name="25062" dataDxfId="597" dataCellStyle="Currency"/>
    <tableColumn id="3189" xr3:uid="{7FD8CB04-5C85-4140-91F8-577172A2F337}" name="25063" dataDxfId="596" dataCellStyle="Currency"/>
    <tableColumn id="3190" xr3:uid="{5B97D380-2D33-4F61-9281-68BA6279494D}" name="25064" dataDxfId="595" dataCellStyle="Currency"/>
    <tableColumn id="3191" xr3:uid="{FBAA2EF6-5CDC-4630-AB91-A8B51313C6C8}" name="25067" dataDxfId="594" dataCellStyle="Currency"/>
    <tableColumn id="3192" xr3:uid="{2982E519-B76C-4CD7-BA38-8201279AF6AE}" name="25070" dataDxfId="593" dataCellStyle="Currency"/>
    <tableColumn id="3193" xr3:uid="{F5F6DA7E-E3B3-43F8-9D83-71C20DFC7D65}" name="25071" dataDxfId="592" dataCellStyle="Currency"/>
    <tableColumn id="3194" xr3:uid="{A3E39C27-EC46-497A-A1F3-F2E14FF2025A}" name="25075" dataDxfId="591" dataCellStyle="Currency"/>
    <tableColumn id="3195" xr3:uid="{0EE582C7-CD9E-450F-AA2D-C19EB6A68435}" name="25076" dataDxfId="590" dataCellStyle="Currency"/>
    <tableColumn id="3196" xr3:uid="{2C0A3BAF-4022-4867-A97A-EDAB98704272}" name="25081" dataDxfId="589" dataCellStyle="Currency"/>
    <tableColumn id="3197" xr3:uid="{BF328F13-B407-4249-B6ED-CE6032513CA5}" name="25082" dataDxfId="588" dataCellStyle="Currency"/>
    <tableColumn id="3198" xr3:uid="{E95DAB72-DA02-445D-867E-84FE662E5769}" name="25083" dataDxfId="587" dataCellStyle="Currency"/>
    <tableColumn id="3199" xr3:uid="{3EC7DA74-8C96-4799-B8BC-CA13D7E110BF}" name="25085" dataDxfId="586" dataCellStyle="Currency"/>
    <tableColumn id="3200" xr3:uid="{10FF9013-1FBE-4ECC-B105-B03C391A134F}" name="25086" dataDxfId="585" dataCellStyle="Currency"/>
    <tableColumn id="3201" xr3:uid="{8FA9C08C-3102-4441-9DD2-4E5A1E5CF937}" name="25088" dataDxfId="584" dataCellStyle="Currency"/>
    <tableColumn id="3202" xr3:uid="{80F6329C-E226-4C09-A9C2-2E4E88A99E9E}" name="25090" dataDxfId="583" dataCellStyle="Currency"/>
    <tableColumn id="3203" xr3:uid="{C46168BF-021A-46C6-AAA1-401A45E90911}" name="25093" dataDxfId="582" dataCellStyle="Currency"/>
    <tableColumn id="3204" xr3:uid="{F8799858-894F-4C78-B441-26E560C0857C}" name="25102" dataDxfId="581" dataCellStyle="Currency"/>
    <tableColumn id="3205" xr3:uid="{6D0B5579-EABF-4B96-A95A-BD74D1DD9FF3}" name="25103" dataDxfId="580" dataCellStyle="Currency"/>
    <tableColumn id="3206" xr3:uid="{1333CC6D-2A10-4D92-8CCF-A569269F75EB}" name="25106" dataDxfId="579" dataCellStyle="Currency"/>
    <tableColumn id="3207" xr3:uid="{8656E38E-E33C-46F1-B7A9-CE23230DE47D}" name="25107" dataDxfId="578" dataCellStyle="Currency"/>
    <tableColumn id="3208" xr3:uid="{E2F6A322-B751-4249-860D-C04461D43409}" name="25108" dataDxfId="577" dataCellStyle="Currency"/>
    <tableColumn id="3209" xr3:uid="{09A9B315-A80B-4921-997A-F1E620ADD81F}" name="25109" dataDxfId="576" dataCellStyle="Currency"/>
    <tableColumn id="3210" xr3:uid="{F22C7560-B103-4873-8B24-1C6AD5808EFB}" name="25110" dataDxfId="575" dataCellStyle="Currency"/>
    <tableColumn id="3211" xr3:uid="{390088C8-101D-4F05-9F06-512DA3F4140F}" name="25111" dataDxfId="574" dataCellStyle="Currency"/>
    <tableColumn id="3212" xr3:uid="{FCC32482-6DC1-422A-8CFB-77B6E272A6FB}" name="25112" dataDxfId="573" dataCellStyle="Currency"/>
    <tableColumn id="3213" xr3:uid="{C7FA48F7-21CF-44E5-AE31-3C813BE05602}" name="25113" dataDxfId="572" dataCellStyle="Currency"/>
    <tableColumn id="3214" xr3:uid="{E6B53631-E911-4921-BF1B-B2C50DB8C23C}" name="25114" dataDxfId="571" dataCellStyle="Currency"/>
    <tableColumn id="3215" xr3:uid="{55FD07E5-CAF4-4B6A-BFE0-3223258F318C}" name="25115" dataDxfId="570" dataCellStyle="Currency"/>
    <tableColumn id="3216" xr3:uid="{57648DB5-2E37-47CA-B94D-AB18523E0707}" name="25118" dataDxfId="569" dataCellStyle="Currency"/>
    <tableColumn id="3217" xr3:uid="{42EE2D5A-928B-404D-ABFC-ED61AE5E9C45}" name="25119" dataDxfId="568" dataCellStyle="Currency"/>
    <tableColumn id="3218" xr3:uid="{055763ED-38C8-46BF-ADC6-62B83CE82237}" name="25121" dataDxfId="567" dataCellStyle="Currency"/>
    <tableColumn id="3219" xr3:uid="{6C82B582-BF51-46DE-AC39-7EAB140731BF}" name="25123" dataDxfId="566" dataCellStyle="Currency"/>
    <tableColumn id="3220" xr3:uid="{5A7113DC-9806-411F-A55A-052C047ACB1D}" name="25124" dataDxfId="565" dataCellStyle="Currency"/>
    <tableColumn id="3221" xr3:uid="{B4CC3D4E-BB0F-4BF4-955E-1B7B6634A5B2}" name="25125" dataDxfId="564" dataCellStyle="Currency"/>
    <tableColumn id="3222" xr3:uid="{C2E177BA-AA51-46F1-8739-DA699D1D8218}" name="25126" dataDxfId="563" dataCellStyle="Currency"/>
    <tableColumn id="3223" xr3:uid="{D4B12F6C-9457-407F-B734-7C3A1E06F3BE}" name="25130" dataDxfId="562" dataCellStyle="Currency"/>
    <tableColumn id="3224" xr3:uid="{6E62E0D5-3EE3-4CAF-BCAA-15486B1CFD14}" name="25132" dataDxfId="561" dataCellStyle="Currency"/>
    <tableColumn id="3225" xr3:uid="{2CA520B9-DDB1-476F-930E-B4E6D92C2240}" name="25133" dataDxfId="560" dataCellStyle="Currency"/>
    <tableColumn id="3226" xr3:uid="{759161D0-65B1-4B11-83F0-6A39991467EF}" name="25134" dataDxfId="559" dataCellStyle="Currency"/>
    <tableColumn id="3227" xr3:uid="{EDF420BC-FA8E-40CD-BB0A-9BCECC0D6D62}" name="25136" dataDxfId="558" dataCellStyle="Currency"/>
    <tableColumn id="3228" xr3:uid="{91DBC1A6-2918-48C2-B113-E9BF084F137F}" name="25139" dataDxfId="557" dataCellStyle="Currency"/>
    <tableColumn id="3229" xr3:uid="{F0AE64B7-54AA-4094-9800-32124A4DB8FE}" name="25140" dataDxfId="556" dataCellStyle="Currency"/>
    <tableColumn id="3230" xr3:uid="{8824D7F1-62E7-4D5A-8F07-606D237974F3}" name="25141" dataDxfId="555" dataCellStyle="Currency"/>
    <tableColumn id="3231" xr3:uid="{4DF52394-E44D-4CFB-A3DE-40108FC4A142}" name="25142" dataDxfId="554" dataCellStyle="Currency"/>
    <tableColumn id="3232" xr3:uid="{7F3293C3-9E6E-4EC6-8753-ADED97E17252}" name="25143" dataDxfId="553" dataCellStyle="Currency"/>
    <tableColumn id="3233" xr3:uid="{1C874EE4-BCE8-45FD-8FD4-4052A67A0E75}" name="25148" dataDxfId="552" dataCellStyle="Currency"/>
    <tableColumn id="3234" xr3:uid="{D5884CAD-C474-444E-BF88-FEB002677171}" name="25149" dataDxfId="551" dataCellStyle="Currency"/>
    <tableColumn id="3235" xr3:uid="{17542DC6-3461-4914-9886-EAB36F17B5FB}" name="25152" dataDxfId="550" dataCellStyle="Currency"/>
    <tableColumn id="3236" xr3:uid="{157FDD30-636F-466A-B0A2-42A590FE96CD}" name="25154" dataDxfId="549" dataCellStyle="Currency"/>
    <tableColumn id="3237" xr3:uid="{6B026077-118A-4160-8180-A173F22EFE61}" name="25156" dataDxfId="548" dataCellStyle="Currency"/>
    <tableColumn id="3238" xr3:uid="{E3A667F4-70A3-4496-ABCC-0EAFBF66A162}" name="25159" dataDxfId="547" dataCellStyle="Currency"/>
    <tableColumn id="3239" xr3:uid="{C853C25E-C43E-4DCA-9689-F766D344AC4D}" name="25160" dataDxfId="546" dataCellStyle="Currency"/>
    <tableColumn id="3240" xr3:uid="{AEE58738-9254-4C13-863A-2FFF0AFF2D4C}" name="25161" dataDxfId="545" dataCellStyle="Currency"/>
    <tableColumn id="3241" xr3:uid="{D2DC6E01-2B33-4FDD-AE29-74DA7FDA470B}" name="25162" dataDxfId="544" dataCellStyle="Currency"/>
    <tableColumn id="3242" xr3:uid="{64B77DCA-C0EA-4169-BCBC-592EDF8461A0}" name="25164" dataDxfId="543" dataCellStyle="Currency"/>
    <tableColumn id="3243" xr3:uid="{C7B673B8-85B3-44D4-BDB6-6ADC5A05352E}" name="25165" dataDxfId="542" dataCellStyle="Currency"/>
    <tableColumn id="3244" xr3:uid="{C7D3938D-8A0D-42C2-A2A7-82ABA415C0FB}" name="25168" dataDxfId="541" dataCellStyle="Currency"/>
    <tableColumn id="3245" xr3:uid="{F5126612-CC89-4F0D-8993-773CA03C3F4B}" name="25169" dataDxfId="540" dataCellStyle="Currency"/>
    <tableColumn id="3246" xr3:uid="{67A53975-4886-4EC5-865A-AAC050CAAB69}" name="25173" dataDxfId="539" dataCellStyle="Currency"/>
    <tableColumn id="3247" xr3:uid="{E086B5CF-0E6C-4C2E-81DD-3F7EC43F6A77}" name="25174" dataDxfId="538" dataCellStyle="Currency"/>
    <tableColumn id="3248" xr3:uid="{6F7AF437-E7BA-4C72-AFC8-F67AFABAE2D1}" name="25177" dataDxfId="537" dataCellStyle="Currency"/>
    <tableColumn id="3249" xr3:uid="{4B39619A-E04C-479E-84EC-E581FE0D9441}" name="25180" dataDxfId="536" dataCellStyle="Currency"/>
    <tableColumn id="3250" xr3:uid="{83F2262F-FE0E-4FD5-B1E5-073BD82872F3}" name="25181" dataDxfId="535" dataCellStyle="Currency"/>
    <tableColumn id="3251" xr3:uid="{D8E4DC0E-8B6B-4835-8361-4769B43DBB42}" name="25183" dataDxfId="534" dataCellStyle="Currency"/>
    <tableColumn id="3252" xr3:uid="{3C598822-4538-4F4A-B4BF-EC0A1160009D}" name="25185" dataDxfId="533" dataCellStyle="Currency"/>
    <tableColumn id="3253" xr3:uid="{6212872F-D403-43EE-8C3F-E0809CE17CA8}" name="25186" dataDxfId="532" dataCellStyle="Currency"/>
    <tableColumn id="3254" xr3:uid="{8D7978E6-3C9D-4025-A71E-1423CA675841}" name="25187" dataDxfId="531" dataCellStyle="Currency"/>
    <tableColumn id="3255" xr3:uid="{AABBABB7-3C8D-4831-AF6F-2DF92B83128B}" name="25193" dataDxfId="530" dataCellStyle="Currency"/>
    <tableColumn id="3256" xr3:uid="{A262912B-7216-4946-9C6E-FB90C43D92F9}" name="25201" dataDxfId="529" dataCellStyle="Currency"/>
    <tableColumn id="3257" xr3:uid="{1BC977F9-CCC3-41F4-ABE2-5AA221B04101}" name="25202" dataDxfId="528" dataCellStyle="Currency"/>
    <tableColumn id="3258" xr3:uid="{1FCD5042-EDEA-48D3-AA95-D967DBDE57B2}" name="25203" dataDxfId="527" dataCellStyle="Currency"/>
    <tableColumn id="3259" xr3:uid="{1A5BFE29-3D78-4437-A3BB-AABB17A0B5AF}" name="25204" dataDxfId="526" dataCellStyle="Currency"/>
    <tableColumn id="3260" xr3:uid="{F496ED06-F102-4B33-A6EA-215A5FD92E30}" name="25205" dataDxfId="525" dataCellStyle="Currency"/>
    <tableColumn id="3261" xr3:uid="{C75ABFE2-6E96-4D2E-BD1B-79C448A8CE76}" name="25206" dataDxfId="524" dataCellStyle="Currency"/>
    <tableColumn id="3262" xr3:uid="{DE42584D-6894-45B4-977B-EB1FC210B060}" name="25208" dataDxfId="523" dataCellStyle="Currency"/>
    <tableColumn id="3263" xr3:uid="{B58919ED-396D-41BC-8E82-A3456E574949}" name="25209" dataDxfId="522" dataCellStyle="Currency"/>
    <tableColumn id="3264" xr3:uid="{AD2A8956-0B79-4E9F-95B1-68C77E5C2284}" name="25211" dataDxfId="521" dataCellStyle="Currency"/>
    <tableColumn id="3265" xr3:uid="{8A792D9D-45B5-479F-950B-FE8F43BC1F9D}" name="25213" dataDxfId="520" dataCellStyle="Currency"/>
    <tableColumn id="3266" xr3:uid="{C4493115-C397-4AC5-8D73-86A96F66531E}" name="25214" dataDxfId="519" dataCellStyle="Currency"/>
    <tableColumn id="3267" xr3:uid="{940CF2A4-33D8-4C1F-B3DC-B64965FBD7B0}" name="25231" dataDxfId="518" dataCellStyle="Currency"/>
    <tableColumn id="3268" xr3:uid="{F70E28A6-8675-4B8D-9555-18875112A9B4}" name="25234" dataDxfId="517" dataCellStyle="Currency"/>
    <tableColumn id="3269" xr3:uid="{6A79C818-2EE3-491B-A4CD-76AF2024D8B1}" name="25235" dataDxfId="516" dataCellStyle="Currency"/>
    <tableColumn id="3270" xr3:uid="{D14EE8BD-DD2C-4B0A-8883-E5C0CB8C4676}" name="25239" dataDxfId="515" dataCellStyle="Currency"/>
    <tableColumn id="3271" xr3:uid="{D5847043-A69D-4515-8516-F4B0212F27C4}" name="25241" dataDxfId="514" dataCellStyle="Currency"/>
    <tableColumn id="3272" xr3:uid="{83F8650F-9507-4976-A17D-F2F67ECE5940}" name="25243" dataDxfId="513" dataCellStyle="Currency"/>
    <tableColumn id="3273" xr3:uid="{E6E30701-89D4-4392-874D-6AF3F8322F6E}" name="25244" dataDxfId="512" dataCellStyle="Currency"/>
    <tableColumn id="3274" xr3:uid="{04ADC504-1287-4F02-B4E3-D02DC2261968}" name="25245" dataDxfId="511" dataCellStyle="Currency"/>
    <tableColumn id="3275" xr3:uid="{891885DC-CAA0-4879-B3C7-FA30C51DEB94}" name="25247" dataDxfId="510" dataCellStyle="Currency"/>
    <tableColumn id="3276" xr3:uid="{4BB734B7-4696-4CF4-9932-D081A5A0EB7E}" name="25248" dataDxfId="509" dataCellStyle="Currency"/>
    <tableColumn id="3277" xr3:uid="{184CBFAA-DC4E-4C59-A6BB-D9396E7F7646}" name="25251" dataDxfId="508" dataCellStyle="Currency"/>
    <tableColumn id="3278" xr3:uid="{78CE86E2-1F90-47CE-A23D-7F82F4A6B001}" name="25252" dataDxfId="507" dataCellStyle="Currency"/>
    <tableColumn id="3279" xr3:uid="{F3404C50-65F3-4A0F-A9A5-1A5C756EF453}" name="25253" dataDxfId="506" dataCellStyle="Currency"/>
    <tableColumn id="3280" xr3:uid="{51AFEDD2-EDD1-4903-BCED-325C679ED602}" name="25259" dataDxfId="505" dataCellStyle="Currency"/>
    <tableColumn id="3281" xr3:uid="{A2C766DA-C995-4717-BB2E-AC09153BDFFC}" name="25260" dataDxfId="504" dataCellStyle="Currency"/>
    <tableColumn id="3282" xr3:uid="{5D3DC18D-5ACB-4D08-B940-AD0A9A308AF2}" name="25261" dataDxfId="503" dataCellStyle="Currency"/>
    <tableColumn id="3283" xr3:uid="{577FB503-E838-44BF-B5E3-10762D589953}" name="25262" dataDxfId="502" dataCellStyle="Currency"/>
    <tableColumn id="3284" xr3:uid="{0A764640-591E-4D01-9E9B-4059D98F8BD7}" name="25264" dataDxfId="501" dataCellStyle="Currency"/>
    <tableColumn id="3285" xr3:uid="{CE818C07-EAC8-42DB-9E94-30AF6A9D5678}" name="25265" dataDxfId="500" dataCellStyle="Currency"/>
    <tableColumn id="3286" xr3:uid="{33EE3877-E49F-4490-96BC-D2FF3D5060F8}" name="25266" dataDxfId="499" dataCellStyle="Currency"/>
    <tableColumn id="3287" xr3:uid="{7D1A6F4B-15F3-49A7-9D38-78C19441CA58}" name="25267" dataDxfId="498" dataCellStyle="Currency"/>
    <tableColumn id="3288" xr3:uid="{AAA5E8DC-8BB8-486A-8BD0-5090B7C96693}" name="25268" dataDxfId="497" dataCellStyle="Currency"/>
    <tableColumn id="3289" xr3:uid="{B71CEFEF-6088-4B59-9BBC-574C716FADE1}" name="25270" dataDxfId="496" dataCellStyle="Currency"/>
    <tableColumn id="3290" xr3:uid="{A18966D1-8353-44AE-AB74-A1E53F3EF666}" name="25271" dataDxfId="495" dataCellStyle="Currency"/>
    <tableColumn id="3291" xr3:uid="{140530C2-62BE-45F4-9328-EAB5C43F77E4}" name="25275" dataDxfId="494" dataCellStyle="Currency"/>
    <tableColumn id="3292" xr3:uid="{8AE69B10-E72C-4379-A621-C4C8A4E85E82}" name="25276" dataDxfId="493" dataCellStyle="Currency"/>
    <tableColumn id="3293" xr3:uid="{91490558-8D0C-4B95-8CB1-3D750C6F2E73}" name="25285" dataDxfId="492" dataCellStyle="Currency"/>
    <tableColumn id="3294" xr3:uid="{4C537B9B-1132-451B-B5B9-FAE539935259}" name="25286" dataDxfId="491" dataCellStyle="Currency"/>
    <tableColumn id="3295" xr3:uid="{A40E7858-C175-4A8B-95E4-605D522A3F77}" name="25287" dataDxfId="490" dataCellStyle="Currency"/>
    <tableColumn id="3296" xr3:uid="{7CFCB383-3CBC-495B-B218-80CF98E53E2E}" name="25301" dataDxfId="489" dataCellStyle="Currency"/>
    <tableColumn id="3297" xr3:uid="{A3ECF333-2FE1-44B7-A686-3D0550DF459D}" name="25302" dataDxfId="488" dataCellStyle="Currency"/>
    <tableColumn id="3298" xr3:uid="{7B9D24BE-98C6-4B50-8586-144D260940AF}" name="25303" dataDxfId="487" dataCellStyle="Currency"/>
    <tableColumn id="3299" xr3:uid="{6557A5E7-A3CA-4A89-AEC6-6D686AAE6E99}" name="25304" dataDxfId="486" dataCellStyle="Currency"/>
    <tableColumn id="3300" xr3:uid="{C405A9E9-9BE8-4B81-89E7-BA18759F37BF}" name="25305" dataDxfId="485" dataCellStyle="Currency"/>
    <tableColumn id="3301" xr3:uid="{FAF613F6-F602-4AB2-A9DC-419F6CDB1E18}" name="25306" dataDxfId="484" dataCellStyle="Currency"/>
    <tableColumn id="3302" xr3:uid="{2E4677EE-BF8E-46CE-AE9D-C9DBAAC49C7C}" name="25309" dataDxfId="483" dataCellStyle="Currency"/>
    <tableColumn id="3303" xr3:uid="{4DD3F240-5A4B-4236-B1E0-25AAFB7E97F5}" name="25311" dataDxfId="482" dataCellStyle="Currency"/>
    <tableColumn id="3304" xr3:uid="{1E8FCC85-63D6-412D-9A50-5FB4F0A12D3F}" name="25312" dataDxfId="481" dataCellStyle="Currency"/>
    <tableColumn id="3305" xr3:uid="{89FA9B98-3A0A-4FE9-B6C3-680E26896D4F}" name="25313" dataDxfId="480" dataCellStyle="Currency"/>
    <tableColumn id="3306" xr3:uid="{B719C88F-2453-4E2F-A074-912053CE395D}" name="25314" dataDxfId="479" dataCellStyle="Currency"/>
    <tableColumn id="3307" xr3:uid="{AA683E0F-3D51-423E-83CB-DA77164D806E}" name="25315" dataDxfId="478" dataCellStyle="Currency"/>
    <tableColumn id="3308" xr3:uid="{807A9CD2-16B8-4030-9800-D4079B67938F}" name="25320" dataDxfId="477" dataCellStyle="Currency"/>
    <tableColumn id="3309" xr3:uid="{A101F3C5-7E1A-486D-A098-98F4A627A5C4}" name="25387" dataDxfId="476" dataCellStyle="Currency"/>
    <tableColumn id="3310" xr3:uid="{DEE5E0F0-1B65-4E90-B350-988A6F53F13B}" name="25401" dataDxfId="475" dataCellStyle="Currency"/>
    <tableColumn id="3311" xr3:uid="{3DD80317-3CEF-4793-8DE5-3772395173F7}" name="25403" dataDxfId="474" dataCellStyle="Currency"/>
    <tableColumn id="3312" xr3:uid="{C3616BAA-66BD-495D-B8A3-6D15784D6706}" name="25404" dataDxfId="473" dataCellStyle="Currency"/>
    <tableColumn id="3313" xr3:uid="{9218F372-00CA-4147-BBB4-C7FC583A5C27}" name="25405" dataDxfId="472" dataCellStyle="Currency"/>
    <tableColumn id="3314" xr3:uid="{A2822FD5-5854-452E-8C8D-1ACD6A098BCE}" name="25411" dataDxfId="471" dataCellStyle="Currency"/>
    <tableColumn id="3315" xr3:uid="{AE4B9E1B-FD9B-41BD-A2DA-33FF29313CF6}" name="25413" dataDxfId="470" dataCellStyle="Currency"/>
    <tableColumn id="3316" xr3:uid="{8577A1ED-0486-42C9-80F1-0E3FD84BDE7C}" name="25414" dataDxfId="469" dataCellStyle="Currency"/>
    <tableColumn id="3317" xr3:uid="{4881C5B7-0946-4284-9A94-D5B888413D9A}" name="25419" dataDxfId="468" dataCellStyle="Currency"/>
    <tableColumn id="3318" xr3:uid="{A7A5A2D2-C24D-4922-AFD5-866D43386C01}" name="25420" dataDxfId="467" dataCellStyle="Currency"/>
    <tableColumn id="3319" xr3:uid="{08F8686F-DC12-4CAE-850B-31B1E821FFCF}" name="25421" dataDxfId="466" dataCellStyle="Currency"/>
    <tableColumn id="3320" xr3:uid="{6F013B27-25D2-4C3E-86D2-897B88E3FD19}" name="25422" dataDxfId="465" dataCellStyle="Currency"/>
    <tableColumn id="3321" xr3:uid="{8F7C6A00-4A57-4232-A206-F9C315855E56}" name="25425" dataDxfId="464" dataCellStyle="Currency"/>
    <tableColumn id="3322" xr3:uid="{B20652F8-123F-4325-8A7D-12922E10E6B0}" name="25427" dataDxfId="463" dataCellStyle="Currency"/>
    <tableColumn id="3323" xr3:uid="{C4AD8A5E-4212-4E50-BF7C-459FB77AB98A}" name="25428" dataDxfId="462" dataCellStyle="Currency"/>
    <tableColumn id="3324" xr3:uid="{45774DD4-24B7-407B-B2A0-088688DE7F56}" name="25430" dataDxfId="461" dataCellStyle="Currency"/>
    <tableColumn id="3325" xr3:uid="{1CBBA1C4-F1B1-4802-8754-CD20E69AE4C9}" name="25431" dataDxfId="460" dataCellStyle="Currency"/>
    <tableColumn id="3326" xr3:uid="{211C1F39-67A7-4EEB-9963-1AD96EF530D1}" name="25432" dataDxfId="459" dataCellStyle="Currency"/>
    <tableColumn id="3327" xr3:uid="{23D29C2D-779D-449A-9401-7D233C211885}" name="25434" dataDxfId="458" dataCellStyle="Currency"/>
    <tableColumn id="3328" xr3:uid="{3C4058AB-1580-4614-8CF3-D10ED70EDFD1}" name="25437" dataDxfId="457" dataCellStyle="Currency"/>
    <tableColumn id="3329" xr3:uid="{3B759435-4BD7-4449-8392-438AA105F5C2}" name="25438" dataDxfId="456" dataCellStyle="Currency"/>
    <tableColumn id="3330" xr3:uid="{C652C800-6852-48DF-B529-29A4EFA0AF39}" name="25442" dataDxfId="455" dataCellStyle="Currency"/>
    <tableColumn id="3331" xr3:uid="{CA93962E-71EB-41B3-86C8-05A7EE1D37D7}" name="25443" dataDxfId="454" dataCellStyle="Currency"/>
    <tableColumn id="3332" xr3:uid="{6B27224E-B6FE-45D2-902B-B97B32FE74EF}" name="25444" dataDxfId="453" dataCellStyle="Currency"/>
    <tableColumn id="3333" xr3:uid="{E9C2CFD8-764B-4724-B030-625745144DC2}" name="25446" dataDxfId="452" dataCellStyle="Currency"/>
    <tableColumn id="3334" xr3:uid="{5180CB9D-A6E9-4536-A5B8-E9FBBA389EE5}" name="25501" dataDxfId="451" dataCellStyle="Currency"/>
    <tableColumn id="3335" xr3:uid="{30F07B0E-5E92-48A6-8DFF-456F337B6105}" name="25502" dataDxfId="450" dataCellStyle="Currency"/>
    <tableColumn id="3336" xr3:uid="{398A9CE9-21EE-47AE-9BE9-C679F9485612}" name="25503" dataDxfId="449" dataCellStyle="Currency"/>
    <tableColumn id="3337" xr3:uid="{78D6238E-D14D-4AD3-99F8-6C65B4656F9B}" name="25504" dataDxfId="448" dataCellStyle="Currency"/>
    <tableColumn id="3338" xr3:uid="{50671FFF-9035-4EED-9961-D7CF81556B21}" name="25505" dataDxfId="447" dataCellStyle="Currency"/>
    <tableColumn id="3339" xr3:uid="{C7B835BA-61A9-41BE-9119-738E1F5B8D6A}" name="25506" dataDxfId="446" dataCellStyle="Currency"/>
    <tableColumn id="3340" xr3:uid="{0CE7F126-0342-4A28-BE9F-FFC81911E11A}" name="25507" dataDxfId="445" dataCellStyle="Currency"/>
    <tableColumn id="3341" xr3:uid="{113DAC5A-3B33-4761-A852-140B3B878409}" name="25508" dataDxfId="444" dataCellStyle="Currency"/>
    <tableColumn id="3342" xr3:uid="{04429CF0-9324-4F41-B3AD-3892B241FC82}" name="25510" dataDxfId="443" dataCellStyle="Currency"/>
    <tableColumn id="3343" xr3:uid="{54BC418C-2C8B-4AAC-8050-9B480BABDFF6}" name="25511" dataDxfId="442" dataCellStyle="Currency"/>
    <tableColumn id="3344" xr3:uid="{598383A1-829E-4069-9798-DA0A0B44B6A0}" name="25512" dataDxfId="441" dataCellStyle="Currency"/>
    <tableColumn id="3345" xr3:uid="{32C2CA5A-71BE-438F-B33D-E561F5C059B4}" name="25514" dataDxfId="440" dataCellStyle="Currency"/>
    <tableColumn id="3346" xr3:uid="{63082F28-8D8E-43C6-B8AE-0D0474DE8405}" name="25515" dataDxfId="439" dataCellStyle="Currency"/>
    <tableColumn id="3347" xr3:uid="{6A4C1CC7-028D-49DD-AAFD-9929B7C13185}" name="25517" dataDxfId="438" dataCellStyle="Currency"/>
    <tableColumn id="3348" xr3:uid="{BCA8EB17-371E-48F9-839F-15C539DC7DDB}" name="25520" dataDxfId="437" dataCellStyle="Currency"/>
    <tableColumn id="3349" xr3:uid="{7E683928-6B64-4BE2-BD4C-509AC5D98CB0}" name="25521" dataDxfId="436" dataCellStyle="Currency"/>
    <tableColumn id="3350" xr3:uid="{181E2BF1-A7FF-41B2-8854-6461B8F381B8}" name="25523" dataDxfId="435" dataCellStyle="Currency"/>
    <tableColumn id="3351" xr3:uid="{78171FEC-089E-4DE4-99C3-9E47FE4E9E26}" name="25524" dataDxfId="434" dataCellStyle="Currency"/>
    <tableColumn id="3352" xr3:uid="{EDB82D8E-F8FB-4FC6-8B18-278186D699F4}" name="25526" dataDxfId="433" dataCellStyle="Currency"/>
    <tableColumn id="3353" xr3:uid="{79CC4FA8-6D72-4602-9147-C63C887A72EC}" name="25529" dataDxfId="432" dataCellStyle="Currency"/>
    <tableColumn id="3354" xr3:uid="{3597EED5-9D80-4712-8C57-285E4B239267}" name="25530" dataDxfId="431" dataCellStyle="Currency"/>
    <tableColumn id="3355" xr3:uid="{8A026EC7-F3DB-4FBF-81D2-3D18849B7A56}" name="25534" dataDxfId="430" dataCellStyle="Currency"/>
    <tableColumn id="3356" xr3:uid="{AB3B5850-9712-429E-A0B1-DFA9055D7E85}" name="25535" dataDxfId="429" dataCellStyle="Currency"/>
    <tableColumn id="3357" xr3:uid="{BEAFB266-CC0E-493E-9CC7-AB504EF1EAD9}" name="25537" dataDxfId="428" dataCellStyle="Currency"/>
    <tableColumn id="3358" xr3:uid="{50828386-A3D1-40E2-A7EA-615EBBC12DB4}" name="25540" dataDxfId="427" dataCellStyle="Currency"/>
    <tableColumn id="3359" xr3:uid="{07356D7B-39C4-495D-B104-733371B16F6F}" name="25541" dataDxfId="426" dataCellStyle="Currency"/>
    <tableColumn id="3360" xr3:uid="{308A19F2-A229-48B0-B713-2FAEEEB0B9ED}" name="25544" dataDxfId="425" dataCellStyle="Currency"/>
    <tableColumn id="3361" xr3:uid="{28F1A43A-2A1C-4BC8-AE91-A671FEC4F8FD}" name="25545" dataDxfId="424" dataCellStyle="Currency"/>
    <tableColumn id="3362" xr3:uid="{CEA3B2D8-5E9B-42BB-BDD4-BA27A23259EF}" name="25547" dataDxfId="423" dataCellStyle="Currency"/>
    <tableColumn id="3363" xr3:uid="{6B035D9B-6655-4893-8D33-A2EF6EAB28B0}" name="25550" dataDxfId="422" dataCellStyle="Currency"/>
    <tableColumn id="3364" xr3:uid="{01ABCBF5-D148-4399-8CCB-772FAF86027F}" name="25555" dataDxfId="421" dataCellStyle="Currency"/>
    <tableColumn id="3365" xr3:uid="{4C6FC6FB-67A7-4661-9EFB-51FD76AF4CAF}" name="25557" dataDxfId="420" dataCellStyle="Currency"/>
    <tableColumn id="3366" xr3:uid="{89A17ABB-BA7D-4372-A472-BCDA9AE33FAD}" name="25559" dataDxfId="419" dataCellStyle="Currency"/>
    <tableColumn id="3367" xr3:uid="{087E707E-7B4F-4C12-B29C-753F7CECE47D}" name="25560" dataDxfId="418" dataCellStyle="Currency"/>
    <tableColumn id="3368" xr3:uid="{C06B5775-B8DF-4CC7-8C32-C3910BAF3055}" name="25564" dataDxfId="417" dataCellStyle="Currency"/>
    <tableColumn id="3369" xr3:uid="{594E4521-0B42-4C75-84F4-8E6A3056B5B0}" name="25565" dataDxfId="416" dataCellStyle="Currency"/>
    <tableColumn id="3370" xr3:uid="{129DE0BD-68AB-4647-BDC9-569F13173650}" name="25567" dataDxfId="415" dataCellStyle="Currency"/>
    <tableColumn id="3371" xr3:uid="{E558195F-9446-4328-9870-4AE26F3110F4}" name="25570" dataDxfId="414" dataCellStyle="Currency"/>
    <tableColumn id="3372" xr3:uid="{A3735CDE-7BD6-4E57-8629-097AA502DF09}" name="25571" dataDxfId="413" dataCellStyle="Currency"/>
    <tableColumn id="3373" xr3:uid="{3C302928-9730-483E-97C9-CFA6AFCE6568}" name="25573" dataDxfId="412" dataCellStyle="Currency"/>
    <tableColumn id="3374" xr3:uid="{8DF26BF7-8920-4905-B3E5-3B01BDA0BA31}" name="25601" dataDxfId="411" dataCellStyle="Currency"/>
    <tableColumn id="3375" xr3:uid="{40985936-1475-454D-A79E-158CDC3A29D7}" name="25606" dataDxfId="410" dataCellStyle="Currency"/>
    <tableColumn id="3376" xr3:uid="{47D8D9AD-C9E1-40B0-8B85-3C7F128F6012}" name="25607" dataDxfId="409" dataCellStyle="Currency"/>
    <tableColumn id="3377" xr3:uid="{F6C29E96-359B-4CBF-A5A4-6E45DA7D97D7}" name="25608" dataDxfId="408" dataCellStyle="Currency"/>
    <tableColumn id="3378" xr3:uid="{E9AFCD24-E8E3-4C09-A800-EC60FFC9F364}" name="25611" dataDxfId="407" dataCellStyle="Currency"/>
    <tableColumn id="3379" xr3:uid="{86C4AA8E-0B6A-4A8D-A200-82153D661F15}" name="25612" dataDxfId="406" dataCellStyle="Currency"/>
    <tableColumn id="3380" xr3:uid="{C7588557-E1AF-4F4D-BD27-3CE1131115FA}" name="25617" dataDxfId="405" dataCellStyle="Currency"/>
    <tableColumn id="3381" xr3:uid="{D80F613B-EBB5-4B8C-8779-75C960E753AC}" name="25621" dataDxfId="404" dataCellStyle="Currency"/>
    <tableColumn id="3382" xr3:uid="{0EA6F33A-9279-4170-9D22-8EF84118B36F}" name="25624" dataDxfId="403" dataCellStyle="Currency"/>
    <tableColumn id="3383" xr3:uid="{BA5A0158-9295-4AFB-9086-CCA5826869F8}" name="25625" dataDxfId="402" dataCellStyle="Currency"/>
    <tableColumn id="3384" xr3:uid="{A1FF14C5-6F02-4ED4-9649-A87B0FB70C89}" name="25628" dataDxfId="401" dataCellStyle="Currency"/>
    <tableColumn id="3385" xr3:uid="{C56C5DD0-CE5B-4556-B607-EE55D6EC416D}" name="25630" dataDxfId="400" dataCellStyle="Currency"/>
    <tableColumn id="3386" xr3:uid="{78256F7D-5C06-4FD6-8A10-A6B3A9872AA4}" name="25632" dataDxfId="399" dataCellStyle="Currency"/>
    <tableColumn id="3387" xr3:uid="{9717A1F8-CEF1-4511-9100-F4B7E5E84630}" name="25634" dataDxfId="398" dataCellStyle="Currency"/>
    <tableColumn id="3388" xr3:uid="{36EC3A53-3BB4-4486-AFB0-661521DDAADE}" name="25635" dataDxfId="397" dataCellStyle="Currency"/>
    <tableColumn id="3389" xr3:uid="{27DCFD30-41F9-4815-8CBA-0F07971BA191}" name="25637" dataDxfId="396" dataCellStyle="Currency"/>
    <tableColumn id="3390" xr3:uid="{D493FC3F-3FD3-49B9-90E7-6953D4A42F8A}" name="25638" dataDxfId="395" dataCellStyle="Currency"/>
    <tableColumn id="3391" xr3:uid="{5203EE7E-DDC7-45B4-A75A-43D0DB9FFF3F}" name="25639" dataDxfId="394" dataCellStyle="Currency"/>
    <tableColumn id="3392" xr3:uid="{49071A20-7C02-42E3-88BE-C70682E9F641}" name="25644" dataDxfId="393" dataCellStyle="Currency"/>
    <tableColumn id="3393" xr3:uid="{AE2E1A72-345B-4176-8BAF-F256CFEFA612}" name="25646" dataDxfId="392" dataCellStyle="Currency"/>
    <tableColumn id="3394" xr3:uid="{EA020CF6-90C8-4BA4-960F-529890495F90}" name="25647" dataDxfId="391" dataCellStyle="Currency"/>
    <tableColumn id="3395" xr3:uid="{3E647A30-134E-4D81-926E-61D915E6B5FD}" name="25649" dataDxfId="390" dataCellStyle="Currency"/>
    <tableColumn id="3396" xr3:uid="{4AC024ED-5A25-4D0D-B92D-92C8ACABA2FE}" name="25650" dataDxfId="389" dataCellStyle="Currency"/>
    <tableColumn id="3397" xr3:uid="{4669DB09-4A32-4934-849C-8D6FCCD051CF}" name="25651" dataDxfId="388" dataCellStyle="Currency"/>
    <tableColumn id="3398" xr3:uid="{26FE5E31-0D4A-4839-ABD8-1F512F379A0B}" name="25652" dataDxfId="387" dataCellStyle="Currency"/>
    <tableColumn id="3399" xr3:uid="{02AAD81E-E43D-4DEE-99AE-8BB9F5E17629}" name="25653" dataDxfId="386" dataCellStyle="Currency"/>
    <tableColumn id="3400" xr3:uid="{088DC6D0-A97D-49A1-BB9A-4DB4BD559714}" name="25654" dataDxfId="385" dataCellStyle="Currency"/>
    <tableColumn id="3401" xr3:uid="{B52228C1-E87F-47EA-B04C-0EB8A9D6A19B}" name="25661" dataDxfId="384" dataCellStyle="Currency"/>
    <tableColumn id="3402" xr3:uid="{F31695BC-7364-452F-A356-15503190998C}" name="25666" dataDxfId="383" dataCellStyle="Currency"/>
    <tableColumn id="3403" xr3:uid="{C1D94A93-2FC8-41A7-8A92-40B52FF5AE4E}" name="25667" dataDxfId="382" dataCellStyle="Currency"/>
    <tableColumn id="3404" xr3:uid="{F3064416-1ABD-48E7-A6FF-D8B3F15BAC8A}" name="25669" dataDxfId="381" dataCellStyle="Currency"/>
    <tableColumn id="3405" xr3:uid="{A3FE7558-5A41-4F09-BD32-1D3917282A07}" name="25670" dataDxfId="380" dataCellStyle="Currency"/>
    <tableColumn id="3406" xr3:uid="{BDFA8530-54A2-46F8-B07F-1984A0F28AEC}" name="25671" dataDxfId="379" dataCellStyle="Currency"/>
    <tableColumn id="3407" xr3:uid="{E22C4514-1F0B-4BC1-AFE4-D320867F1AFB}" name="25672" dataDxfId="378" dataCellStyle="Currency"/>
    <tableColumn id="3408" xr3:uid="{270B9AD2-42ED-4409-99FE-90D206F44DD6}" name="25674" dataDxfId="377" dataCellStyle="Currency"/>
    <tableColumn id="3409" xr3:uid="{CBE2CAA9-4AF3-4480-975A-555684CA5392}" name="25676" dataDxfId="376" dataCellStyle="Currency"/>
    <tableColumn id="3410" xr3:uid="{B14788A3-3BB9-439F-84E6-46C91ABE447B}" name="25678" dataDxfId="375" dataCellStyle="Currency"/>
    <tableColumn id="3411" xr3:uid="{24C9A826-6208-4190-BE89-F45C705FFD27}" name="25685" dataDxfId="374" dataCellStyle="Currency"/>
    <tableColumn id="3412" xr3:uid="{D784CEB2-72B8-4953-9870-FE83C3D2F187}" name="25688" dataDxfId="373" dataCellStyle="Currency"/>
    <tableColumn id="3413" xr3:uid="{91661A4D-3FE9-4321-AEEC-D7365BAF0E5C}" name="25690" dataDxfId="372" dataCellStyle="Currency"/>
    <tableColumn id="3414" xr3:uid="{4BFDC55D-268F-48A8-9D33-F577DEEE20DD}" name="25692" dataDxfId="371" dataCellStyle="Currency"/>
    <tableColumn id="3415" xr3:uid="{461627E4-7D6E-4921-93D5-C75CC3A6ECEE}" name="25696" dataDxfId="370" dataCellStyle="Currency"/>
    <tableColumn id="3416" xr3:uid="{6F16542C-91DF-4D40-B864-84556BD99D6E}" name="25699" dataDxfId="369" dataCellStyle="Currency"/>
    <tableColumn id="3417" xr3:uid="{4766BB79-63B4-4BDC-BF95-DD0FC3E1029C}" name="25701" dataDxfId="368" dataCellStyle="Currency"/>
    <tableColumn id="3418" xr3:uid="{B8BE1414-DDFD-43D8-9244-6A4574AB41D2}" name="25702" dataDxfId="367" dataCellStyle="Currency"/>
    <tableColumn id="3419" xr3:uid="{45175FC6-867B-4EB0-88DA-F7A6ADCA2315}" name="25703" dataDxfId="366" dataCellStyle="Currency"/>
    <tableColumn id="3420" xr3:uid="{CFEFAA46-43C0-4D77-8A65-D00F98B25733}" name="25704" dataDxfId="365" dataCellStyle="Currency"/>
    <tableColumn id="3421" xr3:uid="{C1D43B18-1466-498F-B0C0-F5EA619A1DBB}" name="25705" dataDxfId="364" dataCellStyle="Currency"/>
    <tableColumn id="3422" xr3:uid="{A0E6749E-B239-426D-951D-D7806F768A36}" name="25755" dataDxfId="363" dataCellStyle="Currency"/>
    <tableColumn id="3423" xr3:uid="{A40A640C-33E9-40D6-871C-383F06375372}" name="25801" dataDxfId="362" dataCellStyle="Currency"/>
    <tableColumn id="3424" xr3:uid="{C586FC19-5DC2-44EE-8D1D-C288F47F39C7}" name="25810" dataDxfId="361" dataCellStyle="Currency"/>
    <tableColumn id="3425" xr3:uid="{96186FA6-5C51-4AAB-B5F1-0E399CFC7899}" name="25811" dataDxfId="360" dataCellStyle="Currency"/>
    <tableColumn id="3426" xr3:uid="{D9CD6EBD-11CF-47B0-A92C-8389CCBF29D3}" name="25812" dataDxfId="359" dataCellStyle="Currency"/>
    <tableColumn id="3427" xr3:uid="{C0FA3685-A0E1-4187-B562-21DE80A4033A}" name="25813" dataDxfId="358" dataCellStyle="Currency"/>
    <tableColumn id="3428" xr3:uid="{D4C4864C-F0E3-4D93-971D-A3700ECCEE0E}" name="25817" dataDxfId="357" dataCellStyle="Currency"/>
    <tableColumn id="3429" xr3:uid="{3F255A13-CB13-4B31-B576-9CA3333739C2}" name="25818" dataDxfId="356" dataCellStyle="Currency"/>
    <tableColumn id="3430" xr3:uid="{954D22E7-0F66-4AD3-BACC-EC7A120DC173}" name="25820" dataDxfId="355" dataCellStyle="Currency"/>
    <tableColumn id="3431" xr3:uid="{041A8855-64E3-45F9-807B-9E82DBA24E23}" name="25823" dataDxfId="354" dataCellStyle="Currency"/>
    <tableColumn id="3432" xr3:uid="{38150D98-4976-4DC6-9D7F-CD4FABA7925B}" name="25825" dataDxfId="353" dataCellStyle="Currency"/>
    <tableColumn id="3433" xr3:uid="{94F14A1E-06A3-4CEC-B00D-5D60A9AF754C}" name="25826" dataDxfId="352" dataCellStyle="Currency"/>
    <tableColumn id="3434" xr3:uid="{FBCB79A2-55EB-4CB2-B23E-26B5F4A064D3}" name="25827" dataDxfId="351" dataCellStyle="Currency"/>
    <tableColumn id="3435" xr3:uid="{35BCD1C6-4D74-435E-871C-1B5972B9C9A7}" name="25831" dataDxfId="350" dataCellStyle="Currency"/>
    <tableColumn id="3436" xr3:uid="{CC374127-5176-472C-8380-7E9E9BF1C58E}" name="25832" dataDxfId="349" dataCellStyle="Currency"/>
    <tableColumn id="3437" xr3:uid="{D3FE9939-D1E2-40D7-8B10-C18016F85E58}" name="25836" dataDxfId="348" dataCellStyle="Currency"/>
    <tableColumn id="3438" xr3:uid="{1CB3C64D-D53E-4F77-B19A-B07A08EDECE3}" name="25837" dataDxfId="347" dataCellStyle="Currency"/>
    <tableColumn id="3439" xr3:uid="{19895AB6-870C-449D-A001-F5D6CC6F5638}" name="25839" dataDxfId="346" dataCellStyle="Currency"/>
    <tableColumn id="3440" xr3:uid="{16B42A8E-9A9E-4C95-B88E-CDF7D84A0A6C}" name="25840" dataDxfId="345" dataCellStyle="Currency"/>
    <tableColumn id="3441" xr3:uid="{F58FC402-0003-4141-A2BA-57FBEF6582E9}" name="25841" dataDxfId="344" dataCellStyle="Currency"/>
    <tableColumn id="3442" xr3:uid="{01529A72-6872-4165-AEF6-E34D52D43879}" name="25843" dataDxfId="343" dataCellStyle="Currency"/>
    <tableColumn id="3443" xr3:uid="{175ED467-3DB4-4B95-BF44-D1F8EBF22C78}" name="25844" dataDxfId="342" dataCellStyle="Currency"/>
    <tableColumn id="3444" xr3:uid="{50A49C32-A7E8-4E62-8BF7-8C9F69B7A923}" name="25845" dataDxfId="341" dataCellStyle="Currency"/>
    <tableColumn id="3445" xr3:uid="{223C4689-C6B5-449A-B023-B55F81236D71}" name="25846" dataDxfId="340" dataCellStyle="Currency"/>
    <tableColumn id="3446" xr3:uid="{D17E65B4-5D85-4305-A779-1036FA5B8D59}" name="25848" dataDxfId="339" dataCellStyle="Currency"/>
    <tableColumn id="3447" xr3:uid="{0D8883D0-9794-445E-ABBB-EA83577CF3D7}" name="25849" dataDxfId="338" dataCellStyle="Currency"/>
    <tableColumn id="3448" xr3:uid="{27B3AA8C-26F8-4C00-9D82-C7C37FB33EA1}" name="25851" dataDxfId="337" dataCellStyle="Currency"/>
    <tableColumn id="3449" xr3:uid="{F8DA55CB-61FF-4860-A5ED-9BADDADA21F2}" name="25853" dataDxfId="336" dataCellStyle="Currency"/>
    <tableColumn id="3450" xr3:uid="{A995F911-B4DD-4861-B690-3AD4824AFA4A}" name="25854" dataDxfId="335" dataCellStyle="Currency"/>
    <tableColumn id="3451" xr3:uid="{5CDEBF30-54C6-4EFF-8A76-2C09308EDCE1}" name="25855" dataDxfId="334" dataCellStyle="Currency"/>
    <tableColumn id="3452" xr3:uid="{68859E7C-48FE-40C6-9034-337E8B8EB463}" name="25857" dataDxfId="333" dataCellStyle="Currency"/>
    <tableColumn id="3453" xr3:uid="{D57E49FB-08CD-4746-BDA6-CC83539956F4}" name="25862" dataDxfId="332" dataCellStyle="Currency"/>
    <tableColumn id="3454" xr3:uid="{818EE930-7D5B-4F74-A92A-F49BE62B8B76}" name="25864" dataDxfId="331" dataCellStyle="Currency"/>
    <tableColumn id="3455" xr3:uid="{FF0773E6-669B-493E-B414-6365D017A133}" name="25865" dataDxfId="330" dataCellStyle="Currency"/>
    <tableColumn id="3456" xr3:uid="{62900BFE-928A-4D23-B8C0-B68B279E5115}" name="25866" dataDxfId="329" dataCellStyle="Currency"/>
    <tableColumn id="3457" xr3:uid="{984E4A69-3D79-44AF-BBB3-63B4E2836495}" name="25868" dataDxfId="328" dataCellStyle="Currency"/>
    <tableColumn id="3458" xr3:uid="{8FB6384D-D2C7-473D-8C50-2ACF493CDA1F}" name="25870" dataDxfId="327" dataCellStyle="Currency"/>
    <tableColumn id="3459" xr3:uid="{5789EEDC-C5FD-40E3-A3BD-1A59AE6A5ED9}" name="25871" dataDxfId="326" dataCellStyle="Currency"/>
    <tableColumn id="3460" xr3:uid="{BBE10D1A-8B53-4F48-8AEB-9D435329D099}" name="25873" dataDxfId="325" dataCellStyle="Currency"/>
    <tableColumn id="3461" xr3:uid="{6F35F47C-861C-4F9D-85E4-5CDE05045F30}" name="25875" dataDxfId="324" dataCellStyle="Currency"/>
    <tableColumn id="3462" xr3:uid="{0EDF1E76-F217-4CD1-9891-1B137AB599F4}" name="25876" dataDxfId="323" dataCellStyle="Currency"/>
    <tableColumn id="3463" xr3:uid="{6778A1E2-74D0-421D-8BE8-8F524E8186EC}" name="25878" dataDxfId="322" dataCellStyle="Currency"/>
    <tableColumn id="3464" xr3:uid="{DB6281A4-A856-414C-A3D8-2DB81064B107}" name="25879" dataDxfId="321" dataCellStyle="Currency"/>
    <tableColumn id="3465" xr3:uid="{2EECFE78-F0AB-4EE5-BAFD-F7BA552109D2}" name="25880" dataDxfId="320" dataCellStyle="Currency"/>
    <tableColumn id="3466" xr3:uid="{6A4CF46B-AE42-4129-A8C1-1D9DD1B9A492}" name="25882" dataDxfId="319" dataCellStyle="Currency"/>
    <tableColumn id="3467" xr3:uid="{FC1D3E9C-5FF2-40D8-8E4E-0BF55774F1EE}" name="25901" dataDxfId="318" dataCellStyle="Currency"/>
    <tableColumn id="3468" xr3:uid="{6EDE6D4A-E061-4229-A1AF-E93DE8BF4F23}" name="25902" dataDxfId="317" dataCellStyle="Currency"/>
    <tableColumn id="3469" xr3:uid="{80502E2B-43B2-405E-BB4B-B63EA100ACED}" name="25904" dataDxfId="316" dataCellStyle="Currency"/>
    <tableColumn id="3470" xr3:uid="{7B299BE9-F76D-4E76-B5A3-F499E321C76D}" name="25907" dataDxfId="315" dataCellStyle="Currency"/>
    <tableColumn id="3471" xr3:uid="{A5941771-F59C-494D-8847-55321A3C2C3F}" name="25908" dataDxfId="314" dataCellStyle="Currency"/>
    <tableColumn id="3472" xr3:uid="{D9A12C64-D505-47DF-B05F-78D61D18996D}" name="25909" dataDxfId="313" dataCellStyle="Currency"/>
    <tableColumn id="3473" xr3:uid="{99AAF647-EF96-45A4-B841-53C86CC8A97B}" name="25911" dataDxfId="312" dataCellStyle="Currency"/>
    <tableColumn id="3474" xr3:uid="{3B4B245F-051D-4A67-BFE7-5928420826D4}" name="25913" dataDxfId="311" dataCellStyle="Currency"/>
    <tableColumn id="3475" xr3:uid="{5D31CBED-C149-4030-B297-45F353CBDC85}" name="25915" dataDxfId="310" dataCellStyle="Currency"/>
    <tableColumn id="3476" xr3:uid="{C9C6C635-01B7-4251-8805-4397CF9BB133}" name="25916" dataDxfId="309" dataCellStyle="Currency"/>
    <tableColumn id="3477" xr3:uid="{D01E61DF-B50B-4159-86EC-3E8972C9F4D9}" name="25917" dataDxfId="308" dataCellStyle="Currency"/>
    <tableColumn id="3478" xr3:uid="{E16EBF16-2944-4A6C-ACDB-DF6A2B68273E}" name="25918" dataDxfId="307" dataCellStyle="Currency"/>
    <tableColumn id="3479" xr3:uid="{6D0C5DC8-44CB-4491-9A0F-60B07C8516DD}" name="25920" dataDxfId="306" dataCellStyle="Currency"/>
    <tableColumn id="3480" xr3:uid="{062C0FEC-047A-4A6D-B299-38029BB517ED}" name="25921" dataDxfId="305" dataCellStyle="Currency"/>
    <tableColumn id="3481" xr3:uid="{DD851632-1415-40F9-9B0E-72CFAFAE2B18}" name="25922" dataDxfId="304" dataCellStyle="Currency"/>
    <tableColumn id="3482" xr3:uid="{072F6614-4A8D-4600-84F0-653BB6B35675}" name="25928" dataDxfId="303" dataCellStyle="Currency"/>
    <tableColumn id="3483" xr3:uid="{DEBA33AD-104C-40D7-907F-C14470A3E0A4}" name="25932" dataDxfId="302" dataCellStyle="Currency"/>
    <tableColumn id="3484" xr3:uid="{906F3362-72F7-42DE-B06A-B35DA7AA2E68}" name="25936" dataDxfId="301" dataCellStyle="Currency"/>
    <tableColumn id="3485" xr3:uid="{D46F62B3-423A-4FB3-897A-989D66B0B94F}" name="25938" dataDxfId="300" dataCellStyle="Currency"/>
    <tableColumn id="3486" xr3:uid="{165BFAD9-871B-42C5-B38E-BE99512FA639}" name="25942" dataDxfId="299" dataCellStyle="Currency"/>
    <tableColumn id="3487" xr3:uid="{914826A2-54EA-49C3-B652-E89CE5BD1A15}" name="25943" dataDxfId="298" dataCellStyle="Currency"/>
    <tableColumn id="3488" xr3:uid="{B9F80D72-1F4B-43B3-B52E-A2B652543E3B}" name="25951" dataDxfId="297" dataCellStyle="Currency"/>
    <tableColumn id="3489" xr3:uid="{DE666B41-C13C-4D47-AB47-D78492825791}" name="25958" dataDxfId="296" dataCellStyle="Currency"/>
    <tableColumn id="3490" xr3:uid="{D746B804-B843-4E4C-ADB6-676FF22C5E72}" name="25962" dataDxfId="295" dataCellStyle="Currency"/>
    <tableColumn id="3491" xr3:uid="{858E6892-B5D6-4E19-8AC0-2024EE088899}" name="25966" dataDxfId="294" dataCellStyle="Currency"/>
    <tableColumn id="3492" xr3:uid="{D4F70AA7-FCCE-40FA-9399-24A8C465FC36}" name="25969" dataDxfId="293" dataCellStyle="Currency"/>
    <tableColumn id="3493" xr3:uid="{15FF8C16-A05D-439E-BCC3-0743A49F992D}" name="25971" dataDxfId="292" dataCellStyle="Currency"/>
    <tableColumn id="3494" xr3:uid="{50080903-B48B-4F4C-8CA5-639992EB71F2}" name="25972" dataDxfId="291" dataCellStyle="Currency"/>
    <tableColumn id="3495" xr3:uid="{CAEB2BC3-B98B-4E51-BF41-A36DB26A93B5}" name="25976" dataDxfId="290" dataCellStyle="Currency"/>
    <tableColumn id="3496" xr3:uid="{C09FD702-65F9-42E7-8D76-A0B5FC08411E}" name="25977" dataDxfId="289" dataCellStyle="Currency"/>
    <tableColumn id="3497" xr3:uid="{2B7BCF5C-712A-491A-B4F1-6E1EEB6689AD}" name="25978" dataDxfId="288" dataCellStyle="Currency"/>
    <tableColumn id="3498" xr3:uid="{F0747FF3-8CDD-471D-9036-07C8CFBD91C1}" name="25979" dataDxfId="287" dataCellStyle="Currency"/>
    <tableColumn id="3499" xr3:uid="{ADE4B37E-5F20-4026-9B0C-C881ECC6AC1D}" name="25981" dataDxfId="286" dataCellStyle="Currency"/>
    <tableColumn id="3500" xr3:uid="{71234B91-7C3D-4FB2-9528-2E5CAF97513C}" name="25984" dataDxfId="285" dataCellStyle="Currency"/>
    <tableColumn id="3501" xr3:uid="{34670953-3D8D-4792-93F5-BC3A7BBC3CD9}" name="25985" dataDxfId="284" dataCellStyle="Currency"/>
    <tableColumn id="3502" xr3:uid="{BD5F54A3-C5AB-43A9-A358-F4DD107507B5}" name="25986" dataDxfId="283" dataCellStyle="Currency"/>
    <tableColumn id="3503" xr3:uid="{3D1E38DA-250E-4E7D-851A-04E507B6972B}" name="25989" dataDxfId="282" dataCellStyle="Currency"/>
    <tableColumn id="3504" xr3:uid="{965652BB-D5EE-454E-AF6C-90EEBC4E9606}" name="26003" dataDxfId="281" dataCellStyle="Currency"/>
    <tableColumn id="3505" xr3:uid="{3E97619D-8596-4C7D-BA00-3981EF5FE661}" name="26030" dataDxfId="280" dataCellStyle="Currency"/>
    <tableColumn id="3506" xr3:uid="{4ED95AA1-7237-4BE0-9358-ED2E68DF96B9}" name="26031" dataDxfId="279" dataCellStyle="Currency"/>
    <tableColumn id="3507" xr3:uid="{1CDC7EE0-C647-4316-A0DC-E1BD6E18074E}" name="26032" dataDxfId="278" dataCellStyle="Currency"/>
    <tableColumn id="3508" xr3:uid="{DB11AB1F-B652-454E-92EE-B4C992AF2941}" name="26033" dataDxfId="277" dataCellStyle="Currency"/>
    <tableColumn id="3509" xr3:uid="{96ABE3D1-6F05-4CAF-9EAE-0154F7C6CCF5}" name="26034" dataDxfId="276" dataCellStyle="Currency"/>
    <tableColumn id="3510" xr3:uid="{1CB63D01-C516-42E5-9024-D4E83608C692}" name="26035" dataDxfId="275" dataCellStyle="Currency"/>
    <tableColumn id="3511" xr3:uid="{77773F80-68CB-4167-AA45-E10164E746CA}" name="26036" dataDxfId="274" dataCellStyle="Currency"/>
    <tableColumn id="3512" xr3:uid="{BF17EE27-F6C7-4300-896A-53F368FB95A0}" name="26037" dataDxfId="273" dataCellStyle="Currency"/>
    <tableColumn id="3513" xr3:uid="{7C30219E-4892-4F55-8B13-EE752E086C84}" name="26038" dataDxfId="272" dataCellStyle="Currency"/>
    <tableColumn id="3514" xr3:uid="{8534CF75-4AD5-40D3-BF90-6898C9555D3A}" name="26039" dataDxfId="271" dataCellStyle="Currency"/>
    <tableColumn id="3515" xr3:uid="{AAB7908C-14CC-488E-8415-F4A6B2925F71}" name="26040" dataDxfId="270" dataCellStyle="Currency"/>
    <tableColumn id="3516" xr3:uid="{5788A5F8-A26D-4DB1-BA63-5DFFF1FE9D44}" name="26041" dataDxfId="269" dataCellStyle="Currency"/>
    <tableColumn id="3517" xr3:uid="{705E4570-DF12-4423-9311-7BFBEAAAFF64}" name="26047" dataDxfId="268" dataCellStyle="Currency"/>
    <tableColumn id="3518" xr3:uid="{2E945A05-2D3A-473D-9117-B2DDDDE30609}" name="26050" dataDxfId="267" dataCellStyle="Currency"/>
    <tableColumn id="3519" xr3:uid="{3C3D55BD-1528-4C52-BBCC-8966AA441F82}" name="26055" dataDxfId="266" dataCellStyle="Currency"/>
    <tableColumn id="3520" xr3:uid="{89AE1D7E-9D8C-4543-A485-BFB2826391F1}" name="26056" dataDxfId="265" dataCellStyle="Currency"/>
    <tableColumn id="3521" xr3:uid="{C9B81E95-E9DD-489E-9F0E-738C26CE45CF}" name="26058" dataDxfId="264" dataCellStyle="Currency"/>
    <tableColumn id="3522" xr3:uid="{75F7649F-BB86-410F-83E0-16128C65897A}" name="26059" dataDxfId="263" dataCellStyle="Currency"/>
    <tableColumn id="3523" xr3:uid="{FFB7F882-A18B-4A01-B57A-3BE4AF99E88C}" name="26060" dataDxfId="262" dataCellStyle="Currency"/>
    <tableColumn id="3524" xr3:uid="{4A0E23B8-0434-41AA-BD07-EE70EC60919D}" name="26062" dataDxfId="261" dataCellStyle="Currency"/>
    <tableColumn id="3525" xr3:uid="{FC7E713E-686B-4133-B138-CEE70B98AE9F}" name="26070" dataDxfId="260" dataCellStyle="Currency"/>
    <tableColumn id="3526" xr3:uid="{F3F32853-21CC-464B-B19C-22BF15A147F3}" name="26074" dataDxfId="259" dataCellStyle="Currency"/>
    <tableColumn id="3527" xr3:uid="{B6D4949A-DFDA-4182-A59A-03E08419C523}" name="26075" dataDxfId="258" dataCellStyle="Currency"/>
    <tableColumn id="3528" xr3:uid="{A3954D4D-FFC2-4E0F-A26A-BA400036B83D}" name="26101" dataDxfId="257" dataCellStyle="Currency"/>
    <tableColumn id="3529" xr3:uid="{8CD82ED8-83B4-460D-8716-FB6B71A84238}" name="26104" dataDxfId="256" dataCellStyle="Currency"/>
    <tableColumn id="3530" xr3:uid="{0B9DBF6E-C263-4F43-8CE8-A368DEC1206D}" name="26105" dataDxfId="255" dataCellStyle="Currency"/>
    <tableColumn id="3531" xr3:uid="{3E88283A-040D-4B98-8F0F-6C447ACC6FC0}" name="26133" dataDxfId="254" dataCellStyle="Currency"/>
    <tableColumn id="3532" xr3:uid="{3C64E00C-45EB-4B0C-9598-5E7D099A627A}" name="26134" dataDxfId="253" dataCellStyle="Currency"/>
    <tableColumn id="3533" xr3:uid="{3D401BB9-A011-4EB8-A8AE-F3275F510E4D}" name="26136" dataDxfId="252" dataCellStyle="Currency"/>
    <tableColumn id="3534" xr3:uid="{BBD9D045-AD72-49F4-8EE6-108A1AFBD363}" name="26137" dataDxfId="251" dataCellStyle="Currency"/>
    <tableColumn id="3535" xr3:uid="{B5F8EC50-E73B-4DE1-9949-FF24A10F3519}" name="26138" dataDxfId="250" dataCellStyle="Currency"/>
    <tableColumn id="3536" xr3:uid="{6480E772-3723-4072-8AF6-4C120468C3A7}" name="26141" dataDxfId="249" dataCellStyle="Currency"/>
    <tableColumn id="3537" xr3:uid="{EAD7852E-3C54-473B-BC3C-4B9B9AD25B11}" name="26142" dataDxfId="248" dataCellStyle="Currency"/>
    <tableColumn id="3538" xr3:uid="{747C78FF-5464-4CD1-BA51-7132EA7C847C}" name="26143" dataDxfId="247" dataCellStyle="Currency"/>
    <tableColumn id="3539" xr3:uid="{6D116B44-CE44-4155-B3DB-59A99425E41A}" name="26146" dataDxfId="246" dataCellStyle="Currency"/>
    <tableColumn id="3540" xr3:uid="{069905BB-C1FA-4D47-ABB1-946703D942B6}" name="26147" dataDxfId="245" dataCellStyle="Currency"/>
    <tableColumn id="3541" xr3:uid="{B452D228-541E-46AE-B979-22263F257F23}" name="26148" dataDxfId="244" dataCellStyle="Currency"/>
    <tableColumn id="3542" xr3:uid="{5EBB9812-9608-44C0-85AD-F82A84536160}" name="26149" dataDxfId="243" dataCellStyle="Currency"/>
    <tableColumn id="3543" xr3:uid="{F14EC407-F625-4960-9BE6-1FF1C9F5EDCB}" name="26150" dataDxfId="242" dataCellStyle="Currency"/>
    <tableColumn id="3544" xr3:uid="{995C9C1E-2C8C-4D5D-87E3-4B7706FCB9AE}" name="26151" dataDxfId="241" dataCellStyle="Currency"/>
    <tableColumn id="3545" xr3:uid="{1FADE7A3-F541-4D8D-BACE-7FDE93F9BA08}" name="26152" dataDxfId="240" dataCellStyle="Currency"/>
    <tableColumn id="3546" xr3:uid="{4A03E30D-B245-443D-A0C3-CEE060015DB6}" name="26155" dataDxfId="239" dataCellStyle="Currency"/>
    <tableColumn id="3547" xr3:uid="{29E21E6B-D6FB-4A89-9C45-C19EA1F0B791}" name="26159" dataDxfId="238" dataCellStyle="Currency"/>
    <tableColumn id="3548" xr3:uid="{B8F452A8-EF6D-4C01-A503-31CB7B6755F5}" name="26160" dataDxfId="237" dataCellStyle="Currency"/>
    <tableColumn id="3549" xr3:uid="{0E67587A-0AE8-4670-AE77-9B3C5E8F67FE}" name="26161" dataDxfId="236" dataCellStyle="Currency"/>
    <tableColumn id="3550" xr3:uid="{44656843-0647-4229-B045-ABAAC449EF6E}" name="26162" dataDxfId="235" dataCellStyle="Currency"/>
    <tableColumn id="3551" xr3:uid="{D7CEEFDB-CCBB-455E-AD28-9315915CDDB7}" name="26164" dataDxfId="234" dataCellStyle="Currency"/>
    <tableColumn id="3552" xr3:uid="{EADFB293-7D5B-4ED6-AC02-EFA0B30132F4}" name="26167" dataDxfId="233" dataCellStyle="Currency"/>
    <tableColumn id="3553" xr3:uid="{FA9E032B-F365-46F9-AA83-C7CAA7964A4C}" name="26169" dataDxfId="232" dataCellStyle="Currency"/>
    <tableColumn id="3554" xr3:uid="{72B9E757-CDC0-4C70-A742-87F23F450A68}" name="26170" dataDxfId="231" dataCellStyle="Currency"/>
    <tableColumn id="3555" xr3:uid="{645ACE1F-BC80-45A2-A09A-12BB251FD8D6}" name="26175" dataDxfId="230" dataCellStyle="Currency"/>
    <tableColumn id="3556" xr3:uid="{3F62907C-AC89-4CDF-9967-9F80A3C038ED}" name="26178" dataDxfId="229" dataCellStyle="Currency"/>
    <tableColumn id="3557" xr3:uid="{A7790924-FF0D-44D1-A74C-AAA8CC7FB53B}" name="26180" dataDxfId="228" dataCellStyle="Currency"/>
    <tableColumn id="3558" xr3:uid="{0D7D46AC-3DB8-4C85-B12B-BAFD7088C9B2}" name="26181" dataDxfId="227" dataCellStyle="Currency"/>
    <tableColumn id="3559" xr3:uid="{FA0354AB-62A9-4D86-AACA-2181486001ED}" name="26184" dataDxfId="226" dataCellStyle="Currency"/>
    <tableColumn id="3560" xr3:uid="{E3E47382-A4BD-4E02-9558-58B82D597868}" name="26187" dataDxfId="225" dataCellStyle="Currency"/>
    <tableColumn id="3561" xr3:uid="{D50B766B-466D-4039-AA7D-1A3BCD7B4C9F}" name="26201" dataDxfId="224" dataCellStyle="Currency"/>
    <tableColumn id="3562" xr3:uid="{6E95A6C3-C7E8-4414-A4E0-701B66287EE0}" name="26202" dataDxfId="223" dataCellStyle="Currency"/>
    <tableColumn id="3563" xr3:uid="{19A0023F-AE4E-4327-9F1E-DF65E0E785B9}" name="26203" dataDxfId="222" dataCellStyle="Currency"/>
    <tableColumn id="3564" xr3:uid="{2F063D1B-E497-4868-A297-8D1749506CD3}" name="26205" dataDxfId="221" dataCellStyle="Currency"/>
    <tableColumn id="3565" xr3:uid="{CBC38F60-CD0B-4EAF-BA11-1ADCA975002C}" name="26206" dataDxfId="220" dataCellStyle="Currency"/>
    <tableColumn id="3566" xr3:uid="{FCC80111-9B8C-486C-9C97-967DB3160E55}" name="26208" dataDxfId="219" dataCellStyle="Currency"/>
    <tableColumn id="3567" xr3:uid="{AB7D1ED8-C34E-4681-92EB-62E6AE3FDB98}" name="26209" dataDxfId="218" dataCellStyle="Currency"/>
    <tableColumn id="3568" xr3:uid="{8EEE976A-F319-4C32-B41C-BECCA8DBF64C}" name="26210" dataDxfId="217" dataCellStyle="Currency"/>
    <tableColumn id="3569" xr3:uid="{3A2B57C5-9CEF-499C-A981-509A0863496E}" name="26215" dataDxfId="216" dataCellStyle="Currency"/>
    <tableColumn id="3570" xr3:uid="{F56B51D1-10E7-4FC8-AF6F-64AD4B8F0C9F}" name="26217" dataDxfId="215" dataCellStyle="Currency"/>
    <tableColumn id="3571" xr3:uid="{417747C9-6A3B-4DB2-9497-3088C60B6832}" name="26218" dataDxfId="214" dataCellStyle="Currency"/>
    <tableColumn id="3572" xr3:uid="{609DAFEA-0B3A-4D33-9288-060797732A02}" name="26222" dataDxfId="213" dataCellStyle="Currency"/>
    <tableColumn id="3573" xr3:uid="{89E08251-170C-4275-BC10-4607FC93C3D2}" name="26224" dataDxfId="212" dataCellStyle="Currency"/>
    <tableColumn id="3574" xr3:uid="{0C1FB48F-94A6-46DD-BA7F-3C123323E828}" name="26228" dataDxfId="211" dataCellStyle="Currency"/>
    <tableColumn id="3575" xr3:uid="{A9A88CE3-FD3A-47AE-8FD1-FC25771F8F3A}" name="26230" dataDxfId="210" dataCellStyle="Currency"/>
    <tableColumn id="3576" xr3:uid="{24893555-FCED-42A2-B33C-9C018592C33E}" name="26234" dataDxfId="209" dataCellStyle="Currency"/>
    <tableColumn id="3577" xr3:uid="{33982EA4-A6E6-40F1-98DA-08D98BA2E80A}" name="26236" dataDxfId="208" dataCellStyle="Currency"/>
    <tableColumn id="3578" xr3:uid="{7347AC11-2F10-4A38-A95E-EC6289D24346}" name="26237" dataDxfId="207" dataCellStyle="Currency"/>
    <tableColumn id="3579" xr3:uid="{75188620-03E9-4E28-B3C3-556100356AB5}" name="26238" dataDxfId="206" dataCellStyle="Currency"/>
    <tableColumn id="3580" xr3:uid="{BA50FCBD-E57F-4A70-A7B7-23879419585B}" name="26241" dataDxfId="205" dataCellStyle="Currency"/>
    <tableColumn id="3581" xr3:uid="{2D087998-3BA4-4DFB-A6E1-482F8D45A93A}" name="26250" dataDxfId="204" dataCellStyle="Currency"/>
    <tableColumn id="3582" xr3:uid="{B1D1429A-8DB6-4E33-9CF3-2E6D30B31C91}" name="26253" dataDxfId="203" dataCellStyle="Currency"/>
    <tableColumn id="3583" xr3:uid="{8F3BB315-0D6C-457B-9AFB-F0B4D5C5D58F}" name="26254" dataDxfId="202" dataCellStyle="Currency"/>
    <tableColumn id="3584" xr3:uid="{E77354C6-47F5-4692-BB95-456CAA499924}" name="26257" dataDxfId="201" dataCellStyle="Currency"/>
    <tableColumn id="3585" xr3:uid="{7718A597-8A4E-4269-AE2A-FED975DDD7BE}" name="26259" dataDxfId="200" dataCellStyle="Currency"/>
    <tableColumn id="3586" xr3:uid="{FBACBB8A-2AE5-4FE4-8C60-AE9A9869BAA2}" name="26260" dataDxfId="199" dataCellStyle="Currency"/>
    <tableColumn id="3587" xr3:uid="{629AA200-1EF4-4712-B0FF-87F1534419D6}" name="26261" dataDxfId="198" dataCellStyle="Currency"/>
    <tableColumn id="3588" xr3:uid="{DF27A881-2720-4B9A-973C-D6981972C90A}" name="26263" dataDxfId="197" dataCellStyle="Currency"/>
    <tableColumn id="3589" xr3:uid="{3E388578-BEFD-4C23-964D-052D9E8B4D1F}" name="26264" dataDxfId="196" dataCellStyle="Currency"/>
    <tableColumn id="3590" xr3:uid="{889E3C8D-6E1A-481E-9808-C7DC32042C23}" name="26266" dataDxfId="195" dataCellStyle="Currency"/>
    <tableColumn id="3591" xr3:uid="{A0A7D7E3-D640-4EAC-9F8E-BDB00120A0AB}" name="26267" dataDxfId="194" dataCellStyle="Currency"/>
    <tableColumn id="3592" xr3:uid="{6CD92F70-BE5D-4588-B6AA-7F27BFDD388B}" name="26268" dataDxfId="193" dataCellStyle="Currency"/>
    <tableColumn id="3593" xr3:uid="{5134F214-F055-4BCF-A3FA-0EE9B9F6BF15}" name="26269" dataDxfId="192" dataCellStyle="Currency"/>
    <tableColumn id="3594" xr3:uid="{383934E1-3461-44DA-88BF-905AF357DF9D}" name="26270" dataDxfId="191" dataCellStyle="Currency"/>
    <tableColumn id="3595" xr3:uid="{7156B1AA-41AA-46A1-84D1-7D732E31D189}" name="26271" dataDxfId="190" dataCellStyle="Currency"/>
    <tableColumn id="3596" xr3:uid="{D3B08AB1-BB14-4247-9C38-1102BBA5CA34}" name="26273" dataDxfId="189" dataCellStyle="Currency"/>
    <tableColumn id="3597" xr3:uid="{55095641-60A2-4AD0-AB90-07F0339F11F4}" name="26275" dataDxfId="188" dataCellStyle="Currency"/>
    <tableColumn id="3598" xr3:uid="{D1B63A9D-336B-4C47-AFD8-5D68792CA25F}" name="26276" dataDxfId="187" dataCellStyle="Currency"/>
    <tableColumn id="3599" xr3:uid="{1E351D14-58C8-4F7B-81CD-5271F049A3C8}" name="26278" dataDxfId="186" dataCellStyle="Currency"/>
    <tableColumn id="3600" xr3:uid="{C766880E-BC9B-4E55-9C83-D7B835EDF478}" name="26280" dataDxfId="185" dataCellStyle="Currency"/>
    <tableColumn id="3601" xr3:uid="{49A8865C-E5BE-4FF6-94F7-5AC04450EA53}" name="26282" dataDxfId="184" dataCellStyle="Currency"/>
    <tableColumn id="3602" xr3:uid="{51A9762B-F0C0-49A2-91CD-EAA8E1EE22BF}" name="26283" dataDxfId="183" dataCellStyle="Currency"/>
    <tableColumn id="3603" xr3:uid="{C15BEC51-FB38-4281-86B2-765B88199599}" name="26285" dataDxfId="182" dataCellStyle="Currency"/>
    <tableColumn id="3604" xr3:uid="{A2BDEA1E-095D-4534-8A90-063094FB0CCD}" name="26287" dataDxfId="181" dataCellStyle="Currency"/>
    <tableColumn id="3605" xr3:uid="{295B8338-210D-4AFD-AB1C-EFB8B970BB54}" name="26288" dataDxfId="180" dataCellStyle="Currency"/>
    <tableColumn id="3606" xr3:uid="{0C8595DA-D382-4C80-AF35-438402499488}" name="26289" dataDxfId="179" dataCellStyle="Currency"/>
    <tableColumn id="3607" xr3:uid="{C69B1A9D-2456-4ECA-8C52-EA0C7F175FAC}" name="26291" dataDxfId="178" dataCellStyle="Currency"/>
    <tableColumn id="3608" xr3:uid="{1B9E1549-0EFA-4CB5-86F2-84FC2BE31911}" name="26292" dataDxfId="177" dataCellStyle="Currency"/>
    <tableColumn id="3609" xr3:uid="{C7AFC06A-E099-47C4-ACDB-ACD5AD990636}" name="26293" dataDxfId="176" dataCellStyle="Currency"/>
    <tableColumn id="3610" xr3:uid="{B8E27F5C-4AC4-41B3-9635-C732F2AEBB42}" name="26294" dataDxfId="175" dataCellStyle="Currency"/>
    <tableColumn id="3611" xr3:uid="{78B56690-B26E-42E9-864A-25F8E2799141}" name="26296" dataDxfId="174" dataCellStyle="Currency"/>
    <tableColumn id="3612" xr3:uid="{7E4A7DBA-C6F8-4306-9834-BBBEF0495556}" name="26298" dataDxfId="173" dataCellStyle="Currency"/>
    <tableColumn id="3613" xr3:uid="{BC9CA1CF-20BE-4B0E-8770-A4DF3F11431E}" name="26301" dataDxfId="172" dataCellStyle="Currency"/>
    <tableColumn id="3614" xr3:uid="{4604615A-C622-40A8-B1F6-81DFD7544AAE}" name="26320" dataDxfId="171" dataCellStyle="Currency"/>
    <tableColumn id="3615" xr3:uid="{9B071D5C-6889-4B40-99BE-FF6D7990B066}" name="26321" dataDxfId="170" dataCellStyle="Currency"/>
    <tableColumn id="3616" xr3:uid="{79B718D5-9F35-4570-8A94-235F34B88DDA}" name="26323" dataDxfId="169" dataCellStyle="Currency"/>
    <tableColumn id="3617" xr3:uid="{48D4EE09-2547-4DE2-A370-3164BCFA8A4C}" name="26325" dataDxfId="168" dataCellStyle="Currency"/>
    <tableColumn id="3618" xr3:uid="{D7AB742E-6C35-499F-B871-106AFAA69154}" name="26327" dataDxfId="167" dataCellStyle="Currency"/>
    <tableColumn id="3619" xr3:uid="{3901B740-ABAC-410D-BB53-611CA601A2D1}" name="26330" dataDxfId="166" dataCellStyle="Currency"/>
    <tableColumn id="3620" xr3:uid="{D1EDF6A6-49DA-4CFF-BF08-CC77FB98CF08}" name="26335" dataDxfId="165" dataCellStyle="Currency"/>
    <tableColumn id="3621" xr3:uid="{621B97A1-ECD8-4185-9B1B-18CBE4231B1D}" name="26337" dataDxfId="164" dataCellStyle="Currency"/>
    <tableColumn id="3622" xr3:uid="{4A660EA5-C099-404F-8541-627281A891CB}" name="26338" dataDxfId="163" dataCellStyle="Currency"/>
    <tableColumn id="3623" xr3:uid="{6C76A09A-EC96-49CC-91DD-559A2FE32689}" name="26339" dataDxfId="162" dataCellStyle="Currency"/>
    <tableColumn id="3624" xr3:uid="{0C123DEA-C46E-416F-83D3-6110BFD77235}" name="26342" dataDxfId="161" dataCellStyle="Currency"/>
    <tableColumn id="3625" xr3:uid="{D287C605-5190-4731-8DBF-D50ABD91E20D}" name="26343" dataDxfId="160" dataCellStyle="Currency"/>
    <tableColumn id="3626" xr3:uid="{BB35E20B-4A60-4FFE-BB05-02EB8E3FB331}" name="26346" dataDxfId="159" dataCellStyle="Currency"/>
    <tableColumn id="3627" xr3:uid="{042293E8-0C4E-49B4-8BAC-898823D6524D}" name="26347" dataDxfId="158" dataCellStyle="Currency"/>
    <tableColumn id="3628" xr3:uid="{87621829-75DD-4491-89E2-A502C0F5BC8A}" name="26348" dataDxfId="157" dataCellStyle="Currency"/>
    <tableColumn id="3629" xr3:uid="{CE4E55E2-77D1-410F-BFF9-94D8BBEB928C}" name="26349" dataDxfId="156" dataCellStyle="Currency"/>
    <tableColumn id="3630" xr3:uid="{E361FA80-A37A-498F-99B1-5B18B2C0C416}" name="26351" dataDxfId="155" dataCellStyle="Currency"/>
    <tableColumn id="3631" xr3:uid="{7311C5E3-5088-44DF-BEED-FC59673B0953}" name="26354" dataDxfId="154" dataCellStyle="Currency"/>
    <tableColumn id="3632" xr3:uid="{AAED59A9-2DEF-4F3B-9BA5-1D9BF86F9CCC}" name="26361" dataDxfId="153" dataCellStyle="Currency"/>
    <tableColumn id="3633" xr3:uid="{89942F29-8EB2-4E83-89D3-B475C0D0B565}" name="26362" dataDxfId="152" dataCellStyle="Currency"/>
    <tableColumn id="3634" xr3:uid="{47717704-FE42-45F9-AA28-8FA2C1322027}" name="26366" dataDxfId="151" dataCellStyle="Currency"/>
    <tableColumn id="3635" xr3:uid="{5DA5FBEE-DEDD-4506-B23D-3B0BFAA062A5}" name="26369" dataDxfId="150" dataCellStyle="Currency"/>
    <tableColumn id="3636" xr3:uid="{BE4B4037-18A9-4557-9813-AE064F46B631}" name="26372" dataDxfId="149" dataCellStyle="Currency"/>
    <tableColumn id="3637" xr3:uid="{22895DF5-F6A0-49B3-BDD4-2DF1D885DD37}" name="26374" dataDxfId="148" dataCellStyle="Currency"/>
    <tableColumn id="3638" xr3:uid="{C354A953-E8FE-4E0A-A856-5132ACA3D7FE}" name="26376" dataDxfId="147" dataCellStyle="Currency"/>
    <tableColumn id="3639" xr3:uid="{CA0C7A62-771D-4975-B562-E172926115F1}" name="26377" dataDxfId="146" dataCellStyle="Currency"/>
    <tableColumn id="3640" xr3:uid="{CA11EC82-DF81-456C-A455-5983B2B6096D}" name="26378" dataDxfId="145" dataCellStyle="Currency"/>
    <tableColumn id="3641" xr3:uid="{3D6BB4EC-FCDA-48B2-9DCE-0C26DDAB1A8A}" name="26384" dataDxfId="144" dataCellStyle="Currency"/>
    <tableColumn id="3642" xr3:uid="{8096671B-382A-41CA-A31E-937EA0404D38}" name="26385" dataDxfId="143" dataCellStyle="Currency"/>
    <tableColumn id="3643" xr3:uid="{F43013E3-FE5C-471F-998D-629F4152BB6D}" name="26386" dataDxfId="142" dataCellStyle="Currency"/>
    <tableColumn id="3644" xr3:uid="{6904E2CC-A7C8-491E-9AFB-FB1E57BE8EF3}" name="26404" dataDxfId="141" dataCellStyle="Currency"/>
    <tableColumn id="3645" xr3:uid="{AEC6EAE4-082D-45E8-A444-1A01CC448B9A}" name="26405" dataDxfId="140" dataCellStyle="Currency"/>
    <tableColumn id="3646" xr3:uid="{2D341A7A-D407-4C6F-8E5E-89B81804A8F5}" name="26408" dataDxfId="139" dataCellStyle="Currency"/>
    <tableColumn id="3647" xr3:uid="{CD5DD4E2-F0D8-4A98-8332-CEF9D17863BD}" name="26410" dataDxfId="138" dataCellStyle="Currency"/>
    <tableColumn id="3648" xr3:uid="{45B28A1E-0775-45B9-851D-862119B00B56}" name="26411" dataDxfId="137" dataCellStyle="Currency"/>
    <tableColumn id="3649" xr3:uid="{0745E889-1C1D-4E8A-8B7E-D07B9B88A5D2}" name="26412" dataDxfId="136" dataCellStyle="Currency"/>
    <tableColumn id="3650" xr3:uid="{1BDA06C8-D59A-4C33-8C17-1D49BD03B3E3}" name="26415" dataDxfId="135" dataCellStyle="Currency"/>
    <tableColumn id="3651" xr3:uid="{F9413013-4CEC-44B4-AA92-9790B499BF37}" name="26416" dataDxfId="134" dataCellStyle="Currency"/>
    <tableColumn id="3652" xr3:uid="{7EBCE8B3-6029-4EA1-A34F-CE49DE53C0B3}" name="26419" dataDxfId="133" dataCellStyle="Currency"/>
    <tableColumn id="3653" xr3:uid="{1DB8FEEA-EB79-4589-9C1C-19CB6D5E4EDD}" name="26421" dataDxfId="132" dataCellStyle="Currency"/>
    <tableColumn id="3654" xr3:uid="{6C78061D-8AA2-4AE9-921E-A8DB9F74F1D9}" name="26422" dataDxfId="131" dataCellStyle="Currency"/>
    <tableColumn id="3655" xr3:uid="{E605DC8A-8B20-4640-AA94-CF8C9DD472F3}" name="26424" dataDxfId="130" dataCellStyle="Currency"/>
    <tableColumn id="3656" xr3:uid="{74DD4CE6-9A6F-470B-996A-084D449A7000}" name="26425" dataDxfId="129" dataCellStyle="Currency"/>
    <tableColumn id="3657" xr3:uid="{A127AD11-92C7-45DD-986F-ED984933BE26}" name="26426" dataDxfId="128" dataCellStyle="Currency"/>
    <tableColumn id="3658" xr3:uid="{3011171C-1D0F-4FD2-B130-0A3672074170}" name="26430" dataDxfId="127" dataCellStyle="Currency"/>
    <tableColumn id="3659" xr3:uid="{AE95DA46-8FFB-4F55-9B10-42E2FD021FCF}" name="26431" dataDxfId="126" dataCellStyle="Currency"/>
    <tableColumn id="3660" xr3:uid="{D5ABAA21-FB3F-41E4-8BF5-2335D64AC66C}" name="26435" dataDxfId="125" dataCellStyle="Currency"/>
    <tableColumn id="3661" xr3:uid="{F30A2EEC-880C-4921-B701-6C4E39249623}" name="26436" dataDxfId="124" dataCellStyle="Currency"/>
    <tableColumn id="3662" xr3:uid="{9A5AA4F0-65B2-44B3-BDF4-0F0F7DE495DC}" name="26437" dataDxfId="123" dataCellStyle="Currency"/>
    <tableColumn id="3663" xr3:uid="{DC918793-74B5-4F54-817E-763F6386B5A2}" name="26438" dataDxfId="122" dataCellStyle="Currency"/>
    <tableColumn id="3664" xr3:uid="{70D8399D-A982-4470-AA94-A7EF30F5E816}" name="26440" dataDxfId="121" dataCellStyle="Currency"/>
    <tableColumn id="3665" xr3:uid="{909F7318-F5B7-48AB-B871-162858AD78D2}" name="26443" dataDxfId="120" dataCellStyle="Currency"/>
    <tableColumn id="3666" xr3:uid="{E8D45C50-90DF-4E86-99A2-FFBBAAA467CC}" name="26444" dataDxfId="119" dataCellStyle="Currency"/>
    <tableColumn id="3667" xr3:uid="{02F3C6B8-7242-460E-AC28-8EC2B5023A2B}" name="26447" dataDxfId="118" dataCellStyle="Currency"/>
    <tableColumn id="3668" xr3:uid="{7CBE93E7-CBC3-4B90-9965-F71A4B82DCD5}" name="26448" dataDxfId="117" dataCellStyle="Currency"/>
    <tableColumn id="3669" xr3:uid="{4171CC36-F217-4016-83B4-487C5C46F8DB}" name="26451" dataDxfId="116" dataCellStyle="Currency"/>
    <tableColumn id="3670" xr3:uid="{B5FC0D4A-273D-4D00-A523-4877DB47B261}" name="26452" dataDxfId="115" dataCellStyle="Currency"/>
    <tableColumn id="3671" xr3:uid="{4B361EA1-DC28-49E5-843D-0128E2BFB4BA}" name="26456" dataDxfId="114" dataCellStyle="Currency"/>
    <tableColumn id="3672" xr3:uid="{34B34091-D164-4B82-AF06-E78A9CA66449}" name="26463" dataDxfId="113" dataCellStyle="Currency"/>
    <tableColumn id="3673" xr3:uid="{08DDAB49-E2FA-4D3E-A62A-15078654A8A1}" name="26501" dataDxfId="112" dataCellStyle="Currency"/>
    <tableColumn id="3674" xr3:uid="{9EA5C782-A84E-46AE-B694-87997DC60C9B}" name="26505" dataDxfId="111" dataCellStyle="Currency"/>
    <tableColumn id="3675" xr3:uid="{FBD54438-9A8B-4D0A-87D0-B6AF7594B309}" name="26506" dataDxfId="110" dataCellStyle="Currency"/>
    <tableColumn id="3676" xr3:uid="{41BF4D33-0B0F-4A30-8CD1-63A3D7135B16}" name="26508" dataDxfId="109" dataCellStyle="Currency"/>
    <tableColumn id="3677" xr3:uid="{B02447CA-B1F5-493B-82BC-59981A175A1A}" name="26519" dataDxfId="108" dataCellStyle="Currency"/>
    <tableColumn id="3678" xr3:uid="{9C06FBA3-5943-4B16-8FE1-3C24847D191D}" name="26520" dataDxfId="107" dataCellStyle="Currency"/>
    <tableColumn id="3679" xr3:uid="{BB5DE342-C9F9-441B-B5AF-EC4032E8C873}" name="26521" dataDxfId="106" dataCellStyle="Currency"/>
    <tableColumn id="3680" xr3:uid="{3591F893-E7B7-4897-B569-FAD28334E98B}" name="26524" dataDxfId="105" dataCellStyle="Currency"/>
    <tableColumn id="3681" xr3:uid="{765AB9C8-2A97-4C8D-A936-A4D515E92F7B}" name="26525" dataDxfId="104" dataCellStyle="Currency"/>
    <tableColumn id="3682" xr3:uid="{FE92AD6E-D8FA-4960-907B-1D551FC19F6F}" name="26534" dataDxfId="103" dataCellStyle="Currency"/>
    <tableColumn id="3683" xr3:uid="{822DEE8C-B80B-4006-B5C8-EF0F095AB196}" name="26537" dataDxfId="102" dataCellStyle="Currency"/>
    <tableColumn id="3684" xr3:uid="{C9888264-93CF-45F2-A5E5-50102B144B2A}" name="26541" dataDxfId="101" dataCellStyle="Currency"/>
    <tableColumn id="3685" xr3:uid="{29E82835-1C13-4FA8-ADD9-D47F04CC4195}" name="26542" dataDxfId="100" dataCellStyle="Currency"/>
    <tableColumn id="3686" xr3:uid="{94F02719-E024-4D52-A8A2-A8AC146EF9D6}" name="26543" dataDxfId="99" dataCellStyle="Currency"/>
    <tableColumn id="3687" xr3:uid="{B4832EA6-D007-4EEC-AAB7-EA1BAFEE9D47}" name="26544" dataDxfId="98" dataCellStyle="Currency"/>
    <tableColumn id="3688" xr3:uid="{6C3EC5BB-BFAF-46EB-BC80-089A6FE13292}" name="26546" dataDxfId="97" dataCellStyle="Currency"/>
    <tableColumn id="3689" xr3:uid="{A56333B4-6328-487B-AB39-337E074294F6}" name="26547" dataDxfId="96" dataCellStyle="Currency"/>
    <tableColumn id="3690" xr3:uid="{3A883065-3C44-444D-A0EA-F806FFBC11EE}" name="26554" dataDxfId="95" dataCellStyle="Currency"/>
    <tableColumn id="3691" xr3:uid="{0D68E689-EDB1-4D31-B2B7-B82595564308}" name="26559" dataDxfId="94" dataCellStyle="Currency"/>
    <tableColumn id="3692" xr3:uid="{5F0C53C7-A017-4CA4-8360-1A342C2D89F6}" name="26560" dataDxfId="93" dataCellStyle="Currency"/>
    <tableColumn id="3693" xr3:uid="{2E69EDF3-8224-4CEF-BFF1-CEB1B26C25FD}" name="26562" dataDxfId="92" dataCellStyle="Currency"/>
    <tableColumn id="3694" xr3:uid="{46BEFC3A-A70D-4368-9EA3-1E1E17D17515}" name="26563" dataDxfId="91" dataCellStyle="Currency"/>
    <tableColumn id="3695" xr3:uid="{613966D0-9462-4CF6-8878-55AC454B4333}" name="26568" dataDxfId="90" dataCellStyle="Currency"/>
    <tableColumn id="3696" xr3:uid="{CE991A58-8FD8-4D42-AEC6-97EAB15A0A5A}" name="26570" dataDxfId="89" dataCellStyle="Currency"/>
    <tableColumn id="3697" xr3:uid="{A3AC9DE4-F354-4307-9B01-25867DB39B11}" name="26571" dataDxfId="88" dataCellStyle="Currency"/>
    <tableColumn id="3698" xr3:uid="{45FE659F-1C54-490C-8078-CE9C4141D9E0}" name="26572" dataDxfId="87" dataCellStyle="Currency"/>
    <tableColumn id="3699" xr3:uid="{C87DB7EF-71FE-440A-9992-7379809E315F}" name="26574" dataDxfId="86" dataCellStyle="Currency"/>
    <tableColumn id="3700" xr3:uid="{C8A1A4C9-7A8B-44CF-BF6D-EE9F94F4B2AB}" name="26575" dataDxfId="85" dataCellStyle="Currency"/>
    <tableColumn id="3701" xr3:uid="{83660A15-7313-417D-AF38-0377872CCECF}" name="26576" dataDxfId="84" dataCellStyle="Currency"/>
    <tableColumn id="3702" xr3:uid="{22D777EB-FF85-499C-9C7F-4803DE0432AC}" name="26581" dataDxfId="83" dataCellStyle="Currency"/>
    <tableColumn id="3703" xr3:uid="{492778AE-1783-4632-AAA4-F7BFC427B1D8}" name="26582" dataDxfId="82" dataCellStyle="Currency"/>
    <tableColumn id="3704" xr3:uid="{1629DC42-98D4-476E-9325-695C0E4591B2}" name="26585" dataDxfId="81" dataCellStyle="Currency"/>
    <tableColumn id="3705" xr3:uid="{67413500-ACEC-4B25-800C-B367E0AFCB7D}" name="26586" dataDxfId="80" dataCellStyle="Currency"/>
    <tableColumn id="3706" xr3:uid="{89DED7C9-C217-4A53-A1A0-BA5366744178}" name="26587" dataDxfId="79" dataCellStyle="Currency"/>
    <tableColumn id="3707" xr3:uid="{66BE0C72-ADB0-45CD-8FB1-14E5E87C7333}" name="26588" dataDxfId="78" dataCellStyle="Currency"/>
    <tableColumn id="3708" xr3:uid="{CEA12C0D-D8F2-4E46-A881-35C26B4D56D7}" name="26590" dataDxfId="77" dataCellStyle="Currency"/>
    <tableColumn id="3709" xr3:uid="{811D132A-101B-4B57-A192-DAAE2F106D92}" name="26591" dataDxfId="76" dataCellStyle="Currency"/>
    <tableColumn id="3710" xr3:uid="{401EEDE8-18A3-4A53-85D4-50AB64CA8884}" name="26601" dataDxfId="75" dataCellStyle="Currency"/>
    <tableColumn id="3711" xr3:uid="{C8C657F2-13E9-4AE1-AE5B-65BBBD3CBFB0}" name="26610" dataDxfId="74" dataCellStyle="Currency"/>
    <tableColumn id="3712" xr3:uid="{A7C5CDCD-3F96-467C-A1E7-D79F13732DB7}" name="26611" dataDxfId="73" dataCellStyle="Currency"/>
    <tableColumn id="3713" xr3:uid="{0B9FA74A-C190-4D55-8528-4B313901E037}" name="26615" dataDxfId="72" dataCellStyle="Currency"/>
    <tableColumn id="3714" xr3:uid="{0D8971F5-5BEE-4D94-A2AA-E66C8B6D6218}" name="26617" dataDxfId="71" dataCellStyle="Currency"/>
    <tableColumn id="3715" xr3:uid="{361AD713-885B-4C81-81AE-483B10965AAE}" name="26619" dataDxfId="70" dataCellStyle="Currency"/>
    <tableColumn id="3716" xr3:uid="{5BCE605E-119F-4C4C-9C26-C64B2900B760}" name="26621" dataDxfId="69" dataCellStyle="Currency"/>
    <tableColumn id="3717" xr3:uid="{1E5C7601-A1C1-469C-8319-A177657C5A04}" name="26623" dataDxfId="68" dataCellStyle="Currency"/>
    <tableColumn id="3718" xr3:uid="{394BE385-07E1-4D4A-B842-49C43A028516}" name="26624" dataDxfId="67" dataCellStyle="Currency"/>
    <tableColumn id="3719" xr3:uid="{C3589DD9-4369-46D7-BA8F-393F30093733}" name="26627" dataDxfId="66" dataCellStyle="Currency"/>
    <tableColumn id="3720" xr3:uid="{A42C3A40-2275-4535-BD9B-1AE80FC88091}" name="26629" dataDxfId="65" dataCellStyle="Currency"/>
    <tableColumn id="3721" xr3:uid="{5979BAAC-63E0-41FA-AC25-36820A0082CE}" name="26631" dataDxfId="64" dataCellStyle="Currency"/>
    <tableColumn id="3722" xr3:uid="{B3E42DB6-8D49-4F68-8030-EC3A12C93FAE}" name="26636" dataDxfId="63" dataCellStyle="Currency"/>
    <tableColumn id="3723" xr3:uid="{13CD6A1F-2C06-4E55-836B-402A1B991F71}" name="26638" dataDxfId="62" dataCellStyle="Currency"/>
    <tableColumn id="3724" xr3:uid="{41019265-F995-4D45-8891-C8D9B4BDB711}" name="26651" dataDxfId="61" dataCellStyle="Currency"/>
    <tableColumn id="3725" xr3:uid="{E8DA42BB-17AA-4C73-BFBE-1135128ECF23}" name="26656" dataDxfId="60" dataCellStyle="Currency"/>
    <tableColumn id="3726" xr3:uid="{7DF08310-45EC-41A1-A6BA-49E1F1B7C653}" name="26660" dataDxfId="59" dataCellStyle="Currency"/>
    <tableColumn id="3727" xr3:uid="{BE07DA69-1A32-4313-95ED-3052BCA06D1C}" name="26662" dataDxfId="58" dataCellStyle="Currency"/>
    <tableColumn id="3728" xr3:uid="{C11D766B-3758-48BE-94DA-616D18421F7C}" name="26667" dataDxfId="57" dataCellStyle="Currency"/>
    <tableColumn id="3729" xr3:uid="{0C0444E1-ABAD-4873-9E2E-6F40B53B7110}" name="26671" dataDxfId="56" dataCellStyle="Currency"/>
    <tableColumn id="3730" xr3:uid="{38E0CA33-FCB7-4571-AA7D-E7973C855794}" name="26676" dataDxfId="55" dataCellStyle="Currency"/>
    <tableColumn id="3731" xr3:uid="{5FBA99CC-F61F-4E6B-9BE0-5746A848DAAE}" name="26678" dataDxfId="54" dataCellStyle="Currency"/>
    <tableColumn id="3732" xr3:uid="{0DFD2FCB-E421-44C7-819F-896765515AF3}" name="26679" dataDxfId="53" dataCellStyle="Currency"/>
    <tableColumn id="3733" xr3:uid="{DC6F60D6-12C1-4880-B969-358BBF37E70A}" name="26680" dataDxfId="52" dataCellStyle="Currency"/>
    <tableColumn id="3734" xr3:uid="{F801BD21-651E-499F-AEBF-187A6BF235B1}" name="26681" dataDxfId="51" dataCellStyle="Currency"/>
    <tableColumn id="3735" xr3:uid="{B29E9ECA-7890-40C5-A4B4-AB7948DE7C29}" name="26684" dataDxfId="50" dataCellStyle="Currency"/>
    <tableColumn id="3736" xr3:uid="{654E7CFD-B87E-411C-AAAF-00282998F64A}" name="26690" dataDxfId="49" dataCellStyle="Currency"/>
    <tableColumn id="3737" xr3:uid="{6BAA933F-F7F0-4372-8DA0-DC21EFBAC1F9}" name="26691" dataDxfId="48" dataCellStyle="Currency"/>
    <tableColumn id="3738" xr3:uid="{95E04CDB-FA68-468F-998E-1BC0EF299741}" name="26704" dataDxfId="47" dataCellStyle="Currency"/>
    <tableColumn id="3739" xr3:uid="{FFAD3843-6BD1-4F0B-BD4D-E3DB2F866E1D}" name="26705" dataDxfId="46" dataCellStyle="Currency"/>
    <tableColumn id="3740" xr3:uid="{AD9675B2-0735-407E-9C12-41BA75E1F892}" name="26707" dataDxfId="45" dataCellStyle="Currency"/>
    <tableColumn id="3741" xr3:uid="{7AF6261E-6AC3-4931-ABDE-48FE6337EC09}" name="26710" dataDxfId="44" dataCellStyle="Currency"/>
    <tableColumn id="3742" xr3:uid="{EEA7A32C-BACB-400B-B79F-1BA8EF8438E7}" name="26711" dataDxfId="43" dataCellStyle="Currency"/>
    <tableColumn id="3743" xr3:uid="{13F68824-DE84-431B-9C51-28372FA711ED}" name="26714" dataDxfId="42" dataCellStyle="Currency"/>
    <tableColumn id="3744" xr3:uid="{A3FFEB86-5CF7-4E9B-A9A3-BF06C40AF2E8}" name="26716" dataDxfId="41" dataCellStyle="Currency"/>
    <tableColumn id="3745" xr3:uid="{025FE0F2-54DF-475B-8278-81628191EB98}" name="26717" dataDxfId="40" dataCellStyle="Currency"/>
    <tableColumn id="3746" xr3:uid="{58997548-EB38-4027-9407-E563131D5CA1}" name="26719" dataDxfId="39" dataCellStyle="Currency"/>
    <tableColumn id="3747" xr3:uid="{8029FB31-BA45-4222-9496-BD8B41636434}" name="26720" dataDxfId="38" dataCellStyle="Currency"/>
    <tableColumn id="3748" xr3:uid="{80519254-23CD-4501-BB8E-D1F83985E236}" name="26722" dataDxfId="37" dataCellStyle="Currency"/>
    <tableColumn id="3749" xr3:uid="{5229E8B6-4CBB-4D30-8572-10DD7E4A80B6}" name="26726" dataDxfId="36" dataCellStyle="Currency"/>
    <tableColumn id="3750" xr3:uid="{18AE7131-7A36-46AD-87DD-494945B2E6B3}" name="26731" dataDxfId="35" dataCellStyle="Currency"/>
    <tableColumn id="3751" xr3:uid="{BD529088-0446-47AB-87E0-3ED44A15DCF7}" name="26739" dataDxfId="34" dataCellStyle="Currency"/>
    <tableColumn id="3752" xr3:uid="{142D7907-047B-42F9-BB56-C42CA02EC81F}" name="26743" dataDxfId="33" dataCellStyle="Currency"/>
    <tableColumn id="3753" xr3:uid="{211F0288-6C51-4D3E-B29E-1AC5E544F3EE}" name="26750" dataDxfId="32" dataCellStyle="Currency"/>
    <tableColumn id="3754" xr3:uid="{547BAF3A-6EC4-44D3-A577-E2C4730B70A9}" name="26753" dataDxfId="31" dataCellStyle="Currency"/>
    <tableColumn id="3755" xr3:uid="{1769F660-2901-4518-893A-AC400CB049E6}" name="26755" dataDxfId="30" dataCellStyle="Currency"/>
    <tableColumn id="3756" xr3:uid="{CC23297A-A925-4DEF-9DC5-B9F743EC6C68}" name="26757" dataDxfId="29" dataCellStyle="Currency"/>
    <tableColumn id="3757" xr3:uid="{AE042002-69EA-44ED-BAB6-4356E3F12A71}" name="26761" dataDxfId="28" dataCellStyle="Currency"/>
    <tableColumn id="3758" xr3:uid="{72B08C0F-9D49-461E-B41D-A6A904AAAA36}" name="26763" dataDxfId="27" dataCellStyle="Currency"/>
    <tableColumn id="3759" xr3:uid="{6577D2AD-31C4-4EA4-BC80-78A689BABADE}" name="26764" dataDxfId="26" dataCellStyle="Currency"/>
    <tableColumn id="3760" xr3:uid="{A5CF8D2E-921C-422A-AB96-B8EAC2AEACE9}" name="26767" dataDxfId="25" dataCellStyle="Currency"/>
    <tableColumn id="3761" xr3:uid="{E4712294-F5A0-4928-A253-2D50C1146DB7}" name="26801" dataDxfId="24" dataCellStyle="Currency"/>
    <tableColumn id="3762" xr3:uid="{1A906F96-BD0C-4F29-A350-B9363DDFC0D1}" name="26802" dataDxfId="23" dataCellStyle="Currency"/>
    <tableColumn id="3763" xr3:uid="{807B28AB-1BAA-4F1A-A1CB-593940DA6187}" name="26804" dataDxfId="22" dataCellStyle="Currency"/>
    <tableColumn id="3764" xr3:uid="{1ADF2EF0-CDE8-4A46-8DA0-029633AF2952}" name="26807" dataDxfId="21" dataCellStyle="Currency"/>
    <tableColumn id="3765" xr3:uid="{C6D94956-C559-41DF-9BEC-5801FC59FC6F}" name="26808" dataDxfId="20" dataCellStyle="Currency"/>
    <tableColumn id="3766" xr3:uid="{1D1C44A1-EB16-4C5E-8057-13EDD44A4105}" name="26810" dataDxfId="19" dataCellStyle="Currency"/>
    <tableColumn id="3767" xr3:uid="{E645940C-724B-4532-BEE3-DD35916EDADE}" name="26812" dataDxfId="18" dataCellStyle="Currency"/>
    <tableColumn id="3768" xr3:uid="{84939D87-9052-4D25-83B4-1C85A25FED6B}" name="26814" dataDxfId="17" dataCellStyle="Currency"/>
    <tableColumn id="3769" xr3:uid="{983161A2-99A5-47F7-AACD-879A97FB5216}" name="26815" dataDxfId="16" dataCellStyle="Currency"/>
    <tableColumn id="3770" xr3:uid="{77A0FE10-038A-4E79-AAAD-7B80E128D02F}" name="26817" dataDxfId="15" dataCellStyle="Currency"/>
    <tableColumn id="3771" xr3:uid="{F869407A-57F8-4148-B7FD-00D1BEB7A046}" name="26818" dataDxfId="14" dataCellStyle="Currency"/>
    <tableColumn id="3772" xr3:uid="{A66C0DEA-C050-4A6E-806F-D824E72C6EFB}" name="26823" dataDxfId="13" dataCellStyle="Currency"/>
    <tableColumn id="3773" xr3:uid="{6481DDAA-FB64-4A00-A7B4-2A21AC17AB78}" name="26833" dataDxfId="12" dataCellStyle="Currency"/>
    <tableColumn id="3774" xr3:uid="{ADDB6584-F9D8-4B64-9058-70DBAF2C093F}" name="26836" dataDxfId="11" dataCellStyle="Currency"/>
    <tableColumn id="3775" xr3:uid="{8AA270EE-7D40-455B-BDB9-82D74587104F}" name="26838" dataDxfId="10" dataCellStyle="Currency"/>
    <tableColumn id="3776" xr3:uid="{9387289C-E025-4F8C-8538-3F0CC16FB677}" name="26845" dataDxfId="9" dataCellStyle="Currency"/>
    <tableColumn id="3777" xr3:uid="{47ADF43B-3439-4ED2-BA34-20F74DBF885C}" name="26847" dataDxfId="8" dataCellStyle="Currency"/>
    <tableColumn id="3778" xr3:uid="{84D65CCB-341D-4D9C-80F8-17FDCAD5BD0E}" name="26851" dataDxfId="7" dataCellStyle="Currency"/>
    <tableColumn id="3779" xr3:uid="{53156517-ED14-4B5F-81E3-BCF547F37FB7}" name="26852" dataDxfId="6" dataCellStyle="Currency"/>
    <tableColumn id="3780" xr3:uid="{4F040B13-409B-4741-96F2-B87BBABA7DF3}" name="26855" dataDxfId="5" dataCellStyle="Currency"/>
    <tableColumn id="3781" xr3:uid="{985C707D-A353-4478-AED6-4599C72E1EE7}" name="26865" dataDxfId="4" dataCellStyle="Currency"/>
    <tableColumn id="3782" xr3:uid="{C4E6D78D-C475-49C3-A983-BD36654BA508}" name="26866" dataDxfId="3" dataCellStyle="Currency"/>
    <tableColumn id="3783" xr3:uid="{C6A06261-2ED3-415F-A37D-E67A1E3622C1}" name="26884" dataDxfId="2" dataCellStyle="Currency"/>
    <tableColumn id="3784" xr3:uid="{322DA5DC-4E71-49DA-BDCA-A51CAC9D5C5F}" name="26886" dataDxfId="1" dataCellStyle="Currenc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534F204-94D3-4F31-87AC-7E2D364C4087}" name="zip_med_inc_updated" displayName="zip_med_inc_updated" ref="A1:EON4" tableType="queryTable" totalsRowShown="0">
  <autoFilter ref="A1:EON4" xr:uid="{D534F204-94D3-4F31-87AC-7E2D364C4087}"/>
  <tableColumns count="3784">
    <tableColumn id="1" xr3:uid="{5A152805-43F0-4515-B63B-71BBFE59ADD1}" uniqueName="1" name="Year" queryTableFieldId="1"/>
    <tableColumn id="2" xr3:uid="{6CDDDD2E-71A9-49F7-8C69-9F1E5103EE60}" uniqueName="2" name="20001" queryTableFieldId="2"/>
    <tableColumn id="3" xr3:uid="{F665BAD0-5343-4CFA-9175-AD3BE4E5DA62}" uniqueName="3" name="20002" queryTableFieldId="3"/>
    <tableColumn id="4" xr3:uid="{7443F629-662D-4C1C-B248-D5954AC389C0}" uniqueName="4" name="20003" queryTableFieldId="4"/>
    <tableColumn id="5" xr3:uid="{10A9FE78-8C22-4550-9375-6168AC200F9F}" uniqueName="5" name="20004" queryTableFieldId="5"/>
    <tableColumn id="6" xr3:uid="{5483C514-6D17-4D60-97F0-19782E963F11}" uniqueName="6" name="20005" queryTableFieldId="6"/>
    <tableColumn id="7" xr3:uid="{B3A0CD39-9E19-4F4C-83A3-76E10630372B}" uniqueName="7" name="20006" queryTableFieldId="7"/>
    <tableColumn id="8" xr3:uid="{C1AFBE06-A016-4A72-ACBD-BB7AD2783401}" uniqueName="8" name="20007" queryTableFieldId="8"/>
    <tableColumn id="9" xr3:uid="{E622D228-7078-4F50-BBE7-C9FA4FF4987B}" uniqueName="9" name="20008" queryTableFieldId="9"/>
    <tableColumn id="10" xr3:uid="{2FD78503-2C61-4A53-B387-7F7EEAEAC135}" uniqueName="10" name="20009" queryTableFieldId="10"/>
    <tableColumn id="11" xr3:uid="{52710F57-EB78-4505-A299-3B0BEEF79EE5}" uniqueName="11" name="20010" queryTableFieldId="11"/>
    <tableColumn id="12" xr3:uid="{38BA0E79-1759-49C0-B838-1801063A7A33}" uniqueName="12" name="20011" queryTableFieldId="12"/>
    <tableColumn id="13" xr3:uid="{FBDD56ED-3FD3-4385-8B62-2D6B92B7BFEB}" uniqueName="13" name="20012" queryTableFieldId="13"/>
    <tableColumn id="14" xr3:uid="{4870368B-BDCF-4913-B9C1-E1E3F4C7E756}" uniqueName="14" name="20015" queryTableFieldId="14"/>
    <tableColumn id="15" xr3:uid="{959EF485-1E80-4633-833A-26B0C3138697}" uniqueName="15" name="20016" queryTableFieldId="15"/>
    <tableColumn id="16" xr3:uid="{1C669F7C-B733-4DF4-8FC0-721BFFB80CFF}" uniqueName="16" name="20017" queryTableFieldId="16"/>
    <tableColumn id="17" xr3:uid="{B862ADC2-36FF-4A89-9F62-0F18CE19D8A2}" uniqueName="17" name="20018" queryTableFieldId="17"/>
    <tableColumn id="18" xr3:uid="{951ED986-3C75-4505-B3ED-FDD041D85C1F}" uniqueName="18" name="20019" queryTableFieldId="18"/>
    <tableColumn id="19" xr3:uid="{17E22184-3B88-471B-A103-0100083D9651}" uniqueName="19" name="20020" queryTableFieldId="19"/>
    <tableColumn id="20" xr3:uid="{1D2DB03D-88F6-49BC-9AC4-FBF78315FE5A}" uniqueName="20" name="20024" queryTableFieldId="20"/>
    <tableColumn id="21" xr3:uid="{EE547C71-BCF3-4618-A4FA-325E5EDFA7AF}" uniqueName="21" name="20032" queryTableFieldId="21"/>
    <tableColumn id="22" xr3:uid="{E48C5FC0-D288-4B7B-B623-ACE056CC4F49}" uniqueName="22" name="20036" queryTableFieldId="22"/>
    <tableColumn id="23" xr3:uid="{92469C67-34DB-40F2-BEEC-272BCAE99DDA}" uniqueName="23" name="20037" queryTableFieldId="23"/>
    <tableColumn id="24" xr3:uid="{62DC938D-1CDD-41A1-B71B-947A324F8EF2}" uniqueName="24" name="20045" queryTableFieldId="24"/>
    <tableColumn id="25" xr3:uid="{9834426D-CB51-479F-8F51-527A1FF4AB37}" uniqueName="25" name="20052" queryTableFieldId="25"/>
    <tableColumn id="26" xr3:uid="{419079A1-9C2E-46ED-B371-AB84B8F737E6}" uniqueName="26" name="20057" queryTableFieldId="26"/>
    <tableColumn id="27" xr3:uid="{86CFFE6D-7A48-4EE7-BE2B-33EC160BC2F1}" uniqueName="27" name="20059" queryTableFieldId="27"/>
    <tableColumn id="28" xr3:uid="{5D0C5266-1B0B-4F21-996F-C38C2CDD9388}" uniqueName="28" name="20064" queryTableFieldId="28"/>
    <tableColumn id="29" xr3:uid="{51C64BCF-FEF2-4CB3-9134-9AFEC00513F0}" uniqueName="29" name="20204" queryTableFieldId="29"/>
    <tableColumn id="30" xr3:uid="{215C1793-2FFE-482B-B0DA-1002CB30D3F8}" uniqueName="30" name="20220" queryTableFieldId="30"/>
    <tableColumn id="31" xr3:uid="{2F4053EE-24F2-4239-B112-5F26E2B26357}" uniqueName="31" name="20230" queryTableFieldId="31"/>
    <tableColumn id="32" xr3:uid="{CEE12A42-F6A6-4A31-BC09-DB66F3238E53}" uniqueName="32" name="20240" queryTableFieldId="32"/>
    <tableColumn id="33" xr3:uid="{890B6487-3DD6-4809-8928-27C37771AB0A}" uniqueName="33" name="20245" queryTableFieldId="33"/>
    <tableColumn id="34" xr3:uid="{808A8481-B48B-4105-B91D-B5E2529FDBB0}" uniqueName="34" name="20250" queryTableFieldId="34"/>
    <tableColumn id="35" xr3:uid="{DE3C8DC8-D820-4134-9083-1700F909FC03}" uniqueName="35" name="20260" queryTableFieldId="35"/>
    <tableColumn id="36" xr3:uid="{B65A8062-881B-4EFC-A881-65896D07C4E1}" uniqueName="36" name="20317" queryTableFieldId="36"/>
    <tableColumn id="37" xr3:uid="{F0AAC9DA-4EED-4E34-A89A-827E13B46A8C}" uniqueName="37" name="20319" queryTableFieldId="37"/>
    <tableColumn id="38" xr3:uid="{6F5E471A-0817-4E43-B0B3-FFAD4EE7DBD7}" uniqueName="38" name="20373" queryTableFieldId="38"/>
    <tableColumn id="39" xr3:uid="{988D4895-2AAD-41D1-821D-2D08EC096B25}" uniqueName="39" name="20388" queryTableFieldId="39"/>
    <tableColumn id="40" xr3:uid="{DD23167B-AFEC-48D2-9F2C-7B3533D991AF}" uniqueName="40" name="20390" queryTableFieldId="40"/>
    <tableColumn id="41" xr3:uid="{A8D84BED-E411-4756-AB68-91FD7B545722}" uniqueName="41" name="20408" queryTableFieldId="41"/>
    <tableColumn id="42" xr3:uid="{C3D0F970-DBED-4759-93FA-95862FA8DE59}" uniqueName="42" name="20415" queryTableFieldId="42"/>
    <tableColumn id="43" xr3:uid="{4D9461B4-EE27-429A-8FF1-9E190903A03D}" uniqueName="43" name="20418" queryTableFieldId="43"/>
    <tableColumn id="44" xr3:uid="{1CAADF31-85D4-4737-9E07-40B8248A46E2}" uniqueName="44" name="20422" queryTableFieldId="44"/>
    <tableColumn id="45" xr3:uid="{F5C7A6B2-B1A4-4AD3-A0B5-E2DB946AFE8F}" uniqueName="45" name="20427" queryTableFieldId="45"/>
    <tableColumn id="46" xr3:uid="{43688C8C-9CA4-4EDA-B0AE-A65D02575F27}" uniqueName="46" name="20431" queryTableFieldId="46"/>
    <tableColumn id="47" xr3:uid="{D8A453BB-FC40-4FE6-8545-F486A0AD9083}" uniqueName="47" name="20510" queryTableFieldId="47"/>
    <tableColumn id="48" xr3:uid="{2E8B12F4-365B-4EF5-B036-866236B285C0}" uniqueName="48" name="20515" queryTableFieldId="48"/>
    <tableColumn id="49" xr3:uid="{2424F57A-57ED-4BA0-8CCA-0D2FA4E6455A}" uniqueName="49" name="20520" queryTableFieldId="49"/>
    <tableColumn id="50" xr3:uid="{CA6BC3C5-1596-43FA-9681-E31725F185B6}" uniqueName="50" name="20530" queryTableFieldId="50"/>
    <tableColumn id="51" xr3:uid="{9CDC00BB-5E7B-4703-8289-7352F539AA1B}" uniqueName="51" name="20535" queryTableFieldId="51"/>
    <tableColumn id="52" xr3:uid="{F5ADDD38-BC7A-4836-BB81-8ABE26FDD551}" uniqueName="52" name="20540" queryTableFieldId="52"/>
    <tableColumn id="53" xr3:uid="{04B8D9F3-154D-44FF-A9DE-4AED2B29E6AC}" uniqueName="53" name="20542" queryTableFieldId="53"/>
    <tableColumn id="54" xr3:uid="{DCE9EE92-0E33-4B96-AAA2-F4F358250644}" uniqueName="54" name="20551" queryTableFieldId="54"/>
    <tableColumn id="55" xr3:uid="{FC4C541B-59AC-48D3-A135-D5C4D4E1A490}" uniqueName="55" name="20560" queryTableFieldId="55"/>
    <tableColumn id="56" xr3:uid="{8671AAD2-6DFB-4464-AC3A-029855FB298F}" uniqueName="56" name="20565" queryTableFieldId="56"/>
    <tableColumn id="57" xr3:uid="{AD995274-CEA8-4364-9A91-A9F98DEDAB27}" uniqueName="57" name="20566" queryTableFieldId="57"/>
    <tableColumn id="58" xr3:uid="{D6182A72-C974-4DC9-94B5-5C080D9DBE42}" uniqueName="58" name="20591" queryTableFieldId="58"/>
    <tableColumn id="59" xr3:uid="{36C70ADC-1100-44F5-BB27-62DD3D853AE5}" uniqueName="59" name="30002" queryTableFieldId="59"/>
    <tableColumn id="60" xr3:uid="{BF9F4AA3-4963-4A50-A525-E15AA0A8C6F0}" uniqueName="60" name="30004" queryTableFieldId="60"/>
    <tableColumn id="61" xr3:uid="{B1D700FF-6B08-4900-B37D-3E51D74F9688}" uniqueName="61" name="30005" queryTableFieldId="61"/>
    <tableColumn id="62" xr3:uid="{A62901E4-CF17-42FF-A53C-4A6B4D4FDFDA}" uniqueName="62" name="30008" queryTableFieldId="62"/>
    <tableColumn id="63" xr3:uid="{0B096AD7-403F-402A-B93F-8ADE7D3EDEE5}" uniqueName="63" name="30009" queryTableFieldId="63"/>
    <tableColumn id="64" xr3:uid="{9344EAC5-BEBA-4FA8-85B5-1B13417CEE39}" uniqueName="64" name="30011" queryTableFieldId="64"/>
    <tableColumn id="65" xr3:uid="{89ECADF6-5045-4B73-9F80-74A35D1A3036}" uniqueName="65" name="30012" queryTableFieldId="65"/>
    <tableColumn id="66" xr3:uid="{4D0A9A56-E459-4CF3-87C2-B4A6536CE7B7}" uniqueName="66" name="30013" queryTableFieldId="66"/>
    <tableColumn id="67" xr3:uid="{99BD278C-3E00-4B40-9C85-CCAD5BC88DD5}" uniqueName="67" name="30014" queryTableFieldId="67"/>
    <tableColumn id="68" xr3:uid="{93216A8D-8997-448B-B311-8A915F5C304F}" uniqueName="68" name="30016" queryTableFieldId="68"/>
    <tableColumn id="69" xr3:uid="{60B4F23D-B2A9-4546-A86E-E0C7156E2349}" uniqueName="69" name="30017" queryTableFieldId="69"/>
    <tableColumn id="70" xr3:uid="{F65F9010-536D-41A0-92A2-25E41430F0CB}" uniqueName="70" name="30018" queryTableFieldId="70"/>
    <tableColumn id="71" xr3:uid="{0F85F9BC-2C6B-4EF3-A508-FA0D1180A50D}" uniqueName="71" name="30019" queryTableFieldId="71"/>
    <tableColumn id="72" xr3:uid="{C5F0F151-1FFC-4172-B163-619DA7C57BD4}" uniqueName="72" name="30021" queryTableFieldId="72"/>
    <tableColumn id="73" xr3:uid="{A07EF5FA-F6F5-45AC-9F94-13374EEB2BAF}" uniqueName="73" name="30022" queryTableFieldId="73"/>
    <tableColumn id="74" xr3:uid="{FD2026F6-49C6-458B-AC84-DE813FF16DCD}" uniqueName="74" name="30024" queryTableFieldId="74"/>
    <tableColumn id="75" xr3:uid="{A23708E7-7B32-4D42-B647-8A28E470B611}" uniqueName="75" name="30025" queryTableFieldId="75"/>
    <tableColumn id="76" xr3:uid="{82AE9E5B-0B17-4F53-ABD3-246DC564D47A}" uniqueName="76" name="30028" queryTableFieldId="76"/>
    <tableColumn id="77" xr3:uid="{73C53FC9-CF83-4824-8A28-872E3CEDA904}" uniqueName="77" name="30030" queryTableFieldId="77"/>
    <tableColumn id="78" xr3:uid="{63A6FCB6-F9A8-4F41-9E89-E0A58D6D3F5E}" uniqueName="78" name="30032" queryTableFieldId="78"/>
    <tableColumn id="79" xr3:uid="{2D786ADA-F9E8-4E06-9667-DE8AC18649BB}" uniqueName="79" name="30033" queryTableFieldId="79"/>
    <tableColumn id="80" xr3:uid="{647142F7-2FE7-4989-A80B-D8ADB932E4B1}" uniqueName="80" name="30034" queryTableFieldId="80"/>
    <tableColumn id="81" xr3:uid="{4F612C1B-E4A0-4598-B91C-D64A2C9049E1}" uniqueName="81" name="30035" queryTableFieldId="81"/>
    <tableColumn id="82" xr3:uid="{4667DF3A-9C8C-4733-8185-076E75BF7669}" uniqueName="82" name="30038" queryTableFieldId="82"/>
    <tableColumn id="83" xr3:uid="{FBCADFEF-70B1-42A2-9BA4-13ECC0505DAB}" uniqueName="83" name="30039" queryTableFieldId="83"/>
    <tableColumn id="84" xr3:uid="{2CA548F0-8101-416A-94ED-9E99196FA739}" uniqueName="84" name="30040" queryTableFieldId="84"/>
    <tableColumn id="85" xr3:uid="{31EB3289-6C28-4B18-BB6E-013559603262}" uniqueName="85" name="30041" queryTableFieldId="85"/>
    <tableColumn id="86" xr3:uid="{B9A3075D-3119-49B0-9924-26B8F9998955}" uniqueName="86" name="30043" queryTableFieldId="86"/>
    <tableColumn id="87" xr3:uid="{818496DA-37EB-40B6-83F9-E83CDB162C68}" uniqueName="87" name="30044" queryTableFieldId="87"/>
    <tableColumn id="88" xr3:uid="{39F1AA4E-7742-4EB3-BF71-FCEC64689C5B}" uniqueName="88" name="30045" queryTableFieldId="88"/>
    <tableColumn id="89" xr3:uid="{D39BFB3B-9F8C-4730-A0B1-1247E3C0B312}" uniqueName="89" name="30046" queryTableFieldId="89"/>
    <tableColumn id="90" xr3:uid="{ECCEC047-9145-4C11-AAC6-BC26018A51EB}" uniqueName="90" name="30047" queryTableFieldId="90"/>
    <tableColumn id="91" xr3:uid="{989E10B1-1464-4B9E-8055-186BB549E133}" uniqueName="91" name="30052" queryTableFieldId="91"/>
    <tableColumn id="92" xr3:uid="{C028B704-1F92-450B-92AF-081DAB6C939A}" uniqueName="92" name="30054" queryTableFieldId="92"/>
    <tableColumn id="93" xr3:uid="{9ACB37F2-2E5E-436C-9A3D-838C482AD67B}" uniqueName="93" name="30055" queryTableFieldId="93"/>
    <tableColumn id="94" xr3:uid="{559FDE12-B8A9-4CED-8E51-86D3C29CB1D3}" uniqueName="94" name="30056" queryTableFieldId="94"/>
    <tableColumn id="95" xr3:uid="{9729EF5A-45A9-4E97-8A4D-AA8404AD9BFF}" uniqueName="95" name="30058" queryTableFieldId="95"/>
    <tableColumn id="96" xr3:uid="{2B4049A3-1E42-454F-9C2A-FB24F8F6068C}" uniqueName="96" name="30060" queryTableFieldId="96"/>
    <tableColumn id="97" xr3:uid="{562D28FB-1761-4B12-9FAA-24E1FAA1F361}" uniqueName="97" name="30062" queryTableFieldId="97"/>
    <tableColumn id="98" xr3:uid="{97A7B2E0-DC66-48F9-818F-3E0D6EBBC7D6}" uniqueName="98" name="30064" queryTableFieldId="98"/>
    <tableColumn id="99" xr3:uid="{12EA6D2A-1EAA-48FC-B61E-5D888FCB6960}" uniqueName="99" name="30066" queryTableFieldId="99"/>
    <tableColumn id="100" xr3:uid="{764D1996-9E1D-4D1B-94B2-7E0333D0FAA9}" uniqueName="100" name="30067" queryTableFieldId="100"/>
    <tableColumn id="101" xr3:uid="{7E7DD828-B36E-4D41-ABA5-23E7E363DD71}" uniqueName="101" name="30068" queryTableFieldId="101"/>
    <tableColumn id="102" xr3:uid="{C9AB726F-58A0-428F-823E-A38D32549BB3}" uniqueName="102" name="30070" queryTableFieldId="102"/>
    <tableColumn id="103" xr3:uid="{519D7D3C-6D79-4D2F-A7FF-BF3EC269884C}" uniqueName="103" name="30071" queryTableFieldId="103"/>
    <tableColumn id="104" xr3:uid="{1E40301C-E093-4C44-942C-EDB2D3051CE9}" uniqueName="104" name="30072" queryTableFieldId="104"/>
    <tableColumn id="105" xr3:uid="{AC347B4D-AE61-4ED2-9664-40BD0717C81D}" uniqueName="105" name="30075" queryTableFieldId="105"/>
    <tableColumn id="106" xr3:uid="{03468BA2-39D6-4CA0-BF6D-A51F3B6869A7}" uniqueName="106" name="30076" queryTableFieldId="106"/>
    <tableColumn id="107" xr3:uid="{795E6BF2-DEF2-492B-946D-649F5B92CD41}" uniqueName="107" name="30078" queryTableFieldId="107"/>
    <tableColumn id="108" xr3:uid="{364879C4-1742-435C-B6E3-A5257DFEA186}" uniqueName="108" name="30079" queryTableFieldId="108"/>
    <tableColumn id="109" xr3:uid="{317602FC-EA8A-4AEA-A82E-70A71BDFE37A}" uniqueName="109" name="30080" queryTableFieldId="109"/>
    <tableColumn id="110" xr3:uid="{4C2E0AD9-D75A-46B0-8AD4-A271D3451BEB}" uniqueName="110" name="30082" queryTableFieldId="110"/>
    <tableColumn id="111" xr3:uid="{8838C887-F018-452D-B3B8-26C39BE6CC0B}" uniqueName="111" name="30083" queryTableFieldId="111"/>
    <tableColumn id="112" xr3:uid="{0539CFC4-721E-4F79-A143-70ABCD8032CC}" uniqueName="112" name="30084" queryTableFieldId="112"/>
    <tableColumn id="113" xr3:uid="{37C49133-5890-4E30-9169-DE6E5EDBE251}" uniqueName="113" name="30087" queryTableFieldId="113"/>
    <tableColumn id="114" xr3:uid="{69D60663-8DEF-46FE-9CC0-23F08FDA46A5}" uniqueName="114" name="30088" queryTableFieldId="114"/>
    <tableColumn id="115" xr3:uid="{16AC76EE-764B-4D6B-8786-310D64F8C2F9}" uniqueName="115" name="30090" queryTableFieldId="115"/>
    <tableColumn id="116" xr3:uid="{D22C34B7-93E5-45B5-A34F-D7083608CB12}" uniqueName="116" name="30092" queryTableFieldId="116"/>
    <tableColumn id="117" xr3:uid="{410CD53B-0105-4E65-997F-278327814635}" uniqueName="117" name="30093" queryTableFieldId="117"/>
    <tableColumn id="118" xr3:uid="{48B6D8CC-5D07-445D-88D6-4576E0505A4E}" uniqueName="118" name="30094" queryTableFieldId="118"/>
    <tableColumn id="119" xr3:uid="{D26A4D25-6D08-4018-876E-0AAB00566221}" uniqueName="119" name="30096" queryTableFieldId="119"/>
    <tableColumn id="120" xr3:uid="{17E2FFF4-B7DE-4560-B872-0590E1D7C826}" uniqueName="120" name="30097" queryTableFieldId="120"/>
    <tableColumn id="121" xr3:uid="{0D5B260E-2E39-4C06-9431-688E52280A8E}" uniqueName="121" name="30101" queryTableFieldId="121"/>
    <tableColumn id="122" xr3:uid="{40B83ECA-86EE-4373-AF89-58C40FD03DB7}" uniqueName="122" name="30102" queryTableFieldId="122"/>
    <tableColumn id="123" xr3:uid="{FA0FA346-B10D-4CA8-9F3C-FF86A6F4494B}" uniqueName="123" name="30103" queryTableFieldId="123"/>
    <tableColumn id="124" xr3:uid="{28BCD851-A00D-46E9-9B34-E3E869C7B245}" uniqueName="124" name="30104" queryTableFieldId="124"/>
    <tableColumn id="125" xr3:uid="{71B31E4B-2D7F-40AC-B06A-969725B303AC}" uniqueName="125" name="30105" queryTableFieldId="125"/>
    <tableColumn id="126" xr3:uid="{4DF7ECAE-0E23-46CD-846F-3E7F38D420CA}" uniqueName="126" name="30106" queryTableFieldId="126"/>
    <tableColumn id="127" xr3:uid="{F2B9420F-C3E8-4571-A83B-AA0650E2A289}" uniqueName="127" name="30107" queryTableFieldId="127"/>
    <tableColumn id="128" xr3:uid="{96DB13D7-0EF8-4FB7-A576-FC9FC3D3D4C9}" uniqueName="128" name="30108" queryTableFieldId="128"/>
    <tableColumn id="129" xr3:uid="{73207F49-A785-427E-9E1B-089296268650}" uniqueName="129" name="30110" queryTableFieldId="129"/>
    <tableColumn id="130" xr3:uid="{46D005E0-6F55-4FDC-ABC6-A1FFFF58C321}" uniqueName="130" name="30111" queryTableFieldId="130"/>
    <tableColumn id="131" xr3:uid="{73A58984-92CF-4C16-BE2D-3623203F97B7}" uniqueName="131" name="30113" queryTableFieldId="131"/>
    <tableColumn id="132" xr3:uid="{E217E127-BA7F-4734-8583-1608BCD65AB8}" uniqueName="132" name="30114" queryTableFieldId="132"/>
    <tableColumn id="133" xr3:uid="{D3509B17-EA5B-498E-9CE3-AD82F3BB6633}" uniqueName="133" name="30115" queryTableFieldId="133"/>
    <tableColumn id="134" xr3:uid="{E7250B9C-2FE3-440F-B021-5DBA2B4EFFCD}" uniqueName="134" name="30116" queryTableFieldId="134"/>
    <tableColumn id="135" xr3:uid="{5A37673B-B0CD-4B19-A582-B622DF04CF86}" uniqueName="135" name="30117" queryTableFieldId="135"/>
    <tableColumn id="136" xr3:uid="{AB9EE074-107D-4880-B16F-7F08FB95780E}" uniqueName="136" name="30118" queryTableFieldId="136"/>
    <tableColumn id="137" xr3:uid="{ED44FF35-0A41-4518-BB85-F93B898F54D9}" uniqueName="137" name="30120" queryTableFieldId="137"/>
    <tableColumn id="138" xr3:uid="{C5729706-74F1-4116-996E-5A06D18395D1}" uniqueName="138" name="30121" queryTableFieldId="138"/>
    <tableColumn id="139" xr3:uid="{4BFFD76D-322F-43DC-B2DA-1B681F8E8676}" uniqueName="139" name="30122" queryTableFieldId="139"/>
    <tableColumn id="140" xr3:uid="{440F9D49-B66A-456D-B148-A49B76469C7F}" uniqueName="140" name="30124" queryTableFieldId="140"/>
    <tableColumn id="141" xr3:uid="{89F7769A-9525-4B4B-A6FD-9DB57A91A465}" uniqueName="141" name="30125" queryTableFieldId="141"/>
    <tableColumn id="142" xr3:uid="{1003927F-C83E-4875-9833-56327CEEF05E}" uniqueName="142" name="30126" queryTableFieldId="142"/>
    <tableColumn id="143" xr3:uid="{9B953BCC-696C-4927-AF47-1E01FAD982EE}" uniqueName="143" name="30127" queryTableFieldId="143"/>
    <tableColumn id="144" xr3:uid="{F269E49D-0385-4852-AE00-EB3A6E4D23E6}" uniqueName="144" name="30132" queryTableFieldId="144"/>
    <tableColumn id="145" xr3:uid="{FE2F3274-A29E-4B94-AA33-B6EDDFA012B4}" uniqueName="145" name="30134" queryTableFieldId="145"/>
    <tableColumn id="146" xr3:uid="{C17DAFEB-86FB-430E-B3F5-4C501FCA7F1F}" uniqueName="146" name="30135" queryTableFieldId="146"/>
    <tableColumn id="147" xr3:uid="{392401A0-6C2A-4718-9DD0-C4AD99E958C5}" uniqueName="147" name="30137" queryTableFieldId="147"/>
    <tableColumn id="148" xr3:uid="{902CD449-B61A-4997-B86D-03170CE8AD7C}" uniqueName="148" name="30139" queryTableFieldId="148"/>
    <tableColumn id="149" xr3:uid="{161D60EC-57B1-4AB2-AB02-3E198BCA6E05}" uniqueName="149" name="30141" queryTableFieldId="149"/>
    <tableColumn id="150" xr3:uid="{8150747C-882A-4734-BC38-C3B485C39CF4}" uniqueName="150" name="30143" queryTableFieldId="150"/>
    <tableColumn id="151" xr3:uid="{4251DEC8-2877-4CB9-8FE3-E82B3B5C4767}" uniqueName="151" name="30144" queryTableFieldId="151"/>
    <tableColumn id="152" xr3:uid="{B9922F08-30CF-4750-A4F6-D68100E94391}" uniqueName="152" name="30145" queryTableFieldId="152"/>
    <tableColumn id="153" xr3:uid="{28D1F906-D9D9-4FC1-A9C4-1D683D1A4E5A}" uniqueName="153" name="30147" queryTableFieldId="153"/>
    <tableColumn id="154" xr3:uid="{0C451D83-3749-430B-BEC8-6372C45B1D18}" uniqueName="154" name="30148" queryTableFieldId="154"/>
    <tableColumn id="155" xr3:uid="{F39F219E-84DA-4033-81D4-FB87DAD434D5}" uniqueName="155" name="30149" queryTableFieldId="155"/>
    <tableColumn id="156" xr3:uid="{26399A59-A982-4DA9-9A32-E4585BC2E293}" uniqueName="156" name="30152" queryTableFieldId="156"/>
    <tableColumn id="157" xr3:uid="{27CBBE9C-D19F-42D6-B9D8-C10A740176EF}" uniqueName="157" name="30153" queryTableFieldId="157"/>
    <tableColumn id="158" xr3:uid="{FF37A520-5937-488A-863F-2144D6AE630B}" uniqueName="158" name="30157" queryTableFieldId="158"/>
    <tableColumn id="159" xr3:uid="{5A505263-261A-4003-A50B-E56FE426B9DD}" uniqueName="159" name="30161" queryTableFieldId="159"/>
    <tableColumn id="160" xr3:uid="{26CADE84-5868-4F82-AA7F-04597E787788}" uniqueName="160" name="30165" queryTableFieldId="160"/>
    <tableColumn id="161" xr3:uid="{C9A86367-0D1F-4C3E-9A98-37F5CD50F8E4}" uniqueName="161" name="30168" queryTableFieldId="161"/>
    <tableColumn id="162" xr3:uid="{8520A10D-6687-401D-91AF-8B0AC8DBA8B0}" uniqueName="162" name="30170" queryTableFieldId="162"/>
    <tableColumn id="163" xr3:uid="{C39FE256-8FFF-4FA2-B1CE-0C600C2B7654}" uniqueName="163" name="30171" queryTableFieldId="163"/>
    <tableColumn id="164" xr3:uid="{C375D816-6CBF-4C7F-8B16-1459F99BD9F8}" uniqueName="164" name="30173" queryTableFieldId="164"/>
    <tableColumn id="165" xr3:uid="{5E8440A7-FE22-4073-9683-A9482B9C485B}" uniqueName="165" name="30175" queryTableFieldId="165"/>
    <tableColumn id="166" xr3:uid="{576B8A88-3371-45A7-9737-E6F3FC8B55EA}" uniqueName="166" name="30176" queryTableFieldId="166"/>
    <tableColumn id="167" xr3:uid="{EA898E9E-23B3-4A3F-81AC-6B74FBF6BD49}" uniqueName="167" name="30177" queryTableFieldId="167"/>
    <tableColumn id="168" xr3:uid="{1B96837A-5754-4D23-ADDA-B03ACA7267EA}" uniqueName="168" name="30178" queryTableFieldId="168"/>
    <tableColumn id="169" xr3:uid="{1860B0B9-8318-4944-8F8B-84F4A7013836}" uniqueName="169" name="30179" queryTableFieldId="169"/>
    <tableColumn id="170" xr3:uid="{EFC4532B-3DD4-4D25-B98E-536AA4C0F2A5}" uniqueName="170" name="30180" queryTableFieldId="170"/>
    <tableColumn id="171" xr3:uid="{3CAB1E4D-2DE3-4F23-9840-4946EB3EEF55}" uniqueName="171" name="30182" queryTableFieldId="171"/>
    <tableColumn id="172" xr3:uid="{339CB3AB-8B9C-46A1-BCD2-C73D22328A31}" uniqueName="172" name="30183" queryTableFieldId="172"/>
    <tableColumn id="173" xr3:uid="{A95E6F77-92CC-4E46-8BD4-BB74B2DDE627}" uniqueName="173" name="30184" queryTableFieldId="173"/>
    <tableColumn id="174" xr3:uid="{6285739A-3B15-4077-93DD-4E16FA77D51D}" uniqueName="174" name="30185" queryTableFieldId="174"/>
    <tableColumn id="175" xr3:uid="{DE8CCCBE-F4DA-42F3-A95B-914EE30A4CE2}" uniqueName="175" name="30187" queryTableFieldId="175"/>
    <tableColumn id="176" xr3:uid="{EA7E10B4-E908-4477-9C3C-A81D3BDE80DB}" uniqueName="176" name="30188" queryTableFieldId="176"/>
    <tableColumn id="177" xr3:uid="{68559801-98E8-4D45-ADA8-A37F3CCCD348}" uniqueName="177" name="30189" queryTableFieldId="177"/>
    <tableColumn id="178" xr3:uid="{1B29CC99-1BBF-4FCE-B942-F079D677332A}" uniqueName="178" name="30204" queryTableFieldId="178"/>
    <tableColumn id="179" xr3:uid="{E73968F6-E82D-43BC-9CDA-79BE09E841CC}" uniqueName="179" name="30205" queryTableFieldId="179"/>
    <tableColumn id="180" xr3:uid="{567BAF08-C3E4-4B5E-B629-D5788AE64104}" uniqueName="180" name="30206" queryTableFieldId="180"/>
    <tableColumn id="181" xr3:uid="{226B597B-0470-4B01-806C-3DEB700D37DA}" uniqueName="181" name="30213" queryTableFieldId="181"/>
    <tableColumn id="182" xr3:uid="{DFA67CC5-7E7B-407A-A9BF-5CBAA0E9D135}" uniqueName="182" name="30214" queryTableFieldId="182"/>
    <tableColumn id="183" xr3:uid="{41C520E5-EF51-4540-8C57-C77BB25C4892}" uniqueName="183" name="30215" queryTableFieldId="183"/>
    <tableColumn id="184" xr3:uid="{7F39F989-B43F-4527-BFFE-8B409119E4E9}" uniqueName="184" name="30216" queryTableFieldId="184"/>
    <tableColumn id="185" xr3:uid="{36C6CBFA-E81F-432C-9AF1-882B6468A90F}" uniqueName="185" name="30217" queryTableFieldId="185"/>
    <tableColumn id="186" xr3:uid="{AE3C1A09-A903-43DF-978B-5544A54FC7A6}" uniqueName="186" name="30218" queryTableFieldId="186"/>
    <tableColumn id="187" xr3:uid="{4B82D895-5340-41EB-9D41-7CC020271ABD}" uniqueName="187" name="30220" queryTableFieldId="187"/>
    <tableColumn id="188" xr3:uid="{1EADAE31-E5C5-4CD7-AC39-EEC5863837FC}" uniqueName="188" name="30222" queryTableFieldId="188"/>
    <tableColumn id="189" xr3:uid="{8B078E6F-1D80-45A1-A34D-4893CB902D9C}" uniqueName="189" name="30223" queryTableFieldId="189"/>
    <tableColumn id="190" xr3:uid="{9A420D06-0BF6-477C-8506-7771DA38D63F}" uniqueName="190" name="30224" queryTableFieldId="190"/>
    <tableColumn id="191" xr3:uid="{14009CE8-9BAE-4B0A-8311-D11B63F51CA6}" uniqueName="191" name="30228" queryTableFieldId="191"/>
    <tableColumn id="192" xr3:uid="{B04C81B3-14FA-4E07-BB3D-780C87810C39}" uniqueName="192" name="30229" queryTableFieldId="192"/>
    <tableColumn id="193" xr3:uid="{0F2A7051-2C35-461B-B2CF-EC8AC19686C6}" uniqueName="193" name="30230" queryTableFieldId="193"/>
    <tableColumn id="194" xr3:uid="{2F6215A4-C405-482C-9332-F369B5786681}" uniqueName="194" name="30233" queryTableFieldId="194"/>
    <tableColumn id="195" xr3:uid="{EEF02310-E1A7-485B-8D73-8C10FB7B92E2}" uniqueName="195" name="30234" queryTableFieldId="195"/>
    <tableColumn id="196" xr3:uid="{BE7414A6-CF91-4A92-AA5D-26D9A5DD16E3}" uniqueName="196" name="30236" queryTableFieldId="196"/>
    <tableColumn id="197" xr3:uid="{B107333C-9ADF-4DF4-A8C4-3711ADACC24E}" uniqueName="197" name="30238" queryTableFieldId="197"/>
    <tableColumn id="198" xr3:uid="{9FEC5B11-3F72-48D7-9DF6-E7984A81802B}" uniqueName="198" name="30240" queryTableFieldId="198"/>
    <tableColumn id="199" xr3:uid="{BC48605A-703A-4A23-9A88-ABAA13C36A3C}" uniqueName="199" name="30241" queryTableFieldId="199"/>
    <tableColumn id="200" xr3:uid="{E6407486-6150-417E-8A50-F2157E049D63}" uniqueName="200" name="30248" queryTableFieldId="200"/>
    <tableColumn id="201" xr3:uid="{A9D5C0EF-CA30-4264-93BF-022DF842FE00}" uniqueName="201" name="30250" queryTableFieldId="201"/>
    <tableColumn id="202" xr3:uid="{D0A856B5-65A3-4FBF-9C2D-9E864AD5BC83}" uniqueName="202" name="30251" queryTableFieldId="202"/>
    <tableColumn id="203" xr3:uid="{F8AD6100-54F0-47D7-B1E4-971A93AF7051}" uniqueName="203" name="30252" queryTableFieldId="203"/>
    <tableColumn id="204" xr3:uid="{76DA7431-3987-47B6-90B4-E8039234F7C2}" uniqueName="204" name="30253" queryTableFieldId="204"/>
    <tableColumn id="205" xr3:uid="{8C202CD7-8C23-445F-B8FA-0327FA2C0544}" uniqueName="205" name="30256" queryTableFieldId="205"/>
    <tableColumn id="206" xr3:uid="{DA45FFA8-CD94-4B01-8568-282BDDC7ABE2}" uniqueName="206" name="30257" queryTableFieldId="206"/>
    <tableColumn id="207" xr3:uid="{E45C98BF-03E3-41C1-AE74-27A20C3320D9}" uniqueName="207" name="30258" queryTableFieldId="207"/>
    <tableColumn id="208" xr3:uid="{783F9B37-614C-439B-8099-846B459217E2}" uniqueName="208" name="30259" queryTableFieldId="208"/>
    <tableColumn id="209" xr3:uid="{0368F87E-E373-4392-B4C6-61C4165118E7}" uniqueName="209" name="30260" queryTableFieldId="209"/>
    <tableColumn id="210" xr3:uid="{126516AE-5BD0-425D-8186-81E0B6AB06C0}" uniqueName="210" name="30263" queryTableFieldId="210"/>
    <tableColumn id="211" xr3:uid="{B4ABBEF6-48F6-4EB9-83D4-A9AB37CA66FB}" uniqueName="211" name="30265" queryTableFieldId="211"/>
    <tableColumn id="212" xr3:uid="{1C78A235-73CE-4227-84B5-A50F9067379C}" uniqueName="212" name="30268" queryTableFieldId="212"/>
    <tableColumn id="213" xr3:uid="{612F0440-778E-4E27-AFCF-86D65BFC2AD8}" uniqueName="213" name="30269" queryTableFieldId="213"/>
    <tableColumn id="214" xr3:uid="{2958FC2B-51BB-4D64-B3AE-F5198B388241}" uniqueName="214" name="30272" queryTableFieldId="214"/>
    <tableColumn id="215" xr3:uid="{6497A934-C858-48AB-8D70-DE5F50BFD45A}" uniqueName="215" name="30273" queryTableFieldId="215"/>
    <tableColumn id="216" xr3:uid="{2CF4DC2E-606C-47A8-9DD4-C70630813E86}" uniqueName="216" name="30274" queryTableFieldId="216"/>
    <tableColumn id="217" xr3:uid="{768A6855-E348-4C51-9479-989DB2061952}" uniqueName="217" name="30275" queryTableFieldId="217"/>
    <tableColumn id="218" xr3:uid="{7A7797DA-2D1C-4B19-AEDC-E7FFDDA2599E}" uniqueName="218" name="30276" queryTableFieldId="218"/>
    <tableColumn id="219" xr3:uid="{4DD032FE-D2B1-4F37-B3B4-25C2519E2E46}" uniqueName="219" name="30277" queryTableFieldId="219"/>
    <tableColumn id="220" xr3:uid="{50265709-69CF-4504-9A6D-B9074170A4DD}" uniqueName="220" name="30281" queryTableFieldId="220"/>
    <tableColumn id="221" xr3:uid="{1B09BF94-F1D6-4AEB-B99C-94EA4735611E}" uniqueName="221" name="30284" queryTableFieldId="221"/>
    <tableColumn id="222" xr3:uid="{215A9B7D-F9D4-4F34-A50A-3BF82880B4EA}" uniqueName="222" name="30285" queryTableFieldId="222"/>
    <tableColumn id="223" xr3:uid="{04E2947D-BB81-4D6F-87B2-15CA32C484E5}" uniqueName="223" name="30286" queryTableFieldId="223"/>
    <tableColumn id="224" xr3:uid="{2128B21B-FB74-436D-B4D4-98F10270426C}" uniqueName="224" name="30288" queryTableFieldId="224"/>
    <tableColumn id="225" xr3:uid="{DD12C389-7F8A-41FD-8852-3AB31B3481E8}" uniqueName="225" name="30289" queryTableFieldId="225"/>
    <tableColumn id="226" xr3:uid="{022FE96C-77A9-4FC3-A951-DF00031FB2EB}" uniqueName="226" name="30290" queryTableFieldId="226"/>
    <tableColumn id="227" xr3:uid="{E76E0973-CBDA-4E0B-A7CB-07A4AA37DDD0}" uniqueName="227" name="30291" queryTableFieldId="227"/>
    <tableColumn id="228" xr3:uid="{AC87F95F-7DF3-48AC-BEB1-821C3C0DE781}" uniqueName="228" name="30292" queryTableFieldId="228"/>
    <tableColumn id="229" xr3:uid="{7C534598-262B-4D56-91A0-1342809DB246}" uniqueName="229" name="30293" queryTableFieldId="229"/>
    <tableColumn id="230" xr3:uid="{CF231D76-161C-4896-8018-F2684C9ECEED}" uniqueName="230" name="30294" queryTableFieldId="230"/>
    <tableColumn id="231" xr3:uid="{883EFBEE-F9BD-49AC-8563-FC1F45933E1B}" uniqueName="231" name="30295" queryTableFieldId="231"/>
    <tableColumn id="232" xr3:uid="{2FB637B4-7062-4B26-A7DF-8D653288BEFE}" uniqueName="232" name="30296" queryTableFieldId="232"/>
    <tableColumn id="233" xr3:uid="{B9DF6209-1837-473D-8D4D-815FD15C99C6}" uniqueName="233" name="30297" queryTableFieldId="233"/>
    <tableColumn id="234" xr3:uid="{21509193-E2E1-4E26-95D4-EEF083FA3AE0}" uniqueName="234" name="30303" queryTableFieldId="234"/>
    <tableColumn id="235" xr3:uid="{AA7EA6A7-47AE-43F0-8080-06A7833662D0}" uniqueName="235" name="30305" queryTableFieldId="235"/>
    <tableColumn id="236" xr3:uid="{4FD3ABDC-777F-468F-B28C-AF3206BD0833}" uniqueName="236" name="30306" queryTableFieldId="236"/>
    <tableColumn id="237" xr3:uid="{899C7DB5-FE3E-4F77-984B-7C0C3509D89B}" uniqueName="237" name="30307" queryTableFieldId="237"/>
    <tableColumn id="238" xr3:uid="{3CCD2B75-F7C6-40C7-AB3B-B39E1D5A711E}" uniqueName="238" name="30308" queryTableFieldId="238"/>
    <tableColumn id="239" xr3:uid="{CAE8A108-1575-4C5F-A337-3687B0B1CF3F}" uniqueName="239" name="30309" queryTableFieldId="239"/>
    <tableColumn id="240" xr3:uid="{83AD65A3-4082-4CDD-84A9-68A13BDD7C46}" uniqueName="240" name="30310" queryTableFieldId="240"/>
    <tableColumn id="241" xr3:uid="{4D3D918C-F7E9-491B-AA05-A03BF84E5C4A}" uniqueName="241" name="30311" queryTableFieldId="241"/>
    <tableColumn id="242" xr3:uid="{17B62CDA-8FC5-44D1-B0FA-0500F6928C53}" uniqueName="242" name="30312" queryTableFieldId="242"/>
    <tableColumn id="243" xr3:uid="{9CB62869-0874-4C77-96E5-31384169B119}" uniqueName="243" name="30313" queryTableFieldId="243"/>
    <tableColumn id="244" xr3:uid="{0E20F87F-3180-411C-999B-278E63512CC0}" uniqueName="244" name="30314" queryTableFieldId="244"/>
    <tableColumn id="245" xr3:uid="{51ED7E7F-0A41-443B-B0B6-83B9ADD62053}" uniqueName="245" name="30315" queryTableFieldId="245"/>
    <tableColumn id="246" xr3:uid="{594410A8-2A03-4952-B343-F366A1D7B12D}" uniqueName="246" name="30316" queryTableFieldId="246"/>
    <tableColumn id="247" xr3:uid="{0C77960B-9678-4E5A-9C12-94FCD8BE394C}" uniqueName="247" name="30317" queryTableFieldId="247"/>
    <tableColumn id="248" xr3:uid="{133A22B5-596D-460A-A9DC-F865BE276D41}" uniqueName="248" name="30318" queryTableFieldId="248"/>
    <tableColumn id="249" xr3:uid="{8034800E-5F75-48FA-9B90-A1B5CB8037AE}" uniqueName="249" name="30319" queryTableFieldId="249"/>
    <tableColumn id="250" xr3:uid="{BAB31D55-60CF-4BEB-A3B3-A99F81B3AA67}" uniqueName="250" name="30322" queryTableFieldId="250"/>
    <tableColumn id="251" xr3:uid="{AB2FC7F6-DCFF-46D0-8395-5FC78FCF7D9A}" uniqueName="251" name="30324" queryTableFieldId="251"/>
    <tableColumn id="252" xr3:uid="{6267C442-9328-41DA-812C-2178C5F44135}" uniqueName="252" name="30326" queryTableFieldId="252"/>
    <tableColumn id="253" xr3:uid="{BF8206F5-5B6C-46FC-969F-9B2EFE03366D}" uniqueName="253" name="30327" queryTableFieldId="253"/>
    <tableColumn id="254" xr3:uid="{97D8EB52-3E9E-48BE-888D-E9F86225FE38}" uniqueName="254" name="30328" queryTableFieldId="254"/>
    <tableColumn id="255" xr3:uid="{4413AA78-D580-4A5B-AA21-A6E48E08501C}" uniqueName="255" name="30329" queryTableFieldId="255"/>
    <tableColumn id="256" xr3:uid="{94D68C05-201C-44BD-ADB2-62FF70BAEEBC}" uniqueName="256" name="30331" queryTableFieldId="256"/>
    <tableColumn id="257" xr3:uid="{0ACD7FD9-7F1C-4346-9C83-7102FB08A76B}" uniqueName="257" name="30332" queryTableFieldId="257"/>
    <tableColumn id="258" xr3:uid="{808E0C83-D552-4F22-BDF3-C5280489D3FE}" uniqueName="258" name="30334" queryTableFieldId="258"/>
    <tableColumn id="259" xr3:uid="{1ABE0129-DB53-453A-B3BA-97F03B4B0A19}" uniqueName="259" name="30336" queryTableFieldId="259"/>
    <tableColumn id="260" xr3:uid="{01128283-DCB9-4C5D-95AA-9965C8A56807}" uniqueName="260" name="30337" queryTableFieldId="260"/>
    <tableColumn id="261" xr3:uid="{F5A624CC-B123-4AB4-9260-02324292915B}" uniqueName="261" name="30338" queryTableFieldId="261"/>
    <tableColumn id="262" xr3:uid="{41520ABB-ED89-4A47-92BC-BDDA78CE66BB}" uniqueName="262" name="30339" queryTableFieldId="262"/>
    <tableColumn id="263" xr3:uid="{673F9633-C580-4B14-8E6D-E95D1A3F10D6}" uniqueName="263" name="30340" queryTableFieldId="263"/>
    <tableColumn id="264" xr3:uid="{259F7392-D343-4E9C-BCCD-5BEC845F1462}" uniqueName="264" name="30341" queryTableFieldId="264"/>
    <tableColumn id="265" xr3:uid="{1C44EFC9-8983-4AE6-95DF-DAE578280465}" uniqueName="265" name="30342" queryTableFieldId="265"/>
    <tableColumn id="266" xr3:uid="{EFE53CFC-4EB8-4E85-843A-1183BF9AD40E}" uniqueName="266" name="30344" queryTableFieldId="266"/>
    <tableColumn id="267" xr3:uid="{3097EDCC-E6BF-4A95-9840-73FF88AFBF4C}" uniqueName="267" name="30345" queryTableFieldId="267"/>
    <tableColumn id="268" xr3:uid="{9AEDA871-4E83-4B3D-B54B-41ED03C95A09}" uniqueName="268" name="30346" queryTableFieldId="268"/>
    <tableColumn id="269" xr3:uid="{3AC41E00-DDFB-4F87-A90B-D12254625843}" uniqueName="269" name="30349" queryTableFieldId="269"/>
    <tableColumn id="270" xr3:uid="{36086FBC-B5B0-4BF4-A34F-744556BBEE94}" uniqueName="270" name="30350" queryTableFieldId="270"/>
    <tableColumn id="271" xr3:uid="{C6F6EF17-3C31-4F48-85BC-1B9202D5F7CC}" uniqueName="271" name="30354" queryTableFieldId="271"/>
    <tableColumn id="272" xr3:uid="{FE81039D-ADDA-4BAF-9F87-351EC9C879AD}" uniqueName="272" name="30360" queryTableFieldId="272"/>
    <tableColumn id="273" xr3:uid="{9D0001EC-599D-47D1-91A6-AE3F0DD9A781}" uniqueName="273" name="30363" queryTableFieldId="273"/>
    <tableColumn id="274" xr3:uid="{D991A2F4-7B00-4FF7-92FC-B72E33B999DD}" uniqueName="274" name="30401" queryTableFieldId="274"/>
    <tableColumn id="275" xr3:uid="{A43F840E-B56A-48A5-8F03-1799ABB8745B}" uniqueName="275" name="30410" queryTableFieldId="275"/>
    <tableColumn id="276" xr3:uid="{B0DE4F3A-5FF7-42B1-8793-1881C0C5F13D}" uniqueName="276" name="30411" queryTableFieldId="276"/>
    <tableColumn id="277" xr3:uid="{590E2B5F-4E73-465A-9F3A-1C04B5625578}" uniqueName="277" name="30412" queryTableFieldId="277"/>
    <tableColumn id="278" xr3:uid="{422233B6-ABF7-4BBF-9F82-122D7AD02986}" uniqueName="278" name="30413" queryTableFieldId="278"/>
    <tableColumn id="279" xr3:uid="{9E4BDECD-C2CC-4609-A509-83581F1AA544}" uniqueName="279" name="30414" queryTableFieldId="279"/>
    <tableColumn id="280" xr3:uid="{5AFE2049-4484-4A1F-8C85-833F3C577F70}" uniqueName="280" name="30415" queryTableFieldId="280"/>
    <tableColumn id="281" xr3:uid="{53B50C20-023E-44B3-B1DD-E5DC2193EEE3}" uniqueName="281" name="30417" queryTableFieldId="281"/>
    <tableColumn id="282" xr3:uid="{36ABCEC6-40EB-4EA3-8A86-5F7FA358A53B}" uniqueName="282" name="30420" queryTableFieldId="282"/>
    <tableColumn id="283" xr3:uid="{7A204359-B789-4634-8EFA-4D981D065D09}" uniqueName="283" name="30421" queryTableFieldId="283"/>
    <tableColumn id="284" xr3:uid="{3FED6317-F71A-4FCB-A147-38CEE6DA95D8}" uniqueName="284" name="30423" queryTableFieldId="284"/>
    <tableColumn id="285" xr3:uid="{288C83B6-EDBF-4D59-B452-85E8B93431D7}" uniqueName="285" name="30425" queryTableFieldId="285"/>
    <tableColumn id="286" xr3:uid="{C409BFD3-B87C-4F66-A7A7-9949195904DA}" uniqueName="286" name="30426" queryTableFieldId="286"/>
    <tableColumn id="287" xr3:uid="{DE4C8196-A034-4493-81C2-DCDA88F819E9}" uniqueName="287" name="30427" queryTableFieldId="287"/>
    <tableColumn id="288" xr3:uid="{D0D10A88-830D-40F2-819B-1802D07D71D6}" uniqueName="288" name="30428" queryTableFieldId="288"/>
    <tableColumn id="289" xr3:uid="{9448E7A7-4F2B-4D7D-9737-089EFA35A426}" uniqueName="289" name="30429" queryTableFieldId="289"/>
    <tableColumn id="290" xr3:uid="{43A51D31-FA7A-4113-BBA9-B62DCB3C8FCD}" uniqueName="290" name="30434" queryTableFieldId="290"/>
    <tableColumn id="291" xr3:uid="{1061BAA9-40BB-4ED2-BAA3-1BAEC6A3D818}" uniqueName="291" name="30436" queryTableFieldId="291"/>
    <tableColumn id="292" xr3:uid="{7134A6BA-C8EF-4C3B-9412-42D1E8A0E8E8}" uniqueName="292" name="30439" queryTableFieldId="292"/>
    <tableColumn id="293" xr3:uid="{E233FE98-8C3B-4050-97F6-15192F3EA9FC}" uniqueName="293" name="30441" queryTableFieldId="293"/>
    <tableColumn id="294" xr3:uid="{E3F02F77-895A-4CDE-A2A2-FDA7353BB90E}" uniqueName="294" name="30442" queryTableFieldId="294"/>
    <tableColumn id="295" xr3:uid="{9A2D2F31-D1B6-4838-85E2-334B41B6CB7C}" uniqueName="295" name="30445" queryTableFieldId="295"/>
    <tableColumn id="296" xr3:uid="{C210A90C-5C39-4392-ACBA-3603059D2827}" uniqueName="296" name="30446" queryTableFieldId="296"/>
    <tableColumn id="297" xr3:uid="{E84887DF-5ABD-43D4-8E47-6AFAF0B853B0}" uniqueName="297" name="30448" queryTableFieldId="297"/>
    <tableColumn id="298" xr3:uid="{7EFE9CAE-54C0-4142-A5DA-EE96936AA172}" uniqueName="298" name="30449" queryTableFieldId="298"/>
    <tableColumn id="299" xr3:uid="{7073F8E5-428B-4A92-B474-8B6D4673CC02}" uniqueName="299" name="30450" queryTableFieldId="299"/>
    <tableColumn id="300" xr3:uid="{CC839745-FD0B-4B9D-95F4-DD1418FF581E}" uniqueName="300" name="30451" queryTableFieldId="300"/>
    <tableColumn id="301" xr3:uid="{6F832600-3510-474E-843D-1F795BC4A78A}" uniqueName="301" name="30452" queryTableFieldId="301"/>
    <tableColumn id="302" xr3:uid="{5D95CA29-756C-4ABF-9A96-D1DE3C8667E6}" uniqueName="302" name="30453" queryTableFieldId="302"/>
    <tableColumn id="303" xr3:uid="{D4D6596D-716D-485E-B9CA-746B97DD44D6}" uniqueName="303" name="30454" queryTableFieldId="303"/>
    <tableColumn id="304" xr3:uid="{1DD1CE1E-5A53-4599-90BC-8465599ECC42}" uniqueName="304" name="30455" queryTableFieldId="304"/>
    <tableColumn id="305" xr3:uid="{A5FFEE0B-883E-46D8-A1AC-B93BF8613502}" uniqueName="305" name="30456" queryTableFieldId="305"/>
    <tableColumn id="306" xr3:uid="{9111717F-B3C3-4706-B4A9-3933E4409B13}" uniqueName="306" name="30457" queryTableFieldId="306"/>
    <tableColumn id="307" xr3:uid="{B45F10A6-9463-465C-B905-31FCF62043E5}" uniqueName="307" name="30458" queryTableFieldId="307"/>
    <tableColumn id="308" xr3:uid="{7227C212-8611-47F1-892A-63A303008ED3}" uniqueName="308" name="30460" queryTableFieldId="308"/>
    <tableColumn id="309" xr3:uid="{E1CD0915-F2BA-45D6-BEC2-02C88D694781}" uniqueName="309" name="30461" queryTableFieldId="309"/>
    <tableColumn id="310" xr3:uid="{44E67255-0FF1-4C54-AC29-969177F5FFD8}" uniqueName="310" name="30464" queryTableFieldId="310"/>
    <tableColumn id="311" xr3:uid="{BE88788E-0AFF-4D40-83A4-DC2CC32BACAE}" uniqueName="311" name="30467" queryTableFieldId="311"/>
    <tableColumn id="312" xr3:uid="{04F6BF01-697F-4FE5-9660-3290F51F76FF}" uniqueName="312" name="30470" queryTableFieldId="312"/>
    <tableColumn id="313" xr3:uid="{95366D92-E882-445B-A3DE-45A80FDBB94C}" uniqueName="313" name="30471" queryTableFieldId="313"/>
    <tableColumn id="314" xr3:uid="{4EA92BB2-231E-40E0-8FE3-E5AB0370E717}" uniqueName="314" name="30473" queryTableFieldId="314"/>
    <tableColumn id="315" xr3:uid="{55494B12-CBFE-4331-AADC-7BD8E0BE3FAE}" uniqueName="315" name="30474" queryTableFieldId="315"/>
    <tableColumn id="316" xr3:uid="{5E76B15F-8C8F-45C2-9697-E402131469FA}" uniqueName="316" name="30477" queryTableFieldId="316"/>
    <tableColumn id="317" xr3:uid="{81C106ED-F48B-4F91-8805-8890B002C237}" uniqueName="317" name="30501" queryTableFieldId="317"/>
    <tableColumn id="318" xr3:uid="{0BCD101C-E8F3-4866-8D2C-A7198623AA06}" uniqueName="318" name="30504" queryTableFieldId="318"/>
    <tableColumn id="319" xr3:uid="{A864A181-3269-4CC3-BCBB-022D650A76C2}" uniqueName="319" name="30506" queryTableFieldId="319"/>
    <tableColumn id="320" xr3:uid="{E26EEF89-3620-464F-884F-2C4E39968DA6}" uniqueName="320" name="30507" queryTableFieldId="320"/>
    <tableColumn id="321" xr3:uid="{0D4E641A-76D4-4593-896A-ED7069007F0B}" uniqueName="321" name="30510" queryTableFieldId="321"/>
    <tableColumn id="322" xr3:uid="{39B9CF2C-A12C-43E3-8895-92E9CFA44B29}" uniqueName="322" name="30511" queryTableFieldId="322"/>
    <tableColumn id="323" xr3:uid="{D1EAB526-1917-47E7-AE07-22E448378811}" uniqueName="323" name="30512" queryTableFieldId="323"/>
    <tableColumn id="324" xr3:uid="{4FFBF29B-D7F5-4471-AD86-D1F3BD23E1F7}" uniqueName="324" name="30513" queryTableFieldId="324"/>
    <tableColumn id="325" xr3:uid="{E0D36327-F905-43E1-B810-3F672AEA6734}" uniqueName="325" name="30516" queryTableFieldId="325"/>
    <tableColumn id="326" xr3:uid="{E7C71B31-3DE4-4275-99C8-DDDF6DE5ABCE}" uniqueName="326" name="30517" queryTableFieldId="326"/>
    <tableColumn id="327" xr3:uid="{09CCA4B2-6DF4-4D9A-BD78-1D2F9CADC522}" uniqueName="327" name="30518" queryTableFieldId="327"/>
    <tableColumn id="328" xr3:uid="{C5B0E99B-3DF1-4AAB-858B-62AB0C79F0DE}" uniqueName="328" name="30519" queryTableFieldId="328"/>
    <tableColumn id="329" xr3:uid="{3AA937E4-08F1-4D70-9A31-94218F7FF452}" uniqueName="329" name="30520" queryTableFieldId="329"/>
    <tableColumn id="330" xr3:uid="{436F2867-C2D1-4648-BBC4-48847A5CDCBB}" uniqueName="330" name="30521" queryTableFieldId="330"/>
    <tableColumn id="331" xr3:uid="{892779DE-4A29-464D-A542-80ED575D0B1B}" uniqueName="331" name="30522" queryTableFieldId="331"/>
    <tableColumn id="332" xr3:uid="{DE8E0255-6074-4C61-9B6B-BB93D760F15F}" uniqueName="332" name="30523" queryTableFieldId="332"/>
    <tableColumn id="333" xr3:uid="{0D6C5B19-72CF-473F-9F38-981B16AAA7F8}" uniqueName="333" name="30525" queryTableFieldId="333"/>
    <tableColumn id="334" xr3:uid="{6E88A4B0-E44A-4C28-A3E4-0549F51EEA23}" uniqueName="334" name="30527" queryTableFieldId="334"/>
    <tableColumn id="335" xr3:uid="{A91E6229-1FFE-4A4D-B161-0C2BE8CD95F0}" uniqueName="335" name="30528" queryTableFieldId="335"/>
    <tableColumn id="336" xr3:uid="{A948ECDE-1DAA-4BA9-89C5-37C2CAE1E9B6}" uniqueName="336" name="30529" queryTableFieldId="336"/>
    <tableColumn id="337" xr3:uid="{E2871436-4B69-451D-9686-B7B4763EDA90}" uniqueName="337" name="30530" queryTableFieldId="337"/>
    <tableColumn id="338" xr3:uid="{5F160F57-1805-411A-B615-C9B86BC34E5D}" uniqueName="338" name="30531" queryTableFieldId="338"/>
    <tableColumn id="339" xr3:uid="{7BA246B1-EE91-4BBC-9CDD-B2C90B5EC6A5}" uniqueName="339" name="30533" queryTableFieldId="339"/>
    <tableColumn id="340" xr3:uid="{A97EF929-BAD0-42BB-B9B2-0A49EFE1DB64}" uniqueName="340" name="30534" queryTableFieldId="340"/>
    <tableColumn id="341" xr3:uid="{6575D0F7-7BDB-41E1-AA4D-B6D9880A97A4}" uniqueName="341" name="30535" queryTableFieldId="341"/>
    <tableColumn id="342" xr3:uid="{3552EA25-7B91-438C-B744-D8FBE96D4557}" uniqueName="342" name="30536" queryTableFieldId="342"/>
    <tableColumn id="343" xr3:uid="{C1A78DF4-5AE0-4B73-B0EE-7D0C612B325F}" uniqueName="343" name="30537" queryTableFieldId="343"/>
    <tableColumn id="344" xr3:uid="{833E4F08-5350-49E7-8B83-3283355DB8BB}" uniqueName="344" name="30538" queryTableFieldId="344"/>
    <tableColumn id="345" xr3:uid="{2C527664-74DB-4D82-81E6-95E487EB145F}" uniqueName="345" name="30539" queryTableFieldId="345"/>
    <tableColumn id="346" xr3:uid="{9F7BDFE1-35A0-478D-9A6A-32A0BDD37AE8}" uniqueName="346" name="30540" queryTableFieldId="346"/>
    <tableColumn id="347" xr3:uid="{B9401E8C-935F-468D-B4A5-6041A88EF76C}" uniqueName="347" name="30541" queryTableFieldId="347"/>
    <tableColumn id="348" xr3:uid="{FB44BB90-8EC6-40EE-BA23-AC854310AEB5}" uniqueName="348" name="30542" queryTableFieldId="348"/>
    <tableColumn id="349" xr3:uid="{9AD5961E-D46C-4DC5-8B59-886FCCFEEC6B}" uniqueName="349" name="30543" queryTableFieldId="349"/>
    <tableColumn id="350" xr3:uid="{D6DEBE80-B5D9-43E3-9955-A849E9923082}" uniqueName="350" name="30545" queryTableFieldId="350"/>
    <tableColumn id="351" xr3:uid="{78DCEBF8-6FD5-422E-8230-8C3C99F7F2BE}" uniqueName="351" name="30546" queryTableFieldId="351"/>
    <tableColumn id="352" xr3:uid="{AED7B1BB-DDBB-446B-9EC6-8760330240AF}" uniqueName="352" name="30547" queryTableFieldId="352"/>
    <tableColumn id="353" xr3:uid="{08194CAC-2DDA-4DD9-AEE7-7E078B93E527}" uniqueName="353" name="30548" queryTableFieldId="353"/>
    <tableColumn id="354" xr3:uid="{A1064012-AB1A-4E10-BF26-12FC1CDB22BC}" uniqueName="354" name="30549" queryTableFieldId="354"/>
    <tableColumn id="355" xr3:uid="{FA4FB808-2774-49FC-8A9E-174D968C843C}" uniqueName="355" name="30552" queryTableFieldId="355"/>
    <tableColumn id="356" xr3:uid="{3014B423-F4FC-45E1-AFF6-63E8871E9868}" uniqueName="356" name="30553" queryTableFieldId="356"/>
    <tableColumn id="357" xr3:uid="{AF203B14-54D6-464B-8551-A90E8EC0D6ED}" uniqueName="357" name="30554" queryTableFieldId="357"/>
    <tableColumn id="358" xr3:uid="{C9D32B73-923E-41DB-ABAC-D5CD334B4B34}" uniqueName="358" name="30555" queryTableFieldId="358"/>
    <tableColumn id="359" xr3:uid="{913E70CE-4EAA-4AD5-A406-30BBE093E5BE}" uniqueName="359" name="30557" queryTableFieldId="359"/>
    <tableColumn id="360" xr3:uid="{794130F5-3C2B-4497-B33D-E7165453CDDB}" uniqueName="360" name="30558" queryTableFieldId="360"/>
    <tableColumn id="361" xr3:uid="{532C34A4-10C8-4AD5-B1F9-60113D859433}" uniqueName="361" name="30559" queryTableFieldId="361"/>
    <tableColumn id="362" xr3:uid="{27A18981-16FC-4449-A2C8-72E58A2AC7D0}" uniqueName="362" name="30560" queryTableFieldId="362"/>
    <tableColumn id="363" xr3:uid="{F09C7148-A643-4068-ABB8-8DAFB40DDA91}" uniqueName="363" name="30562" queryTableFieldId="363"/>
    <tableColumn id="364" xr3:uid="{FFC48E04-2087-4288-BD94-78E3693BD519}" uniqueName="364" name="30563" queryTableFieldId="364"/>
    <tableColumn id="365" xr3:uid="{C1D9849C-7DF2-4FB6-A5F7-AA63418A44DC}" uniqueName="365" name="30564" queryTableFieldId="365"/>
    <tableColumn id="366" xr3:uid="{29C154D6-0EBE-4CBF-8744-04DA7AB0D71F}" uniqueName="366" name="30565" queryTableFieldId="366"/>
    <tableColumn id="367" xr3:uid="{3392B168-368F-40DC-8B2B-F5666C126EBC}" uniqueName="367" name="30566" queryTableFieldId="367"/>
    <tableColumn id="368" xr3:uid="{3F51989A-5DA5-4948-9B9C-96A22C79CE41}" uniqueName="368" name="30567" queryTableFieldId="368"/>
    <tableColumn id="369" xr3:uid="{AE870582-5BF4-44A0-A0E0-D65346A7760D}" uniqueName="369" name="30568" queryTableFieldId="369"/>
    <tableColumn id="370" xr3:uid="{CF51D042-D655-4F4F-9D0C-DBBD574C3837}" uniqueName="370" name="30571" queryTableFieldId="370"/>
    <tableColumn id="371" xr3:uid="{0D013AA4-66F3-44E1-BEF2-0423A7A6F988}" uniqueName="371" name="30572" queryTableFieldId="371"/>
    <tableColumn id="372" xr3:uid="{E31C6B9C-EDB3-4983-B26A-D6AD166FC2C2}" uniqueName="372" name="30573" queryTableFieldId="372"/>
    <tableColumn id="373" xr3:uid="{349DC290-C296-4743-98B9-540F5965D989}" uniqueName="373" name="30575" queryTableFieldId="373"/>
    <tableColumn id="374" xr3:uid="{4D4B749A-9E5D-406E-B3D6-5E82A0B63962}" uniqueName="374" name="30576" queryTableFieldId="374"/>
    <tableColumn id="375" xr3:uid="{5017BE3E-5D72-4932-8A5D-CA0B9116F931}" uniqueName="375" name="30577" queryTableFieldId="375"/>
    <tableColumn id="376" xr3:uid="{67C17E6F-A87E-4215-BA95-2CD7D76B427E}" uniqueName="376" name="30581" queryTableFieldId="376"/>
    <tableColumn id="377" xr3:uid="{6E95DA84-7856-47FC-BEE3-CAB0AE7BD8A1}" uniqueName="377" name="30582" queryTableFieldId="377"/>
    <tableColumn id="378" xr3:uid="{CC914753-C68E-41EB-B1FB-7AAFCE57520E}" uniqueName="378" name="30597" queryTableFieldId="378"/>
    <tableColumn id="379" xr3:uid="{A1BE847C-96E0-4CDF-A45A-E3FC4C0C6B78}" uniqueName="379" name="30598" queryTableFieldId="379"/>
    <tableColumn id="380" xr3:uid="{4291BC58-04CF-4679-899E-DCF5D1695E14}" uniqueName="380" name="30601" queryTableFieldId="380"/>
    <tableColumn id="381" xr3:uid="{CD93C684-9FC6-49DF-86DE-38D3B643B0D4}" uniqueName="381" name="30602" queryTableFieldId="381"/>
    <tableColumn id="382" xr3:uid="{F4334726-C507-4B8D-83E8-48FCE8397EDA}" uniqueName="382" name="30605" queryTableFieldId="382"/>
    <tableColumn id="383" xr3:uid="{AF456AA8-54A3-461A-9C8F-0E6D8AF25E29}" uniqueName="383" name="30606" queryTableFieldId="383"/>
    <tableColumn id="384" xr3:uid="{47054A79-E4C1-45BE-B03C-565D95468CCA}" uniqueName="384" name="30607" queryTableFieldId="384"/>
    <tableColumn id="385" xr3:uid="{FDAE211C-5036-46D9-8D1A-5BCFBA231B96}" uniqueName="385" name="30609" queryTableFieldId="385"/>
    <tableColumn id="386" xr3:uid="{E2B46C6E-DC18-457B-ADA1-8C6FE0757F3A}" uniqueName="386" name="30619" queryTableFieldId="386"/>
    <tableColumn id="387" xr3:uid="{A935BE9F-42ED-4344-B368-17B41FD5B5CD}" uniqueName="387" name="30620" queryTableFieldId="387"/>
    <tableColumn id="388" xr3:uid="{535C19C5-D743-4589-8C4E-7D79A707C127}" uniqueName="388" name="30621" queryTableFieldId="388"/>
    <tableColumn id="389" xr3:uid="{E0DEEEA3-5BA2-4A08-9CF5-1CAA1A158457}" uniqueName="389" name="30622" queryTableFieldId="389"/>
    <tableColumn id="390" xr3:uid="{D2D967CF-368E-4AEA-A30D-95087BAD6A8A}" uniqueName="390" name="30623" queryTableFieldId="390"/>
    <tableColumn id="391" xr3:uid="{550D6A90-4EFE-4963-9CB4-81519CF56320}" uniqueName="391" name="30624" queryTableFieldId="391"/>
    <tableColumn id="392" xr3:uid="{1B902C67-0447-476B-AD9B-2AC4E015C5A2}" uniqueName="392" name="30625" queryTableFieldId="392"/>
    <tableColumn id="393" xr3:uid="{316D869D-3606-4ADC-AD21-4B6F019660BF}" uniqueName="393" name="30627" queryTableFieldId="393"/>
    <tableColumn id="394" xr3:uid="{D5D57835-CF27-49F4-B486-BAAE1927D3CF}" uniqueName="394" name="30628" queryTableFieldId="394"/>
    <tableColumn id="395" xr3:uid="{0925FCD5-CD25-447D-84A8-2128D8EFEF02}" uniqueName="395" name="30629" queryTableFieldId="395"/>
    <tableColumn id="396" xr3:uid="{2B608F46-FF1D-4A88-B5EC-2DFF79CFC0AD}" uniqueName="396" name="30630" queryTableFieldId="396"/>
    <tableColumn id="397" xr3:uid="{585A3C9E-34A5-4798-9CAB-EA899517239E}" uniqueName="397" name="30631" queryTableFieldId="397"/>
    <tableColumn id="398" xr3:uid="{27A43BD5-BB82-476D-837E-5F511335ABAE}" uniqueName="398" name="30633" queryTableFieldId="398"/>
    <tableColumn id="399" xr3:uid="{44DBA779-2C21-4AEF-A177-AEC032C0CFB4}" uniqueName="399" name="30634" queryTableFieldId="399"/>
    <tableColumn id="400" xr3:uid="{E4242C0D-FE8C-4183-BBF1-EBBC82E47B92}" uniqueName="400" name="30635" queryTableFieldId="400"/>
    <tableColumn id="401" xr3:uid="{97D8DA7A-FF35-4942-AFF9-81273B589836}" uniqueName="401" name="30639" queryTableFieldId="401"/>
    <tableColumn id="402" xr3:uid="{DCA09297-2C95-4E5C-AD12-AF1B83147073}" uniqueName="402" name="30641" queryTableFieldId="402"/>
    <tableColumn id="403" xr3:uid="{00A939D4-F340-46DB-B56E-4F5F1C6277C8}" uniqueName="403" name="30642" queryTableFieldId="403"/>
    <tableColumn id="404" xr3:uid="{26ABD1F6-F22A-4123-AF6D-ECE477C0D123}" uniqueName="404" name="30643" queryTableFieldId="404"/>
    <tableColumn id="405" xr3:uid="{32C6C0D9-8C5A-4CEC-BDBF-FF937A07FF2A}" uniqueName="405" name="30646" queryTableFieldId="405"/>
    <tableColumn id="406" xr3:uid="{845B6A8D-E128-40F8-B92A-DF130BD92C5A}" uniqueName="406" name="30648" queryTableFieldId="406"/>
    <tableColumn id="407" xr3:uid="{48C3D3E4-FFC5-49EA-8128-6EF29F4B9BA8}" uniqueName="407" name="30650" queryTableFieldId="407"/>
    <tableColumn id="408" xr3:uid="{C03096EB-8E5A-4BF6-AE4D-EA8AAAD28319}" uniqueName="408" name="30655" queryTableFieldId="408"/>
    <tableColumn id="409" xr3:uid="{85A8FFD6-4E57-470E-8958-4C9A94B1CE32}" uniqueName="409" name="30656" queryTableFieldId="409"/>
    <tableColumn id="410" xr3:uid="{89D48F50-AE1C-43BC-8CEC-88F8C1AEE55F}" uniqueName="410" name="30660" queryTableFieldId="410"/>
    <tableColumn id="411" xr3:uid="{82C9BC5C-FF03-427C-85BE-98EF13F90986}" uniqueName="411" name="30662" queryTableFieldId="411"/>
    <tableColumn id="412" xr3:uid="{DBE97AC3-6B55-4586-95E2-897905CA6D61}" uniqueName="412" name="30663" queryTableFieldId="412"/>
    <tableColumn id="413" xr3:uid="{A407183F-D42C-4F15-834E-DD5199913F83}" uniqueName="413" name="30664" queryTableFieldId="413"/>
    <tableColumn id="414" xr3:uid="{1CFDB43D-0EF8-4FF5-8188-87F43EDD1C87}" uniqueName="414" name="30665" queryTableFieldId="414"/>
    <tableColumn id="415" xr3:uid="{CF27800A-F69E-40D0-B461-9837F41D482B}" uniqueName="415" name="30666" queryTableFieldId="415"/>
    <tableColumn id="416" xr3:uid="{C6DD9081-F9DD-47BF-9FA1-AD2585C4C283}" uniqueName="416" name="30667" queryTableFieldId="416"/>
    <tableColumn id="417" xr3:uid="{86DF7694-00C2-481F-9FE8-4C41211AD6B7}" uniqueName="417" name="30668" queryTableFieldId="417"/>
    <tableColumn id="418" xr3:uid="{FC6C37F2-139B-4949-8C69-E25E6EAFEEF9}" uniqueName="418" name="30669" queryTableFieldId="418"/>
    <tableColumn id="419" xr3:uid="{25291870-BCB1-446B-8E01-314E62BF2009}" uniqueName="419" name="30673" queryTableFieldId="419"/>
    <tableColumn id="420" xr3:uid="{E6350286-B665-489F-8AC7-48893F65EE5A}" uniqueName="420" name="30677" queryTableFieldId="420"/>
    <tableColumn id="421" xr3:uid="{3795C4DE-3BEA-4406-9F5D-7E4D26960918}" uniqueName="421" name="30678" queryTableFieldId="421"/>
    <tableColumn id="422" xr3:uid="{0FEC240E-5183-4A7D-BAAD-5A649256D465}" uniqueName="422" name="30680" queryTableFieldId="422"/>
    <tableColumn id="423" xr3:uid="{AEF96D06-458F-4134-B74E-8ED8142316E0}" uniqueName="423" name="30683" queryTableFieldId="423"/>
    <tableColumn id="424" xr3:uid="{95CB41DC-C64F-4923-991D-8278BB332522}" uniqueName="424" name="30701" queryTableFieldId="424"/>
    <tableColumn id="425" xr3:uid="{B860DEF5-2F19-4067-BBBF-69BB2074E7CF}" uniqueName="425" name="30705" queryTableFieldId="425"/>
    <tableColumn id="426" xr3:uid="{93B483AF-20FF-4BDB-94FB-DAD13FC67A81}" uniqueName="426" name="30707" queryTableFieldId="426"/>
    <tableColumn id="427" xr3:uid="{30D8B4F6-723F-475C-8B81-9ADD3A419A73}" uniqueName="427" name="30708" queryTableFieldId="427"/>
    <tableColumn id="428" xr3:uid="{15A6A652-D830-4318-96D4-505B26489C78}" uniqueName="428" name="30710" queryTableFieldId="428"/>
    <tableColumn id="429" xr3:uid="{B0A7EA5E-40F9-4C6B-AB59-AB8FAC434543}" uniqueName="429" name="30711" queryTableFieldId="429"/>
    <tableColumn id="430" xr3:uid="{913ED803-6BBD-4A5C-A363-F509E950448C}" uniqueName="430" name="30720" queryTableFieldId="430"/>
    <tableColumn id="431" xr3:uid="{969EA952-8327-40BD-9C26-DA1C7AA155EC}" uniqueName="431" name="30721" queryTableFieldId="431"/>
    <tableColumn id="432" xr3:uid="{82FB13E8-DF00-4210-A27E-B649EA0A9113}" uniqueName="432" name="30724" queryTableFieldId="432"/>
    <tableColumn id="433" xr3:uid="{613823EB-3EF7-44E1-8491-D61EB3FFEBC5}" uniqueName="433" name="30725" queryTableFieldId="433"/>
    <tableColumn id="434" xr3:uid="{CCD35834-A17C-49C4-9611-11C32FACC019}" uniqueName="434" name="30726" queryTableFieldId="434"/>
    <tableColumn id="435" xr3:uid="{049832DA-E6BC-460C-88D9-0C44268F71C5}" uniqueName="435" name="30728" queryTableFieldId="435"/>
    <tableColumn id="436" xr3:uid="{BB0F67C1-7298-4BC1-BEE1-7D20F03952F5}" uniqueName="436" name="30730" queryTableFieldId="436"/>
    <tableColumn id="437" xr3:uid="{C06C008D-B75F-4C88-AEB5-AB0E2912F14B}" uniqueName="437" name="30731" queryTableFieldId="437"/>
    <tableColumn id="438" xr3:uid="{98FC973C-65E5-4742-B290-4B9E840706BE}" uniqueName="438" name="30733" queryTableFieldId="438"/>
    <tableColumn id="439" xr3:uid="{F0AA1469-EF36-48A1-8F1B-E3AA942AD899}" uniqueName="439" name="30734" queryTableFieldId="439"/>
    <tableColumn id="440" xr3:uid="{936658C5-C52F-4678-96FB-297AA4CC15E5}" uniqueName="440" name="30735" queryTableFieldId="440"/>
    <tableColumn id="441" xr3:uid="{14549A59-8FF9-49BB-887A-E91A8D658293}" uniqueName="441" name="30736" queryTableFieldId="441"/>
    <tableColumn id="442" xr3:uid="{F21A941B-DD93-4C64-814A-335A3227456A}" uniqueName="442" name="30738" queryTableFieldId="442"/>
    <tableColumn id="443" xr3:uid="{31B86664-FF2E-4DCF-8128-D8032ECD586D}" uniqueName="443" name="30739" queryTableFieldId="443"/>
    <tableColumn id="444" xr3:uid="{C642749B-3FDD-42CD-AC12-9E44737FA580}" uniqueName="444" name="30740" queryTableFieldId="444"/>
    <tableColumn id="445" xr3:uid="{020A906C-F95F-4B52-9169-10A3ADFF1AB1}" uniqueName="445" name="30741" queryTableFieldId="445"/>
    <tableColumn id="446" xr3:uid="{4D949781-EB75-4066-9CFB-FF5D147FBCA0}" uniqueName="446" name="30742" queryTableFieldId="446"/>
    <tableColumn id="447" xr3:uid="{E94A1A9F-1AA0-4705-9674-45CE2E61D8C5}" uniqueName="447" name="30746" queryTableFieldId="447"/>
    <tableColumn id="448" xr3:uid="{0A19EE60-6B83-48B8-B97B-E17DBFC48046}" uniqueName="448" name="30747" queryTableFieldId="448"/>
    <tableColumn id="449" xr3:uid="{13BCC2F9-133A-4834-9457-9A85B050A10F}" uniqueName="449" name="30750" queryTableFieldId="449"/>
    <tableColumn id="450" xr3:uid="{997983D7-5F94-4F60-BAEF-0689A9F0BE32}" uniqueName="450" name="30751" queryTableFieldId="450"/>
    <tableColumn id="451" xr3:uid="{79E6BDE0-E40C-4C30-855A-02F2BF66729A}" uniqueName="451" name="30752" queryTableFieldId="451"/>
    <tableColumn id="452" xr3:uid="{1DC93A37-254C-4FF4-A7F1-5D721B184025}" uniqueName="452" name="30753" queryTableFieldId="452"/>
    <tableColumn id="453" xr3:uid="{2DE8FD47-FA56-4BA0-A408-628CAAB8268E}" uniqueName="453" name="30755" queryTableFieldId="453"/>
    <tableColumn id="454" xr3:uid="{D35FC12F-3126-4843-90B0-83C33E052F6B}" uniqueName="454" name="30756" queryTableFieldId="454"/>
    <tableColumn id="455" xr3:uid="{FE3CD49C-34E7-477B-B532-7E511095B3DB}" uniqueName="455" name="30757" queryTableFieldId="455"/>
    <tableColumn id="456" xr3:uid="{659161F7-9FE9-4657-B4B6-B2F5FC70D81A}" uniqueName="456" name="30802" queryTableFieldId="456"/>
    <tableColumn id="457" xr3:uid="{3810930A-2858-4E62-8203-29E63083D48D}" uniqueName="457" name="30803" queryTableFieldId="457"/>
    <tableColumn id="458" xr3:uid="{A1D72932-3DE2-4C83-A355-04F5AC6A6771}" uniqueName="458" name="30805" queryTableFieldId="458"/>
    <tableColumn id="459" xr3:uid="{5A4154D5-909E-4C08-A5EB-057351349487}" uniqueName="459" name="30807" queryTableFieldId="459"/>
    <tableColumn id="460" xr3:uid="{FD1F1B72-1C09-4F1C-A8EE-49E586D3FED5}" uniqueName="460" name="30808" queryTableFieldId="460"/>
    <tableColumn id="461" xr3:uid="{9283D05D-0D27-4CF8-8739-31EA326CED65}" uniqueName="461" name="30809" queryTableFieldId="461"/>
    <tableColumn id="462" xr3:uid="{29EA0634-37E3-490B-AEBB-CA69F98617A3}" uniqueName="462" name="30810" queryTableFieldId="462"/>
    <tableColumn id="463" xr3:uid="{F7867798-6BF2-4B0B-A7E5-DB8244657569}" uniqueName="463" name="30812" queryTableFieldId="463"/>
    <tableColumn id="464" xr3:uid="{57C0E4D1-7EC6-45A3-A2F2-673542733DF6}" uniqueName="464" name="30813" queryTableFieldId="464"/>
    <tableColumn id="465" xr3:uid="{1485BB7F-B7D7-44B9-9333-F4CCEC2E186C}" uniqueName="465" name="30814" queryTableFieldId="465"/>
    <tableColumn id="466" xr3:uid="{02D6096E-F25A-43A0-ADA1-54FD0B1FCDC4}" uniqueName="466" name="30815" queryTableFieldId="466"/>
    <tableColumn id="467" xr3:uid="{121C74A7-C451-4161-A850-B7F4D57D9083}" uniqueName="467" name="30816" queryTableFieldId="467"/>
    <tableColumn id="468" xr3:uid="{35569BDC-B154-42E8-8623-43E6CC4EC2BB}" uniqueName="468" name="30817" queryTableFieldId="468"/>
    <tableColumn id="469" xr3:uid="{099634EB-70D7-4094-A752-84ED7AC84321}" uniqueName="469" name="30818" queryTableFieldId="469"/>
    <tableColumn id="470" xr3:uid="{226091D9-AD1A-4B17-B044-DFE9D231B4B3}" uniqueName="470" name="30820" queryTableFieldId="470"/>
    <tableColumn id="471" xr3:uid="{A5CA359F-1B1D-43C7-9D7C-9EF3CDB18548}" uniqueName="471" name="30821" queryTableFieldId="471"/>
    <tableColumn id="472" xr3:uid="{09036D58-76C9-4D30-BC32-B4D0C564ABD4}" uniqueName="472" name="30822" queryTableFieldId="472"/>
    <tableColumn id="473" xr3:uid="{CD06222D-32AC-4F83-B20C-347486AEAA62}" uniqueName="473" name="30823" queryTableFieldId="473"/>
    <tableColumn id="474" xr3:uid="{78CA7EC7-0A5C-452C-81E2-836F3F503F0D}" uniqueName="474" name="30824" queryTableFieldId="474"/>
    <tableColumn id="475" xr3:uid="{0DA05A59-644E-4CC1-B898-FDEAA54484AD}" uniqueName="475" name="30828" queryTableFieldId="475"/>
    <tableColumn id="476" xr3:uid="{A2D6BCF0-1238-40B8-9094-2BFBE6F28BA2}" uniqueName="476" name="30830" queryTableFieldId="476"/>
    <tableColumn id="477" xr3:uid="{C8699966-3AC7-425B-B019-1F3C2D5713F2}" uniqueName="477" name="30833" queryTableFieldId="477"/>
    <tableColumn id="478" xr3:uid="{9525A303-9E88-491C-8EF5-CA763278DB40}" uniqueName="478" name="30901" queryTableFieldId="478"/>
    <tableColumn id="479" xr3:uid="{646A13D6-3568-4C17-8DCD-E939B8127C25}" uniqueName="479" name="30904" queryTableFieldId="479"/>
    <tableColumn id="480" xr3:uid="{298FF417-CB85-4179-946B-3811ACBD76AE}" uniqueName="480" name="30905" queryTableFieldId="480"/>
    <tableColumn id="481" xr3:uid="{DD73B3CA-1607-4A95-AE30-FC8F75CD118E}" uniqueName="481" name="30906" queryTableFieldId="481"/>
    <tableColumn id="482" xr3:uid="{6A7DA0C0-F85B-4BB1-A1EB-2709B6062F99}" uniqueName="482" name="30907" queryTableFieldId="482"/>
    <tableColumn id="483" xr3:uid="{50EC22F2-D8E5-458D-A09A-F8C119BA19F1}" uniqueName="483" name="30909" queryTableFieldId="483"/>
    <tableColumn id="484" xr3:uid="{560A61E0-F270-41A7-A031-B13DF1C681E3}" uniqueName="484" name="30912" queryTableFieldId="484"/>
    <tableColumn id="485" xr3:uid="{5AD08A7E-9AC0-41CA-9183-7025C14BFF07}" uniqueName="485" name="31001" queryTableFieldId="485"/>
    <tableColumn id="486" xr3:uid="{A39152EA-F980-424D-B495-16072D310864}" uniqueName="486" name="31002" queryTableFieldId="486"/>
    <tableColumn id="487" xr3:uid="{9971E945-7B93-4EEE-A274-9230DF0A32A7}" uniqueName="487" name="31003" queryTableFieldId="487"/>
    <tableColumn id="488" xr3:uid="{5B689FD9-A2AD-472C-B038-79E13AD7B08D}" uniqueName="488" name="31004" queryTableFieldId="488"/>
    <tableColumn id="489" xr3:uid="{F24F5BBB-5855-41C3-8EB2-51FE305B1C7E}" uniqueName="489" name="31005" queryTableFieldId="489"/>
    <tableColumn id="490" xr3:uid="{2749E3FC-95D5-4306-978B-C34FF73E4517}" uniqueName="490" name="31006" queryTableFieldId="490"/>
    <tableColumn id="491" xr3:uid="{B4673630-063A-4215-B8CE-51A682D0DF0E}" uniqueName="491" name="31007" queryTableFieldId="491"/>
    <tableColumn id="492" xr3:uid="{D2745C88-5163-4C7E-BD5A-1984576E5490}" uniqueName="492" name="31008" queryTableFieldId="492"/>
    <tableColumn id="493" xr3:uid="{3DACE641-A949-45F8-B9A7-7CD30011B044}" uniqueName="493" name="31009" queryTableFieldId="493"/>
    <tableColumn id="494" xr3:uid="{147002FF-3DAF-459B-9079-EA99CDE39A3C}" uniqueName="494" name="31011" queryTableFieldId="494"/>
    <tableColumn id="495" xr3:uid="{7B399A7B-48E5-4252-8FC6-2EF4E6DE659B}" uniqueName="495" name="31012" queryTableFieldId="495"/>
    <tableColumn id="496" xr3:uid="{134D89E7-2AFB-4418-84AE-17EE32F3E9C0}" uniqueName="496" name="31014" queryTableFieldId="496"/>
    <tableColumn id="497" xr3:uid="{5F8E01C7-790B-40FC-A8C4-A5FBBA5AEA62}" uniqueName="497" name="31015" queryTableFieldId="497"/>
    <tableColumn id="498" xr3:uid="{575BCCC0-B134-4305-BF9F-1E76120D3F87}" uniqueName="498" name="31016" queryTableFieldId="498"/>
    <tableColumn id="499" xr3:uid="{5547A1C4-5D39-41DC-A050-F83CBFC5A57B}" uniqueName="499" name="31017" queryTableFieldId="499"/>
    <tableColumn id="500" xr3:uid="{8C172084-F969-4C46-A4C1-B056B3D022AB}" uniqueName="500" name="31018" queryTableFieldId="500"/>
    <tableColumn id="501" xr3:uid="{025AB919-E482-4F67-B7E4-CC422DC770E1}" uniqueName="501" name="31019" queryTableFieldId="501"/>
    <tableColumn id="502" xr3:uid="{AF2F3A3C-9E56-4F40-90BE-2F1E7C04671B}" uniqueName="502" name="31020" queryTableFieldId="502"/>
    <tableColumn id="503" xr3:uid="{36CA49A9-DCF2-47C3-B75C-279F1011355C}" uniqueName="503" name="31021" queryTableFieldId="503"/>
    <tableColumn id="504" xr3:uid="{30864141-277A-40E0-96BF-9C58E5CE2EF0}" uniqueName="504" name="31022" queryTableFieldId="504"/>
    <tableColumn id="505" xr3:uid="{B975683C-E1F1-4662-B8E4-AD594DBFC58E}" uniqueName="505" name="31023" queryTableFieldId="505"/>
    <tableColumn id="506" xr3:uid="{651B0C0A-01D4-4AF0-8118-5B4481083387}" uniqueName="506" name="31024" queryTableFieldId="506"/>
    <tableColumn id="507" xr3:uid="{A234C9D6-6D89-459A-8C36-893ECCB3B2FB}" uniqueName="507" name="31025" queryTableFieldId="507"/>
    <tableColumn id="508" xr3:uid="{5DB91846-6DF4-4B64-B850-2395907F4546}" uniqueName="508" name="31027" queryTableFieldId="508"/>
    <tableColumn id="509" xr3:uid="{9FD4884F-1653-465D-8912-772A635DD439}" uniqueName="509" name="31028" queryTableFieldId="509"/>
    <tableColumn id="510" xr3:uid="{F80BF94A-4807-4172-8A1A-F66E29EF80A1}" uniqueName="510" name="31029" queryTableFieldId="510"/>
    <tableColumn id="511" xr3:uid="{11611BBA-9386-4722-ACB8-7056666ADC2C}" uniqueName="511" name="31030" queryTableFieldId="511"/>
    <tableColumn id="512" xr3:uid="{6824EFBB-735B-4362-BEEC-511FB19D6304}" uniqueName="512" name="31031" queryTableFieldId="512"/>
    <tableColumn id="513" xr3:uid="{D1CD5D1C-6BC8-49E0-99A3-BAFE3ED1ACD7}" uniqueName="513" name="31032" queryTableFieldId="513"/>
    <tableColumn id="514" xr3:uid="{35A4F8DE-8C92-45E5-BB71-E28A81FBBCE3}" uniqueName="514" name="31033" queryTableFieldId="514"/>
    <tableColumn id="515" xr3:uid="{39338286-9E32-4CD6-BC29-E0035760FDBE}" uniqueName="515" name="31034" queryTableFieldId="515"/>
    <tableColumn id="516" xr3:uid="{FE0BFED4-E7E0-4AD8-A25B-FDFD60B7D050}" uniqueName="516" name="31035" queryTableFieldId="516"/>
    <tableColumn id="517" xr3:uid="{28D00F6A-733C-4619-A257-36EA4E533592}" uniqueName="517" name="31036" queryTableFieldId="517"/>
    <tableColumn id="518" xr3:uid="{F937CF87-8ABE-48F4-AEC7-2E10C207DE88}" uniqueName="518" name="31037" queryTableFieldId="518"/>
    <tableColumn id="519" xr3:uid="{FEC8AC32-14DA-4331-A8E4-6C9206E0DDEF}" uniqueName="519" name="31038" queryTableFieldId="519"/>
    <tableColumn id="520" xr3:uid="{03B8E81E-DC5A-43A8-9760-72B20CE86FAC}" uniqueName="520" name="31039" queryTableFieldId="520"/>
    <tableColumn id="521" xr3:uid="{8E79C74E-F566-4D9E-B808-1BDD8A95FC7D}" uniqueName="521" name="31041" queryTableFieldId="521"/>
    <tableColumn id="522" xr3:uid="{309C879C-63D7-48A2-85B2-5229A8C482E3}" uniqueName="522" name="31042" queryTableFieldId="522"/>
    <tableColumn id="523" xr3:uid="{0AF0121F-E007-487E-BBA2-D8B37E17A6E7}" uniqueName="523" name="31044" queryTableFieldId="523"/>
    <tableColumn id="524" xr3:uid="{443BA706-B68B-4692-841C-D97CE60C9810}" uniqueName="524" name="31045" queryTableFieldId="524"/>
    <tableColumn id="525" xr3:uid="{6E25D3DF-5935-4FC3-979B-84FA3A35B71B}" uniqueName="525" name="31046" queryTableFieldId="525"/>
    <tableColumn id="526" xr3:uid="{94E6B639-E571-452A-A67C-E55EDBA61044}" uniqueName="526" name="31047" queryTableFieldId="526"/>
    <tableColumn id="527" xr3:uid="{434B3522-B6C4-44F8-821D-A05DC8D8F60B}" uniqueName="527" name="31049" queryTableFieldId="527"/>
    <tableColumn id="528" xr3:uid="{8BFC331E-5123-4332-A08A-9B7D0E4A23F8}" uniqueName="528" name="31050" queryTableFieldId="528"/>
    <tableColumn id="529" xr3:uid="{91EFFD4F-3045-460D-A4CF-05764EC823FF}" uniqueName="529" name="31051" queryTableFieldId="529"/>
    <tableColumn id="530" xr3:uid="{064AEFB9-7F06-4DE9-9EFD-AD1A8358B83D}" uniqueName="530" name="31052" queryTableFieldId="530"/>
    <tableColumn id="531" xr3:uid="{D1C02FAC-37B6-4F2B-BDAC-883750E3D3D8}" uniqueName="531" name="31054" queryTableFieldId="531"/>
    <tableColumn id="532" xr3:uid="{A165553F-5C90-4E43-A7B9-8BD91837F741}" uniqueName="532" name="31055" queryTableFieldId="532"/>
    <tableColumn id="533" xr3:uid="{2CF7C11A-44A6-44B3-882B-A65245C2CF43}" uniqueName="533" name="31057" queryTableFieldId="533"/>
    <tableColumn id="534" xr3:uid="{593B8F8E-F151-4978-8E3D-99016F90421D}" uniqueName="534" name="31058" queryTableFieldId="534"/>
    <tableColumn id="535" xr3:uid="{49CBC28E-0318-4E6B-A10E-E5B3EFFADF46}" uniqueName="535" name="31060" queryTableFieldId="535"/>
    <tableColumn id="536" xr3:uid="{D33D7DC5-6CA7-42FE-925B-2BFAD66CE1FF}" uniqueName="536" name="31061" queryTableFieldId="536"/>
    <tableColumn id="537" xr3:uid="{68E574C5-203D-450F-B736-971AC3A37C2F}" uniqueName="537" name="31062" queryTableFieldId="537"/>
    <tableColumn id="538" xr3:uid="{964BF292-6478-4F9B-B04A-C1855ADFEE77}" uniqueName="538" name="31063" queryTableFieldId="538"/>
    <tableColumn id="539" xr3:uid="{E3E6BF6A-6F8C-4537-AEA5-78F04E7E83BC}" uniqueName="539" name="31064" queryTableFieldId="539"/>
    <tableColumn id="540" xr3:uid="{3240546C-7D4F-4A6F-8C3D-AF610BEE9FB2}" uniqueName="540" name="31065" queryTableFieldId="540"/>
    <tableColumn id="541" xr3:uid="{CB2DB868-2015-427E-9AEF-1A9AEFBB813F}" uniqueName="541" name="31066" queryTableFieldId="541"/>
    <tableColumn id="542" xr3:uid="{032BD42A-E272-4330-AE95-4776246F26AC}" uniqueName="542" name="31067" queryTableFieldId="542"/>
    <tableColumn id="543" xr3:uid="{1096E8ED-1991-475A-83E9-3E7428DEB105}" uniqueName="543" name="31068" queryTableFieldId="543"/>
    <tableColumn id="544" xr3:uid="{2F3E05FE-50DB-4257-8FCA-F008C5BBECE7}" uniqueName="544" name="31069" queryTableFieldId="544"/>
    <tableColumn id="545" xr3:uid="{AAC2BD55-14D8-4EAB-BC93-85E0AA837D4F}" uniqueName="545" name="31070" queryTableFieldId="545"/>
    <tableColumn id="546" xr3:uid="{B41B0928-016D-45CA-9571-65E532563A74}" uniqueName="546" name="31071" queryTableFieldId="546"/>
    <tableColumn id="547" xr3:uid="{D5FF5C0B-91ED-4D61-A3B1-1EECB0B85688}" uniqueName="547" name="31072" queryTableFieldId="547"/>
    <tableColumn id="548" xr3:uid="{5A0BE0E8-7016-4BBE-9DD9-3BAEA76C4D70}" uniqueName="548" name="31075" queryTableFieldId="548"/>
    <tableColumn id="549" xr3:uid="{27569730-25E7-47B5-AAE2-A95451BF104D}" uniqueName="549" name="31076" queryTableFieldId="549"/>
    <tableColumn id="550" xr3:uid="{BAF03F29-CA96-4B2A-9EE9-33D4691DA23A}" uniqueName="550" name="31077" queryTableFieldId="550"/>
    <tableColumn id="551" xr3:uid="{19207274-1435-49A3-BF42-43687B2C43CA}" uniqueName="551" name="31078" queryTableFieldId="551"/>
    <tableColumn id="552" xr3:uid="{5A6BAF1A-0FAF-429A-BDFE-2FC315015952}" uniqueName="552" name="31079" queryTableFieldId="552"/>
    <tableColumn id="553" xr3:uid="{6474F24C-81E5-479B-BC9C-D1B6E320E5E4}" uniqueName="553" name="31081" queryTableFieldId="553"/>
    <tableColumn id="554" xr3:uid="{43FE8D73-90A4-4C82-B608-2EFA669C6C38}" uniqueName="554" name="31082" queryTableFieldId="554"/>
    <tableColumn id="555" xr3:uid="{83FBB05F-8105-46D7-A060-0F8EFB174E27}" uniqueName="555" name="31083" queryTableFieldId="555"/>
    <tableColumn id="556" xr3:uid="{EE6A7156-0016-4A40-9BB6-8B2A658C86D1}" uniqueName="556" name="31084" queryTableFieldId="556"/>
    <tableColumn id="557" xr3:uid="{B9F8DB96-099E-4223-B026-E7EBD82AD755}" uniqueName="557" name="31085" queryTableFieldId="557"/>
    <tableColumn id="558" xr3:uid="{0450757E-59A6-44AE-A9F6-79D36F0C1D1D}" uniqueName="558" name="31087" queryTableFieldId="558"/>
    <tableColumn id="559" xr3:uid="{1CDF44F1-24FD-4C5C-975E-27F77CF5D390}" uniqueName="559" name="31088" queryTableFieldId="559"/>
    <tableColumn id="560" xr3:uid="{CE293A16-20A5-45C7-B391-D197AF0F7301}" uniqueName="560" name="31089" queryTableFieldId="560"/>
    <tableColumn id="561" xr3:uid="{8496B9D4-224C-4D41-A68F-F14D3FE90053}" uniqueName="561" name="31090" queryTableFieldId="561"/>
    <tableColumn id="562" xr3:uid="{42E10AD9-DA82-413C-B83B-CAFAB486E207}" uniqueName="562" name="31091" queryTableFieldId="562"/>
    <tableColumn id="563" xr3:uid="{68EC8075-D65B-4900-A2B8-AEC69D606E30}" uniqueName="563" name="31092" queryTableFieldId="563"/>
    <tableColumn id="564" xr3:uid="{46EF68A5-B24B-40FB-9F16-1985540B2BB3}" uniqueName="564" name="31093" queryTableFieldId="564"/>
    <tableColumn id="565" xr3:uid="{60AB0278-2F83-40E1-B55E-E3001D900B42}" uniqueName="565" name="31094" queryTableFieldId="565"/>
    <tableColumn id="566" xr3:uid="{4C34D272-5C2F-4054-A77E-FF142585EC94}" uniqueName="566" name="31096" queryTableFieldId="566"/>
    <tableColumn id="567" xr3:uid="{5D7C6677-79E3-48F6-80A5-19E6781D5997}" uniqueName="567" name="31097" queryTableFieldId="567"/>
    <tableColumn id="568" xr3:uid="{185C00AF-E1D7-4DD8-BEF1-00B5829D5399}" uniqueName="568" name="31098" queryTableFieldId="568"/>
    <tableColumn id="569" xr3:uid="{2CC13712-2657-45A4-852D-1B1422C6635C}" uniqueName="569" name="31201" queryTableFieldId="569"/>
    <tableColumn id="570" xr3:uid="{13C8904E-8D47-44D3-B562-F7EC6A9EA3D7}" uniqueName="570" name="31204" queryTableFieldId="570"/>
    <tableColumn id="571" xr3:uid="{5F8390E2-2514-4B7A-9324-E347EB2765BF}" uniqueName="571" name="31206" queryTableFieldId="571"/>
    <tableColumn id="572" xr3:uid="{8AB2B17D-2772-431C-A55A-585FB8D5F115}" uniqueName="572" name="31207" queryTableFieldId="572"/>
    <tableColumn id="573" xr3:uid="{4FCD6F66-A932-41A1-9825-9130D83FD519}" uniqueName="573" name="31210" queryTableFieldId="573"/>
    <tableColumn id="574" xr3:uid="{6FA6CF7E-CFB2-4CB2-B3AC-209C4CEDB502}" uniqueName="574" name="31211" queryTableFieldId="574"/>
    <tableColumn id="575" xr3:uid="{82639A72-204E-4553-9121-017047943D21}" uniqueName="575" name="31213" queryTableFieldId="575"/>
    <tableColumn id="576" xr3:uid="{9E8A8C05-B2E6-4386-8BC7-DCF608B50970}" uniqueName="576" name="31216" queryTableFieldId="576"/>
    <tableColumn id="577" xr3:uid="{BFA6FAF0-F24A-4607-905A-8FB0164A499E}" uniqueName="577" name="31217" queryTableFieldId="577"/>
    <tableColumn id="578" xr3:uid="{2CC268A9-F26F-426F-BB5F-CBFEB63B7D1C}" uniqueName="578" name="31220" queryTableFieldId="578"/>
    <tableColumn id="579" xr3:uid="{01262253-B60F-4626-A074-698B0FFAD2E7}" uniqueName="579" name="31301" queryTableFieldId="579"/>
    <tableColumn id="580" xr3:uid="{5EC319FC-E0D1-4C8B-8579-EB013FE9F351}" uniqueName="580" name="31302" queryTableFieldId="580"/>
    <tableColumn id="581" xr3:uid="{DF2E5D53-6C18-4B52-A599-44530640F1AF}" uniqueName="581" name="31303" queryTableFieldId="581"/>
    <tableColumn id="582" xr3:uid="{C8FFEE88-089D-4DCA-BF8E-3C73D50891AA}" uniqueName="582" name="31305" queryTableFieldId="582"/>
    <tableColumn id="583" xr3:uid="{256A3430-2702-4370-AB04-E550DF25C6BF}" uniqueName="583" name="31307" queryTableFieldId="583"/>
    <tableColumn id="584" xr3:uid="{04701111-26AD-44A1-A196-66CF042318B3}" uniqueName="584" name="31308" queryTableFieldId="584"/>
    <tableColumn id="585" xr3:uid="{65CFAF7A-C4D2-4380-A69F-364FA6242A67}" uniqueName="585" name="31309" queryTableFieldId="585"/>
    <tableColumn id="586" xr3:uid="{38B7EB82-E124-4E76-80B6-AFFDC89B5846}" uniqueName="586" name="31312" queryTableFieldId="586"/>
    <tableColumn id="587" xr3:uid="{B3AB6C77-60E6-416D-B557-6FA30726B1ED}" uniqueName="587" name="31313" queryTableFieldId="587"/>
    <tableColumn id="588" xr3:uid="{37333C69-3BFE-42A3-9703-59DF2F909B84}" uniqueName="588" name="31314" queryTableFieldId="588"/>
    <tableColumn id="589" xr3:uid="{B47C5B39-B9E9-43A3-BB7E-FF3518AB4D52}" uniqueName="589" name="31315" queryTableFieldId="589"/>
    <tableColumn id="590" xr3:uid="{FB49C3E5-38EB-4CBE-AA8E-1E0005BE2E65}" uniqueName="590" name="31316" queryTableFieldId="590"/>
    <tableColumn id="591" xr3:uid="{4C13C935-24D1-485C-82C1-CD8B9A06E07F}" uniqueName="591" name="31318" queryTableFieldId="591"/>
    <tableColumn id="592" xr3:uid="{829665CE-A189-4A8D-BAF5-9BF26BB3DBBF}" uniqueName="592" name="31320" queryTableFieldId="592"/>
    <tableColumn id="593" xr3:uid="{34DCA9E6-D404-4F09-A298-4394F06A4061}" uniqueName="593" name="31321" queryTableFieldId="593"/>
    <tableColumn id="594" xr3:uid="{7FAFC6FF-1964-46F8-AE39-8FE351EE0582}" uniqueName="594" name="31322" queryTableFieldId="594"/>
    <tableColumn id="595" xr3:uid="{1C99B763-170B-42CE-B8CC-92539FF9FD98}" uniqueName="595" name="31323" queryTableFieldId="595"/>
    <tableColumn id="596" xr3:uid="{54EA79E6-493B-4175-98CC-F48296399C39}" uniqueName="596" name="31324" queryTableFieldId="596"/>
    <tableColumn id="597" xr3:uid="{8EFF03FD-42BF-4F7D-9BCF-A830B7A0EE68}" uniqueName="597" name="31326" queryTableFieldId="597"/>
    <tableColumn id="598" xr3:uid="{9E4D8B3B-54E3-4DB8-A5CB-19D8378149CA}" uniqueName="598" name="31327" queryTableFieldId="598"/>
    <tableColumn id="599" xr3:uid="{632795D1-ACE1-42B6-A698-1E973A4651AD}" uniqueName="599" name="31328" queryTableFieldId="599"/>
    <tableColumn id="600" xr3:uid="{FE1C8052-D8CD-417D-90B7-5CAB09059778}" uniqueName="600" name="31329" queryTableFieldId="600"/>
    <tableColumn id="601" xr3:uid="{AEE2A773-0E21-4A53-AA9D-1D9753F0A6C9}" uniqueName="601" name="31331" queryTableFieldId="601"/>
    <tableColumn id="602" xr3:uid="{CF935C31-1EE3-4026-8493-AEDF5CA72220}" uniqueName="602" name="31333" queryTableFieldId="602"/>
    <tableColumn id="603" xr3:uid="{10A110DD-91AF-44AC-841F-7A75490C2380}" uniqueName="603" name="31401" queryTableFieldId="603"/>
    <tableColumn id="604" xr3:uid="{25050866-F166-4257-B5B9-FB0EB758A832}" uniqueName="604" name="31404" queryTableFieldId="604"/>
    <tableColumn id="605" xr3:uid="{9530DACE-BBD8-4674-875F-DE54B9288716}" uniqueName="605" name="31405" queryTableFieldId="605"/>
    <tableColumn id="606" xr3:uid="{46275AFB-A57F-48DA-B950-BF3842CC861B}" uniqueName="606" name="31406" queryTableFieldId="606"/>
    <tableColumn id="607" xr3:uid="{85822392-DC78-43E5-A7DD-9B3E11DD1C95}" uniqueName="607" name="31407" queryTableFieldId="607"/>
    <tableColumn id="608" xr3:uid="{8B7F53FA-C4A1-4147-BE79-A1D7CB182B85}" uniqueName="608" name="31408" queryTableFieldId="608"/>
    <tableColumn id="609" xr3:uid="{1287947F-6A79-4194-ABD2-7038A3C07E4F}" uniqueName="609" name="31409" queryTableFieldId="609"/>
    <tableColumn id="610" xr3:uid="{0D99A1A7-7676-4D6F-B96D-39E2E5F9E67C}" uniqueName="610" name="31410" queryTableFieldId="610"/>
    <tableColumn id="611" xr3:uid="{F4615716-02F3-4B83-860C-9557C7D0FB30}" uniqueName="611" name="31411" queryTableFieldId="611"/>
    <tableColumn id="612" xr3:uid="{89A96436-B1FD-456C-AFD0-AC4F051E8B12}" uniqueName="612" name="31415" queryTableFieldId="612"/>
    <tableColumn id="613" xr3:uid="{653932E7-F81B-4A26-BB56-1628466DF6A7}" uniqueName="613" name="31419" queryTableFieldId="613"/>
    <tableColumn id="614" xr3:uid="{2F44D74F-1E58-4EA5-A59C-677169FC220F}" uniqueName="614" name="31421" queryTableFieldId="614"/>
    <tableColumn id="615" xr3:uid="{9A3A80A7-5B75-4C5C-B333-C4D5399BF8D7}" uniqueName="615" name="31501" queryTableFieldId="615"/>
    <tableColumn id="616" xr3:uid="{B7E270CB-55FB-49BB-84EB-48A388EF24BC}" uniqueName="616" name="31503" queryTableFieldId="616"/>
    <tableColumn id="617" xr3:uid="{01F34DBC-BBD5-4C57-A548-ADEB5534BFE1}" uniqueName="617" name="31510" queryTableFieldId="617"/>
    <tableColumn id="618" xr3:uid="{0CF30E5F-CF4C-4847-A8ED-82C9A664F473}" uniqueName="618" name="31512" queryTableFieldId="618"/>
    <tableColumn id="619" xr3:uid="{0806D4F0-0781-461B-8524-FFEBC29AF569}" uniqueName="619" name="31513" queryTableFieldId="619"/>
    <tableColumn id="620" xr3:uid="{74E26C44-161D-4CFA-AA6D-F423DD4E8D70}" uniqueName="620" name="31516" queryTableFieldId="620"/>
    <tableColumn id="621" xr3:uid="{23A5DDE4-57CD-47D9-81B3-6EBD0715DD50}" uniqueName="621" name="31518" queryTableFieldId="621"/>
    <tableColumn id="622" xr3:uid="{E991FDB8-AB61-4044-B864-E92E855C6836}" uniqueName="622" name="31519" queryTableFieldId="622"/>
    <tableColumn id="623" xr3:uid="{1552A488-D5BE-46D6-A22F-AFEC5E47EB4A}" uniqueName="623" name="31520" queryTableFieldId="623"/>
    <tableColumn id="624" xr3:uid="{B8C3CD02-AC65-46A6-BDDB-79161EBFAF2B}" uniqueName="624" name="31522" queryTableFieldId="624"/>
    <tableColumn id="625" xr3:uid="{C20C30E0-B8F7-4FF3-9673-857734E4DD63}" uniqueName="625" name="31523" queryTableFieldId="625"/>
    <tableColumn id="626" xr3:uid="{BC75B7C4-A527-49C6-9E83-B4B9C5CC1F14}" uniqueName="626" name="31524" queryTableFieldId="626"/>
    <tableColumn id="627" xr3:uid="{A9936A45-34E4-41E7-A2EB-561E72B21569}" uniqueName="627" name="31525" queryTableFieldId="627"/>
    <tableColumn id="628" xr3:uid="{BF3209A6-4889-47AF-A5E1-9447AACF2961}" uniqueName="628" name="31527" queryTableFieldId="628"/>
    <tableColumn id="629" xr3:uid="{C63AAAB5-A8C9-4F52-9FBF-4CDEF7011151}" uniqueName="629" name="31532" queryTableFieldId="629"/>
    <tableColumn id="630" xr3:uid="{157E7D77-FEB4-4FF5-A646-C27E54B424CF}" uniqueName="630" name="31533" queryTableFieldId="630"/>
    <tableColumn id="631" xr3:uid="{F8068C9F-0B1D-4CAE-9FFC-DBEE62CE1941}" uniqueName="631" name="31535" queryTableFieldId="631"/>
    <tableColumn id="632" xr3:uid="{4E6BCE24-705B-4F9E-8E13-1676349D102C}" uniqueName="632" name="31537" queryTableFieldId="632"/>
    <tableColumn id="633" xr3:uid="{D25F3806-DD3B-487A-9090-A6E8F1510905}" uniqueName="633" name="31539" queryTableFieldId="633"/>
    <tableColumn id="634" xr3:uid="{8621EC36-0612-4BA7-BB25-0C2C9CFF029E}" uniqueName="634" name="31542" queryTableFieldId="634"/>
    <tableColumn id="635" xr3:uid="{452B5D49-F10A-4F52-A8F6-D28E89DA7F7B}" uniqueName="635" name="31543" queryTableFieldId="635"/>
    <tableColumn id="636" xr3:uid="{848C3681-C787-42F7-A888-C4AE9B90BE91}" uniqueName="636" name="31544" queryTableFieldId="636"/>
    <tableColumn id="637" xr3:uid="{BE6CC3B8-61AA-4B36-AAFF-382A54379BBB}" uniqueName="637" name="31545" queryTableFieldId="637"/>
    <tableColumn id="638" xr3:uid="{F5093F24-311B-4D26-8F37-07B0391BF50E}" uniqueName="638" name="31546" queryTableFieldId="638"/>
    <tableColumn id="639" xr3:uid="{B1458C81-9610-4CF9-8243-EC8549BFB76D}" uniqueName="639" name="31547" queryTableFieldId="639"/>
    <tableColumn id="640" xr3:uid="{D61CD5BD-E923-4024-AD30-1E8980D12233}" uniqueName="640" name="31548" queryTableFieldId="640"/>
    <tableColumn id="641" xr3:uid="{ECCE2D29-D6FD-4E55-81A3-290718B39FF8}" uniqueName="641" name="31549" queryTableFieldId="641"/>
    <tableColumn id="642" xr3:uid="{9F685385-4510-4F12-9989-DB06F8FFC20A}" uniqueName="642" name="31550" queryTableFieldId="642"/>
    <tableColumn id="643" xr3:uid="{D5AAD157-F142-4833-A768-45D306036585}" uniqueName="643" name="31551" queryTableFieldId="643"/>
    <tableColumn id="644" xr3:uid="{31175615-5518-4243-B240-045DC158C1CE}" uniqueName="644" name="31552" queryTableFieldId="644"/>
    <tableColumn id="645" xr3:uid="{1CF62F17-9063-4118-AE47-D599F3BA1E32}" uniqueName="645" name="31553" queryTableFieldId="645"/>
    <tableColumn id="646" xr3:uid="{1B957A09-0CE0-4530-A9AE-A49769E805A4}" uniqueName="646" name="31554" queryTableFieldId="646"/>
    <tableColumn id="647" xr3:uid="{BD3C0BEA-6C4E-4830-819A-B99288E9BABD}" uniqueName="647" name="31555" queryTableFieldId="647"/>
    <tableColumn id="648" xr3:uid="{15013649-FEC3-4B85-922F-FE577C94BDBE}" uniqueName="648" name="31556" queryTableFieldId="648"/>
    <tableColumn id="649" xr3:uid="{5652C96E-0F86-48C0-B971-262D4D2A9B33}" uniqueName="649" name="31557" queryTableFieldId="649"/>
    <tableColumn id="650" xr3:uid="{685FAE8C-26D0-4C31-8D59-2831C07284AF}" uniqueName="650" name="31558" queryTableFieldId="650"/>
    <tableColumn id="651" xr3:uid="{E0839357-FF08-41AF-82E2-3A9B9F2FAB61}" uniqueName="651" name="31560" queryTableFieldId="651"/>
    <tableColumn id="652" xr3:uid="{EB62C90E-FB77-41C5-83A2-30259E01B1C3}" uniqueName="652" name="31561" queryTableFieldId="652"/>
    <tableColumn id="653" xr3:uid="{7D659C4B-2CDE-4D8B-80B5-2894593282D6}" uniqueName="653" name="31562" queryTableFieldId="653"/>
    <tableColumn id="654" xr3:uid="{F710AFE3-7AA4-4307-9F3E-E082B515CAAD}" uniqueName="654" name="31563" queryTableFieldId="654"/>
    <tableColumn id="655" xr3:uid="{7088BAC3-F76E-4B67-B6F0-D57BC74ADBE4}" uniqueName="655" name="31564" queryTableFieldId="655"/>
    <tableColumn id="656" xr3:uid="{15BFD745-3ADC-448D-8340-BEC22EED92EA}" uniqueName="656" name="31565" queryTableFieldId="656"/>
    <tableColumn id="657" xr3:uid="{71FCA048-0422-44E1-886B-6D10B163074F}" uniqueName="657" name="31566" queryTableFieldId="657"/>
    <tableColumn id="658" xr3:uid="{90EE0FF7-D78C-4207-80D0-E4D78A2C609F}" uniqueName="658" name="31567" queryTableFieldId="658"/>
    <tableColumn id="659" xr3:uid="{F654A28C-E998-4F21-AF64-A2422B00EF12}" uniqueName="659" name="31568" queryTableFieldId="659"/>
    <tableColumn id="660" xr3:uid="{F96C7A09-4995-46DB-B9FE-D04BB07069B3}" uniqueName="660" name="31569" queryTableFieldId="660"/>
    <tableColumn id="661" xr3:uid="{3D9FE078-B881-4B06-895F-2BFF8DC20FC5}" uniqueName="661" name="31599" queryTableFieldId="661"/>
    <tableColumn id="662" xr3:uid="{AC086B58-9B5F-4328-B7DC-E2AB9A8023B7}" uniqueName="662" name="31601" queryTableFieldId="662"/>
    <tableColumn id="663" xr3:uid="{C63E9327-7D21-4B4C-9343-D7A59C19918B}" uniqueName="663" name="31602" queryTableFieldId="663"/>
    <tableColumn id="664" xr3:uid="{45457564-5506-4EB6-A891-0116C46E28C4}" uniqueName="664" name="31605" queryTableFieldId="664"/>
    <tableColumn id="665" xr3:uid="{12699BCB-3C35-4450-9D20-466D032661A0}" uniqueName="665" name="31606" queryTableFieldId="665"/>
    <tableColumn id="666" xr3:uid="{E61BA652-E9CD-4F85-8CD7-7DD83CB1F509}" uniqueName="666" name="31620" queryTableFieldId="666"/>
    <tableColumn id="667" xr3:uid="{78E425D4-E0AA-4A21-A0C6-5DF78024E05C}" uniqueName="667" name="31622" queryTableFieldId="667"/>
    <tableColumn id="668" xr3:uid="{63674E25-0C17-445F-A5C0-9B6FBD33B84C}" uniqueName="668" name="31623" queryTableFieldId="668"/>
    <tableColumn id="669" xr3:uid="{E9A0B670-A9E9-40D7-88AB-0C76685AAB1C}" uniqueName="669" name="31624" queryTableFieldId="669"/>
    <tableColumn id="670" xr3:uid="{A940D701-50A0-4299-899C-80E7DCF3884A}" uniqueName="670" name="31625" queryTableFieldId="670"/>
    <tableColumn id="671" xr3:uid="{E6BB6E11-B5B4-4981-8781-F43D7BB27539}" uniqueName="671" name="31626" queryTableFieldId="671"/>
    <tableColumn id="672" xr3:uid="{61433AF3-345B-475D-93B7-DDD8CA4735A1}" uniqueName="672" name="31627" queryTableFieldId="672"/>
    <tableColumn id="673" xr3:uid="{A0087F91-3D98-435D-8878-E8CB9FA38B47}" uniqueName="673" name="31629" queryTableFieldId="673"/>
    <tableColumn id="674" xr3:uid="{51B99558-5B4D-4A76-B473-0F1D75515373}" uniqueName="674" name="31630" queryTableFieldId="674"/>
    <tableColumn id="675" xr3:uid="{5B62C40D-A758-4033-87B6-6448DD3F9709}" uniqueName="675" name="31631" queryTableFieldId="675"/>
    <tableColumn id="676" xr3:uid="{B25F9C91-176D-4943-A650-EB323A6620E2}" uniqueName="676" name="31632" queryTableFieldId="676"/>
    <tableColumn id="677" xr3:uid="{5E2A9742-A162-4108-B7AD-9696CEDF928F}" uniqueName="677" name="31634" queryTableFieldId="677"/>
    <tableColumn id="678" xr3:uid="{5B9A3A2A-17C0-494C-9B35-D25CE6A25716}" uniqueName="678" name="31635" queryTableFieldId="678"/>
    <tableColumn id="679" xr3:uid="{ECC77A4F-A915-4A1D-8513-221E2AF7E44F}" uniqueName="679" name="31636" queryTableFieldId="679"/>
    <tableColumn id="680" xr3:uid="{17116D8B-4273-4ABA-9D88-3AFC01E0F2D4}" uniqueName="680" name="31637" queryTableFieldId="680"/>
    <tableColumn id="681" xr3:uid="{170425B6-0F0B-45F0-9CB9-A1A373DA9452}" uniqueName="681" name="31638" queryTableFieldId="681"/>
    <tableColumn id="682" xr3:uid="{CB0B930C-AE14-4121-A490-0924AE631665}" uniqueName="682" name="31639" queryTableFieldId="682"/>
    <tableColumn id="683" xr3:uid="{FFC66257-B7A3-4897-8DAB-0B7D9098A379}" uniqueName="683" name="31641" queryTableFieldId="683"/>
    <tableColumn id="684" xr3:uid="{CCCE589E-AB6F-47E7-B79E-DE5F8810E2C3}" uniqueName="684" name="31642" queryTableFieldId="684"/>
    <tableColumn id="685" xr3:uid="{1F881318-ABC3-44D7-ABA1-999B0F025D91}" uniqueName="685" name="31643" queryTableFieldId="685"/>
    <tableColumn id="686" xr3:uid="{850022F5-8C4A-4B33-84F9-A78AA556B1F4}" uniqueName="686" name="31645" queryTableFieldId="686"/>
    <tableColumn id="687" xr3:uid="{737D25EF-181E-4D6E-84D4-9946B103FB9E}" uniqueName="687" name="31647" queryTableFieldId="687"/>
    <tableColumn id="688" xr3:uid="{DA4AABBA-A27F-442E-BC3E-55B7B24CA6E4}" uniqueName="688" name="31648" queryTableFieldId="688"/>
    <tableColumn id="689" xr3:uid="{94393C58-0B24-465F-A94E-4A62377793A0}" uniqueName="689" name="31649" queryTableFieldId="689"/>
    <tableColumn id="690" xr3:uid="{8B238145-D155-496F-BE14-56E894BEAAB4}" uniqueName="690" name="31650" queryTableFieldId="690"/>
    <tableColumn id="691" xr3:uid="{4D38A2B0-800F-45D8-B751-E73FB816BA62}" uniqueName="691" name="31698" queryTableFieldId="691"/>
    <tableColumn id="692" xr3:uid="{36EB3A5C-B0B7-4213-8BBE-727649BE7F00}" uniqueName="692" name="31699" queryTableFieldId="692"/>
    <tableColumn id="693" xr3:uid="{43C936B0-AB5B-4F15-85FC-60E0A5476F32}" uniqueName="693" name="31701" queryTableFieldId="693"/>
    <tableColumn id="694" xr3:uid="{75FFA5CF-98EB-4CFE-BAE1-0D9F60455B14}" uniqueName="694" name="31704" queryTableFieldId="694"/>
    <tableColumn id="695" xr3:uid="{70A9E3E0-24C1-4D67-AB4C-77729A39D218}" uniqueName="695" name="31705" queryTableFieldId="695"/>
    <tableColumn id="696" xr3:uid="{06A41CCA-302D-4D01-A77D-DB8A40EEF3AA}" uniqueName="696" name="31707" queryTableFieldId="696"/>
    <tableColumn id="697" xr3:uid="{3B4E3FE7-57BE-47AB-B742-97B65C7B138F}" uniqueName="697" name="31709" queryTableFieldId="697"/>
    <tableColumn id="698" xr3:uid="{BA70D67F-80F3-44F5-9A25-4EC40758F99D}" uniqueName="698" name="31711" queryTableFieldId="698"/>
    <tableColumn id="699" xr3:uid="{58142389-A41C-4684-BF57-E02D3E76B512}" uniqueName="699" name="31712" queryTableFieldId="699"/>
    <tableColumn id="700" xr3:uid="{D85463F9-BD58-4DCD-BF4E-C616C28DAC3E}" uniqueName="700" name="31714" queryTableFieldId="700"/>
    <tableColumn id="701" xr3:uid="{FC5DCCBA-3507-4722-8890-B5576EE31484}" uniqueName="701" name="31716" queryTableFieldId="701"/>
    <tableColumn id="702" xr3:uid="{4A01793F-F490-4441-92B5-0FE3C8F310A8}" uniqueName="702" name="31719" queryTableFieldId="702"/>
    <tableColumn id="703" xr3:uid="{F50AFCB5-E302-415D-9226-A003F5AC6C93}" uniqueName="703" name="31720" queryTableFieldId="703"/>
    <tableColumn id="704" xr3:uid="{6F2F90DF-529A-48DE-9E4C-9A948647430D}" uniqueName="704" name="31721" queryTableFieldId="704"/>
    <tableColumn id="705" xr3:uid="{6F9AC837-B227-4B4E-8E9A-D57ED931A9C3}" uniqueName="705" name="31722" queryTableFieldId="705"/>
    <tableColumn id="706" xr3:uid="{51FD03CE-F551-4EE6-BD84-3B6829232290}" uniqueName="706" name="31727" queryTableFieldId="706"/>
    <tableColumn id="707" xr3:uid="{D050BF31-3283-4C2E-A5EB-F97DA5D37F06}" uniqueName="707" name="31730" queryTableFieldId="707"/>
    <tableColumn id="708" xr3:uid="{55BAF6CD-3AF1-402C-A65A-30F5287B6F06}" uniqueName="708" name="31733" queryTableFieldId="708"/>
    <tableColumn id="709" xr3:uid="{8FED4FE4-4CAF-4B1B-AB3F-DAFD654C451E}" uniqueName="709" name="31735" queryTableFieldId="709"/>
    <tableColumn id="710" xr3:uid="{3889927E-C340-4859-8BB5-5B8F0177F713}" uniqueName="710" name="31738" queryTableFieldId="710"/>
    <tableColumn id="711" xr3:uid="{D6D118A2-76AB-46AE-B805-B822623DAA4F}" uniqueName="711" name="31743" queryTableFieldId="711"/>
    <tableColumn id="712" xr3:uid="{E038DAAE-7FAA-416A-BE5B-0D6783C51BEF}" uniqueName="712" name="31744" queryTableFieldId="712"/>
    <tableColumn id="713" xr3:uid="{10C70C3C-AF48-4A5D-93FF-DA1D87692B38}" uniqueName="713" name="31747" queryTableFieldId="713"/>
    <tableColumn id="714" xr3:uid="{A92D54E5-F48E-4A3B-98E6-3CE1EAC9E71D}" uniqueName="714" name="31749" queryTableFieldId="714"/>
    <tableColumn id="715" xr3:uid="{FAB91CC8-03B9-4A6B-BAD2-099CAA6C1F25}" uniqueName="715" name="31750" queryTableFieldId="715"/>
    <tableColumn id="716" xr3:uid="{205DA7E2-AE03-408D-A616-44531EAA6D66}" uniqueName="716" name="31753" queryTableFieldId="716"/>
    <tableColumn id="717" xr3:uid="{78AB481A-D773-477A-82AF-E468E1EB6C80}" uniqueName="717" name="31756" queryTableFieldId="717"/>
    <tableColumn id="718" xr3:uid="{E954E97A-CA18-45B4-B122-4C1015EB096F}" uniqueName="718" name="31757" queryTableFieldId="718"/>
    <tableColumn id="719" xr3:uid="{77660732-A862-493E-B8AD-B099660C5498}" uniqueName="719" name="31763" queryTableFieldId="719"/>
    <tableColumn id="720" xr3:uid="{372DC90E-B90D-485E-A55F-4282A787488F}" uniqueName="720" name="31764" queryTableFieldId="720"/>
    <tableColumn id="721" xr3:uid="{79C28BA1-C89F-43DF-8BFC-146DD6D92A06}" uniqueName="721" name="31765" queryTableFieldId="721"/>
    <tableColumn id="722" xr3:uid="{7C188D3D-2EC8-4676-A7A6-E320D563DE03}" uniqueName="722" name="31768" queryTableFieldId="722"/>
    <tableColumn id="723" xr3:uid="{C5F2B32E-CB44-4496-A660-F755D0B1E954}" uniqueName="723" name="31771" queryTableFieldId="723"/>
    <tableColumn id="724" xr3:uid="{90824BCA-F610-41F6-AF84-AC13BAD0191E}" uniqueName="724" name="31772" queryTableFieldId="724"/>
    <tableColumn id="725" xr3:uid="{A48BFF26-EC05-4B93-8FEE-A9A878F1E7C7}" uniqueName="725" name="31773" queryTableFieldId="725"/>
    <tableColumn id="726" xr3:uid="{AE1F476B-D154-4E0F-8B67-67DE92B05C7A}" uniqueName="726" name="31774" queryTableFieldId="726"/>
    <tableColumn id="727" xr3:uid="{5E47D799-8E5C-48F8-996D-60C7ACE35571}" uniqueName="727" name="31775" queryTableFieldId="727"/>
    <tableColumn id="728" xr3:uid="{712F62D3-2776-4773-A60B-A708A322D04C}" uniqueName="728" name="31778" queryTableFieldId="728"/>
    <tableColumn id="729" xr3:uid="{F2BBF646-5383-41ED-BB92-2F5CB8229F4C}" uniqueName="729" name="31779" queryTableFieldId="729"/>
    <tableColumn id="730" xr3:uid="{C2E32A09-56C8-4E58-835A-FA581118A420}" uniqueName="730" name="31780" queryTableFieldId="730"/>
    <tableColumn id="731" xr3:uid="{1CD45A2B-861D-4B81-81E2-9014AE712330}" uniqueName="731" name="31781" queryTableFieldId="731"/>
    <tableColumn id="732" xr3:uid="{75AD1C26-A0FE-4371-A971-0F6F783262F5}" uniqueName="732" name="31783" queryTableFieldId="732"/>
    <tableColumn id="733" xr3:uid="{CF5ABD14-BC11-4096-BF5A-36C5E6F4843A}" uniqueName="733" name="31784" queryTableFieldId="733"/>
    <tableColumn id="734" xr3:uid="{699B748D-F576-4C46-AE05-41E21E42C5CF}" uniqueName="734" name="31787" queryTableFieldId="734"/>
    <tableColumn id="735" xr3:uid="{0551358F-BF80-45F1-B9A7-E1BEEF3ED73F}" uniqueName="735" name="31788" queryTableFieldId="735"/>
    <tableColumn id="736" xr3:uid="{8F244C64-111F-4E59-9E6C-D7E2AC213BA4}" uniqueName="736" name="31789" queryTableFieldId="736"/>
    <tableColumn id="737" xr3:uid="{CE13C6E8-A972-4E92-BA0C-33C7544D5106}" uniqueName="737" name="31790" queryTableFieldId="737"/>
    <tableColumn id="738" xr3:uid="{93638BFD-5571-4697-9EF7-CF38B3F8ED6A}" uniqueName="738" name="31791" queryTableFieldId="738"/>
    <tableColumn id="739" xr3:uid="{689795DF-E7AA-4D48-A1FD-1C558B347852}" uniqueName="739" name="31792" queryTableFieldId="739"/>
    <tableColumn id="740" xr3:uid="{2A6E8D19-870E-4D5B-8C65-1AF830B01EE0}" uniqueName="740" name="31793" queryTableFieldId="740"/>
    <tableColumn id="741" xr3:uid="{81346394-7BFA-4E5A-9B8D-A4DAE53291F4}" uniqueName="741" name="31794" queryTableFieldId="741"/>
    <tableColumn id="742" xr3:uid="{D616D040-F19C-4052-9417-162C572CC48F}" uniqueName="742" name="31795" queryTableFieldId="742"/>
    <tableColumn id="743" xr3:uid="{EF18E7B9-F559-436F-9F3E-78D7AA7E75A3}" uniqueName="743" name="31796" queryTableFieldId="743"/>
    <tableColumn id="744" xr3:uid="{ED555A08-E8B9-45AB-A4F3-45BFD0D60216}" uniqueName="744" name="31798" queryTableFieldId="744"/>
    <tableColumn id="745" xr3:uid="{1670CE84-ABE8-417B-B715-2A51AA5D5558}" uniqueName="745" name="31801" queryTableFieldId="745"/>
    <tableColumn id="746" xr3:uid="{D0DD75FA-D2C2-404E-8D99-58ED4420C0E1}" uniqueName="746" name="31803" queryTableFieldId="746"/>
    <tableColumn id="747" xr3:uid="{4D222156-46A4-46BD-832D-A58D375DE4CE}" uniqueName="747" name="31804" queryTableFieldId="747"/>
    <tableColumn id="748" xr3:uid="{2320337F-0DE3-4B8A-914F-9428A51FFAF6}" uniqueName="748" name="31805" queryTableFieldId="748"/>
    <tableColumn id="749" xr3:uid="{F22AE2E8-F389-4F8A-8677-B323AF57C3D8}" uniqueName="749" name="31806" queryTableFieldId="749"/>
    <tableColumn id="750" xr3:uid="{44992B86-B076-4DA4-B6B0-B28E0DF91DC7}" uniqueName="750" name="31807" queryTableFieldId="750"/>
    <tableColumn id="751" xr3:uid="{2F76AAC2-706B-43CA-9DCF-22C27E640E85}" uniqueName="751" name="31808" queryTableFieldId="751"/>
    <tableColumn id="752" xr3:uid="{78E84587-B5FD-4C88-AFC4-AA7CA5D346D7}" uniqueName="752" name="31810" queryTableFieldId="752"/>
    <tableColumn id="753" xr3:uid="{0306BD9E-61FF-4895-ADB1-5D8733829AB7}" uniqueName="753" name="31811" queryTableFieldId="753"/>
    <tableColumn id="754" xr3:uid="{980EFD02-EE6B-46BE-B5E3-5027DCFE6F2D}" uniqueName="754" name="31812" queryTableFieldId="754"/>
    <tableColumn id="755" xr3:uid="{B3A701CD-D300-40A8-8404-DD4D11ED34D8}" uniqueName="755" name="31814" queryTableFieldId="755"/>
    <tableColumn id="756" xr3:uid="{EE9F6C3D-218C-4A6A-9349-30BF2320C1CD}" uniqueName="756" name="31815" queryTableFieldId="756"/>
    <tableColumn id="757" xr3:uid="{6926F681-5716-42DB-BC71-5D5B20A0421A}" uniqueName="757" name="31816" queryTableFieldId="757"/>
    <tableColumn id="758" xr3:uid="{C1827E14-22D6-4DF2-AC1A-651D00EBA9AF}" uniqueName="758" name="31820" queryTableFieldId="758"/>
    <tableColumn id="759" xr3:uid="{C58CDC90-6D5E-4D65-B51B-27BB3BE0338E}" uniqueName="759" name="31821" queryTableFieldId="759"/>
    <tableColumn id="760" xr3:uid="{566793FC-6BF0-4A8A-A4C5-938961C7271F}" uniqueName="760" name="31822" queryTableFieldId="760"/>
    <tableColumn id="761" xr3:uid="{97447D1B-1C04-41C6-AF8C-144A4B709FAA}" uniqueName="761" name="31823" queryTableFieldId="761"/>
    <tableColumn id="762" xr3:uid="{1F5BCD34-9B9C-406D-9BAC-DF3F06A5EF41}" uniqueName="762" name="31824" queryTableFieldId="762"/>
    <tableColumn id="763" xr3:uid="{AF8FA353-445A-4A31-9DB5-130BE0FA61CD}" uniqueName="763" name="31825" queryTableFieldId="763"/>
    <tableColumn id="764" xr3:uid="{D259D35E-ED76-4EC9-9758-E6A21AE03823}" uniqueName="764" name="31826" queryTableFieldId="764"/>
    <tableColumn id="765" xr3:uid="{359FC735-3352-48FE-ABC0-0906ED612819}" uniqueName="765" name="31827" queryTableFieldId="765"/>
    <tableColumn id="766" xr3:uid="{A235369A-1F5C-4AE5-9CE4-9E30776D7763}" uniqueName="766" name="31829" queryTableFieldId="766"/>
    <tableColumn id="767" xr3:uid="{37891051-7DD9-4AF1-8AAF-81E410F4DC4E}" uniqueName="767" name="31830" queryTableFieldId="767"/>
    <tableColumn id="768" xr3:uid="{59EF37F1-7725-4775-A7BF-0CB63D0BB77D}" uniqueName="768" name="31831" queryTableFieldId="768"/>
    <tableColumn id="769" xr3:uid="{082AEFA0-F3A9-451F-804E-5026839CEF99}" uniqueName="769" name="31832" queryTableFieldId="769"/>
    <tableColumn id="770" xr3:uid="{BB24257D-37B9-4C68-9F86-311346450687}" uniqueName="770" name="31833" queryTableFieldId="770"/>
    <tableColumn id="771" xr3:uid="{B3BB389F-A0AA-451A-BA7E-B57CE9F6F74C}" uniqueName="771" name="31836" queryTableFieldId="771"/>
    <tableColumn id="772" xr3:uid="{B8DC3115-65E0-421D-820E-1779DAD8B1E2}" uniqueName="772" name="31901" queryTableFieldId="772"/>
    <tableColumn id="773" xr3:uid="{858F4C1D-B7D6-4CFC-A390-27DF14E9B719}" uniqueName="773" name="31903" queryTableFieldId="773"/>
    <tableColumn id="774" xr3:uid="{266F478F-DC93-48D3-849D-1B992FCA52AB}" uniqueName="774" name="31904" queryTableFieldId="774"/>
    <tableColumn id="775" xr3:uid="{F3B127CB-47AB-4439-B7CB-FC7ADF708A5C}" uniqueName="775" name="31905" queryTableFieldId="775"/>
    <tableColumn id="776" xr3:uid="{B8FC6DBA-728C-4834-A42B-D9CB47C9F518}" uniqueName="776" name="31906" queryTableFieldId="776"/>
    <tableColumn id="777" xr3:uid="{10257125-8A80-4ED8-B1B0-A424B38959B2}" uniqueName="777" name="31907" queryTableFieldId="777"/>
    <tableColumn id="778" xr3:uid="{DBC88A3D-2CC4-42D4-9BEB-EFCE8D57DA04}" uniqueName="778" name="31909" queryTableFieldId="778"/>
    <tableColumn id="779" xr3:uid="{4D74E85B-0492-4154-A887-2F59AC1A770D}" uniqueName="779" name="36855" queryTableFieldId="779"/>
    <tableColumn id="780" xr3:uid="{DA6C3C5F-C5BA-49B8-8423-4E3FD020F495}" uniqueName="780" name="39813" queryTableFieldId="780"/>
    <tableColumn id="781" xr3:uid="{990F0244-81CA-4CD8-A580-FD7A163EC7A8}" uniqueName="781" name="39815" queryTableFieldId="781"/>
    <tableColumn id="782" xr3:uid="{57D87D75-EFCC-49B8-93C8-FD59E9772D25}" uniqueName="782" name="39817" queryTableFieldId="782"/>
    <tableColumn id="783" xr3:uid="{E89C8C8C-C634-442A-BB4C-3FFFAE7F5DC2}" uniqueName="783" name="39819" queryTableFieldId="783"/>
    <tableColumn id="784" xr3:uid="{D495A6A2-F91C-4366-84F4-FE28676DDB31}" uniqueName="784" name="39823" queryTableFieldId="784"/>
    <tableColumn id="785" xr3:uid="{526E623F-CF53-4B37-836F-35F463199B22}" uniqueName="785" name="39824" queryTableFieldId="785"/>
    <tableColumn id="786" xr3:uid="{796AC1E1-9556-40B1-BCA8-1718C07DA261}" uniqueName="786" name="39825" queryTableFieldId="786"/>
    <tableColumn id="787" xr3:uid="{EEA2360A-09AB-47BF-B871-9424E037E07E}" uniqueName="787" name="39826" queryTableFieldId="787"/>
    <tableColumn id="788" xr3:uid="{1D85AC75-5523-4738-B48A-74F46909896B}" uniqueName="788" name="39827" queryTableFieldId="788"/>
    <tableColumn id="789" xr3:uid="{4FDED3BA-A182-4060-B2DE-F725F38EB8E2}" uniqueName="789" name="39828" queryTableFieldId="789"/>
    <tableColumn id="790" xr3:uid="{65A1FA1D-D980-4F08-934F-0CD0DFDE5A35}" uniqueName="790" name="39832" queryTableFieldId="790"/>
    <tableColumn id="791" xr3:uid="{39A5794B-A371-4D5B-9E0F-85771D468776}" uniqueName="791" name="39834" queryTableFieldId="791"/>
    <tableColumn id="792" xr3:uid="{36E79B2F-814B-4F2D-9416-889E61DBC0CF}" uniqueName="792" name="39836" queryTableFieldId="792"/>
    <tableColumn id="793" xr3:uid="{4FBB7D4E-9B79-416D-A3D4-252E3E1EFE45}" uniqueName="793" name="39837" queryTableFieldId="793"/>
    <tableColumn id="794" xr3:uid="{3CBD7CF4-1BBA-43D9-9F76-955292AF56FF}" uniqueName="794" name="39840" queryTableFieldId="794"/>
    <tableColumn id="795" xr3:uid="{5DEA0629-A922-44C5-8B7D-83EAA6FFB348}" uniqueName="795" name="39841" queryTableFieldId="795"/>
    <tableColumn id="796" xr3:uid="{81578E2A-770E-4962-B401-928326EC1DEC}" uniqueName="796" name="39842" queryTableFieldId="796"/>
    <tableColumn id="797" xr3:uid="{B1F286ED-32B8-4399-909B-0AD73CC8DD08}" uniqueName="797" name="39845" queryTableFieldId="797"/>
    <tableColumn id="798" xr3:uid="{7952C8E7-FB4B-4270-AF82-8E712E4FDFEC}" uniqueName="798" name="39846" queryTableFieldId="798"/>
    <tableColumn id="799" xr3:uid="{486E5271-8449-4519-8530-FDF7091682B3}" uniqueName="799" name="39851" queryTableFieldId="799"/>
    <tableColumn id="800" xr3:uid="{5AB14E3B-862F-48F8-AA0A-E714F8291119}" uniqueName="800" name="39854" queryTableFieldId="800"/>
    <tableColumn id="801" xr3:uid="{470DC320-2B5B-41B4-B81E-0F7B29140012}" uniqueName="801" name="39859" queryTableFieldId="801"/>
    <tableColumn id="802" xr3:uid="{24272171-2C00-461F-884B-79A6953215A4}" uniqueName="802" name="39861" queryTableFieldId="802"/>
    <tableColumn id="803" xr3:uid="{1FC420D1-712F-42F7-A53C-98AD39189D89}" uniqueName="803" name="39862" queryTableFieldId="803"/>
    <tableColumn id="804" xr3:uid="{6CCB385F-20CE-481E-8DC7-D835D98C37AC}" uniqueName="804" name="39866" queryTableFieldId="804"/>
    <tableColumn id="805" xr3:uid="{7229CDD9-F19D-4D0D-BF76-4F9C713C4732}" uniqueName="805" name="39867" queryTableFieldId="805"/>
    <tableColumn id="806" xr3:uid="{30371AE0-FB10-4F9F-A1FA-CF37C41DA3EB}" uniqueName="806" name="39870" queryTableFieldId="806"/>
    <tableColumn id="807" xr3:uid="{B86FF8F0-8DB4-4BED-9548-2A557D956C3C}" uniqueName="807" name="39877" queryTableFieldId="807"/>
    <tableColumn id="808" xr3:uid="{0AB220E1-384F-41C4-A3F4-309368940579}" uniqueName="808" name="39885" queryTableFieldId="808"/>
    <tableColumn id="809" xr3:uid="{31B592F8-2FAF-4A91-A588-B95FE28919C3}" uniqueName="809" name="39886" queryTableFieldId="809"/>
    <tableColumn id="810" xr3:uid="{9E331C1F-DCFF-4BB8-A906-FBD5F5BC394D}" uniqueName="810" name="39897" queryTableFieldId="810"/>
    <tableColumn id="811" xr3:uid="{874DC0ED-9801-4710-B8B5-C3F4A8BEFA04}" uniqueName="811" name="19973" queryTableFieldId="811"/>
    <tableColumn id="812" xr3:uid="{8AEF2598-EBA4-46FC-8664-1D2B54AE35F6}" uniqueName="812" name="20601" queryTableFieldId="812"/>
    <tableColumn id="813" xr3:uid="{8771B65A-EB9B-417D-B520-4B5FA8B8DE49}" uniqueName="813" name="20602" queryTableFieldId="813"/>
    <tableColumn id="814" xr3:uid="{A0FD4D1F-356A-479B-B7BB-CDB7936995A9}" uniqueName="814" name="20603" queryTableFieldId="814"/>
    <tableColumn id="815" xr3:uid="{F6FE9E46-233A-4633-9D07-29340F0227A4}" uniqueName="815" name="20606" queryTableFieldId="815"/>
    <tableColumn id="816" xr3:uid="{3E791305-CD27-4618-AA18-84D1FF6F14A4}" uniqueName="816" name="20607" queryTableFieldId="816"/>
    <tableColumn id="817" xr3:uid="{70BF9AC2-82E0-479F-A304-A2FB3367D052}" uniqueName="817" name="20608" queryTableFieldId="817"/>
    <tableColumn id="818" xr3:uid="{30EBF3FE-7065-4E7B-AAC5-425AB9A5825E}" uniqueName="818" name="20609" queryTableFieldId="818"/>
    <tableColumn id="819" xr3:uid="{8928E717-C169-48D8-A8E9-EF5A3BA81F9F}" uniqueName="819" name="20611" queryTableFieldId="819"/>
    <tableColumn id="820" xr3:uid="{20D61B45-93E5-4385-979E-AC3D762221AC}" uniqueName="820" name="20612" queryTableFieldId="820"/>
    <tableColumn id="821" xr3:uid="{AE60B655-C5FB-4A95-96EB-C58F17911C6B}" uniqueName="821" name="20613" queryTableFieldId="821"/>
    <tableColumn id="822" xr3:uid="{D0B2FCA5-A330-4C1F-93F1-08D40DFD2D1F}" uniqueName="822" name="20615" queryTableFieldId="822"/>
    <tableColumn id="823" xr3:uid="{842B3D37-43C1-4C65-B685-FEF504B24F5C}" uniqueName="823" name="20616" queryTableFieldId="823"/>
    <tableColumn id="824" xr3:uid="{BB3B5DF4-E1A2-41B6-8D1B-D582BAD3A470}" uniqueName="824" name="20617" queryTableFieldId="824"/>
    <tableColumn id="825" xr3:uid="{7A2947D1-F46C-45C1-9CE5-C5B7364CA2F6}" uniqueName="825" name="20618" queryTableFieldId="825"/>
    <tableColumn id="826" xr3:uid="{80E4F9BE-5CCC-4733-8576-2239F6C4655E}" uniqueName="826" name="20619" queryTableFieldId="826"/>
    <tableColumn id="827" xr3:uid="{AA28CC3E-C3B2-4DB0-932D-3D4D4718711C}" uniqueName="827" name="20620" queryTableFieldId="827"/>
    <tableColumn id="828" xr3:uid="{029CE0F5-8884-4291-815C-080979B06D5D}" uniqueName="828" name="20621" queryTableFieldId="828"/>
    <tableColumn id="829" xr3:uid="{8D20588B-C121-4D6B-8C8B-DCF5DAD43C03}" uniqueName="829" name="20622" queryTableFieldId="829"/>
    <tableColumn id="830" xr3:uid="{E725E52E-F191-4410-BBCD-8E14CAF59BE4}" uniqueName="830" name="20623" queryTableFieldId="830"/>
    <tableColumn id="831" xr3:uid="{DD49A272-CA72-4541-9A82-B5B32A8346C8}" uniqueName="831" name="20624" queryTableFieldId="831"/>
    <tableColumn id="832" xr3:uid="{6E462658-51DF-46C8-BA7E-7B99EDD7E5C0}" uniqueName="832" name="20625" queryTableFieldId="832"/>
    <tableColumn id="833" xr3:uid="{8DDBFA6E-D698-4326-BFB6-B2C7B3DA7266}" uniqueName="833" name="20626" queryTableFieldId="833"/>
    <tableColumn id="834" xr3:uid="{B384E1D2-ED7E-40D2-8342-EF689C1AB238}" uniqueName="834" name="20628" queryTableFieldId="834"/>
    <tableColumn id="835" xr3:uid="{3E8AED54-6C39-451D-8F84-AD1F2D5F4A56}" uniqueName="835" name="20629" queryTableFieldId="835"/>
    <tableColumn id="836" xr3:uid="{834DC3F4-54FF-4C10-BF38-B27366888432}" uniqueName="836" name="20630" queryTableFieldId="836"/>
    <tableColumn id="837" xr3:uid="{C66A2B11-6542-4C64-BF3A-F3D30192EEC7}" uniqueName="837" name="20632" queryTableFieldId="837"/>
    <tableColumn id="838" xr3:uid="{6AC7F695-144A-43FE-A560-6D7322AFBD40}" uniqueName="838" name="20634" queryTableFieldId="838"/>
    <tableColumn id="839" xr3:uid="{0694918F-BFF9-49B0-A96C-44F588293CC4}" uniqueName="839" name="20636" queryTableFieldId="839"/>
    <tableColumn id="840" xr3:uid="{51A8FD16-4440-45A7-AE52-C1D85AF98D20}" uniqueName="840" name="20637" queryTableFieldId="840"/>
    <tableColumn id="841" xr3:uid="{7FB06C1F-7D86-48C2-8C7E-998825DA8ECA}" uniqueName="841" name="20639" queryTableFieldId="841"/>
    <tableColumn id="842" xr3:uid="{909C598B-2F86-4CDB-A7B5-AC66D68ADC56}" uniqueName="842" name="20640" queryTableFieldId="842"/>
    <tableColumn id="843" xr3:uid="{0EB6C527-1D49-4A10-A4C2-5B322650AD81}" uniqueName="843" name="20645" queryTableFieldId="843"/>
    <tableColumn id="844" xr3:uid="{6531F548-D523-4EF2-81D4-00721759531C}" uniqueName="844" name="20646" queryTableFieldId="844"/>
    <tableColumn id="845" xr3:uid="{61ED3595-99DB-4379-8302-8DD4029D78A6}" uniqueName="845" name="20650" queryTableFieldId="845"/>
    <tableColumn id="846" xr3:uid="{BB3E3D4E-536D-460E-801E-03F861C720E3}" uniqueName="846" name="20653" queryTableFieldId="846"/>
    <tableColumn id="847" xr3:uid="{EDFC571D-B00C-4D4B-A6FE-AA37F9B5EB47}" uniqueName="847" name="20656" queryTableFieldId="847"/>
    <tableColumn id="848" xr3:uid="{302BB971-868A-4B18-A1E4-9A4AD0B9FC93}" uniqueName="848" name="20657" queryTableFieldId="848"/>
    <tableColumn id="849" xr3:uid="{6CB35C74-0433-46D9-B802-A5E8443727A4}" uniqueName="849" name="20658" queryTableFieldId="849"/>
    <tableColumn id="850" xr3:uid="{A914DEC2-4542-47DC-BA75-6F6207ED4864}" uniqueName="850" name="20659" queryTableFieldId="850"/>
    <tableColumn id="851" xr3:uid="{39B2E6F3-F98A-4B98-9467-7F1289159DCB}" uniqueName="851" name="20660" queryTableFieldId="851"/>
    <tableColumn id="852" xr3:uid="{0550EAA9-48B6-48FA-8802-5C41504F95DE}" uniqueName="852" name="20661" queryTableFieldId="852"/>
    <tableColumn id="853" xr3:uid="{18C130A0-A1BB-4FF0-BA74-B86FF0C87EB9}" uniqueName="853" name="20662" queryTableFieldId="853"/>
    <tableColumn id="854" xr3:uid="{FFA8971F-5957-4F67-AAE2-6374B82FC193}" uniqueName="854" name="20664" queryTableFieldId="854"/>
    <tableColumn id="855" xr3:uid="{AC828A1D-D49F-4C02-A1AC-90B3F95E34E9}" uniqueName="855" name="20667" queryTableFieldId="855"/>
    <tableColumn id="856" xr3:uid="{B867FF9F-A072-4A0E-8D3D-76243EF48138}" uniqueName="856" name="20670" queryTableFieldId="856"/>
    <tableColumn id="857" xr3:uid="{26AE6A1D-FE3D-4609-926F-154E33C6A2CD}" uniqueName="857" name="20674" queryTableFieldId="857"/>
    <tableColumn id="858" xr3:uid="{D125419A-B443-4346-BCFD-D42CA4B7DAFE}" uniqueName="858" name="20675" queryTableFieldId="858"/>
    <tableColumn id="859" xr3:uid="{FC7F27CB-F8D9-4EB7-8E64-8724F9718F41}" uniqueName="859" name="20676" queryTableFieldId="859"/>
    <tableColumn id="860" xr3:uid="{E83F5195-766D-4073-B9ED-7AD5607B35C5}" uniqueName="860" name="20677" queryTableFieldId="860"/>
    <tableColumn id="861" xr3:uid="{17882B92-69C4-414E-ACA1-CE5745389AE8}" uniqueName="861" name="20678" queryTableFieldId="861"/>
    <tableColumn id="862" xr3:uid="{C9578FA7-0C50-4965-A7DE-ACC8A1EE3165}" uniqueName="862" name="20680" queryTableFieldId="862"/>
    <tableColumn id="863" xr3:uid="{DA0C5FDD-9F21-48EC-8762-7C862F2FFC32}" uniqueName="863" name="20684" queryTableFieldId="863"/>
    <tableColumn id="864" xr3:uid="{2BDDD389-B7D5-4EA2-979C-64F95913DCA7}" uniqueName="864" name="20685" queryTableFieldId="864"/>
    <tableColumn id="865" xr3:uid="{920B2789-5505-415A-ACEC-5579181864F5}" uniqueName="865" name="20686" queryTableFieldId="865"/>
    <tableColumn id="866" xr3:uid="{1FCD3CCD-AB12-4E1C-9D4B-3FED2157FD0D}" uniqueName="866" name="20687" queryTableFieldId="866"/>
    <tableColumn id="867" xr3:uid="{4764F5C6-561C-4507-B2E3-C5C73918AECC}" uniqueName="867" name="20688" queryTableFieldId="867"/>
    <tableColumn id="868" xr3:uid="{237BC0A2-E0B1-4E22-820D-32FFA0C9932C}" uniqueName="868" name="20689" queryTableFieldId="868"/>
    <tableColumn id="869" xr3:uid="{61E5266D-71C6-494D-9C22-B417612FD59D}" uniqueName="869" name="20690" queryTableFieldId="869"/>
    <tableColumn id="870" xr3:uid="{B902C274-4421-4FFE-84B5-5A7D1ED5EC09}" uniqueName="870" name="20692" queryTableFieldId="870"/>
    <tableColumn id="871" xr3:uid="{A0C7794B-FC1D-4B3A-A74A-F2A7B5E5D1F1}" uniqueName="871" name="20693" queryTableFieldId="871"/>
    <tableColumn id="872" xr3:uid="{E42DD10B-8954-4088-8F93-9B7398A1548A}" uniqueName="872" name="20695" queryTableFieldId="872"/>
    <tableColumn id="873" xr3:uid="{DFF29130-F124-4478-9C95-1B3E26BE25E9}" uniqueName="873" name="20701" queryTableFieldId="873"/>
    <tableColumn id="874" xr3:uid="{F721E647-3D8C-40B9-BA81-C8AC024763D8}" uniqueName="874" name="20705" queryTableFieldId="874"/>
    <tableColumn id="875" xr3:uid="{9192B275-09BC-463D-96EB-829F571527D4}" uniqueName="875" name="20706" queryTableFieldId="875"/>
    <tableColumn id="876" xr3:uid="{D2A717AC-82EA-4A54-AFCC-E80D774B8480}" uniqueName="876" name="20707" queryTableFieldId="876"/>
    <tableColumn id="877" xr3:uid="{23931F44-25DF-4871-B1FA-44B0B83A1D72}" uniqueName="877" name="20708" queryTableFieldId="877"/>
    <tableColumn id="878" xr3:uid="{1377F426-1C35-43E8-8E92-BF4ED36E7610}" uniqueName="878" name="20710" queryTableFieldId="878"/>
    <tableColumn id="879" xr3:uid="{760FCD43-43B0-448F-B923-35E8FDC2FEBC}" uniqueName="879" name="20711" queryTableFieldId="879"/>
    <tableColumn id="880" xr3:uid="{FE6D9ED1-EE7D-47E4-9162-27E4C8CA01CC}" uniqueName="880" name="20712" queryTableFieldId="880"/>
    <tableColumn id="881" xr3:uid="{998ED912-5A6E-4252-81A9-BA42C38070AC}" uniqueName="881" name="20714" queryTableFieldId="881"/>
    <tableColumn id="882" xr3:uid="{767068DB-0EFB-4766-8A55-6C43B6083B37}" uniqueName="882" name="20715" queryTableFieldId="882"/>
    <tableColumn id="883" xr3:uid="{66FBD945-2F3A-43DE-8D5B-FAB86E5B24C3}" uniqueName="883" name="20716" queryTableFieldId="883"/>
    <tableColumn id="884" xr3:uid="{03886022-0E6C-484A-A7A3-03A695B109DC}" uniqueName="884" name="20720" queryTableFieldId="884"/>
    <tableColumn id="885" xr3:uid="{56718135-7222-4142-A05E-C3D1886C517D}" uniqueName="885" name="20721" queryTableFieldId="885"/>
    <tableColumn id="886" xr3:uid="{E40E852C-CE01-4CF5-A465-7B909A8BBC66}" uniqueName="886" name="20722" queryTableFieldId="886"/>
    <tableColumn id="887" xr3:uid="{2420367E-39E3-40FF-8FD7-8C486D0083B4}" uniqueName="887" name="20723" queryTableFieldId="887"/>
    <tableColumn id="888" xr3:uid="{85C1CC6C-09BF-4BCC-A221-4C2DC33E8ED2}" uniqueName="888" name="20724" queryTableFieldId="888"/>
    <tableColumn id="889" xr3:uid="{A931B1E2-1DA5-404B-A142-66F7D2E5F569}" uniqueName="889" name="20732" queryTableFieldId="889"/>
    <tableColumn id="890" xr3:uid="{4723C968-070B-4E56-979E-DE9DF5C5BB54}" uniqueName="890" name="20733" queryTableFieldId="890"/>
    <tableColumn id="891" xr3:uid="{83A89342-FBFD-488D-990D-7D86786B4FDB}" uniqueName="891" name="20735" queryTableFieldId="891"/>
    <tableColumn id="892" xr3:uid="{635DC9C5-5810-4258-8F65-8F032A1F67A6}" uniqueName="892" name="20736" queryTableFieldId="892"/>
    <tableColumn id="893" xr3:uid="{35CAD70B-30BB-4E84-88B9-E449E8304A14}" uniqueName="893" name="20737" queryTableFieldId="893"/>
    <tableColumn id="894" xr3:uid="{19A3ADB7-A142-47F1-A3B9-4726FD6C2A6C}" uniqueName="894" name="20740" queryTableFieldId="894"/>
    <tableColumn id="895" xr3:uid="{CA2B4FB8-3D84-4A12-8DFC-FDD7FA72CA16}" uniqueName="895" name="20742" queryTableFieldId="895"/>
    <tableColumn id="896" xr3:uid="{59B79CCD-96B8-459B-AE4C-EDA12778E1FB}" uniqueName="896" name="20743" queryTableFieldId="896"/>
    <tableColumn id="897" xr3:uid="{FB76D56C-930A-43E5-99C1-A19743148E6D}" uniqueName="897" name="20744" queryTableFieldId="897"/>
    <tableColumn id="898" xr3:uid="{CB81749B-03B3-4609-88C0-467ED52EA130}" uniqueName="898" name="20745" queryTableFieldId="898"/>
    <tableColumn id="899" xr3:uid="{3027FE72-F7D6-4CB7-8252-DE4DA27E0506}" uniqueName="899" name="20746" queryTableFieldId="899"/>
    <tableColumn id="900" xr3:uid="{172DED0E-A619-495D-BD48-CBA7C7A6F346}" uniqueName="900" name="20747" queryTableFieldId="900"/>
    <tableColumn id="901" xr3:uid="{EEF34A25-E143-4464-990C-A30BB6E98BCA}" uniqueName="901" name="20748" queryTableFieldId="901"/>
    <tableColumn id="902" xr3:uid="{9B83D769-36D6-4BCC-B05F-FC652A729223}" uniqueName="902" name="20751" queryTableFieldId="902"/>
    <tableColumn id="903" xr3:uid="{359E6E85-8BA0-4CEA-9730-CCB5C4418B41}" uniqueName="903" name="20754" queryTableFieldId="903"/>
    <tableColumn id="904" xr3:uid="{DC9E83F5-B00C-493D-9078-689167261BDB}" uniqueName="904" name="20755" queryTableFieldId="904"/>
    <tableColumn id="905" xr3:uid="{D810B4AF-ABEA-42DA-92E2-5C0E4C0E4E01}" uniqueName="905" name="20758" queryTableFieldId="905"/>
    <tableColumn id="906" xr3:uid="{DB20FB3C-4B1F-4C61-AB8A-950938CE4789}" uniqueName="906" name="20759" queryTableFieldId="906"/>
    <tableColumn id="907" xr3:uid="{2F1B5E56-62A4-4B7A-A14C-A8DEB97D471E}" uniqueName="907" name="20762" queryTableFieldId="907"/>
    <tableColumn id="908" xr3:uid="{74251FDB-7E91-4697-9EE2-930628C51A9F}" uniqueName="908" name="20763" queryTableFieldId="908"/>
    <tableColumn id="909" xr3:uid="{D79B5446-55FC-4392-B0E2-3D31109779BE}" uniqueName="909" name="20764" queryTableFieldId="909"/>
    <tableColumn id="910" xr3:uid="{751827F6-E75D-4BD5-BCC8-548593C9B455}" uniqueName="910" name="20765" queryTableFieldId="910"/>
    <tableColumn id="911" xr3:uid="{D8C3CBA4-E557-4993-9499-AE57B6826832}" uniqueName="911" name="20769" queryTableFieldId="911"/>
    <tableColumn id="912" xr3:uid="{8E5CA0D1-65D0-44FF-A7BD-5695DD734FD0}" uniqueName="912" name="20770" queryTableFieldId="912"/>
    <tableColumn id="913" xr3:uid="{9338D687-09A4-42AF-A29B-D86DB2FB10EC}" uniqueName="913" name="20771" queryTableFieldId="913"/>
    <tableColumn id="914" xr3:uid="{8DD478FD-ECBE-4246-ADD4-3D7B0BE6C9D9}" uniqueName="914" name="20772" queryTableFieldId="914"/>
    <tableColumn id="915" xr3:uid="{7BC4ED97-A417-4CF4-9CF1-F481899DB04C}" uniqueName="915" name="20774" queryTableFieldId="915"/>
    <tableColumn id="916" xr3:uid="{0347DE7F-1BDC-41FA-945A-7C17AF9850E8}" uniqueName="916" name="20776" queryTableFieldId="916"/>
    <tableColumn id="917" xr3:uid="{E6572B07-8EEC-43F8-BF66-489C19B8E552}" uniqueName="917" name="20777" queryTableFieldId="917"/>
    <tableColumn id="918" xr3:uid="{8DE7DBB1-5FE5-4BCB-9F86-1429EBF81DBB}" uniqueName="918" name="20778" queryTableFieldId="918"/>
    <tableColumn id="919" xr3:uid="{9862604D-20D8-4CBE-8A11-E1CC7113BF28}" uniqueName="919" name="20779" queryTableFieldId="919"/>
    <tableColumn id="920" xr3:uid="{90F3049F-EDE9-4C9E-9B41-1F95BD541B78}" uniqueName="920" name="20781" queryTableFieldId="920"/>
    <tableColumn id="921" xr3:uid="{70826047-4D67-4A9F-BAB3-4FC45C27FE4B}" uniqueName="921" name="20782" queryTableFieldId="921"/>
    <tableColumn id="922" xr3:uid="{F1719995-242A-48F3-A7F7-8F81E931FA5F}" uniqueName="922" name="20783" queryTableFieldId="922"/>
    <tableColumn id="923" xr3:uid="{0EBC5443-F628-4C85-8326-EC3E70CC360C}" uniqueName="923" name="20784" queryTableFieldId="923"/>
    <tableColumn id="924" xr3:uid="{7363A42E-2F7C-4B24-B693-C430A4E902D7}" uniqueName="924" name="20785" queryTableFieldId="924"/>
    <tableColumn id="925" xr3:uid="{2E725BD8-C234-4EAA-B21F-B766F4F32143}" uniqueName="925" name="20794" queryTableFieldId="925"/>
    <tableColumn id="926" xr3:uid="{2CBF1BE9-4587-4B74-9A17-4E2B88A8174B}" uniqueName="926" name="20812" queryTableFieldId="926"/>
    <tableColumn id="927" xr3:uid="{C0D4F1CC-CCF9-42F4-B671-6486545BBDD4}" uniqueName="927" name="20814" queryTableFieldId="927"/>
    <tableColumn id="928" xr3:uid="{1330430F-A32C-4556-801E-FF3682E564EC}" uniqueName="928" name="20815" queryTableFieldId="928"/>
    <tableColumn id="929" xr3:uid="{4E9995C5-6B89-4B5A-A48B-015304DF3CC5}" uniqueName="929" name="20816" queryTableFieldId="929"/>
    <tableColumn id="930" xr3:uid="{140487B2-D392-458A-8C58-6C6F964BB2CF}" uniqueName="930" name="20817" queryTableFieldId="930"/>
    <tableColumn id="931" xr3:uid="{285BF9D3-E6E8-4468-A891-A5E1ED681349}" uniqueName="931" name="20818" queryTableFieldId="931"/>
    <tableColumn id="932" xr3:uid="{C1FDC8E3-9500-436A-908A-3E6D171DE1D4}" uniqueName="932" name="20832" queryTableFieldId="932"/>
    <tableColumn id="933" xr3:uid="{AD022785-3B2C-4770-B0B6-F91F4E0A666F}" uniqueName="933" name="20833" queryTableFieldId="933"/>
    <tableColumn id="934" xr3:uid="{39A08B4C-53DE-42B6-9514-9F48D63298E9}" uniqueName="934" name="20837" queryTableFieldId="934"/>
    <tableColumn id="935" xr3:uid="{F07023C8-2021-4C63-9DC3-91459E790F0C}" uniqueName="935" name="20838" queryTableFieldId="935"/>
    <tableColumn id="936" xr3:uid="{DBED58EF-92CE-4702-9036-8562BA51923C}" uniqueName="936" name="20839" queryTableFieldId="936"/>
    <tableColumn id="937" xr3:uid="{73541916-94EC-4F33-8125-86902EFE043B}" uniqueName="937" name="20841" queryTableFieldId="937"/>
    <tableColumn id="938" xr3:uid="{5E18DC68-85A0-4654-987C-56CE7545692B}" uniqueName="938" name="20842" queryTableFieldId="938"/>
    <tableColumn id="939" xr3:uid="{CED496CF-4AB2-4E59-B7D3-3B0754BF2538}" uniqueName="939" name="20850" queryTableFieldId="939"/>
    <tableColumn id="940" xr3:uid="{AC405623-209A-4D24-B1A8-E289185BE17B}" uniqueName="940" name="20851" queryTableFieldId="940"/>
    <tableColumn id="941" xr3:uid="{EDD6A48E-A1C0-4483-8C12-EEEFA69DA908}" uniqueName="941" name="20852" queryTableFieldId="941"/>
    <tableColumn id="942" xr3:uid="{DAF8E790-FD69-4FC6-9E62-F9AC3A2E8759}" uniqueName="942" name="20853" queryTableFieldId="942"/>
    <tableColumn id="943" xr3:uid="{AC192BB3-9222-4ECE-94EE-BB973F37BF14}" uniqueName="943" name="20854" queryTableFieldId="943"/>
    <tableColumn id="944" xr3:uid="{92829ABC-BDC7-4E23-9793-8C0BCAF63769}" uniqueName="944" name="20855" queryTableFieldId="944"/>
    <tableColumn id="945" xr3:uid="{5B4C9E56-3EF2-4770-B9EC-C108A2377E77}" uniqueName="945" name="20860" queryTableFieldId="945"/>
    <tableColumn id="946" xr3:uid="{3A0BA7AB-C1A9-4A99-833E-38B2B88AF2F6}" uniqueName="946" name="20861" queryTableFieldId="946"/>
    <tableColumn id="947" xr3:uid="{1D1265D8-5B74-4BCB-A0DA-A0CE7C446184}" uniqueName="947" name="20862" queryTableFieldId="947"/>
    <tableColumn id="948" xr3:uid="{88594DD7-07A8-4EE7-9F47-860D3C0F3A2B}" uniqueName="948" name="20866" queryTableFieldId="948"/>
    <tableColumn id="949" xr3:uid="{5E074B7B-3956-4794-BA60-70D2DCAEABBB}" uniqueName="949" name="20868" queryTableFieldId="949"/>
    <tableColumn id="950" xr3:uid="{110E9D30-6DD7-41D9-8BE4-BF707B74F3D5}" uniqueName="950" name="20871" queryTableFieldId="950"/>
    <tableColumn id="951" xr3:uid="{A292C964-51F9-4A1E-95A0-AA90BB6C49A3}" uniqueName="951" name="20872" queryTableFieldId="951"/>
    <tableColumn id="952" xr3:uid="{BED1B982-EF27-4C8C-B7A5-67A831037785}" uniqueName="952" name="20874" queryTableFieldId="952"/>
    <tableColumn id="953" xr3:uid="{D7B2E688-4429-45C0-A3E3-DAEBB1C2D8DE}" uniqueName="953" name="20876" queryTableFieldId="953"/>
    <tableColumn id="954" xr3:uid="{EC349A9A-9B81-4C47-80D3-30F82C90E563}" uniqueName="954" name="20877" queryTableFieldId="954"/>
    <tableColumn id="955" xr3:uid="{27F049F2-22A0-422C-B1E7-EA0CD8599F19}" uniqueName="955" name="20878" queryTableFieldId="955"/>
    <tableColumn id="956" xr3:uid="{1F8606DA-478A-43BA-A543-B4977730EE4D}" uniqueName="956" name="20879" queryTableFieldId="956"/>
    <tableColumn id="957" xr3:uid="{C58BE304-94EC-4F61-821C-296F2CBEE563}" uniqueName="957" name="20880" queryTableFieldId="957"/>
    <tableColumn id="958" xr3:uid="{08CCB2ED-E04E-4AD7-81D1-30163CC049DD}" uniqueName="958" name="20882" queryTableFieldId="958"/>
    <tableColumn id="959" xr3:uid="{12716798-A934-4940-8735-6B075754FED9}" uniqueName="959" name="20886" queryTableFieldId="959"/>
    <tableColumn id="960" xr3:uid="{4471CC5A-9151-4353-9069-4518BD616E69}" uniqueName="960" name="20889" queryTableFieldId="960"/>
    <tableColumn id="961" xr3:uid="{B166FCA5-EC1C-42F7-BD08-F572FDB4D855}" uniqueName="961" name="20892" queryTableFieldId="961"/>
    <tableColumn id="962" xr3:uid="{946BA451-53B1-4A13-ACA3-FECC0E3219D8}" uniqueName="962" name="20894" queryTableFieldId="962"/>
    <tableColumn id="963" xr3:uid="{CEB68C3E-809D-43A0-8114-EADC7D5DFA60}" uniqueName="963" name="20895" queryTableFieldId="963"/>
    <tableColumn id="964" xr3:uid="{18091203-4491-4A33-A5B1-A7936DEE002B}" uniqueName="964" name="20896" queryTableFieldId="964"/>
    <tableColumn id="965" xr3:uid="{09FD765B-BF77-4510-8E29-4CAD4B649475}" uniqueName="965" name="20899" queryTableFieldId="965"/>
    <tableColumn id="966" xr3:uid="{0BFE0C04-CB9F-4A54-9D97-CA32401DAD50}" uniqueName="966" name="20901" queryTableFieldId="966"/>
    <tableColumn id="967" xr3:uid="{FAA7CD79-4E2F-4D8D-AFDB-B4DFE03E59B5}" uniqueName="967" name="20902" queryTableFieldId="967"/>
    <tableColumn id="968" xr3:uid="{C244D6A8-8E3D-4501-AFD5-6FA70494F9A4}" uniqueName="968" name="20903" queryTableFieldId="968"/>
    <tableColumn id="969" xr3:uid="{F9C89B13-00EB-45CA-9E0D-1DE1C6B44FAB}" uniqueName="969" name="20904" queryTableFieldId="969"/>
    <tableColumn id="970" xr3:uid="{A724000D-3AD3-4ACD-9DF2-72E9B710F2F9}" uniqueName="970" name="20905" queryTableFieldId="970"/>
    <tableColumn id="971" xr3:uid="{43D25A75-6B3E-4122-B209-B4ABC899F23E}" uniqueName="971" name="20906" queryTableFieldId="971"/>
    <tableColumn id="972" xr3:uid="{D41A5125-F26A-41F9-A3BB-79FAE2408E72}" uniqueName="972" name="20910" queryTableFieldId="972"/>
    <tableColumn id="973" xr3:uid="{2023456F-AF71-47CC-9A6A-CDB27191DAB9}" uniqueName="973" name="20912" queryTableFieldId="973"/>
    <tableColumn id="974" xr3:uid="{07BFECDD-5653-4C38-8296-EE9C0235245D}" uniqueName="974" name="21001" queryTableFieldId="974"/>
    <tableColumn id="975" xr3:uid="{48A877DF-C0C1-483A-8472-AE8FAB3D47CE}" uniqueName="975" name="21005" queryTableFieldId="975"/>
    <tableColumn id="976" xr3:uid="{8ED09E6F-B82B-45C4-A3DE-ECF318D77F10}" uniqueName="976" name="21009" queryTableFieldId="976"/>
    <tableColumn id="977" xr3:uid="{29943A9F-F68E-46D4-92A8-0C3FEE35BB4D}" uniqueName="977" name="21010" queryTableFieldId="977"/>
    <tableColumn id="978" xr3:uid="{ACF8790B-6D07-404C-8B24-0C0ED6D0DE2E}" uniqueName="978" name="21012" queryTableFieldId="978"/>
    <tableColumn id="979" xr3:uid="{1B4AA083-A184-4D08-960C-B7AF7071AFD1}" uniqueName="979" name="21013" queryTableFieldId="979"/>
    <tableColumn id="980" xr3:uid="{CBE8FCFC-0B3C-443D-81C5-8EDF31C6115E}" uniqueName="980" name="21014" queryTableFieldId="980"/>
    <tableColumn id="981" xr3:uid="{89BDCDE5-A266-4DD3-A89E-14E38ACB1A08}" uniqueName="981" name="21015" queryTableFieldId="981"/>
    <tableColumn id="982" xr3:uid="{7F3BC8B8-EC44-4FB1-B006-5AF34B265AD6}" uniqueName="982" name="21017" queryTableFieldId="982"/>
    <tableColumn id="983" xr3:uid="{7907B3EC-FFC7-44C4-8A3F-EEB2C5CA4FB0}" uniqueName="983" name="21023" queryTableFieldId="983"/>
    <tableColumn id="984" xr3:uid="{CE627250-DFC6-4C88-B2DF-3CE079DC7B87}" uniqueName="984" name="21028" queryTableFieldId="984"/>
    <tableColumn id="985" xr3:uid="{CAD3B602-671E-4A48-9ECF-D45543B13400}" uniqueName="985" name="21029" queryTableFieldId="985"/>
    <tableColumn id="986" xr3:uid="{C4E1126E-CA80-45C7-A4BC-296EE95F0CC5}" uniqueName="986" name="21030" queryTableFieldId="986"/>
    <tableColumn id="987" xr3:uid="{79164E3C-07EF-4662-A09E-3A33DA5D9420}" uniqueName="987" name="21031" queryTableFieldId="987"/>
    <tableColumn id="988" xr3:uid="{1F74D04A-8CB3-4240-9D99-1198FAD16A4D}" uniqueName="988" name="21032" queryTableFieldId="988"/>
    <tableColumn id="989" xr3:uid="{96E4D8C7-9E72-4AFB-8BEA-A008B6DC7C87}" uniqueName="989" name="21034" queryTableFieldId="989"/>
    <tableColumn id="990" xr3:uid="{C7B16B36-6783-4B53-AA21-14312AA725C4}" uniqueName="990" name="21035" queryTableFieldId="990"/>
    <tableColumn id="991" xr3:uid="{4FA10266-31D1-4DA9-82B1-49C28181D7C2}" uniqueName="991" name="21036" queryTableFieldId="991"/>
    <tableColumn id="992" xr3:uid="{23557378-3F6C-48A8-ABF2-9FE4673F8CDB}" uniqueName="992" name="21037" queryTableFieldId="992"/>
    <tableColumn id="993" xr3:uid="{A875FF5A-1E0E-4DE8-AE99-4DB16DEC66BE}" uniqueName="993" name="21040" queryTableFieldId="993"/>
    <tableColumn id="994" xr3:uid="{5E34781D-37FB-41BA-A466-974D30A82729}" uniqueName="994" name="21042" queryTableFieldId="994"/>
    <tableColumn id="995" xr3:uid="{8B80955A-5B9E-4C21-A2E0-4DA543531E5E}" uniqueName="995" name="21043" queryTableFieldId="995"/>
    <tableColumn id="996" xr3:uid="{B7489952-7602-4E3D-AD48-0AF269E5C841}" uniqueName="996" name="21044" queryTableFieldId="996"/>
    <tableColumn id="997" xr3:uid="{8577DE9A-E47A-412C-9052-585F281FEFAB}" uniqueName="997" name="21045" queryTableFieldId="997"/>
    <tableColumn id="998" xr3:uid="{73970E57-AA77-4D95-B10C-6C7E4E1EBBEE}" uniqueName="998" name="21046" queryTableFieldId="998"/>
    <tableColumn id="999" xr3:uid="{5605DA96-D05F-40F3-AA13-1DE0F1472C4F}" uniqueName="999" name="21047" queryTableFieldId="999"/>
    <tableColumn id="1000" xr3:uid="{FB98EE0E-BFD3-4221-B1A9-14301A177475}" uniqueName="1000" name="21048" queryTableFieldId="1000"/>
    <tableColumn id="1001" xr3:uid="{F44F936F-92DA-405C-8A01-F9387E199097}" uniqueName="1001" name="21050" queryTableFieldId="1001"/>
    <tableColumn id="1002" xr3:uid="{39CE6BE8-7F34-4D0A-91D4-14C79E99BB26}" uniqueName="1002" name="21051" queryTableFieldId="1002"/>
    <tableColumn id="1003" xr3:uid="{264D8E74-2BF6-4BDC-B9C6-2098FBEDD93E}" uniqueName="1003" name="21052" queryTableFieldId="1003"/>
    <tableColumn id="1004" xr3:uid="{226F950D-8213-4263-9E69-0113056E505A}" uniqueName="1004" name="21053" queryTableFieldId="1004"/>
    <tableColumn id="1005" xr3:uid="{262AC47B-3AC6-4CEE-8287-7BC92606429A}" uniqueName="1005" name="21054" queryTableFieldId="1005"/>
    <tableColumn id="1006" xr3:uid="{6DB08826-CD0F-4953-BC4F-53A67EC479A7}" uniqueName="1006" name="21056" queryTableFieldId="1006"/>
    <tableColumn id="1007" xr3:uid="{B58AB0D3-F0B5-4C5A-A4DD-C1E418B1485C}" uniqueName="1007" name="21057" queryTableFieldId="1007"/>
    <tableColumn id="1008" xr3:uid="{3EB97F65-9783-4966-820D-25E2EE22F999}" uniqueName="1008" name="21060" queryTableFieldId="1008"/>
    <tableColumn id="1009" xr3:uid="{019D5202-61D8-483B-8DAE-997F288B2579}" uniqueName="1009" name="21061" queryTableFieldId="1009"/>
    <tableColumn id="1010" xr3:uid="{1D6FBE9E-E424-4931-B4CA-F9A7BC76A505}" uniqueName="1010" name="21071" queryTableFieldId="1010"/>
    <tableColumn id="1011" xr3:uid="{527E3AC7-3597-4489-8186-656E0B6CA056}" uniqueName="1011" name="21074" queryTableFieldId="1011"/>
    <tableColumn id="1012" xr3:uid="{9F6D45A9-992C-4023-9ADC-C3EDA3030ACC}" uniqueName="1012" name="21075" queryTableFieldId="1012"/>
    <tableColumn id="1013" xr3:uid="{146F84CC-6BD2-4D16-B8C8-0D70F810282A}" uniqueName="1013" name="21076" queryTableFieldId="1013"/>
    <tableColumn id="1014" xr3:uid="{1DB8ED1E-A0A8-4F49-8DED-51F370087949}" uniqueName="1014" name="21077" queryTableFieldId="1014"/>
    <tableColumn id="1015" xr3:uid="{434FB663-957D-403A-89C0-04B4A022814B}" uniqueName="1015" name="21078" queryTableFieldId="1015"/>
    <tableColumn id="1016" xr3:uid="{04672175-751F-474B-A603-5FA0FA99F4A5}" uniqueName="1016" name="21082" queryTableFieldId="1016"/>
    <tableColumn id="1017" xr3:uid="{097AE55C-1883-4765-8A37-5EF6794DD3EC}" uniqueName="1017" name="21084" queryTableFieldId="1017"/>
    <tableColumn id="1018" xr3:uid="{F3C3F153-BE84-49F7-BEBC-855F3C47748D}" uniqueName="1018" name="21085" queryTableFieldId="1018"/>
    <tableColumn id="1019" xr3:uid="{D1E4A50D-FAAD-4CB3-BBAC-26EB59BA8F36}" uniqueName="1019" name="21087" queryTableFieldId="1019"/>
    <tableColumn id="1020" xr3:uid="{74AE4FDE-38B6-4317-BD52-2C8AB76FCFE9}" uniqueName="1020" name="21090" queryTableFieldId="1020"/>
    <tableColumn id="1021" xr3:uid="{5C8A6E89-E4AA-49FE-8BCB-B1CB3FE6E2D8}" uniqueName="1021" name="21093" queryTableFieldId="1021"/>
    <tableColumn id="1022" xr3:uid="{46760E1F-4B99-4E5F-A26A-3206090554E5}" uniqueName="1022" name="21102" queryTableFieldId="1022"/>
    <tableColumn id="1023" xr3:uid="{903F82E7-9CED-4803-8E06-DAF690F8B6B5}" uniqueName="1023" name="21104" queryTableFieldId="1023"/>
    <tableColumn id="1024" xr3:uid="{A61908AA-42E5-4DE9-9919-68988561AFD3}" uniqueName="1024" name="21105" queryTableFieldId="1024"/>
    <tableColumn id="1025" xr3:uid="{DEDF821C-D7F7-4AFD-B3E4-64828B11090D}" uniqueName="1025" name="21108" queryTableFieldId="1025"/>
    <tableColumn id="1026" xr3:uid="{3D64208B-DCFA-4140-AD72-FB5D583AE14B}" uniqueName="1026" name="21111" queryTableFieldId="1026"/>
    <tableColumn id="1027" xr3:uid="{32E0041A-8CD1-47D9-BE24-AC461E9CEE26}" uniqueName="1027" name="21113" queryTableFieldId="1027"/>
    <tableColumn id="1028" xr3:uid="{52E3E381-EF10-4523-9EE9-BC40FA87D3A0}" uniqueName="1028" name="21114" queryTableFieldId="1028"/>
    <tableColumn id="1029" xr3:uid="{568BB3B1-DCEA-4442-81A9-020F796E3112}" uniqueName="1029" name="21117" queryTableFieldId="1029"/>
    <tableColumn id="1030" xr3:uid="{01082E6D-9B84-4153-B9C3-409479FEF700}" uniqueName="1030" name="21120" queryTableFieldId="1030"/>
    <tableColumn id="1031" xr3:uid="{ADE3D08A-7727-4EBE-9748-5553F7913E1E}" uniqueName="1031" name="21122" queryTableFieldId="1031"/>
    <tableColumn id="1032" xr3:uid="{C2483328-5530-4001-B841-DE1F54B4ACC7}" uniqueName="1032" name="21128" queryTableFieldId="1032"/>
    <tableColumn id="1033" xr3:uid="{6CD53E6B-4A4A-4882-B231-AFFBC9607103}" uniqueName="1033" name="21130" queryTableFieldId="1033"/>
    <tableColumn id="1034" xr3:uid="{8D438054-7678-4A44-BD00-B056AB7B0E70}" uniqueName="1034" name="21131" queryTableFieldId="1034"/>
    <tableColumn id="1035" xr3:uid="{D0AD620D-EB67-4430-8AA7-CDB599CE25C9}" uniqueName="1035" name="21132" queryTableFieldId="1035"/>
    <tableColumn id="1036" xr3:uid="{BEB25DCE-0D2D-4DF8-9871-9614A1007199}" uniqueName="1036" name="21133" queryTableFieldId="1036"/>
    <tableColumn id="1037" xr3:uid="{3761206A-42B1-4BAF-AB82-3201CBE37CFE}" uniqueName="1037" name="21136" queryTableFieldId="1037"/>
    <tableColumn id="1038" xr3:uid="{401728EC-4063-411C-966C-D9447CF3E6EC}" uniqueName="1038" name="21140" queryTableFieldId="1038"/>
    <tableColumn id="1039" xr3:uid="{0AA8D837-6F65-4514-B174-CD34AA2F7525}" uniqueName="1039" name="21144" queryTableFieldId="1039"/>
    <tableColumn id="1040" xr3:uid="{83A84076-BFBB-4303-8CE0-7A8A2BC3D61C}" uniqueName="1040" name="21146" queryTableFieldId="1040"/>
    <tableColumn id="1041" xr3:uid="{5ECA0E63-AE6A-480A-9568-AC9D67726D0E}" uniqueName="1041" name="21152" queryTableFieldId="1041"/>
    <tableColumn id="1042" xr3:uid="{E711881C-A693-4DD8-B12B-9D66AE38A6AF}" uniqueName="1042" name="21153" queryTableFieldId="1042"/>
    <tableColumn id="1043" xr3:uid="{35018267-9D01-4645-B844-C6572C7BDD75}" uniqueName="1043" name="21154" queryTableFieldId="1043"/>
    <tableColumn id="1044" xr3:uid="{D8E1E509-833F-451B-99E2-77948E3E6071}" uniqueName="1044" name="21155" queryTableFieldId="1044"/>
    <tableColumn id="1045" xr3:uid="{9C9064FA-0ECC-4FDD-A78A-0D11DE3EFCC7}" uniqueName="1045" name="21156" queryTableFieldId="1045"/>
    <tableColumn id="1046" xr3:uid="{309BF1CD-7482-4100-B235-D4DB96413A0C}" uniqueName="1046" name="21157" queryTableFieldId="1046"/>
    <tableColumn id="1047" xr3:uid="{9C49CCF2-9375-4AC8-8D2B-D9CEF8B38BF7}" uniqueName="1047" name="21158" queryTableFieldId="1047"/>
    <tableColumn id="1048" xr3:uid="{D4965BED-3ECA-4F20-A736-83D12839563C}" uniqueName="1048" name="21160" queryTableFieldId="1048"/>
    <tableColumn id="1049" xr3:uid="{55A4A570-8047-4C11-9659-5F7E6EDCFC59}" uniqueName="1049" name="21161" queryTableFieldId="1049"/>
    <tableColumn id="1050" xr3:uid="{B603B56F-55D6-422B-9FC8-E8A87DB66A02}" uniqueName="1050" name="21162" queryTableFieldId="1050"/>
    <tableColumn id="1051" xr3:uid="{CC6C691B-573F-41EC-8D2A-2842F1CF7550}" uniqueName="1051" name="21163" queryTableFieldId="1051"/>
    <tableColumn id="1052" xr3:uid="{1066355A-B221-4E53-9C3A-F1D6B343FBA4}" uniqueName="1052" name="21201" queryTableFieldId="1052"/>
    <tableColumn id="1053" xr3:uid="{9B512257-3FA3-460D-B1B0-1DCEF394AAAF}" uniqueName="1053" name="21202" queryTableFieldId="1053"/>
    <tableColumn id="1054" xr3:uid="{96080B62-AD46-494E-BC65-6B95D54A95C3}" uniqueName="1054" name="21204" queryTableFieldId="1054"/>
    <tableColumn id="1055" xr3:uid="{D1C30CA5-BDF6-45D0-9AAA-3772C49FB8DC}" uniqueName="1055" name="21205" queryTableFieldId="1055"/>
    <tableColumn id="1056" xr3:uid="{EFC60680-5E04-45AF-89B4-09ECC146E966}" uniqueName="1056" name="21206" queryTableFieldId="1056"/>
    <tableColumn id="1057" xr3:uid="{A1E9BC67-BC1C-47C6-A520-0A8BB3E41792}" uniqueName="1057" name="21207" queryTableFieldId="1057"/>
    <tableColumn id="1058" xr3:uid="{F499F349-1D8C-4F46-AA74-D0B487F58E4D}" uniqueName="1058" name="21208" queryTableFieldId="1058"/>
    <tableColumn id="1059" xr3:uid="{375A62A2-25EA-4B35-81DB-61F3AAB1D6FD}" uniqueName="1059" name="21209" queryTableFieldId="1059"/>
    <tableColumn id="1060" xr3:uid="{8CD78AB5-34F6-4B37-871D-AEB95B7133FC}" uniqueName="1060" name="21210" queryTableFieldId="1060"/>
    <tableColumn id="1061" xr3:uid="{D4CBF3D8-7EC0-4B22-8ABC-328402839C5F}" uniqueName="1061" name="21211" queryTableFieldId="1061"/>
    <tableColumn id="1062" xr3:uid="{84239BC2-2B47-4C20-89E6-AD157F38EAAB}" uniqueName="1062" name="21212" queryTableFieldId="1062"/>
    <tableColumn id="1063" xr3:uid="{1655CD58-265E-499F-9E79-E70F5E4C11E4}" uniqueName="1063" name="21213" queryTableFieldId="1063"/>
    <tableColumn id="1064" xr3:uid="{8EDAF39B-EAD1-457F-923A-0C3974484840}" uniqueName="1064" name="21214" queryTableFieldId="1064"/>
    <tableColumn id="1065" xr3:uid="{394C5399-9F53-4C5F-8C92-BD6694A6A165}" uniqueName="1065" name="21215" queryTableFieldId="1065"/>
    <tableColumn id="1066" xr3:uid="{EC0E2758-1FDF-4A03-B526-4759227A01DE}" uniqueName="1066" name="21216" queryTableFieldId="1066"/>
    <tableColumn id="1067" xr3:uid="{24B0F49F-F106-4B7F-9DD5-58EA242E8888}" uniqueName="1067" name="21217" queryTableFieldId="1067"/>
    <tableColumn id="1068" xr3:uid="{78FD4EA4-53AC-424F-9979-842744AE6C1A}" uniqueName="1068" name="21218" queryTableFieldId="1068"/>
    <tableColumn id="1069" xr3:uid="{30B5EBB5-0479-4C6D-ABF5-A8F3DB47958E}" uniqueName="1069" name="21219" queryTableFieldId="1069"/>
    <tableColumn id="1070" xr3:uid="{F1873641-79A6-4B9E-83D5-E3602210850B}" uniqueName="1070" name="21220" queryTableFieldId="1070"/>
    <tableColumn id="1071" xr3:uid="{D16712F0-1A37-486C-B7FE-FB32CA98904B}" uniqueName="1071" name="21221" queryTableFieldId="1071"/>
    <tableColumn id="1072" xr3:uid="{D5BBCBB0-B2BD-4817-ADDA-5099BAD1A5AE}" uniqueName="1072" name="21222" queryTableFieldId="1072"/>
    <tableColumn id="1073" xr3:uid="{A4B6533E-33E6-4DB7-807B-330007C4C31E}" uniqueName="1073" name="21223" queryTableFieldId="1073"/>
    <tableColumn id="1074" xr3:uid="{5B66BC56-C993-4871-B09B-628CD462EF8C}" uniqueName="1074" name="21224" queryTableFieldId="1074"/>
    <tableColumn id="1075" xr3:uid="{E4F1A177-C9CF-492F-9535-A1EC8B49E508}" uniqueName="1075" name="21225" queryTableFieldId="1075"/>
    <tableColumn id="1076" xr3:uid="{E2BF96EC-F2DC-459B-A6C4-FF3E1E6E9BE4}" uniqueName="1076" name="21226" queryTableFieldId="1076"/>
    <tableColumn id="1077" xr3:uid="{5FFE66AE-A5A6-4587-8206-A9E15B9D4D99}" uniqueName="1077" name="21227" queryTableFieldId="1077"/>
    <tableColumn id="1078" xr3:uid="{B391321F-07A9-4BD2-93CD-FAE2B8416073}" uniqueName="1078" name="21228" queryTableFieldId="1078"/>
    <tableColumn id="1079" xr3:uid="{0F9FE986-BBFA-4860-B4BC-9DF4D847BD20}" uniqueName="1079" name="21229" queryTableFieldId="1079"/>
    <tableColumn id="1080" xr3:uid="{4F2BC660-A79F-4B64-84DF-DAA25363DE16}" uniqueName="1080" name="21230" queryTableFieldId="1080"/>
    <tableColumn id="1081" xr3:uid="{CE1E75B7-56BC-46AF-9EE3-7EBBC0168170}" uniqueName="1081" name="21231" queryTableFieldId="1081"/>
    <tableColumn id="1082" xr3:uid="{2093243B-F64A-4FD8-9D0B-40D8093482E8}" uniqueName="1082" name="21233" queryTableFieldId="1082"/>
    <tableColumn id="1083" xr3:uid="{33EABB33-1B05-4146-BD3E-1441462A706A}" uniqueName="1083" name="21234" queryTableFieldId="1083"/>
    <tableColumn id="1084" xr3:uid="{AD0D97DF-06A4-42D7-90EF-41E33FF0324D}" uniqueName="1084" name="21236" queryTableFieldId="1084"/>
    <tableColumn id="1085" xr3:uid="{D3D187BF-58A6-4846-BA37-5672BB1EF9E7}" uniqueName="1085" name="21237" queryTableFieldId="1085"/>
    <tableColumn id="1086" xr3:uid="{E3440F90-15CF-412A-94EE-BB5BFB02DA44}" uniqueName="1086" name="21239" queryTableFieldId="1086"/>
    <tableColumn id="1087" xr3:uid="{7E70664B-F2B4-4FF7-85CB-059A32694383}" uniqueName="1087" name="21240" queryTableFieldId="1087"/>
    <tableColumn id="1088" xr3:uid="{EFD1BF20-84C2-42FC-B8EC-B4CB2BC418BF}" uniqueName="1088" name="21244" queryTableFieldId="1088"/>
    <tableColumn id="1089" xr3:uid="{1DE2F39D-E0B5-4C90-BF45-52C33A31E315}" uniqueName="1089" name="21250" queryTableFieldId="1089"/>
    <tableColumn id="1090" xr3:uid="{89410633-214C-482E-B7FC-82A42787F091}" uniqueName="1090" name="21251" queryTableFieldId="1090"/>
    <tableColumn id="1091" xr3:uid="{1405A742-2964-4A4B-B3F3-C684FD7A2900}" uniqueName="1091" name="21252" queryTableFieldId="1091"/>
    <tableColumn id="1092" xr3:uid="{8B59CD16-ECFC-4779-A6A8-2C8BD0BE7446}" uniqueName="1092" name="21285" queryTableFieldId="1092"/>
    <tableColumn id="1093" xr3:uid="{C948D43D-3E68-4E8F-99B5-72111AE59260}" uniqueName="1093" name="21286" queryTableFieldId="1093"/>
    <tableColumn id="1094" xr3:uid="{85F2B3EA-EE6B-438F-88C5-6D9F800766FC}" uniqueName="1094" name="21287" queryTableFieldId="1094"/>
    <tableColumn id="1095" xr3:uid="{5EDCD164-E1EE-4F97-81A8-46F570CEE69D}" uniqueName="1095" name="21401" queryTableFieldId="1095"/>
    <tableColumn id="1096" xr3:uid="{734C7D37-625A-4ECA-BC8C-8222ADC8C45C}" uniqueName="1096" name="21402" queryTableFieldId="1096"/>
    <tableColumn id="1097" xr3:uid="{3381EB9F-00CC-49FF-A610-084FE9131F92}" uniqueName="1097" name="21403" queryTableFieldId="1097"/>
    <tableColumn id="1098" xr3:uid="{3539B754-09B0-42BF-9436-5B0BD0021755}" uniqueName="1098" name="21405" queryTableFieldId="1098"/>
    <tableColumn id="1099" xr3:uid="{B6D337D9-862F-4ECB-BEB9-D42EFB447E2B}" uniqueName="1099" name="21409" queryTableFieldId="1099"/>
    <tableColumn id="1100" xr3:uid="{4064F6BB-17AD-4DEF-9DAC-2C7376256773}" uniqueName="1100" name="21502" queryTableFieldId="1100"/>
    <tableColumn id="1101" xr3:uid="{BDC8AD8F-9308-47F8-B975-A274D15943E1}" uniqueName="1101" name="21520" queryTableFieldId="1101"/>
    <tableColumn id="1102" xr3:uid="{1AB83FFB-E74A-4614-B007-D528C00F7CA2}" uniqueName="1102" name="21521" queryTableFieldId="1102"/>
    <tableColumn id="1103" xr3:uid="{C30B3AA3-1FAD-4183-9ADE-32D55973F632}" uniqueName="1103" name="21523" queryTableFieldId="1103"/>
    <tableColumn id="1104" xr3:uid="{C8D44B50-04B7-44A5-8D1C-8BC31A5DB8E5}" uniqueName="1104" name="21524" queryTableFieldId="1104"/>
    <tableColumn id="1105" xr3:uid="{67585D63-0C88-42E1-8ABE-EF771E06C120}" uniqueName="1105" name="21529" queryTableFieldId="1105"/>
    <tableColumn id="1106" xr3:uid="{D5FF6434-8215-4B3B-BED4-98BE1D8DF177}" uniqueName="1106" name="21530" queryTableFieldId="1106"/>
    <tableColumn id="1107" xr3:uid="{1EA1F552-9C6E-4CE1-BDD5-B3A6910122B0}" uniqueName="1107" name="21531" queryTableFieldId="1107"/>
    <tableColumn id="1108" xr3:uid="{68966F3E-0BFA-43A0-B037-19714D14E179}" uniqueName="1108" name="21532" queryTableFieldId="1108"/>
    <tableColumn id="1109" xr3:uid="{F03F26F3-9825-4880-BE74-0BBD1E1477F5}" uniqueName="1109" name="21536" queryTableFieldId="1109"/>
    <tableColumn id="1110" xr3:uid="{77DAB0F2-D6B1-4B63-B110-6EB640E47947}" uniqueName="1110" name="21538" queryTableFieldId="1110"/>
    <tableColumn id="1111" xr3:uid="{EA67E657-1744-4486-B20A-7105BCF1263A}" uniqueName="1111" name="21539" queryTableFieldId="1111"/>
    <tableColumn id="1112" xr3:uid="{6AE2EF86-8AC9-49D1-BA9A-527917718676}" uniqueName="1112" name="21540" queryTableFieldId="1112"/>
    <tableColumn id="1113" xr3:uid="{CAF2434D-0F9B-4AD6-A853-F65C1F174029}" uniqueName="1113" name="21541" queryTableFieldId="1113"/>
    <tableColumn id="1114" xr3:uid="{FA8FB7FB-C93C-4B75-BCAD-F3B10725AEE9}" uniqueName="1114" name="21542" queryTableFieldId="1114"/>
    <tableColumn id="1115" xr3:uid="{C0965CBD-7AC9-4075-BF2A-45C35570E6A9}" uniqueName="1115" name="21543" queryTableFieldId="1115"/>
    <tableColumn id="1116" xr3:uid="{36D439B0-BDA2-4C0B-A78E-3773595CF6A0}" uniqueName="1116" name="21545" queryTableFieldId="1116"/>
    <tableColumn id="1117" xr3:uid="{4CB9EA05-74EB-45C3-9B88-F6239305FD21}" uniqueName="1117" name="21550" queryTableFieldId="1117"/>
    <tableColumn id="1118" xr3:uid="{DD5162B2-86E3-4936-8021-8DE086CD4EDB}" uniqueName="1118" name="21555" queryTableFieldId="1118"/>
    <tableColumn id="1119" xr3:uid="{518BBD9C-E5A9-473E-A5CD-1A595ABC0541}" uniqueName="1119" name="21557" queryTableFieldId="1119"/>
    <tableColumn id="1120" xr3:uid="{08C40D80-4E6A-4CC1-81D5-35D3E3C4920E}" uniqueName="1120" name="21560" queryTableFieldId="1120"/>
    <tableColumn id="1121" xr3:uid="{4840702D-933E-47CC-B85A-2FCF8A6F7172}" uniqueName="1121" name="21561" queryTableFieldId="1121"/>
    <tableColumn id="1122" xr3:uid="{8D70946A-4B67-40C0-9470-5663C51F862C}" uniqueName="1122" name="21562" queryTableFieldId="1122"/>
    <tableColumn id="1123" xr3:uid="{AE6830D1-EE8A-4EAD-8D48-3518FE067A69}" uniqueName="1123" name="21601" queryTableFieldId="1123"/>
    <tableColumn id="1124" xr3:uid="{F773A30C-EC3A-4FFE-BF54-E50826E70387}" uniqueName="1124" name="21607" queryTableFieldId="1124"/>
    <tableColumn id="1125" xr3:uid="{118B4751-28E8-4324-B317-0C3AD20491A7}" uniqueName="1125" name="21610" queryTableFieldId="1125"/>
    <tableColumn id="1126" xr3:uid="{21BA3A93-51D6-4345-8EDE-C2F6C0D6DF8D}" uniqueName="1126" name="21612" queryTableFieldId="1126"/>
    <tableColumn id="1127" xr3:uid="{A7AE0351-FDFD-482D-A21F-62E21D1752FE}" uniqueName="1127" name="21613" queryTableFieldId="1127"/>
    <tableColumn id="1128" xr3:uid="{DBFF640C-B387-402A-82A4-05AB19035D3A}" uniqueName="1128" name="21617" queryTableFieldId="1128"/>
    <tableColumn id="1129" xr3:uid="{8A7814FE-317D-4227-B8CB-04A14B46AB52}" uniqueName="1129" name="21619" queryTableFieldId="1129"/>
    <tableColumn id="1130" xr3:uid="{0D5C4CB6-8A9F-4CC3-B2DF-B93A333A502B}" uniqueName="1130" name="21620" queryTableFieldId="1130"/>
    <tableColumn id="1131" xr3:uid="{AF84746D-CB32-4FE2-9D63-2E962E09EAAB}" uniqueName="1131" name="21622" queryTableFieldId="1131"/>
    <tableColumn id="1132" xr3:uid="{B620F2BB-7AC5-4B48-80B5-3A3739198F0B}" uniqueName="1132" name="21623" queryTableFieldId="1132"/>
    <tableColumn id="1133" xr3:uid="{20ECAA59-3430-4EA0-BC40-4607098279B7}" uniqueName="1133" name="21624" queryTableFieldId="1133"/>
    <tableColumn id="1134" xr3:uid="{D359A2FC-1185-43B8-8BB1-900FB122BB17}" uniqueName="1134" name="21625" queryTableFieldId="1134"/>
    <tableColumn id="1135" xr3:uid="{C426CE4F-FBF9-4568-9B12-66C4057328B6}" uniqueName="1135" name="21626" queryTableFieldId="1135"/>
    <tableColumn id="1136" xr3:uid="{B59FBA87-D11F-4A23-8E72-58ED5A812362}" uniqueName="1136" name="21627" queryTableFieldId="1136"/>
    <tableColumn id="1137" xr3:uid="{F5573EA6-D01C-4272-910F-267F34E9E250}" uniqueName="1137" name="21628" queryTableFieldId="1137"/>
    <tableColumn id="1138" xr3:uid="{97E9A9DD-6AA3-439A-814D-60CCAA5D9A73}" uniqueName="1138" name="21629" queryTableFieldId="1138"/>
    <tableColumn id="1139" xr3:uid="{F40C61C6-6324-4EE9-8750-7EDE40D1C253}" uniqueName="1139" name="21631" queryTableFieldId="1139"/>
    <tableColumn id="1140" xr3:uid="{93BFFC89-D2B8-4E4F-8F7A-78956C8F2208}" uniqueName="1140" name="21632" queryTableFieldId="1140"/>
    <tableColumn id="1141" xr3:uid="{007F4B0E-AF9B-4B99-95C5-1D3D97D3C93D}" uniqueName="1141" name="21634" queryTableFieldId="1141"/>
    <tableColumn id="1142" xr3:uid="{B6958CFD-D9B1-438F-A488-FFD9B728930D}" uniqueName="1142" name="21635" queryTableFieldId="1142"/>
    <tableColumn id="1143" xr3:uid="{A6F1D149-2B4C-464C-A1CE-561DA3318204}" uniqueName="1143" name="21636" queryTableFieldId="1143"/>
    <tableColumn id="1144" xr3:uid="{7C3987EA-F1D4-4BE6-9638-743C2E6250CA}" uniqueName="1144" name="21638" queryTableFieldId="1144"/>
    <tableColumn id="1145" xr3:uid="{2D3ABCAF-BAAB-43E3-AEEB-E513AD58535F}" uniqueName="1145" name="21639" queryTableFieldId="1145"/>
    <tableColumn id="1146" xr3:uid="{B9E0DD9C-AF59-4D39-B14D-46512BCFCDE9}" uniqueName="1146" name="21640" queryTableFieldId="1146"/>
    <tableColumn id="1147" xr3:uid="{A9F210B5-9D56-4716-A086-A529C5F048AF}" uniqueName="1147" name="21641" queryTableFieldId="1147"/>
    <tableColumn id="1148" xr3:uid="{655BF054-2AF0-42AF-88FD-F5910D1F3A17}" uniqueName="1148" name="21643" queryTableFieldId="1148"/>
    <tableColumn id="1149" xr3:uid="{5987A39F-97F1-407A-A826-2E3A24ED9A07}" uniqueName="1149" name="21644" queryTableFieldId="1149"/>
    <tableColumn id="1150" xr3:uid="{D4806396-F75C-462A-965F-CD783E58F480}" uniqueName="1150" name="21645" queryTableFieldId="1150"/>
    <tableColumn id="1151" xr3:uid="{48C5718D-2B82-41F8-8FDF-3C62A67207C0}" uniqueName="1151" name="21647" queryTableFieldId="1151"/>
    <tableColumn id="1152" xr3:uid="{11C5CDC3-EDA4-4F76-92A4-B63AF9EB278B}" uniqueName="1152" name="21648" queryTableFieldId="1152"/>
    <tableColumn id="1153" xr3:uid="{C5FDF5DB-6706-4CF2-8F0C-CD9091798E4D}" uniqueName="1153" name="21649" queryTableFieldId="1153"/>
    <tableColumn id="1154" xr3:uid="{31ADDCB9-626B-45A1-B452-CC880AF98111}" uniqueName="1154" name="21650" queryTableFieldId="1154"/>
    <tableColumn id="1155" xr3:uid="{EA2829C3-8E07-4DBD-AE7C-43DFABA1C6E6}" uniqueName="1155" name="21651" queryTableFieldId="1155"/>
    <tableColumn id="1156" xr3:uid="{205D0313-FD8B-49B6-BF0A-8D3F3E6FD850}" uniqueName="1156" name="21652" queryTableFieldId="1156"/>
    <tableColumn id="1157" xr3:uid="{BB60C221-66DB-4FD4-84E8-A3E20B15DFAE}" uniqueName="1157" name="21653" queryTableFieldId="1157"/>
    <tableColumn id="1158" xr3:uid="{E45673E2-F2AA-4531-B65A-690FC2BA53DB}" uniqueName="1158" name="21654" queryTableFieldId="1158"/>
    <tableColumn id="1159" xr3:uid="{A7A31A7B-7023-4264-8DE2-D6D24D62B4A2}" uniqueName="1159" name="21655" queryTableFieldId="1159"/>
    <tableColumn id="1160" xr3:uid="{7BE0060F-44DD-4F70-8772-DDD8F1945A18}" uniqueName="1160" name="21657" queryTableFieldId="1160"/>
    <tableColumn id="1161" xr3:uid="{2A590AB3-FC1D-4A51-A432-ED83F80BCA14}" uniqueName="1161" name="21658" queryTableFieldId="1161"/>
    <tableColumn id="1162" xr3:uid="{FD798E2D-4B3F-46A3-85E0-BA6CC04B52AB}" uniqueName="1162" name="21659" queryTableFieldId="1162"/>
    <tableColumn id="1163" xr3:uid="{27D872E1-1F1E-4D3C-BDA5-586531740842}" uniqueName="1163" name="21660" queryTableFieldId="1163"/>
    <tableColumn id="1164" xr3:uid="{00F48473-CB04-46D7-9133-54923844E10D}" uniqueName="1164" name="21661" queryTableFieldId="1164"/>
    <tableColumn id="1165" xr3:uid="{6CF5418D-6056-429A-BDC9-4B57AF4F039C}" uniqueName="1165" name="21662" queryTableFieldId="1165"/>
    <tableColumn id="1166" xr3:uid="{2217BD41-5508-4735-BC72-2517F57EB950}" uniqueName="1166" name="21663" queryTableFieldId="1166"/>
    <tableColumn id="1167" xr3:uid="{69E2474B-F4AD-4317-87CD-072BA89A670E}" uniqueName="1167" name="21664" queryTableFieldId="1167"/>
    <tableColumn id="1168" xr3:uid="{D568B738-A379-484A-A325-42250039DC47}" uniqueName="1168" name="21665" queryTableFieldId="1168"/>
    <tableColumn id="1169" xr3:uid="{CB6B1EDA-DEC2-4686-8F65-92525B413454}" uniqueName="1169" name="21666" queryTableFieldId="1169"/>
    <tableColumn id="1170" xr3:uid="{0AC8C6D8-D583-436C-8385-FCDD9E92C515}" uniqueName="1170" name="21667" queryTableFieldId="1170"/>
    <tableColumn id="1171" xr3:uid="{8BFEB539-7B8B-448D-9F35-24FF5583D13A}" uniqueName="1171" name="21668" queryTableFieldId="1171"/>
    <tableColumn id="1172" xr3:uid="{E6CA64F1-8F6B-47C8-9735-D05FB971E2A1}" uniqueName="1172" name="21669" queryTableFieldId="1172"/>
    <tableColumn id="1173" xr3:uid="{6D30FF99-A6EF-43E6-9725-078046BA2B2B}" uniqueName="1173" name="21671" queryTableFieldId="1173"/>
    <tableColumn id="1174" xr3:uid="{6C6A20D1-403B-46F5-8D3C-E6EB41464457}" uniqueName="1174" name="21672" queryTableFieldId="1174"/>
    <tableColumn id="1175" xr3:uid="{485522DC-6D83-495C-8F11-70889B798215}" uniqueName="1175" name="21673" queryTableFieldId="1175"/>
    <tableColumn id="1176" xr3:uid="{7FB4A536-D671-46E1-B894-D8F2BDEF4E39}" uniqueName="1176" name="21675" queryTableFieldId="1176"/>
    <tableColumn id="1177" xr3:uid="{B9DA259E-8632-48BA-8486-FD90A04D68A6}" uniqueName="1177" name="21676" queryTableFieldId="1177"/>
    <tableColumn id="1178" xr3:uid="{DAA7BF5B-5F24-4B51-9AC5-EDAF5A02B9DA}" uniqueName="1178" name="21677" queryTableFieldId="1178"/>
    <tableColumn id="1179" xr3:uid="{09AE416C-B7CC-4D6B-B0F5-7010D0F3206E}" uniqueName="1179" name="21678" queryTableFieldId="1179"/>
    <tableColumn id="1180" xr3:uid="{99854E12-7B47-4CF7-9CF7-7A3013CE144A}" uniqueName="1180" name="21679" queryTableFieldId="1180"/>
    <tableColumn id="1181" xr3:uid="{DAA28431-D233-4F30-8770-9E35405D87C8}" uniqueName="1181" name="21701" queryTableFieldId="1181"/>
    <tableColumn id="1182" xr3:uid="{D384079B-9796-4039-9434-B4C24B5E0CF6}" uniqueName="1182" name="21702" queryTableFieldId="1182"/>
    <tableColumn id="1183" xr3:uid="{BA35DD59-1FBA-4C9C-9716-3C3979BEF562}" uniqueName="1183" name="21703" queryTableFieldId="1183"/>
    <tableColumn id="1184" xr3:uid="{B7D43AFC-18E6-4B37-AD67-445183B360AD}" uniqueName="1184" name="21704" queryTableFieldId="1184"/>
    <tableColumn id="1185" xr3:uid="{FB5CB2D0-6B58-49CC-9C1A-DB79935AA70F}" uniqueName="1185" name="21705" queryTableFieldId="1185"/>
    <tableColumn id="1186" xr3:uid="{69F6FA9B-7815-4E54-9EF1-859CA058EF0D}" uniqueName="1186" name="21710" queryTableFieldId="1186"/>
    <tableColumn id="1187" xr3:uid="{9E53A882-FB11-403F-B638-12506AFBF5E6}" uniqueName="1187" name="21711" queryTableFieldId="1187"/>
    <tableColumn id="1188" xr3:uid="{0C0296DC-F3C6-4C76-BB38-3F0729FCEA17}" uniqueName="1188" name="21713" queryTableFieldId="1188"/>
    <tableColumn id="1189" xr3:uid="{D34853D1-0AF5-4D7B-A2B7-16E0D013AAD1}" uniqueName="1189" name="21714" queryTableFieldId="1189"/>
    <tableColumn id="1190" xr3:uid="{B5D1C362-5EA5-4F10-880B-96B2F5EF9251}" uniqueName="1190" name="21715" queryTableFieldId="1190"/>
    <tableColumn id="1191" xr3:uid="{737C87C1-7468-4250-850A-514FAAE86B2C}" uniqueName="1191" name="21716" queryTableFieldId="1191"/>
    <tableColumn id="1192" xr3:uid="{B3E566F0-E147-410A-A6A5-34601F640622}" uniqueName="1192" name="21717" queryTableFieldId="1192"/>
    <tableColumn id="1193" xr3:uid="{45267832-69E0-4397-95B8-40657C753032}" uniqueName="1193" name="21718" queryTableFieldId="1193"/>
    <tableColumn id="1194" xr3:uid="{D35E0195-3266-402A-80E9-D8774C8A083B}" uniqueName="1194" name="21719" queryTableFieldId="1194"/>
    <tableColumn id="1195" xr3:uid="{B06B752A-0BF9-4E5B-B691-A72B12E2D5FD}" uniqueName="1195" name="21722" queryTableFieldId="1195"/>
    <tableColumn id="1196" xr3:uid="{65C9B00A-EA01-422B-947C-24FB07C44E4D}" uniqueName="1196" name="21723" queryTableFieldId="1196"/>
    <tableColumn id="1197" xr3:uid="{7B981C23-A9AF-4333-85D2-5CF158D5AABA}" uniqueName="1197" name="21727" queryTableFieldId="1197"/>
    <tableColumn id="1198" xr3:uid="{B2F1C852-D2CA-4D01-A86C-716843C3D39A}" uniqueName="1198" name="21733" queryTableFieldId="1198"/>
    <tableColumn id="1199" xr3:uid="{280A0EA4-98CA-4A96-B05B-E5D16C664457}" uniqueName="1199" name="21734" queryTableFieldId="1199"/>
    <tableColumn id="1200" xr3:uid="{50AF4BBF-4CF3-4ACB-B000-1AF5C978C889}" uniqueName="1200" name="21737" queryTableFieldId="1200"/>
    <tableColumn id="1201" xr3:uid="{34D20FEF-61BA-48AC-A2A3-F7362BCCD7D1}" uniqueName="1201" name="21738" queryTableFieldId="1201"/>
    <tableColumn id="1202" xr3:uid="{A0C4E908-EEDB-4983-A4EB-7CDAA51326B4}" uniqueName="1202" name="21740" queryTableFieldId="1202"/>
    <tableColumn id="1203" xr3:uid="{402FBFC4-57C9-41BE-B16B-5BC0636D60C5}" uniqueName="1203" name="21742" queryTableFieldId="1203"/>
    <tableColumn id="1204" xr3:uid="{2519713B-F95F-439C-880C-DAEB3F01BB08}" uniqueName="1204" name="21746" queryTableFieldId="1204"/>
    <tableColumn id="1205" xr3:uid="{E2B7904B-7F7B-4605-923E-246035FE2807}" uniqueName="1205" name="21750" queryTableFieldId="1205"/>
    <tableColumn id="1206" xr3:uid="{38C58CFF-A8A5-4FFB-99CF-FDDD7824A379}" uniqueName="1206" name="21754" queryTableFieldId="1206"/>
    <tableColumn id="1207" xr3:uid="{E5AB48F4-1C60-4A43-92AB-D2EC3FEC545D}" uniqueName="1207" name="21755" queryTableFieldId="1207"/>
    <tableColumn id="1208" xr3:uid="{D56D6E96-8763-46A9-8BA7-E45CA1A4C1C1}" uniqueName="1208" name="21756" queryTableFieldId="1208"/>
    <tableColumn id="1209" xr3:uid="{339D4218-B7ED-4FAB-ABA1-0ABFFACF64B5}" uniqueName="1209" name="21757" queryTableFieldId="1209"/>
    <tableColumn id="1210" xr3:uid="{40A78B56-9B7F-4868-BD3C-BF6BFAC89689}" uniqueName="1210" name="21758" queryTableFieldId="1210"/>
    <tableColumn id="1211" xr3:uid="{234A3F68-76FB-424D-A77B-61A9D430D8B8}" uniqueName="1211" name="21762" queryTableFieldId="1211"/>
    <tableColumn id="1212" xr3:uid="{10F74BEA-E809-4D4A-8CA5-713ECE5F272F}" uniqueName="1212" name="21766" queryTableFieldId="1212"/>
    <tableColumn id="1213" xr3:uid="{955E419A-108F-423B-853E-31643ACC9474}" uniqueName="1213" name="21767" queryTableFieldId="1213"/>
    <tableColumn id="1214" xr3:uid="{F59AE2DF-F01D-4BA2-B352-9B444B677AAD}" uniqueName="1214" name="21769" queryTableFieldId="1214"/>
    <tableColumn id="1215" xr3:uid="{7919E66A-98CC-4781-8A0D-B71C0E266488}" uniqueName="1215" name="21770" queryTableFieldId="1215"/>
    <tableColumn id="1216" xr3:uid="{9E4B6B36-0C94-4270-B361-7773DE0F9F8C}" uniqueName="1216" name="21771" queryTableFieldId="1216"/>
    <tableColumn id="1217" xr3:uid="{21EB6D86-6CDE-4032-8C5A-D850DFB4F721}" uniqueName="1217" name="21773" queryTableFieldId="1217"/>
    <tableColumn id="1218" xr3:uid="{2BF53FF7-DD3A-44FA-BB4F-FE9D49B7C9D1}" uniqueName="1218" name="21774" queryTableFieldId="1218"/>
    <tableColumn id="1219" xr3:uid="{B06178CF-E818-4FC1-82A7-199A262120CB}" uniqueName="1219" name="21776" queryTableFieldId="1219"/>
    <tableColumn id="1220" xr3:uid="{A21148CE-BD76-496A-8A67-4DEC9B6EFD4D}" uniqueName="1220" name="21777" queryTableFieldId="1220"/>
    <tableColumn id="1221" xr3:uid="{65FB8AC1-82F3-4581-8C9F-7F1D3D8B592E}" uniqueName="1221" name="21778" queryTableFieldId="1221"/>
    <tableColumn id="1222" xr3:uid="{B52B06F8-6E4D-41A6-A85D-3D6FF09C8202}" uniqueName="1222" name="21779" queryTableFieldId="1222"/>
    <tableColumn id="1223" xr3:uid="{29A05D81-03BE-4CBC-A77E-778C96A23A9E}" uniqueName="1223" name="21780" queryTableFieldId="1223"/>
    <tableColumn id="1224" xr3:uid="{D3F87915-D0CA-464E-A023-D6D576F90D95}" uniqueName="1224" name="21781" queryTableFieldId="1224"/>
    <tableColumn id="1225" xr3:uid="{7C7CD6A5-39BE-4C1A-985D-2902999BE666}" uniqueName="1225" name="21782" queryTableFieldId="1225"/>
    <tableColumn id="1226" xr3:uid="{5710FBA4-E82D-493C-B2E5-D28F61AD9A15}" uniqueName="1226" name="21783" queryTableFieldId="1226"/>
    <tableColumn id="1227" xr3:uid="{E6FF0F8B-9812-4291-8892-C7EE9142BF5F}" uniqueName="1227" name="21784" queryTableFieldId="1227"/>
    <tableColumn id="1228" xr3:uid="{5B904139-F6CD-4324-8F5F-B8D1787D5C0E}" uniqueName="1228" name="21787" queryTableFieldId="1228"/>
    <tableColumn id="1229" xr3:uid="{609EE424-13DE-45BD-808B-CC416E52162C}" uniqueName="1229" name="21788" queryTableFieldId="1229"/>
    <tableColumn id="1230" xr3:uid="{EFEC525D-5CF0-4CC1-8275-6363A93E4216}" uniqueName="1230" name="21790" queryTableFieldId="1230"/>
    <tableColumn id="1231" xr3:uid="{83A4E51A-A588-4AA2-8FFD-63C97C1A58F3}" uniqueName="1231" name="21791" queryTableFieldId="1231"/>
    <tableColumn id="1232" xr3:uid="{CD38CD19-F9F3-4148-885B-F413C893C8F4}" uniqueName="1232" name="21793" queryTableFieldId="1232"/>
    <tableColumn id="1233" xr3:uid="{16CA9C68-E518-4DA9-9761-34F1E368141C}" uniqueName="1233" name="21794" queryTableFieldId="1233"/>
    <tableColumn id="1234" xr3:uid="{8C8588C2-7887-4F98-9AA4-BAC25AF1DBD4}" uniqueName="1234" name="21795" queryTableFieldId="1234"/>
    <tableColumn id="1235" xr3:uid="{C649C993-9C5F-46EC-B7FD-58F5B8D2EBD5}" uniqueName="1235" name="21797" queryTableFieldId="1235"/>
    <tableColumn id="1236" xr3:uid="{61A68060-0171-4284-939E-A1AD7111AB47}" uniqueName="1236" name="21798" queryTableFieldId="1236"/>
    <tableColumn id="1237" xr3:uid="{D1B47BEC-2DAB-4159-834A-0ECA1C0B60F0}" uniqueName="1237" name="21801" queryTableFieldId="1237"/>
    <tableColumn id="1238" xr3:uid="{0FC32748-C698-463A-9BA7-5E9D9A512DEA}" uniqueName="1238" name="21804" queryTableFieldId="1238"/>
    <tableColumn id="1239" xr3:uid="{FB7BA806-6FC6-41F2-9A2F-EA0CBC18FF06}" uniqueName="1239" name="21810" queryTableFieldId="1239"/>
    <tableColumn id="1240" xr3:uid="{C77DD197-7496-4416-8081-BD00AF6EFD8B}" uniqueName="1240" name="21811" queryTableFieldId="1240"/>
    <tableColumn id="1241" xr3:uid="{A8EEA70F-800B-4A60-B6B0-72C6CC0A75EC}" uniqueName="1241" name="21813" queryTableFieldId="1241"/>
    <tableColumn id="1242" xr3:uid="{4A21FF76-4395-40EC-9CF7-C91F967615F2}" uniqueName="1242" name="21814" queryTableFieldId="1242"/>
    <tableColumn id="1243" xr3:uid="{E5200137-ADAB-4D06-B93E-7CD26EFF5C63}" uniqueName="1243" name="21817" queryTableFieldId="1243"/>
    <tableColumn id="1244" xr3:uid="{A8ADCB06-6FD6-442D-952B-3FD3F832B2F6}" uniqueName="1244" name="21821" queryTableFieldId="1244"/>
    <tableColumn id="1245" xr3:uid="{F29B70E0-51AD-4E3E-B611-6D8D72A3F1F5}" uniqueName="1245" name="21822" queryTableFieldId="1245"/>
    <tableColumn id="1246" xr3:uid="{5EFE593A-0C1E-4BD7-9426-CE97337297BD}" uniqueName="1246" name="21824" queryTableFieldId="1246"/>
    <tableColumn id="1247" xr3:uid="{C8140E97-E136-4205-818F-6C349FE521A8}" uniqueName="1247" name="21826" queryTableFieldId="1247"/>
    <tableColumn id="1248" xr3:uid="{47DDEB4A-C5B4-411D-A95E-6C03CC762B1C}" uniqueName="1248" name="21829" queryTableFieldId="1248"/>
    <tableColumn id="1249" xr3:uid="{301457DB-4F50-4B49-A84F-AE328F3147F7}" uniqueName="1249" name="21830" queryTableFieldId="1249"/>
    <tableColumn id="1250" xr3:uid="{65FA69F3-17BC-47FE-A9EB-A9D55BE55D59}" uniqueName="1250" name="21835" queryTableFieldId="1250"/>
    <tableColumn id="1251" xr3:uid="{FC9A708B-65EA-4430-AFD0-1C787AFBD7FC}" uniqueName="1251" name="21837" queryTableFieldId="1251"/>
    <tableColumn id="1252" xr3:uid="{617C7E9E-B613-4875-BC98-07C8E70E9C9E}" uniqueName="1252" name="21838" queryTableFieldId="1252"/>
    <tableColumn id="1253" xr3:uid="{EC95B121-9D49-46BE-B303-F46333A10738}" uniqueName="1253" name="21840" queryTableFieldId="1253"/>
    <tableColumn id="1254" xr3:uid="{85D3B2DC-0A90-4307-9DEE-899BD7DEBF81}" uniqueName="1254" name="21841" queryTableFieldId="1254"/>
    <tableColumn id="1255" xr3:uid="{9FBE0D97-E56B-4935-8EBB-A09E8D1F5079}" uniqueName="1255" name="21842" queryTableFieldId="1255"/>
    <tableColumn id="1256" xr3:uid="{56D4E6FC-EA6F-4143-B444-0A575A5E5331}" uniqueName="1256" name="21849" queryTableFieldId="1256"/>
    <tableColumn id="1257" xr3:uid="{1915394A-6458-4745-8FE3-0F01CE8D627D}" uniqueName="1257" name="21850" queryTableFieldId="1257"/>
    <tableColumn id="1258" xr3:uid="{3DCAD1BE-F7C7-40EE-A871-E925B1C1F5CA}" uniqueName="1258" name="21851" queryTableFieldId="1258"/>
    <tableColumn id="1259" xr3:uid="{EB2D912A-95DD-4437-8E7B-8F32BC99B533}" uniqueName="1259" name="21853" queryTableFieldId="1259"/>
    <tableColumn id="1260" xr3:uid="{81FD1E54-6C8C-4188-81F8-377DC9829785}" uniqueName="1260" name="21856" queryTableFieldId="1260"/>
    <tableColumn id="1261" xr3:uid="{6664A401-00DC-4B7D-8154-89E3B9FEDA85}" uniqueName="1261" name="21861" queryTableFieldId="1261"/>
    <tableColumn id="1262" xr3:uid="{B5FCD81C-8F55-4C5D-80AB-2E25227364C5}" uniqueName="1262" name="21862" queryTableFieldId="1262"/>
    <tableColumn id="1263" xr3:uid="{FC41094F-0498-4C2F-82FA-729793C05B55}" uniqueName="1263" name="21863" queryTableFieldId="1263"/>
    <tableColumn id="1264" xr3:uid="{BF9B9B9E-16C1-427D-A9CA-C73CE67A6CEE}" uniqueName="1264" name="21864" queryTableFieldId="1264"/>
    <tableColumn id="1265" xr3:uid="{F67FF9AB-BC77-41EC-B555-7BAAECB8FCD5}" uniqueName="1265" name="21865" queryTableFieldId="1265"/>
    <tableColumn id="1266" xr3:uid="{090E517E-6A74-4768-A753-A3250260D6EE}" uniqueName="1266" name="21866" queryTableFieldId="1266"/>
    <tableColumn id="1267" xr3:uid="{DDC459E1-6A2B-4710-AF50-4B1376C94D09}" uniqueName="1267" name="21867" queryTableFieldId="1267"/>
    <tableColumn id="1268" xr3:uid="{86723C8E-2F7E-445D-A60E-03901FCD5D1F}" uniqueName="1268" name="21869" queryTableFieldId="1268"/>
    <tableColumn id="1269" xr3:uid="{29C50E6C-D51A-432C-8112-E3576DB5A0EC}" uniqueName="1269" name="21871" queryTableFieldId="1269"/>
    <tableColumn id="1270" xr3:uid="{334ED445-47BE-4604-947D-53E19E60A0B4}" uniqueName="1270" name="21872" queryTableFieldId="1270"/>
    <tableColumn id="1271" xr3:uid="{91B9B076-BC19-4697-8D7F-3FBA654C44BC}" uniqueName="1271" name="21874" queryTableFieldId="1271"/>
    <tableColumn id="1272" xr3:uid="{9463AEDF-9220-4713-B5BA-E39956365AA6}" uniqueName="1272" name="21875" queryTableFieldId="1272"/>
    <tableColumn id="1273" xr3:uid="{9A218E18-8FA2-4554-86FE-89895A99EF70}" uniqueName="1273" name="21890" queryTableFieldId="1273"/>
    <tableColumn id="1274" xr3:uid="{3090BB44-25F0-4DE6-9B6C-2DC7BF3A1B5F}" uniqueName="1274" name="21901" queryTableFieldId="1274"/>
    <tableColumn id="1275" xr3:uid="{CB57A08C-7F27-4952-BA01-DBB7C5BAA06A}" uniqueName="1275" name="21902" queryTableFieldId="1275"/>
    <tableColumn id="1276" xr3:uid="{3B87E4B2-9DF1-41DA-AF58-CB2AE0E98B2E}" uniqueName="1276" name="21903" queryTableFieldId="1276"/>
    <tableColumn id="1277" xr3:uid="{399BD89F-2120-4266-A3E4-46A59B8FA215}" uniqueName="1277" name="21904" queryTableFieldId="1277"/>
    <tableColumn id="1278" xr3:uid="{FAAE13DB-5D5E-4DE5-BA74-419E6B5C7E2E}" uniqueName="1278" name="21911" queryTableFieldId="1278"/>
    <tableColumn id="1279" xr3:uid="{B97F1367-735A-469C-B2CB-A929CAA8A2C1}" uniqueName="1279" name="21912" queryTableFieldId="1279"/>
    <tableColumn id="1280" xr3:uid="{979C8188-833C-4632-8F66-453FBA419427}" uniqueName="1280" name="21913" queryTableFieldId="1280"/>
    <tableColumn id="1281" xr3:uid="{3793F563-787B-4976-9AB1-87853C3E55C8}" uniqueName="1281" name="21914" queryTableFieldId="1281"/>
    <tableColumn id="1282" xr3:uid="{F20E1F66-8F25-4416-AD6D-9FC189BA022A}" uniqueName="1282" name="21915" queryTableFieldId="1282"/>
    <tableColumn id="1283" xr3:uid="{AEB4D27B-27D1-4DA6-A5D7-4E2EF005944F}" uniqueName="1283" name="21917" queryTableFieldId="1283"/>
    <tableColumn id="1284" xr3:uid="{4E17F6DF-B5AF-40DD-B54F-051ABA3EAC87}" uniqueName="1284" name="21918" queryTableFieldId="1284"/>
    <tableColumn id="1285" xr3:uid="{0E789F69-16CC-436D-8153-BC78B53B3E5C}" uniqueName="1285" name="21919" queryTableFieldId="1285"/>
    <tableColumn id="1286" xr3:uid="{F25F90C7-661F-4B9F-9A29-43E31F7C001B}" uniqueName="1286" name="21920" queryTableFieldId="1286"/>
    <tableColumn id="1287" xr3:uid="{C750A21A-A1AE-4A67-B173-8AE34943E0FD}" uniqueName="1287" name="21921" queryTableFieldId="1287"/>
    <tableColumn id="1288" xr3:uid="{F5A16799-E7F2-468A-B982-0BA418C4504C}" uniqueName="1288" name="21930" queryTableFieldId="1288"/>
    <tableColumn id="1289" xr3:uid="{D85A16BA-5633-4C8C-88CA-2302A44C57A9}" uniqueName="1289" name="27006" queryTableFieldId="1289"/>
    <tableColumn id="1290" xr3:uid="{CFC4BE7C-15E7-41EC-A28A-864B5E80E1DE}" uniqueName="1290" name="27007" queryTableFieldId="1290"/>
    <tableColumn id="1291" xr3:uid="{9A43E07B-717B-4C36-99E6-AB34F9F0C553}" uniqueName="1291" name="27009" queryTableFieldId="1291"/>
    <tableColumn id="1292" xr3:uid="{1D8FAFED-038E-407A-B820-800B7B28DC26}" uniqueName="1292" name="27011" queryTableFieldId="1292"/>
    <tableColumn id="1293" xr3:uid="{16A0D300-CC4A-45DF-A3F1-03B2E84CEE2D}" uniqueName="1293" name="27012" queryTableFieldId="1293"/>
    <tableColumn id="1294" xr3:uid="{7042BFEF-B4B4-4778-B311-683A3814E11E}" uniqueName="1294" name="27013" queryTableFieldId="1294"/>
    <tableColumn id="1295" xr3:uid="{E60367F4-094A-4A98-9E7C-B0E7FC1BD02B}" uniqueName="1295" name="27014" queryTableFieldId="1295"/>
    <tableColumn id="1296" xr3:uid="{10F86B86-4214-4582-86BB-989380B02DB7}" uniqueName="1296" name="27016" queryTableFieldId="1296"/>
    <tableColumn id="1297" xr3:uid="{9EC7F520-5A6A-43E4-BED6-B27C13EC5036}" uniqueName="1297" name="27017" queryTableFieldId="1297"/>
    <tableColumn id="1298" xr3:uid="{C7355AE6-CF7F-4F34-A70F-8D91492F282A}" uniqueName="1298" name="27018" queryTableFieldId="1298"/>
    <tableColumn id="1299" xr3:uid="{81A6C64B-0CCE-4A3C-9F16-3AADE5CB6920}" uniqueName="1299" name="27019" queryTableFieldId="1299"/>
    <tableColumn id="1300" xr3:uid="{C8D04793-F415-4318-813A-5D6A57BF5A07}" uniqueName="1300" name="27020" queryTableFieldId="1300"/>
    <tableColumn id="1301" xr3:uid="{AE4B975A-7257-47D5-9DDD-78B2B4386F81}" uniqueName="1301" name="27021" queryTableFieldId="1301"/>
    <tableColumn id="1302" xr3:uid="{4D5A87C3-6506-46C9-8DB9-E6C11E7FC398}" uniqueName="1302" name="27022" queryTableFieldId="1302"/>
    <tableColumn id="1303" xr3:uid="{6676FE78-82F7-429F-A53C-9C599A7D0924}" uniqueName="1303" name="27023" queryTableFieldId="1303"/>
    <tableColumn id="1304" xr3:uid="{80C33D29-7416-4A27-A768-7EBA429CF37D}" uniqueName="1304" name="27024" queryTableFieldId="1304"/>
    <tableColumn id="1305" xr3:uid="{0F3B93C9-882D-4B64-9F46-2F98C0B81ACC}" uniqueName="1305" name="27025" queryTableFieldId="1305"/>
    <tableColumn id="1306" xr3:uid="{AA1B86F6-0D27-48E7-9D33-7769B2F812A3}" uniqueName="1306" name="27027" queryTableFieldId="1306"/>
    <tableColumn id="1307" xr3:uid="{168E3094-D5AB-4AAB-B4D6-EFEB145F1A35}" uniqueName="1307" name="27028" queryTableFieldId="1307"/>
    <tableColumn id="1308" xr3:uid="{5C5752FD-5091-4EFE-AE24-5DDFDA37C0C2}" uniqueName="1308" name="27030" queryTableFieldId="1308"/>
    <tableColumn id="1309" xr3:uid="{72A03953-3E8C-46E8-97C0-3AD905074792}" uniqueName="1309" name="27040" queryTableFieldId="1309"/>
    <tableColumn id="1310" xr3:uid="{DBD592E2-0E1F-4FE5-93EC-5CE0BFAC50FC}" uniqueName="1310" name="27041" queryTableFieldId="1310"/>
    <tableColumn id="1311" xr3:uid="{D5DF8447-A132-45EB-A325-00816779D74A}" uniqueName="1311" name="27042" queryTableFieldId="1311"/>
    <tableColumn id="1312" xr3:uid="{14BD6E87-FB12-405E-8872-6A8AC0CDFB30}" uniqueName="1312" name="27043" queryTableFieldId="1312"/>
    <tableColumn id="1313" xr3:uid="{3F5B45BB-2E22-4FCF-9B13-D94B718CF23B}" uniqueName="1313" name="27045" queryTableFieldId="1313"/>
    <tableColumn id="1314" xr3:uid="{6E59856C-5D52-4D74-9988-CEB1797CC610}" uniqueName="1314" name="27046" queryTableFieldId="1314"/>
    <tableColumn id="1315" xr3:uid="{5E30EAF2-CF52-40F5-BCA6-E92F61C74DB1}" uniqueName="1315" name="27047" queryTableFieldId="1315"/>
    <tableColumn id="1316" xr3:uid="{66F6A274-0C0A-41E7-94E9-7FE128EC2D22}" uniqueName="1316" name="27048" queryTableFieldId="1316"/>
    <tableColumn id="1317" xr3:uid="{78C918B2-3F70-458F-943D-2CB78792EACF}" uniqueName="1317" name="27050" queryTableFieldId="1317"/>
    <tableColumn id="1318" xr3:uid="{6EBEA55B-650C-4B29-9FB3-77107225F7A1}" uniqueName="1318" name="27051" queryTableFieldId="1318"/>
    <tableColumn id="1319" xr3:uid="{F35EB1ED-AF14-4FB6-84D8-FA0C8260678A}" uniqueName="1319" name="27052" queryTableFieldId="1319"/>
    <tableColumn id="1320" xr3:uid="{845D9F89-CEF1-4937-ADBC-BBE48F757995}" uniqueName="1320" name="27053" queryTableFieldId="1320"/>
    <tableColumn id="1321" xr3:uid="{33B5386C-3191-4AEE-99E0-6E52600911CE}" uniqueName="1321" name="27054" queryTableFieldId="1321"/>
    <tableColumn id="1322" xr3:uid="{CA035575-31DA-46E7-824B-E30B21AB75A8}" uniqueName="1322" name="27055" queryTableFieldId="1322"/>
    <tableColumn id="1323" xr3:uid="{3F0DB262-9364-4A04-81B8-4677A9C30DD4}" uniqueName="1323" name="27101" queryTableFieldId="1323"/>
    <tableColumn id="1324" xr3:uid="{23DA0C03-34FF-46BA-B19D-21A2DDF725B5}" uniqueName="1324" name="27103" queryTableFieldId="1324"/>
    <tableColumn id="1325" xr3:uid="{636FFD54-8AAA-420E-A6D9-6E8398EC9495}" uniqueName="1325" name="27104" queryTableFieldId="1325"/>
    <tableColumn id="1326" xr3:uid="{8DB371EB-C07F-4DF8-9AC1-82BB4256D030}" uniqueName="1326" name="27105" queryTableFieldId="1326"/>
    <tableColumn id="1327" xr3:uid="{02592431-406B-4310-AA73-30FBF0EE96D3}" uniqueName="1327" name="27106" queryTableFieldId="1327"/>
    <tableColumn id="1328" xr3:uid="{C34C7A9C-84E1-4B48-B73B-84EAFF43CB9E}" uniqueName="1328" name="27107" queryTableFieldId="1328"/>
    <tableColumn id="1329" xr3:uid="{DE6C197A-EBCD-45E6-B1D9-895504548288}" uniqueName="1329" name="27109" queryTableFieldId="1329"/>
    <tableColumn id="1330" xr3:uid="{DB1A8A98-6C31-4A8B-A4FC-1A2E5CCB8F13}" uniqueName="1330" name="27110" queryTableFieldId="1330"/>
    <tableColumn id="1331" xr3:uid="{5ED35381-5DAD-4860-80C4-582D0CBA75CB}" uniqueName="1331" name="27127" queryTableFieldId="1331"/>
    <tableColumn id="1332" xr3:uid="{0E56A1E0-153A-439B-9A91-DAEC8173BC5E}" uniqueName="1332" name="27201" queryTableFieldId="1332"/>
    <tableColumn id="1333" xr3:uid="{67C525EF-2078-491A-9ECB-49D50B3D13A5}" uniqueName="1333" name="27202" queryTableFieldId="1333"/>
    <tableColumn id="1334" xr3:uid="{9A10C4FB-2240-4BB0-8C3B-262C1C18834E}" uniqueName="1334" name="27203" queryTableFieldId="1334"/>
    <tableColumn id="1335" xr3:uid="{AF641F56-65C0-4598-9ABB-04FC46DC6108}" uniqueName="1335" name="27205" queryTableFieldId="1335"/>
    <tableColumn id="1336" xr3:uid="{21A77FDF-1251-4356-80E9-08A8408F4A48}" uniqueName="1336" name="27207" queryTableFieldId="1336"/>
    <tableColumn id="1337" xr3:uid="{3C15562B-F8CB-40CF-94DC-75EC419BFABE}" uniqueName="1337" name="27208" queryTableFieldId="1337"/>
    <tableColumn id="1338" xr3:uid="{49084EFB-3ADC-4905-A46D-473B1D8BA5DD}" uniqueName="1338" name="27209" queryTableFieldId="1338"/>
    <tableColumn id="1339" xr3:uid="{7BA7D35F-273A-4CF7-9FA5-1B64F89FF0EF}" uniqueName="1339" name="27212" queryTableFieldId="1339"/>
    <tableColumn id="1340" xr3:uid="{FB7BFF98-5193-44B1-B274-07E24813A514}" uniqueName="1340" name="27213" queryTableFieldId="1340"/>
    <tableColumn id="1341" xr3:uid="{FCCCB34F-752B-45C4-8933-B9C867F1A31D}" uniqueName="1341" name="27214" queryTableFieldId="1341"/>
    <tableColumn id="1342" xr3:uid="{22B5BDED-713E-4F2F-B052-4B5E93691D57}" uniqueName="1342" name="27215" queryTableFieldId="1342"/>
    <tableColumn id="1343" xr3:uid="{0B357F45-7817-478A-9612-8269D455A2AC}" uniqueName="1343" name="27217" queryTableFieldId="1343"/>
    <tableColumn id="1344" xr3:uid="{6E4FC264-41F9-4D87-BBAA-6F5732238601}" uniqueName="1344" name="27229" queryTableFieldId="1344"/>
    <tableColumn id="1345" xr3:uid="{DFD9F4B6-BC90-4D6F-A0DB-0008F8566BF2}" uniqueName="1345" name="27231" queryTableFieldId="1345"/>
    <tableColumn id="1346" xr3:uid="{142FC4EE-A9AE-4007-8C93-B150134962F9}" uniqueName="1346" name="27233" queryTableFieldId="1346"/>
    <tableColumn id="1347" xr3:uid="{2A8040A8-D3BC-485F-8DF0-B52D25D645CF}" uniqueName="1347" name="27235" queryTableFieldId="1347"/>
    <tableColumn id="1348" xr3:uid="{0BF1692A-A58D-41F8-B517-C883F0655CD7}" uniqueName="1348" name="27239" queryTableFieldId="1348"/>
    <tableColumn id="1349" xr3:uid="{C2347D32-8C84-43F8-AFD1-3A3BFF201679}" uniqueName="1349" name="27242" queryTableFieldId="1349"/>
    <tableColumn id="1350" xr3:uid="{0AEBDABE-0DCA-46BA-B0B5-518AE0A3142F}" uniqueName="1350" name="27243" queryTableFieldId="1350"/>
    <tableColumn id="1351" xr3:uid="{00EF4DC4-A701-463A-88BA-59155F7654A0}" uniqueName="1351" name="27244" queryTableFieldId="1351"/>
    <tableColumn id="1352" xr3:uid="{428EAC76-A325-4074-9A08-B84C7AB75E6D}" uniqueName="1352" name="27247" queryTableFieldId="1352"/>
    <tableColumn id="1353" xr3:uid="{9BFBFCC8-88E8-44B7-A044-48D5F235C733}" uniqueName="1353" name="27248" queryTableFieldId="1353"/>
    <tableColumn id="1354" xr3:uid="{EE702260-A21F-40EE-B3DC-660BE7FB8C16}" uniqueName="1354" name="27249" queryTableFieldId="1354"/>
    <tableColumn id="1355" xr3:uid="{BBAE6D7F-7223-40EB-9A4B-A7FDF25ECF43}" uniqueName="1355" name="27252" queryTableFieldId="1355"/>
    <tableColumn id="1356" xr3:uid="{0A81EC6C-5947-4B8A-B955-B6B65DEEF1B8}" uniqueName="1356" name="27253" queryTableFieldId="1356"/>
    <tableColumn id="1357" xr3:uid="{A28D6880-347F-4ECB-BA1B-5D97562227FC}" uniqueName="1357" name="27256" queryTableFieldId="1357"/>
    <tableColumn id="1358" xr3:uid="{36883A98-428B-41CF-80C2-8E6955CCE6BC}" uniqueName="1358" name="27258" queryTableFieldId="1358"/>
    <tableColumn id="1359" xr3:uid="{18B37B16-3619-49B7-A3C8-2D12C7E7A996}" uniqueName="1359" name="27259" queryTableFieldId="1359"/>
    <tableColumn id="1360" xr3:uid="{1F668A0E-740F-4000-96BC-50C4C10E90FB}" uniqueName="1360" name="27260" queryTableFieldId="1360"/>
    <tableColumn id="1361" xr3:uid="{D880E30D-E3F5-42AD-9A62-231715632667}" uniqueName="1361" name="27262" queryTableFieldId="1361"/>
    <tableColumn id="1362" xr3:uid="{C62966E6-9433-439E-B9A3-07EDE6406440}" uniqueName="1362" name="27263" queryTableFieldId="1362"/>
    <tableColumn id="1363" xr3:uid="{47CBE103-862F-403B-96E1-9853E911E547}" uniqueName="1363" name="27265" queryTableFieldId="1363"/>
    <tableColumn id="1364" xr3:uid="{50E15394-CD18-4C96-87F9-D8485C9ADD4D}" uniqueName="1364" name="27268" queryTableFieldId="1364"/>
    <tableColumn id="1365" xr3:uid="{562EAA1D-C6EA-4553-A3FE-7F036D0F538C}" uniqueName="1365" name="27278" queryTableFieldId="1365"/>
    <tableColumn id="1366" xr3:uid="{802F67D5-EF80-458F-A0AD-45B7AC640267}" uniqueName="1366" name="27281" queryTableFieldId="1366"/>
    <tableColumn id="1367" xr3:uid="{07579B50-9C77-4CAB-AB92-82557ACC474A}" uniqueName="1367" name="27282" queryTableFieldId="1367"/>
    <tableColumn id="1368" xr3:uid="{AE0865D2-D081-4B94-B8BD-2C079FADFEDA}" uniqueName="1368" name="27283" queryTableFieldId="1368"/>
    <tableColumn id="1369" xr3:uid="{D99B2A6E-CA52-47BB-A875-3ABB382189A2}" uniqueName="1369" name="27284" queryTableFieldId="1369"/>
    <tableColumn id="1370" xr3:uid="{F1C30FD5-335E-44AB-88E7-3227F6ECBC0A}" uniqueName="1370" name="27288" queryTableFieldId="1370"/>
    <tableColumn id="1371" xr3:uid="{F04ED23A-CA99-40DC-95AA-97D7B5F4DBDA}" uniqueName="1371" name="27291" queryTableFieldId="1371"/>
    <tableColumn id="1372" xr3:uid="{8FDC9FF0-70F0-4242-A2DD-6D496F81B0BF}" uniqueName="1372" name="27292" queryTableFieldId="1372"/>
    <tableColumn id="1373" xr3:uid="{49F47246-5654-4448-96ED-975540E16BDF}" uniqueName="1373" name="27295" queryTableFieldId="1373"/>
    <tableColumn id="1374" xr3:uid="{FED46212-644B-4B3F-8F13-7035734CD94C}" uniqueName="1374" name="27298" queryTableFieldId="1374"/>
    <tableColumn id="1375" xr3:uid="{CE2D0472-EFFA-4C95-98E9-848B610D6501}" uniqueName="1375" name="27299" queryTableFieldId="1375"/>
    <tableColumn id="1376" xr3:uid="{B837580D-7A7D-4D4F-9EB1-49595946F9BB}" uniqueName="1376" name="27301" queryTableFieldId="1376"/>
    <tableColumn id="1377" xr3:uid="{BA2A4EDF-2F2B-411F-BCC9-B9395E39554B}" uniqueName="1377" name="27302" queryTableFieldId="1377"/>
    <tableColumn id="1378" xr3:uid="{815F3271-C720-423F-A209-80316E7B1024}" uniqueName="1378" name="27305" queryTableFieldId="1378"/>
    <tableColumn id="1379" xr3:uid="{77D9B03F-40F2-4F0D-9426-D6BDA0D595E8}" uniqueName="1379" name="27306" queryTableFieldId="1379"/>
    <tableColumn id="1380" xr3:uid="{77D616E0-C09D-429C-88B1-36BFA72FB65C}" uniqueName="1380" name="27310" queryTableFieldId="1380"/>
    <tableColumn id="1381" xr3:uid="{7A15DAF2-C1FD-4ED6-A55A-D66DD7FCE5D3}" uniqueName="1381" name="27311" queryTableFieldId="1381"/>
    <tableColumn id="1382" xr3:uid="{AB29B935-BF51-43BA-98E2-071BA526DBFB}" uniqueName="1382" name="27312" queryTableFieldId="1382"/>
    <tableColumn id="1383" xr3:uid="{8624DDA1-729E-44D7-AF08-371763D60B64}" uniqueName="1383" name="27313" queryTableFieldId="1383"/>
    <tableColumn id="1384" xr3:uid="{B317C826-1CB6-4E1C-80F1-BFBDEE569B77}" uniqueName="1384" name="27314" queryTableFieldId="1384"/>
    <tableColumn id="1385" xr3:uid="{62EB1059-CE17-4D9C-AF6B-1DE30A972B54}" uniqueName="1385" name="27315" queryTableFieldId="1385"/>
    <tableColumn id="1386" xr3:uid="{DF26CD90-316B-46D5-B16C-C1D9BC00FC5C}" uniqueName="1386" name="27316" queryTableFieldId="1386"/>
    <tableColumn id="1387" xr3:uid="{F1721AD1-FC21-4C7B-AB71-4C9F5264AA47}" uniqueName="1387" name="27317" queryTableFieldId="1387"/>
    <tableColumn id="1388" xr3:uid="{D7E4290F-0A04-4A96-BCD1-1E2023FE379C}" uniqueName="1388" name="27320" queryTableFieldId="1388"/>
    <tableColumn id="1389" xr3:uid="{45697B12-6872-409E-A37A-39DECDB4E0A0}" uniqueName="1389" name="27325" queryTableFieldId="1389"/>
    <tableColumn id="1390" xr3:uid="{F5F14FB6-F3C2-4DE8-A2FD-60BD16023398}" uniqueName="1390" name="27326" queryTableFieldId="1390"/>
    <tableColumn id="1391" xr3:uid="{81C57293-EDE6-47D6-AA6E-E2A519A1DEC3}" uniqueName="1391" name="27330" queryTableFieldId="1391"/>
    <tableColumn id="1392" xr3:uid="{273ED107-AA73-4A3C-A2F2-DF69D337D07E}" uniqueName="1392" name="27332" queryTableFieldId="1392"/>
    <tableColumn id="1393" xr3:uid="{1E291727-319F-4B4B-8C9B-E7741DB2EAFF}" uniqueName="1393" name="27340" queryTableFieldId="1393"/>
    <tableColumn id="1394" xr3:uid="{095CFD09-C767-42D5-B020-EA2EFDC9F729}" uniqueName="1394" name="27341" queryTableFieldId="1394"/>
    <tableColumn id="1395" xr3:uid="{1EAE83F9-AD53-41D3-8F94-E2563F1D50F6}" uniqueName="1395" name="27342" queryTableFieldId="1395"/>
    <tableColumn id="1396" xr3:uid="{17B96329-BB50-4AF2-BEDD-841EEE29E376}" uniqueName="1396" name="27343" queryTableFieldId="1396"/>
    <tableColumn id="1397" xr3:uid="{D177541F-3730-49EC-B8F5-6997F1DF6C5D}" uniqueName="1397" name="27344" queryTableFieldId="1397"/>
    <tableColumn id="1398" xr3:uid="{4C88369F-1A08-496D-8203-322C09305DED}" uniqueName="1398" name="27349" queryTableFieldId="1398"/>
    <tableColumn id="1399" xr3:uid="{BCA1E8E5-273D-44CC-9C79-EE298C65490F}" uniqueName="1399" name="27350" queryTableFieldId="1399"/>
    <tableColumn id="1400" xr3:uid="{9CAAA598-D04B-482C-AF59-8E18F7D20F99}" uniqueName="1400" name="27351" queryTableFieldId="1400"/>
    <tableColumn id="1401" xr3:uid="{84B4D2FE-714F-439D-B2D7-52FF3DF5C4EB}" uniqueName="1401" name="27355" queryTableFieldId="1401"/>
    <tableColumn id="1402" xr3:uid="{CCC3F220-6DF1-4CC7-880B-3F97DB385DEC}" uniqueName="1402" name="27356" queryTableFieldId="1402"/>
    <tableColumn id="1403" xr3:uid="{0A504B6C-C82E-4BC5-98B0-B375C15FBEB2}" uniqueName="1403" name="27357" queryTableFieldId="1403"/>
    <tableColumn id="1404" xr3:uid="{935FEBF8-65BC-4C31-BDC2-33C0128E6715}" uniqueName="1404" name="27358" queryTableFieldId="1404"/>
    <tableColumn id="1405" xr3:uid="{4F243A78-1B91-4EDD-B6B7-BE84D2B1BD10}" uniqueName="1405" name="27360" queryTableFieldId="1405"/>
    <tableColumn id="1406" xr3:uid="{13682736-841E-4D02-AD84-16FD2054E5F1}" uniqueName="1406" name="27370" queryTableFieldId="1406"/>
    <tableColumn id="1407" xr3:uid="{7889AC4F-F992-4A43-85B1-0F98A2AA1BCB}" uniqueName="1407" name="27371" queryTableFieldId="1407"/>
    <tableColumn id="1408" xr3:uid="{9D6DFDAB-9511-4C34-885D-7CEF98EE3407}" uniqueName="1408" name="27374" queryTableFieldId="1408"/>
    <tableColumn id="1409" xr3:uid="{865FA538-08DB-48ED-A1A8-647569DC4919}" uniqueName="1409" name="27376" queryTableFieldId="1409"/>
    <tableColumn id="1410" xr3:uid="{890CFDBF-C5A4-4577-858F-974F7D251F74}" uniqueName="1410" name="27377" queryTableFieldId="1410"/>
    <tableColumn id="1411" xr3:uid="{5DBD60D3-343D-4394-A919-7766E391D973}" uniqueName="1411" name="27379" queryTableFieldId="1411"/>
    <tableColumn id="1412" xr3:uid="{5359AAE9-F2C6-4CA0-BD7E-6DA28FACB642}" uniqueName="1412" name="27401" queryTableFieldId="1412"/>
    <tableColumn id="1413" xr3:uid="{0C2A0953-570E-43C2-A023-48EFEAA7ACFA}" uniqueName="1413" name="27403" queryTableFieldId="1413"/>
    <tableColumn id="1414" xr3:uid="{D89A6357-A963-4248-A70D-2CBAAEAAE594}" uniqueName="1414" name="27405" queryTableFieldId="1414"/>
    <tableColumn id="1415" xr3:uid="{68B6F6F4-7CF3-43CE-A1EF-DAFA3EAC7A95}" uniqueName="1415" name="27406" queryTableFieldId="1415"/>
    <tableColumn id="1416" xr3:uid="{8A17EE91-F6CE-4980-9A37-42CBFA4C4B26}" uniqueName="1416" name="27407" queryTableFieldId="1416"/>
    <tableColumn id="1417" xr3:uid="{DC8073BA-F04A-4B29-8D76-D6121AFC13FA}" uniqueName="1417" name="27408" queryTableFieldId="1417"/>
    <tableColumn id="1418" xr3:uid="{13E9B2AB-BA3E-46D6-8800-4C8D7E27D45C}" uniqueName="1418" name="27409" queryTableFieldId="1418"/>
    <tableColumn id="1419" xr3:uid="{41C53E99-2FCA-4D92-8FF1-AEE71ABC02E0}" uniqueName="1419" name="27410" queryTableFieldId="1419"/>
    <tableColumn id="1420" xr3:uid="{4D466A29-5129-434B-9EBC-E3B6FD3599A3}" uniqueName="1420" name="27411" queryTableFieldId="1420"/>
    <tableColumn id="1421" xr3:uid="{A910AB42-3C4B-4FCC-9142-FD44589C2C73}" uniqueName="1421" name="27412" queryTableFieldId="1421"/>
    <tableColumn id="1422" xr3:uid="{72ECDFDF-EA7C-471F-8A3D-7201C6363C34}" uniqueName="1422" name="27455" queryTableFieldId="1422"/>
    <tableColumn id="1423" xr3:uid="{0EA28759-6AE4-4E02-B5A9-6C981E820D35}" uniqueName="1423" name="27501" queryTableFieldId="1423"/>
    <tableColumn id="1424" xr3:uid="{1B5DC0AB-5ACD-49C2-BBAD-AF576C721093}" uniqueName="1424" name="27502" queryTableFieldId="1424"/>
    <tableColumn id="1425" xr3:uid="{D87F6C64-44D4-43F9-8F5B-4D295A135AAA}" uniqueName="1425" name="27503" queryTableFieldId="1425"/>
    <tableColumn id="1426" xr3:uid="{A83FF913-E6A0-429C-80B8-FD893974525A}" uniqueName="1426" name="27504" queryTableFieldId="1426"/>
    <tableColumn id="1427" xr3:uid="{9A905E41-696E-475A-BFD0-022A1762A082}" uniqueName="1427" name="27505" queryTableFieldId="1427"/>
    <tableColumn id="1428" xr3:uid="{3D2A0DBD-98C2-4449-826E-5FA74822921A}" uniqueName="1428" name="27506" queryTableFieldId="1428"/>
    <tableColumn id="1429" xr3:uid="{AA20C336-652E-4A57-BA83-8724DF84F801}" uniqueName="1429" name="27507" queryTableFieldId="1429"/>
    <tableColumn id="1430" xr3:uid="{E60A42DB-5F96-4A5E-A1AF-A9568B8CE97A}" uniqueName="1430" name="27508" queryTableFieldId="1430"/>
    <tableColumn id="1431" xr3:uid="{3109F43D-119E-4B99-A332-88CE7974AA66}" uniqueName="1431" name="27509" queryTableFieldId="1431"/>
    <tableColumn id="1432" xr3:uid="{F8FE0C92-BE0F-4064-B560-93917CDD04D4}" uniqueName="1432" name="27510" queryTableFieldId="1432"/>
    <tableColumn id="1433" xr3:uid="{B57D461F-0891-4C4B-A7C4-CB3D224AEFE8}" uniqueName="1433" name="27511" queryTableFieldId="1433"/>
    <tableColumn id="1434" xr3:uid="{E4AFB013-0105-410D-A9B0-91851CFCB5BA}" uniqueName="1434" name="27513" queryTableFieldId="1434"/>
    <tableColumn id="1435" xr3:uid="{0CEB449B-D33A-49BA-9D6A-FE2B681E30B0}" uniqueName="1435" name="27514" queryTableFieldId="1435"/>
    <tableColumn id="1436" xr3:uid="{9D2D003C-B3E1-42EB-870A-C14C22BFEE3E}" uniqueName="1436" name="27516" queryTableFieldId="1436"/>
    <tableColumn id="1437" xr3:uid="{19D2D7B0-1B7C-45F6-AAEC-859A1EB60077}" uniqueName="1437" name="27517" queryTableFieldId="1437"/>
    <tableColumn id="1438" xr3:uid="{16F3C59A-E3F3-44A9-8D8D-86719FF155A6}" uniqueName="1438" name="27518" queryTableFieldId="1438"/>
    <tableColumn id="1439" xr3:uid="{030FCEEA-A5E0-4E23-BE73-B9EE1D50CCE5}" uniqueName="1439" name="27519" queryTableFieldId="1439"/>
    <tableColumn id="1440" xr3:uid="{C30928AB-316C-41E1-A439-3222F59627D0}" uniqueName="1440" name="27520" queryTableFieldId="1440"/>
    <tableColumn id="1441" xr3:uid="{A0AD91BA-543B-42E2-8536-FF865F078DCE}" uniqueName="1441" name="27521" queryTableFieldId="1441"/>
    <tableColumn id="1442" xr3:uid="{7E064B8D-4C90-46C7-AECC-3CAF8510DB14}" uniqueName="1442" name="27522" queryTableFieldId="1442"/>
    <tableColumn id="1443" xr3:uid="{6F7AB6B8-6CCB-4EA9-810B-9AA2C6347132}" uniqueName="1443" name="27523" queryTableFieldId="1443"/>
    <tableColumn id="1444" xr3:uid="{F311FD89-978B-4BFE-9033-17C8D93CA6C8}" uniqueName="1444" name="27524" queryTableFieldId="1444"/>
    <tableColumn id="1445" xr3:uid="{7FC326EC-C320-411B-917B-707F6F65D154}" uniqueName="1445" name="27525" queryTableFieldId="1445"/>
    <tableColumn id="1446" xr3:uid="{3295129E-7182-47C5-A79F-45AAAF4E45DE}" uniqueName="1446" name="27526" queryTableFieldId="1446"/>
    <tableColumn id="1447" xr3:uid="{FDF490E5-AE5F-48D5-B6F6-FCA71D01C3A6}" uniqueName="1447" name="27527" queryTableFieldId="1447"/>
    <tableColumn id="1448" xr3:uid="{2111F4CA-F029-4639-9302-2F96E76D0A8F}" uniqueName="1448" name="27529" queryTableFieldId="1448"/>
    <tableColumn id="1449" xr3:uid="{BBF69EC1-EC54-4D14-AA30-77035F107BC4}" uniqueName="1449" name="27530" queryTableFieldId="1449"/>
    <tableColumn id="1450" xr3:uid="{476D7546-D2E1-430B-9E07-F08E15603602}" uniqueName="1450" name="27531" queryTableFieldId="1450"/>
    <tableColumn id="1451" xr3:uid="{EF7D23A4-C678-4582-9FE2-B1BB108A0C85}" uniqueName="1451" name="27533" queryTableFieldId="1451"/>
    <tableColumn id="1452" xr3:uid="{0F45C88B-BFA8-4289-BC6C-0B2F2A082EF0}" uniqueName="1452" name="27534" queryTableFieldId="1452"/>
    <tableColumn id="1453" xr3:uid="{977181A4-54FD-4CBC-B14C-6102FDCEF1F8}" uniqueName="1453" name="27536" queryTableFieldId="1453"/>
    <tableColumn id="1454" xr3:uid="{D399B0EF-EE4E-4F4E-8265-D5A071F25A2A}" uniqueName="1454" name="27537" queryTableFieldId="1454"/>
    <tableColumn id="1455" xr3:uid="{7629D110-C1F8-43C0-A604-4532F577FE3F}" uniqueName="1455" name="27539" queryTableFieldId="1455"/>
    <tableColumn id="1456" xr3:uid="{E327804C-DA94-473B-822B-FC6C9FA4DCE5}" uniqueName="1456" name="27540" queryTableFieldId="1456"/>
    <tableColumn id="1457" xr3:uid="{27919C38-058C-4B31-AEC5-EAF10BBE12E7}" uniqueName="1457" name="27541" queryTableFieldId="1457"/>
    <tableColumn id="1458" xr3:uid="{4CB7A03F-DB53-4F97-B0F5-5E08CB52B8E4}" uniqueName="1458" name="27542" queryTableFieldId="1458"/>
    <tableColumn id="1459" xr3:uid="{8BA8B91D-3160-4708-8E6C-59EB0239CD85}" uniqueName="1459" name="27544" queryTableFieldId="1459"/>
    <tableColumn id="1460" xr3:uid="{39B42DC5-0445-4061-B863-A12C9669DAA2}" uniqueName="1460" name="27545" queryTableFieldId="1460"/>
    <tableColumn id="1461" xr3:uid="{F85E832D-542E-4DA7-A1E9-ACC5E4A389F9}" uniqueName="1461" name="27546" queryTableFieldId="1461"/>
    <tableColumn id="1462" xr3:uid="{5B15CF58-C5A1-41E4-8A3E-4164F55C83C5}" uniqueName="1462" name="27549" queryTableFieldId="1462"/>
    <tableColumn id="1463" xr3:uid="{58FDBCFE-AF9A-4160-9DF1-567F6BA52743}" uniqueName="1463" name="27551" queryTableFieldId="1463"/>
    <tableColumn id="1464" xr3:uid="{02A8AF99-42F1-45BD-90D5-5AE23FCD8A38}" uniqueName="1464" name="27553" queryTableFieldId="1464"/>
    <tableColumn id="1465" xr3:uid="{704A82A3-9489-4332-A022-833CD4450FFB}" uniqueName="1465" name="27555" queryTableFieldId="1465"/>
    <tableColumn id="1466" xr3:uid="{04663C46-1D9B-48FE-AD1D-1C19622F9B37}" uniqueName="1466" name="27556" queryTableFieldId="1466"/>
    <tableColumn id="1467" xr3:uid="{0105551B-30E1-4233-AF41-021F48CE475C}" uniqueName="1467" name="27557" queryTableFieldId="1467"/>
    <tableColumn id="1468" xr3:uid="{03FADF7B-E5F0-4C4E-9026-30ECACA9143B}" uniqueName="1468" name="27559" queryTableFieldId="1468"/>
    <tableColumn id="1469" xr3:uid="{0FDFE252-ACF0-4E38-B140-D496C01EAA5A}" uniqueName="1469" name="27560" queryTableFieldId="1469"/>
    <tableColumn id="1470" xr3:uid="{CD5A4ABB-9456-429B-A84D-2FBB42978CCF}" uniqueName="1470" name="27562" queryTableFieldId="1470"/>
    <tableColumn id="1471" xr3:uid="{9CBA205A-5DD5-4969-A729-32EB6872C131}" uniqueName="1471" name="27563" queryTableFieldId="1471"/>
    <tableColumn id="1472" xr3:uid="{792EEB15-D5D6-48A5-8BFC-9F596F7879A2}" uniqueName="1472" name="27565" queryTableFieldId="1472"/>
    <tableColumn id="1473" xr3:uid="{F71EBBF7-23B8-4FD7-B6C9-92BE9040E7A0}" uniqueName="1473" name="27568" queryTableFieldId="1473"/>
    <tableColumn id="1474" xr3:uid="{EC8C1674-079A-4357-8072-513AD42C65E5}" uniqueName="1474" name="27569" queryTableFieldId="1474"/>
    <tableColumn id="1475" xr3:uid="{0DBE5381-B279-43A8-86C8-3A41CD3FE03F}" uniqueName="1475" name="27570" queryTableFieldId="1475"/>
    <tableColumn id="1476" xr3:uid="{6835FFB9-6923-4149-B5CA-038315DD3139}" uniqueName="1476" name="27571" queryTableFieldId="1476"/>
    <tableColumn id="1477" xr3:uid="{723C7BA6-DBF7-4936-9516-D15247CED239}" uniqueName="1477" name="27572" queryTableFieldId="1477"/>
    <tableColumn id="1478" xr3:uid="{27387CDF-1F78-439D-B001-B2809EB68217}" uniqueName="1478" name="27573" queryTableFieldId="1478"/>
    <tableColumn id="1479" xr3:uid="{CA62CE36-CBF6-47F3-9EED-0AA63ECEDDA9}" uniqueName="1479" name="27574" queryTableFieldId="1479"/>
    <tableColumn id="1480" xr3:uid="{555DE7F7-E9D0-4629-A523-95EC2D632E6D}" uniqueName="1480" name="27576" queryTableFieldId="1480"/>
    <tableColumn id="1481" xr3:uid="{3ED42297-649F-43F7-B137-0C17CF131B98}" uniqueName="1481" name="27577" queryTableFieldId="1481"/>
    <tableColumn id="1482" xr3:uid="{44CFD119-8854-49F7-8AC9-BF20F8D03821}" uniqueName="1482" name="27581" queryTableFieldId="1482"/>
    <tableColumn id="1483" xr3:uid="{C132C23D-6029-4753-BC80-041BB9BF928E}" uniqueName="1483" name="27582" queryTableFieldId="1483"/>
    <tableColumn id="1484" xr3:uid="{7B2731CF-C5E0-43C5-A98F-34190D61FA8E}" uniqueName="1484" name="27583" queryTableFieldId="1484"/>
    <tableColumn id="1485" xr3:uid="{29F62949-A92E-4566-90A3-3CF3A81D6047}" uniqueName="1485" name="27584" queryTableFieldId="1485"/>
    <tableColumn id="1486" xr3:uid="{04D1BA7C-0163-4468-9EFD-D7F489A98484}" uniqueName="1486" name="27587" queryTableFieldId="1486"/>
    <tableColumn id="1487" xr3:uid="{9578B246-2F15-4441-91E2-C67DCC925EBC}" uniqueName="1487" name="27589" queryTableFieldId="1487"/>
    <tableColumn id="1488" xr3:uid="{280363C3-6604-4C92-B7B0-045E44226B1E}" uniqueName="1488" name="27591" queryTableFieldId="1488"/>
    <tableColumn id="1489" xr3:uid="{675107CC-945A-4E67-A50F-6FC7159348A8}" uniqueName="1489" name="27592" queryTableFieldId="1489"/>
    <tableColumn id="1490" xr3:uid="{6682D16E-2376-43A9-AAFD-9FB0D1077273}" uniqueName="1490" name="27593" queryTableFieldId="1490"/>
    <tableColumn id="1491" xr3:uid="{D33BDBE2-6ACF-4B08-8B15-05311C0B350E}" uniqueName="1491" name="27594" queryTableFieldId="1491"/>
    <tableColumn id="1492" xr3:uid="{A6035BA4-CF04-456B-A547-74636E8FFA56}" uniqueName="1492" name="27596" queryTableFieldId="1492"/>
    <tableColumn id="1493" xr3:uid="{F5880D60-CFFA-48A7-98B5-95E24932D337}" uniqueName="1493" name="27597" queryTableFieldId="1493"/>
    <tableColumn id="1494" xr3:uid="{672C10E3-6B14-4B34-A8EB-931F48A1FE34}" uniqueName="1494" name="27599" queryTableFieldId="1494"/>
    <tableColumn id="1495" xr3:uid="{65FE1964-DDEF-48FF-ACEB-B02A7B918F0D}" uniqueName="1495" name="27601" queryTableFieldId="1495"/>
    <tableColumn id="1496" xr3:uid="{BFDD52E8-9C04-49B2-9B6A-859E4F9E63C1}" uniqueName="1496" name="27603" queryTableFieldId="1496"/>
    <tableColumn id="1497" xr3:uid="{C50B5EB4-1454-45B0-B5C3-25D4BA64D77A}" uniqueName="1497" name="27604" queryTableFieldId="1497"/>
    <tableColumn id="1498" xr3:uid="{0CFEEF95-A7F6-49A5-8DEC-827BAFD393FF}" uniqueName="1498" name="27605" queryTableFieldId="1498"/>
    <tableColumn id="1499" xr3:uid="{F8DE28D7-9A37-41B1-A861-0A721C866D8B}" uniqueName="1499" name="27606" queryTableFieldId="1499"/>
    <tableColumn id="1500" xr3:uid="{FDD0D147-2A1C-4701-9EBD-FF21539AD658}" uniqueName="1500" name="27607" queryTableFieldId="1500"/>
    <tableColumn id="1501" xr3:uid="{E782A3A9-ABC4-437D-A221-B8E2BCD829E6}" uniqueName="1501" name="27608" queryTableFieldId="1501"/>
    <tableColumn id="1502" xr3:uid="{96966184-66BB-4D96-A608-FAB5137C2D74}" uniqueName="1502" name="27609" queryTableFieldId="1502"/>
    <tableColumn id="1503" xr3:uid="{5839E3D5-6F95-4598-B341-6A8D4E95AB79}" uniqueName="1503" name="27610" queryTableFieldId="1503"/>
    <tableColumn id="1504" xr3:uid="{4CC8684A-7560-4C34-8B84-B8B0B8541086}" uniqueName="1504" name="27612" queryTableFieldId="1504"/>
    <tableColumn id="1505" xr3:uid="{C6CB8FF7-8161-4EFB-BB4C-0FF7BF6E554D}" uniqueName="1505" name="27613" queryTableFieldId="1505"/>
    <tableColumn id="1506" xr3:uid="{DD62A081-3327-453F-89E0-300F1795269B}" uniqueName="1506" name="27614" queryTableFieldId="1506"/>
    <tableColumn id="1507" xr3:uid="{12916E34-7C66-4D3C-AA5F-E8078FBF6658}" uniqueName="1507" name="27615" queryTableFieldId="1507"/>
    <tableColumn id="1508" xr3:uid="{67560C3D-72A4-4A93-A0F9-7C1EC74715CB}" uniqueName="1508" name="27616" queryTableFieldId="1508"/>
    <tableColumn id="1509" xr3:uid="{98793540-AA81-4F09-BC5F-E07664B22CA0}" uniqueName="1509" name="27617" queryTableFieldId="1509"/>
    <tableColumn id="1510" xr3:uid="{01F907A6-B22B-439D-9847-1BCBDB7F439E}" uniqueName="1510" name="27695" queryTableFieldId="1510"/>
    <tableColumn id="1511" xr3:uid="{4D06408B-1414-4248-A416-B21E7CBB0FC2}" uniqueName="1511" name="27697" queryTableFieldId="1511"/>
    <tableColumn id="1512" xr3:uid="{C18ADBE6-B72C-4CCC-B172-1E16049CD3BE}" uniqueName="1512" name="27701" queryTableFieldId="1512"/>
    <tableColumn id="1513" xr3:uid="{D9E2B044-F4AF-4A6C-875B-CC267EFDE8AA}" uniqueName="1513" name="27703" queryTableFieldId="1513"/>
    <tableColumn id="1514" xr3:uid="{4C2BF397-1DEE-45F0-BD82-B0F463C901BF}" uniqueName="1514" name="27704" queryTableFieldId="1514"/>
    <tableColumn id="1515" xr3:uid="{F3963971-E0A8-44FB-BC7F-E8B391807C2F}" uniqueName="1515" name="27705" queryTableFieldId="1515"/>
    <tableColumn id="1516" xr3:uid="{2A979EDA-76DB-4D44-A0F1-DA872661801A}" uniqueName="1516" name="27707" queryTableFieldId="1516"/>
    <tableColumn id="1517" xr3:uid="{37B7EFA5-0959-4453-9920-0EBCB5589C5B}" uniqueName="1517" name="27708" queryTableFieldId="1517"/>
    <tableColumn id="1518" xr3:uid="{08F3EE28-7D87-428D-AE58-1CCA3044AA6A}" uniqueName="1518" name="27709" queryTableFieldId="1518"/>
    <tableColumn id="1519" xr3:uid="{C712F06B-522A-4544-9B32-66D2752C8937}" uniqueName="1519" name="27712" queryTableFieldId="1519"/>
    <tableColumn id="1520" xr3:uid="{52370599-C147-4CCA-869C-8D0C9A704266}" uniqueName="1520" name="27713" queryTableFieldId="1520"/>
    <tableColumn id="1521" xr3:uid="{CE59B003-D506-486C-AAA1-0BD8C43221F8}" uniqueName="1521" name="27801" queryTableFieldId="1521"/>
    <tableColumn id="1522" xr3:uid="{97E92C37-5FAD-4024-B73F-38AFD094AA86}" uniqueName="1522" name="27803" queryTableFieldId="1522"/>
    <tableColumn id="1523" xr3:uid="{A9DA7C99-6E51-4099-8FB7-94C353EA026A}" uniqueName="1523" name="27804" queryTableFieldId="1523"/>
    <tableColumn id="1524" xr3:uid="{0A57325F-DEC2-41E4-A84F-BB05CCECBC6F}" uniqueName="1524" name="27805" queryTableFieldId="1524"/>
    <tableColumn id="1525" xr3:uid="{BB7DA02B-1CCE-4978-B5EF-DF517153C228}" uniqueName="1525" name="27806" queryTableFieldId="1525"/>
    <tableColumn id="1526" xr3:uid="{ED258F48-DEBB-4882-B9AB-089C9A34A19A}" uniqueName="1526" name="27807" queryTableFieldId="1526"/>
    <tableColumn id="1527" xr3:uid="{73A813EB-0594-4144-A321-1C7EC5EAEE89}" uniqueName="1527" name="27808" queryTableFieldId="1527"/>
    <tableColumn id="1528" xr3:uid="{5A1BA80E-8268-4E94-A05B-63CD7ED71BA9}" uniqueName="1528" name="27809" queryTableFieldId="1528"/>
    <tableColumn id="1529" xr3:uid="{9078BD4C-BAA8-4225-B3C3-D6EF7874EC7D}" uniqueName="1529" name="27810" queryTableFieldId="1529"/>
    <tableColumn id="1530" xr3:uid="{C63F6057-54B1-463F-A92A-82AAD94E2DA8}" uniqueName="1530" name="27812" queryTableFieldId="1530"/>
    <tableColumn id="1531" xr3:uid="{3D031D06-E7D9-4819-B9D1-F98B93C6DB6F}" uniqueName="1531" name="27813" queryTableFieldId="1531"/>
    <tableColumn id="1532" xr3:uid="{DDE8558D-992F-466C-8FA6-0C85C3E95045}" uniqueName="1532" name="27814" queryTableFieldId="1532"/>
    <tableColumn id="1533" xr3:uid="{80DACF30-07C4-4334-A097-E4D9A71B5D4C}" uniqueName="1533" name="27815" queryTableFieldId="1533"/>
    <tableColumn id="1534" xr3:uid="{86B9F6F5-FDF4-4CCC-B119-B195C102819F}" uniqueName="1534" name="27816" queryTableFieldId="1534"/>
    <tableColumn id="1535" xr3:uid="{645874D1-9749-4C7A-AC12-CD32C6CE842A}" uniqueName="1535" name="27817" queryTableFieldId="1535"/>
    <tableColumn id="1536" xr3:uid="{FB27A65F-DBF7-45F8-B337-A4834F3A986B}" uniqueName="1536" name="27818" queryTableFieldId="1536"/>
    <tableColumn id="1537" xr3:uid="{A69FBA14-CD74-4761-908E-DF0906F40516}" uniqueName="1537" name="27819" queryTableFieldId="1537"/>
    <tableColumn id="1538" xr3:uid="{B1AE040B-EB6D-45BF-8F24-86038E1B29BD}" uniqueName="1538" name="27820" queryTableFieldId="1538"/>
    <tableColumn id="1539" xr3:uid="{E6935624-EA7F-4E34-A6A9-F33A64EB6946}" uniqueName="1539" name="27821" queryTableFieldId="1539"/>
    <tableColumn id="1540" xr3:uid="{7629D997-BA44-4820-B001-12D1E1970EB8}" uniqueName="1540" name="27822" queryTableFieldId="1540"/>
    <tableColumn id="1541" xr3:uid="{5809E7B6-C6D5-499D-BB91-9A9183C462F5}" uniqueName="1541" name="27823" queryTableFieldId="1541"/>
    <tableColumn id="1542" xr3:uid="{0F87B1FE-4771-446B-A7B2-0F5BEFF27A0E}" uniqueName="1542" name="27824" queryTableFieldId="1542"/>
    <tableColumn id="1543" xr3:uid="{5BCFFA99-206A-4B26-AE96-742A2E88E0D2}" uniqueName="1543" name="27825" queryTableFieldId="1543"/>
    <tableColumn id="1544" xr3:uid="{BF79F629-4D6C-4A36-BE71-7AA69FA68145}" uniqueName="1544" name="27826" queryTableFieldId="1544"/>
    <tableColumn id="1545" xr3:uid="{65D53E18-544A-4B5E-BA6B-64B345C58BD1}" uniqueName="1545" name="27827" queryTableFieldId="1545"/>
    <tableColumn id="1546" xr3:uid="{491BE663-CC94-46E3-B058-6E097B87202E}" uniqueName="1546" name="27828" queryTableFieldId="1546"/>
    <tableColumn id="1547" xr3:uid="{793E9B9E-02CA-45EE-9D8B-D47B7BF5DF66}" uniqueName="1547" name="27829" queryTableFieldId="1547"/>
    <tableColumn id="1548" xr3:uid="{7BECC630-1D55-4B4D-85DE-97ED72092957}" uniqueName="1548" name="27830" queryTableFieldId="1548"/>
    <tableColumn id="1549" xr3:uid="{ABD1F9F0-EE5F-4ACA-9AC1-CC4C0A2C5BBB}" uniqueName="1549" name="27831" queryTableFieldId="1549"/>
    <tableColumn id="1550" xr3:uid="{F587A2B4-E43B-45D8-87AD-D524854D5F18}" uniqueName="1550" name="27832" queryTableFieldId="1550"/>
    <tableColumn id="1551" xr3:uid="{12DC86C9-EAAE-4144-801D-5BB2D9BBFFCD}" uniqueName="1551" name="27834" queryTableFieldId="1551"/>
    <tableColumn id="1552" xr3:uid="{5DAB95D2-A1F9-47B9-B5D8-CF1F6983882A}" uniqueName="1552" name="27837" queryTableFieldId="1552"/>
    <tableColumn id="1553" xr3:uid="{D80B9171-11CB-494B-8225-CC4A2B93384B}" uniqueName="1553" name="27839" queryTableFieldId="1553"/>
    <tableColumn id="1554" xr3:uid="{63E1B0E0-7C1A-4502-8F81-1C62C8D5DB70}" uniqueName="1554" name="27840" queryTableFieldId="1554"/>
    <tableColumn id="1555" xr3:uid="{231E4AF4-9E53-4B4C-BF0B-2232B28BF813}" uniqueName="1555" name="27841" queryTableFieldId="1555"/>
    <tableColumn id="1556" xr3:uid="{21F22C5B-4A73-4A82-8D5E-36A8C1A84ADA}" uniqueName="1556" name="27842" queryTableFieldId="1556"/>
    <tableColumn id="1557" xr3:uid="{F5A7CE27-F8C7-4F93-9004-39EDE999233D}" uniqueName="1557" name="27843" queryTableFieldId="1557"/>
    <tableColumn id="1558" xr3:uid="{BDB2A354-3EEA-4650-BE1F-ABBB9C8C5AD1}" uniqueName="1558" name="27844" queryTableFieldId="1558"/>
    <tableColumn id="1559" xr3:uid="{F79033FC-54DE-4FCC-958D-33DB84F308D7}" uniqueName="1559" name="27845" queryTableFieldId="1559"/>
    <tableColumn id="1560" xr3:uid="{BD40C3BD-31AA-4F77-B5F6-9B9B5E273539}" uniqueName="1560" name="27846" queryTableFieldId="1560"/>
    <tableColumn id="1561" xr3:uid="{5CCCB72E-107E-4920-A192-12772CF15AE8}" uniqueName="1561" name="27847" queryTableFieldId="1561"/>
    <tableColumn id="1562" xr3:uid="{7451CB6F-438D-4DF0-9C60-2C2D4440712B}" uniqueName="1562" name="27849" queryTableFieldId="1562"/>
    <tableColumn id="1563" xr3:uid="{C5B5D57C-82E8-4A59-89A1-58953A149F03}" uniqueName="1563" name="27850" queryTableFieldId="1563"/>
    <tableColumn id="1564" xr3:uid="{9CBAD879-0B22-4B81-B504-AB4165175CBD}" uniqueName="1564" name="27851" queryTableFieldId="1564"/>
    <tableColumn id="1565" xr3:uid="{D162EE6A-5A5C-4CC0-8347-F80E171C3B36}" uniqueName="1565" name="27852" queryTableFieldId="1565"/>
    <tableColumn id="1566" xr3:uid="{5B637088-3057-4871-8AFB-3961AAB2BDFE}" uniqueName="1566" name="27853" queryTableFieldId="1566"/>
    <tableColumn id="1567" xr3:uid="{02AAE068-5C41-4BDE-A09F-E34683AF4855}" uniqueName="1567" name="27855" queryTableFieldId="1567"/>
    <tableColumn id="1568" xr3:uid="{90FA78FF-3B7F-4793-97DC-3809054066A6}" uniqueName="1568" name="27856" queryTableFieldId="1568"/>
    <tableColumn id="1569" xr3:uid="{CA8BC52E-9375-497D-87C5-4C202CE2FC7E}" uniqueName="1569" name="27857" queryTableFieldId="1569"/>
    <tableColumn id="1570" xr3:uid="{E1BAE15E-9BB2-4FFB-BD42-A60E7580D888}" uniqueName="1570" name="27858" queryTableFieldId="1570"/>
    <tableColumn id="1571" xr3:uid="{8DE97B12-9754-4A03-8814-062B5B6DDDEB}" uniqueName="1571" name="27860" queryTableFieldId="1571"/>
    <tableColumn id="1572" xr3:uid="{A323338E-C648-4B27-B0C5-BEE5D2030082}" uniqueName="1572" name="27861" queryTableFieldId="1572"/>
    <tableColumn id="1573" xr3:uid="{2DD9B26B-6A02-4B89-BA59-F73DA0EEDD4D}" uniqueName="1573" name="27862" queryTableFieldId="1573"/>
    <tableColumn id="1574" xr3:uid="{D15855A1-2D7D-4CA7-877D-62DB082C52A9}" uniqueName="1574" name="27863" queryTableFieldId="1574"/>
    <tableColumn id="1575" xr3:uid="{DD3C2431-5ACD-47F4-9B67-780F5A96D0F2}" uniqueName="1575" name="27864" queryTableFieldId="1575"/>
    <tableColumn id="1576" xr3:uid="{82D3A15E-BE8A-4384-A298-7C80ED4F09C5}" uniqueName="1576" name="27865" queryTableFieldId="1576"/>
    <tableColumn id="1577" xr3:uid="{4342B4C2-869C-4768-9C52-3B4C610B614A}" uniqueName="1577" name="27866" queryTableFieldId="1577"/>
    <tableColumn id="1578" xr3:uid="{A60D2D3A-9B55-48AE-BDE7-37783949861E}" uniqueName="1578" name="27869" queryTableFieldId="1578"/>
    <tableColumn id="1579" xr3:uid="{79251281-A755-4066-ADEF-6571078EF163}" uniqueName="1579" name="27870" queryTableFieldId="1579"/>
    <tableColumn id="1580" xr3:uid="{7E687D6E-3FF0-40A1-9992-D11B6048CF54}" uniqueName="1580" name="27871" queryTableFieldId="1580"/>
    <tableColumn id="1581" xr3:uid="{D683A8B1-B361-4CA0-BBE6-EDF86BEBD4E2}" uniqueName="1581" name="27872" queryTableFieldId="1581"/>
    <tableColumn id="1582" xr3:uid="{B505197B-B657-4030-89AD-2CD53A540FBB}" uniqueName="1582" name="27873" queryTableFieldId="1582"/>
    <tableColumn id="1583" xr3:uid="{7C9AF549-227B-48BB-A7A8-F04ECCF00F0F}" uniqueName="1583" name="27874" queryTableFieldId="1583"/>
    <tableColumn id="1584" xr3:uid="{CF1F6B7E-9D2A-4CCB-8E1E-9483D5F1A348}" uniqueName="1584" name="27875" queryTableFieldId="1584"/>
    <tableColumn id="1585" xr3:uid="{BC20C558-2150-4D30-A6D8-F298820D8750}" uniqueName="1585" name="27876" queryTableFieldId="1585"/>
    <tableColumn id="1586" xr3:uid="{92092C7B-A201-4787-A4D3-D49F78F0D830}" uniqueName="1586" name="27877" queryTableFieldId="1586"/>
    <tableColumn id="1587" xr3:uid="{0DBC739F-40BF-4C32-86F1-516AB290390D}" uniqueName="1587" name="27878" queryTableFieldId="1587"/>
    <tableColumn id="1588" xr3:uid="{1C9C1A71-2716-4F94-B900-60EBBDF2BD7A}" uniqueName="1588" name="27879" queryTableFieldId="1588"/>
    <tableColumn id="1589" xr3:uid="{64124900-1C79-4B13-AD0E-31EB1C6B86D5}" uniqueName="1589" name="27880" queryTableFieldId="1589"/>
    <tableColumn id="1590" xr3:uid="{19220CFF-4489-4A1B-B451-BCF0C20DD9F9}" uniqueName="1590" name="27881" queryTableFieldId="1590"/>
    <tableColumn id="1591" xr3:uid="{125D5E2B-89CD-4A23-AB93-96646FC486A0}" uniqueName="1591" name="27882" queryTableFieldId="1591"/>
    <tableColumn id="1592" xr3:uid="{D6443297-A033-4A69-AE7D-6CE1D76C438B}" uniqueName="1592" name="27883" queryTableFieldId="1592"/>
    <tableColumn id="1593" xr3:uid="{86DDA8DD-3163-47FE-8A48-69FF9736723E}" uniqueName="1593" name="27884" queryTableFieldId="1593"/>
    <tableColumn id="1594" xr3:uid="{076D251A-34ED-4362-B85B-11F6CA0C8DF0}" uniqueName="1594" name="27885" queryTableFieldId="1594"/>
    <tableColumn id="1595" xr3:uid="{A2726D4F-0170-40FD-AD7A-F30FA9DDEAA6}" uniqueName="1595" name="27886" queryTableFieldId="1595"/>
    <tableColumn id="1596" xr3:uid="{B7649082-A8FA-4FF9-A113-E67A41E8AEA1}" uniqueName="1596" name="27888" queryTableFieldId="1596"/>
    <tableColumn id="1597" xr3:uid="{E2B45123-4913-4A1B-BB89-1E6FC60D2D27}" uniqueName="1597" name="27889" queryTableFieldId="1597"/>
    <tableColumn id="1598" xr3:uid="{B291D75E-623A-4D7E-8849-7F416A07C56F}" uniqueName="1598" name="27890" queryTableFieldId="1598"/>
    <tableColumn id="1599" xr3:uid="{241482B6-57AD-48D5-872A-91CB3F962E6A}" uniqueName="1599" name="27891" queryTableFieldId="1599"/>
    <tableColumn id="1600" xr3:uid="{843F394D-BADC-46DB-BDE1-6004924B4F1D}" uniqueName="1600" name="27892" queryTableFieldId="1600"/>
    <tableColumn id="1601" xr3:uid="{8B662999-A706-4D1F-BE80-E34AF6653310}" uniqueName="1601" name="27893" queryTableFieldId="1601"/>
    <tableColumn id="1602" xr3:uid="{DD83D0C4-4E31-49BF-84CE-3F65AFBA4140}" uniqueName="1602" name="27896" queryTableFieldId="1602"/>
    <tableColumn id="1603" xr3:uid="{B0FD30CB-C653-4CED-AB7B-C66D22C6D4EE}" uniqueName="1603" name="27897" queryTableFieldId="1603"/>
    <tableColumn id="1604" xr3:uid="{72BEAED0-44CC-4023-9953-39C3778A5807}" uniqueName="1604" name="27909" queryTableFieldId="1604"/>
    <tableColumn id="1605" xr3:uid="{21F74B6B-738F-4A18-A23A-7C1369764C35}" uniqueName="1605" name="27910" queryTableFieldId="1605"/>
    <tableColumn id="1606" xr3:uid="{D73AE722-6F7A-4C51-8338-07CDE336D2C0}" uniqueName="1606" name="27915" queryTableFieldId="1606"/>
    <tableColumn id="1607" xr3:uid="{58A1243B-A0EC-4770-832B-6C2D396B7573}" uniqueName="1607" name="27916" queryTableFieldId="1607"/>
    <tableColumn id="1608" xr3:uid="{511239FA-9BB2-445D-8FDA-B127FCDBBAFE}" uniqueName="1608" name="27917" queryTableFieldId="1608"/>
    <tableColumn id="1609" xr3:uid="{962446CF-1A87-4C87-B59E-ED1F36791BCF}" uniqueName="1609" name="27919" queryTableFieldId="1609"/>
    <tableColumn id="1610" xr3:uid="{4141B065-9357-4363-8632-FDE5D0C4A7F3}" uniqueName="1610" name="27920" queryTableFieldId="1610"/>
    <tableColumn id="1611" xr3:uid="{25C6A206-08F2-47A9-924C-E8D8A70D0EC1}" uniqueName="1611" name="27921" queryTableFieldId="1611"/>
    <tableColumn id="1612" xr3:uid="{CE84714E-40A7-4E0B-990B-FCE07E6BC6E4}" uniqueName="1612" name="27922" queryTableFieldId="1612"/>
    <tableColumn id="1613" xr3:uid="{15748EA1-82AB-4DCD-9301-AB19B32E509B}" uniqueName="1613" name="27923" queryTableFieldId="1613"/>
    <tableColumn id="1614" xr3:uid="{203A9DD4-0CE4-4048-A74D-800DA51122C7}" uniqueName="1614" name="27924" queryTableFieldId="1614"/>
    <tableColumn id="1615" xr3:uid="{538B304F-3ACF-447B-A6ED-B2555264FD54}" uniqueName="1615" name="27925" queryTableFieldId="1615"/>
    <tableColumn id="1616" xr3:uid="{19CDF60A-7B06-450A-972C-DAE2A2BF27DC}" uniqueName="1616" name="27926" queryTableFieldId="1616"/>
    <tableColumn id="1617" xr3:uid="{C3903804-816A-421F-A4CA-F13730BE179A}" uniqueName="1617" name="27927" queryTableFieldId="1617"/>
    <tableColumn id="1618" xr3:uid="{71FD05BC-D036-427C-AFFC-9D9BA68F090C}" uniqueName="1618" name="27928" queryTableFieldId="1618"/>
    <tableColumn id="1619" xr3:uid="{B6183C6D-2D0A-4FA1-A74B-378E4986B8BF}" uniqueName="1619" name="27929" queryTableFieldId="1619"/>
    <tableColumn id="1620" xr3:uid="{D70731E2-5492-4845-BF1F-FE61958D24E1}" uniqueName="1620" name="27932" queryTableFieldId="1620"/>
    <tableColumn id="1621" xr3:uid="{EE80231D-3CC7-47B7-A1CD-F2F392706FC0}" uniqueName="1621" name="27935" queryTableFieldId="1621"/>
    <tableColumn id="1622" xr3:uid="{62979AC6-3164-4252-8D1A-5CB435EC3356}" uniqueName="1622" name="27936" queryTableFieldId="1622"/>
    <tableColumn id="1623" xr3:uid="{1F1B4A9C-076A-4986-94AD-521171A2EDC6}" uniqueName="1623" name="27937" queryTableFieldId="1623"/>
    <tableColumn id="1624" xr3:uid="{C097AD4E-C0F8-41B4-BEEF-48BD6476D725}" uniqueName="1624" name="27938" queryTableFieldId="1624"/>
    <tableColumn id="1625" xr3:uid="{D5CECFEC-D4D2-4A40-86EB-E5E3ED5166CC}" uniqueName="1625" name="27939" queryTableFieldId="1625"/>
    <tableColumn id="1626" xr3:uid="{8C82D741-30D5-4B22-A641-195DF5CBF502}" uniqueName="1626" name="27941" queryTableFieldId="1626"/>
    <tableColumn id="1627" xr3:uid="{9E846AE8-6C87-44F7-9507-B149806B0677}" uniqueName="1627" name="27942" queryTableFieldId="1627"/>
    <tableColumn id="1628" xr3:uid="{3B3E0CDF-5207-4ABA-AC15-248A13B55A98}" uniqueName="1628" name="27943" queryTableFieldId="1628"/>
    <tableColumn id="1629" xr3:uid="{97449ABB-47AC-4663-8CE5-AA1DA413275F}" uniqueName="1629" name="27944" queryTableFieldId="1629"/>
    <tableColumn id="1630" xr3:uid="{35787E48-26C4-4939-AEA6-BDA4F19052A1}" uniqueName="1630" name="27946" queryTableFieldId="1630"/>
    <tableColumn id="1631" xr3:uid="{7C8D3131-FD1A-4B4F-BD5A-0570C42A3840}" uniqueName="1631" name="27947" queryTableFieldId="1631"/>
    <tableColumn id="1632" xr3:uid="{FA345DE3-94FD-48DB-8516-ED71D8CF67DA}" uniqueName="1632" name="27948" queryTableFieldId="1632"/>
    <tableColumn id="1633" xr3:uid="{9D45FE5F-E6EF-424F-90D0-91C52828C03C}" uniqueName="1633" name="27949" queryTableFieldId="1633"/>
    <tableColumn id="1634" xr3:uid="{1BA8486F-6C7F-41AF-85B9-ACC0DC27F2F8}" uniqueName="1634" name="27950" queryTableFieldId="1634"/>
    <tableColumn id="1635" xr3:uid="{E7CAD95F-7E07-4474-BF54-B50F3897F03C}" uniqueName="1635" name="27953" queryTableFieldId="1635"/>
    <tableColumn id="1636" xr3:uid="{A1CB2104-1FCF-4C49-92A7-01DA47201504}" uniqueName="1636" name="27954" queryTableFieldId="1636"/>
    <tableColumn id="1637" xr3:uid="{640F59F5-636A-47BC-9333-74B688F3109E}" uniqueName="1637" name="27956" queryTableFieldId="1637"/>
    <tableColumn id="1638" xr3:uid="{E9D0AF23-A91A-4596-B487-17E0A998B507}" uniqueName="1638" name="27957" queryTableFieldId="1638"/>
    <tableColumn id="1639" xr3:uid="{E25E909B-7824-46F4-BA94-78186DAD80D4}" uniqueName="1639" name="27958" queryTableFieldId="1639"/>
    <tableColumn id="1640" xr3:uid="{ADD51F6A-AB6E-4EA4-B56E-C1186422B08A}" uniqueName="1640" name="27959" queryTableFieldId="1640"/>
    <tableColumn id="1641" xr3:uid="{506CAB1C-E2FE-4502-BAF4-37068029A477}" uniqueName="1641" name="27960" queryTableFieldId="1641"/>
    <tableColumn id="1642" xr3:uid="{7BD4B1AC-39D8-4305-9C12-11D1CE62C2A2}" uniqueName="1642" name="27962" queryTableFieldId="1642"/>
    <tableColumn id="1643" xr3:uid="{533F8008-9845-4959-84EF-5D8867E95419}" uniqueName="1643" name="27964" queryTableFieldId="1643"/>
    <tableColumn id="1644" xr3:uid="{481DBCB2-03B5-48CA-A0CC-3E9AF16D58E9}" uniqueName="1644" name="27965" queryTableFieldId="1644"/>
    <tableColumn id="1645" xr3:uid="{E2F18768-8DB0-4B09-A49F-41732DFC328B}" uniqueName="1645" name="27966" queryTableFieldId="1645"/>
    <tableColumn id="1646" xr3:uid="{71E6B519-541A-43AA-A8A6-900CAB40E738}" uniqueName="1646" name="27967" queryTableFieldId="1646"/>
    <tableColumn id="1647" xr3:uid="{67F5359A-77C5-449E-8F2A-592A21B9A7E9}" uniqueName="1647" name="27968" queryTableFieldId="1647"/>
    <tableColumn id="1648" xr3:uid="{78488009-33A5-44EC-A613-CE14BD83145E}" uniqueName="1648" name="27969" queryTableFieldId="1648"/>
    <tableColumn id="1649" xr3:uid="{CB1DC53E-048B-4A22-AEA9-D4775A8EA627}" uniqueName="1649" name="27970" queryTableFieldId="1649"/>
    <tableColumn id="1650" xr3:uid="{1129FBA0-20D2-458F-8B07-BFD5237F61AF}" uniqueName="1650" name="27972" queryTableFieldId="1650"/>
    <tableColumn id="1651" xr3:uid="{55566DCA-B408-429C-8D38-068419D94644}" uniqueName="1651" name="27973" queryTableFieldId="1651"/>
    <tableColumn id="1652" xr3:uid="{256EA703-6A63-49C8-95D9-93EDF8A39D25}" uniqueName="1652" name="27974" queryTableFieldId="1652"/>
    <tableColumn id="1653" xr3:uid="{CCEBFBC0-CAD0-4849-883C-DBD754DCC5AF}" uniqueName="1653" name="27976" queryTableFieldId="1653"/>
    <tableColumn id="1654" xr3:uid="{3F549CED-D52F-4D3B-B39D-84A9CB2889F5}" uniqueName="1654" name="27978" queryTableFieldId="1654"/>
    <tableColumn id="1655" xr3:uid="{A1B240DA-466F-4806-A1ED-86942EE816BC}" uniqueName="1655" name="27979" queryTableFieldId="1655"/>
    <tableColumn id="1656" xr3:uid="{1421927C-4CBF-45D3-8F04-D08AF736ACC9}" uniqueName="1656" name="27980" queryTableFieldId="1656"/>
    <tableColumn id="1657" xr3:uid="{D7ACCC6F-5A59-4F98-9991-9BBEA30E1AB9}" uniqueName="1657" name="27981" queryTableFieldId="1657"/>
    <tableColumn id="1658" xr3:uid="{18566DEE-E900-48CE-B239-7E531EFAD31C}" uniqueName="1658" name="27982" queryTableFieldId="1658"/>
    <tableColumn id="1659" xr3:uid="{57543768-E169-4504-802B-7155A9E5E431}" uniqueName="1659" name="27983" queryTableFieldId="1659"/>
    <tableColumn id="1660" xr3:uid="{8DFA6DCF-2D80-4462-A826-13C7C28A5650}" uniqueName="1660" name="27985" queryTableFieldId="1660"/>
    <tableColumn id="1661" xr3:uid="{0D3A90D7-A1BA-4F6B-8E6C-49F34AD23ED7}" uniqueName="1661" name="27986" queryTableFieldId="1661"/>
    <tableColumn id="1662" xr3:uid="{BB217E62-B236-4581-8EFA-2CABB37F7EB8}" uniqueName="1662" name="28001" queryTableFieldId="1662"/>
    <tableColumn id="1663" xr3:uid="{AD6E2CA8-88DB-4C53-A22F-23AC8AD6C10D}" uniqueName="1663" name="28006" queryTableFieldId="1663"/>
    <tableColumn id="1664" xr3:uid="{D77FC3D6-377B-4071-9679-8162836107E6}" uniqueName="1664" name="28007" queryTableFieldId="1664"/>
    <tableColumn id="1665" xr3:uid="{A2A0E3D9-4ABA-4E93-A7F6-B5FB7BAC4257}" uniqueName="1665" name="28009" queryTableFieldId="1665"/>
    <tableColumn id="1666" xr3:uid="{888DBEDE-925A-491D-8D51-6CFDCED99261}" uniqueName="1666" name="28012" queryTableFieldId="1666"/>
    <tableColumn id="1667" xr3:uid="{B384B0E1-DF74-4BF2-AF72-EFFE6A9CC209}" uniqueName="1667" name="28016" queryTableFieldId="1667"/>
    <tableColumn id="1668" xr3:uid="{8F5930AF-388F-4652-A109-1F2235CA01DD}" uniqueName="1668" name="28017" queryTableFieldId="1668"/>
    <tableColumn id="1669" xr3:uid="{01F61291-A9B9-41F2-8DB5-B9A345A16106}" uniqueName="1669" name="28018" queryTableFieldId="1669"/>
    <tableColumn id="1670" xr3:uid="{6548F229-E40B-4AEB-8CE7-4287D1EC5555}" uniqueName="1670" name="28019" queryTableFieldId="1670"/>
    <tableColumn id="1671" xr3:uid="{8747353E-2465-4FBC-9ED6-AF652D070E98}" uniqueName="1671" name="28020" queryTableFieldId="1671"/>
    <tableColumn id="1672" xr3:uid="{48F0AE69-E058-492A-B0F3-91BFC7A5BD3C}" uniqueName="1672" name="28021" queryTableFieldId="1672"/>
    <tableColumn id="1673" xr3:uid="{5018C83E-9890-46BB-8759-49B392EB371B}" uniqueName="1673" name="28023" queryTableFieldId="1673"/>
    <tableColumn id="1674" xr3:uid="{1B8701F5-6CC5-4F60-9F56-7EE5088C893F}" uniqueName="1674" name="28024" queryTableFieldId="1674"/>
    <tableColumn id="1675" xr3:uid="{666A804E-5805-4247-A8FB-D5B76691DE32}" uniqueName="1675" name="28025" queryTableFieldId="1675"/>
    <tableColumn id="1676" xr3:uid="{AFA47ADB-8440-4AEF-AE25-F78D5DB68289}" uniqueName="1676" name="28027" queryTableFieldId="1676"/>
    <tableColumn id="1677" xr3:uid="{1DF714CE-DDBE-466B-83BA-457576E7A2C6}" uniqueName="1677" name="28031" queryTableFieldId="1677"/>
    <tableColumn id="1678" xr3:uid="{706ABD9A-A5C3-4B94-96AD-E7471CDABABE}" uniqueName="1678" name="28032" queryTableFieldId="1678"/>
    <tableColumn id="1679" xr3:uid="{AA5536EC-A8BA-4F6C-987B-5C70E5B5C6F0}" uniqueName="1679" name="28033" queryTableFieldId="1679"/>
    <tableColumn id="1680" xr3:uid="{CD0721F5-D592-4A26-96F9-1AA2CD6C9873}" uniqueName="1680" name="28034" queryTableFieldId="1680"/>
    <tableColumn id="1681" xr3:uid="{1AE00EF5-27C8-4D31-A21C-1E3716B76F79}" uniqueName="1681" name="28036" queryTableFieldId="1681"/>
    <tableColumn id="1682" xr3:uid="{36EB8DA8-42B8-47F9-AA8B-F08B3E07656C}" uniqueName="1682" name="28037" queryTableFieldId="1682"/>
    <tableColumn id="1683" xr3:uid="{BAC7208C-C8D8-4219-9510-83DDE40B7B56}" uniqueName="1683" name="28039" queryTableFieldId="1683"/>
    <tableColumn id="1684" xr3:uid="{ED165E59-C282-4FE2-8DB8-8F23065DACC6}" uniqueName="1684" name="28040" queryTableFieldId="1684"/>
    <tableColumn id="1685" xr3:uid="{A019B188-AFE9-450D-9FB6-C530C2064766}" uniqueName="1685" name="28041" queryTableFieldId="1685"/>
    <tableColumn id="1686" xr3:uid="{041D45AA-9837-4DEF-A11E-3284571485CF}" uniqueName="1686" name="28042" queryTableFieldId="1686"/>
    <tableColumn id="1687" xr3:uid="{942602F5-EC6A-49A5-9ED1-740601278774}" uniqueName="1687" name="28043" queryTableFieldId="1687"/>
    <tableColumn id="1688" xr3:uid="{EB11604A-A1FF-425E-8461-7B6E32E1BE18}" uniqueName="1688" name="28052" queryTableFieldId="1688"/>
    <tableColumn id="1689" xr3:uid="{EAA4B8EE-A843-46C5-95EE-855601CA3C33}" uniqueName="1689" name="28054" queryTableFieldId="1689"/>
    <tableColumn id="1690" xr3:uid="{791A40AD-0975-49FA-9466-A140E5237C2C}" uniqueName="1690" name="28056" queryTableFieldId="1690"/>
    <tableColumn id="1691" xr3:uid="{7D718B3C-6A39-4666-B92A-C191D50C8644}" uniqueName="1691" name="28071" queryTableFieldId="1691"/>
    <tableColumn id="1692" xr3:uid="{7BB642DD-20A3-477D-801C-AAFC107D4515}" uniqueName="1692" name="28072" queryTableFieldId="1692"/>
    <tableColumn id="1693" xr3:uid="{26400AE9-62B9-4F8A-96F2-63CBA171A08E}" uniqueName="1693" name="28073" queryTableFieldId="1693"/>
    <tableColumn id="1694" xr3:uid="{53053BC0-0283-45C2-97E3-DB5F0BBE849E}" uniqueName="1694" name="28074" queryTableFieldId="1694"/>
    <tableColumn id="1695" xr3:uid="{992F2014-A94D-4B26-BEE6-3FFE061FC76A}" uniqueName="1695" name="28075" queryTableFieldId="1695"/>
    <tableColumn id="1696" xr3:uid="{FD2A367D-B8B6-4AE4-B109-C9AD4D3683D3}" uniqueName="1696" name="28076" queryTableFieldId="1696"/>
    <tableColumn id="1697" xr3:uid="{29FE2E44-25C3-49CD-AE85-8C9614484077}" uniqueName="1697" name="28077" queryTableFieldId="1697"/>
    <tableColumn id="1698" xr3:uid="{58902E86-1BDB-448E-AE72-01E83503B3C9}" uniqueName="1698" name="28078" queryTableFieldId="1698"/>
    <tableColumn id="1699" xr3:uid="{306B2259-D307-4C7C-B404-DB1B8B59591C}" uniqueName="1699" name="28079" queryTableFieldId="1699"/>
    <tableColumn id="1700" xr3:uid="{E3121A84-3148-4840-8AC7-114776FB70BB}" uniqueName="1700" name="28080" queryTableFieldId="1700"/>
    <tableColumn id="1701" xr3:uid="{086E76C7-7272-46AF-9003-6B73E98DB2C7}" uniqueName="1701" name="28081" queryTableFieldId="1701"/>
    <tableColumn id="1702" xr3:uid="{F66AD840-3E2E-480A-B217-56B52E3691A5}" uniqueName="1702" name="28083" queryTableFieldId="1702"/>
    <tableColumn id="1703" xr3:uid="{F5C0E8B5-C9BF-443F-9245-585719AE39DD}" uniqueName="1703" name="28086" queryTableFieldId="1703"/>
    <tableColumn id="1704" xr3:uid="{0AB929AC-47CE-433B-AAAE-D7A697848453}" uniqueName="1704" name="28088" queryTableFieldId="1704"/>
    <tableColumn id="1705" xr3:uid="{6707F736-F1C9-4639-894F-8368F5AEEAF0}" uniqueName="1705" name="28089" queryTableFieldId="1705"/>
    <tableColumn id="1706" xr3:uid="{80D4FDC2-54A1-4825-8D4B-0E110F883946}" uniqueName="1706" name="28090" queryTableFieldId="1706"/>
    <tableColumn id="1707" xr3:uid="{9B9C6466-66A4-4FE9-8FB7-5EDC6EEABF8B}" uniqueName="1707" name="28091" queryTableFieldId="1707"/>
    <tableColumn id="1708" xr3:uid="{1EC6F715-3440-4690-B07F-88C39258F0C3}" uniqueName="1708" name="28092" queryTableFieldId="1708"/>
    <tableColumn id="1709" xr3:uid="{5763190F-EA7B-47AD-AD18-52E2B8AE547E}" uniqueName="1709" name="28097" queryTableFieldId="1709"/>
    <tableColumn id="1710" xr3:uid="{BDE33A7C-8FB6-449C-9662-37481C4C030C}" uniqueName="1710" name="28098" queryTableFieldId="1710"/>
    <tableColumn id="1711" xr3:uid="{EF1BF759-9BD4-441D-BE02-24BE05601940}" uniqueName="1711" name="28101" queryTableFieldId="1711"/>
    <tableColumn id="1712" xr3:uid="{912176A6-9B73-42DA-82EB-94A053F0AEA9}" uniqueName="1712" name="28102" queryTableFieldId="1712"/>
    <tableColumn id="1713" xr3:uid="{49207F29-9434-406D-AC60-7212C60005CC}" uniqueName="1713" name="28103" queryTableFieldId="1713"/>
    <tableColumn id="1714" xr3:uid="{D5B227FF-9071-4844-B41F-72347159C259}" uniqueName="1714" name="28104" queryTableFieldId="1714"/>
    <tableColumn id="1715" xr3:uid="{7E76986A-AEC3-47E0-BF52-10B651C0973E}" uniqueName="1715" name="28105" queryTableFieldId="1715"/>
    <tableColumn id="1716" xr3:uid="{F6449E45-8B21-430A-9EAA-7E645EE62DF8}" uniqueName="1716" name="28107" queryTableFieldId="1716"/>
    <tableColumn id="1717" xr3:uid="{AB1BECA9-FA45-4489-8518-45AE6F5804AF}" uniqueName="1717" name="28108" queryTableFieldId="1717"/>
    <tableColumn id="1718" xr3:uid="{A2B3D3D3-68A1-4600-953B-B1A7AC42B844}" uniqueName="1718" name="28109" queryTableFieldId="1718"/>
    <tableColumn id="1719" xr3:uid="{E5513856-A8D9-478C-90A7-0F8447510528}" uniqueName="1719" name="28110" queryTableFieldId="1719"/>
    <tableColumn id="1720" xr3:uid="{22768321-BA41-476F-9D16-3EB533AD2BA3}" uniqueName="1720" name="28112" queryTableFieldId="1720"/>
    <tableColumn id="1721" xr3:uid="{16C305A4-E252-46C0-BB9C-0168185E17B2}" uniqueName="1721" name="28114" queryTableFieldId="1721"/>
    <tableColumn id="1722" xr3:uid="{4E16C0FF-E721-42C9-8894-0D632DC48617}" uniqueName="1722" name="28115" queryTableFieldId="1722"/>
    <tableColumn id="1723" xr3:uid="{C3CAAB86-DB82-4880-98D6-7F4D241B4389}" uniqueName="1723" name="28117" queryTableFieldId="1723"/>
    <tableColumn id="1724" xr3:uid="{F3A093DE-45FD-4ADA-ACE3-699034CF6CAB}" uniqueName="1724" name="28119" queryTableFieldId="1724"/>
    <tableColumn id="1725" xr3:uid="{804C8691-E393-41D9-886C-EA606AFB3FCE}" uniqueName="1725" name="28120" queryTableFieldId="1725"/>
    <tableColumn id="1726" xr3:uid="{3820BED7-1715-4624-BE55-38DF451995F8}" uniqueName="1726" name="28124" queryTableFieldId="1726"/>
    <tableColumn id="1727" xr3:uid="{D497906A-7E9C-4D52-B2FC-DF29121CB3D8}" uniqueName="1727" name="28125" queryTableFieldId="1727"/>
    <tableColumn id="1728" xr3:uid="{B036F94F-9266-43EC-B04C-9F0D6C5CE0E5}" uniqueName="1728" name="28127" queryTableFieldId="1728"/>
    <tableColumn id="1729" xr3:uid="{315A75B8-CCA8-4A7A-8C7E-8702837144D2}" uniqueName="1729" name="28128" queryTableFieldId="1729"/>
    <tableColumn id="1730" xr3:uid="{4AB85050-9820-43D7-AF86-C46DEA03D740}" uniqueName="1730" name="28129" queryTableFieldId="1730"/>
    <tableColumn id="1731" xr3:uid="{2767653E-98B3-4340-B54E-36BD554495D7}" uniqueName="1731" name="28133" queryTableFieldId="1731"/>
    <tableColumn id="1732" xr3:uid="{DADC9F5D-351F-4388-8FC6-897F6CBAB437}" uniqueName="1732" name="28134" queryTableFieldId="1732"/>
    <tableColumn id="1733" xr3:uid="{A3BB054D-F685-4A1E-9029-D26AD79E1793}" uniqueName="1733" name="28135" queryTableFieldId="1733"/>
    <tableColumn id="1734" xr3:uid="{80A26FFC-E20B-426F-8F76-E2E8182C3E3E}" uniqueName="1734" name="28136" queryTableFieldId="1734"/>
    <tableColumn id="1735" xr3:uid="{9A1ADA6A-8A53-44E8-9426-2DCFE0558C11}" uniqueName="1735" name="28137" queryTableFieldId="1735"/>
    <tableColumn id="1736" xr3:uid="{EF66557E-C2F7-4BC3-ABD3-1DD72C91B630}" uniqueName="1736" name="28138" queryTableFieldId="1736"/>
    <tableColumn id="1737" xr3:uid="{64E6C97D-7665-426C-B175-EF32EB705ABD}" uniqueName="1737" name="28139" queryTableFieldId="1737"/>
    <tableColumn id="1738" xr3:uid="{EB0957A1-FF56-426F-9652-EC4409612708}" uniqueName="1738" name="28144" queryTableFieldId="1738"/>
    <tableColumn id="1739" xr3:uid="{B0D9C436-D267-452D-A791-277019FDFC72}" uniqueName="1739" name="28146" queryTableFieldId="1739"/>
    <tableColumn id="1740" xr3:uid="{BE82C001-24D9-4BEA-8C01-59BB5F4F9893}" uniqueName="1740" name="28147" queryTableFieldId="1740"/>
    <tableColumn id="1741" xr3:uid="{6A830CCA-C19C-45C8-82A6-38D14F588DDE}" uniqueName="1741" name="28150" queryTableFieldId="1741"/>
    <tableColumn id="1742" xr3:uid="{4A60F5FD-9B7B-49A7-96FA-101AAA2DAEB1}" uniqueName="1742" name="28152" queryTableFieldId="1742"/>
    <tableColumn id="1743" xr3:uid="{32AF629D-4697-4CC3-AD9C-122257CB2A45}" uniqueName="1743" name="28159" queryTableFieldId="1743"/>
    <tableColumn id="1744" xr3:uid="{2BBD474B-D646-484A-9E9D-B682531E8880}" uniqueName="1744" name="28160" queryTableFieldId="1744"/>
    <tableColumn id="1745" xr3:uid="{88E66D92-9E31-4804-A03A-A448B4E966AF}" uniqueName="1745" name="28163" queryTableFieldId="1745"/>
    <tableColumn id="1746" xr3:uid="{9C81CC74-2D0A-4D5F-90C5-0D9091D1483C}" uniqueName="1746" name="28164" queryTableFieldId="1746"/>
    <tableColumn id="1747" xr3:uid="{CCA643A0-D324-45D2-82B7-0FCACA687DEE}" uniqueName="1747" name="28166" queryTableFieldId="1747"/>
    <tableColumn id="1748" xr3:uid="{394DABF3-54C4-42BB-89E4-BB6AD48AFEF3}" uniqueName="1748" name="28167" queryTableFieldId="1748"/>
    <tableColumn id="1749" xr3:uid="{11598532-D988-4053-BFAC-FA8E9FA66AC9}" uniqueName="1749" name="28168" queryTableFieldId="1749"/>
    <tableColumn id="1750" xr3:uid="{B5648B52-06AD-4081-8B8F-96D5999C7C37}" uniqueName="1750" name="28169" queryTableFieldId="1750"/>
    <tableColumn id="1751" xr3:uid="{79229DD3-CCE0-411C-A277-6461AB5FAF4B}" uniqueName="1751" name="28170" queryTableFieldId="1751"/>
    <tableColumn id="1752" xr3:uid="{893991FC-2866-4FDD-83A3-0E271F08ED27}" uniqueName="1752" name="28173" queryTableFieldId="1752"/>
    <tableColumn id="1753" xr3:uid="{FE9D3D31-81CE-4F03-8A99-87876B328E7E}" uniqueName="1753" name="28174" queryTableFieldId="1753"/>
    <tableColumn id="1754" xr3:uid="{9696E6B3-DFDB-48DA-8895-2E0922856993}" uniqueName="1754" name="28202" queryTableFieldId="1754"/>
    <tableColumn id="1755" xr3:uid="{21E85BCE-2135-4974-9F0A-F122FE1BD56C}" uniqueName="1755" name="28203" queryTableFieldId="1755"/>
    <tableColumn id="1756" xr3:uid="{0AB6C473-8926-4005-B887-714A0D0F5E5E}" uniqueName="1756" name="28204" queryTableFieldId="1756"/>
    <tableColumn id="1757" xr3:uid="{D094ED2B-5F4C-4A37-8F6E-5605F427EDD1}" uniqueName="1757" name="28205" queryTableFieldId="1757"/>
    <tableColumn id="1758" xr3:uid="{FA026208-3ECF-481B-BDAC-8E91678C88F3}" uniqueName="1758" name="28206" queryTableFieldId="1758"/>
    <tableColumn id="1759" xr3:uid="{F26E4D5A-958E-4918-A4E3-EF13ABEB152C}" uniqueName="1759" name="28207" queryTableFieldId="1759"/>
    <tableColumn id="1760" xr3:uid="{10F1FC04-8138-4AF7-86A4-9F79DC164890}" uniqueName="1760" name="28208" queryTableFieldId="1760"/>
    <tableColumn id="1761" xr3:uid="{F1446163-3E8F-497A-9669-9D5345BF1DB2}" uniqueName="1761" name="28209" queryTableFieldId="1761"/>
    <tableColumn id="1762" xr3:uid="{1E602F9C-3812-4161-B101-27603B59DDDC}" uniqueName="1762" name="28210" queryTableFieldId="1762"/>
    <tableColumn id="1763" xr3:uid="{25C5C16A-4EB4-4D2D-83A0-F82E710FDC1A}" uniqueName="1763" name="28211" queryTableFieldId="1763"/>
    <tableColumn id="1764" xr3:uid="{1866BAD7-CEDF-4624-BDD8-B2445DAC1D98}" uniqueName="1764" name="28212" queryTableFieldId="1764"/>
    <tableColumn id="1765" xr3:uid="{6E77317C-0767-48F4-A3E4-E78310535915}" uniqueName="1765" name="28213" queryTableFieldId="1765"/>
    <tableColumn id="1766" xr3:uid="{670FE25C-C5F3-4BDD-AE59-9E54F1BBAE65}" uniqueName="1766" name="28214" queryTableFieldId="1766"/>
    <tableColumn id="1767" xr3:uid="{6A944C2A-B985-4289-9D25-1BA839F54384}" uniqueName="1767" name="28215" queryTableFieldId="1767"/>
    <tableColumn id="1768" xr3:uid="{5329500F-B67E-4DA3-BF04-87B0FFE46AEC}" uniqueName="1768" name="28216" queryTableFieldId="1768"/>
    <tableColumn id="1769" xr3:uid="{87FB2049-FF30-4CF4-82F9-C60FC537975B}" uniqueName="1769" name="28217" queryTableFieldId="1769"/>
    <tableColumn id="1770" xr3:uid="{7828A56E-18E2-46E0-882C-BD52CA5D50A9}" uniqueName="1770" name="28223" queryTableFieldId="1770"/>
    <tableColumn id="1771" xr3:uid="{FDA486C0-CBE8-4D55-BF62-1EBEA5C76325}" uniqueName="1771" name="28226" queryTableFieldId="1771"/>
    <tableColumn id="1772" xr3:uid="{A84C9221-D22D-4207-BBD0-2C7375B873EE}" uniqueName="1772" name="28227" queryTableFieldId="1772"/>
    <tableColumn id="1773" xr3:uid="{1A120795-FA70-48D2-A5F9-B888B8AC6690}" uniqueName="1773" name="28244" queryTableFieldId="1773"/>
    <tableColumn id="1774" xr3:uid="{9F4C4474-7473-44B1-95E3-9C749B527F83}" uniqueName="1774" name="28262" queryTableFieldId="1774"/>
    <tableColumn id="1775" xr3:uid="{84E15C97-861D-4A77-AFF4-83184E73E452}" uniqueName="1775" name="28269" queryTableFieldId="1775"/>
    <tableColumn id="1776" xr3:uid="{F8EB7142-06E7-45A9-BF8A-C08CD86450D4}" uniqueName="1776" name="28270" queryTableFieldId="1776"/>
    <tableColumn id="1777" xr3:uid="{372F88E6-3BE6-4855-ACCA-8E1827D3C56A}" uniqueName="1777" name="28273" queryTableFieldId="1777"/>
    <tableColumn id="1778" xr3:uid="{14AD5B25-5DF1-419E-B9A3-32A4D5D9CAF0}" uniqueName="1778" name="28274" queryTableFieldId="1778"/>
    <tableColumn id="1779" xr3:uid="{6D387B7B-42AF-4F1E-B15E-08C2F23A3925}" uniqueName="1779" name="28277" queryTableFieldId="1779"/>
    <tableColumn id="1780" xr3:uid="{AF52634A-5F8F-491F-9BC8-B9F1015A2D0D}" uniqueName="1780" name="28278" queryTableFieldId="1780"/>
    <tableColumn id="1781" xr3:uid="{E8A467B9-B0C7-4230-91A9-89B9B76D1D9F}" uniqueName="1781" name="28280" queryTableFieldId="1781"/>
    <tableColumn id="1782" xr3:uid="{45309450-74FA-438A-8A83-C5EA80260C74}" uniqueName="1782" name="28282" queryTableFieldId="1782"/>
    <tableColumn id="1783" xr3:uid="{81071EB6-D599-48F7-B507-AE6157CB83F9}" uniqueName="1783" name="28301" queryTableFieldId="1783"/>
    <tableColumn id="1784" xr3:uid="{432711A6-40A1-4F26-8F61-C27F2E9AFAD9}" uniqueName="1784" name="28303" queryTableFieldId="1784"/>
    <tableColumn id="1785" xr3:uid="{3445EE7D-8EB8-429E-B840-A81A367B691C}" uniqueName="1785" name="28304" queryTableFieldId="1785"/>
    <tableColumn id="1786" xr3:uid="{4553D295-E958-4079-8E26-221C3321F6EE}" uniqueName="1786" name="28305" queryTableFieldId="1786"/>
    <tableColumn id="1787" xr3:uid="{FCB4F420-F428-446D-A4CB-5FE5C7A8229E}" uniqueName="1787" name="28306" queryTableFieldId="1787"/>
    <tableColumn id="1788" xr3:uid="{ADF71732-E10B-4552-9C8E-A37EB97977D8}" uniqueName="1788" name="28307" queryTableFieldId="1788"/>
    <tableColumn id="1789" xr3:uid="{A87CE043-F77A-4675-B00F-CC0FA889A340}" uniqueName="1789" name="28308" queryTableFieldId="1789"/>
    <tableColumn id="1790" xr3:uid="{6162E817-AF3B-4C8B-881A-767FC3BFB9FD}" uniqueName="1790" name="28310" queryTableFieldId="1790"/>
    <tableColumn id="1791" xr3:uid="{1C4C3A53-D463-4FB4-9FCC-8437746486E1}" uniqueName="1791" name="28311" queryTableFieldId="1791"/>
    <tableColumn id="1792" xr3:uid="{A73B5F8A-521F-49F4-9239-A5D05B2597FF}" uniqueName="1792" name="28312" queryTableFieldId="1792"/>
    <tableColumn id="1793" xr3:uid="{1C6501A6-C627-43DD-A876-EF8720F48A1E}" uniqueName="1793" name="28314" queryTableFieldId="1793"/>
    <tableColumn id="1794" xr3:uid="{2B185BBE-DAB0-4E99-A291-5E8C108223CA}" uniqueName="1794" name="28315" queryTableFieldId="1794"/>
    <tableColumn id="1795" xr3:uid="{F6375A5F-93AA-40C6-BC0D-55E1E26D63A7}" uniqueName="1795" name="28318" queryTableFieldId="1795"/>
    <tableColumn id="1796" xr3:uid="{B0255732-1649-479C-834D-549017C93857}" uniqueName="1796" name="28320" queryTableFieldId="1796"/>
    <tableColumn id="1797" xr3:uid="{CE1E0C96-D4E9-4450-82FE-ADE45DD443B2}" uniqueName="1797" name="28323" queryTableFieldId="1797"/>
    <tableColumn id="1798" xr3:uid="{D7EFBD24-5C54-4954-9B84-5948C8C86282}" uniqueName="1798" name="28325" queryTableFieldId="1798"/>
    <tableColumn id="1799" xr3:uid="{E96596BC-5C85-4248-8269-B1582E127E31}" uniqueName="1799" name="28326" queryTableFieldId="1799"/>
    <tableColumn id="1800" xr3:uid="{E06D01C7-0849-42E3-BD1D-E1B0A72E2CC7}" uniqueName="1800" name="28327" queryTableFieldId="1800"/>
    <tableColumn id="1801" xr3:uid="{BCF5E4FE-1ECF-47CB-8EBE-20B81210B7BB}" uniqueName="1801" name="28328" queryTableFieldId="1801"/>
    <tableColumn id="1802" xr3:uid="{6DD2842E-57C8-4B3A-8A69-4AE8F2CDB4A9}" uniqueName="1802" name="28330" queryTableFieldId="1802"/>
    <tableColumn id="1803" xr3:uid="{745E77F0-A49A-4EE8-B28B-231ED326B9F5}" uniqueName="1803" name="28331" queryTableFieldId="1803"/>
    <tableColumn id="1804" xr3:uid="{E8152FB6-5FB7-4E1B-BB8D-B9BE55E94B2B}" uniqueName="1804" name="28332" queryTableFieldId="1804"/>
    <tableColumn id="1805" xr3:uid="{78B6FE7E-3F28-45F9-9D38-1C67BA53C927}" uniqueName="1805" name="28333" queryTableFieldId="1805"/>
    <tableColumn id="1806" xr3:uid="{9FCBBA34-F76F-4CD1-99C8-18ED884C242B}" uniqueName="1806" name="28334" queryTableFieldId="1806"/>
    <tableColumn id="1807" xr3:uid="{D114E987-D0C6-4FF7-8454-1B9217587206}" uniqueName="1807" name="28337" queryTableFieldId="1807"/>
    <tableColumn id="1808" xr3:uid="{44E9A252-D2E2-4EBC-B75C-5FF87C64922A}" uniqueName="1808" name="28338" queryTableFieldId="1808"/>
    <tableColumn id="1809" xr3:uid="{6A7BEF5D-5AFC-4700-83E0-933D5C420647}" uniqueName="1809" name="28339" queryTableFieldId="1809"/>
    <tableColumn id="1810" xr3:uid="{42C573E1-D538-4DD8-B726-64F43EB7587C}" uniqueName="1810" name="28340" queryTableFieldId="1810"/>
    <tableColumn id="1811" xr3:uid="{477FE0E7-DAFE-4CE5-A0E3-9B71A456DDD0}" uniqueName="1811" name="28341" queryTableFieldId="1811"/>
    <tableColumn id="1812" xr3:uid="{9FEE254B-EA23-4200-9CC6-1652C5AB15A9}" uniqueName="1812" name="28342" queryTableFieldId="1812"/>
    <tableColumn id="1813" xr3:uid="{03B5AC3F-9131-4871-813F-F311E2380DE7}" uniqueName="1813" name="28343" queryTableFieldId="1813"/>
    <tableColumn id="1814" xr3:uid="{924F0359-ECD6-414D-8B28-A530DF0B2679}" uniqueName="1814" name="28344" queryTableFieldId="1814"/>
    <tableColumn id="1815" xr3:uid="{F7A0EAAD-0F91-495D-941B-968BB8F40733}" uniqueName="1815" name="28345" queryTableFieldId="1815"/>
    <tableColumn id="1816" xr3:uid="{E655CFD8-B0A5-44C3-9BB0-60306EE8CF42}" uniqueName="1816" name="28347" queryTableFieldId="1816"/>
    <tableColumn id="1817" xr3:uid="{939567A0-0EE1-48FB-90AB-F54D02D2D735}" uniqueName="1817" name="28348" queryTableFieldId="1817"/>
    <tableColumn id="1818" xr3:uid="{E6254234-8E47-4FFF-8752-53BD7BB54975}" uniqueName="1818" name="28349" queryTableFieldId="1818"/>
    <tableColumn id="1819" xr3:uid="{0CFA30DF-BD37-41D0-AA80-2027E5FD9417}" uniqueName="1819" name="28350" queryTableFieldId="1819"/>
    <tableColumn id="1820" xr3:uid="{822BBABA-8C87-4BA3-93FB-19B73DEAE9DA}" uniqueName="1820" name="28351" queryTableFieldId="1820"/>
    <tableColumn id="1821" xr3:uid="{2A9EC4DC-7583-4073-8BDE-93E28A06C08D}" uniqueName="1821" name="28352" queryTableFieldId="1821"/>
    <tableColumn id="1822" xr3:uid="{BC5832C6-1DF3-49EA-B5A7-9B3FB549A109}" uniqueName="1822" name="28355" queryTableFieldId="1822"/>
    <tableColumn id="1823" xr3:uid="{74B33B49-A174-46EB-B219-C1F767D2B7A1}" uniqueName="1823" name="28356" queryTableFieldId="1823"/>
    <tableColumn id="1824" xr3:uid="{AEDE8D94-3AAA-44DE-8D15-7E46210088E3}" uniqueName="1824" name="28357" queryTableFieldId="1824"/>
    <tableColumn id="1825" xr3:uid="{BE6800EF-A442-49FD-9A04-698A21ED46A4}" uniqueName="1825" name="28358" queryTableFieldId="1825"/>
    <tableColumn id="1826" xr3:uid="{756724E2-E3D5-4AD3-A89A-DA1F189D4D53}" uniqueName="1826" name="28359" queryTableFieldId="1826"/>
    <tableColumn id="1827" xr3:uid="{A6BCCA5F-6609-428A-80C7-C9FB93A620CB}" uniqueName="1827" name="28360" queryTableFieldId="1827"/>
    <tableColumn id="1828" xr3:uid="{506F81F7-EDD2-4556-8182-4AE026AB0EF7}" uniqueName="1828" name="28362" queryTableFieldId="1828"/>
    <tableColumn id="1829" xr3:uid="{8E51D054-C3B6-4F89-B38C-9B1F359F36F7}" uniqueName="1829" name="28363" queryTableFieldId="1829"/>
    <tableColumn id="1830" xr3:uid="{71894E4F-F4A5-4CDD-89FB-C9C05E68576F}" uniqueName="1830" name="28364" queryTableFieldId="1830"/>
    <tableColumn id="1831" xr3:uid="{66D5CEBE-5357-448E-BCAD-52BEF286F6DE}" uniqueName="1831" name="28365" queryTableFieldId="1831"/>
    <tableColumn id="1832" xr3:uid="{B31A882A-7BA8-46F3-A7F3-4234E4F478D1}" uniqueName="1832" name="28366" queryTableFieldId="1832"/>
    <tableColumn id="1833" xr3:uid="{9E699FC2-366F-4703-AECA-42199B1FA165}" uniqueName="1833" name="28367" queryTableFieldId="1833"/>
    <tableColumn id="1834" xr3:uid="{4E8A2DE4-8461-45DC-8AA2-9707FD5711FE}" uniqueName="1834" name="28368" queryTableFieldId="1834"/>
    <tableColumn id="1835" xr3:uid="{0A1C0F85-2B36-419E-AF50-976DB79C1D17}" uniqueName="1835" name="28369" queryTableFieldId="1835"/>
    <tableColumn id="1836" xr3:uid="{3F057C0D-B609-43BA-8007-98156E0751DD}" uniqueName="1836" name="28371" queryTableFieldId="1836"/>
    <tableColumn id="1837" xr3:uid="{EB5BDAB0-6C86-4F3C-B6F3-E2D230F35EC4}" uniqueName="1837" name="28372" queryTableFieldId="1837"/>
    <tableColumn id="1838" xr3:uid="{604BCCE4-D0A3-442B-A564-BD920F04DA38}" uniqueName="1838" name="28373" queryTableFieldId="1838"/>
    <tableColumn id="1839" xr3:uid="{0945094B-A6DD-4C62-9506-0896EAE7B18E}" uniqueName="1839" name="28374" queryTableFieldId="1839"/>
    <tableColumn id="1840" xr3:uid="{77035DB8-D011-4941-8459-6038EF826050}" uniqueName="1840" name="28375" queryTableFieldId="1840"/>
    <tableColumn id="1841" xr3:uid="{167D323C-4288-464B-B5C8-FDDBB6EB6966}" uniqueName="1841" name="28376" queryTableFieldId="1841"/>
    <tableColumn id="1842" xr3:uid="{AAA0DEFE-6812-4985-990E-EF649103B1D5}" uniqueName="1842" name="28377" queryTableFieldId="1842"/>
    <tableColumn id="1843" xr3:uid="{36CE38C8-CDF8-4201-BBBB-C282FFA3B8E2}" uniqueName="1843" name="28378" queryTableFieldId="1843"/>
    <tableColumn id="1844" xr3:uid="{8ABCDC5E-EAE2-4336-A8A8-8F7416098F42}" uniqueName="1844" name="28379" queryTableFieldId="1844"/>
    <tableColumn id="1845" xr3:uid="{961F3833-8322-4518-BE17-9141E71F32ED}" uniqueName="1845" name="28382" queryTableFieldId="1845"/>
    <tableColumn id="1846" xr3:uid="{38A709B6-7CCA-4BA1-AA5C-65DD27EF93CD}" uniqueName="1846" name="28383" queryTableFieldId="1846"/>
    <tableColumn id="1847" xr3:uid="{9B280592-E25F-4956-9112-06188BC3AA59}" uniqueName="1847" name="28384" queryTableFieldId="1847"/>
    <tableColumn id="1848" xr3:uid="{2AFF299F-4185-4600-A0EC-0468317E7ED7}" uniqueName="1848" name="28385" queryTableFieldId="1848"/>
    <tableColumn id="1849" xr3:uid="{2D272F52-B545-4F2C-BB25-8461C298FE4C}" uniqueName="1849" name="28386" queryTableFieldId="1849"/>
    <tableColumn id="1850" xr3:uid="{7D63DD2E-F2D3-4545-8781-445078F8C36B}" uniqueName="1850" name="28387" queryTableFieldId="1850"/>
    <tableColumn id="1851" xr3:uid="{6D1A053B-1636-4C75-BA8A-2A5154C43FD9}" uniqueName="1851" name="28390" queryTableFieldId="1851"/>
    <tableColumn id="1852" xr3:uid="{22123165-61A1-4152-B778-8C6DEAA5C1A9}" uniqueName="1852" name="28391" queryTableFieldId="1852"/>
    <tableColumn id="1853" xr3:uid="{6AB82906-31CA-4E93-87F3-0D7DD98076AB}" uniqueName="1853" name="28392" queryTableFieldId="1853"/>
    <tableColumn id="1854" xr3:uid="{0FB6452F-6EDD-4FC7-AE7E-D40EB5739ACC}" uniqueName="1854" name="28393" queryTableFieldId="1854"/>
    <tableColumn id="1855" xr3:uid="{59F32869-B7A2-431C-9B9F-2FFA19A42153}" uniqueName="1855" name="28394" queryTableFieldId="1855"/>
    <tableColumn id="1856" xr3:uid="{62555EA1-D80B-4A74-B0A4-38D3864F42E5}" uniqueName="1856" name="28395" queryTableFieldId="1856"/>
    <tableColumn id="1857" xr3:uid="{BC0AF03A-0ACB-4197-B5AA-3C5C7A885D17}" uniqueName="1857" name="28396" queryTableFieldId="1857"/>
    <tableColumn id="1858" xr3:uid="{AFB42EA0-9C58-47D2-903C-12F1EDB9CD7E}" uniqueName="1858" name="28398" queryTableFieldId="1858"/>
    <tableColumn id="1859" xr3:uid="{6A752030-B68C-4A15-94C2-ACB3250A3E22}" uniqueName="1859" name="28399" queryTableFieldId="1859"/>
    <tableColumn id="1860" xr3:uid="{1211C410-54EE-48D1-BE43-4A0AA66A9CA3}" uniqueName="1860" name="28401" queryTableFieldId="1860"/>
    <tableColumn id="1861" xr3:uid="{45AB6745-95F5-4AD8-999D-DC3300D6BC77}" uniqueName="1861" name="28403" queryTableFieldId="1861"/>
    <tableColumn id="1862" xr3:uid="{DD37E463-8B31-453E-8170-EA1ADD2A6D5D}" uniqueName="1862" name="28405" queryTableFieldId="1862"/>
    <tableColumn id="1863" xr3:uid="{BC017722-77B6-4DE0-82DD-9BA81CFEFEC5}" uniqueName="1863" name="28409" queryTableFieldId="1863"/>
    <tableColumn id="1864" xr3:uid="{42FF4982-2774-493B-91F7-793D9617264F}" uniqueName="1864" name="28411" queryTableFieldId="1864"/>
    <tableColumn id="1865" xr3:uid="{8928B105-94D7-4F1E-8DC8-DB0024F421C9}" uniqueName="1865" name="28412" queryTableFieldId="1865"/>
    <tableColumn id="1866" xr3:uid="{6FBF2161-F2FD-4FFC-93A1-214307421F8D}" uniqueName="1866" name="28420" queryTableFieldId="1866"/>
    <tableColumn id="1867" xr3:uid="{1B3526A5-F518-477A-A7E3-34C3A9DA3440}" uniqueName="1867" name="28421" queryTableFieldId="1867"/>
    <tableColumn id="1868" xr3:uid="{F0DEE4F6-B3CF-490E-94C5-FD8D2521EE92}" uniqueName="1868" name="28422" queryTableFieldId="1868"/>
    <tableColumn id="1869" xr3:uid="{121A76E8-4226-4FC3-BADE-60D0E0F21974}" uniqueName="1869" name="28423" queryTableFieldId="1869"/>
    <tableColumn id="1870" xr3:uid="{FF0A10D3-6F27-4E57-8DD3-AB1C42B1F5BD}" uniqueName="1870" name="28424" queryTableFieldId="1870"/>
    <tableColumn id="1871" xr3:uid="{88B03F2B-0CFE-4180-824B-5975AC037E35}" uniqueName="1871" name="28425" queryTableFieldId="1871"/>
    <tableColumn id="1872" xr3:uid="{76495BBB-C5CC-4848-86FC-6A1F05479D18}" uniqueName="1872" name="28428" queryTableFieldId="1872"/>
    <tableColumn id="1873" xr3:uid="{3A734980-0038-4A7B-B70D-ACE2A509D0E9}" uniqueName="1873" name="28429" queryTableFieldId="1873"/>
    <tableColumn id="1874" xr3:uid="{7ABB5306-F5B6-489D-861A-C31A2A2CA885}" uniqueName="1874" name="28430" queryTableFieldId="1874"/>
    <tableColumn id="1875" xr3:uid="{4634D94B-1411-406B-804A-0E4633529ED1}" uniqueName="1875" name="28431" queryTableFieldId="1875"/>
    <tableColumn id="1876" xr3:uid="{8D2CCF23-F0BB-45C8-A607-AFC6E4C016B0}" uniqueName="1876" name="28432" queryTableFieldId="1876"/>
    <tableColumn id="1877" xr3:uid="{12E2590E-325E-4A35-98A1-16405722DC10}" uniqueName="1877" name="28433" queryTableFieldId="1877"/>
    <tableColumn id="1878" xr3:uid="{BE20CE47-63D2-4A1D-9652-E016916A410B}" uniqueName="1878" name="28434" queryTableFieldId="1878"/>
    <tableColumn id="1879" xr3:uid="{08C3C9D4-2F49-49FB-AE31-AA37C437B2CA}" uniqueName="1879" name="28435" queryTableFieldId="1879"/>
    <tableColumn id="1880" xr3:uid="{EFC501E7-E8CA-4580-9BEA-AE15440F31FC}" uniqueName="1880" name="28436" queryTableFieldId="1880"/>
    <tableColumn id="1881" xr3:uid="{E50C7B8D-27ED-4FB1-9294-7FD1A75862D0}" uniqueName="1881" name="28438" queryTableFieldId="1881"/>
    <tableColumn id="1882" xr3:uid="{D673B4D5-C198-4620-AD98-75EB982C51DC}" uniqueName="1882" name="28439" queryTableFieldId="1882"/>
    <tableColumn id="1883" xr3:uid="{24D59330-99C1-41B3-8D3E-36D451E8570C}" uniqueName="1883" name="28441" queryTableFieldId="1883"/>
    <tableColumn id="1884" xr3:uid="{F271E86D-90E6-4F92-8487-ED72B047909B}" uniqueName="1884" name="28442" queryTableFieldId="1884"/>
    <tableColumn id="1885" xr3:uid="{DE442EF9-0A3E-4939-98FF-E4244841F961}" uniqueName="1885" name="28443" queryTableFieldId="1885"/>
    <tableColumn id="1886" xr3:uid="{FA8D22EF-235C-4994-B2F2-844BBCC9B791}" uniqueName="1886" name="28444" queryTableFieldId="1886"/>
    <tableColumn id="1887" xr3:uid="{B99591C8-3C1F-4659-B0C3-0B7F2CBC5002}" uniqueName="1887" name="28445" queryTableFieldId="1887"/>
    <tableColumn id="1888" xr3:uid="{46947D44-2107-464E-ADD7-997587C6DC5A}" uniqueName="1888" name="28447" queryTableFieldId="1888"/>
    <tableColumn id="1889" xr3:uid="{0ADEC66B-C46A-44D8-A858-613DD3EE79C9}" uniqueName="1889" name="28448" queryTableFieldId="1889"/>
    <tableColumn id="1890" xr3:uid="{437BE605-D2D4-458D-AC1C-0030ECE021BC}" uniqueName="1890" name="28449" queryTableFieldId="1890"/>
    <tableColumn id="1891" xr3:uid="{FE834418-DDAE-4259-9DA5-4FA6C46B2FDE}" uniqueName="1891" name="28450" queryTableFieldId="1891"/>
    <tableColumn id="1892" xr3:uid="{2CCEA901-F8E8-412C-89DA-20B2ECB1FFD0}" uniqueName="1892" name="28451" queryTableFieldId="1892"/>
    <tableColumn id="1893" xr3:uid="{63294B08-6D6D-4A70-A403-91C0BCB646B9}" uniqueName="1893" name="28452" queryTableFieldId="1893"/>
    <tableColumn id="1894" xr3:uid="{E1A904D3-751D-4270-8DC7-66A7EB166893}" uniqueName="1894" name="28453" queryTableFieldId="1894"/>
    <tableColumn id="1895" xr3:uid="{7E258079-B611-437D-B93E-A360A58C21E5}" uniqueName="1895" name="28454" queryTableFieldId="1895"/>
    <tableColumn id="1896" xr3:uid="{9BD31814-78C0-4895-87F1-31489A688788}" uniqueName="1896" name="28455" queryTableFieldId="1896"/>
    <tableColumn id="1897" xr3:uid="{10496090-5611-4703-818F-50BFADB3ED55}" uniqueName="1897" name="28456" queryTableFieldId="1897"/>
    <tableColumn id="1898" xr3:uid="{6010DCF6-961D-4F42-A6AE-BC3160D84B89}" uniqueName="1898" name="28457" queryTableFieldId="1898"/>
    <tableColumn id="1899" xr3:uid="{ECA19A98-54FA-473B-8B25-B5C4A047F98E}" uniqueName="1899" name="28458" queryTableFieldId="1899"/>
    <tableColumn id="1900" xr3:uid="{578CC23E-5201-47B1-9ACD-30B92E7516C1}" uniqueName="1900" name="28460" queryTableFieldId="1900"/>
    <tableColumn id="1901" xr3:uid="{1A46B9DC-FCB9-4852-AB09-3E5BC6138848}" uniqueName="1901" name="28461" queryTableFieldId="1901"/>
    <tableColumn id="1902" xr3:uid="{115D0DDA-1FCB-48CE-A982-4E7FCB1EC27C}" uniqueName="1902" name="28462" queryTableFieldId="1902"/>
    <tableColumn id="1903" xr3:uid="{EEB1BA1B-61A5-4A7B-8E4B-56735045C714}" uniqueName="1903" name="28463" queryTableFieldId="1903"/>
    <tableColumn id="1904" xr3:uid="{06D3D5C8-EECA-451A-8E8A-B8F6CA8A59C8}" uniqueName="1904" name="28464" queryTableFieldId="1904"/>
    <tableColumn id="1905" xr3:uid="{B4F2ADB6-121F-4F51-9CC9-C0D8F99B21F4}" uniqueName="1905" name="28465" queryTableFieldId="1905"/>
    <tableColumn id="1906" xr3:uid="{406C21B9-0631-4F33-B329-8F0C31DF79B9}" uniqueName="1906" name="28466" queryTableFieldId="1906"/>
    <tableColumn id="1907" xr3:uid="{D392904A-639C-4BAB-9546-13B226E0BD61}" uniqueName="1907" name="28467" queryTableFieldId="1907"/>
    <tableColumn id="1908" xr3:uid="{2008FE4C-C179-45A6-8013-CD187BB6F69C}" uniqueName="1908" name="28468" queryTableFieldId="1908"/>
    <tableColumn id="1909" xr3:uid="{80E91AE8-19C9-4BEB-916D-6D0EC6098D80}" uniqueName="1909" name="28469" queryTableFieldId="1909"/>
    <tableColumn id="1910" xr3:uid="{7DDC5482-DAD1-4780-A5F0-F6CA8A3478DA}" uniqueName="1910" name="28470" queryTableFieldId="1910"/>
    <tableColumn id="1911" xr3:uid="{03E1CCA2-FF16-472E-94DE-043787D9F5B0}" uniqueName="1911" name="28472" queryTableFieldId="1911"/>
    <tableColumn id="1912" xr3:uid="{F84122D5-AA6C-4E4B-942D-8F0CF0AB6F31}" uniqueName="1912" name="28478" queryTableFieldId="1912"/>
    <tableColumn id="1913" xr3:uid="{CA23EEB2-0B8B-4A6E-A51C-36128C5C2BA6}" uniqueName="1913" name="28479" queryTableFieldId="1913"/>
    <tableColumn id="1914" xr3:uid="{05D58ED4-7D1E-4C84-BDA4-F4494222E015}" uniqueName="1914" name="28480" queryTableFieldId="1914"/>
    <tableColumn id="1915" xr3:uid="{3DDCC92F-236D-4EC6-8CA8-50E92D3FE4CA}" uniqueName="1915" name="28501" queryTableFieldId="1915"/>
    <tableColumn id="1916" xr3:uid="{498EBAD8-C052-44F8-9A08-EE07A474AA77}" uniqueName="1916" name="28504" queryTableFieldId="1916"/>
    <tableColumn id="1917" xr3:uid="{2DD024ED-B48C-4E59-803D-969E3EB5AB01}" uniqueName="1917" name="28508" queryTableFieldId="1917"/>
    <tableColumn id="1918" xr3:uid="{1BAFEEC2-F6D0-4882-BB85-29AD4B816982}" uniqueName="1918" name="28509" queryTableFieldId="1918"/>
    <tableColumn id="1919" xr3:uid="{04E334A5-2421-4B8A-A6EC-57A8F52A55D3}" uniqueName="1919" name="28510" queryTableFieldId="1919"/>
    <tableColumn id="1920" xr3:uid="{3F9F7BCD-D9DF-4261-BF26-DD9F8306C622}" uniqueName="1920" name="28511" queryTableFieldId="1920"/>
    <tableColumn id="1921" xr3:uid="{C511699B-CC25-4377-BD06-FF67DC5B1BCA}" uniqueName="1921" name="28512" queryTableFieldId="1921"/>
    <tableColumn id="1922" xr3:uid="{88CB671D-963D-4866-B030-B7687FDAA15E}" uniqueName="1922" name="28513" queryTableFieldId="1922"/>
    <tableColumn id="1923" xr3:uid="{727C1AEA-CA54-4FC7-AA4B-F62A9847ACD1}" uniqueName="1923" name="28515" queryTableFieldId="1923"/>
    <tableColumn id="1924" xr3:uid="{822D518D-EF24-400A-8652-2B7ECBA945D0}" uniqueName="1924" name="28516" queryTableFieldId="1924"/>
    <tableColumn id="1925" xr3:uid="{61D3A85B-BE7E-4E70-A1A1-E4A87A95FC75}" uniqueName="1925" name="28518" queryTableFieldId="1925"/>
    <tableColumn id="1926" xr3:uid="{096521D7-3660-402F-87E6-223E0BD9A15F}" uniqueName="1926" name="28519" queryTableFieldId="1926"/>
    <tableColumn id="1927" xr3:uid="{CEF3CE08-2FFB-40E4-B1F4-47FE0CB9EE70}" uniqueName="1927" name="28520" queryTableFieldId="1927"/>
    <tableColumn id="1928" xr3:uid="{FABB2C73-17A9-4DA0-BA09-815634179B6D}" uniqueName="1928" name="28521" queryTableFieldId="1928"/>
    <tableColumn id="1929" xr3:uid="{51F749E9-424B-4CF6-BE8E-C36B2C85ED80}" uniqueName="1929" name="28523" queryTableFieldId="1929"/>
    <tableColumn id="1930" xr3:uid="{3B9FEDDF-ACBA-4BC5-8BF9-D7D762B050ED}" uniqueName="1930" name="28524" queryTableFieldId="1930"/>
    <tableColumn id="1931" xr3:uid="{FD6B04C4-8E5F-4DF1-8841-62AEE6E431D3}" uniqueName="1931" name="28525" queryTableFieldId="1931"/>
    <tableColumn id="1932" xr3:uid="{1A8D97BC-F284-4472-ADDD-78E16D46AFB6}" uniqueName="1932" name="28526" queryTableFieldId="1932"/>
    <tableColumn id="1933" xr3:uid="{91E12021-32C1-442F-AFD2-1101091577BF}" uniqueName="1933" name="28527" queryTableFieldId="1933"/>
    <tableColumn id="1934" xr3:uid="{8C820EC0-6250-48EC-95AE-D6ADA37FDB41}" uniqueName="1934" name="28528" queryTableFieldId="1934"/>
    <tableColumn id="1935" xr3:uid="{AA08CAC1-D088-4477-BDE0-C4BFCBCD38B5}" uniqueName="1935" name="28529" queryTableFieldId="1935"/>
    <tableColumn id="1936" xr3:uid="{9698360D-10F8-41A6-B39F-216F1FB0D1AE}" uniqueName="1936" name="28530" queryTableFieldId="1936"/>
    <tableColumn id="1937" xr3:uid="{8C180812-74C3-4DDC-9743-ED11FCCB5481}" uniqueName="1937" name="28531" queryTableFieldId="1937"/>
    <tableColumn id="1938" xr3:uid="{02E13F57-19D0-457D-A3B9-041FFCFA29A5}" uniqueName="1938" name="28532" queryTableFieldId="1938"/>
    <tableColumn id="1939" xr3:uid="{ECA8B012-4743-47FB-85AC-5D5039639A64}" uniqueName="1939" name="28533" queryTableFieldId="1939"/>
    <tableColumn id="1940" xr3:uid="{D1035990-77FE-4721-897C-AE8FBA9C8D74}" uniqueName="1940" name="28537" queryTableFieldId="1940"/>
    <tableColumn id="1941" xr3:uid="{622833C6-B0CF-4C8B-8580-38BB3F885671}" uniqueName="1941" name="28538" queryTableFieldId="1941"/>
    <tableColumn id="1942" xr3:uid="{3267779F-C025-4533-9733-7367EB544393}" uniqueName="1942" name="28539" queryTableFieldId="1942"/>
    <tableColumn id="1943" xr3:uid="{99C0A47E-B370-4FDB-90EA-CE85AA036BDD}" uniqueName="1943" name="28540" queryTableFieldId="1943"/>
    <tableColumn id="1944" xr3:uid="{8ED9AB41-C9BC-460C-AD38-938590660DFA}" uniqueName="1944" name="28542" queryTableFieldId="1944"/>
    <tableColumn id="1945" xr3:uid="{2EE17C79-6249-423D-AE8F-A4859AD6B18D}" uniqueName="1945" name="28543" queryTableFieldId="1945"/>
    <tableColumn id="1946" xr3:uid="{D17645D8-4D6B-4834-A2F5-EF828DDD50EC}" uniqueName="1946" name="28544" queryTableFieldId="1946"/>
    <tableColumn id="1947" xr3:uid="{98D666D8-F7A2-4AF8-B2EB-CBC71CC28B59}" uniqueName="1947" name="28546" queryTableFieldId="1947"/>
    <tableColumn id="1948" xr3:uid="{7A950404-2456-4B58-A1A9-DC58EF27A0C0}" uniqueName="1948" name="28547" queryTableFieldId="1948"/>
    <tableColumn id="1949" xr3:uid="{F0581FD8-6793-4A6A-BE96-DF14183AE380}" uniqueName="1949" name="28551" queryTableFieldId="1949"/>
    <tableColumn id="1950" xr3:uid="{FEE3535E-3400-4F96-9AEB-0B77CAEB0DA7}" uniqueName="1950" name="28552" queryTableFieldId="1950"/>
    <tableColumn id="1951" xr3:uid="{E30478F6-197A-44F0-B54E-746373B6EE04}" uniqueName="1951" name="28553" queryTableFieldId="1951"/>
    <tableColumn id="1952" xr3:uid="{685D7EA3-E75A-4FDE-8DA4-27468DE6E217}" uniqueName="1952" name="28554" queryTableFieldId="1952"/>
    <tableColumn id="1953" xr3:uid="{8BBC9EF2-30E6-4EA4-A25C-614006733598}" uniqueName="1953" name="28555" queryTableFieldId="1953"/>
    <tableColumn id="1954" xr3:uid="{1FFE555B-654D-4192-AF89-81E2239AF6D5}" uniqueName="1954" name="28556" queryTableFieldId="1954"/>
    <tableColumn id="1955" xr3:uid="{45A832BB-663F-4F4E-9DE4-0043E69A49EF}" uniqueName="1955" name="28557" queryTableFieldId="1955"/>
    <tableColumn id="1956" xr3:uid="{D22E1B60-C59B-4407-9F16-899BF12BCC57}" uniqueName="1956" name="28560" queryTableFieldId="1956"/>
    <tableColumn id="1957" xr3:uid="{935BCBA4-0B6F-420A-B882-58CCE4A8B4C3}" uniqueName="1957" name="28562" queryTableFieldId="1957"/>
    <tableColumn id="1958" xr3:uid="{839A100E-CA8E-4044-B579-3F352F5E7A6E}" uniqueName="1958" name="28570" queryTableFieldId="1958"/>
    <tableColumn id="1959" xr3:uid="{82FB46E3-AFAA-482F-A3C3-62565045368B}" uniqueName="1959" name="28571" queryTableFieldId="1959"/>
    <tableColumn id="1960" xr3:uid="{7ABC0EBF-8992-4C9B-994E-AF95AD1CE723}" uniqueName="1960" name="28572" queryTableFieldId="1960"/>
    <tableColumn id="1961" xr3:uid="{6F7BDEF5-6920-4B61-ABCF-8AFC3C7E0CD2}" uniqueName="1961" name="28573" queryTableFieldId="1961"/>
    <tableColumn id="1962" xr3:uid="{773A27B9-AD81-486F-AE4D-8C0137600B97}" uniqueName="1962" name="28574" queryTableFieldId="1962"/>
    <tableColumn id="1963" xr3:uid="{5567522F-E49E-45B9-AF35-A7B5D51ACD9D}" uniqueName="1963" name="28575" queryTableFieldId="1963"/>
    <tableColumn id="1964" xr3:uid="{373E903E-8BD2-45B2-88B4-8C5117BA2F23}" uniqueName="1964" name="28577" queryTableFieldId="1964"/>
    <tableColumn id="1965" xr3:uid="{C9F65541-2F58-4EE6-898E-AD5712330226}" uniqueName="1965" name="28578" queryTableFieldId="1965"/>
    <tableColumn id="1966" xr3:uid="{140F49F9-717F-4C3B-A9E9-34D9510978E7}" uniqueName="1966" name="28579" queryTableFieldId="1966"/>
    <tableColumn id="1967" xr3:uid="{6BE98952-FE34-4A05-8001-C2A0A08C0FBD}" uniqueName="1967" name="28580" queryTableFieldId="1967"/>
    <tableColumn id="1968" xr3:uid="{7FD31306-A33C-40C1-9173-93BE14C915DC}" uniqueName="1968" name="28581" queryTableFieldId="1968"/>
    <tableColumn id="1969" xr3:uid="{508E65DA-34D5-4883-8022-03B62829AC2F}" uniqueName="1969" name="28582" queryTableFieldId="1969"/>
    <tableColumn id="1970" xr3:uid="{1D7E2939-9CA8-4286-81DD-E89967E3C872}" uniqueName="1970" name="28584" queryTableFieldId="1970"/>
    <tableColumn id="1971" xr3:uid="{8E2F7DB5-C16E-4F8B-9732-11B77EA7733B}" uniqueName="1971" name="28585" queryTableFieldId="1971"/>
    <tableColumn id="1972" xr3:uid="{5A4B5652-22BE-483F-A520-B2A1916E9BDA}" uniqueName="1972" name="28586" queryTableFieldId="1972"/>
    <tableColumn id="1973" xr3:uid="{315C3F0D-04C5-49E9-AC94-018418436277}" uniqueName="1973" name="28587" queryTableFieldId="1973"/>
    <tableColumn id="1974" xr3:uid="{D7F0863A-8593-4E8D-8956-21AC5E8336F0}" uniqueName="1974" name="28589" queryTableFieldId="1974"/>
    <tableColumn id="1975" xr3:uid="{F52E8EB0-5C6F-4491-B50C-AD71AED4F7CB}" uniqueName="1975" name="28590" queryTableFieldId="1975"/>
    <tableColumn id="1976" xr3:uid="{76B8C266-BC73-487B-A033-FB7C426FB05A}" uniqueName="1976" name="28594" queryTableFieldId="1976"/>
    <tableColumn id="1977" xr3:uid="{1D179FD7-7B4D-4847-9D39-83449443E897}" uniqueName="1977" name="28601" queryTableFieldId="1977"/>
    <tableColumn id="1978" xr3:uid="{8C9571DC-C8D4-47F7-96B3-460BE1C1B003}" uniqueName="1978" name="28602" queryTableFieldId="1978"/>
    <tableColumn id="1979" xr3:uid="{BF4FAF6E-3675-4414-AB3F-0942480DBF65}" uniqueName="1979" name="28604" queryTableFieldId="1979"/>
    <tableColumn id="1980" xr3:uid="{9030EBEC-969C-4016-AC33-2B7E71051318}" uniqueName="1980" name="28605" queryTableFieldId="1980"/>
    <tableColumn id="1981" xr3:uid="{132D130E-F286-4B7A-BAD4-D768EC1BCD95}" uniqueName="1981" name="28606" queryTableFieldId="1981"/>
    <tableColumn id="1982" xr3:uid="{ADF8F1EF-13CB-4CDD-89C9-2BB086198CEF}" uniqueName="1982" name="28607" queryTableFieldId="1982"/>
    <tableColumn id="1983" xr3:uid="{70910C49-4112-4733-A187-32B938C8FE3C}" uniqueName="1983" name="28609" queryTableFieldId="1983"/>
    <tableColumn id="1984" xr3:uid="{122BF1B2-7DC3-47FB-ABB2-BDD877D4776D}" uniqueName="1984" name="28610" queryTableFieldId="1984"/>
    <tableColumn id="1985" xr3:uid="{CD054173-FCCB-4E65-9CDF-86DE520157D6}" uniqueName="1985" name="28611" queryTableFieldId="1985"/>
    <tableColumn id="1986" xr3:uid="{1A5071B9-3AE9-49F3-81A6-C44F346A2F38}" uniqueName="1986" name="28612" queryTableFieldId="1986"/>
    <tableColumn id="1987" xr3:uid="{7B03096E-3F45-4958-97AD-D54B8A2636C0}" uniqueName="1987" name="28613" queryTableFieldId="1987"/>
    <tableColumn id="1988" xr3:uid="{C477AAA5-3F38-4171-B817-497E70775580}" uniqueName="1988" name="28615" queryTableFieldId="1988"/>
    <tableColumn id="1989" xr3:uid="{4250DED2-F8F2-4259-A674-CA63F7FEC80F}" uniqueName="1989" name="28616" queryTableFieldId="1989"/>
    <tableColumn id="1990" xr3:uid="{1D7122B7-B512-4EEA-9262-D8A853728119}" uniqueName="1990" name="28617" queryTableFieldId="1990"/>
    <tableColumn id="1991" xr3:uid="{A234F48C-0294-43B3-A48D-0D87024553A7}" uniqueName="1991" name="28618" queryTableFieldId="1991"/>
    <tableColumn id="1992" xr3:uid="{B16CE023-BEE6-44B1-A184-81EDABAB47FD}" uniqueName="1992" name="28619" queryTableFieldId="1992"/>
    <tableColumn id="1993" xr3:uid="{94B1D2B9-2268-4DC3-9B40-53E127D1EF15}" uniqueName="1993" name="28621" queryTableFieldId="1993"/>
    <tableColumn id="1994" xr3:uid="{E7021C5E-2A1A-41A6-ADCA-0125919673EC}" uniqueName="1994" name="28622" queryTableFieldId="1994"/>
    <tableColumn id="1995" xr3:uid="{CF6198CE-196F-446F-87D6-5C651914DFF0}" uniqueName="1995" name="28623" queryTableFieldId="1995"/>
    <tableColumn id="1996" xr3:uid="{FC65553F-2BEE-4210-9D02-72027A760509}" uniqueName="1996" name="28624" queryTableFieldId="1996"/>
    <tableColumn id="1997" xr3:uid="{18B32C62-096B-45D2-9982-A6174B529153}" uniqueName="1997" name="28625" queryTableFieldId="1997"/>
    <tableColumn id="1998" xr3:uid="{6D0F5B5C-6E52-44D8-AF88-D8E7DAB7A822}" uniqueName="1998" name="28626" queryTableFieldId="1998"/>
    <tableColumn id="1999" xr3:uid="{62E97878-AD2A-461C-851B-35ECB424A73F}" uniqueName="1999" name="28627" queryTableFieldId="1999"/>
    <tableColumn id="2000" xr3:uid="{983AC783-BEB7-4A23-A56D-A0A9236C555C}" uniqueName="2000" name="28628" queryTableFieldId="2000"/>
    <tableColumn id="2001" xr3:uid="{AF5CDB42-D260-4827-B156-8F05AFC9DF6D}" uniqueName="2001" name="28629" queryTableFieldId="2001"/>
    <tableColumn id="2002" xr3:uid="{D24B008C-1412-4172-B199-D391FB550DF0}" uniqueName="2002" name="28630" queryTableFieldId="2002"/>
    <tableColumn id="2003" xr3:uid="{7422FFA3-7610-4A43-8E6E-6CEED0A5BEFF}" uniqueName="2003" name="28631" queryTableFieldId="2003"/>
    <tableColumn id="2004" xr3:uid="{EE65791F-22AB-45C5-A3CE-A92CE7228567}" uniqueName="2004" name="28634" queryTableFieldId="2004"/>
    <tableColumn id="2005" xr3:uid="{7732AFBE-133C-489A-AC0E-26F716C0BF69}" uniqueName="2005" name="28635" queryTableFieldId="2005"/>
    <tableColumn id="2006" xr3:uid="{8F0B0672-5BFE-4740-8322-1307D3E18433}" uniqueName="2006" name="28636" queryTableFieldId="2006"/>
    <tableColumn id="2007" xr3:uid="{02E3568A-9D4D-4BE5-ADB8-A2F3831E5FBE}" uniqueName="2007" name="28637" queryTableFieldId="2007"/>
    <tableColumn id="2008" xr3:uid="{B01406AC-A52B-4EEC-9795-BD8EF5DDDDED}" uniqueName="2008" name="28638" queryTableFieldId="2008"/>
    <tableColumn id="2009" xr3:uid="{CFBF2B53-9BB2-40EB-AEB1-062714781F5B}" uniqueName="2009" name="28640" queryTableFieldId="2009"/>
    <tableColumn id="2010" xr3:uid="{45AAF734-57A8-4779-9D6C-BEA35D7F3159}" uniqueName="2010" name="28641" queryTableFieldId="2010"/>
    <tableColumn id="2011" xr3:uid="{D43D1B88-8B36-4EB6-BF09-45A742EA650D}" uniqueName="2011" name="28642" queryTableFieldId="2011"/>
    <tableColumn id="2012" xr3:uid="{7685A566-2EB0-41A8-B08E-647A2C7C52B3}" uniqueName="2012" name="28643" queryTableFieldId="2012"/>
    <tableColumn id="2013" xr3:uid="{B2B20761-EA5A-4186-B55D-4449EFA727E6}" uniqueName="2013" name="28644" queryTableFieldId="2013"/>
    <tableColumn id="2014" xr3:uid="{E552C323-8C10-4873-8C5D-EA40F1A124D8}" uniqueName="2014" name="28645" queryTableFieldId="2014"/>
    <tableColumn id="2015" xr3:uid="{E7B90D28-CFB8-4D1C-8EE7-BF050C0B209C}" uniqueName="2015" name="28646" queryTableFieldId="2015"/>
    <tableColumn id="2016" xr3:uid="{63A9F5A3-1E25-485D-9833-B36788FD5290}" uniqueName="2016" name="28649" queryTableFieldId="2016"/>
    <tableColumn id="2017" xr3:uid="{EAC6CD5E-A629-4835-A05C-3D8A3932BE38}" uniqueName="2017" name="28650" queryTableFieldId="2017"/>
    <tableColumn id="2018" xr3:uid="{8832C0E5-26E1-4D26-901B-9EF40415F566}" uniqueName="2018" name="28651" queryTableFieldId="2018"/>
    <tableColumn id="2019" xr3:uid="{1838A494-4D01-4619-BBC0-8E8B8C8A5B17}" uniqueName="2019" name="28652" queryTableFieldId="2019"/>
    <tableColumn id="2020" xr3:uid="{2B37B216-9248-4B74-BF9A-833AF59B731E}" uniqueName="2020" name="28653" queryTableFieldId="2020"/>
    <tableColumn id="2021" xr3:uid="{35B574F5-2602-4FB6-9437-B8A1B590D7B6}" uniqueName="2021" name="28654" queryTableFieldId="2021"/>
    <tableColumn id="2022" xr3:uid="{63ED7FB8-8C92-4486-9813-D77B6D2B285E}" uniqueName="2022" name="28655" queryTableFieldId="2022"/>
    <tableColumn id="2023" xr3:uid="{3E120EA1-98DA-4556-A566-C92D239D77D5}" uniqueName="2023" name="28657" queryTableFieldId="2023"/>
    <tableColumn id="2024" xr3:uid="{AA642A39-179D-482A-B6E2-0CA5D52F5925}" uniqueName="2024" name="28658" queryTableFieldId="2024"/>
    <tableColumn id="2025" xr3:uid="{9C96B85C-ACA5-4067-BB2D-128304C48C1E}" uniqueName="2025" name="28659" queryTableFieldId="2025"/>
    <tableColumn id="2026" xr3:uid="{9DAF3FF0-D633-413F-B60E-9AA6F611CCC9}" uniqueName="2026" name="28660" queryTableFieldId="2026"/>
    <tableColumn id="2027" xr3:uid="{C38DCF0F-9FC6-47BF-8838-E00629CC85CE}" uniqueName="2027" name="28662" queryTableFieldId="2027"/>
    <tableColumn id="2028" xr3:uid="{183854E8-8501-4CF0-9F4E-B2CA2138A8E4}" uniqueName="2028" name="28663" queryTableFieldId="2028"/>
    <tableColumn id="2029" xr3:uid="{378F64E3-D421-4D07-B3E2-02CE5A743CA9}" uniqueName="2029" name="28664" queryTableFieldId="2029"/>
    <tableColumn id="2030" xr3:uid="{B650A890-CFD9-4E44-8360-0002D5F93E99}" uniqueName="2030" name="28665" queryTableFieldId="2030"/>
    <tableColumn id="2031" xr3:uid="{48BAE623-F4EF-4527-AD0A-D845806E2F40}" uniqueName="2031" name="28666" queryTableFieldId="2031"/>
    <tableColumn id="2032" xr3:uid="{A0146B1E-B3DD-4DED-BCC7-6DB8C7A9AC09}" uniqueName="2032" name="28667" queryTableFieldId="2032"/>
    <tableColumn id="2033" xr3:uid="{4DBDDB9A-FA98-4C1F-B998-B3DAD85AB2AF}" uniqueName="2033" name="28668" queryTableFieldId="2033"/>
    <tableColumn id="2034" xr3:uid="{E9C3328A-CF0F-4E41-B4AE-6EBE1916DB47}" uniqueName="2034" name="28669" queryTableFieldId="2034"/>
    <tableColumn id="2035" xr3:uid="{71B7799F-4AEE-404C-ADA1-CB890A27E5AC}" uniqueName="2035" name="28670" queryTableFieldId="2035"/>
    <tableColumn id="2036" xr3:uid="{AB015D0D-0F38-406B-8851-0E129F5628E2}" uniqueName="2036" name="28671" queryTableFieldId="2036"/>
    <tableColumn id="2037" xr3:uid="{70A3D9FA-6F41-4F11-A08D-47B0C21BD809}" uniqueName="2037" name="28672" queryTableFieldId="2037"/>
    <tableColumn id="2038" xr3:uid="{DD2578C8-FCA0-487C-972F-7D64F5D1E0E7}" uniqueName="2038" name="28673" queryTableFieldId="2038"/>
    <tableColumn id="2039" xr3:uid="{C7566753-E3B3-4447-BF9D-FA51CD11D051}" uniqueName="2039" name="28675" queryTableFieldId="2039"/>
    <tableColumn id="2040" xr3:uid="{1AD17C1C-B850-40DD-B48F-EE19A71C07C5}" uniqueName="2040" name="28676" queryTableFieldId="2040"/>
    <tableColumn id="2041" xr3:uid="{54A1749F-6513-4281-A69A-9C43C5A2F555}" uniqueName="2041" name="28677" queryTableFieldId="2041"/>
    <tableColumn id="2042" xr3:uid="{37F416A9-1FA6-4E18-A6AD-31CB0AB6AE92}" uniqueName="2042" name="28678" queryTableFieldId="2042"/>
    <tableColumn id="2043" xr3:uid="{99574CD0-81D8-4F03-B4B7-434D9BB581DC}" uniqueName="2043" name="28679" queryTableFieldId="2043"/>
    <tableColumn id="2044" xr3:uid="{35AECC66-9640-47CD-A6C6-7CF32FB83DB4}" uniqueName="2044" name="28681" queryTableFieldId="2044"/>
    <tableColumn id="2045" xr3:uid="{80C1A947-3556-4E08-9A1B-957C07E8AFFC}" uniqueName="2045" name="28682" queryTableFieldId="2045"/>
    <tableColumn id="2046" xr3:uid="{06DD6D80-E359-41E6-9B26-AD7067CC55AE}" uniqueName="2046" name="28683" queryTableFieldId="2046"/>
    <tableColumn id="2047" xr3:uid="{087F5C52-91C1-4124-A4F7-EA0023E4E1D6}" uniqueName="2047" name="28684" queryTableFieldId="2047"/>
    <tableColumn id="2048" xr3:uid="{6D8F989F-E15E-4870-A260-BF47CBB3F13D}" uniqueName="2048" name="28685" queryTableFieldId="2048"/>
    <tableColumn id="2049" xr3:uid="{39A9CBF5-8E95-4636-A331-0DF77F215EBA}" uniqueName="2049" name="28689" queryTableFieldId="2049"/>
    <tableColumn id="2050" xr3:uid="{4B106131-6FDC-431C-9B36-C22278625F74}" uniqueName="2050" name="28690" queryTableFieldId="2050"/>
    <tableColumn id="2051" xr3:uid="{5EABD858-3DE6-4488-A5A8-312B04ADC4FF}" uniqueName="2051" name="28692" queryTableFieldId="2051"/>
    <tableColumn id="2052" xr3:uid="{1BAE4124-262E-4251-A34B-F4AD2914DAF4}" uniqueName="2052" name="28693" queryTableFieldId="2052"/>
    <tableColumn id="2053" xr3:uid="{9FF62E87-0519-4A13-A96E-C694AA21BB10}" uniqueName="2053" name="28694" queryTableFieldId="2053"/>
    <tableColumn id="2054" xr3:uid="{C9D818F9-AB28-4539-8301-13666537A225}" uniqueName="2054" name="28697" queryTableFieldId="2054"/>
    <tableColumn id="2055" xr3:uid="{579ADAEF-B524-4E90-9C78-8AE978FDBA53}" uniqueName="2055" name="28698" queryTableFieldId="2055"/>
    <tableColumn id="2056" xr3:uid="{948FFEB1-FD65-4872-A0E0-DC06662D1A43}" uniqueName="2056" name="28701" queryTableFieldId="2056"/>
    <tableColumn id="2057" xr3:uid="{B8DC76A0-4F00-4934-85A3-8DE4534F15B1}" uniqueName="2057" name="28702" queryTableFieldId="2057"/>
    <tableColumn id="2058" xr3:uid="{4EDE045E-8470-4D53-8B0D-73F415670CEB}" uniqueName="2058" name="28704" queryTableFieldId="2058"/>
    <tableColumn id="2059" xr3:uid="{BD21A027-A6DE-4C91-B014-1AEC3ADD55A7}" uniqueName="2059" name="28705" queryTableFieldId="2059"/>
    <tableColumn id="2060" xr3:uid="{703F3002-593B-4E9E-B71A-C68CC52A19F6}" uniqueName="2060" name="28707" queryTableFieldId="2060"/>
    <tableColumn id="2061" xr3:uid="{7585F5AD-C5FD-4FCD-AF16-0C48D10CD05F}" uniqueName="2061" name="28708" queryTableFieldId="2061"/>
    <tableColumn id="2062" xr3:uid="{84F99742-CB76-4036-9617-E625E6D28782}" uniqueName="2062" name="28709" queryTableFieldId="2062"/>
    <tableColumn id="2063" xr3:uid="{54055D73-1D8F-4989-A6B9-4FEAA858D628}" uniqueName="2063" name="28710" queryTableFieldId="2063"/>
    <tableColumn id="2064" xr3:uid="{F8BE8AA3-F54F-48A0-8CE5-C5E3332A1DBE}" uniqueName="2064" name="28711" queryTableFieldId="2064"/>
    <tableColumn id="2065" xr3:uid="{A0441489-1641-4800-AEAD-8FFA2083298A}" uniqueName="2065" name="28712" queryTableFieldId="2065"/>
    <tableColumn id="2066" xr3:uid="{76E61E8F-CE5B-49D6-B670-FA84CE8D8F3D}" uniqueName="2066" name="28713" queryTableFieldId="2066"/>
    <tableColumn id="2067" xr3:uid="{DCA4F423-6610-4954-873D-B16976345A16}" uniqueName="2067" name="28714" queryTableFieldId="2067"/>
    <tableColumn id="2068" xr3:uid="{847923FE-7DBA-485B-9B3D-1AA0A5EB4B87}" uniqueName="2068" name="28715" queryTableFieldId="2068"/>
    <tableColumn id="2069" xr3:uid="{6486B844-F612-4C22-914F-773387E6B3F1}" uniqueName="2069" name="28716" queryTableFieldId="2069"/>
    <tableColumn id="2070" xr3:uid="{EE3E47FD-A059-431D-8B33-A96DBF79019D}" uniqueName="2070" name="28717" queryTableFieldId="2070"/>
    <tableColumn id="2071" xr3:uid="{693C77C0-AC69-4756-AAB9-A123A59DADA6}" uniqueName="2071" name="28718" queryTableFieldId="2071"/>
    <tableColumn id="2072" xr3:uid="{868B2E7B-B0EA-4198-936B-C327C6381DF7}" uniqueName="2072" name="28719" queryTableFieldId="2072"/>
    <tableColumn id="2073" xr3:uid="{A33CA88C-527D-4FEB-8B96-A11227113834}" uniqueName="2073" name="28720" queryTableFieldId="2073"/>
    <tableColumn id="2074" xr3:uid="{4A5C14C6-A02C-403E-A288-8D9E49ACDE81}" uniqueName="2074" name="28721" queryTableFieldId="2074"/>
    <tableColumn id="2075" xr3:uid="{130FE4AA-6B76-4F0F-A9D2-496535B8B88D}" uniqueName="2075" name="28722" queryTableFieldId="2075"/>
    <tableColumn id="2076" xr3:uid="{A2BB6020-5D7E-4B31-8C50-6108FE68EFBB}" uniqueName="2076" name="28723" queryTableFieldId="2076"/>
    <tableColumn id="2077" xr3:uid="{A78082B0-CA12-4668-920F-310BA6A4AEB6}" uniqueName="2077" name="28725" queryTableFieldId="2077"/>
    <tableColumn id="2078" xr3:uid="{40ABF933-746B-4AAB-8CA3-0B9C05D4F28F}" uniqueName="2078" name="28726" queryTableFieldId="2078"/>
    <tableColumn id="2079" xr3:uid="{91ABD2E9-BD24-483B-A340-B90823CB3089}" uniqueName="2079" name="28729" queryTableFieldId="2079"/>
    <tableColumn id="2080" xr3:uid="{4AD44BEC-06B2-44F3-8D71-1694C8C65F73}" uniqueName="2080" name="28730" queryTableFieldId="2080"/>
    <tableColumn id="2081" xr3:uid="{30B37757-1733-48B4-A01C-55E1DED4BCE5}" uniqueName="2081" name="28731" queryTableFieldId="2081"/>
    <tableColumn id="2082" xr3:uid="{55D04DCF-42DD-425A-A71C-94DBE58BB645}" uniqueName="2082" name="28732" queryTableFieldId="2082"/>
    <tableColumn id="2083" xr3:uid="{6CD4E3E4-F3CE-4163-8BE3-2AB953CD2F80}" uniqueName="2083" name="28733" queryTableFieldId="2083"/>
    <tableColumn id="2084" xr3:uid="{57DE1848-E8C9-4F40-AB89-2A442FA5D06D}" uniqueName="2084" name="28734" queryTableFieldId="2084"/>
    <tableColumn id="2085" xr3:uid="{A8A8ABCE-5486-4C54-903C-CA3B2751AA7F}" uniqueName="2085" name="28735" queryTableFieldId="2085"/>
    <tableColumn id="2086" xr3:uid="{2497D7F9-9ABF-45B1-8287-876D006D6444}" uniqueName="2086" name="28736" queryTableFieldId="2086"/>
    <tableColumn id="2087" xr3:uid="{D403B2BE-7007-45C7-A112-767D2BAAEC87}" uniqueName="2087" name="28739" queryTableFieldId="2087"/>
    <tableColumn id="2088" xr3:uid="{2EFD0EEC-1A8B-4C72-85A0-8DD5A9571473}" uniqueName="2088" name="28740" queryTableFieldId="2088"/>
    <tableColumn id="2089" xr3:uid="{D6BE7ECF-FB71-4CA8-9B09-4C861E0CF468}" uniqueName="2089" name="28741" queryTableFieldId="2089"/>
    <tableColumn id="2090" xr3:uid="{2D6796B6-56EB-4404-BA88-F3D0301C30B5}" uniqueName="2090" name="28742" queryTableFieldId="2090"/>
    <tableColumn id="2091" xr3:uid="{F6FB8B18-255C-4EBF-BF5A-72B99A625465}" uniqueName="2091" name="28743" queryTableFieldId="2091"/>
    <tableColumn id="2092" xr3:uid="{0AA6B882-1732-4A1E-8144-A29DEF2CE194}" uniqueName="2092" name="28745" queryTableFieldId="2092"/>
    <tableColumn id="2093" xr3:uid="{BC3533F5-0CBB-475B-A446-7C95C0CD78FA}" uniqueName="2093" name="28746" queryTableFieldId="2093"/>
    <tableColumn id="2094" xr3:uid="{7E036F89-9F71-4082-AFD7-2C1D0DD0971D}" uniqueName="2094" name="28747" queryTableFieldId="2094"/>
    <tableColumn id="2095" xr3:uid="{C2443CFB-DA3E-404B-938C-964006817A45}" uniqueName="2095" name="28748" queryTableFieldId="2095"/>
    <tableColumn id="2096" xr3:uid="{BCA792E3-8AB2-4997-9CFD-F49A0D37FC2A}" uniqueName="2096" name="28749" queryTableFieldId="2096"/>
    <tableColumn id="2097" xr3:uid="{74EB0C1F-D74D-495A-A687-7F83B3A858D2}" uniqueName="2097" name="28751" queryTableFieldId="2097"/>
    <tableColumn id="2098" xr3:uid="{AD9128AE-0D00-458F-8FDE-A665F56C8EDF}" uniqueName="2098" name="28752" queryTableFieldId="2098"/>
    <tableColumn id="2099" xr3:uid="{64C9D81A-9845-4088-9055-71105B825ED4}" uniqueName="2099" name="28753" queryTableFieldId="2099"/>
    <tableColumn id="2100" xr3:uid="{B2D0E985-F88A-4DCD-8431-11C5B706D858}" uniqueName="2100" name="28754" queryTableFieldId="2100"/>
    <tableColumn id="2101" xr3:uid="{65E1AFD8-5ED6-4F84-ADA4-89DE33DF1E63}" uniqueName="2101" name="28755" queryTableFieldId="2101"/>
    <tableColumn id="2102" xr3:uid="{3BD0DA6E-D9B4-434D-9D4B-ABE9AE89741B}" uniqueName="2102" name="28756" queryTableFieldId="2102"/>
    <tableColumn id="2103" xr3:uid="{92C561A0-2790-4244-A86F-D0963EEDDB55}" uniqueName="2103" name="28757" queryTableFieldId="2103"/>
    <tableColumn id="2104" xr3:uid="{8A3D84D1-C840-48E8-BD92-86DC047FA2CF}" uniqueName="2104" name="28758" queryTableFieldId="2104"/>
    <tableColumn id="2105" xr3:uid="{64D0F895-2F23-4C4F-8E01-FBC73EC51C42}" uniqueName="2105" name="28759" queryTableFieldId="2105"/>
    <tableColumn id="2106" xr3:uid="{58DD1E2A-4BB7-42B5-B2B3-4C07E7837600}" uniqueName="2106" name="28761" queryTableFieldId="2106"/>
    <tableColumn id="2107" xr3:uid="{E10AF4E1-95AE-419E-B000-5E508CC9709C}" uniqueName="2107" name="28762" queryTableFieldId="2107"/>
    <tableColumn id="2108" xr3:uid="{3C252C9E-6065-4EBB-8C41-4603247A3AC6}" uniqueName="2108" name="28763" queryTableFieldId="2108"/>
    <tableColumn id="2109" xr3:uid="{05DFC527-64C9-4FBE-A65D-D1048C4E20D4}" uniqueName="2109" name="28766" queryTableFieldId="2109"/>
    <tableColumn id="2110" xr3:uid="{2072FF79-283C-4C97-AB28-DF3702A2D62D}" uniqueName="2110" name="28768" queryTableFieldId="2110"/>
    <tableColumn id="2111" xr3:uid="{4D8BB6B4-DBCE-4E4A-81CD-CCCD09924BFD}" uniqueName="2111" name="28770" queryTableFieldId="2111"/>
    <tableColumn id="2112" xr3:uid="{C571C1D0-4DC3-4AF8-9CFE-53CEFB47A64F}" uniqueName="2112" name="28771" queryTableFieldId="2112"/>
    <tableColumn id="2113" xr3:uid="{7F9E0FA9-5C47-47BE-B8FC-F0AA0EC652B8}" uniqueName="2113" name="28772" queryTableFieldId="2113"/>
    <tableColumn id="2114" xr3:uid="{501BD961-59B0-4E46-BB7E-EDC942D0A042}" uniqueName="2114" name="28773" queryTableFieldId="2114"/>
    <tableColumn id="2115" xr3:uid="{6A266138-13C4-4229-9444-C55B6F6F855A}" uniqueName="2115" name="28774" queryTableFieldId="2115"/>
    <tableColumn id="2116" xr3:uid="{10AA02C2-B72B-49D9-874B-9D8021EBA1DB}" uniqueName="2116" name="28775" queryTableFieldId="2116"/>
    <tableColumn id="2117" xr3:uid="{11371D2A-4191-4478-A62E-8E34B338DFDC}" uniqueName="2117" name="28777" queryTableFieldId="2117"/>
    <tableColumn id="2118" xr3:uid="{39FDBBF3-7391-45CC-B745-DE5C6D97429B}" uniqueName="2118" name="28778" queryTableFieldId="2118"/>
    <tableColumn id="2119" xr3:uid="{2D1EA378-E589-470D-9E9B-E7ECB091FD1A}" uniqueName="2119" name="28779" queryTableFieldId="2119"/>
    <tableColumn id="2120" xr3:uid="{827A9072-7857-4F1F-80D3-4F55D11D9D8A}" uniqueName="2120" name="28781" queryTableFieldId="2120"/>
    <tableColumn id="2121" xr3:uid="{65DB8F46-702D-4A8C-88BF-EE6F5D6CD942}" uniqueName="2121" name="28782" queryTableFieldId="2121"/>
    <tableColumn id="2122" xr3:uid="{69B8974D-7CC6-45C2-81D3-F8A66F6D7283}" uniqueName="2122" name="28783" queryTableFieldId="2122"/>
    <tableColumn id="2123" xr3:uid="{DC3B5687-11C2-4552-A83C-36B4BFB2A835}" uniqueName="2123" name="28785" queryTableFieldId="2123"/>
    <tableColumn id="2124" xr3:uid="{A57D9B7F-454C-42F4-8AF8-BB805B1FE191}" uniqueName="2124" name="28786" queryTableFieldId="2124"/>
    <tableColumn id="2125" xr3:uid="{4AA1013F-75E3-49BD-9BA4-D6DF6576784E}" uniqueName="2125" name="28787" queryTableFieldId="2125"/>
    <tableColumn id="2126" xr3:uid="{7A488235-14EC-4D55-8EB6-76F81E143573}" uniqueName="2126" name="28788" queryTableFieldId="2126"/>
    <tableColumn id="2127" xr3:uid="{1C7A8BD7-FF02-47E6-A557-2AEC55E5B1CB}" uniqueName="2127" name="28789" queryTableFieldId="2127"/>
    <tableColumn id="2128" xr3:uid="{A7186FB4-F73A-40DB-B9C2-B233FD9BE344}" uniqueName="2128" name="28790" queryTableFieldId="2128"/>
    <tableColumn id="2129" xr3:uid="{1E6540CF-6D13-45CD-9F72-708BCB6681CF}" uniqueName="2129" name="28791" queryTableFieldId="2129"/>
    <tableColumn id="2130" xr3:uid="{B2B31B44-773B-4851-B233-C4B39482F815}" uniqueName="2130" name="28792" queryTableFieldId="2130"/>
    <tableColumn id="2131" xr3:uid="{9B50741E-BFCE-4F5E-9B3D-7A500F15EE91}" uniqueName="2131" name="28801" queryTableFieldId="2131"/>
    <tableColumn id="2132" xr3:uid="{D52657FF-861B-45A6-B840-38B30A2E6D3E}" uniqueName="2132" name="28803" queryTableFieldId="2132"/>
    <tableColumn id="2133" xr3:uid="{5B906D0D-F8FC-4DFD-BB88-7EE215D40A11}" uniqueName="2133" name="28804" queryTableFieldId="2133"/>
    <tableColumn id="2134" xr3:uid="{E4D10AD6-B444-4307-ABAB-89BC589D5702}" uniqueName="2134" name="28805" queryTableFieldId="2134"/>
    <tableColumn id="2135" xr3:uid="{AD9D3F87-C3DA-4452-9259-770416F943A5}" uniqueName="2135" name="28806" queryTableFieldId="2135"/>
    <tableColumn id="2136" xr3:uid="{1E50D6F3-9913-4A4F-B3E5-A7FC97BB11FC}" uniqueName="2136" name="28901" queryTableFieldId="2136"/>
    <tableColumn id="2137" xr3:uid="{8D5FFECC-5EC3-4E74-9B99-5AB3A9BCABD4}" uniqueName="2137" name="28902" queryTableFieldId="2137"/>
    <tableColumn id="2138" xr3:uid="{BA67A997-2DA8-469F-BCFB-3244D8C3819D}" uniqueName="2138" name="28904" queryTableFieldId="2138"/>
    <tableColumn id="2139" xr3:uid="{711E3F99-26E9-4953-9278-CE5C7980355A}" uniqueName="2139" name="28905" queryTableFieldId="2139"/>
    <tableColumn id="2140" xr3:uid="{57A6087F-F306-4A39-BD89-5BA73010D421}" uniqueName="2140" name="28906" queryTableFieldId="2140"/>
    <tableColumn id="2141" xr3:uid="{C3A9049F-5929-4EDD-9FB5-D747EB30F197}" uniqueName="2141" name="28909" queryTableFieldId="2141"/>
    <tableColumn id="2142" xr3:uid="{EE05C609-D26A-4EED-8E90-A6EFB08A38A1}" uniqueName="2142" name="20105" queryTableFieldId="2142"/>
    <tableColumn id="2143" xr3:uid="{D3EABDF0-1229-445C-A16E-4E52156468A5}" uniqueName="2143" name="20106" queryTableFieldId="2143"/>
    <tableColumn id="2144" xr3:uid="{38BA82E4-DEE9-40CE-AD6E-A4148D48F7E2}" uniqueName="2144" name="20109" queryTableFieldId="2144"/>
    <tableColumn id="2145" xr3:uid="{3E10CA37-0292-4E88-A215-6B6E71D73C8B}" uniqueName="2145" name="20110" queryTableFieldId="2145"/>
    <tableColumn id="2146" xr3:uid="{9A295420-B5BA-4B00-A593-21B3490678D1}" uniqueName="2146" name="20111" queryTableFieldId="2146"/>
    <tableColumn id="2147" xr3:uid="{8C0610D8-23B0-46C4-8BE1-B60242BD43B1}" uniqueName="2147" name="20112" queryTableFieldId="2147"/>
    <tableColumn id="2148" xr3:uid="{DE7771A5-E0AB-499E-A260-144BF999C6C1}" uniqueName="2148" name="20115" queryTableFieldId="2148"/>
    <tableColumn id="2149" xr3:uid="{CE307C09-ED0C-4E01-953F-2328E63C6D6B}" uniqueName="2149" name="20117" queryTableFieldId="2149"/>
    <tableColumn id="2150" xr3:uid="{0A154151-6196-40F3-8F19-F98EBF430369}" uniqueName="2150" name="20119" queryTableFieldId="2150"/>
    <tableColumn id="2151" xr3:uid="{E5268FE3-A73A-494C-926E-9ED0027E5714}" uniqueName="2151" name="20120" queryTableFieldId="2151"/>
    <tableColumn id="2152" xr3:uid="{08D9B0E7-23F2-4A18-849B-30840EB1860E}" uniqueName="2152" name="20121" queryTableFieldId="2152"/>
    <tableColumn id="2153" xr3:uid="{F78D08DD-B447-42D6-97C4-13BE36C1D61A}" uniqueName="2153" name="20124" queryTableFieldId="2153"/>
    <tableColumn id="2154" xr3:uid="{EA63A19F-3232-4B21-BE6A-9F4D02597992}" uniqueName="2154" name="20129" queryTableFieldId="2154"/>
    <tableColumn id="2155" xr3:uid="{22261259-8C35-4BD7-BA53-7C510E7B113E}" uniqueName="2155" name="20130" queryTableFieldId="2155"/>
    <tableColumn id="2156" xr3:uid="{1560043E-9C78-4990-94D1-442C4D4AD200}" uniqueName="2156" name="20132" queryTableFieldId="2156"/>
    <tableColumn id="2157" xr3:uid="{C7948A6F-280F-4D99-8AC3-B6A29554CA6B}" uniqueName="2157" name="20135" queryTableFieldId="2157"/>
    <tableColumn id="2158" xr3:uid="{37AEDA8F-5060-4DDF-A212-4812D315C983}" uniqueName="2158" name="20136" queryTableFieldId="2158"/>
    <tableColumn id="2159" xr3:uid="{E8500AFB-2C66-4218-83D9-E31E5656E113}" uniqueName="2159" name="20137" queryTableFieldId="2159"/>
    <tableColumn id="2160" xr3:uid="{2A70B65D-9413-4CAE-8C7F-518DAAB3F4D0}" uniqueName="2160" name="20141" queryTableFieldId="2160"/>
    <tableColumn id="2161" xr3:uid="{ABCC7105-2D11-45FD-86CD-0AD46ED8E0F7}" uniqueName="2161" name="20143" queryTableFieldId="2161"/>
    <tableColumn id="2162" xr3:uid="{CC288A52-D49E-4376-8B5D-58170EE546B7}" uniqueName="2162" name="20144" queryTableFieldId="2162"/>
    <tableColumn id="2163" xr3:uid="{A81729CF-00A8-45EF-A4FE-49B07CDB6427}" uniqueName="2163" name="20147" queryTableFieldId="2163"/>
    <tableColumn id="2164" xr3:uid="{8BE52614-DF53-4C1B-85A3-1592BC939CE5}" uniqueName="2164" name="20148" queryTableFieldId="2164"/>
    <tableColumn id="2165" xr3:uid="{ECDDFE94-AC8D-4BC2-9F7B-4A8ACE343401}" uniqueName="2165" name="20151" queryTableFieldId="2165"/>
    <tableColumn id="2166" xr3:uid="{032B827C-97F3-47D3-8923-771DCD0312F9}" uniqueName="2166" name="20152" queryTableFieldId="2166"/>
    <tableColumn id="2167" xr3:uid="{58D15F18-7E29-487A-ADCE-EBCEBE751328}" uniqueName="2167" name="20155" queryTableFieldId="2167"/>
    <tableColumn id="2168" xr3:uid="{45ECC98F-BA58-4FCF-92C7-170D1513C58B}" uniqueName="2168" name="20158" queryTableFieldId="2168"/>
    <tableColumn id="2169" xr3:uid="{35897C95-B730-4264-9ED0-640D8309B678}" uniqueName="2169" name="20164" queryTableFieldId="2169"/>
    <tableColumn id="2170" xr3:uid="{AD75EAFF-3830-43A0-BF8B-EEBD26059811}" uniqueName="2170" name="20165" queryTableFieldId="2170"/>
    <tableColumn id="2171" xr3:uid="{FDF3D6B5-2CA3-453B-AF28-C25E7B082320}" uniqueName="2171" name="20166" queryTableFieldId="2171"/>
    <tableColumn id="2172" xr3:uid="{929BED69-C35F-4AFE-A401-96ABC5EF1477}" uniqueName="2172" name="20169" queryTableFieldId="2172"/>
    <tableColumn id="2173" xr3:uid="{C504FBCA-3D81-40F3-A3C0-DA61C1D2E486}" uniqueName="2173" name="20170" queryTableFieldId="2173"/>
    <tableColumn id="2174" xr3:uid="{9FB99AA5-8526-4AF8-80D2-049FE36DD63F}" uniqueName="2174" name="20171" queryTableFieldId="2174"/>
    <tableColumn id="2175" xr3:uid="{28216124-AAE8-4264-B5CC-6FFA405D8D35}" uniqueName="2175" name="20175" queryTableFieldId="2175"/>
    <tableColumn id="2176" xr3:uid="{B538677E-9E21-40D1-9828-446E8F3C6B6D}" uniqueName="2176" name="20176" queryTableFieldId="2176"/>
    <tableColumn id="2177" xr3:uid="{E7F15797-9602-4BC7-9DC2-2DB247816D61}" uniqueName="2177" name="20180" queryTableFieldId="2177"/>
    <tableColumn id="2178" xr3:uid="{259DA0EE-3987-4196-901F-600719B46BB2}" uniqueName="2178" name="20181" queryTableFieldId="2178"/>
    <tableColumn id="2179" xr3:uid="{9DB7CBA8-9232-4172-AAB2-4687B5A9EB75}" uniqueName="2179" name="20184" queryTableFieldId="2179"/>
    <tableColumn id="2180" xr3:uid="{5930503C-A823-407A-89A6-29B66802519A}" uniqueName="2180" name="20186" queryTableFieldId="2180"/>
    <tableColumn id="2181" xr3:uid="{63AA7983-3977-401F-8B7E-992A13CF82D6}" uniqueName="2181" name="20187" queryTableFieldId="2181"/>
    <tableColumn id="2182" xr3:uid="{88AB6550-E9B6-4F3B-8D4F-05187C1D6A28}" uniqueName="2182" name="20190" queryTableFieldId="2182"/>
    <tableColumn id="2183" xr3:uid="{91F6EB43-5935-4BB0-898F-BEED3B61E540}" uniqueName="2183" name="20191" queryTableFieldId="2183"/>
    <tableColumn id="2184" xr3:uid="{215525EA-D236-4A3F-AF49-AC2D009564F5}" uniqueName="2184" name="20194" queryTableFieldId="2184"/>
    <tableColumn id="2185" xr3:uid="{4EBCE8C3-123D-4F73-A487-CC38134D7337}" uniqueName="2185" name="20197" queryTableFieldId="2185"/>
    <tableColumn id="2186" xr3:uid="{2100CF9D-D800-4EBD-A411-4A2E69A95D73}" uniqueName="2186" name="20198" queryTableFieldId="2186"/>
    <tableColumn id="2187" xr3:uid="{BF05AAF7-B4EA-4454-88CF-FEFF78FA0F14}" uniqueName="2187" name="22003" queryTableFieldId="2187"/>
    <tableColumn id="2188" xr3:uid="{48F38C8D-4F37-4726-A100-4F72FF08C770}" uniqueName="2188" name="22015" queryTableFieldId="2188"/>
    <tableColumn id="2189" xr3:uid="{2B3BA2FF-9D7B-4785-8086-EA2C972BF5F0}" uniqueName="2189" name="22025" queryTableFieldId="2189"/>
    <tableColumn id="2190" xr3:uid="{25C8E567-656B-4D81-886A-15EABB613031}" uniqueName="2190" name="22026" queryTableFieldId="2190"/>
    <tableColumn id="2191" xr3:uid="{BED7EB94-D62A-4390-9CFB-1A480D62DBDF}" uniqueName="2191" name="22027" queryTableFieldId="2191"/>
    <tableColumn id="2192" xr3:uid="{5B440928-4DBE-47E4-B193-33541FF8C23A}" uniqueName="2192" name="22030" queryTableFieldId="2192"/>
    <tableColumn id="2193" xr3:uid="{1D661333-EA4A-42BF-8EB2-A86D77ADC17E}" uniqueName="2193" name="22031" queryTableFieldId="2193"/>
    <tableColumn id="2194" xr3:uid="{079A5FE5-3DA0-454F-B373-2AE481CB2275}" uniqueName="2194" name="22032" queryTableFieldId="2194"/>
    <tableColumn id="2195" xr3:uid="{A27B04E9-4139-4A4C-9B31-5181C3084EB9}" uniqueName="2195" name="22033" queryTableFieldId="2195"/>
    <tableColumn id="2196" xr3:uid="{8CE5EB48-DA19-4E8B-978B-85FA81E1A39B}" uniqueName="2196" name="22035" queryTableFieldId="2196"/>
    <tableColumn id="2197" xr3:uid="{427927B7-F793-40B9-B4B1-1887CF73D510}" uniqueName="2197" name="22039" queryTableFieldId="2197"/>
    <tableColumn id="2198" xr3:uid="{8D3B1B57-02EB-4579-9CC4-446131B4CA77}" uniqueName="2198" name="22041" queryTableFieldId="2198"/>
    <tableColumn id="2199" xr3:uid="{C5453A70-03F5-4855-8AF7-35F2BDEBF0B4}" uniqueName="2199" name="22042" queryTableFieldId="2199"/>
    <tableColumn id="2200" xr3:uid="{08DE65B6-7DE6-4192-9E52-F5F10F26E76F}" uniqueName="2200" name="22043" queryTableFieldId="2200"/>
    <tableColumn id="2201" xr3:uid="{FE4F3E5B-1A34-474A-ABA3-FF77949EFD68}" uniqueName="2201" name="22044" queryTableFieldId="2201"/>
    <tableColumn id="2202" xr3:uid="{AB46F93F-1EF2-4CA7-9CD6-4CE9EEE078DB}" uniqueName="2202" name="22046" queryTableFieldId="2202"/>
    <tableColumn id="2203" xr3:uid="{6EC25F25-7D1D-4244-B890-2BAEF60F3CCD}" uniqueName="2203" name="22060" queryTableFieldId="2203"/>
    <tableColumn id="2204" xr3:uid="{62E04BED-55F8-4226-9BCA-4DA6048EF926}" uniqueName="2204" name="22066" queryTableFieldId="2204"/>
    <tableColumn id="2205" xr3:uid="{9E1803EB-3B93-40D0-B35E-FACC684230D2}" uniqueName="2205" name="22079" queryTableFieldId="2205"/>
    <tableColumn id="2206" xr3:uid="{BBDAB235-9698-409B-8BF1-C4C8096C79AF}" uniqueName="2206" name="22101" queryTableFieldId="2206"/>
    <tableColumn id="2207" xr3:uid="{8445BC4A-325F-42F3-8CC7-D6DA6AE55845}" uniqueName="2207" name="22102" queryTableFieldId="2207"/>
    <tableColumn id="2208" xr3:uid="{B42DC967-0F82-4DB9-A717-D424B8706855}" uniqueName="2208" name="22124" queryTableFieldId="2208"/>
    <tableColumn id="2209" xr3:uid="{A0CAE765-E0B9-4B86-8B33-3E2EA3C060EE}" uniqueName="2209" name="22125" queryTableFieldId="2209"/>
    <tableColumn id="2210" xr3:uid="{21625EBB-6BF0-4442-9B92-FB6C4694AB7C}" uniqueName="2210" name="22134" queryTableFieldId="2210"/>
    <tableColumn id="2211" xr3:uid="{B0C7F977-45FD-45F5-94C8-4194CF979FB3}" uniqueName="2211" name="22150" queryTableFieldId="2211"/>
    <tableColumn id="2212" xr3:uid="{69DBF8BC-F898-4772-B0A2-138D8D36324C}" uniqueName="2212" name="22151" queryTableFieldId="2212"/>
    <tableColumn id="2213" xr3:uid="{F7F8F633-F602-49E1-BFD1-168E3BDEDE19}" uniqueName="2213" name="22152" queryTableFieldId="2213"/>
    <tableColumn id="2214" xr3:uid="{575317D5-0E2C-472F-9ED1-A522E1599043}" uniqueName="2214" name="22153" queryTableFieldId="2214"/>
    <tableColumn id="2215" xr3:uid="{FB3CD886-4494-4F8D-B571-438D931D5A8E}" uniqueName="2215" name="22172" queryTableFieldId="2215"/>
    <tableColumn id="2216" xr3:uid="{2E60748C-8EB9-4C1C-9947-DEF47EAFA3F9}" uniqueName="2216" name="22180" queryTableFieldId="2216"/>
    <tableColumn id="2217" xr3:uid="{75D648C3-8DDE-43DD-B69B-D0094A1A2C88}" uniqueName="2217" name="22181" queryTableFieldId="2217"/>
    <tableColumn id="2218" xr3:uid="{FEAFFB12-CC25-4416-A999-FC0376769706}" uniqueName="2218" name="22182" queryTableFieldId="2218"/>
    <tableColumn id="2219" xr3:uid="{319379B5-F6E0-4A34-B8F0-B71D726F1A22}" uniqueName="2219" name="22191" queryTableFieldId="2219"/>
    <tableColumn id="2220" xr3:uid="{7D62A49D-BA5A-41BE-A019-FAEB2758CFF0}" uniqueName="2220" name="22192" queryTableFieldId="2220"/>
    <tableColumn id="2221" xr3:uid="{24159C6F-E65A-4B15-9AB2-06DFF4EE72F0}" uniqueName="2221" name="22193" queryTableFieldId="2221"/>
    <tableColumn id="2222" xr3:uid="{3C4163CF-837B-43D0-9BA0-D24C6955338E}" uniqueName="2222" name="22201" queryTableFieldId="2222"/>
    <tableColumn id="2223" xr3:uid="{61F829F7-4335-464B-9DAD-6915D85B47B4}" uniqueName="2223" name="22202" queryTableFieldId="2223"/>
    <tableColumn id="2224" xr3:uid="{F952F571-A1C4-4322-A346-AABEBDAA955D}" uniqueName="2224" name="22203" queryTableFieldId="2224"/>
    <tableColumn id="2225" xr3:uid="{1A4018F2-D503-4296-8942-43DEBB4C21D0}" uniqueName="2225" name="22204" queryTableFieldId="2225"/>
    <tableColumn id="2226" xr3:uid="{80C550E0-32CB-4453-A927-215E30C45892}" uniqueName="2226" name="22205" queryTableFieldId="2226"/>
    <tableColumn id="2227" xr3:uid="{B977FFAA-E79B-4899-B775-D61DBC8A51EE}" uniqueName="2227" name="22206" queryTableFieldId="2227"/>
    <tableColumn id="2228" xr3:uid="{7341FFE9-C684-4FE4-AB4D-DEE0E4E1CB1A}" uniqueName="2228" name="22207" queryTableFieldId="2228"/>
    <tableColumn id="2229" xr3:uid="{D9880994-FCA3-4E28-A42C-1FAD3D7DEF74}" uniqueName="2229" name="22209" queryTableFieldId="2229"/>
    <tableColumn id="2230" xr3:uid="{ECD04862-8784-4882-83D5-5291F95B6E00}" uniqueName="2230" name="22211" queryTableFieldId="2230"/>
    <tableColumn id="2231" xr3:uid="{4A04A824-9D5F-4F6C-A967-3D0B2F01ED4C}" uniqueName="2231" name="22213" queryTableFieldId="2231"/>
    <tableColumn id="2232" xr3:uid="{50DE2574-54BD-4910-970F-21732AD81E9D}" uniqueName="2232" name="22214" queryTableFieldId="2232"/>
    <tableColumn id="2233" xr3:uid="{38007B9B-B4CC-4E22-8E08-2B570061EE26}" uniqueName="2233" name="22301" queryTableFieldId="2233"/>
    <tableColumn id="2234" xr3:uid="{909E5B4B-B0EB-4B49-9E68-ACF0BE255225}" uniqueName="2234" name="22302" queryTableFieldId="2234"/>
    <tableColumn id="2235" xr3:uid="{7474F470-A008-4D6E-80DE-52ACD7787320}" uniqueName="2235" name="22303" queryTableFieldId="2235"/>
    <tableColumn id="2236" xr3:uid="{27780073-488F-4139-AA6E-1D6E2FDA1549}" uniqueName="2236" name="22304" queryTableFieldId="2236"/>
    <tableColumn id="2237" xr3:uid="{4EA755B8-BB02-41EA-8D32-9DD76C6A3E4C}" uniqueName="2237" name="22305" queryTableFieldId="2237"/>
    <tableColumn id="2238" xr3:uid="{E58DC7F9-8FB6-4FCF-A2FF-070548404378}" uniqueName="2238" name="22306" queryTableFieldId="2238"/>
    <tableColumn id="2239" xr3:uid="{2D89A74D-EF0C-4BF5-8BA8-548B49F9643B}" uniqueName="2239" name="22307" queryTableFieldId="2239"/>
    <tableColumn id="2240" xr3:uid="{9AD6B5BC-DDE2-4EA4-AC11-5DA47B240FED}" uniqueName="2240" name="22308" queryTableFieldId="2240"/>
    <tableColumn id="2241" xr3:uid="{A3484894-69E5-43EF-BDA0-807B93898EC4}" uniqueName="2241" name="22309" queryTableFieldId="2241"/>
    <tableColumn id="2242" xr3:uid="{6468D4B8-A51C-4881-AC83-24E982A412A1}" uniqueName="2242" name="22310" queryTableFieldId="2242"/>
    <tableColumn id="2243" xr3:uid="{DDC32E4C-37A8-481D-BA7B-B0D77FE98BEE}" uniqueName="2243" name="22311" queryTableFieldId="2243"/>
    <tableColumn id="2244" xr3:uid="{A4EA1388-B559-44FE-AACB-4B816B9BF0EB}" uniqueName="2244" name="22312" queryTableFieldId="2244"/>
    <tableColumn id="2245" xr3:uid="{48276EC7-90E9-427C-9146-0803023EAF13}" uniqueName="2245" name="22314" queryTableFieldId="2245"/>
    <tableColumn id="2246" xr3:uid="{B85BCB3F-F972-40BF-B7AE-662587F2737E}" uniqueName="2246" name="22315" queryTableFieldId="2246"/>
    <tableColumn id="2247" xr3:uid="{BFDEBEEB-9FF6-438C-BEAB-077FCB586D55}" uniqueName="2247" name="22401" queryTableFieldId="2247"/>
    <tableColumn id="2248" xr3:uid="{0517A733-5246-4782-A4A2-0B2342CBD7A7}" uniqueName="2248" name="22405" queryTableFieldId="2248"/>
    <tableColumn id="2249" xr3:uid="{F22A8EC1-DA73-4A69-A03C-FE06176669CC}" uniqueName="2249" name="22406" queryTableFieldId="2249"/>
    <tableColumn id="2250" xr3:uid="{83758B03-55FA-42BD-A9BE-5F9D5A411BB5}" uniqueName="2250" name="22407" queryTableFieldId="2250"/>
    <tableColumn id="2251" xr3:uid="{59E41510-9EE7-4C1B-A59D-142C17003C54}" uniqueName="2251" name="22408" queryTableFieldId="2251"/>
    <tableColumn id="2252" xr3:uid="{BE2611FC-725C-4D56-A269-3911796230B1}" uniqueName="2252" name="22427" queryTableFieldId="2252"/>
    <tableColumn id="2253" xr3:uid="{2FCF914A-959E-45CE-BDD1-261A9A4C4512}" uniqueName="2253" name="22432" queryTableFieldId="2253"/>
    <tableColumn id="2254" xr3:uid="{79BC2210-F404-493B-8BA5-313FBD72BCBB}" uniqueName="2254" name="22433" queryTableFieldId="2254"/>
    <tableColumn id="2255" xr3:uid="{6AFA5C2C-ECDB-4554-BDA6-E165FD1EE833}" uniqueName="2255" name="22435" queryTableFieldId="2255"/>
    <tableColumn id="2256" xr3:uid="{39DA3000-E525-4125-BA89-60E624832E53}" uniqueName="2256" name="22436" queryTableFieldId="2256"/>
    <tableColumn id="2257" xr3:uid="{5D9AD8E2-E9F7-44C2-9E49-5EABE6811227}" uniqueName="2257" name="22437" queryTableFieldId="2257"/>
    <tableColumn id="2258" xr3:uid="{452F63B7-2BA7-48BA-9E73-F944EE3AAB5C}" uniqueName="2258" name="22438" queryTableFieldId="2258"/>
    <tableColumn id="2259" xr3:uid="{3B6B700D-0B95-47B5-982F-6A667D155BE9}" uniqueName="2259" name="22443" queryTableFieldId="2259"/>
    <tableColumn id="2260" xr3:uid="{7CF6AA5A-5D6F-47C2-8A1D-B875249333B1}" uniqueName="2260" name="22448" queryTableFieldId="2260"/>
    <tableColumn id="2261" xr3:uid="{F4A83F8D-E929-4D81-B287-26BD5ECC220C}" uniqueName="2261" name="22454" queryTableFieldId="2261"/>
    <tableColumn id="2262" xr3:uid="{2A0C707E-C90F-4ADE-823D-339082A44AA7}" uniqueName="2262" name="22460" queryTableFieldId="2262"/>
    <tableColumn id="2263" xr3:uid="{C3C61F3C-6FB7-4D06-8A04-D64F59ABCE6E}" uniqueName="2263" name="22469" queryTableFieldId="2263"/>
    <tableColumn id="2264" xr3:uid="{08D4E39B-6523-4B64-B571-89341378424A}" uniqueName="2264" name="22472" queryTableFieldId="2264"/>
    <tableColumn id="2265" xr3:uid="{8A5B722F-77CB-4D51-9A6B-B7F4C649636B}" uniqueName="2265" name="22473" queryTableFieldId="2265"/>
    <tableColumn id="2266" xr3:uid="{949855F7-8CD4-4222-9B34-DAF1D860D1FC}" uniqueName="2266" name="22476" queryTableFieldId="2266"/>
    <tableColumn id="2267" xr3:uid="{AC0CE50F-C136-4559-A1A1-A6AFD41887A6}" uniqueName="2267" name="22480" queryTableFieldId="2267"/>
    <tableColumn id="2268" xr3:uid="{19783A02-B8CC-4FBB-82B7-C0294CB6EA89}" uniqueName="2268" name="22482" queryTableFieldId="2268"/>
    <tableColumn id="2269" xr3:uid="{C03887D1-66C6-4BAC-B960-A06CACE6E340}" uniqueName="2269" name="22485" queryTableFieldId="2269"/>
    <tableColumn id="2270" xr3:uid="{85002497-5BF4-468B-AE6E-8FAB5774F09B}" uniqueName="2270" name="22488" queryTableFieldId="2270"/>
    <tableColumn id="2271" xr3:uid="{36B2E0D3-637F-4DE7-AE14-B0F83B04F53A}" uniqueName="2271" name="22503" queryTableFieldId="2271"/>
    <tableColumn id="2272" xr3:uid="{9F3F6AAA-2CE1-4D1B-9BD8-C49F320620B0}" uniqueName="2272" name="22504" queryTableFieldId="2272"/>
    <tableColumn id="2273" xr3:uid="{2F953E83-6FED-4004-95AA-E750ECA99D35}" uniqueName="2273" name="22508" queryTableFieldId="2273"/>
    <tableColumn id="2274" xr3:uid="{5E615022-6239-47AE-B0BF-EC9082D08861}" uniqueName="2274" name="22509" queryTableFieldId="2274"/>
    <tableColumn id="2275" xr3:uid="{B63AAC06-7006-4A6B-B66D-16FD0D84A7C5}" uniqueName="2275" name="22511" queryTableFieldId="2275"/>
    <tableColumn id="2276" xr3:uid="{197EF689-E530-485E-8110-E51259D318E1}" uniqueName="2276" name="22514" queryTableFieldId="2276"/>
    <tableColumn id="2277" xr3:uid="{DF2EFC55-6AB9-4AB1-86DC-FE4E6ACFE572}" uniqueName="2277" name="22520" queryTableFieldId="2277"/>
    <tableColumn id="2278" xr3:uid="{E142038C-4136-4868-B5B4-CC4E06C25265}" uniqueName="2278" name="22529" queryTableFieldId="2278"/>
    <tableColumn id="2279" xr3:uid="{F1247A43-14D6-404B-BD42-D2C0A2F45640}" uniqueName="2279" name="22534" queryTableFieldId="2279"/>
    <tableColumn id="2280" xr3:uid="{BE28B7DD-E320-4FD8-A531-70308B1458D4}" uniqueName="2280" name="22535" queryTableFieldId="2280"/>
    <tableColumn id="2281" xr3:uid="{3A4F4431-1634-4426-A75E-0FD0DFF3BF76}" uniqueName="2281" name="22538" queryTableFieldId="2281"/>
    <tableColumn id="2282" xr3:uid="{D794203B-6511-4BBF-8380-A34B6B3BF16A}" uniqueName="2282" name="22539" queryTableFieldId="2282"/>
    <tableColumn id="2283" xr3:uid="{9C1C8262-0EAD-4D1F-B286-EC5CA9FE7457}" uniqueName="2283" name="22542" queryTableFieldId="2283"/>
    <tableColumn id="2284" xr3:uid="{2E8526E6-12BE-4070-AA76-6D04C864E38C}" uniqueName="2284" name="22546" queryTableFieldId="2284"/>
    <tableColumn id="2285" xr3:uid="{BA6CF94B-4A6E-4DC6-A7DB-EF0C1CA7DB1E}" uniqueName="2285" name="22548" queryTableFieldId="2285"/>
    <tableColumn id="2286" xr3:uid="{9ED1ABDC-F5A4-4FBF-A1D3-6953D33752BE}" uniqueName="2286" name="22551" queryTableFieldId="2286"/>
    <tableColumn id="2287" xr3:uid="{6C149D42-AE8D-47A5-A4C7-9E33867B3970}" uniqueName="2287" name="22553" queryTableFieldId="2287"/>
    <tableColumn id="2288" xr3:uid="{46DA8982-91BE-4DB8-9830-0CD4CC5AB312}" uniqueName="2288" name="22554" queryTableFieldId="2288"/>
    <tableColumn id="2289" xr3:uid="{C21AC5C9-E72F-4937-9D1F-25A14913430B}" uniqueName="2289" name="22556" queryTableFieldId="2289"/>
    <tableColumn id="2290" xr3:uid="{B833796F-DC19-4C8D-88AB-F107613D6AC6}" uniqueName="2290" name="22560" queryTableFieldId="2290"/>
    <tableColumn id="2291" xr3:uid="{6A03444C-93DC-40C7-8FF8-2DC71F33F100}" uniqueName="2291" name="22567" queryTableFieldId="2291"/>
    <tableColumn id="2292" xr3:uid="{FDF69640-697A-43DC-A2FB-40E824F57E40}" uniqueName="2292" name="22572" queryTableFieldId="2292"/>
    <tableColumn id="2293" xr3:uid="{5FE8519E-771E-4070-98C7-F3498FD4C087}" uniqueName="2293" name="22576" queryTableFieldId="2293"/>
    <tableColumn id="2294" xr3:uid="{1428B909-1B6B-4363-AAB7-7C6D40A39DAC}" uniqueName="2294" name="22578" queryTableFieldId="2294"/>
    <tableColumn id="2295" xr3:uid="{335C4694-D3C6-4FA5-B0D5-D061310DD8CF}" uniqueName="2295" name="22580" queryTableFieldId="2295"/>
    <tableColumn id="2296" xr3:uid="{A6891F2C-26AF-43A9-B786-261700AF9037}" uniqueName="2296" name="22601" queryTableFieldId="2296"/>
    <tableColumn id="2297" xr3:uid="{7216510A-4E3D-4827-A4D7-B7B81F365453}" uniqueName="2297" name="22602" queryTableFieldId="2297"/>
    <tableColumn id="2298" xr3:uid="{8B6B47A8-5FDF-4D55-A358-04C6DF8A1350}" uniqueName="2298" name="22603" queryTableFieldId="2298"/>
    <tableColumn id="2299" xr3:uid="{B1E2932B-3994-46FE-B6CB-B7075B38E3CB}" uniqueName="2299" name="22610" queryTableFieldId="2299"/>
    <tableColumn id="2300" xr3:uid="{8EFB97FA-63BD-4B1B-80BC-206561FC3FD0}" uniqueName="2300" name="22611" queryTableFieldId="2300"/>
    <tableColumn id="2301" xr3:uid="{E56086A5-B7D2-40C3-A92E-2EF3614C7EE0}" uniqueName="2301" name="22620" queryTableFieldId="2301"/>
    <tableColumn id="2302" xr3:uid="{608CDDD4-60EA-4375-BB1F-426B700530DD}" uniqueName="2302" name="22623" queryTableFieldId="2302"/>
    <tableColumn id="2303" xr3:uid="{254BE1EE-09F0-43FA-9722-0A262EEE80FC}" uniqueName="2303" name="22624" queryTableFieldId="2303"/>
    <tableColumn id="2304" xr3:uid="{EF1713A9-4E75-49A0-BD28-69F4D8A00A33}" uniqueName="2304" name="22625" queryTableFieldId="2304"/>
    <tableColumn id="2305" xr3:uid="{00CFE803-31F9-4F02-9AC0-E56DAB864348}" uniqueName="2305" name="22627" queryTableFieldId="2305"/>
    <tableColumn id="2306" xr3:uid="{02202F86-B74A-4F4E-971F-17305403D192}" uniqueName="2306" name="22630" queryTableFieldId="2306"/>
    <tableColumn id="2307" xr3:uid="{9C8CC48F-4981-46E1-8298-7F94B5DC2F43}" uniqueName="2307" name="22637" queryTableFieldId="2307"/>
    <tableColumn id="2308" xr3:uid="{5FCC5520-E480-42A8-A74D-0D68C5D07532}" uniqueName="2308" name="22639" queryTableFieldId="2308"/>
    <tableColumn id="2309" xr3:uid="{AF381FC6-EBE9-442A-9647-CC9F86CCFFDA}" uniqueName="2309" name="22640" queryTableFieldId="2309"/>
    <tableColumn id="2310" xr3:uid="{1B77CE80-510B-4EB2-9374-E2B2E768DD5B}" uniqueName="2310" name="22641" queryTableFieldId="2310"/>
    <tableColumn id="2311" xr3:uid="{3C9457A8-829D-4526-A9BE-CA09B7300BA7}" uniqueName="2311" name="22642" queryTableFieldId="2311"/>
    <tableColumn id="2312" xr3:uid="{2A44688C-E475-4C69-B696-65AE1D08AE87}" uniqueName="2312" name="22643" queryTableFieldId="2312"/>
    <tableColumn id="2313" xr3:uid="{6A639898-C7CC-457C-B3D9-2C7ED8CC4A5C}" uniqueName="2313" name="22644" queryTableFieldId="2313"/>
    <tableColumn id="2314" xr3:uid="{D8616E79-9E4E-4C10-8846-C24F930064C6}" uniqueName="2314" name="22645" queryTableFieldId="2314"/>
    <tableColumn id="2315" xr3:uid="{352D4D23-E21A-4348-AA2A-6B0BD3D4CFBB}" uniqueName="2315" name="22646" queryTableFieldId="2315"/>
    <tableColumn id="2316" xr3:uid="{66C2EBD2-0C9B-4F80-A96C-6F0850DBE2AD}" uniqueName="2316" name="22650" queryTableFieldId="2316"/>
    <tableColumn id="2317" xr3:uid="{16755B80-BF61-4D2E-8795-2A3FDE771340}" uniqueName="2317" name="22652" queryTableFieldId="2317"/>
    <tableColumn id="2318" xr3:uid="{DF8A3F0C-9964-475D-B31F-CC9EE6EF6BE9}" uniqueName="2318" name="22654" queryTableFieldId="2318"/>
    <tableColumn id="2319" xr3:uid="{52F4D77B-88F3-43FA-AA07-CFD1BB618ED3}" uniqueName="2319" name="22655" queryTableFieldId="2319"/>
    <tableColumn id="2320" xr3:uid="{F140E3F4-CE82-4E2C-9901-8883404C9903}" uniqueName="2320" name="22656" queryTableFieldId="2320"/>
    <tableColumn id="2321" xr3:uid="{371B2DEB-461E-4427-8D48-BAB06702B639}" uniqueName="2321" name="22657" queryTableFieldId="2321"/>
    <tableColumn id="2322" xr3:uid="{9AF16ECD-F18F-4762-85F9-6E02EF0697B2}" uniqueName="2322" name="22660" queryTableFieldId="2322"/>
    <tableColumn id="2323" xr3:uid="{90798E2D-3000-47D8-BE05-6F68304C47F4}" uniqueName="2323" name="22663" queryTableFieldId="2323"/>
    <tableColumn id="2324" xr3:uid="{311C7324-1E6D-4ACE-A5F7-6509B1B7DE6E}" uniqueName="2324" name="22664" queryTableFieldId="2324"/>
    <tableColumn id="2325" xr3:uid="{04158B84-3647-4434-854B-54F7F350F2F5}" uniqueName="2325" name="22701" queryTableFieldId="2325"/>
    <tableColumn id="2326" xr3:uid="{1C04D5DD-EBEE-4F53-827E-2D03C368BA31}" uniqueName="2326" name="22709" queryTableFieldId="2326"/>
    <tableColumn id="2327" xr3:uid="{0AEF1DB1-09E5-45AA-B496-2904D83A0273}" uniqueName="2327" name="22711" queryTableFieldId="2327"/>
    <tableColumn id="2328" xr3:uid="{E461F1FD-E970-4BB8-90AF-644570830F04}" uniqueName="2328" name="22712" queryTableFieldId="2328"/>
    <tableColumn id="2329" xr3:uid="{E0F03C72-F165-483B-AF0F-A79A23F6B539}" uniqueName="2329" name="22713" queryTableFieldId="2329"/>
    <tableColumn id="2330" xr3:uid="{77E7227C-8C8C-49CE-A651-DF5DF00EBF05}" uniqueName="2330" name="22714" queryTableFieldId="2330"/>
    <tableColumn id="2331" xr3:uid="{740A8F55-5F96-4AA0-9D32-8EBF073B59C7}" uniqueName="2331" name="22715" queryTableFieldId="2331"/>
    <tableColumn id="2332" xr3:uid="{9BB67EA6-0697-47A0-8928-F522CEA90C6D}" uniqueName="2332" name="22716" queryTableFieldId="2332"/>
    <tableColumn id="2333" xr3:uid="{D6D505A3-8725-4E51-A5B6-C08CC9C4E9A8}" uniqueName="2333" name="22718" queryTableFieldId="2333"/>
    <tableColumn id="2334" xr3:uid="{3B4F3B58-0955-4F02-8661-FE230F27B83F}" uniqueName="2334" name="22719" queryTableFieldId="2334"/>
    <tableColumn id="2335" xr3:uid="{5850232E-ECCF-4E55-856A-5183C6F9B9E2}" uniqueName="2335" name="22720" queryTableFieldId="2335"/>
    <tableColumn id="2336" xr3:uid="{AF60A6C5-9F60-4124-B591-09D97CD9360E}" uniqueName="2336" name="22722" queryTableFieldId="2336"/>
    <tableColumn id="2337" xr3:uid="{7E6BE8F4-EA30-47E7-AD4B-D08B0DB2012B}" uniqueName="2337" name="22723" queryTableFieldId="2337"/>
    <tableColumn id="2338" xr3:uid="{AB4E8701-508C-40EA-9BF1-6F7985903DB8}" uniqueName="2338" name="22724" queryTableFieldId="2338"/>
    <tableColumn id="2339" xr3:uid="{82B0CEBA-E030-46C7-BE9E-0EECF0698C82}" uniqueName="2339" name="22725" queryTableFieldId="2339"/>
    <tableColumn id="2340" xr3:uid="{0BB3E3C0-E465-47C0-99DE-D93068F2B404}" uniqueName="2340" name="22726" queryTableFieldId="2340"/>
    <tableColumn id="2341" xr3:uid="{B7DFB0A9-55EE-42C2-A3A1-2BF48F516206}" uniqueName="2341" name="22727" queryTableFieldId="2341"/>
    <tableColumn id="2342" xr3:uid="{1810F41A-7A00-4133-8B43-ACD6D7BB3F3C}" uniqueName="2342" name="22728" queryTableFieldId="2342"/>
    <tableColumn id="2343" xr3:uid="{658E033B-2783-48DB-87B1-86930380A351}" uniqueName="2343" name="22729" queryTableFieldId="2343"/>
    <tableColumn id="2344" xr3:uid="{4DC1C925-6690-4DFB-A193-C8D8DE851DAF}" uniqueName="2344" name="22730" queryTableFieldId="2344"/>
    <tableColumn id="2345" xr3:uid="{1936B050-6F4E-4DCA-97CF-129172E74136}" uniqueName="2345" name="22731" queryTableFieldId="2345"/>
    <tableColumn id="2346" xr3:uid="{26D9CD13-CD6F-49BD-A74E-B1102089D8E4}" uniqueName="2346" name="22732" queryTableFieldId="2346"/>
    <tableColumn id="2347" xr3:uid="{E4BD6C60-C1D5-4796-862F-556077B97A08}" uniqueName="2347" name="22733" queryTableFieldId="2347"/>
    <tableColumn id="2348" xr3:uid="{C070B806-0FE0-4F34-A6C3-72ECD9B4EFDB}" uniqueName="2348" name="22734" queryTableFieldId="2348"/>
    <tableColumn id="2349" xr3:uid="{16BB8709-4E64-4E90-9664-38797D5D91C5}" uniqueName="2349" name="22735" queryTableFieldId="2349"/>
    <tableColumn id="2350" xr3:uid="{0120866E-85E0-4CDF-96D0-340BB9FF03B8}" uniqueName="2350" name="22736" queryTableFieldId="2350"/>
    <tableColumn id="2351" xr3:uid="{F63B0B69-D3A5-49F9-B0EF-E76F3294A3CE}" uniqueName="2351" name="22737" queryTableFieldId="2351"/>
    <tableColumn id="2352" xr3:uid="{6C2CF4D8-5EED-4458-8DEC-FB32344CB6A5}" uniqueName="2352" name="22738" queryTableFieldId="2352"/>
    <tableColumn id="2353" xr3:uid="{237EC74A-EBB2-4FFB-919F-7CBE3F9CE841}" uniqueName="2353" name="22740" queryTableFieldId="2353"/>
    <tableColumn id="2354" xr3:uid="{7CC360C2-F57F-45F6-A024-E8C7A77BC1D4}" uniqueName="2354" name="22741" queryTableFieldId="2354"/>
    <tableColumn id="2355" xr3:uid="{5B3161CC-2FFE-4716-A026-E4EB5ECE27C0}" uniqueName="2355" name="22742" queryTableFieldId="2355"/>
    <tableColumn id="2356" xr3:uid="{CA4CD59C-A91C-4461-9E0B-0A7BFF48DAD5}" uniqueName="2356" name="22743" queryTableFieldId="2356"/>
    <tableColumn id="2357" xr3:uid="{4C7E1116-9285-4E6E-9A41-EA8B9F78DE96}" uniqueName="2357" name="22746" queryTableFieldId="2357"/>
    <tableColumn id="2358" xr3:uid="{FEDFF7A5-4EA9-4184-B5BE-D50C0CB5919D}" uniqueName="2358" name="22747" queryTableFieldId="2358"/>
    <tableColumn id="2359" xr3:uid="{972CF18D-36EB-4FEB-B3EB-8AA0DF647ECD}" uniqueName="2359" name="22749" queryTableFieldId="2359"/>
    <tableColumn id="2360" xr3:uid="{A3EDEB6C-E0BC-4260-85B3-63E59C94EDA1}" uniqueName="2360" name="22801" queryTableFieldId="2360"/>
    <tableColumn id="2361" xr3:uid="{D76B3254-E268-4367-86C7-0DFEDD620467}" uniqueName="2361" name="22802" queryTableFieldId="2361"/>
    <tableColumn id="2362" xr3:uid="{AD820631-9D78-4351-882B-26871D2E4FF0}" uniqueName="2362" name="22807" queryTableFieldId="2362"/>
    <tableColumn id="2363" xr3:uid="{339DA2AF-90CF-4157-9970-39F401B0C557}" uniqueName="2363" name="22810" queryTableFieldId="2363"/>
    <tableColumn id="2364" xr3:uid="{06FE23A3-56AE-430C-9DB5-40205788D483}" uniqueName="2364" name="22811" queryTableFieldId="2364"/>
    <tableColumn id="2365" xr3:uid="{33E458ED-E03B-4B0B-8EAD-E023DA6A2E12}" uniqueName="2365" name="22812" queryTableFieldId="2365"/>
    <tableColumn id="2366" xr3:uid="{CC5417EB-7DC3-4584-A79A-A9BDAF9F64A3}" uniqueName="2366" name="22815" queryTableFieldId="2366"/>
    <tableColumn id="2367" xr3:uid="{5F08A628-99F6-4C38-9C26-E86D9E2AB0AA}" uniqueName="2367" name="22820" queryTableFieldId="2367"/>
    <tableColumn id="2368" xr3:uid="{9375D005-2A02-444A-9B48-886D701B493E}" uniqueName="2368" name="22821" queryTableFieldId="2368"/>
    <tableColumn id="2369" xr3:uid="{EC371C77-BFFA-45E2-9AF3-48675324A3D6}" uniqueName="2369" name="22824" queryTableFieldId="2369"/>
    <tableColumn id="2370" xr3:uid="{0C11DCBE-0D0E-4559-8753-1B5AAE4C7936}" uniqueName="2370" name="22827" queryTableFieldId="2370"/>
    <tableColumn id="2371" xr3:uid="{C10C89E0-1A11-4FE8-AD4E-9DF1D9F59649}" uniqueName="2371" name="22830" queryTableFieldId="2371"/>
    <tableColumn id="2372" xr3:uid="{B900EEF2-2AC9-417E-865C-F129C29DBAC3}" uniqueName="2372" name="22831" queryTableFieldId="2372"/>
    <tableColumn id="2373" xr3:uid="{D4586E38-EE34-48AA-97B2-C76AC158EBE2}" uniqueName="2373" name="22832" queryTableFieldId="2373"/>
    <tableColumn id="2374" xr3:uid="{D803ED3C-9A97-485F-84BA-5A609EE69F75}" uniqueName="2374" name="22834" queryTableFieldId="2374"/>
    <tableColumn id="2375" xr3:uid="{87087BCD-545E-4BB1-B70E-892DE7D79F46}" uniqueName="2375" name="22835" queryTableFieldId="2375"/>
    <tableColumn id="2376" xr3:uid="{C46E4FC0-A9B6-42EF-A0C0-5B57FFCE4A21}" uniqueName="2376" name="22840" queryTableFieldId="2376"/>
    <tableColumn id="2377" xr3:uid="{1DD2D4FF-6AAB-4667-8C7A-F763AB7F2EA0}" uniqueName="2377" name="22841" queryTableFieldId="2377"/>
    <tableColumn id="2378" xr3:uid="{87978248-9C8B-49C0-A773-8A4E8FE20F70}" uniqueName="2378" name="22842" queryTableFieldId="2378"/>
    <tableColumn id="2379" xr3:uid="{91C2162B-420B-4198-940A-51C0DD5B03C7}" uniqueName="2379" name="22843" queryTableFieldId="2379"/>
    <tableColumn id="2380" xr3:uid="{0204B09F-CD6B-4F90-806D-F0A7F2BA4716}" uniqueName="2380" name="22844" queryTableFieldId="2380"/>
    <tableColumn id="2381" xr3:uid="{A93858AC-AA7C-4BA4-A959-B7A3F5D55CE4}" uniqueName="2381" name="22845" queryTableFieldId="2381"/>
    <tableColumn id="2382" xr3:uid="{230036C2-5792-45EF-B0AE-66ADA6E8C197}" uniqueName="2382" name="22846" queryTableFieldId="2382"/>
    <tableColumn id="2383" xr3:uid="{BA642A13-5DB1-472A-8EF8-A391112FAF49}" uniqueName="2383" name="22847" queryTableFieldId="2383"/>
    <tableColumn id="2384" xr3:uid="{DBAD3663-0E9E-4DC3-B310-DCAE773F5A30}" uniqueName="2384" name="22849" queryTableFieldId="2384"/>
    <tableColumn id="2385" xr3:uid="{96F5D86B-D616-4478-B53C-0D0B859600BE}" uniqueName="2385" name="22850" queryTableFieldId="2385"/>
    <tableColumn id="2386" xr3:uid="{83D3AA31-A964-4DD2-A857-9DE92CB09B34}" uniqueName="2386" name="22851" queryTableFieldId="2386"/>
    <tableColumn id="2387" xr3:uid="{C23A76ED-6951-434B-9A7E-0916EB0C777B}" uniqueName="2387" name="22853" queryTableFieldId="2387"/>
    <tableColumn id="2388" xr3:uid="{5773C88D-F263-4A3B-A0B4-4F97035187FD}" uniqueName="2388" name="22901" queryTableFieldId="2388"/>
    <tableColumn id="2389" xr3:uid="{BF7C159F-B40A-4F30-B0AE-112D53559298}" uniqueName="2389" name="22902" queryTableFieldId="2389"/>
    <tableColumn id="2390" xr3:uid="{DBA26058-B328-4192-8FE6-DC31AB696D68}" uniqueName="2390" name="22903" queryTableFieldId="2390"/>
    <tableColumn id="2391" xr3:uid="{1E98C64F-C512-4FE9-8CE5-BEFD0F636039}" uniqueName="2391" name="22904" queryTableFieldId="2391"/>
    <tableColumn id="2392" xr3:uid="{D8BC082E-B0C5-42DA-9232-7F1E4D7733D7}" uniqueName="2392" name="22908" queryTableFieldId="2392"/>
    <tableColumn id="2393" xr3:uid="{BCBEA91B-CAD8-4C59-A8BC-D0024E8237B7}" uniqueName="2393" name="22911" queryTableFieldId="2393"/>
    <tableColumn id="2394" xr3:uid="{25F3F46E-EA01-460E-A57F-8FF3C87A65C5}" uniqueName="2394" name="22920" queryTableFieldId="2394"/>
    <tableColumn id="2395" xr3:uid="{31D704FF-568A-4EBA-AF39-DAF0764F5F9C}" uniqueName="2395" name="22922" queryTableFieldId="2395"/>
    <tableColumn id="2396" xr3:uid="{F4486EE7-DF68-4ACB-BC14-0F95F98CDFE1}" uniqueName="2396" name="22923" queryTableFieldId="2396"/>
    <tableColumn id="2397" xr3:uid="{A1CF50AA-0D85-4ECC-87B4-A4C044B14613}" uniqueName="2397" name="22931" queryTableFieldId="2397"/>
    <tableColumn id="2398" xr3:uid="{7EAC4F0D-0D88-4266-BAF4-08CF15FECF2A}" uniqueName="2398" name="22932" queryTableFieldId="2398"/>
    <tableColumn id="2399" xr3:uid="{7404760A-EAE0-4A21-85EB-9AB90C280403}" uniqueName="2399" name="22935" queryTableFieldId="2399"/>
    <tableColumn id="2400" xr3:uid="{B226FE0B-7926-44D8-8436-02E00CC2BED0}" uniqueName="2400" name="22936" queryTableFieldId="2400"/>
    <tableColumn id="2401" xr3:uid="{61D722D5-509A-4864-B013-96794F870E98}" uniqueName="2401" name="22937" queryTableFieldId="2401"/>
    <tableColumn id="2402" xr3:uid="{439DD473-B518-419B-8474-D32C55E50ACB}" uniqueName="2402" name="22938" queryTableFieldId="2402"/>
    <tableColumn id="2403" xr3:uid="{92E38F18-25DE-49FA-9959-71E03E080B4E}" uniqueName="2403" name="22939" queryTableFieldId="2403"/>
    <tableColumn id="2404" xr3:uid="{6BB19EE6-8951-4968-AE6C-BAD7C1A87F5B}" uniqueName="2404" name="22940" queryTableFieldId="2404"/>
    <tableColumn id="2405" xr3:uid="{7A07A801-B787-471D-B36C-6A061A2CA515}" uniqueName="2405" name="22942" queryTableFieldId="2405"/>
    <tableColumn id="2406" xr3:uid="{54504EAD-81A4-43B9-B630-5CEC05A9F17F}" uniqueName="2406" name="22943" queryTableFieldId="2406"/>
    <tableColumn id="2407" xr3:uid="{A5EEB90E-3648-4415-8804-465514A7F6B5}" uniqueName="2407" name="22946" queryTableFieldId="2407"/>
    <tableColumn id="2408" xr3:uid="{6B651E57-EF64-42A7-92A2-88BBB7000E8F}" uniqueName="2408" name="22947" queryTableFieldId="2408"/>
    <tableColumn id="2409" xr3:uid="{C93E06DB-CD95-4CA1-8270-EA85EBE465F6}" uniqueName="2409" name="22948" queryTableFieldId="2409"/>
    <tableColumn id="2410" xr3:uid="{3299E8E4-2FB6-4280-9499-BADFE4F50C54}" uniqueName="2410" name="22949" queryTableFieldId="2410"/>
    <tableColumn id="2411" xr3:uid="{BBDDE329-DE02-47DF-8CBF-4D3A0F4BD514}" uniqueName="2411" name="22952" queryTableFieldId="2411"/>
    <tableColumn id="2412" xr3:uid="{657A1B9C-D6AE-4812-92E9-64C688A70427}" uniqueName="2412" name="22957" queryTableFieldId="2412"/>
    <tableColumn id="2413" xr3:uid="{7EC03DA9-EFA2-4A56-BFF1-F62A7076C3D1}" uniqueName="2413" name="22958" queryTableFieldId="2413"/>
    <tableColumn id="2414" xr3:uid="{132100B5-D824-4A2F-82E8-1278206167FF}" uniqueName="2414" name="22959" queryTableFieldId="2414"/>
    <tableColumn id="2415" xr3:uid="{679ECB32-19A8-4FB4-909C-FE1AAEB2E881}" uniqueName="2415" name="22960" queryTableFieldId="2415"/>
    <tableColumn id="2416" xr3:uid="{7A3F3878-0BDA-4D9E-A152-38ADBCAAEC3D}" uniqueName="2416" name="22963" queryTableFieldId="2416"/>
    <tableColumn id="2417" xr3:uid="{636B68EF-F601-4064-9488-FB89ADEE1FEE}" uniqueName="2417" name="22964" queryTableFieldId="2417"/>
    <tableColumn id="2418" xr3:uid="{512BC4F8-7002-4A4F-AAA9-7E1E31BF686E}" uniqueName="2418" name="22967" queryTableFieldId="2418"/>
    <tableColumn id="2419" xr3:uid="{3CDD62FF-1610-4314-A6C5-6F0998615427}" uniqueName="2419" name="22968" queryTableFieldId="2419"/>
    <tableColumn id="2420" xr3:uid="{C2C34068-AECC-45B3-B9CB-5BBE123FAB22}" uniqueName="2420" name="22969" queryTableFieldId="2420"/>
    <tableColumn id="2421" xr3:uid="{B3B6EED2-AB19-421A-83E9-CE9FD40EECF0}" uniqueName="2421" name="22971" queryTableFieldId="2421"/>
    <tableColumn id="2422" xr3:uid="{662118AD-C53F-4B57-8BE4-A88AF7390C7C}" uniqueName="2422" name="22972" queryTableFieldId="2422"/>
    <tableColumn id="2423" xr3:uid="{CD0A3972-0AF4-4C0E-951A-2EE8742C06C4}" uniqueName="2423" name="22973" queryTableFieldId="2423"/>
    <tableColumn id="2424" xr3:uid="{F8AF28C7-272D-4472-9DD5-C1DCC1F8C2ED}" uniqueName="2424" name="22974" queryTableFieldId="2424"/>
    <tableColumn id="2425" xr3:uid="{E6FE5EF7-01C0-4860-91AD-670FF322C0FC}" uniqueName="2425" name="22976" queryTableFieldId="2425"/>
    <tableColumn id="2426" xr3:uid="{C3B791E7-6876-4E82-A966-319DDAE37AC7}" uniqueName="2426" name="22980" queryTableFieldId="2426"/>
    <tableColumn id="2427" xr3:uid="{BDB7D80B-910C-4A95-BE91-03EAD9EDCE7E}" uniqueName="2427" name="22989" queryTableFieldId="2427"/>
    <tableColumn id="2428" xr3:uid="{21038A9F-8497-4029-8EB0-21D649CA8370}" uniqueName="2428" name="23002" queryTableFieldId="2428"/>
    <tableColumn id="2429" xr3:uid="{E70E2120-6CBB-4291-82F2-79A0147912EA}" uniqueName="2429" name="23004" queryTableFieldId="2429"/>
    <tableColumn id="2430" xr3:uid="{A90A1C49-A05F-49E6-9795-F1BAAC02362C}" uniqueName="2430" name="23005" queryTableFieldId="2430"/>
    <tableColumn id="2431" xr3:uid="{CD475CBE-5991-46D0-9D49-E20D08D1D302}" uniqueName="2431" name="23009" queryTableFieldId="2431"/>
    <tableColumn id="2432" xr3:uid="{5EA095A8-0BE9-4D1E-8EC3-988E5F352926}" uniqueName="2432" name="23011" queryTableFieldId="2432"/>
    <tableColumn id="2433" xr3:uid="{12C2AD02-3D47-4BDF-AAEB-7B80F336DA9D}" uniqueName="2433" name="23015" queryTableFieldId="2433"/>
    <tableColumn id="2434" xr3:uid="{9DA96D55-9C3D-44E1-936B-BB6CE291F487}" uniqueName="2434" name="23021" queryTableFieldId="2434"/>
    <tableColumn id="2435" xr3:uid="{A4E4A2AA-425B-46F3-9BF7-A89F06DCEA3C}" uniqueName="2435" name="23022" queryTableFieldId="2435"/>
    <tableColumn id="2436" xr3:uid="{CF2D53B3-88C4-4F35-86FB-F7F903AE3029}" uniqueName="2436" name="23023" queryTableFieldId="2436"/>
    <tableColumn id="2437" xr3:uid="{D378696B-01F7-42CE-B62F-D53F3DC5A8E0}" uniqueName="2437" name="23024" queryTableFieldId="2437"/>
    <tableColumn id="2438" xr3:uid="{B1078AE4-C6F3-434B-981B-FB99104DB9CC}" uniqueName="2438" name="23025" queryTableFieldId="2438"/>
    <tableColumn id="2439" xr3:uid="{F7D46225-178F-48B2-B7C2-F6131482D136}" uniqueName="2439" name="23027" queryTableFieldId="2439"/>
    <tableColumn id="2440" xr3:uid="{8E1AE8A5-146C-4AB1-8677-7C3BDC9EEEDD}" uniqueName="2440" name="23030" queryTableFieldId="2440"/>
    <tableColumn id="2441" xr3:uid="{96044C01-9CDA-4642-A49E-D225C4AF81BE}" uniqueName="2441" name="23032" queryTableFieldId="2441"/>
    <tableColumn id="2442" xr3:uid="{513815DE-179C-4F51-8BBA-44A8588033B8}" uniqueName="2442" name="23035" queryTableFieldId="2442"/>
    <tableColumn id="2443" xr3:uid="{7C234DEA-6A75-4174-9414-92DE9C70BD01}" uniqueName="2443" name="23038" queryTableFieldId="2443"/>
    <tableColumn id="2444" xr3:uid="{5CF1961A-0A4E-4AD1-B2B9-34D7C3397997}" uniqueName="2444" name="23039" queryTableFieldId="2444"/>
    <tableColumn id="2445" xr3:uid="{067A5225-1754-4468-B4BA-63259C985462}" uniqueName="2445" name="23040" queryTableFieldId="2445"/>
    <tableColumn id="2446" xr3:uid="{9B08D2EA-EFDB-4A33-968C-3BC42E00CFEA}" uniqueName="2446" name="23043" queryTableFieldId="2446"/>
    <tableColumn id="2447" xr3:uid="{41611036-80C9-47B4-88FD-3A4432B50D14}" uniqueName="2447" name="23045" queryTableFieldId="2447"/>
    <tableColumn id="2448" xr3:uid="{32B03584-7294-480C-9587-65ED1FB0A60E}" uniqueName="2448" name="23047" queryTableFieldId="2448"/>
    <tableColumn id="2449" xr3:uid="{6B5CCBF7-DDA3-4577-987E-B17BD65E9372}" uniqueName="2449" name="23050" queryTableFieldId="2449"/>
    <tableColumn id="2450" xr3:uid="{B95B4F8D-9D1D-4A52-93D8-D279268E23C3}" uniqueName="2450" name="23055" queryTableFieldId="2450"/>
    <tableColumn id="2451" xr3:uid="{B61CFAC2-C92A-49C3-B2BF-3C0330A9E817}" uniqueName="2451" name="23056" queryTableFieldId="2451"/>
    <tableColumn id="2452" xr3:uid="{B821969B-DD6D-4AAA-ABDB-042D1CD5CF15}" uniqueName="2452" name="23059" queryTableFieldId="2452"/>
    <tableColumn id="2453" xr3:uid="{01E57F60-270A-4A49-A31E-9FF9654FA158}" uniqueName="2453" name="23060" queryTableFieldId="2453"/>
    <tableColumn id="2454" xr3:uid="{709DFB38-F77D-4A71-83F7-BF119D7C9AE6}" uniqueName="2454" name="23061" queryTableFieldId="2454"/>
    <tableColumn id="2455" xr3:uid="{C359A885-080B-4027-B2F5-CAD64D9EE2C4}" uniqueName="2455" name="23062" queryTableFieldId="2455"/>
    <tableColumn id="2456" xr3:uid="{56A74319-D960-4E8C-AA85-D0B0859172FC}" uniqueName="2456" name="23063" queryTableFieldId="2456"/>
    <tableColumn id="2457" xr3:uid="{3768429D-5CDA-42DB-9DD4-56677B836D70}" uniqueName="2457" name="23065" queryTableFieldId="2457"/>
    <tableColumn id="2458" xr3:uid="{EBD5DD8F-6BFC-40F1-A08F-3530EA726AA6}" uniqueName="2458" name="23066" queryTableFieldId="2458"/>
    <tableColumn id="2459" xr3:uid="{B0EA6F5D-0340-456C-B3E0-EBF6F7F99385}" uniqueName="2459" name="23068" queryTableFieldId="2459"/>
    <tableColumn id="2460" xr3:uid="{D3ECF786-FF0B-445D-BE55-AF857C8C684C}" uniqueName="2460" name="23069" queryTableFieldId="2460"/>
    <tableColumn id="2461" xr3:uid="{561EB940-72E1-4F20-9C32-93F126FCFB09}" uniqueName="2461" name="23070" queryTableFieldId="2461"/>
    <tableColumn id="2462" xr3:uid="{1FD1F6FD-8D2C-4A1A-9CE1-0DC501846302}" uniqueName="2462" name="23071" queryTableFieldId="2462"/>
    <tableColumn id="2463" xr3:uid="{8C2E2ED1-1B70-446C-8AF4-7C79043646B5}" uniqueName="2463" name="23072" queryTableFieldId="2463"/>
    <tableColumn id="2464" xr3:uid="{5CB88C6F-C6D9-44DA-9E11-0AB9F388F585}" uniqueName="2464" name="23075" queryTableFieldId="2464"/>
    <tableColumn id="2465" xr3:uid="{AD189DD5-608F-4B61-8450-298E7E31B3A2}" uniqueName="2465" name="23076" queryTableFieldId="2465"/>
    <tableColumn id="2466" xr3:uid="{5427BA28-2B48-4830-B998-27439CAB3695}" uniqueName="2466" name="23079" queryTableFieldId="2466"/>
    <tableColumn id="2467" xr3:uid="{3373B2DE-BF05-4757-A803-E3896391E64C}" uniqueName="2467" name="23081" queryTableFieldId="2467"/>
    <tableColumn id="2468" xr3:uid="{C365AB96-E62E-42F8-991B-13972F5EF5BC}" uniqueName="2468" name="23083" queryTableFieldId="2468"/>
    <tableColumn id="2469" xr3:uid="{CAF5A6ED-A3D4-44BF-9800-D866446BD35C}" uniqueName="2469" name="23084" queryTableFieldId="2469"/>
    <tableColumn id="2470" xr3:uid="{DBA57E48-A386-459F-9643-86EEADCAE9A7}" uniqueName="2470" name="23085" queryTableFieldId="2470"/>
    <tableColumn id="2471" xr3:uid="{EFC638FC-8003-488D-B1B7-FC2ABC4268B5}" uniqueName="2471" name="23086" queryTableFieldId="2471"/>
    <tableColumn id="2472" xr3:uid="{AEA8FED2-CD56-4034-9C3F-0F821FF83779}" uniqueName="2472" name="23089" queryTableFieldId="2472"/>
    <tableColumn id="2473" xr3:uid="{7D1AF35E-8EFA-4FB1-B0B2-744376B048CA}" uniqueName="2473" name="23091" queryTableFieldId="2473"/>
    <tableColumn id="2474" xr3:uid="{DA339930-5D39-4D5C-9F01-FB458A3BD87C}" uniqueName="2474" name="23092" queryTableFieldId="2474"/>
    <tableColumn id="2475" xr3:uid="{BFDCD9C2-6219-493B-A494-74743C2A2B50}" uniqueName="2475" name="23093" queryTableFieldId="2475"/>
    <tableColumn id="2476" xr3:uid="{0590A0A5-E345-4D38-A3C9-429AFFDBE1F2}" uniqueName="2476" name="23102" queryTableFieldId="2476"/>
    <tableColumn id="2477" xr3:uid="{35CE92B5-1784-40C4-92D6-FE58400507CD}" uniqueName="2477" name="23103" queryTableFieldId="2477"/>
    <tableColumn id="2478" xr3:uid="{013CDECD-6CF6-4647-8543-6B004A4C09DD}" uniqueName="2478" name="23106" queryTableFieldId="2478"/>
    <tableColumn id="2479" xr3:uid="{31EE37B4-88FD-4BB3-892B-0EF907760075}" uniqueName="2479" name="23108" queryTableFieldId="2479"/>
    <tableColumn id="2480" xr3:uid="{02440973-7527-43D1-A481-4E99A3975FDF}" uniqueName="2480" name="23109" queryTableFieldId="2480"/>
    <tableColumn id="2481" xr3:uid="{7A2FAEE5-468C-493D-ABB4-69CCC6399709}" uniqueName="2481" name="23110" queryTableFieldId="2481"/>
    <tableColumn id="2482" xr3:uid="{E5F4C9E7-CEFB-405F-8324-77533109BA53}" uniqueName="2482" name="23111" queryTableFieldId="2482"/>
    <tableColumn id="2483" xr3:uid="{256C10F2-6AA1-4B56-81D7-4ADEC04FE4FF}" uniqueName="2483" name="23112" queryTableFieldId="2483"/>
    <tableColumn id="2484" xr3:uid="{261E3A2E-73F9-443F-A68D-E605B2C044B8}" uniqueName="2484" name="23113" queryTableFieldId="2484"/>
    <tableColumn id="2485" xr3:uid="{D757CA9B-E918-486B-A17B-EABF0B8329AB}" uniqueName="2485" name="23114" queryTableFieldId="2485"/>
    <tableColumn id="2486" xr3:uid="{1E8A0C02-5A56-4AFB-B458-C0E028EAB83F}" uniqueName="2486" name="23116" queryTableFieldId="2486"/>
    <tableColumn id="2487" xr3:uid="{975473A8-C0EA-43DC-9432-C3941BC04C66}" uniqueName="2487" name="23117" queryTableFieldId="2487"/>
    <tableColumn id="2488" xr3:uid="{BAA21C13-B085-41F5-9A39-360A9C183F51}" uniqueName="2488" name="23119" queryTableFieldId="2488"/>
    <tableColumn id="2489" xr3:uid="{44C6B3B4-67AC-4D28-B2B8-E03B9C086A82}" uniqueName="2489" name="23120" queryTableFieldId="2489"/>
    <tableColumn id="2490" xr3:uid="{AF4228E1-D629-4AEC-88B8-1AEFBC813E9D}" uniqueName="2490" name="23123" queryTableFieldId="2490"/>
    <tableColumn id="2491" xr3:uid="{6024F5E2-1BED-425F-B668-B9A8624F133F}" uniqueName="2491" name="23124" queryTableFieldId="2491"/>
    <tableColumn id="2492" xr3:uid="{72B4F23D-5F64-4CF7-87F0-0CF398C7C1B5}" uniqueName="2492" name="23126" queryTableFieldId="2492"/>
    <tableColumn id="2493" xr3:uid="{96A13772-CECF-4F93-A591-94BABAF4DCE1}" uniqueName="2493" name="23128" queryTableFieldId="2493"/>
    <tableColumn id="2494" xr3:uid="{CF909173-7A8B-4692-8A85-B48760330334}" uniqueName="2494" name="23129" queryTableFieldId="2494"/>
    <tableColumn id="2495" xr3:uid="{D1C0D990-B53C-4A58-B365-FDFA9354C01A}" uniqueName="2495" name="23130" queryTableFieldId="2495"/>
    <tableColumn id="2496" xr3:uid="{64CC7CE0-C951-4E81-8AFA-CFC02D8B624B}" uniqueName="2496" name="23138" queryTableFieldId="2496"/>
    <tableColumn id="2497" xr3:uid="{8064B92F-A7A3-47F1-AF72-85F165C2384A}" uniqueName="2497" name="23139" queryTableFieldId="2497"/>
    <tableColumn id="2498" xr3:uid="{DC0EE9DB-FA3F-458C-B7D0-B27253E8D187}" uniqueName="2498" name="23140" queryTableFieldId="2498"/>
    <tableColumn id="2499" xr3:uid="{32CAC344-6DFB-466B-B2FA-04081050E455}" uniqueName="2499" name="23141" queryTableFieldId="2499"/>
    <tableColumn id="2500" xr3:uid="{8F7DCC43-96AE-4D81-BC6E-8FC04A480432}" uniqueName="2500" name="23146" queryTableFieldId="2500"/>
    <tableColumn id="2501" xr3:uid="{519141D8-BBF5-4CC8-ACAE-9536569E305B}" uniqueName="2501" name="23147" queryTableFieldId="2501"/>
    <tableColumn id="2502" xr3:uid="{EFB64F3D-7DA9-4DE0-A623-A97488326E5D}" uniqueName="2502" name="23148" queryTableFieldId="2502"/>
    <tableColumn id="2503" xr3:uid="{565DC4DF-507F-42B0-B6E2-3F9EE7E596F4}" uniqueName="2503" name="23149" queryTableFieldId="2503"/>
    <tableColumn id="2504" xr3:uid="{841B57BC-EB17-4DA5-8C47-04DC9C8657BE}" uniqueName="2504" name="23150" queryTableFieldId="2504"/>
    <tableColumn id="2505" xr3:uid="{70D7B96A-9CDC-4AC2-8345-99BDAB079F4C}" uniqueName="2505" name="23153" queryTableFieldId="2505"/>
    <tableColumn id="2506" xr3:uid="{D431CB03-9865-4031-9AF0-A9F011DBFCAE}" uniqueName="2506" name="23156" queryTableFieldId="2506"/>
    <tableColumn id="2507" xr3:uid="{C676506E-9801-4D17-9ABA-B978228C0F43}" uniqueName="2507" name="23160" queryTableFieldId="2507"/>
    <tableColumn id="2508" xr3:uid="{A1417E08-0880-4E1B-B397-FB3492C897B1}" uniqueName="2508" name="23161" queryTableFieldId="2508"/>
    <tableColumn id="2509" xr3:uid="{AACE5A6E-21E5-4141-B38A-A75E35B4EF33}" uniqueName="2509" name="23163" queryTableFieldId="2509"/>
    <tableColumn id="2510" xr3:uid="{5B6379D3-5C8D-41F4-9D4B-C0261A5044D2}" uniqueName="2510" name="23168" queryTableFieldId="2510"/>
    <tableColumn id="2511" xr3:uid="{DE3C746F-F36E-4C51-AF81-19065078AF74}" uniqueName="2511" name="23169" queryTableFieldId="2511"/>
    <tableColumn id="2512" xr3:uid="{97778B48-0AC9-4562-A47E-BEBD6DF23F02}" uniqueName="2512" name="23173" queryTableFieldId="2512"/>
    <tableColumn id="2513" xr3:uid="{6E3D5E12-5EFC-4558-B276-56E54B06D27B}" uniqueName="2513" name="23175" queryTableFieldId="2513"/>
    <tableColumn id="2514" xr3:uid="{B2BF6275-F4ED-4776-8535-6432F606E3F7}" uniqueName="2514" name="23176" queryTableFieldId="2514"/>
    <tableColumn id="2515" xr3:uid="{337CC170-A0CC-4F4A-BBDA-2AD2DD9C246A}" uniqueName="2515" name="23177" queryTableFieldId="2515"/>
    <tableColumn id="2516" xr3:uid="{E206CD79-04D4-4482-B944-28719758E209}" uniqueName="2516" name="23180" queryTableFieldId="2516"/>
    <tableColumn id="2517" xr3:uid="{2185AA52-F60F-4212-8A70-F9BD7E15AF2D}" uniqueName="2517" name="23181" queryTableFieldId="2517"/>
    <tableColumn id="2518" xr3:uid="{C73E08CD-4000-4599-B335-DC0978E91FC1}" uniqueName="2518" name="23185" queryTableFieldId="2518"/>
    <tableColumn id="2519" xr3:uid="{295CB244-451B-42EF-8422-BE45F687270E}" uniqueName="2519" name="23188" queryTableFieldId="2519"/>
    <tableColumn id="2520" xr3:uid="{C03CD26F-8D7E-4F62-9E0B-B7566C638695}" uniqueName="2520" name="23192" queryTableFieldId="2520"/>
    <tableColumn id="2521" xr3:uid="{092EB14E-FA45-4AFF-B930-B44A46822EE0}" uniqueName="2521" name="23219" queryTableFieldId="2521"/>
    <tableColumn id="2522" xr3:uid="{AB04BF16-1662-4B16-9CF9-E4C177D4BFE9}" uniqueName="2522" name="23220" queryTableFieldId="2522"/>
    <tableColumn id="2523" xr3:uid="{2521C9A0-CA3D-49D8-973F-82B562C9B7CF}" uniqueName="2523" name="23221" queryTableFieldId="2523"/>
    <tableColumn id="2524" xr3:uid="{0BE46C4C-2B4B-4952-8126-CFD2F24DE168}" uniqueName="2524" name="23222" queryTableFieldId="2524"/>
    <tableColumn id="2525" xr3:uid="{91D951CC-2429-452F-8F07-692422F3706B}" uniqueName="2525" name="23223" queryTableFieldId="2525"/>
    <tableColumn id="2526" xr3:uid="{AB4C3C9E-35BE-4D9D-952A-4D6442517865}" uniqueName="2526" name="23224" queryTableFieldId="2526"/>
    <tableColumn id="2527" xr3:uid="{A29F184A-A37C-4579-B463-992F01DC451C}" uniqueName="2527" name="23225" queryTableFieldId="2527"/>
    <tableColumn id="2528" xr3:uid="{75206A82-2681-43E8-8C97-6293C1F65264}" uniqueName="2528" name="23226" queryTableFieldId="2528"/>
    <tableColumn id="2529" xr3:uid="{15B8AAEF-7D0D-4D40-97C2-CC0C01C21CD8}" uniqueName="2529" name="23227" queryTableFieldId="2529"/>
    <tableColumn id="2530" xr3:uid="{EF4A26EF-A290-44F2-8A7B-7122B9A40231}" uniqueName="2530" name="23228" queryTableFieldId="2530"/>
    <tableColumn id="2531" xr3:uid="{31DB4D62-45A1-4DD2-9476-886B0349257C}" uniqueName="2531" name="23229" queryTableFieldId="2531"/>
    <tableColumn id="2532" xr3:uid="{25F46887-9A1A-4E98-8EE2-18F30BFDD4D7}" uniqueName="2532" name="23230" queryTableFieldId="2532"/>
    <tableColumn id="2533" xr3:uid="{09FD0022-8B11-48A5-8032-DA410DE778F6}" uniqueName="2533" name="23231" queryTableFieldId="2533"/>
    <tableColumn id="2534" xr3:uid="{1F3EC84D-3502-4A0F-8997-0E7D57117EAF}" uniqueName="2534" name="23233" queryTableFieldId="2534"/>
    <tableColumn id="2535" xr3:uid="{1AFB650A-2B7E-4D5C-935D-9B00A27A3639}" uniqueName="2535" name="23234" queryTableFieldId="2535"/>
    <tableColumn id="2536" xr3:uid="{EB32DE45-36EA-4345-AD2E-63A4216CE9B7}" uniqueName="2536" name="23235" queryTableFieldId="2536"/>
    <tableColumn id="2537" xr3:uid="{A0B41948-A72C-4D80-83C3-9211F4CCC315}" uniqueName="2537" name="23236" queryTableFieldId="2537"/>
    <tableColumn id="2538" xr3:uid="{DA4BC276-830A-4BF7-BBCA-840FC72B70D6}" uniqueName="2538" name="23237" queryTableFieldId="2538"/>
    <tableColumn id="2539" xr3:uid="{3F8B355E-08C9-42EC-834A-D9874BF2B6E5}" uniqueName="2539" name="23238" queryTableFieldId="2539"/>
    <tableColumn id="2540" xr3:uid="{00EF1C26-17D5-4415-B746-0E224C40D2EE}" uniqueName="2540" name="23250" queryTableFieldId="2540"/>
    <tableColumn id="2541" xr3:uid="{ACD42A97-7757-4451-8C64-0CF849A76930}" uniqueName="2541" name="23284" queryTableFieldId="2541"/>
    <tableColumn id="2542" xr3:uid="{1ED3C55F-0643-4C53-9AE1-B3EE6CB00229}" uniqueName="2542" name="23294" queryTableFieldId="2542"/>
    <tableColumn id="2543" xr3:uid="{349D9443-B88A-489A-B2B2-88D9DF0AC727}" uniqueName="2543" name="23298" queryTableFieldId="2543"/>
    <tableColumn id="2544" xr3:uid="{40FFB63B-2960-494B-AED6-5A45309567DC}" uniqueName="2544" name="23301" queryTableFieldId="2544"/>
    <tableColumn id="2545" xr3:uid="{4896A2CB-4A62-4569-A157-BC7B80010758}" uniqueName="2545" name="23302" queryTableFieldId="2545"/>
    <tableColumn id="2546" xr3:uid="{9F225808-E181-4392-B44B-9BCAA5D00555}" uniqueName="2546" name="23303" queryTableFieldId="2546"/>
    <tableColumn id="2547" xr3:uid="{01DE4F69-91A8-49D2-AD0D-89BED5027055}" uniqueName="2547" name="23304" queryTableFieldId="2547"/>
    <tableColumn id="2548" xr3:uid="{2273ED77-46E1-474A-9277-5C2C434F2041}" uniqueName="2548" name="23306" queryTableFieldId="2548"/>
    <tableColumn id="2549" xr3:uid="{F8B50A8F-FD00-4C2F-A36F-656E3B98E56C}" uniqueName="2549" name="23307" queryTableFieldId="2549"/>
    <tableColumn id="2550" xr3:uid="{53C21065-84B8-4432-ACC8-CDF0AB0CF8F0}" uniqueName="2550" name="23308" queryTableFieldId="2550"/>
    <tableColumn id="2551" xr3:uid="{F8A87919-F135-44F0-9103-36BF74A89FBB}" uniqueName="2551" name="23310" queryTableFieldId="2551"/>
    <tableColumn id="2552" xr3:uid="{FB0D5187-C5C2-4279-BE22-EAE35BAAAE3C}" uniqueName="2552" name="23314" queryTableFieldId="2552"/>
    <tableColumn id="2553" xr3:uid="{D4E335B7-8529-4619-964E-AA6E974211F1}" uniqueName="2553" name="23315" queryTableFieldId="2553"/>
    <tableColumn id="2554" xr3:uid="{1C857B2E-527D-4F49-92FF-D38B22D7B79D}" uniqueName="2554" name="23316" queryTableFieldId="2554"/>
    <tableColumn id="2555" xr3:uid="{D365B61C-5D9F-4125-9099-0F5695764696}" uniqueName="2555" name="23320" queryTableFieldId="2555"/>
    <tableColumn id="2556" xr3:uid="{7C79C827-983D-490B-A8DF-988E726B362F}" uniqueName="2556" name="23321" queryTableFieldId="2556"/>
    <tableColumn id="2557" xr3:uid="{84349DB7-D75F-4E25-A1BC-FA68BEC81F5D}" uniqueName="2557" name="23322" queryTableFieldId="2557"/>
    <tableColumn id="2558" xr3:uid="{7EC4DD41-0406-49BD-BC1B-CFB40CA431A7}" uniqueName="2558" name="23323" queryTableFieldId="2558"/>
    <tableColumn id="2559" xr3:uid="{9BF82972-7A90-4ADE-9E9C-B32D1418A44C}" uniqueName="2559" name="23324" queryTableFieldId="2559"/>
    <tableColumn id="2560" xr3:uid="{5EBF02E2-52A1-4DD5-89D5-D912FDE9F75E}" uniqueName="2560" name="23325" queryTableFieldId="2560"/>
    <tableColumn id="2561" xr3:uid="{630052FF-482E-42DA-AE49-8935CAE58501}" uniqueName="2561" name="23336" queryTableFieldId="2561"/>
    <tableColumn id="2562" xr3:uid="{08F3DC77-DABF-4863-A6FB-5AE7390C0829}" uniqueName="2562" name="23337" queryTableFieldId="2562"/>
    <tableColumn id="2563" xr3:uid="{C68B4E90-8696-4916-AEEB-796069D86796}" uniqueName="2563" name="23347" queryTableFieldId="2563"/>
    <tableColumn id="2564" xr3:uid="{AF0AEE6D-06C8-42AF-B5E0-BC08FCC7BCA6}" uniqueName="2564" name="23350" queryTableFieldId="2564"/>
    <tableColumn id="2565" xr3:uid="{2949EEB1-B306-4977-BB7F-081E3BC5F1B7}" uniqueName="2565" name="23354" queryTableFieldId="2565"/>
    <tableColumn id="2566" xr3:uid="{D7AE92C7-FAAB-4D4C-825F-DA5E83CD9787}" uniqueName="2566" name="23356" queryTableFieldId="2566"/>
    <tableColumn id="2567" xr3:uid="{2B14B5F3-E17C-4087-8B2C-ED2FE2859B04}" uniqueName="2567" name="23357" queryTableFieldId="2567"/>
    <tableColumn id="2568" xr3:uid="{59EAC84B-10CF-429A-A9E2-EF3C4B95BE84}" uniqueName="2568" name="23358" queryTableFieldId="2568"/>
    <tableColumn id="2569" xr3:uid="{C51A8DD0-E1BD-43D4-8A8A-95FD2FB17E63}" uniqueName="2569" name="23359" queryTableFieldId="2569"/>
    <tableColumn id="2570" xr3:uid="{D8EBD961-D284-4112-8A60-E3FFF12A2CF6}" uniqueName="2570" name="23389" queryTableFieldId="2570"/>
    <tableColumn id="2571" xr3:uid="{DBC9828F-355B-49E6-AC51-A0BC6BFB0F1B}" uniqueName="2571" name="23395" queryTableFieldId="2571"/>
    <tableColumn id="2572" xr3:uid="{512E0C53-E9EC-426E-8832-7EB32DAAD158}" uniqueName="2572" name="23398" queryTableFieldId="2572"/>
    <tableColumn id="2573" xr3:uid="{05416816-8376-42E8-9C23-8F7D18BD5904}" uniqueName="2573" name="23401" queryTableFieldId="2573"/>
    <tableColumn id="2574" xr3:uid="{6B6AF518-34A1-4F55-8B56-250E11C62DCD}" uniqueName="2574" name="23405" queryTableFieldId="2574"/>
    <tableColumn id="2575" xr3:uid="{08A1893E-3430-487C-8552-61808F816D4A}" uniqueName="2575" name="23407" queryTableFieldId="2575"/>
    <tableColumn id="2576" xr3:uid="{0EC95F8C-F59E-44FA-8F24-EBF40DB97778}" uniqueName="2576" name="23408" queryTableFieldId="2576"/>
    <tableColumn id="2577" xr3:uid="{EF3E7FBF-49CB-48C6-8744-8B3535C27B42}" uniqueName="2577" name="23409" queryTableFieldId="2577"/>
    <tableColumn id="2578" xr3:uid="{687C12D4-0096-4CCF-A8D7-19BCCC15EA4B}" uniqueName="2578" name="23410" queryTableFieldId="2578"/>
    <tableColumn id="2579" xr3:uid="{1D8B8983-732E-4545-A5A5-B72FBF13F3EA}" uniqueName="2579" name="23413" queryTableFieldId="2579"/>
    <tableColumn id="2580" xr3:uid="{8D172FF3-E546-4E7A-9D06-FBA2DE0E6228}" uniqueName="2580" name="23414" queryTableFieldId="2580"/>
    <tableColumn id="2581" xr3:uid="{0A94D1F5-6124-44F9-90A9-80C6EF601920}" uniqueName="2581" name="23415" queryTableFieldId="2581"/>
    <tableColumn id="2582" xr3:uid="{1192C369-AA43-4270-B6E7-228020AD44C7}" uniqueName="2582" name="23416" queryTableFieldId="2582"/>
    <tableColumn id="2583" xr3:uid="{2E43481F-AD16-49AF-84FF-B3135DA8C3A8}" uniqueName="2583" name="23417" queryTableFieldId="2583"/>
    <tableColumn id="2584" xr3:uid="{397965BE-7255-4501-8836-A85AE25F4249}" uniqueName="2584" name="23418" queryTableFieldId="2584"/>
    <tableColumn id="2585" xr3:uid="{0249BEAA-7220-4E6D-BDDC-C0A28B865657}" uniqueName="2585" name="23420" queryTableFieldId="2585"/>
    <tableColumn id="2586" xr3:uid="{DBBF7455-FDF9-4B69-B5FE-1B4FB4A421FC}" uniqueName="2586" name="23421" queryTableFieldId="2586"/>
    <tableColumn id="2587" xr3:uid="{8F906899-6653-47A2-804D-4E64AEFB4E28}" uniqueName="2587" name="23422" queryTableFieldId="2587"/>
    <tableColumn id="2588" xr3:uid="{D602BBFD-3B69-4313-BDD6-A3D81E800D17}" uniqueName="2588" name="23423" queryTableFieldId="2588"/>
    <tableColumn id="2589" xr3:uid="{546FFE65-0BD0-4050-B39C-8DC007680302}" uniqueName="2589" name="23426" queryTableFieldId="2589"/>
    <tableColumn id="2590" xr3:uid="{07CB6DEE-36D6-448D-BD33-0E6F2D321935}" uniqueName="2590" name="23427" queryTableFieldId="2590"/>
    <tableColumn id="2591" xr3:uid="{0B5961FD-F9CC-498D-8D72-225CA4E30C2C}" uniqueName="2591" name="23430" queryTableFieldId="2591"/>
    <tableColumn id="2592" xr3:uid="{20352F63-A43F-42F9-B8A6-8758839D34A3}" uniqueName="2592" name="23432" queryTableFieldId="2592"/>
    <tableColumn id="2593" xr3:uid="{1C371435-67DC-4875-AFEC-EEFF2B524AB0}" uniqueName="2593" name="23433" queryTableFieldId="2593"/>
    <tableColumn id="2594" xr3:uid="{40A12E76-1B81-44A3-B3A4-BC556467E662}" uniqueName="2594" name="23434" queryTableFieldId="2594"/>
    <tableColumn id="2595" xr3:uid="{1C66CC2E-A2B2-4BD1-ADBE-AB7060C9B0FD}" uniqueName="2595" name="23435" queryTableFieldId="2595"/>
    <tableColumn id="2596" xr3:uid="{CE84B236-B8F8-419E-9636-A39627A8BAF0}" uniqueName="2596" name="23436" queryTableFieldId="2596"/>
    <tableColumn id="2597" xr3:uid="{88193103-9592-42E0-B896-E49D1C453109}" uniqueName="2597" name="23437" queryTableFieldId="2597"/>
    <tableColumn id="2598" xr3:uid="{632B83F7-21D2-4639-9E09-FB127693901A}" uniqueName="2598" name="23438" queryTableFieldId="2598"/>
    <tableColumn id="2599" xr3:uid="{2FB6E399-0121-47D5-885A-C558DEA7BFAE}" uniqueName="2599" name="23440" queryTableFieldId="2599"/>
    <tableColumn id="2600" xr3:uid="{7C57B944-2D7C-4CB0-BD6D-561513F366E4}" uniqueName="2600" name="23441" queryTableFieldId="2600"/>
    <tableColumn id="2601" xr3:uid="{57ACBF2D-72DC-410A-ABC3-867CB8969780}" uniqueName="2601" name="23442" queryTableFieldId="2601"/>
    <tableColumn id="2602" xr3:uid="{631098FA-C61C-4F1A-9298-88E750DAADD2}" uniqueName="2602" name="23451" queryTableFieldId="2602"/>
    <tableColumn id="2603" xr3:uid="{8B5CCF3F-C878-49E2-93E2-5A583C7F834F}" uniqueName="2603" name="23452" queryTableFieldId="2603"/>
    <tableColumn id="2604" xr3:uid="{E13EDD27-5D32-4EBA-BE2B-3F444FEC13AC}" uniqueName="2604" name="23453" queryTableFieldId="2604"/>
    <tableColumn id="2605" xr3:uid="{A32DC292-4177-4DCE-882E-B1AACA47DCFA}" uniqueName="2605" name="23454" queryTableFieldId="2605"/>
    <tableColumn id="2606" xr3:uid="{E7B70145-A78C-4C5F-A4F2-120366605C2B}" uniqueName="2606" name="23455" queryTableFieldId="2606"/>
    <tableColumn id="2607" xr3:uid="{6F4B2DF0-CEC9-404D-8EB4-0CF77C5831C9}" uniqueName="2607" name="23456" queryTableFieldId="2607"/>
    <tableColumn id="2608" xr3:uid="{34B9AD31-0EEB-42F0-8DF1-09DB220D21EF}" uniqueName="2608" name="23457" queryTableFieldId="2608"/>
    <tableColumn id="2609" xr3:uid="{402DFC56-A5F4-4A2C-A87F-7E55922976C0}" uniqueName="2609" name="23459" queryTableFieldId="2609"/>
    <tableColumn id="2610" xr3:uid="{B46C528D-9924-4EB5-8F1C-5938A9C77C08}" uniqueName="2610" name="23460" queryTableFieldId="2610"/>
    <tableColumn id="2611" xr3:uid="{0A713D76-D6C7-4753-AAA8-B7BDD0BF22B8}" uniqueName="2611" name="23461" queryTableFieldId="2611"/>
    <tableColumn id="2612" xr3:uid="{5D1BB3C7-153A-48D3-A6A5-EE44A6978C23}" uniqueName="2612" name="23462" queryTableFieldId="2612"/>
    <tableColumn id="2613" xr3:uid="{38A0D823-0880-4C6A-B4B8-12603345C89C}" uniqueName="2613" name="23464" queryTableFieldId="2613"/>
    <tableColumn id="2614" xr3:uid="{2C0F6F8E-5067-4595-A05C-7BFF36B273F1}" uniqueName="2614" name="23480" queryTableFieldId="2614"/>
    <tableColumn id="2615" xr3:uid="{6BC37B77-8632-4FB4-84E6-FDAFED5AD370}" uniqueName="2615" name="23486" queryTableFieldId="2615"/>
    <tableColumn id="2616" xr3:uid="{EE47F9D8-24D0-4AF9-95D5-BE9EE96F28FC}" uniqueName="2616" name="23487" queryTableFieldId="2616"/>
    <tableColumn id="2617" xr3:uid="{A6590BD6-E7F7-4B35-A496-4643665DEB13}" uniqueName="2617" name="23488" queryTableFieldId="2617"/>
    <tableColumn id="2618" xr3:uid="{45F67D59-C806-4CD4-8AF8-BEC3FD0510ED}" uniqueName="2618" name="23502" queryTableFieldId="2618"/>
    <tableColumn id="2619" xr3:uid="{00FAD268-5FE7-4C43-B869-3BA68FB7092F}" uniqueName="2619" name="23503" queryTableFieldId="2619"/>
    <tableColumn id="2620" xr3:uid="{927E1DA5-92B6-4DCD-BDB3-8A7CD7CE2035}" uniqueName="2620" name="23504" queryTableFieldId="2620"/>
    <tableColumn id="2621" xr3:uid="{B645F64F-F260-485F-B32B-2B046F445251}" uniqueName="2621" name="23505" queryTableFieldId="2621"/>
    <tableColumn id="2622" xr3:uid="{B398DB09-EBB8-4602-9DA0-52331FB8EF64}" uniqueName="2622" name="23507" queryTableFieldId="2622"/>
    <tableColumn id="2623" xr3:uid="{F98E48CB-63E9-43BF-B481-4216AB3729CC}" uniqueName="2623" name="23508" queryTableFieldId="2623"/>
    <tableColumn id="2624" xr3:uid="{EAED50EA-60AA-4359-8CFE-7F1619ECEC92}" uniqueName="2624" name="23509" queryTableFieldId="2624"/>
    <tableColumn id="2625" xr3:uid="{3B309572-64F5-4504-A613-EBF2C81366F5}" uniqueName="2625" name="23510" queryTableFieldId="2625"/>
    <tableColumn id="2626" xr3:uid="{F2B5147B-D526-4935-A238-3DFDD95FCCC4}" uniqueName="2626" name="23511" queryTableFieldId="2626"/>
    <tableColumn id="2627" xr3:uid="{DF277895-CCF2-4C79-8F7D-DF15921BDFE8}" uniqueName="2627" name="23513" queryTableFieldId="2627"/>
    <tableColumn id="2628" xr3:uid="{AF5C683D-F951-4518-9E3F-0E852A085361}" uniqueName="2628" name="23517" queryTableFieldId="2628"/>
    <tableColumn id="2629" xr3:uid="{8B7B898D-0E71-4F45-8CB2-2D548B5E2B93}" uniqueName="2629" name="23518" queryTableFieldId="2629"/>
    <tableColumn id="2630" xr3:uid="{AECA1962-CF1D-4656-9A18-C892DDE45C1A}" uniqueName="2630" name="23523" queryTableFieldId="2630"/>
    <tableColumn id="2631" xr3:uid="{995B3994-ACC4-4CC5-B393-F4EFA8958777}" uniqueName="2631" name="23551" queryTableFieldId="2631"/>
    <tableColumn id="2632" xr3:uid="{FF7DA753-15D6-464B-9439-2350F2496AAF}" uniqueName="2632" name="23601" queryTableFieldId="2632"/>
    <tableColumn id="2633" xr3:uid="{17E2DC93-D18A-4780-BE4A-02CE7168C567}" uniqueName="2633" name="23602" queryTableFieldId="2633"/>
    <tableColumn id="2634" xr3:uid="{609DCE79-19E4-486A-AEE8-DD984A3A8708}" uniqueName="2634" name="23603" queryTableFieldId="2634"/>
    <tableColumn id="2635" xr3:uid="{A07542D4-8AA1-4EEE-A0B7-251FC93884FA}" uniqueName="2635" name="23604" queryTableFieldId="2635"/>
    <tableColumn id="2636" xr3:uid="{E4D8008C-A10C-46E7-93C7-C46090875958}" uniqueName="2636" name="23605" queryTableFieldId="2636"/>
    <tableColumn id="2637" xr3:uid="{299ABA8F-0CEA-4DA1-BA51-AEC18BAB1887}" uniqueName="2637" name="23606" queryTableFieldId="2637"/>
    <tableColumn id="2638" xr3:uid="{4CBF706F-FFE9-465E-8757-E6ED6E324409}" uniqueName="2638" name="23607" queryTableFieldId="2638"/>
    <tableColumn id="2639" xr3:uid="{2FAC3CE1-DD4F-4A3D-9EAA-95F16B42E95C}" uniqueName="2639" name="23608" queryTableFieldId="2639"/>
    <tableColumn id="2640" xr3:uid="{159F1DD6-405E-47CB-9AC4-044EAA590FDE}" uniqueName="2640" name="23651" queryTableFieldId="2640"/>
    <tableColumn id="2641" xr3:uid="{CE329DC7-FD80-4EAF-AE38-0235DC4710D8}" uniqueName="2641" name="23661" queryTableFieldId="2641"/>
    <tableColumn id="2642" xr3:uid="{2A1A1812-847F-48A5-BEF2-DAF7FF65342F}" uniqueName="2642" name="23662" queryTableFieldId="2642"/>
    <tableColumn id="2643" xr3:uid="{35AEB90C-6766-4E3A-9A1B-38F98226A286}" uniqueName="2643" name="23663" queryTableFieldId="2643"/>
    <tableColumn id="2644" xr3:uid="{5C957CB6-FC6B-426A-A569-B246D36E6A9D}" uniqueName="2644" name="23664" queryTableFieldId="2644"/>
    <tableColumn id="2645" xr3:uid="{DAD2D086-A48E-4E65-A33E-97014B3D70D9}" uniqueName="2645" name="23665" queryTableFieldId="2645"/>
    <tableColumn id="2646" xr3:uid="{569DA3B7-A1CA-4BA1-866A-8272E63CA214}" uniqueName="2646" name="23666" queryTableFieldId="2646"/>
    <tableColumn id="2647" xr3:uid="{9CF7E524-BD45-4BD7-A261-A7A9662BD7ED}" uniqueName="2647" name="23667" queryTableFieldId="2647"/>
    <tableColumn id="2648" xr3:uid="{6665CE2C-3DAE-4BC4-8E52-1B3856BED1AA}" uniqueName="2648" name="23668" queryTableFieldId="2648"/>
    <tableColumn id="2649" xr3:uid="{6705E26A-6431-400C-9097-12F1B65C031F}" uniqueName="2649" name="23669" queryTableFieldId="2649"/>
    <tableColumn id="2650" xr3:uid="{79F9DAA8-F25D-42F0-982D-93A08471C862}" uniqueName="2650" name="23681" queryTableFieldId="2650"/>
    <tableColumn id="2651" xr3:uid="{DBAF609F-5416-4177-815F-B3AC2F5556DD}" uniqueName="2651" name="23690" queryTableFieldId="2651"/>
    <tableColumn id="2652" xr3:uid="{19687B0D-D8C5-4D2B-9761-6FCC68DD2D73}" uniqueName="2652" name="23691" queryTableFieldId="2652"/>
    <tableColumn id="2653" xr3:uid="{C5B42391-764A-4477-81BB-54BF9B92FEBB}" uniqueName="2653" name="23692" queryTableFieldId="2653"/>
    <tableColumn id="2654" xr3:uid="{02F3045E-F5C8-4C11-8CB9-C319EC44D22D}" uniqueName="2654" name="23693" queryTableFieldId="2654"/>
    <tableColumn id="2655" xr3:uid="{B34BE7CE-01E9-4921-8A09-9EE64956EAC1}" uniqueName="2655" name="23696" queryTableFieldId="2655"/>
    <tableColumn id="2656" xr3:uid="{C646237F-2134-4F4E-9C73-CB897F4EDBD5}" uniqueName="2656" name="23701" queryTableFieldId="2656"/>
    <tableColumn id="2657" xr3:uid="{959A00B3-8A1D-4C52-B570-67BAA3D17340}" uniqueName="2657" name="23702" queryTableFieldId="2657"/>
    <tableColumn id="2658" xr3:uid="{388722D6-55DD-4D09-A145-A2EFC4B5A253}" uniqueName="2658" name="23703" queryTableFieldId="2658"/>
    <tableColumn id="2659" xr3:uid="{B00A13B7-F344-4A8B-B472-937C4557BDCA}" uniqueName="2659" name="23704" queryTableFieldId="2659"/>
    <tableColumn id="2660" xr3:uid="{60C0906F-2859-4902-AB5B-DA5E78D2B7EF}" uniqueName="2660" name="23707" queryTableFieldId="2660"/>
    <tableColumn id="2661" xr3:uid="{85466798-FFDA-4E34-ABB6-D1C08CEAB4D5}" uniqueName="2661" name="23708" queryTableFieldId="2661"/>
    <tableColumn id="2662" xr3:uid="{B07AA146-DF02-4B99-8358-561137C71DD2}" uniqueName="2662" name="23709" queryTableFieldId="2662"/>
    <tableColumn id="2663" xr3:uid="{9810E503-FE3F-41CE-AC37-1514691F7545}" uniqueName="2663" name="23801" queryTableFieldId="2663"/>
    <tableColumn id="2664" xr3:uid="{09472271-A3D8-4E5B-9A34-BE2E9A84EEAB}" uniqueName="2664" name="23803" queryTableFieldId="2664"/>
    <tableColumn id="2665" xr3:uid="{4A41D4F1-07C1-4BAB-8520-D2850F689D5A}" uniqueName="2665" name="23805" queryTableFieldId="2665"/>
    <tableColumn id="2666" xr3:uid="{C160E4D3-2380-4ADB-95A9-168C9AAE4E3E}" uniqueName="2666" name="23821" queryTableFieldId="2666"/>
    <tableColumn id="2667" xr3:uid="{B150C69E-91A5-496D-92AA-3ECC6D98182B}" uniqueName="2667" name="23824" queryTableFieldId="2667"/>
    <tableColumn id="2668" xr3:uid="{8C1DCCCA-088A-4A0F-B70B-98CA26F67E2A}" uniqueName="2668" name="23827" queryTableFieldId="2668"/>
    <tableColumn id="2669" xr3:uid="{0E607B8E-A70D-40D8-A499-CBAB6FC00437}" uniqueName="2669" name="23828" queryTableFieldId="2669"/>
    <tableColumn id="2670" xr3:uid="{C3424DA3-A28D-4633-A46E-F6745C5319BA}" uniqueName="2670" name="23829" queryTableFieldId="2670"/>
    <tableColumn id="2671" xr3:uid="{57985547-4115-44A3-9E16-3A4816393FF5}" uniqueName="2671" name="23830" queryTableFieldId="2671"/>
    <tableColumn id="2672" xr3:uid="{DE10B22B-6E9E-488B-9325-6AB4FA269BF6}" uniqueName="2672" name="23831" queryTableFieldId="2672"/>
    <tableColumn id="2673" xr3:uid="{8188D33C-0127-47FD-9116-0A5DD1F1CCEE}" uniqueName="2673" name="23832" queryTableFieldId="2673"/>
    <tableColumn id="2674" xr3:uid="{01FD7222-5480-43CE-A363-3CB84286B2EB}" uniqueName="2674" name="23833" queryTableFieldId="2674"/>
    <tableColumn id="2675" xr3:uid="{B487E364-5021-4E2C-884A-DE780B46BA39}" uniqueName="2675" name="23834" queryTableFieldId="2675"/>
    <tableColumn id="2676" xr3:uid="{E2B4D6DF-456B-4160-9974-EE728C4E2D76}" uniqueName="2676" name="23836" queryTableFieldId="2676"/>
    <tableColumn id="2677" xr3:uid="{44B3D36E-2CA4-4E6C-B1DF-7F40A9CA3639}" uniqueName="2677" name="23837" queryTableFieldId="2677"/>
    <tableColumn id="2678" xr3:uid="{2EF5D351-72D8-4B95-ABC1-764A2DD08511}" uniqueName="2678" name="23838" queryTableFieldId="2678"/>
    <tableColumn id="2679" xr3:uid="{E0A04C46-B86C-4ADA-B8D4-48B33640821C}" uniqueName="2679" name="23839" queryTableFieldId="2679"/>
    <tableColumn id="2680" xr3:uid="{0C069EC1-ACFF-4F4E-8A12-647A56AF23CF}" uniqueName="2680" name="23840" queryTableFieldId="2680"/>
    <tableColumn id="2681" xr3:uid="{619AEAF7-8490-48D0-A6DC-6A285EFCFDD2}" uniqueName="2681" name="23841" queryTableFieldId="2681"/>
    <tableColumn id="2682" xr3:uid="{9064BCBB-3DB8-418B-B39E-03B42BF80FB5}" uniqueName="2682" name="23842" queryTableFieldId="2682"/>
    <tableColumn id="2683" xr3:uid="{78FC1B23-587B-467D-94F3-30D9E5CAFE8E}" uniqueName="2683" name="23843" queryTableFieldId="2683"/>
    <tableColumn id="2684" xr3:uid="{8CFE6EB3-8140-4F15-9595-2662473DD14A}" uniqueName="2684" name="23844" queryTableFieldId="2684"/>
    <tableColumn id="2685" xr3:uid="{E7D2D89C-452B-4144-AE24-D75B34CDFEFC}" uniqueName="2685" name="23845" queryTableFieldId="2685"/>
    <tableColumn id="2686" xr3:uid="{CCE438BD-5164-4106-8B78-AB99C9DACC84}" uniqueName="2686" name="23846" queryTableFieldId="2686"/>
    <tableColumn id="2687" xr3:uid="{4ABB600D-D2CB-43C7-855E-E653C307895B}" uniqueName="2687" name="23847" queryTableFieldId="2687"/>
    <tableColumn id="2688" xr3:uid="{66731E9B-74F2-4321-BC15-77AE45AEDFA8}" uniqueName="2688" name="23850" queryTableFieldId="2688"/>
    <tableColumn id="2689" xr3:uid="{CC5E5988-2CCA-4E6C-8B30-AA685CFE4EE6}" uniqueName="2689" name="23851" queryTableFieldId="2689"/>
    <tableColumn id="2690" xr3:uid="{ED016CDB-4037-4327-B1A1-30CD5E3E354A}" uniqueName="2690" name="23856" queryTableFieldId="2690"/>
    <tableColumn id="2691" xr3:uid="{14B12F1E-58F2-4193-9051-E9636B767C74}" uniqueName="2691" name="23857" queryTableFieldId="2691"/>
    <tableColumn id="2692" xr3:uid="{1021BB49-8669-4EF6-83DF-D814061AA583}" uniqueName="2692" name="23860" queryTableFieldId="2692"/>
    <tableColumn id="2693" xr3:uid="{B8DEA421-54E1-46EF-AE08-EF93EEBFBB28}" uniqueName="2693" name="23866" queryTableFieldId="2693"/>
    <tableColumn id="2694" xr3:uid="{8E3CEAEA-4FA4-4E68-AF2E-F796C4EA9252}" uniqueName="2694" name="23867" queryTableFieldId="2694"/>
    <tableColumn id="2695" xr3:uid="{F3939BF7-2C38-442E-90E3-CE5BA04684DF}" uniqueName="2695" name="23868" queryTableFieldId="2695"/>
    <tableColumn id="2696" xr3:uid="{27F47615-2AD7-4CA8-B989-7EEA134C62B0}" uniqueName="2696" name="23870" queryTableFieldId="2696"/>
    <tableColumn id="2697" xr3:uid="{17FFEF8A-43FD-4EFF-9AC3-277B6AD8479E}" uniqueName="2697" name="23872" queryTableFieldId="2697"/>
    <tableColumn id="2698" xr3:uid="{B713379F-59DB-4B87-A88E-DD6EBD87FCB4}" uniqueName="2698" name="23874" queryTableFieldId="2698"/>
    <tableColumn id="2699" xr3:uid="{F14204C5-674C-4C7A-8355-9E10165EFA9C}" uniqueName="2699" name="23875" queryTableFieldId="2699"/>
    <tableColumn id="2700" xr3:uid="{E72464D0-5D9B-42F5-9688-0B8B7DE9D850}" uniqueName="2700" name="23876" queryTableFieldId="2700"/>
    <tableColumn id="2701" xr3:uid="{516D2B0C-7117-4E8C-AF47-881712A4AC09}" uniqueName="2701" name="23878" queryTableFieldId="2701"/>
    <tableColumn id="2702" xr3:uid="{D4F79ACF-7A30-48D9-9028-E3E2C456E583}" uniqueName="2702" name="23879" queryTableFieldId="2702"/>
    <tableColumn id="2703" xr3:uid="{19ABA43F-9556-482A-9F1F-B9C6BF32E833}" uniqueName="2703" name="23881" queryTableFieldId="2703"/>
    <tableColumn id="2704" xr3:uid="{1ADFBB6E-69C0-4049-AB0E-072D0E23D56F}" uniqueName="2704" name="23882" queryTableFieldId="2704"/>
    <tableColumn id="2705" xr3:uid="{E34B8A81-EFE4-46FC-AC25-0DB516639792}" uniqueName="2705" name="23883" queryTableFieldId="2705"/>
    <tableColumn id="2706" xr3:uid="{169B9F3F-C09B-462A-B2C6-7910E8180CD2}" uniqueName="2706" name="23884" queryTableFieldId="2706"/>
    <tableColumn id="2707" xr3:uid="{2B7215FE-FBB5-4D00-832A-7657442AA7EB}" uniqueName="2707" name="23885" queryTableFieldId="2707"/>
    <tableColumn id="2708" xr3:uid="{FF661E44-7D3D-4D7D-8F34-EB128BC48D41}" uniqueName="2708" name="23887" queryTableFieldId="2708"/>
    <tableColumn id="2709" xr3:uid="{0DF2696F-188D-4C3A-9094-8A33EB9D842D}" uniqueName="2709" name="23888" queryTableFieldId="2709"/>
    <tableColumn id="2710" xr3:uid="{CDA7940B-2137-4983-A1CD-0906A1F017D2}" uniqueName="2710" name="23889" queryTableFieldId="2710"/>
    <tableColumn id="2711" xr3:uid="{7DFF4AB2-F42D-4049-A1B4-4E31E70BF056}" uniqueName="2711" name="23890" queryTableFieldId="2711"/>
    <tableColumn id="2712" xr3:uid="{6E937C2B-1F4B-4876-BA13-6D698FC73AD9}" uniqueName="2712" name="23891" queryTableFieldId="2712"/>
    <tableColumn id="2713" xr3:uid="{9D611AD2-7F38-4C15-A6B9-E9B7ACE55D82}" uniqueName="2713" name="23893" queryTableFieldId="2713"/>
    <tableColumn id="2714" xr3:uid="{0D552D0A-DB81-44EE-9272-C55CDA07BD35}" uniqueName="2714" name="23894" queryTableFieldId="2714"/>
    <tableColumn id="2715" xr3:uid="{0FB55BB5-F404-43A9-A834-09C10BE0EB03}" uniqueName="2715" name="23897" queryTableFieldId="2715"/>
    <tableColumn id="2716" xr3:uid="{B681DFE2-359E-4D4B-8FBE-D80F329E8B06}" uniqueName="2716" name="23898" queryTableFieldId="2716"/>
    <tableColumn id="2717" xr3:uid="{24032CC7-FDDD-4B1D-A450-71FDD0F9EF4C}" uniqueName="2717" name="23899" queryTableFieldId="2717"/>
    <tableColumn id="2718" xr3:uid="{EAD54624-1532-4C02-8D3F-791AEFB234CC}" uniqueName="2718" name="23901" queryTableFieldId="2718"/>
    <tableColumn id="2719" xr3:uid="{D0CFCDCC-375E-4450-8C6D-E2DCEF9B0B71}" uniqueName="2719" name="23909" queryTableFieldId="2719"/>
    <tableColumn id="2720" xr3:uid="{8B37CF55-5E4E-4C24-8ED4-297A8A13D298}" uniqueName="2720" name="23915" queryTableFieldId="2720"/>
    <tableColumn id="2721" xr3:uid="{B9DAF639-08D2-40C9-A5D5-197414CCC60A}" uniqueName="2721" name="23917" queryTableFieldId="2721"/>
    <tableColumn id="2722" xr3:uid="{C4BF95FD-4A01-48E6-93BF-828D29A60F85}" uniqueName="2722" name="23919" queryTableFieldId="2722"/>
    <tableColumn id="2723" xr3:uid="{46C6FBF0-6A8B-4B3A-BD39-E805CE5C648A}" uniqueName="2723" name="23920" queryTableFieldId="2723"/>
    <tableColumn id="2724" xr3:uid="{1E291C7A-70D6-4AE0-9FCA-EA396648401D}" uniqueName="2724" name="23921" queryTableFieldId="2724"/>
    <tableColumn id="2725" xr3:uid="{0C5327C3-E83D-4C62-8855-E36FD3009B55}" uniqueName="2725" name="23922" queryTableFieldId="2725"/>
    <tableColumn id="2726" xr3:uid="{0D9D64CE-A522-443E-8B97-CC3812618077}" uniqueName="2726" name="23923" queryTableFieldId="2726"/>
    <tableColumn id="2727" xr3:uid="{DDB65A96-FCBB-42BB-9644-4772E6CEF1B4}" uniqueName="2727" name="23924" queryTableFieldId="2727"/>
    <tableColumn id="2728" xr3:uid="{976CD46A-EED3-4B1E-AE86-93043B987D02}" uniqueName="2728" name="23927" queryTableFieldId="2728"/>
    <tableColumn id="2729" xr3:uid="{C387AF38-A8B3-4534-963D-5B3C3E5873B4}" uniqueName="2729" name="23930" queryTableFieldId="2729"/>
    <tableColumn id="2730" xr3:uid="{A0BD0232-75AB-4A2D-8D14-8282EB2150A3}" uniqueName="2730" name="23934" queryTableFieldId="2730"/>
    <tableColumn id="2731" xr3:uid="{9EF9E699-44B4-4C05-B6A7-9DE4F38A575D}" uniqueName="2731" name="23936" queryTableFieldId="2731"/>
    <tableColumn id="2732" xr3:uid="{B26CBACF-08E3-49D5-88D4-822DEE340CCD}" uniqueName="2732" name="23937" queryTableFieldId="2732"/>
    <tableColumn id="2733" xr3:uid="{5D4AFFD1-97E2-4177-82C8-5C7BD472D881}" uniqueName="2733" name="23938" queryTableFieldId="2733"/>
    <tableColumn id="2734" xr3:uid="{5DC8382A-06DB-4444-AABA-2C68D1C58571}" uniqueName="2734" name="23942" queryTableFieldId="2734"/>
    <tableColumn id="2735" xr3:uid="{F444C1A5-3FE0-428D-9993-9C1B685F2FCC}" uniqueName="2735" name="23943" queryTableFieldId="2735"/>
    <tableColumn id="2736" xr3:uid="{1DE63735-E4F6-4818-A839-045F7653CA59}" uniqueName="2736" name="23944" queryTableFieldId="2736"/>
    <tableColumn id="2737" xr3:uid="{6C9724CA-CA4B-4F0B-8CDE-9EFB1AD83A56}" uniqueName="2737" name="23947" queryTableFieldId="2737"/>
    <tableColumn id="2738" xr3:uid="{EC7E02AF-3928-42AC-91BA-A04BA6DC140F}" uniqueName="2738" name="23950" queryTableFieldId="2738"/>
    <tableColumn id="2739" xr3:uid="{50DF6386-8381-4CEF-A0FB-BEB2629D022D}" uniqueName="2739" name="23952" queryTableFieldId="2739"/>
    <tableColumn id="2740" xr3:uid="{E7FD26BC-974B-499F-B870-D225C628CCB2}" uniqueName="2740" name="23954" queryTableFieldId="2740"/>
    <tableColumn id="2741" xr3:uid="{B59BB227-3D1A-4253-8AFB-26413CD050D5}" uniqueName="2741" name="23955" queryTableFieldId="2741"/>
    <tableColumn id="2742" xr3:uid="{A5854646-147D-4804-AF78-515F7494EF6D}" uniqueName="2742" name="23958" queryTableFieldId="2742"/>
    <tableColumn id="2743" xr3:uid="{EFA7EC06-AF40-44F4-8351-B36A40229F66}" uniqueName="2743" name="23959" queryTableFieldId="2743"/>
    <tableColumn id="2744" xr3:uid="{ECA559F9-7642-4CD1-96A7-C64EEDB6CCA2}" uniqueName="2744" name="23960" queryTableFieldId="2744"/>
    <tableColumn id="2745" xr3:uid="{C0DF4207-27E4-4010-88C2-E26A7EA65DA5}" uniqueName="2745" name="23962" queryTableFieldId="2745"/>
    <tableColumn id="2746" xr3:uid="{BE647AE3-0D02-431E-9826-32F41AC0B132}" uniqueName="2746" name="23963" queryTableFieldId="2746"/>
    <tableColumn id="2747" xr3:uid="{F1621AA1-A80C-4344-AD25-86A820947941}" uniqueName="2747" name="23964" queryTableFieldId="2747"/>
    <tableColumn id="2748" xr3:uid="{B12BD84C-912E-4178-ADDE-8C581F0326DC}" uniqueName="2748" name="23966" queryTableFieldId="2748"/>
    <tableColumn id="2749" xr3:uid="{FDF0EBAD-B2C7-4C2C-98B0-CB87512AFEEB}" uniqueName="2749" name="23967" queryTableFieldId="2749"/>
    <tableColumn id="2750" xr3:uid="{A24AA245-3B3C-4B55-9B90-62FC629E7C07}" uniqueName="2750" name="23968" queryTableFieldId="2750"/>
    <tableColumn id="2751" xr3:uid="{9F84D6A9-B3FF-4782-AFF8-8E253F17249D}" uniqueName="2751" name="23970" queryTableFieldId="2751"/>
    <tableColumn id="2752" xr3:uid="{F0C839CD-A047-4F42-912C-47D6394C42D6}" uniqueName="2752" name="23974" queryTableFieldId="2752"/>
    <tableColumn id="2753" xr3:uid="{58C353FF-3880-469E-B235-0F8D3BE87845}" uniqueName="2753" name="23976" queryTableFieldId="2753"/>
    <tableColumn id="2754" xr3:uid="{39E2CE4C-7240-4F35-B001-F79D28298E09}" uniqueName="2754" name="24011" queryTableFieldId="2754"/>
    <tableColumn id="2755" xr3:uid="{95256FAB-11D9-42E3-B2C0-DD2EB994FDBF}" uniqueName="2755" name="24012" queryTableFieldId="2755"/>
    <tableColumn id="2756" xr3:uid="{0FBE7066-3218-4FC1-A91A-4046BA039CDB}" uniqueName="2756" name="24013" queryTableFieldId="2756"/>
    <tableColumn id="2757" xr3:uid="{9480E07C-97A9-46A3-9497-FB9515347B11}" uniqueName="2757" name="24014" queryTableFieldId="2757"/>
    <tableColumn id="2758" xr3:uid="{B57F6C9E-610B-422B-A64F-80AEB6A7170F}" uniqueName="2758" name="24015" queryTableFieldId="2758"/>
    <tableColumn id="2759" xr3:uid="{E721D1DB-9686-48EB-9F71-0E335B395F58}" uniqueName="2759" name="24016" queryTableFieldId="2759"/>
    <tableColumn id="2760" xr3:uid="{DB89F00E-E26E-444F-96B3-37B8B1DE6FD9}" uniqueName="2760" name="24017" queryTableFieldId="2760"/>
    <tableColumn id="2761" xr3:uid="{A23D6FE3-F661-4F6B-B79B-D25389B003C6}" uniqueName="2761" name="24018" queryTableFieldId="2761"/>
    <tableColumn id="2762" xr3:uid="{8060894B-9685-4B0C-BB8F-313E74DE1003}" uniqueName="2762" name="24019" queryTableFieldId="2762"/>
    <tableColumn id="2763" xr3:uid="{10093322-CCE0-4AED-B67C-CA9E0CF9CF2A}" uniqueName="2763" name="24020" queryTableFieldId="2763"/>
    <tableColumn id="2764" xr3:uid="{E61E0399-730C-48BC-A85E-0E2ACA3C2A08}" uniqueName="2764" name="24022" queryTableFieldId="2764"/>
    <tableColumn id="2765" xr3:uid="{4EB7B188-F4CA-433B-940B-6039A4E32982}" uniqueName="2765" name="24053" queryTableFieldId="2765"/>
    <tableColumn id="2766" xr3:uid="{1A8A0B83-F00D-4565-8755-5EBE7440FDCF}" uniqueName="2766" name="24054" queryTableFieldId="2766"/>
    <tableColumn id="2767" xr3:uid="{7ED305A8-6BF4-4DEE-AACC-E0CDE1F7EB56}" uniqueName="2767" name="24055" queryTableFieldId="2767"/>
    <tableColumn id="2768" xr3:uid="{34253DF0-5684-471D-9EFC-111F983EA08E}" uniqueName="2768" name="24058" queryTableFieldId="2768"/>
    <tableColumn id="2769" xr3:uid="{9241B74C-0E93-4852-A40E-C2AF380E09AD}" uniqueName="2769" name="24059" queryTableFieldId="2769"/>
    <tableColumn id="2770" xr3:uid="{B071F397-60A3-47AB-A193-2AE0F67162C2}" uniqueName="2770" name="24060" queryTableFieldId="2770"/>
    <tableColumn id="2771" xr3:uid="{91CDFA7D-34A6-42EC-95D8-67143055F93F}" uniqueName="2771" name="24061" queryTableFieldId="2771"/>
    <tableColumn id="2772" xr3:uid="{A5794E52-C0BA-4BE4-820C-A1B39DF016F7}" uniqueName="2772" name="24064" queryTableFieldId="2772"/>
    <tableColumn id="2773" xr3:uid="{ED7F4F50-D923-4C56-8D51-603C15D8AEF1}" uniqueName="2773" name="24065" queryTableFieldId="2773"/>
    <tableColumn id="2774" xr3:uid="{C549DE4A-3F35-4EF6-B961-F1FCF8A807DE}" uniqueName="2774" name="24066" queryTableFieldId="2774"/>
    <tableColumn id="2775" xr3:uid="{826DA6BE-C4A6-4718-8857-4597329BD636}" uniqueName="2775" name="24067" queryTableFieldId="2775"/>
    <tableColumn id="2776" xr3:uid="{F74D3C1A-1906-430B-ACCF-4C2FE205F79E}" uniqueName="2776" name="24069" queryTableFieldId="2776"/>
    <tableColumn id="2777" xr3:uid="{968682D8-F1F8-40FD-9951-6F228F16A291}" uniqueName="2777" name="24070" queryTableFieldId="2777"/>
    <tableColumn id="2778" xr3:uid="{5D1C8B92-BE9F-4F3C-A654-2944D7BDDECC}" uniqueName="2778" name="24072" queryTableFieldId="2778"/>
    <tableColumn id="2779" xr3:uid="{4F34C09C-85C3-49B5-8DA6-5342D7585A2B}" uniqueName="2779" name="24073" queryTableFieldId="2779"/>
    <tableColumn id="2780" xr3:uid="{D129465E-93BF-4BA4-A599-95C8ABC84222}" uniqueName="2780" name="24076" queryTableFieldId="2780"/>
    <tableColumn id="2781" xr3:uid="{7287CAC8-75DB-435A-A4C6-7FDD41A2D026}" uniqueName="2781" name="24077" queryTableFieldId="2781"/>
    <tableColumn id="2782" xr3:uid="{C860D5DC-DB41-4161-BAC0-6CEBBDFF1BB0}" uniqueName="2782" name="24078" queryTableFieldId="2782"/>
    <tableColumn id="2783" xr3:uid="{C289647B-551D-40CF-A9D8-BB93C5219077}" uniqueName="2783" name="24079" queryTableFieldId="2783"/>
    <tableColumn id="2784" xr3:uid="{ECD1DDBD-EA9E-451D-8159-BE154A69AC05}" uniqueName="2784" name="24082" queryTableFieldId="2784"/>
    <tableColumn id="2785" xr3:uid="{17D6B923-98E4-4882-A3A6-88FAA4ADE278}" uniqueName="2785" name="24083" queryTableFieldId="2785"/>
    <tableColumn id="2786" xr3:uid="{FB3E7F45-016F-4BFC-8A18-B09116CBE404}" uniqueName="2786" name="24084" queryTableFieldId="2786"/>
    <tableColumn id="2787" xr3:uid="{742CFD62-BB00-407D-844B-B60B6DB060DA}" uniqueName="2787" name="24085" queryTableFieldId="2787"/>
    <tableColumn id="2788" xr3:uid="{0D4E946A-DD77-4B64-ABC9-4D963D1EA2CB}" uniqueName="2788" name="24086" queryTableFieldId="2788"/>
    <tableColumn id="2789" xr3:uid="{CFA3953E-7335-4009-AD16-EAAFBA013898}" uniqueName="2789" name="24087" queryTableFieldId="2789"/>
    <tableColumn id="2790" xr3:uid="{013F00EA-1186-4417-BCED-90830DBA5B00}" uniqueName="2790" name="24088" queryTableFieldId="2790"/>
    <tableColumn id="2791" xr3:uid="{36B6430B-21AC-4581-A95E-D37F04843014}" uniqueName="2791" name="24089" queryTableFieldId="2791"/>
    <tableColumn id="2792" xr3:uid="{FBD8BDC2-0938-4CF3-B562-E3F02C8756B6}" uniqueName="2792" name="24090" queryTableFieldId="2792"/>
    <tableColumn id="2793" xr3:uid="{8454C6AD-2F08-42B4-AD62-9831841A9ECD}" uniqueName="2793" name="24091" queryTableFieldId="2793"/>
    <tableColumn id="2794" xr3:uid="{2E97CF51-FDFF-425E-BFFC-66E5B9957C59}" uniqueName="2794" name="24092" queryTableFieldId="2794"/>
    <tableColumn id="2795" xr3:uid="{DA036E68-B045-4F1D-80FB-2A4A212B448B}" uniqueName="2795" name="24093" queryTableFieldId="2795"/>
    <tableColumn id="2796" xr3:uid="{0B2AF488-89A2-49E2-8CB6-04A2B0E910A2}" uniqueName="2796" name="24095" queryTableFieldId="2796"/>
    <tableColumn id="2797" xr3:uid="{142A4CDD-C59D-47E9-B2D5-B896CB0F4128}" uniqueName="2797" name="24101" queryTableFieldId="2797"/>
    <tableColumn id="2798" xr3:uid="{028D3EE3-D71C-4674-8B47-01EF129A31A3}" uniqueName="2798" name="24102" queryTableFieldId="2798"/>
    <tableColumn id="2799" xr3:uid="{34666A42-7BF8-45BC-8F06-AE79B50AB194}" uniqueName="2799" name="24104" queryTableFieldId="2799"/>
    <tableColumn id="2800" xr3:uid="{1F5A058B-41B8-433F-BEA0-3C6548A411F2}" uniqueName="2800" name="24105" queryTableFieldId="2800"/>
    <tableColumn id="2801" xr3:uid="{CCD6500E-4529-40D0-A692-27B8FD6578AD}" uniqueName="2801" name="24112" queryTableFieldId="2801"/>
    <tableColumn id="2802" xr3:uid="{EF90096F-B189-44A9-8779-7EBDA60E3F80}" uniqueName="2802" name="24120" queryTableFieldId="2802"/>
    <tableColumn id="2803" xr3:uid="{BEAB418F-2FF5-422C-939C-6716B9F9FB2C}" uniqueName="2803" name="24121" queryTableFieldId="2803"/>
    <tableColumn id="2804" xr3:uid="{7447762D-7A9E-4184-B15A-59CFA4F70B7B}" uniqueName="2804" name="24122" queryTableFieldId="2804"/>
    <tableColumn id="2805" xr3:uid="{E17DA441-C1A4-4182-9D34-FFBEDA765396}" uniqueName="2805" name="24124" queryTableFieldId="2805"/>
    <tableColumn id="2806" xr3:uid="{9FF1F30A-B5BA-406D-80E0-24C0A18D56D1}" uniqueName="2806" name="24127" queryTableFieldId="2806"/>
    <tableColumn id="2807" xr3:uid="{9CD32BF8-0E7D-4F07-BCFE-8287B065462D}" uniqueName="2807" name="24128" queryTableFieldId="2807"/>
    <tableColumn id="2808" xr3:uid="{F27FAD58-DCBD-46A5-B97B-F3F8D19ABF81}" uniqueName="2808" name="24129" queryTableFieldId="2808"/>
    <tableColumn id="2809" xr3:uid="{518262B1-0B47-406C-9180-14F06C004D58}" uniqueName="2809" name="24131" queryTableFieldId="2809"/>
    <tableColumn id="2810" xr3:uid="{78F1AFD0-1EE8-4EE4-A9FC-9A4CAA70350C}" uniqueName="2810" name="24132" queryTableFieldId="2810"/>
    <tableColumn id="2811" xr3:uid="{654DE154-C89B-4CB6-B0CF-6B221826D4AE}" uniqueName="2811" name="24133" queryTableFieldId="2811"/>
    <tableColumn id="2812" xr3:uid="{D53997CE-E81D-46E0-A0EB-6D961BF8D379}" uniqueName="2812" name="24134" queryTableFieldId="2812"/>
    <tableColumn id="2813" xr3:uid="{55A17B71-6A71-4BBA-A0AC-FFA3280F6053}" uniqueName="2813" name="24136" queryTableFieldId="2813"/>
    <tableColumn id="2814" xr3:uid="{5DC25B2A-B66D-4073-9DF2-9C17E461AC20}" uniqueName="2814" name="24137" queryTableFieldId="2814"/>
    <tableColumn id="2815" xr3:uid="{9CA0F746-0181-4814-86AB-534EE42666EB}" uniqueName="2815" name="24138" queryTableFieldId="2815"/>
    <tableColumn id="2816" xr3:uid="{50A3278D-170B-4516-AA20-949481D8EC08}" uniqueName="2816" name="24139" queryTableFieldId="2816"/>
    <tableColumn id="2817" xr3:uid="{7B942E2F-1389-4107-A30E-EB7570B1FE0B}" uniqueName="2817" name="24141" queryTableFieldId="2817"/>
    <tableColumn id="2818" xr3:uid="{08B5F9BF-E83A-4055-B9B1-229E26CFFACA}" uniqueName="2818" name="24142" queryTableFieldId="2818"/>
    <tableColumn id="2819" xr3:uid="{9F1C6621-914D-4DB7-A239-B205423E5386}" uniqueName="2819" name="24147" queryTableFieldId="2819"/>
    <tableColumn id="2820" xr3:uid="{AD586B93-1BA3-48DF-A660-43E3623A607B}" uniqueName="2820" name="24148" queryTableFieldId="2820"/>
    <tableColumn id="2821" xr3:uid="{FABFFCBD-FC6E-45C0-927F-23D89D9BC0A9}" uniqueName="2821" name="24149" queryTableFieldId="2821"/>
    <tableColumn id="2822" xr3:uid="{EEBCB8EA-2E30-4D9B-975B-36C7A9C3A89E}" uniqueName="2822" name="24150" queryTableFieldId="2822"/>
    <tableColumn id="2823" xr3:uid="{EC29797F-FAD3-4A57-9866-529A0D6787C1}" uniqueName="2823" name="24151" queryTableFieldId="2823"/>
    <tableColumn id="2824" xr3:uid="{30CDD1E9-96BB-4787-9D11-E817A968383A}" uniqueName="2824" name="24153" queryTableFieldId="2824"/>
    <tableColumn id="2825" xr3:uid="{5026CBC4-835A-45A5-90EC-E8633038F6DB}" uniqueName="2825" name="24161" queryTableFieldId="2825"/>
    <tableColumn id="2826" xr3:uid="{584233E2-640C-4016-8FD3-279D1B4DF9D2}" uniqueName="2826" name="24162" queryTableFieldId="2826"/>
    <tableColumn id="2827" xr3:uid="{115B2579-6713-48BB-BDC2-3391693C2236}" uniqueName="2827" name="24165" queryTableFieldId="2827"/>
    <tableColumn id="2828" xr3:uid="{4D09BE71-4B28-4119-9F93-10F3BC4B9335}" uniqueName="2828" name="24167" queryTableFieldId="2828"/>
    <tableColumn id="2829" xr3:uid="{5DC1C291-9D8D-46B2-8EB2-EA4FC8105987}" uniqueName="2829" name="24168" queryTableFieldId="2829"/>
    <tableColumn id="2830" xr3:uid="{53CB0B11-FB41-408C-8A0D-7E41172F3733}" uniqueName="2830" name="24171" queryTableFieldId="2830"/>
    <tableColumn id="2831" xr3:uid="{25EE70F1-C42D-4F81-AAF4-77B4CF0100FD}" uniqueName="2831" name="24174" queryTableFieldId="2831"/>
    <tableColumn id="2832" xr3:uid="{3C54F0F0-A723-4530-A7DD-C3B3F138382B}" uniqueName="2832" name="24175" queryTableFieldId="2832"/>
    <tableColumn id="2833" xr3:uid="{3B06B63D-E596-405D-959A-C79BCF70821D}" uniqueName="2833" name="24176" queryTableFieldId="2833"/>
    <tableColumn id="2834" xr3:uid="{D314E61E-97C1-4906-A00A-5D9BE0BCF8D8}" uniqueName="2834" name="24179" queryTableFieldId="2834"/>
    <tableColumn id="2835" xr3:uid="{CE8135B2-421A-4FDF-A567-78C1361039A6}" uniqueName="2835" name="24184" queryTableFieldId="2835"/>
    <tableColumn id="2836" xr3:uid="{1E7F29B5-BE15-4A85-B4D3-6652B1C26321}" uniqueName="2836" name="24185" queryTableFieldId="2836"/>
    <tableColumn id="2837" xr3:uid="{9ECABE7A-4903-4E31-ABEA-FD8D3630684C}" uniqueName="2837" name="24201" queryTableFieldId="2837"/>
    <tableColumn id="2838" xr3:uid="{11E24B0F-D3A3-49CD-BE8F-BFDE2739692E}" uniqueName="2838" name="24202" queryTableFieldId="2838"/>
    <tableColumn id="2839" xr3:uid="{B1D67555-57E1-489C-8A69-2DBDE2472A63}" uniqueName="2839" name="24210" queryTableFieldId="2839"/>
    <tableColumn id="2840" xr3:uid="{D799AA21-FAEA-4643-8EE5-6C56E71F2D10}" uniqueName="2840" name="24211" queryTableFieldId="2840"/>
    <tableColumn id="2841" xr3:uid="{260485B3-5251-4B7A-B737-B92A1CC12759}" uniqueName="2841" name="24216" queryTableFieldId="2841"/>
    <tableColumn id="2842" xr3:uid="{892BA444-17AC-4FE5-85A3-D1C7AE8D460D}" uniqueName="2842" name="24217" queryTableFieldId="2842"/>
    <tableColumn id="2843" xr3:uid="{D76583F7-AD37-4824-BF13-2E423C7069D5}" uniqueName="2843" name="24219" queryTableFieldId="2843"/>
    <tableColumn id="2844" xr3:uid="{B73C5587-3821-46BB-B907-5BFC8AABAFDA}" uniqueName="2844" name="24220" queryTableFieldId="2844"/>
    <tableColumn id="2845" xr3:uid="{C09B9434-506C-42DF-A520-AADB6C31F31B}" uniqueName="2845" name="24221" queryTableFieldId="2845"/>
    <tableColumn id="2846" xr3:uid="{47C33955-5ECC-417E-B14D-7129772AEB90}" uniqueName="2846" name="24224" queryTableFieldId="2846"/>
    <tableColumn id="2847" xr3:uid="{74F3267B-AEA1-4398-B8E0-7A2FEFA8FA9C}" uniqueName="2847" name="24225" queryTableFieldId="2847"/>
    <tableColumn id="2848" xr3:uid="{55751042-A21F-4887-B805-ABFEC6E4F8C0}" uniqueName="2848" name="24226" queryTableFieldId="2848"/>
    <tableColumn id="2849" xr3:uid="{1C7858A4-F47D-498E-BD09-19BD542CDCE3}" uniqueName="2849" name="24228" queryTableFieldId="2849"/>
    <tableColumn id="2850" xr3:uid="{3E3E70C0-6F4E-4C00-8BD9-8ADC4BA9D52D}" uniqueName="2850" name="24230" queryTableFieldId="2850"/>
    <tableColumn id="2851" xr3:uid="{D5963B38-E6B8-4265-94BE-9F97CDF15EAC}" uniqueName="2851" name="24236" queryTableFieldId="2851"/>
    <tableColumn id="2852" xr3:uid="{3AAB91D3-90B4-4100-92AE-846D9A4824D0}" uniqueName="2852" name="24237" queryTableFieldId="2852"/>
    <tableColumn id="2853" xr3:uid="{AFC2CBC7-83C0-4C6F-8EE1-1CA815049CEC}" uniqueName="2853" name="24239" queryTableFieldId="2853"/>
    <tableColumn id="2854" xr3:uid="{A347F3AF-CE13-4BA1-9991-60161B14EF1D}" uniqueName="2854" name="24243" queryTableFieldId="2854"/>
    <tableColumn id="2855" xr3:uid="{26EB5666-6A20-466B-9C0E-FCED2F0A1576}" uniqueName="2855" name="24244" queryTableFieldId="2855"/>
    <tableColumn id="2856" xr3:uid="{91524403-8218-499D-BBAF-0D3340BF510F}" uniqueName="2856" name="24245" queryTableFieldId="2856"/>
    <tableColumn id="2857" xr3:uid="{B3260293-A0D9-4E0B-B51F-F80F7CFC6FAB}" uniqueName="2857" name="24246" queryTableFieldId="2857"/>
    <tableColumn id="2858" xr3:uid="{33A31897-346D-4537-A000-BB3FA9F0A335}" uniqueName="2858" name="24248" queryTableFieldId="2858"/>
    <tableColumn id="2859" xr3:uid="{6D59FC03-B045-4A5A-8476-23204A3E2F57}" uniqueName="2859" name="24250" queryTableFieldId="2859"/>
    <tableColumn id="2860" xr3:uid="{F8E02C48-75BB-4A1A-8F09-3EBAE112C9A2}" uniqueName="2860" name="24251" queryTableFieldId="2860"/>
    <tableColumn id="2861" xr3:uid="{41FC5006-49FD-474B-9412-CC49A39BC710}" uniqueName="2861" name="24256" queryTableFieldId="2861"/>
    <tableColumn id="2862" xr3:uid="{4D095FC9-C6BC-47F6-A4E2-DA7B21F08934}" uniqueName="2862" name="24258" queryTableFieldId="2862"/>
    <tableColumn id="2863" xr3:uid="{55A6070A-D732-49CE-A110-B98B22B9F812}" uniqueName="2863" name="24260" queryTableFieldId="2863"/>
    <tableColumn id="2864" xr3:uid="{543FAE47-DF42-4F83-B2E9-4511E6319B18}" uniqueName="2864" name="24263" queryTableFieldId="2864"/>
    <tableColumn id="2865" xr3:uid="{27390EC8-2D0C-43A3-B5BC-58B01CA8C9DC}" uniqueName="2865" name="24265" queryTableFieldId="2865"/>
    <tableColumn id="2866" xr3:uid="{A74085CC-3A6E-4865-8826-3433ACE9611E}" uniqueName="2866" name="24266" queryTableFieldId="2866"/>
    <tableColumn id="2867" xr3:uid="{228F64B2-896D-4771-A49A-A1AFAC24BC3E}" uniqueName="2867" name="24269" queryTableFieldId="2867"/>
    <tableColumn id="2868" xr3:uid="{A4806012-F76D-4512-8127-427BC8F9B2CD}" uniqueName="2868" name="24270" queryTableFieldId="2868"/>
    <tableColumn id="2869" xr3:uid="{B01CFA63-43A2-437D-87E7-2D11107A762E}" uniqueName="2869" name="24271" queryTableFieldId="2869"/>
    <tableColumn id="2870" xr3:uid="{E74AA0EA-E728-42BB-B3BA-ACA0249A1BBD}" uniqueName="2870" name="24272" queryTableFieldId="2870"/>
    <tableColumn id="2871" xr3:uid="{A9FEC24D-B36A-4390-B187-263BCCAF44AF}" uniqueName="2871" name="24273" queryTableFieldId="2871"/>
    <tableColumn id="2872" xr3:uid="{A05C552D-4E42-4825-ADC1-5A4639AB319D}" uniqueName="2872" name="24277" queryTableFieldId="2872"/>
    <tableColumn id="2873" xr3:uid="{2032BFE4-EA42-4197-82A7-5CAD897C43AA}" uniqueName="2873" name="24279" queryTableFieldId="2873"/>
    <tableColumn id="2874" xr3:uid="{7A36EC97-2BCC-4A54-861D-57CD349C59E5}" uniqueName="2874" name="24280" queryTableFieldId="2874"/>
    <tableColumn id="2875" xr3:uid="{6738F8F9-756A-40B9-AB77-52175F1B3910}" uniqueName="2875" name="24281" queryTableFieldId="2875"/>
    <tableColumn id="2876" xr3:uid="{653D84E1-6D85-4AF8-8D41-0014A4EFD305}" uniqueName="2876" name="24282" queryTableFieldId="2876"/>
    <tableColumn id="2877" xr3:uid="{A3C9D1D3-21A8-4B95-9D66-6441C0C80F59}" uniqueName="2877" name="24283" queryTableFieldId="2877"/>
    <tableColumn id="2878" xr3:uid="{1CD81BA0-AD42-4DA4-AEB1-312767F5E4DD}" uniqueName="2878" name="24290" queryTableFieldId="2878"/>
    <tableColumn id="2879" xr3:uid="{D2D29CDD-65FC-4C67-AB67-E1EC43553769}" uniqueName="2879" name="24292" queryTableFieldId="2879"/>
    <tableColumn id="2880" xr3:uid="{24D54E71-C759-4B19-B0B2-6C69306FCCB2}" uniqueName="2880" name="24293" queryTableFieldId="2880"/>
    <tableColumn id="2881" xr3:uid="{7D46F271-F153-4AFF-BAC1-D2ABE5A1DBB9}" uniqueName="2881" name="24301" queryTableFieldId="2881"/>
    <tableColumn id="2882" xr3:uid="{E75A0D42-373A-40B3-A082-ECBC8E57837F}" uniqueName="2882" name="24311" queryTableFieldId="2882"/>
    <tableColumn id="2883" xr3:uid="{526AC061-67D9-47D4-B83B-E3F36A276A29}" uniqueName="2883" name="24312" queryTableFieldId="2883"/>
    <tableColumn id="2884" xr3:uid="{DDBC1394-BC66-4A3B-8393-72D4E18DEB9A}" uniqueName="2884" name="24313" queryTableFieldId="2884"/>
    <tableColumn id="2885" xr3:uid="{506BF8F9-DA87-41C0-BF1C-CBD86DA6898D}" uniqueName="2885" name="24314" queryTableFieldId="2885"/>
    <tableColumn id="2886" xr3:uid="{71EA9688-5501-43ED-977E-00FA740785AE}" uniqueName="2886" name="24315" queryTableFieldId="2886"/>
    <tableColumn id="2887" xr3:uid="{572F2C93-89DA-43D4-AE24-1C68D175FBD6}" uniqueName="2887" name="24316" queryTableFieldId="2887"/>
    <tableColumn id="2888" xr3:uid="{D844D083-864A-4681-90C0-2F6224188C88}" uniqueName="2888" name="24317" queryTableFieldId="2888"/>
    <tableColumn id="2889" xr3:uid="{26D9E201-71E3-462E-9E97-04C6DF930A51}" uniqueName="2889" name="24318" queryTableFieldId="2889"/>
    <tableColumn id="2890" xr3:uid="{FDDC3FF2-2C24-4178-9900-F21C6A4D698A}" uniqueName="2890" name="24319" queryTableFieldId="2890"/>
    <tableColumn id="2891" xr3:uid="{EC546C25-1E7F-4E2F-B135-5D2FFA5BF05F}" uniqueName="2891" name="24322" queryTableFieldId="2891"/>
    <tableColumn id="2892" xr3:uid="{944500D2-0F7F-4D85-820A-C1E329C7AC01}" uniqueName="2892" name="24323" queryTableFieldId="2892"/>
    <tableColumn id="2893" xr3:uid="{1AC89B3F-EFBB-437C-BB2F-8FEAD68EE258}" uniqueName="2893" name="24324" queryTableFieldId="2893"/>
    <tableColumn id="2894" xr3:uid="{E4FA64B7-CB93-48CE-A810-2CA22A274910}" uniqueName="2894" name="24325" queryTableFieldId="2894"/>
    <tableColumn id="2895" xr3:uid="{24FCA50D-5DDD-41E1-88E9-A19B08373B0A}" uniqueName="2895" name="24326" queryTableFieldId="2895"/>
    <tableColumn id="2896" xr3:uid="{824B55DF-9074-4431-AA3C-41FFD25FA49B}" uniqueName="2896" name="24327" queryTableFieldId="2896"/>
    <tableColumn id="2897" xr3:uid="{8A4DFE62-C7CB-46B3-94C9-2EF242CD52F6}" uniqueName="2897" name="24328" queryTableFieldId="2897"/>
    <tableColumn id="2898" xr3:uid="{D36487B8-A2E1-4554-81A9-0D845F2457B2}" uniqueName="2898" name="24330" queryTableFieldId="2898"/>
    <tableColumn id="2899" xr3:uid="{5F51BCE1-A9F2-42BD-AA2D-8C8906C43036}" uniqueName="2899" name="24333" queryTableFieldId="2899"/>
    <tableColumn id="2900" xr3:uid="{0AE2E939-338F-4854-805A-7AC5624C27AD}" uniqueName="2900" name="24340" queryTableFieldId="2900"/>
    <tableColumn id="2901" xr3:uid="{FFBBFC37-E1B8-48AE-AC9C-F6EBE9E2221E}" uniqueName="2901" name="24343" queryTableFieldId="2901"/>
    <tableColumn id="2902" xr3:uid="{EB22FABE-DE78-4C16-9E1E-F1C4176466C2}" uniqueName="2902" name="24347" queryTableFieldId="2902"/>
    <tableColumn id="2903" xr3:uid="{627921DA-4B29-48FE-84D1-6727BD4CB8EE}" uniqueName="2903" name="24348" queryTableFieldId="2903"/>
    <tableColumn id="2904" xr3:uid="{0060A395-08F1-474D-A1B6-283897EC3745}" uniqueName="2904" name="24350" queryTableFieldId="2904"/>
    <tableColumn id="2905" xr3:uid="{F20555F8-1DCA-42CD-A29D-7C486B4BE93B}" uniqueName="2905" name="24351" queryTableFieldId="2905"/>
    <tableColumn id="2906" xr3:uid="{0CD6C5CB-1596-4877-B441-7A76F9875FAF}" uniqueName="2906" name="24352" queryTableFieldId="2906"/>
    <tableColumn id="2907" xr3:uid="{6F611076-9E71-47CE-9B0D-B9B8A0B8CDBC}" uniqueName="2907" name="24354" queryTableFieldId="2907"/>
    <tableColumn id="2908" xr3:uid="{CBD1A6C4-821F-4CCF-A32E-5A9B4DA085C6}" uniqueName="2908" name="24360" queryTableFieldId="2908"/>
    <tableColumn id="2909" xr3:uid="{5A23DE51-344A-4428-97DE-125C01C85A85}" uniqueName="2909" name="24361" queryTableFieldId="2909"/>
    <tableColumn id="2910" xr3:uid="{EE933183-DFF1-4333-9CAF-94B008E862F7}" uniqueName="2910" name="24363" queryTableFieldId="2910"/>
    <tableColumn id="2911" xr3:uid="{12F98A61-E799-42AE-AE13-9945A320D00B}" uniqueName="2911" name="24366" queryTableFieldId="2911"/>
    <tableColumn id="2912" xr3:uid="{0A040B30-8357-4225-BAF5-AE2BF49E6E00}" uniqueName="2912" name="24368" queryTableFieldId="2912"/>
    <tableColumn id="2913" xr3:uid="{4D8E1BA4-16ED-417E-A620-EDCA835BBFE8}" uniqueName="2913" name="24370" queryTableFieldId="2913"/>
    <tableColumn id="2914" xr3:uid="{E122B8BE-F723-4DE2-BFC5-445D3C61A9B2}" uniqueName="2914" name="24374" queryTableFieldId="2914"/>
    <tableColumn id="2915" xr3:uid="{B457BC16-4889-421C-A89A-83E90B567BA9}" uniqueName="2915" name="24375" queryTableFieldId="2915"/>
    <tableColumn id="2916" xr3:uid="{B8E75CFC-97FF-4763-98B4-66822B38CF48}" uniqueName="2916" name="24377" queryTableFieldId="2916"/>
    <tableColumn id="2917" xr3:uid="{145F4E66-B5AA-4D7B-9B90-6E43EC300E85}" uniqueName="2917" name="24378" queryTableFieldId="2917"/>
    <tableColumn id="2918" xr3:uid="{AC1454A6-D2E0-4F18-A923-108C7745C4F5}" uniqueName="2918" name="24380" queryTableFieldId="2918"/>
    <tableColumn id="2919" xr3:uid="{B81C585D-2FB8-4DAB-B0BF-373106DDE2C0}" uniqueName="2919" name="24381" queryTableFieldId="2919"/>
    <tableColumn id="2920" xr3:uid="{F7D04EEB-F03C-4262-8568-41F175FFB702}" uniqueName="2920" name="24382" queryTableFieldId="2920"/>
    <tableColumn id="2921" xr3:uid="{5422FB9C-E8D5-408F-B458-A360318B5C68}" uniqueName="2921" name="24401" queryTableFieldId="2921"/>
    <tableColumn id="2922" xr3:uid="{99B0A2AC-490C-43E8-938C-C41F7173887E}" uniqueName="2922" name="24411" queryTableFieldId="2922"/>
    <tableColumn id="2923" xr3:uid="{F8A569F2-9A2C-47A2-B6D4-FE525ED20E1C}" uniqueName="2923" name="24412" queryTableFieldId="2923"/>
    <tableColumn id="2924" xr3:uid="{B5D87FB6-7DB7-42B3-AFB9-5B4E85743861}" uniqueName="2924" name="24413" queryTableFieldId="2924"/>
    <tableColumn id="2925" xr3:uid="{99E071DD-393C-4707-AAB1-F65139A4159C}" uniqueName="2925" name="24415" queryTableFieldId="2925"/>
    <tableColumn id="2926" xr3:uid="{AA196D36-4393-461B-8A2F-D0F446F1489C}" uniqueName="2926" name="24416" queryTableFieldId="2926"/>
    <tableColumn id="2927" xr3:uid="{485E28F6-A5AD-4A77-BFD6-6D334C0352A3}" uniqueName="2927" name="24421" queryTableFieldId="2927"/>
    <tableColumn id="2928" xr3:uid="{0B51AE6A-F059-4308-B08A-EAF10557F927}" uniqueName="2928" name="24422" queryTableFieldId="2928"/>
    <tableColumn id="2929" xr3:uid="{E657F2D6-174E-408F-A2D2-D9D3BBCA264B}" uniqueName="2929" name="24426" queryTableFieldId="2929"/>
    <tableColumn id="2930" xr3:uid="{DBC22A93-1097-43E8-AFA5-D76FFECFCFCD}" uniqueName="2930" name="24430" queryTableFieldId="2930"/>
    <tableColumn id="2931" xr3:uid="{48B029C0-0F22-498F-9DD5-EC0D4AFF22D5}" uniqueName="2931" name="24431" queryTableFieldId="2931"/>
    <tableColumn id="2932" xr3:uid="{C50D0815-3FFB-42E7-9051-5FBABFE9167F}" uniqueName="2932" name="24432" queryTableFieldId="2932"/>
    <tableColumn id="2933" xr3:uid="{D91CC2C5-B0B9-460B-A8AE-8927F7737ABF}" uniqueName="2933" name="24433" queryTableFieldId="2933"/>
    <tableColumn id="2934" xr3:uid="{B4087B06-D688-4062-819C-97EA50F429B7}" uniqueName="2934" name="24435" queryTableFieldId="2934"/>
    <tableColumn id="2935" xr3:uid="{973D1278-503A-463F-8E5B-085939713AF1}" uniqueName="2935" name="24437" queryTableFieldId="2935"/>
    <tableColumn id="2936" xr3:uid="{375FD720-2A42-4628-B9DD-2A44C043CE0D}" uniqueName="2936" name="24439" queryTableFieldId="2936"/>
    <tableColumn id="2937" xr3:uid="{42750228-63F6-4418-96F3-10799D1C48F6}" uniqueName="2937" name="24440" queryTableFieldId="2937"/>
    <tableColumn id="2938" xr3:uid="{FAB4EF3B-F4E7-44FE-967C-DD4BF18D11D3}" uniqueName="2938" name="24441" queryTableFieldId="2938"/>
    <tableColumn id="2939" xr3:uid="{321E4035-79DD-4BB7-B6EC-2432AE485B50}" uniqueName="2939" name="24442" queryTableFieldId="2939"/>
    <tableColumn id="2940" xr3:uid="{7353A7E3-FB4D-4D44-AE4D-7C1CF720EE9A}" uniqueName="2940" name="24445" queryTableFieldId="2940"/>
    <tableColumn id="2941" xr3:uid="{D665E5B6-0BD5-4FAB-AC13-48ABFE2FAF02}" uniqueName="2941" name="24448" queryTableFieldId="2941"/>
    <tableColumn id="2942" xr3:uid="{870F3C1E-DD82-4536-9845-89F9CBDABC75}" uniqueName="2942" name="24450" queryTableFieldId="2942"/>
    <tableColumn id="2943" xr3:uid="{95F9C9E0-545F-46C5-8A4E-95064A0EF929}" uniqueName="2943" name="24457" queryTableFieldId="2943"/>
    <tableColumn id="2944" xr3:uid="{801111CF-6721-47A6-BECA-90F79DF5BE4F}" uniqueName="2944" name="24458" queryTableFieldId="2944"/>
    <tableColumn id="2945" xr3:uid="{98032BCC-EFEC-4194-94CC-27B99B35E026}" uniqueName="2945" name="24459" queryTableFieldId="2945"/>
    <tableColumn id="2946" xr3:uid="{97FBDB09-4ACC-4D7E-9446-4EE09C70581C}" uniqueName="2946" name="24460" queryTableFieldId="2946"/>
    <tableColumn id="2947" xr3:uid="{3B79BD60-43C7-4AA7-8DB4-E7FC00C1C9AA}" uniqueName="2947" name="24464" queryTableFieldId="2947"/>
    <tableColumn id="2948" xr3:uid="{F63DB04D-0C3D-4A41-BDBB-35BBC367FAFD}" uniqueName="2948" name="24465" queryTableFieldId="2948"/>
    <tableColumn id="2949" xr3:uid="{369D3948-5BAB-4541-BF51-FC1C2B94E7F9}" uniqueName="2949" name="24467" queryTableFieldId="2949"/>
    <tableColumn id="2950" xr3:uid="{43A5672E-A65E-4C20-A9D8-DC9CD00A2033}" uniqueName="2950" name="24469" queryTableFieldId="2950"/>
    <tableColumn id="2951" xr3:uid="{97808A2D-7FEB-4FB4-963C-2357EEB496A5}" uniqueName="2951" name="24471" queryTableFieldId="2951"/>
    <tableColumn id="2952" xr3:uid="{5981727B-B511-45ED-8C12-E9A841630636}" uniqueName="2952" name="24472" queryTableFieldId="2952"/>
    <tableColumn id="2953" xr3:uid="{7938A76C-1F0B-48D3-B0B3-695C686A163F}" uniqueName="2953" name="24473" queryTableFieldId="2953"/>
    <tableColumn id="2954" xr3:uid="{6C04E5EE-0B97-49B4-9F8E-92FC599158FB}" uniqueName="2954" name="24474" queryTableFieldId="2954"/>
    <tableColumn id="2955" xr3:uid="{93218AD8-872C-4D08-88E8-3EC379BABA8D}" uniqueName="2955" name="24476" queryTableFieldId="2955"/>
    <tableColumn id="2956" xr3:uid="{33A20D8F-5EF8-4136-A3EC-1903890C4E2C}" uniqueName="2956" name="24477" queryTableFieldId="2956"/>
    <tableColumn id="2957" xr3:uid="{48F69F37-BD74-444F-BA10-59E6D6EF5479}" uniqueName="2957" name="24479" queryTableFieldId="2957"/>
    <tableColumn id="2958" xr3:uid="{95F7E443-6B49-4F65-9E3D-A82156E17066}" uniqueName="2958" name="24482" queryTableFieldId="2958"/>
    <tableColumn id="2959" xr3:uid="{5EAC26E8-5733-4A10-B888-618AE9C100BF}" uniqueName="2959" name="24483" queryTableFieldId="2959"/>
    <tableColumn id="2960" xr3:uid="{6A78302F-CC0D-4692-A4C4-A0E91B182FB9}" uniqueName="2960" name="24484" queryTableFieldId="2960"/>
    <tableColumn id="2961" xr3:uid="{BBFF42EF-D804-4140-9091-0D7AB778617F}" uniqueName="2961" name="24485" queryTableFieldId="2961"/>
    <tableColumn id="2962" xr3:uid="{B1AD8F5F-663C-4432-A2E7-BBCB06ED0488}" uniqueName="2962" name="24486" queryTableFieldId="2962"/>
    <tableColumn id="2963" xr3:uid="{208BFBCB-DD4C-43D1-BA29-B0BC9AEB7599}" uniqueName="2963" name="24487" queryTableFieldId="2963"/>
    <tableColumn id="2964" xr3:uid="{A3ADCD19-9E29-4E24-9FD8-A9CA917D2D1A}" uniqueName="2964" name="24501" queryTableFieldId="2964"/>
    <tableColumn id="2965" xr3:uid="{05A685C2-F179-48A3-BF94-4B920EC14DBD}" uniqueName="2965" name="24502" queryTableFieldId="2965"/>
    <tableColumn id="2966" xr3:uid="{E12167A8-8811-410F-AA8E-00848444B9C4}" uniqueName="2966" name="24503" queryTableFieldId="2966"/>
    <tableColumn id="2967" xr3:uid="{67576096-BA47-4EF9-AD62-3670A0DE8FAB}" uniqueName="2967" name="24504" queryTableFieldId="2967"/>
    <tableColumn id="2968" xr3:uid="{0CAF8A61-14CE-4D75-A817-34EA93937E9A}" uniqueName="2968" name="24515" queryTableFieldId="2968"/>
    <tableColumn id="2969" xr3:uid="{F1FA7E24-CF08-4439-BE21-95C3355366DF}" uniqueName="2969" name="24517" queryTableFieldId="2969"/>
    <tableColumn id="2970" xr3:uid="{8BE15F9F-0E67-479F-9A5C-A3312BD01A64}" uniqueName="2970" name="24520" queryTableFieldId="2970"/>
    <tableColumn id="2971" xr3:uid="{ED5E4013-BCBC-4671-B769-23EC42A5B17B}" uniqueName="2971" name="24521" queryTableFieldId="2971"/>
    <tableColumn id="2972" xr3:uid="{B4C5E5CA-43A6-40F2-B5C0-CEB6D3FABF02}" uniqueName="2972" name="24522" queryTableFieldId="2972"/>
    <tableColumn id="2973" xr3:uid="{A8359410-3859-4F92-A71D-A4422B899532}" uniqueName="2973" name="24523" queryTableFieldId="2973"/>
    <tableColumn id="2974" xr3:uid="{FE9AB89B-DB2C-4C6B-AB83-412C10F2C5D9}" uniqueName="2974" name="24526" queryTableFieldId="2974"/>
    <tableColumn id="2975" xr3:uid="{2FC46629-2AE7-4559-B773-1D56C216575D}" uniqueName="2975" name="24527" queryTableFieldId="2975"/>
    <tableColumn id="2976" xr3:uid="{8EE0B2A9-2C00-4BF4-A400-12A16B741B25}" uniqueName="2976" name="24528" queryTableFieldId="2976"/>
    <tableColumn id="2977" xr3:uid="{6EF4DEDE-5784-4E19-9AF4-AAA4542F77CC}" uniqueName="2977" name="24529" queryTableFieldId="2977"/>
    <tableColumn id="2978" xr3:uid="{6406E953-6017-42A0-B3D8-06886046128D}" uniqueName="2978" name="24530" queryTableFieldId="2978"/>
    <tableColumn id="2979" xr3:uid="{6ABEFCFB-2A95-4F7C-AA61-6F51A941F4E6}" uniqueName="2979" name="24531" queryTableFieldId="2979"/>
    <tableColumn id="2980" xr3:uid="{A34B5F1D-D961-41D8-B286-585889B459FE}" uniqueName="2980" name="24534" queryTableFieldId="2980"/>
    <tableColumn id="2981" xr3:uid="{35E98A99-6BD4-4287-9AC7-683870C22BF7}" uniqueName="2981" name="24536" queryTableFieldId="2981"/>
    <tableColumn id="2982" xr3:uid="{D34E177B-1518-4347-B836-32486F581753}" uniqueName="2982" name="24538" queryTableFieldId="2982"/>
    <tableColumn id="2983" xr3:uid="{D060C851-3A23-4B40-B91E-C7441FB834EC}" uniqueName="2983" name="24539" queryTableFieldId="2983"/>
    <tableColumn id="2984" xr3:uid="{0BB4AB53-F9A1-416C-A454-A9BEE2C9891A}" uniqueName="2984" name="24540" queryTableFieldId="2984"/>
    <tableColumn id="2985" xr3:uid="{2A40D812-D4D8-4BBD-98BD-D11726FD6793}" uniqueName="2985" name="24541" queryTableFieldId="2985"/>
    <tableColumn id="2986" xr3:uid="{7C772568-AD76-4D40-8F58-6E226217F927}" uniqueName="2986" name="24549" queryTableFieldId="2986"/>
    <tableColumn id="2987" xr3:uid="{76CF421D-E649-486A-A14A-24C74635C3E6}" uniqueName="2987" name="24550" queryTableFieldId="2987"/>
    <tableColumn id="2988" xr3:uid="{2FF2DD03-FE80-4265-9E0F-D8A6F8219491}" uniqueName="2988" name="24551" queryTableFieldId="2988"/>
    <tableColumn id="2989" xr3:uid="{D2CB0625-2E98-4948-9D69-30D8BDBAAF45}" uniqueName="2989" name="24553" queryTableFieldId="2989"/>
    <tableColumn id="2990" xr3:uid="{EB48EBA7-F318-47D5-A7BF-3F4579788742}" uniqueName="2990" name="24554" queryTableFieldId="2990"/>
    <tableColumn id="2991" xr3:uid="{F596B954-0A67-4872-8E55-7F5532F27AD5}" uniqueName="2991" name="24555" queryTableFieldId="2991"/>
    <tableColumn id="2992" xr3:uid="{8FBA8246-9909-4B72-BFAD-87B6AEA0C040}" uniqueName="2992" name="24556" queryTableFieldId="2992"/>
    <tableColumn id="2993" xr3:uid="{1C23F19D-D490-45E1-ACD3-EFE2D66FEDDC}" uniqueName="2993" name="24557" queryTableFieldId="2993"/>
    <tableColumn id="2994" xr3:uid="{0D68CCBB-BCAE-49F0-8115-A9BA5FA0D722}" uniqueName="2994" name="24558" queryTableFieldId="2994"/>
    <tableColumn id="2995" xr3:uid="{F84B81FF-5F88-4831-8978-6EB926F5515F}" uniqueName="2995" name="24562" queryTableFieldId="2995"/>
    <tableColumn id="2996" xr3:uid="{8C13E18F-A988-4981-AA44-27840EFE0B2C}" uniqueName="2996" name="24563" queryTableFieldId="2996"/>
    <tableColumn id="2997" xr3:uid="{21559C81-D90C-4B70-9805-3FC04AF93BB0}" uniqueName="2997" name="24565" queryTableFieldId="2997"/>
    <tableColumn id="2998" xr3:uid="{BE76F0C1-27DE-49E0-AF7E-F342111E0AED}" uniqueName="2998" name="24566" queryTableFieldId="2998"/>
    <tableColumn id="2999" xr3:uid="{324571A6-68ED-4211-9C10-B3F532673526}" uniqueName="2999" name="24569" queryTableFieldId="2999"/>
    <tableColumn id="3000" xr3:uid="{DE90A691-8CBD-46D2-9040-D750381EAF3C}" uniqueName="3000" name="24570" queryTableFieldId="3000"/>
    <tableColumn id="3001" xr3:uid="{AC959C5A-93F9-460E-9316-D5BF1EB474BA}" uniqueName="3001" name="24571" queryTableFieldId="3001"/>
    <tableColumn id="3002" xr3:uid="{76865D82-C258-4C67-8BBE-9CE4E742221D}" uniqueName="3002" name="24572" queryTableFieldId="3002"/>
    <tableColumn id="3003" xr3:uid="{C3FE33C9-C29C-476B-87A8-04CB5FD9045F}" uniqueName="3003" name="24574" queryTableFieldId="3003"/>
    <tableColumn id="3004" xr3:uid="{B9920F99-D806-4793-8815-7877CF80E078}" uniqueName="3004" name="24577" queryTableFieldId="3004"/>
    <tableColumn id="3005" xr3:uid="{0A57559A-D1D6-439F-B737-930C519F6FF9}" uniqueName="3005" name="24578" queryTableFieldId="3005"/>
    <tableColumn id="3006" xr3:uid="{360A0D7F-5211-4300-BCED-5F2651FD1FC4}" uniqueName="3006" name="24579" queryTableFieldId="3006"/>
    <tableColumn id="3007" xr3:uid="{2D7BA8A9-F671-4D01-8E8F-87248530BA0A}" uniqueName="3007" name="24580" queryTableFieldId="3007"/>
    <tableColumn id="3008" xr3:uid="{A1AD3DE2-2356-44A3-859B-3146FF955221}" uniqueName="3008" name="24581" queryTableFieldId="3008"/>
    <tableColumn id="3009" xr3:uid="{C23F6CD9-57FD-4F32-AB0D-4A5995B3F0FB}" uniqueName="3009" name="24586" queryTableFieldId="3009"/>
    <tableColumn id="3010" xr3:uid="{0FF6087A-93AF-432D-B2EC-97432137D496}" uniqueName="3010" name="24588" queryTableFieldId="3010"/>
    <tableColumn id="3011" xr3:uid="{F59A2498-74FE-4ADA-8FAA-5DF33AD31FBF}" uniqueName="3011" name="24589" queryTableFieldId="3011"/>
    <tableColumn id="3012" xr3:uid="{0410E8D4-48F3-416E-ACB5-396B55ACEA45}" uniqueName="3012" name="24590" queryTableFieldId="3012"/>
    <tableColumn id="3013" xr3:uid="{09BDFE12-6E03-470C-9867-549710090708}" uniqueName="3013" name="24592" queryTableFieldId="3013"/>
    <tableColumn id="3014" xr3:uid="{95F2DD69-ECD7-4B67-9C5E-AF468CF3AD02}" uniqueName="3014" name="24593" queryTableFieldId="3014"/>
    <tableColumn id="3015" xr3:uid="{3EF3D01E-31F3-4CAE-933B-C425E49205B8}" uniqueName="3015" name="24594" queryTableFieldId="3015"/>
    <tableColumn id="3016" xr3:uid="{A7A773D0-90D3-4497-B3C7-C98FCE10EB43}" uniqueName="3016" name="24595" queryTableFieldId="3016"/>
    <tableColumn id="3017" xr3:uid="{FB47F751-C3C8-4FAB-8725-68016295D820}" uniqueName="3017" name="24597" queryTableFieldId="3017"/>
    <tableColumn id="3018" xr3:uid="{D92EDD6E-CF71-4622-B5C0-29CEE63174A9}" uniqueName="3018" name="24598" queryTableFieldId="3018"/>
    <tableColumn id="3019" xr3:uid="{15042533-211A-4C4F-83CE-6EBA0DF034B4}" uniqueName="3019" name="24599" queryTableFieldId="3019"/>
    <tableColumn id="3020" xr3:uid="{71F59D7D-92F4-4FE6-9E7B-BD4276511492}" uniqueName="3020" name="24601" queryTableFieldId="3020"/>
    <tableColumn id="3021" xr3:uid="{3B356051-E15F-4376-A98A-B080943EB4E1}" uniqueName="3021" name="24602" queryTableFieldId="3021"/>
    <tableColumn id="3022" xr3:uid="{62A2964E-F7A6-460C-A414-15D69A675F42}" uniqueName="3022" name="24603" queryTableFieldId="3022"/>
    <tableColumn id="3023" xr3:uid="{134DB0A1-4245-4233-B5E6-CFD500F7DF35}" uniqueName="3023" name="24604" queryTableFieldId="3023"/>
    <tableColumn id="3024" xr3:uid="{EFE3773F-E9FF-4364-83D9-F66789C95A67}" uniqueName="3024" name="24605" queryTableFieldId="3024"/>
    <tableColumn id="3025" xr3:uid="{8C3B4941-1171-49C1-9FDA-0D5A6A9C1148}" uniqueName="3025" name="24606" queryTableFieldId="3025"/>
    <tableColumn id="3026" xr3:uid="{AD484229-B8B9-4B34-95F1-6B89D1189751}" uniqueName="3026" name="24607" queryTableFieldId="3026"/>
    <tableColumn id="3027" xr3:uid="{5D60F7B9-FDD5-4A2C-AADF-372184DC7BFF}" uniqueName="3027" name="24609" queryTableFieldId="3027"/>
    <tableColumn id="3028" xr3:uid="{59BEE34C-8E5F-4317-BF4F-2936FD76F190}" uniqueName="3028" name="24612" queryTableFieldId="3028"/>
    <tableColumn id="3029" xr3:uid="{69195CE0-E727-41D2-B679-E89A4953FBD4}" uniqueName="3029" name="24613" queryTableFieldId="3029"/>
    <tableColumn id="3030" xr3:uid="{1E975EAB-838E-4DB5-8A31-FE02F3F57DAD}" uniqueName="3030" name="24614" queryTableFieldId="3030"/>
    <tableColumn id="3031" xr3:uid="{184A4271-2665-4495-BA96-F6A1D88EC9FD}" uniqueName="3031" name="24620" queryTableFieldId="3031"/>
    <tableColumn id="3032" xr3:uid="{855C57B6-9CA8-434A-83B1-955A6C38AF8F}" uniqueName="3032" name="24622" queryTableFieldId="3032"/>
    <tableColumn id="3033" xr3:uid="{502E4D65-4A76-4BAA-88F9-6E4E8873E989}" uniqueName="3033" name="24630" queryTableFieldId="3033"/>
    <tableColumn id="3034" xr3:uid="{5A5C674A-5A1E-411D-9E02-97D89204F9A9}" uniqueName="3034" name="24631" queryTableFieldId="3034"/>
    <tableColumn id="3035" xr3:uid="{8F5558DF-47FE-4715-881C-73DDDCDB42E0}" uniqueName="3035" name="24634" queryTableFieldId="3035"/>
    <tableColumn id="3036" xr3:uid="{6313EB7B-1FB2-4F13-A1F5-19AF33A0AB26}" uniqueName="3036" name="24635" queryTableFieldId="3036"/>
    <tableColumn id="3037" xr3:uid="{320BF508-7F44-4902-BCFE-87BBCCA78020}" uniqueName="3037" name="24637" queryTableFieldId="3037"/>
    <tableColumn id="3038" xr3:uid="{A4A7CD7E-CD73-4322-A3F5-1A177C500DA7}" uniqueName="3038" name="24639" queryTableFieldId="3038"/>
    <tableColumn id="3039" xr3:uid="{BB3A215E-673D-4803-93D9-0240490906AE}" uniqueName="3039" name="24641" queryTableFieldId="3039"/>
    <tableColumn id="3040" xr3:uid="{CFED55C9-F336-43B3-A305-CDEB34CCABDA}" uniqueName="3040" name="24646" queryTableFieldId="3040"/>
    <tableColumn id="3041" xr3:uid="{8DD6996C-BFF4-487F-A62B-A1BF3A7D4D49}" uniqueName="3041" name="24649" queryTableFieldId="3041"/>
    <tableColumn id="3042" xr3:uid="{D799EFFF-B0F7-4985-B8FE-B767C454D2CB}" uniqueName="3042" name="24651" queryTableFieldId="3042"/>
    <tableColumn id="3043" xr3:uid="{BB20EC42-0F1D-436C-8FEE-4228E90521DD}" uniqueName="3043" name="24656" queryTableFieldId="3043"/>
    <tableColumn id="3044" xr3:uid="{EFA021CB-CEF1-45E9-B62B-10C0A1F6ECC3}" uniqueName="3044" name="24657" queryTableFieldId="3044"/>
    <tableColumn id="3045" xr3:uid="{1C06CB06-F953-4DBC-AED8-215FC42D2B01}" uniqueName="3045" name="37642" queryTableFieldId="3045"/>
    <tableColumn id="3046" xr3:uid="{D2A53811-8343-4211-A042-7B283414D371}" uniqueName="3046" name="37752" queryTableFieldId="3046"/>
    <tableColumn id="3047" xr3:uid="{25D96E3A-118D-4157-A909-0D4C0794ABFE}" uniqueName="3047" name="24701" queryTableFieldId="3047"/>
    <tableColumn id="3048" xr3:uid="{BD857FA5-37F4-42F7-BA8C-6907CC4A25C8}" uniqueName="3048" name="24712" queryTableFieldId="3048"/>
    <tableColumn id="3049" xr3:uid="{861F2D8F-1BCC-45C0-8835-0CC06050EC4E}" uniqueName="3049" name="24714" queryTableFieldId="3049"/>
    <tableColumn id="3050" xr3:uid="{F96CF97B-CC18-47D7-B42B-6ED5B3F7F182}" uniqueName="3050" name="24715" queryTableFieldId="3050"/>
    <tableColumn id="3051" xr3:uid="{942ED564-3CE0-466F-8F9A-24688EB38395}" uniqueName="3051" name="24716" queryTableFieldId="3051"/>
    <tableColumn id="3052" xr3:uid="{44DAD945-FBC4-44C4-AFE3-51B8660CCCA8}" uniqueName="3052" name="24719" queryTableFieldId="3052"/>
    <tableColumn id="3053" xr3:uid="{A4AB928F-8BE4-4988-B574-09CDBD634435}" uniqueName="3053" name="24724" queryTableFieldId="3053"/>
    <tableColumn id="3054" xr3:uid="{6D69E4CC-AF7D-41F2-B22E-1D4DA7A27C11}" uniqueName="3054" name="24726" queryTableFieldId="3054"/>
    <tableColumn id="3055" xr3:uid="{FC13FDA9-C49D-4367-9324-D39DC833E073}" uniqueName="3055" name="24729" queryTableFieldId="3055"/>
    <tableColumn id="3056" xr3:uid="{D4C2C5A7-EA1D-40C7-AF16-90FACA17ACC9}" uniqueName="3056" name="24731" queryTableFieldId="3056"/>
    <tableColumn id="3057" xr3:uid="{E16E57DB-7556-4A39-8B45-8FD7E79642D6}" uniqueName="3057" name="24733" queryTableFieldId="3057"/>
    <tableColumn id="3058" xr3:uid="{A3AB9BBC-DAED-48DB-BB55-90BA6B36BE0B}" uniqueName="3058" name="24736" queryTableFieldId="3058"/>
    <tableColumn id="3059" xr3:uid="{47228231-7CFE-4355-BB64-1F220E4A5F38}" uniqueName="3059" name="24737" queryTableFieldId="3059"/>
    <tableColumn id="3060" xr3:uid="{367A6582-CC64-4FF5-B681-3931F7A8C5C0}" uniqueName="3060" name="24738" queryTableFieldId="3060"/>
    <tableColumn id="3061" xr3:uid="{CC9D8108-2264-4547-BD16-3F25D36097AE}" uniqueName="3061" name="24739" queryTableFieldId="3061"/>
    <tableColumn id="3062" xr3:uid="{B42CC258-E8EF-4A5B-9465-B02114485077}" uniqueName="3062" name="24740" queryTableFieldId="3062"/>
    <tableColumn id="3063" xr3:uid="{6BB96674-4EF2-4F2F-B0AE-1D5AEE7CE4DD}" uniqueName="3063" name="24747" queryTableFieldId="3063"/>
    <tableColumn id="3064" xr3:uid="{2144AEC8-9A42-4040-831C-E054C1D512FA}" uniqueName="3064" name="24801" queryTableFieldId="3064"/>
    <tableColumn id="3065" xr3:uid="{495EF584-842F-4B86-8926-977A2EAA784D}" uniqueName="3065" name="24808" queryTableFieldId="3065"/>
    <tableColumn id="3066" xr3:uid="{F0EAC4E1-3F44-44B2-87BE-EEEC4BB45EFE}" uniqueName="3066" name="24811" queryTableFieldId="3066"/>
    <tableColumn id="3067" xr3:uid="{00A0C00B-8E0F-4272-AC0E-203DB535AF04}" uniqueName="3067" name="24813" queryTableFieldId="3067"/>
    <tableColumn id="3068" xr3:uid="{2949EFF7-F5C7-428F-B0D5-A21D6D97DCEB}" uniqueName="3068" name="24815" queryTableFieldId="3068"/>
    <tableColumn id="3069" xr3:uid="{F96B40EA-EB37-4FC1-ADBB-45D853219490}" uniqueName="3069" name="24816" queryTableFieldId="3069"/>
    <tableColumn id="3070" xr3:uid="{5547901F-9DA3-4F67-A8C3-DBE6C3E59FD3}" uniqueName="3070" name="24817" queryTableFieldId="3070"/>
    <tableColumn id="3071" xr3:uid="{846CC2EA-6C59-4CC8-BF07-352660691FAE}" uniqueName="3071" name="24818" queryTableFieldId="3071"/>
    <tableColumn id="3072" xr3:uid="{343A5AF4-6316-4078-A2C8-276633BE7535}" uniqueName="3072" name="24822" queryTableFieldId="3072"/>
    <tableColumn id="3073" xr3:uid="{B72347E7-D04A-4915-9EC9-A1814784372A}" uniqueName="3073" name="24823" queryTableFieldId="3073"/>
    <tableColumn id="3074" xr3:uid="{A655C429-1861-426A-857A-7B69E4C65B03}" uniqueName="3074" name="24826" queryTableFieldId="3074"/>
    <tableColumn id="3075" xr3:uid="{4707556E-89E5-4BF2-8939-3728044B3F77}" uniqueName="3075" name="24827" queryTableFieldId="3075"/>
    <tableColumn id="3076" xr3:uid="{D86D90DF-F078-4DAE-A5B5-2ACF6DBFEC62}" uniqueName="3076" name="24828" queryTableFieldId="3076"/>
    <tableColumn id="3077" xr3:uid="{3311DA42-FA1E-4070-BBFE-7CD1F33474DF}" uniqueName="3077" name="24830" queryTableFieldId="3077"/>
    <tableColumn id="3078" xr3:uid="{E306DF95-2616-4AD2-B846-9CCC60447B49}" uniqueName="3078" name="24831" queryTableFieldId="3078"/>
    <tableColumn id="3079" xr3:uid="{2966C6ED-6CDB-4E81-8D73-6391C1540677}" uniqueName="3079" name="24834" queryTableFieldId="3079"/>
    <tableColumn id="3080" xr3:uid="{B159E5E5-3134-4C67-AF71-4831144D8E09}" uniqueName="3080" name="24836" queryTableFieldId="3080"/>
    <tableColumn id="3081" xr3:uid="{AA904A96-CA52-45D2-AB60-13BCA2318420}" uniqueName="3081" name="24839" queryTableFieldId="3081"/>
    <tableColumn id="3082" xr3:uid="{707678A2-E1BE-4CFA-B98C-A898C0DCAF32}" uniqueName="3082" name="24843" queryTableFieldId="3082"/>
    <tableColumn id="3083" xr3:uid="{8F80C8C4-61B5-4D02-8933-B80130B6C237}" uniqueName="3083" name="24844" queryTableFieldId="3083"/>
    <tableColumn id="3084" xr3:uid="{66821F7D-904D-4A12-BBD9-ED02BEB1B4FE}" uniqueName="3084" name="24845" queryTableFieldId="3084"/>
    <tableColumn id="3085" xr3:uid="{67E3B97E-76FD-4350-9B6A-BA2AB1813CE2}" uniqueName="3085" name="24846" queryTableFieldId="3085"/>
    <tableColumn id="3086" xr3:uid="{16F1B741-D235-4478-8CA2-6EFA55A1A738}" uniqueName="3086" name="24847" queryTableFieldId="3086"/>
    <tableColumn id="3087" xr3:uid="{B7C17F78-0F64-4E1A-A6D5-356078C35674}" uniqueName="3087" name="24848" queryTableFieldId="3087"/>
    <tableColumn id="3088" xr3:uid="{FB01AAE9-8603-4CCF-AA94-06B1F20B85A1}" uniqueName="3088" name="24849" queryTableFieldId="3088"/>
    <tableColumn id="3089" xr3:uid="{D36D6D8A-5F3E-4D7B-8AFA-F59CC4B39DA2}" uniqueName="3089" name="24850" queryTableFieldId="3089"/>
    <tableColumn id="3090" xr3:uid="{87D32EA3-0CA7-4373-A39E-CA4CF3E92F6A}" uniqueName="3090" name="24851" queryTableFieldId="3090"/>
    <tableColumn id="3091" xr3:uid="{53C5ED79-43DF-40D8-B607-9D8DE4F77CD2}" uniqueName="3091" name="24853" queryTableFieldId="3091"/>
    <tableColumn id="3092" xr3:uid="{D8EC0E6A-0EEE-4388-B0C5-05018C729E54}" uniqueName="3092" name="24854" queryTableFieldId="3092"/>
    <tableColumn id="3093" xr3:uid="{AE57EF8F-9E38-4BDB-BFD2-C86AFD56EE09}" uniqueName="3093" name="24855" queryTableFieldId="3093"/>
    <tableColumn id="3094" xr3:uid="{75EAB09E-632E-47A4-AF4B-F7A4988DC18F}" uniqueName="3094" name="24857" queryTableFieldId="3094"/>
    <tableColumn id="3095" xr3:uid="{C1662341-2CC0-4F09-B675-837881749AD3}" uniqueName="3095" name="24860" queryTableFieldId="3095"/>
    <tableColumn id="3096" xr3:uid="{350641F4-6B06-4EB0-A80F-7FF7724037F2}" uniqueName="3096" name="24861" queryTableFieldId="3096"/>
    <tableColumn id="3097" xr3:uid="{0A06730D-05CC-45C5-A03D-721EF47B9EE7}" uniqueName="3097" name="24862" queryTableFieldId="3097"/>
    <tableColumn id="3098" xr3:uid="{2BFE03FB-2176-4E97-9CF5-48F336614777}" uniqueName="3098" name="24866" queryTableFieldId="3098"/>
    <tableColumn id="3099" xr3:uid="{1DD94FB5-1A0A-41DA-9B5F-FE3E2029D5A2}" uniqueName="3099" name="24867" queryTableFieldId="3099"/>
    <tableColumn id="3100" xr3:uid="{46CD475E-9648-4153-B036-3E9934925FC7}" uniqueName="3100" name="24868" queryTableFieldId="3100"/>
    <tableColumn id="3101" xr3:uid="{58E11872-A88C-464A-A0FB-6915D20DB9D7}" uniqueName="3101" name="24869" queryTableFieldId="3101"/>
    <tableColumn id="3102" xr3:uid="{6AD30668-021F-4E81-8E55-C8AF95333983}" uniqueName="3102" name="24870" queryTableFieldId="3102"/>
    <tableColumn id="3103" xr3:uid="{F8A56AE4-3072-48FC-ABF3-C85B76B27D8E}" uniqueName="3103" name="24871" queryTableFieldId="3103"/>
    <tableColumn id="3104" xr3:uid="{7E6FA893-A03B-446E-A170-4C2E14C6300A}" uniqueName="3104" name="24872" queryTableFieldId="3104"/>
    <tableColumn id="3105" xr3:uid="{E840D598-A3FF-4F49-A6DE-DF65AC5F07CE}" uniqueName="3105" name="24873" queryTableFieldId="3105"/>
    <tableColumn id="3106" xr3:uid="{CAC85DA7-07BF-414A-BF66-C2FED661EC0C}" uniqueName="3106" name="24874" queryTableFieldId="3106"/>
    <tableColumn id="3107" xr3:uid="{76D1E664-15AF-492F-846B-739158EBCCBA}" uniqueName="3107" name="24878" queryTableFieldId="3107"/>
    <tableColumn id="3108" xr3:uid="{922EE5BE-B426-4A10-BD16-CE889D100461}" uniqueName="3108" name="24879" queryTableFieldId="3108"/>
    <tableColumn id="3109" xr3:uid="{C053F22B-7653-43B6-B873-18C358C5C0B7}" uniqueName="3109" name="24880" queryTableFieldId="3109"/>
    <tableColumn id="3110" xr3:uid="{FEF2778D-E5B8-4870-BCBC-DBD75F62E953}" uniqueName="3110" name="24881" queryTableFieldId="3110"/>
    <tableColumn id="3111" xr3:uid="{B96EFA7B-B830-4739-986A-61FDA11FC39D}" uniqueName="3111" name="24882" queryTableFieldId="3111"/>
    <tableColumn id="3112" xr3:uid="{8A0D9EA2-922B-43BE-B8B3-8C551EDC05FC}" uniqueName="3112" name="24884" queryTableFieldId="3112"/>
    <tableColumn id="3113" xr3:uid="{6CD0C70F-CE40-470E-A552-569EE3ECA4C5}" uniqueName="3113" name="24887" queryTableFieldId="3113"/>
    <tableColumn id="3114" xr3:uid="{F1AB244D-0E28-4582-BBF2-8E5F7C192499}" uniqueName="3114" name="24888" queryTableFieldId="3114"/>
    <tableColumn id="3115" xr3:uid="{81052B39-4806-4452-AAF4-F471DE6CDDE3}" uniqueName="3115" name="24892" queryTableFieldId="3115"/>
    <tableColumn id="3116" xr3:uid="{DC9F08AD-3DB2-4365-B037-27BFF2F1AD67}" uniqueName="3116" name="24894" queryTableFieldId="3116"/>
    <tableColumn id="3117" xr3:uid="{C1BCF90D-77DF-4385-BD57-636F312D5271}" uniqueName="3117" name="24895" queryTableFieldId="3117"/>
    <tableColumn id="3118" xr3:uid="{5DCDFBD6-363D-4196-99D1-B8725B30BA84}" uniqueName="3118" name="24898" queryTableFieldId="3118"/>
    <tableColumn id="3119" xr3:uid="{A9185BB6-A6AE-4FFC-B8A2-C6317084D7D3}" uniqueName="3119" name="24901" queryTableFieldId="3119"/>
    <tableColumn id="3120" xr3:uid="{8CAD0999-B384-4514-9D70-4348C994A16E}" uniqueName="3120" name="24910" queryTableFieldId="3120"/>
    <tableColumn id="3121" xr3:uid="{383ECC01-EF51-4877-B713-FAC295AD7CD5}" uniqueName="3121" name="24915" queryTableFieldId="3121"/>
    <tableColumn id="3122" xr3:uid="{5ADB0BE5-1BC8-403D-8499-7AF09F9FB2FE}" uniqueName="3122" name="24916" queryTableFieldId="3122"/>
    <tableColumn id="3123" xr3:uid="{F48914F7-250A-4286-B15A-5D7516FD902E}" uniqueName="3123" name="24918" queryTableFieldId="3123"/>
    <tableColumn id="3124" xr3:uid="{5320326E-C5C2-4315-9E69-EE69901E8A3E}" uniqueName="3124" name="24920" queryTableFieldId="3124"/>
    <tableColumn id="3125" xr3:uid="{94A28DB6-CD1A-4FA9-AB14-52D807927741}" uniqueName="3125" name="24924" queryTableFieldId="3125"/>
    <tableColumn id="3126" xr3:uid="{8A752A6E-929C-4A9C-A7CE-4BA5B8E19774}" uniqueName="3126" name="24925" queryTableFieldId="3126"/>
    <tableColumn id="3127" xr3:uid="{02F5A500-484F-4127-8FAB-3A1261B1BFD4}" uniqueName="3127" name="24927" queryTableFieldId="3127"/>
    <tableColumn id="3128" xr3:uid="{0646176C-4F36-451F-BC9F-08325E38EECC}" uniqueName="3128" name="24931" queryTableFieldId="3128"/>
    <tableColumn id="3129" xr3:uid="{B2CBAB5D-6F73-4C96-A6B8-FE7E2509815A}" uniqueName="3129" name="24934" queryTableFieldId="3129"/>
    <tableColumn id="3130" xr3:uid="{BE365F5C-474F-4DA2-B9D3-D415376DB5E4}" uniqueName="3130" name="24935" queryTableFieldId="3130"/>
    <tableColumn id="3131" xr3:uid="{5686B241-1BA4-4A16-B831-11E98F5AED8C}" uniqueName="3131" name="24938" queryTableFieldId="3131"/>
    <tableColumn id="3132" xr3:uid="{86A45AA3-5B59-407C-9814-E7BB1BA8463D}" uniqueName="3132" name="24941" queryTableFieldId="3132"/>
    <tableColumn id="3133" xr3:uid="{77EF0504-C15D-4F7F-B14B-99253AF2F019}" uniqueName="3133" name="24943" queryTableFieldId="3133"/>
    <tableColumn id="3134" xr3:uid="{776D8114-C72F-4CFB-A9BE-F7FF38C6E384}" uniqueName="3134" name="24944" queryTableFieldId="3134"/>
    <tableColumn id="3135" xr3:uid="{C7176D16-41BC-4213-A4BC-29C1EAC67D80}" uniqueName="3135" name="24945" queryTableFieldId="3135"/>
    <tableColumn id="3136" xr3:uid="{AAFAB49A-CE83-4D3E-93D2-948F33361A67}" uniqueName="3136" name="24946" queryTableFieldId="3136"/>
    <tableColumn id="3137" xr3:uid="{A6C598C5-6F2B-47F9-B7DD-CB8097E032A5}" uniqueName="3137" name="24951" queryTableFieldId="3137"/>
    <tableColumn id="3138" xr3:uid="{82EC7A8A-3B59-4AFD-96FD-6D36E10BCDFB}" uniqueName="3138" name="24954" queryTableFieldId="3138"/>
    <tableColumn id="3139" xr3:uid="{87600A47-BD45-4983-AB7A-EF418DA48CAA}" uniqueName="3139" name="24957" queryTableFieldId="3139"/>
    <tableColumn id="3140" xr3:uid="{23409BB1-AA44-48F5-A0BE-22A910654A22}" uniqueName="3140" name="24962" queryTableFieldId="3140"/>
    <tableColumn id="3141" xr3:uid="{CAF88F74-7072-44FD-81CE-FA6535759388}" uniqueName="3141" name="24963" queryTableFieldId="3141"/>
    <tableColumn id="3142" xr3:uid="{E772C2FF-E02F-41FC-8FE2-742CB7CAF7AE}" uniqueName="3142" name="24966" queryTableFieldId="3142"/>
    <tableColumn id="3143" xr3:uid="{C764EB9C-3F5A-4787-84D8-3C19803C0BD2}" uniqueName="3143" name="24970" queryTableFieldId="3143"/>
    <tableColumn id="3144" xr3:uid="{5FED52D5-BDA9-487B-BA3C-715289AA04B2}" uniqueName="3144" name="24974" queryTableFieldId="3144"/>
    <tableColumn id="3145" xr3:uid="{959FEF92-3C75-411F-A466-E2608B3A8537}" uniqueName="3145" name="24976" queryTableFieldId="3145"/>
    <tableColumn id="3146" xr3:uid="{11C45416-CDBA-4AAD-A3CB-AAB164DF3DA7}" uniqueName="3146" name="24977" queryTableFieldId="3146"/>
    <tableColumn id="3147" xr3:uid="{64F31953-161E-4EBD-AA4C-6782BA3EED93}" uniqueName="3147" name="24981" queryTableFieldId="3147"/>
    <tableColumn id="3148" xr3:uid="{FB8AE230-3BAD-4720-988B-42286C8A2F9D}" uniqueName="3148" name="24983" queryTableFieldId="3148"/>
    <tableColumn id="3149" xr3:uid="{F92C53B3-97FC-4ED8-BDD7-3D762ABEA42D}" uniqueName="3149" name="24984" queryTableFieldId="3149"/>
    <tableColumn id="3150" xr3:uid="{2DA8BE8F-C0BC-4646-97E8-C7AA3B5291DC}" uniqueName="3150" name="24985" queryTableFieldId="3150"/>
    <tableColumn id="3151" xr3:uid="{F0537D9C-C66E-48C0-80CA-21C3F258E7EA}" uniqueName="3151" name="24986" queryTableFieldId="3151"/>
    <tableColumn id="3152" xr3:uid="{3DC17196-E4CA-44C5-81E6-9F0D41429267}" uniqueName="3152" name="24991" queryTableFieldId="3152"/>
    <tableColumn id="3153" xr3:uid="{EF0F8608-E0EC-47D1-90AF-814D7BD79E5E}" uniqueName="3153" name="24993" queryTableFieldId="3153"/>
    <tableColumn id="3154" xr3:uid="{2B7329E9-C415-43D4-A0B1-C2D86DBB9DF8}" uniqueName="3154" name="25002" queryTableFieldId="3154"/>
    <tableColumn id="3155" xr3:uid="{CFEECC4E-84F0-441D-8481-15D1F6A078A7}" uniqueName="3155" name="25003" queryTableFieldId="3155"/>
    <tableColumn id="3156" xr3:uid="{DBBD87D5-D42E-415B-B1D3-B17373A10AFC}" uniqueName="3156" name="25005" queryTableFieldId="3156"/>
    <tableColumn id="3157" xr3:uid="{DD34A5A4-3FEE-4865-BEC7-1D9F87FD372F}" uniqueName="3157" name="25007" queryTableFieldId="3157"/>
    <tableColumn id="3158" xr3:uid="{FAE1DB5E-DE47-4CD1-8735-82CA50A1F67D}" uniqueName="3158" name="25008" queryTableFieldId="3158"/>
    <tableColumn id="3159" xr3:uid="{46539C6F-47B9-433C-9D09-63DE36DC4786}" uniqueName="3159" name="25009" queryTableFieldId="3159"/>
    <tableColumn id="3160" xr3:uid="{507C541A-9BC1-4C7E-A265-0F3889321B93}" uniqueName="3160" name="25011" queryTableFieldId="3160"/>
    <tableColumn id="3161" xr3:uid="{D8628A87-3DA4-4476-9E46-EB6AB5054BDE}" uniqueName="3161" name="25015" queryTableFieldId="3161"/>
    <tableColumn id="3162" xr3:uid="{92460216-0FED-4E69-86E1-365B049D98A7}" uniqueName="3162" name="25019" queryTableFieldId="3162"/>
    <tableColumn id="3163" xr3:uid="{71C43E4A-73F7-4DEE-9792-AD2231062FBE}" uniqueName="3163" name="25021" queryTableFieldId="3163"/>
    <tableColumn id="3164" xr3:uid="{AAF97C6D-C711-4189-A432-C2D415B7FCF5}" uniqueName="3164" name="25022" queryTableFieldId="3164"/>
    <tableColumn id="3165" xr3:uid="{FC94DFAF-806A-4097-81CB-B326A805DC96}" uniqueName="3165" name="25024" queryTableFieldId="3165"/>
    <tableColumn id="3166" xr3:uid="{801DE7B2-AA55-4B21-8986-2FA06082D0ED}" uniqueName="3166" name="25025" queryTableFieldId="3166"/>
    <tableColumn id="3167" xr3:uid="{C7B49FE8-B0F5-4A7C-BC14-CCC0EF1BEC4D}" uniqueName="3167" name="25028" queryTableFieldId="3167"/>
    <tableColumn id="3168" xr3:uid="{6E10D994-88E1-45D3-9BA1-4F70EDA5D2E3}" uniqueName="3168" name="25030" queryTableFieldId="3168"/>
    <tableColumn id="3169" xr3:uid="{08D8F18D-3DFD-4FD5-A13A-52615CD36A61}" uniqueName="3169" name="25031" queryTableFieldId="3169"/>
    <tableColumn id="3170" xr3:uid="{21836090-D97E-4954-8B6E-4A803179AA7F}" uniqueName="3170" name="25033" queryTableFieldId="3170"/>
    <tableColumn id="3171" xr3:uid="{BB3E4362-48D9-4EBF-BBB2-09257ADE7825}" uniqueName="3171" name="25035" queryTableFieldId="3171"/>
    <tableColumn id="3172" xr3:uid="{FE110DA8-823B-4C4B-B30F-E31B028F0129}" uniqueName="3172" name="25036" queryTableFieldId="3172"/>
    <tableColumn id="3173" xr3:uid="{820CCB59-F259-4634-896F-C9B727A2F291}" uniqueName="3173" name="25039" queryTableFieldId="3173"/>
    <tableColumn id="3174" xr3:uid="{FE016AD5-5CFC-4203-ADCE-282C2F5E2827}" uniqueName="3174" name="25040" queryTableFieldId="3174"/>
    <tableColumn id="3175" xr3:uid="{33CAB790-49E6-4A7C-A26A-0BAF47CAC791}" uniqueName="3175" name="25043" queryTableFieldId="3175"/>
    <tableColumn id="3176" xr3:uid="{6E6E1C84-7833-4E34-9060-E9F79BCBD9B6}" uniqueName="3176" name="25044" queryTableFieldId="3176"/>
    <tableColumn id="3177" xr3:uid="{6C6D4C3F-B4D8-4008-9878-A3D4B7470074}" uniqueName="3177" name="25045" queryTableFieldId="3177"/>
    <tableColumn id="3178" xr3:uid="{BB149928-0304-473B-9F58-0ACFF0BBBC08}" uniqueName="3178" name="25047" queryTableFieldId="3178"/>
    <tableColumn id="3179" xr3:uid="{F7077060-A303-4A82-B130-3ADFE7474082}" uniqueName="3179" name="25048" queryTableFieldId="3179"/>
    <tableColumn id="3180" xr3:uid="{3D98DDCE-8890-40A4-BA00-758B3F75CBF2}" uniqueName="3180" name="25049" queryTableFieldId="3180"/>
    <tableColumn id="3181" xr3:uid="{1533B404-6642-4F67-87BA-8D78496EEB78}" uniqueName="3181" name="25051" queryTableFieldId="3181"/>
    <tableColumn id="3182" xr3:uid="{6F07B769-7662-4F2A-86DF-B9944FEB3BAE}" uniqueName="3182" name="25053" queryTableFieldId="3182"/>
    <tableColumn id="3183" xr3:uid="{9029E7C2-117F-4242-906C-D2C5C28A937E}" uniqueName="3183" name="25054" queryTableFieldId="3183"/>
    <tableColumn id="3184" xr3:uid="{6C34801B-9790-448E-96E9-47C532D1E303}" uniqueName="3184" name="25057" queryTableFieldId="3184"/>
    <tableColumn id="3185" xr3:uid="{1EF2635F-14BE-49CF-9D90-7AB20CD431B7}" uniqueName="3185" name="25059" queryTableFieldId="3185"/>
    <tableColumn id="3186" xr3:uid="{1A3E0FC7-DC14-4E88-BE5B-0EDDAE520677}" uniqueName="3186" name="25060" queryTableFieldId="3186"/>
    <tableColumn id="3187" xr3:uid="{8871C4B4-7B6F-443A-8435-566689FEA528}" uniqueName="3187" name="25061" queryTableFieldId="3187"/>
    <tableColumn id="3188" xr3:uid="{0AC25A5B-A345-42C1-9646-F41FF0CAB908}" uniqueName="3188" name="25062" queryTableFieldId="3188"/>
    <tableColumn id="3189" xr3:uid="{268EC191-DD2A-4B12-A532-1215CDBC6E59}" uniqueName="3189" name="25063" queryTableFieldId="3189"/>
    <tableColumn id="3190" xr3:uid="{9F202357-A528-445E-9CC1-6D49E0D7177F}" uniqueName="3190" name="25064" queryTableFieldId="3190"/>
    <tableColumn id="3191" xr3:uid="{4429C052-0338-4133-A50B-A3833714862E}" uniqueName="3191" name="25067" queryTableFieldId="3191"/>
    <tableColumn id="3192" xr3:uid="{EB9B9C64-6B31-4785-8075-EB81E5E01D5F}" uniqueName="3192" name="25070" queryTableFieldId="3192"/>
    <tableColumn id="3193" xr3:uid="{E3B270F2-592E-4D6A-855D-202A017F1CA8}" uniqueName="3193" name="25071" queryTableFieldId="3193"/>
    <tableColumn id="3194" xr3:uid="{B672AD83-2A1C-4BFE-8113-0636FF70A574}" uniqueName="3194" name="25075" queryTableFieldId="3194"/>
    <tableColumn id="3195" xr3:uid="{592160D7-D87B-46B3-853D-57F995A570EE}" uniqueName="3195" name="25076" queryTableFieldId="3195"/>
    <tableColumn id="3196" xr3:uid="{20C4F889-2393-4A83-87C5-17CF577A859E}" uniqueName="3196" name="25081" queryTableFieldId="3196"/>
    <tableColumn id="3197" xr3:uid="{93F3810C-E8E4-437A-B191-0B850786BD50}" uniqueName="3197" name="25082" queryTableFieldId="3197"/>
    <tableColumn id="3198" xr3:uid="{D6C37601-D98E-40DA-88D3-DC88F49E27F1}" uniqueName="3198" name="25083" queryTableFieldId="3198"/>
    <tableColumn id="3199" xr3:uid="{48718485-9949-46C4-8980-D44329447CEE}" uniqueName="3199" name="25085" queryTableFieldId="3199"/>
    <tableColumn id="3200" xr3:uid="{31FDFC20-02F0-4EFC-BE07-500FDAA5E365}" uniqueName="3200" name="25086" queryTableFieldId="3200"/>
    <tableColumn id="3201" xr3:uid="{4CF2820E-EDCA-465E-B5C8-F155BA5DA6AF}" uniqueName="3201" name="25088" queryTableFieldId="3201"/>
    <tableColumn id="3202" xr3:uid="{B621842F-1740-4382-990A-C90DCB2E96E1}" uniqueName="3202" name="25090" queryTableFieldId="3202"/>
    <tableColumn id="3203" xr3:uid="{DEA54F82-E73F-46CB-B30F-F90A859AD1C3}" uniqueName="3203" name="25093" queryTableFieldId="3203"/>
    <tableColumn id="3204" xr3:uid="{528B381A-31EF-41C5-BBA6-D396189607B1}" uniqueName="3204" name="25102" queryTableFieldId="3204"/>
    <tableColumn id="3205" xr3:uid="{8512A9FF-D184-4EBC-96F9-251B70A8FBAC}" uniqueName="3205" name="25103" queryTableFieldId="3205"/>
    <tableColumn id="3206" xr3:uid="{D53185F3-B3AB-4CC1-8075-6839FF951835}" uniqueName="3206" name="25106" queryTableFieldId="3206"/>
    <tableColumn id="3207" xr3:uid="{24A8FD4E-AB8C-4BC8-AED6-8A5E46DF2B3C}" uniqueName="3207" name="25107" queryTableFieldId="3207"/>
    <tableColumn id="3208" xr3:uid="{39C1150D-8AC1-4808-B82C-C6F77DE85A0D}" uniqueName="3208" name="25108" queryTableFieldId="3208"/>
    <tableColumn id="3209" xr3:uid="{76433F11-D416-45FC-AC4A-67C638A3DE0F}" uniqueName="3209" name="25109" queryTableFieldId="3209"/>
    <tableColumn id="3210" xr3:uid="{9BA8D755-3F6E-4767-B51B-851238A6050F}" uniqueName="3210" name="25110" queryTableFieldId="3210"/>
    <tableColumn id="3211" xr3:uid="{5C6CC079-040C-46AA-9776-4ADB1BECB7FF}" uniqueName="3211" name="25111" queryTableFieldId="3211"/>
    <tableColumn id="3212" xr3:uid="{6B5F4CA4-BE3C-42A6-99E0-04DE74E85218}" uniqueName="3212" name="25112" queryTableFieldId="3212"/>
    <tableColumn id="3213" xr3:uid="{B74EA47F-7140-4745-AEF0-E392D139BA2C}" uniqueName="3213" name="25113" queryTableFieldId="3213"/>
    <tableColumn id="3214" xr3:uid="{9B57852E-7D42-4BEC-8AA8-12ABE84617B9}" uniqueName="3214" name="25114" queryTableFieldId="3214"/>
    <tableColumn id="3215" xr3:uid="{E8E0B230-25D3-472B-9628-A85088CE6614}" uniqueName="3215" name="25115" queryTableFieldId="3215"/>
    <tableColumn id="3216" xr3:uid="{E296C4A3-C258-4E36-BB6D-408FC6C00328}" uniqueName="3216" name="25118" queryTableFieldId="3216"/>
    <tableColumn id="3217" xr3:uid="{9FA95A7D-96F8-477C-8305-4631B5CFB01A}" uniqueName="3217" name="25119" queryTableFieldId="3217"/>
    <tableColumn id="3218" xr3:uid="{379F0107-8EB5-4F87-BAF7-E0B9AA61C001}" uniqueName="3218" name="25121" queryTableFieldId="3218"/>
    <tableColumn id="3219" xr3:uid="{6CE72431-3E52-4C27-86C0-69CA5E060A6B}" uniqueName="3219" name="25123" queryTableFieldId="3219"/>
    <tableColumn id="3220" xr3:uid="{B5FA1F3F-F93E-4EF8-AD88-01CE5266CA1D}" uniqueName="3220" name="25124" queryTableFieldId="3220"/>
    <tableColumn id="3221" xr3:uid="{C6548712-93C4-4618-9DCF-FFC2D305C7DB}" uniqueName="3221" name="25125" queryTableFieldId="3221"/>
    <tableColumn id="3222" xr3:uid="{484DE485-6BFD-4A6A-BC79-AC0847638186}" uniqueName="3222" name="25126" queryTableFieldId="3222"/>
    <tableColumn id="3223" xr3:uid="{EA424B5A-A121-4030-8631-4820094739A6}" uniqueName="3223" name="25130" queryTableFieldId="3223"/>
    <tableColumn id="3224" xr3:uid="{20DB17C0-FD8D-47A1-AA5B-8ED9F72BCEE3}" uniqueName="3224" name="25132" queryTableFieldId="3224"/>
    <tableColumn id="3225" xr3:uid="{5CA62321-F694-40C8-94E0-54EA38848329}" uniqueName="3225" name="25133" queryTableFieldId="3225"/>
    <tableColumn id="3226" xr3:uid="{7A46393F-BA7D-4B83-A9CC-C91B1D9C91B9}" uniqueName="3226" name="25134" queryTableFieldId="3226"/>
    <tableColumn id="3227" xr3:uid="{197892CA-8016-4619-99F7-907B82CCC94A}" uniqueName="3227" name="25136" queryTableFieldId="3227"/>
    <tableColumn id="3228" xr3:uid="{2F38C7AC-FD44-49B1-8A74-97D1C8BFC511}" uniqueName="3228" name="25139" queryTableFieldId="3228"/>
    <tableColumn id="3229" xr3:uid="{7F2B53A5-38C2-484B-8A2D-082C90EA1509}" uniqueName="3229" name="25140" queryTableFieldId="3229"/>
    <tableColumn id="3230" xr3:uid="{248A96CD-FC07-48D7-81C5-BB6E60078AB5}" uniqueName="3230" name="25141" queryTableFieldId="3230"/>
    <tableColumn id="3231" xr3:uid="{B328F4A9-1319-45CA-8765-487CB0C1FC34}" uniqueName="3231" name="25142" queryTableFieldId="3231"/>
    <tableColumn id="3232" xr3:uid="{99523230-E65F-444B-8DC9-A9EEDDB2FDE5}" uniqueName="3232" name="25143" queryTableFieldId="3232"/>
    <tableColumn id="3233" xr3:uid="{6A47E143-1279-4819-9895-038F119F7BE3}" uniqueName="3233" name="25148" queryTableFieldId="3233"/>
    <tableColumn id="3234" xr3:uid="{0F3407E4-5314-4888-9706-71DE438D01A8}" uniqueName="3234" name="25149" queryTableFieldId="3234"/>
    <tableColumn id="3235" xr3:uid="{A478DE20-3A9C-404B-9B2D-67126F87C296}" uniqueName="3235" name="25152" queryTableFieldId="3235"/>
    <tableColumn id="3236" xr3:uid="{3321F1E0-AF53-44B5-8689-A0877419A54C}" uniqueName="3236" name="25154" queryTableFieldId="3236"/>
    <tableColumn id="3237" xr3:uid="{620C6828-5FC6-4415-A0B4-72CFEF7123B0}" uniqueName="3237" name="25156" queryTableFieldId="3237"/>
    <tableColumn id="3238" xr3:uid="{B8CC076F-2079-48B7-A61D-A86CC7512781}" uniqueName="3238" name="25159" queryTableFieldId="3238"/>
    <tableColumn id="3239" xr3:uid="{6B8C973C-2752-4AA2-8A97-4A8ED54F71A2}" uniqueName="3239" name="25160" queryTableFieldId="3239"/>
    <tableColumn id="3240" xr3:uid="{988AA210-CE74-4719-8095-7ED8C30D1FEF}" uniqueName="3240" name="25161" queryTableFieldId="3240"/>
    <tableColumn id="3241" xr3:uid="{0A18B021-3CDA-45E4-AA23-83F205C59359}" uniqueName="3241" name="25162" queryTableFieldId="3241"/>
    <tableColumn id="3242" xr3:uid="{C41AB972-2011-43F4-97F2-B6CF16E17158}" uniqueName="3242" name="25164" queryTableFieldId="3242"/>
    <tableColumn id="3243" xr3:uid="{61C60272-FA6E-464B-A992-C3BBA313A70F}" uniqueName="3243" name="25165" queryTableFieldId="3243"/>
    <tableColumn id="3244" xr3:uid="{7AD1CA5D-2AC4-42F6-94DA-C3CE42B3AC18}" uniqueName="3244" name="25168" queryTableFieldId="3244"/>
    <tableColumn id="3245" xr3:uid="{F1E7F2CC-CA3B-455C-AABE-1B6835BF9D05}" uniqueName="3245" name="25169" queryTableFieldId="3245"/>
    <tableColumn id="3246" xr3:uid="{B7C43982-5E08-4D8E-BA0C-8780C9609BFD}" uniqueName="3246" name="25173" queryTableFieldId="3246"/>
    <tableColumn id="3247" xr3:uid="{DADE445B-69D4-44F3-9D79-ADA10B47C51E}" uniqueName="3247" name="25174" queryTableFieldId="3247"/>
    <tableColumn id="3248" xr3:uid="{0872BBF7-3922-48E2-B108-6C29DECCA36E}" uniqueName="3248" name="25177" queryTableFieldId="3248"/>
    <tableColumn id="3249" xr3:uid="{74D4E66A-EB91-44B4-B00C-52BBAB5035AB}" uniqueName="3249" name="25180" queryTableFieldId="3249"/>
    <tableColumn id="3250" xr3:uid="{A913F121-9E4D-45F4-A67B-2BF32C5CB898}" uniqueName="3250" name="25181" queryTableFieldId="3250"/>
    <tableColumn id="3251" xr3:uid="{A710C3D0-2B6F-4584-BE3C-B7DCECC267AF}" uniqueName="3251" name="25183" queryTableFieldId="3251"/>
    <tableColumn id="3252" xr3:uid="{9AC46EE7-241F-43C3-9FD5-FFE581611A08}" uniqueName="3252" name="25185" queryTableFieldId="3252"/>
    <tableColumn id="3253" xr3:uid="{0A4665C5-CD6A-4C87-864C-C8F6B5F5B921}" uniqueName="3253" name="25186" queryTableFieldId="3253"/>
    <tableColumn id="3254" xr3:uid="{47AF585C-52D2-440C-A4E6-708F33C24BC3}" uniqueName="3254" name="25187" queryTableFieldId="3254"/>
    <tableColumn id="3255" xr3:uid="{975F9246-8B5C-4531-91B4-7330404BE122}" uniqueName="3255" name="25193" queryTableFieldId="3255"/>
    <tableColumn id="3256" xr3:uid="{7D2A0ACD-7022-44C5-88CF-F931B928E57E}" uniqueName="3256" name="25201" queryTableFieldId="3256"/>
    <tableColumn id="3257" xr3:uid="{E9558AEF-BD2E-4C41-A3C8-653E9BB56639}" uniqueName="3257" name="25202" queryTableFieldId="3257"/>
    <tableColumn id="3258" xr3:uid="{0C5D5DE7-D4E3-41E4-A095-15C7ADB7F1D4}" uniqueName="3258" name="25203" queryTableFieldId="3258"/>
    <tableColumn id="3259" xr3:uid="{C161AB7F-DC80-42E5-8911-E951783A5A9E}" uniqueName="3259" name="25204" queryTableFieldId="3259"/>
    <tableColumn id="3260" xr3:uid="{63D85E59-BD39-4764-AAE9-DE7A44536D7D}" uniqueName="3260" name="25205" queryTableFieldId="3260"/>
    <tableColumn id="3261" xr3:uid="{85C38AE1-6282-42EB-A9EB-8F8C7FE70801}" uniqueName="3261" name="25206" queryTableFieldId="3261"/>
    <tableColumn id="3262" xr3:uid="{24269D5B-01F2-4770-8E20-94AC3BA97D02}" uniqueName="3262" name="25208" queryTableFieldId="3262"/>
    <tableColumn id="3263" xr3:uid="{23EA6A77-457E-41A6-829F-C73AC172538A}" uniqueName="3263" name="25209" queryTableFieldId="3263"/>
    <tableColumn id="3264" xr3:uid="{FAC5B4B7-9CD1-4B10-8F00-B19229281053}" uniqueName="3264" name="25211" queryTableFieldId="3264"/>
    <tableColumn id="3265" xr3:uid="{A847E45A-D8F0-4649-9098-6CD1A02A79DD}" uniqueName="3265" name="25213" queryTableFieldId="3265"/>
    <tableColumn id="3266" xr3:uid="{1E5E1B77-6F09-4FBB-A5A3-4912F999E601}" uniqueName="3266" name="25214" queryTableFieldId="3266"/>
    <tableColumn id="3267" xr3:uid="{3221B1E6-449D-477A-894C-CB84EAAAB118}" uniqueName="3267" name="25231" queryTableFieldId="3267"/>
    <tableColumn id="3268" xr3:uid="{A44F0599-338B-46AF-98ED-A3ECD0BC62E0}" uniqueName="3268" name="25234" queryTableFieldId="3268"/>
    <tableColumn id="3269" xr3:uid="{0264D007-A9B7-401F-8087-BE8E20C80B84}" uniqueName="3269" name="25235" queryTableFieldId="3269"/>
    <tableColumn id="3270" xr3:uid="{A0AB1E1C-FCBD-4AD4-AAA2-6E2199F058B0}" uniqueName="3270" name="25239" queryTableFieldId="3270"/>
    <tableColumn id="3271" xr3:uid="{0AF71A91-504E-41BF-A0F8-C63CC28B9E86}" uniqueName="3271" name="25241" queryTableFieldId="3271"/>
    <tableColumn id="3272" xr3:uid="{79DFD7CB-1BE2-4EF0-95CD-1A718F705C9A}" uniqueName="3272" name="25243" queryTableFieldId="3272"/>
    <tableColumn id="3273" xr3:uid="{04C402C5-D6F8-4B92-8E97-5B7AA9A8091C}" uniqueName="3273" name="25244" queryTableFieldId="3273"/>
    <tableColumn id="3274" xr3:uid="{8149C2C3-AEC3-4F08-BE8D-666BE68DDEC5}" uniqueName="3274" name="25245" queryTableFieldId="3274"/>
    <tableColumn id="3275" xr3:uid="{7FDB3CF3-5B1E-48E3-B47A-4EC1245F6A29}" uniqueName="3275" name="25247" queryTableFieldId="3275"/>
    <tableColumn id="3276" xr3:uid="{EA69B54E-2786-451A-8524-393680D8471A}" uniqueName="3276" name="25248" queryTableFieldId="3276"/>
    <tableColumn id="3277" xr3:uid="{5B290466-E92B-45C9-A44E-3E464401FAFC}" uniqueName="3277" name="25251" queryTableFieldId="3277"/>
    <tableColumn id="3278" xr3:uid="{E9990804-66FA-4B9B-A7CF-CC8D50BF06DA}" uniqueName="3278" name="25252" queryTableFieldId="3278"/>
    <tableColumn id="3279" xr3:uid="{2A61D1E5-66E2-4953-ACC0-31EFECB159BF}" uniqueName="3279" name="25253" queryTableFieldId="3279"/>
    <tableColumn id="3280" xr3:uid="{8E55E6EA-2048-459A-AB96-668CAD4AC9A2}" uniqueName="3280" name="25259" queryTableFieldId="3280"/>
    <tableColumn id="3281" xr3:uid="{D5703E30-C329-496E-ADD4-AD0E58C61500}" uniqueName="3281" name="25260" queryTableFieldId="3281"/>
    <tableColumn id="3282" xr3:uid="{89F744E9-95AB-43CC-9D84-DB16DBFADB54}" uniqueName="3282" name="25261" queryTableFieldId="3282"/>
    <tableColumn id="3283" xr3:uid="{74AC3F20-350B-4C0C-8197-E2D377B45A44}" uniqueName="3283" name="25262" queryTableFieldId="3283"/>
    <tableColumn id="3284" xr3:uid="{9CA60E4B-3744-4213-9FED-97C6BB8BCEEF}" uniqueName="3284" name="25264" queryTableFieldId="3284"/>
    <tableColumn id="3285" xr3:uid="{9618121D-F0B8-4940-AAA9-ECD11108A585}" uniqueName="3285" name="25265" queryTableFieldId="3285"/>
    <tableColumn id="3286" xr3:uid="{44B7888F-60D0-4A18-9A6E-D4FF94C55078}" uniqueName="3286" name="25266" queryTableFieldId="3286"/>
    <tableColumn id="3287" xr3:uid="{E52E9C25-D58E-4F4D-BAA2-24BC04BDDAC6}" uniqueName="3287" name="25267" queryTableFieldId="3287"/>
    <tableColumn id="3288" xr3:uid="{BDCC5204-D46F-474E-865F-32093B2B1810}" uniqueName="3288" name="25268" queryTableFieldId="3288"/>
    <tableColumn id="3289" xr3:uid="{E78D9234-DF56-4758-AE01-6EEE46BB5E41}" uniqueName="3289" name="25270" queryTableFieldId="3289"/>
    <tableColumn id="3290" xr3:uid="{E808DE35-161B-4C8A-825E-76D2924DB533}" uniqueName="3290" name="25271" queryTableFieldId="3290"/>
    <tableColumn id="3291" xr3:uid="{3FA04BE5-1F96-4626-AF41-EDB0B8D29962}" uniqueName="3291" name="25275" queryTableFieldId="3291"/>
    <tableColumn id="3292" xr3:uid="{199CB252-38FB-4EB4-99EB-4C80B7254601}" uniqueName="3292" name="25276" queryTableFieldId="3292"/>
    <tableColumn id="3293" xr3:uid="{5CFB9A71-8AF3-4785-97F4-A70F468F519E}" uniqueName="3293" name="25285" queryTableFieldId="3293"/>
    <tableColumn id="3294" xr3:uid="{F1C2E154-5E77-4357-9D66-C79DC21FEEFD}" uniqueName="3294" name="25286" queryTableFieldId="3294"/>
    <tableColumn id="3295" xr3:uid="{873E3715-EB8F-401B-B8CB-40540EBE0BCD}" uniqueName="3295" name="25287" queryTableFieldId="3295"/>
    <tableColumn id="3296" xr3:uid="{6250B935-C100-491D-98DF-35E107AC91B1}" uniqueName="3296" name="25301" queryTableFieldId="3296"/>
    <tableColumn id="3297" xr3:uid="{1CD01A1B-8506-4830-B20A-452CD56EDEFA}" uniqueName="3297" name="25302" queryTableFieldId="3297"/>
    <tableColumn id="3298" xr3:uid="{82AF3165-7249-4DBD-BC20-9439810E500C}" uniqueName="3298" name="25303" queryTableFieldId="3298"/>
    <tableColumn id="3299" xr3:uid="{74415384-6FE1-4954-8AEA-67B16C77A79D}" uniqueName="3299" name="25304" queryTableFieldId="3299"/>
    <tableColumn id="3300" xr3:uid="{D3BF89DD-E8BF-4A3E-BD2D-D2B4E9ED6DC6}" uniqueName="3300" name="25305" queryTableFieldId="3300"/>
    <tableColumn id="3301" xr3:uid="{193C7CEA-AC46-4CBC-A83A-061D39B29BE5}" uniqueName="3301" name="25306" queryTableFieldId="3301"/>
    <tableColumn id="3302" xr3:uid="{EDEE3355-9D46-4137-81D0-9F4CD4B7A32D}" uniqueName="3302" name="25309" queryTableFieldId="3302"/>
    <tableColumn id="3303" xr3:uid="{9B5B4913-B8CB-4A41-BC14-2BC171D6F492}" uniqueName="3303" name="25311" queryTableFieldId="3303"/>
    <tableColumn id="3304" xr3:uid="{FAF04533-7415-4981-A37D-78BBB175E234}" uniqueName="3304" name="25312" queryTableFieldId="3304"/>
    <tableColumn id="3305" xr3:uid="{2270CBC0-E0F8-45F0-B8E6-F0597B01436B}" uniqueName="3305" name="25313" queryTableFieldId="3305"/>
    <tableColumn id="3306" xr3:uid="{21DFB721-207D-47B6-A9D8-D0D25AF96FA1}" uniqueName="3306" name="25314" queryTableFieldId="3306"/>
    <tableColumn id="3307" xr3:uid="{827AB6DD-AF54-4E19-8B0F-FA2616BC00AB}" uniqueName="3307" name="25315" queryTableFieldId="3307"/>
    <tableColumn id="3308" xr3:uid="{93687E33-EBB5-4E48-ACB9-5E905F21E743}" uniqueName="3308" name="25320" queryTableFieldId="3308"/>
    <tableColumn id="3309" xr3:uid="{E22CA27F-72B3-4E43-8A0C-E7DADDE0BC0E}" uniqueName="3309" name="25387" queryTableFieldId="3309"/>
    <tableColumn id="3310" xr3:uid="{42A05A1D-2190-4D76-9251-C5ACCF5CAB38}" uniqueName="3310" name="25401" queryTableFieldId="3310"/>
    <tableColumn id="3311" xr3:uid="{94962943-6BA5-420C-9E8C-9535BDEF4FF7}" uniqueName="3311" name="25403" queryTableFieldId="3311"/>
    <tableColumn id="3312" xr3:uid="{849B83C8-082F-431B-A9DA-FC9CD8B95DB3}" uniqueName="3312" name="25404" queryTableFieldId="3312"/>
    <tableColumn id="3313" xr3:uid="{AE888B81-BADB-4573-8770-D87726E6419F}" uniqueName="3313" name="25405" queryTableFieldId="3313"/>
    <tableColumn id="3314" xr3:uid="{ED0329C6-F2FA-4846-953F-2FF768224680}" uniqueName="3314" name="25411" queryTableFieldId="3314"/>
    <tableColumn id="3315" xr3:uid="{A2BF706B-FE87-49B1-AB51-F63A9B9D8E94}" uniqueName="3315" name="25413" queryTableFieldId="3315"/>
    <tableColumn id="3316" xr3:uid="{2F3951CA-2CE4-49AB-8F85-FE960C188CE9}" uniqueName="3316" name="25414" queryTableFieldId="3316"/>
    <tableColumn id="3317" xr3:uid="{A6E4D239-3BA5-492B-A5D4-0A22BD673CED}" uniqueName="3317" name="25419" queryTableFieldId="3317"/>
    <tableColumn id="3318" xr3:uid="{9BB1BFCB-7071-45D0-8258-473203E0BBFF}" uniqueName="3318" name="25420" queryTableFieldId="3318"/>
    <tableColumn id="3319" xr3:uid="{B2814873-67D8-481C-8E3C-D2A62648DE51}" uniqueName="3319" name="25421" queryTableFieldId="3319"/>
    <tableColumn id="3320" xr3:uid="{1DC4F1C9-F83E-4ABC-8B6E-905ADB89D1CC}" uniqueName="3320" name="25422" queryTableFieldId="3320"/>
    <tableColumn id="3321" xr3:uid="{59F09B32-9D5B-4E71-A174-379E9CDB7C16}" uniqueName="3321" name="25425" queryTableFieldId="3321"/>
    <tableColumn id="3322" xr3:uid="{3B6FCA48-BD71-4CCF-A4D1-92A7C507B2E6}" uniqueName="3322" name="25427" queryTableFieldId="3322"/>
    <tableColumn id="3323" xr3:uid="{FDDDBAD9-53BA-428B-BBCF-E1173E2DA665}" uniqueName="3323" name="25428" queryTableFieldId="3323"/>
    <tableColumn id="3324" xr3:uid="{D253F62F-DFDB-482D-9CCB-F31009952C9C}" uniqueName="3324" name="25430" queryTableFieldId="3324"/>
    <tableColumn id="3325" xr3:uid="{5DCD0526-B701-4F25-81BE-AF721B6D0AEA}" uniqueName="3325" name="25431" queryTableFieldId="3325"/>
    <tableColumn id="3326" xr3:uid="{9541253C-9F57-484B-B757-CD2B13B7992C}" uniqueName="3326" name="25432" queryTableFieldId="3326"/>
    <tableColumn id="3327" xr3:uid="{19609BB8-AA38-42B9-AD68-BE748D05FE52}" uniqueName="3327" name="25434" queryTableFieldId="3327"/>
    <tableColumn id="3328" xr3:uid="{DF21B870-8D27-42CE-B387-E444E4A49589}" uniqueName="3328" name="25437" queryTableFieldId="3328"/>
    <tableColumn id="3329" xr3:uid="{E7E73AF6-96E5-48D2-A08B-8030B630B1D2}" uniqueName="3329" name="25438" queryTableFieldId="3329"/>
    <tableColumn id="3330" xr3:uid="{CB526CE2-9D47-407E-ADB5-F18D7EA75E8A}" uniqueName="3330" name="25442" queryTableFieldId="3330"/>
    <tableColumn id="3331" xr3:uid="{9485CFFE-CE29-4E66-8215-DF2A15B1400C}" uniqueName="3331" name="25443" queryTableFieldId="3331"/>
    <tableColumn id="3332" xr3:uid="{59841F3D-3778-477B-B4AF-DEAB15061ADF}" uniqueName="3332" name="25444" queryTableFieldId="3332"/>
    <tableColumn id="3333" xr3:uid="{FCF023FD-6606-469E-AA19-EEBDC9136A64}" uniqueName="3333" name="25446" queryTableFieldId="3333"/>
    <tableColumn id="3334" xr3:uid="{729B0D66-C7B1-46D9-9261-AF66D8ACA1F8}" uniqueName="3334" name="25501" queryTableFieldId="3334"/>
    <tableColumn id="3335" xr3:uid="{E983DEE0-6569-4BE0-AB6B-16D423681686}" uniqueName="3335" name="25502" queryTableFieldId="3335"/>
    <tableColumn id="3336" xr3:uid="{BE709D5B-9C0D-49D1-BB6C-D93035D9E498}" uniqueName="3336" name="25503" queryTableFieldId="3336"/>
    <tableColumn id="3337" xr3:uid="{98A3666B-B8D8-42BE-81DF-0598A9B3CC62}" uniqueName="3337" name="25504" queryTableFieldId="3337"/>
    <tableColumn id="3338" xr3:uid="{1C77A348-CCA9-414C-8433-C9EECA6BD095}" uniqueName="3338" name="25505" queryTableFieldId="3338"/>
    <tableColumn id="3339" xr3:uid="{73DCD80C-27BA-4073-A0F1-9767035397DB}" uniqueName="3339" name="25506" queryTableFieldId="3339"/>
    <tableColumn id="3340" xr3:uid="{D54AA5C5-79DE-4649-A7DC-07B6485CDEC7}" uniqueName="3340" name="25507" queryTableFieldId="3340"/>
    <tableColumn id="3341" xr3:uid="{DBA21459-ED06-43E0-B051-019FDBB44B17}" uniqueName="3341" name="25508" queryTableFieldId="3341"/>
    <tableColumn id="3342" xr3:uid="{215BAA04-D2A0-429C-B2AE-73A3E331461A}" uniqueName="3342" name="25510" queryTableFieldId="3342"/>
    <tableColumn id="3343" xr3:uid="{39049208-FDED-41AC-B0CB-CC0BA298B44B}" uniqueName="3343" name="25511" queryTableFieldId="3343"/>
    <tableColumn id="3344" xr3:uid="{3348114B-CF29-46DC-A434-F13427A951A9}" uniqueName="3344" name="25512" queryTableFieldId="3344"/>
    <tableColumn id="3345" xr3:uid="{F07885BD-C5BA-424D-AF78-FBE9FDEBF744}" uniqueName="3345" name="25514" queryTableFieldId="3345"/>
    <tableColumn id="3346" xr3:uid="{1CE77ED6-DFA1-4EF0-B64B-BC97122C97E0}" uniqueName="3346" name="25515" queryTableFieldId="3346"/>
    <tableColumn id="3347" xr3:uid="{B6E0BD6F-6B7F-4DDA-B86D-D68342AAE6A4}" uniqueName="3347" name="25517" queryTableFieldId="3347"/>
    <tableColumn id="3348" xr3:uid="{48B249C1-B000-4B73-84DA-7FB1EDA91C73}" uniqueName="3348" name="25520" queryTableFieldId="3348"/>
    <tableColumn id="3349" xr3:uid="{EA33CBC9-22B2-4958-8555-34CEF785F3B5}" uniqueName="3349" name="25521" queryTableFieldId="3349"/>
    <tableColumn id="3350" xr3:uid="{791E9CFE-D525-45D7-898B-A71A9253B068}" uniqueName="3350" name="25523" queryTableFieldId="3350"/>
    <tableColumn id="3351" xr3:uid="{1B0C4813-A2A5-4986-A1E0-FC1772B4FC74}" uniqueName="3351" name="25524" queryTableFieldId="3351"/>
    <tableColumn id="3352" xr3:uid="{A72CD2E0-59F9-4562-BDF1-33DF4E92B182}" uniqueName="3352" name="25526" queryTableFieldId="3352"/>
    <tableColumn id="3353" xr3:uid="{A2DC13F8-41AB-4B20-8FFD-A4F2A77FD3BF}" uniqueName="3353" name="25529" queryTableFieldId="3353"/>
    <tableColumn id="3354" xr3:uid="{E0E930CD-6BED-4BE6-A7E9-98DE6578A839}" uniqueName="3354" name="25530" queryTableFieldId="3354"/>
    <tableColumn id="3355" xr3:uid="{BED51CF8-A065-451B-861C-19DB67387141}" uniqueName="3355" name="25534" queryTableFieldId="3355"/>
    <tableColumn id="3356" xr3:uid="{2F911EEE-FB25-47D6-B6DA-27D48F49A095}" uniqueName="3356" name="25535" queryTableFieldId="3356"/>
    <tableColumn id="3357" xr3:uid="{4D42ED85-FD02-4305-B7C7-D099F1C9C9C0}" uniqueName="3357" name="25537" queryTableFieldId="3357"/>
    <tableColumn id="3358" xr3:uid="{C09C4DA5-8ED0-498B-B2E9-B3C46524B7D5}" uniqueName="3358" name="25540" queryTableFieldId="3358"/>
    <tableColumn id="3359" xr3:uid="{AE450FE9-6E84-4F0F-BFD2-9128AC436DD9}" uniqueName="3359" name="25541" queryTableFieldId="3359"/>
    <tableColumn id="3360" xr3:uid="{93BBFF27-8E33-4A1E-A8DB-C608CB3CF359}" uniqueName="3360" name="25544" queryTableFieldId="3360"/>
    <tableColumn id="3361" xr3:uid="{D401F36A-055F-48DD-A730-D753BF44CBBC}" uniqueName="3361" name="25545" queryTableFieldId="3361"/>
    <tableColumn id="3362" xr3:uid="{37A12C1B-D4DB-4537-9703-29EEAE1ED5CE}" uniqueName="3362" name="25547" queryTableFieldId="3362"/>
    <tableColumn id="3363" xr3:uid="{1F435B50-0924-443E-B2BE-7DA3D3EBA60C}" uniqueName="3363" name="25550" queryTableFieldId="3363"/>
    <tableColumn id="3364" xr3:uid="{2D8D21A9-DC27-43F3-B326-152E8177613C}" uniqueName="3364" name="25555" queryTableFieldId="3364"/>
    <tableColumn id="3365" xr3:uid="{2FBCE683-5014-4829-ACA5-51BAC6D8E987}" uniqueName="3365" name="25557" queryTableFieldId="3365"/>
    <tableColumn id="3366" xr3:uid="{0873A3B0-9107-44BA-A25A-E31170A38538}" uniqueName="3366" name="25559" queryTableFieldId="3366"/>
    <tableColumn id="3367" xr3:uid="{7E93B6F6-EE77-4A5A-91C5-41D0BD228AC9}" uniqueName="3367" name="25560" queryTableFieldId="3367"/>
    <tableColumn id="3368" xr3:uid="{FC505571-2FDF-4B33-B397-03747DCA3A79}" uniqueName="3368" name="25564" queryTableFieldId="3368"/>
    <tableColumn id="3369" xr3:uid="{79369D8A-734A-476F-95B3-B2A793A98F12}" uniqueName="3369" name="25565" queryTableFieldId="3369"/>
    <tableColumn id="3370" xr3:uid="{908886E0-ACAE-4F52-9DA4-171EB8917AD8}" uniqueName="3370" name="25567" queryTableFieldId="3370"/>
    <tableColumn id="3371" xr3:uid="{6CF3BAAC-2A29-4034-B73D-24121B4CE4B7}" uniqueName="3371" name="25570" queryTableFieldId="3371"/>
    <tableColumn id="3372" xr3:uid="{7E4FDD7E-520A-4245-B9DF-A8A2658795A2}" uniqueName="3372" name="25571" queryTableFieldId="3372"/>
    <tableColumn id="3373" xr3:uid="{FDD0B460-ED7C-415D-B4DC-C9B8FE0049B4}" uniqueName="3373" name="25573" queryTableFieldId="3373"/>
    <tableColumn id="3374" xr3:uid="{868FAB95-85AD-4F40-8CDD-DF867DACD7C1}" uniqueName="3374" name="25601" queryTableFieldId="3374"/>
    <tableColumn id="3375" xr3:uid="{8A98F3FA-E45A-4BB3-9AE8-40B445B6018B}" uniqueName="3375" name="25606" queryTableFieldId="3375"/>
    <tableColumn id="3376" xr3:uid="{BA5949FD-0E40-423D-974A-983959EE1D85}" uniqueName="3376" name="25607" queryTableFieldId="3376"/>
    <tableColumn id="3377" xr3:uid="{819CA7D5-2B5E-41AE-8A3E-DB9ED1112208}" uniqueName="3377" name="25608" queryTableFieldId="3377"/>
    <tableColumn id="3378" xr3:uid="{DCE0EF5C-BA43-4F86-9334-0A8686A5B0E0}" uniqueName="3378" name="25611" queryTableFieldId="3378"/>
    <tableColumn id="3379" xr3:uid="{5091F853-4E28-4C98-A0FD-9EEF5BC1E029}" uniqueName="3379" name="25612" queryTableFieldId="3379"/>
    <tableColumn id="3380" xr3:uid="{67F2D961-A740-4BDF-BA2F-80FD63F6B48B}" uniqueName="3380" name="25617" queryTableFieldId="3380"/>
    <tableColumn id="3381" xr3:uid="{9BD408E0-CC52-46B6-8BC1-75B59A160241}" uniqueName="3381" name="25621" queryTableFieldId="3381"/>
    <tableColumn id="3382" xr3:uid="{31F1DDDC-D0C8-4151-8B51-3F76DFBDADA0}" uniqueName="3382" name="25624" queryTableFieldId="3382"/>
    <tableColumn id="3383" xr3:uid="{2D019DDC-4EA6-41D4-B262-0919A6A3542D}" uniqueName="3383" name="25625" queryTableFieldId="3383"/>
    <tableColumn id="3384" xr3:uid="{9F405048-7003-4556-9FF0-0882D64BAEF8}" uniqueName="3384" name="25628" queryTableFieldId="3384"/>
    <tableColumn id="3385" xr3:uid="{DE9BB516-52D4-40B5-8B3A-C1D42BBD2AD1}" uniqueName="3385" name="25630" queryTableFieldId="3385"/>
    <tableColumn id="3386" xr3:uid="{9709A6DB-4EF7-497E-92CA-1DF305898EC1}" uniqueName="3386" name="25632" queryTableFieldId="3386"/>
    <tableColumn id="3387" xr3:uid="{166B8DD2-C21C-447D-BD0C-96521743C09D}" uniqueName="3387" name="25634" queryTableFieldId="3387"/>
    <tableColumn id="3388" xr3:uid="{AB392AFC-D50D-4423-B010-293BD0554D75}" uniqueName="3388" name="25635" queryTableFieldId="3388"/>
    <tableColumn id="3389" xr3:uid="{CC3B8EB5-2886-44D5-81B7-CF313EEF3A39}" uniqueName="3389" name="25637" queryTableFieldId="3389"/>
    <tableColumn id="3390" xr3:uid="{406C991B-5D39-4C72-A6D4-4492C27BA2C6}" uniqueName="3390" name="25638" queryTableFieldId="3390"/>
    <tableColumn id="3391" xr3:uid="{8D642EBB-350A-4AA0-A831-0F10F01F15B9}" uniqueName="3391" name="25639" queryTableFieldId="3391"/>
    <tableColumn id="3392" xr3:uid="{A6E227B8-5950-42E6-91E7-2F5165FD9DFA}" uniqueName="3392" name="25644" queryTableFieldId="3392"/>
    <tableColumn id="3393" xr3:uid="{CAD0FBE2-BE94-4067-9408-2017770C88A5}" uniqueName="3393" name="25646" queryTableFieldId="3393"/>
    <tableColumn id="3394" xr3:uid="{C5D56D66-D372-4812-A5F5-54499AF739AC}" uniqueName="3394" name="25647" queryTableFieldId="3394"/>
    <tableColumn id="3395" xr3:uid="{4ECFAE70-4E32-4381-973A-ABC0160036CD}" uniqueName="3395" name="25649" queryTableFieldId="3395"/>
    <tableColumn id="3396" xr3:uid="{E4C5696E-F05D-4467-BA34-15F5F1BEFD36}" uniqueName="3396" name="25650" queryTableFieldId="3396"/>
    <tableColumn id="3397" xr3:uid="{FA3510F4-B143-4AEC-B1C6-9C2A7857891C}" uniqueName="3397" name="25651" queryTableFieldId="3397"/>
    <tableColumn id="3398" xr3:uid="{C707B5B0-C847-407B-A649-D990770D2570}" uniqueName="3398" name="25652" queryTableFieldId="3398"/>
    <tableColumn id="3399" xr3:uid="{986FBC96-AD98-464C-87AB-79A2EADD6D3E}" uniqueName="3399" name="25653" queryTableFieldId="3399"/>
    <tableColumn id="3400" xr3:uid="{96EDE508-2090-4B47-8780-735292F7F460}" uniqueName="3400" name="25654" queryTableFieldId="3400"/>
    <tableColumn id="3401" xr3:uid="{45940112-97D5-49C9-A460-147315058FF4}" uniqueName="3401" name="25661" queryTableFieldId="3401"/>
    <tableColumn id="3402" xr3:uid="{4539027B-4C53-46C7-8840-C632D0E208AE}" uniqueName="3402" name="25666" queryTableFieldId="3402"/>
    <tableColumn id="3403" xr3:uid="{813FA971-39D2-4394-BBF1-526F87390DEE}" uniqueName="3403" name="25667" queryTableFieldId="3403"/>
    <tableColumn id="3404" xr3:uid="{8C9E4499-C92F-48F4-8433-1E6537C1D9EF}" uniqueName="3404" name="25669" queryTableFieldId="3404"/>
    <tableColumn id="3405" xr3:uid="{1287A91D-9E68-4865-BE23-28C3EA92925F}" uniqueName="3405" name="25670" queryTableFieldId="3405"/>
    <tableColumn id="3406" xr3:uid="{DA9CCC75-A89E-4688-B4B8-FBAB1036FFFF}" uniqueName="3406" name="25671" queryTableFieldId="3406"/>
    <tableColumn id="3407" xr3:uid="{F4621E04-619F-404F-9625-5C813880F56A}" uniqueName="3407" name="25672" queryTableFieldId="3407"/>
    <tableColumn id="3408" xr3:uid="{E7EB34AD-09DA-4F09-A1F9-3D5D9EEBBBFF}" uniqueName="3408" name="25674" queryTableFieldId="3408"/>
    <tableColumn id="3409" xr3:uid="{F664DB7A-897E-4E7D-A6BE-5F61A34B9CD1}" uniqueName="3409" name="25676" queryTableFieldId="3409"/>
    <tableColumn id="3410" xr3:uid="{C3811DD0-00FC-4B4E-BE11-0428D038E8EF}" uniqueName="3410" name="25678" queryTableFieldId="3410"/>
    <tableColumn id="3411" xr3:uid="{C7FEC3E0-76D4-466C-8057-ED6CD742DABA}" uniqueName="3411" name="25685" queryTableFieldId="3411"/>
    <tableColumn id="3412" xr3:uid="{0E2A7ADA-4DC4-485D-B434-8665A27246E3}" uniqueName="3412" name="25688" queryTableFieldId="3412"/>
    <tableColumn id="3413" xr3:uid="{966CBCB1-1BEB-417F-9663-7DE07E63F92B}" uniqueName="3413" name="25690" queryTableFieldId="3413"/>
    <tableColumn id="3414" xr3:uid="{9D9019C9-0824-4F83-94B2-F13B512B084D}" uniqueName="3414" name="25692" queryTableFieldId="3414"/>
    <tableColumn id="3415" xr3:uid="{177EB2BC-88BD-4AC8-98CC-741C1A461288}" uniqueName="3415" name="25696" queryTableFieldId="3415"/>
    <tableColumn id="3416" xr3:uid="{6E17E49B-DF05-4428-BD8F-99C65CEFAF13}" uniqueName="3416" name="25699" queryTableFieldId="3416"/>
    <tableColumn id="3417" xr3:uid="{DDA358D2-1F04-4AD8-B60B-B61244C25104}" uniqueName="3417" name="25701" queryTableFieldId="3417"/>
    <tableColumn id="3418" xr3:uid="{31CCA0B3-6615-404B-B98B-AE15E13E657A}" uniqueName="3418" name="25702" queryTableFieldId="3418"/>
    <tableColumn id="3419" xr3:uid="{8B9D5B7D-31DE-4DE1-A716-404D0DC1FFB2}" uniqueName="3419" name="25703" queryTableFieldId="3419"/>
    <tableColumn id="3420" xr3:uid="{D46561FB-1222-4006-920A-AEB37808E677}" uniqueName="3420" name="25704" queryTableFieldId="3420"/>
    <tableColumn id="3421" xr3:uid="{3023A15E-7677-4EC7-9D5B-1E0E5DBB9309}" uniqueName="3421" name="25705" queryTableFieldId="3421"/>
    <tableColumn id="3422" xr3:uid="{67762C0C-0197-4744-928C-1312261AEEF6}" uniqueName="3422" name="25755" queryTableFieldId="3422"/>
    <tableColumn id="3423" xr3:uid="{A9CE1C7E-308D-41F3-8715-9CAE0D2A2482}" uniqueName="3423" name="25801" queryTableFieldId="3423"/>
    <tableColumn id="3424" xr3:uid="{8717F8DF-5EE0-4838-9E19-9C5343AD637A}" uniqueName="3424" name="25810" queryTableFieldId="3424"/>
    <tableColumn id="3425" xr3:uid="{A5BD711C-0FB0-4AA6-9A42-E6447E02FF83}" uniqueName="3425" name="25811" queryTableFieldId="3425"/>
    <tableColumn id="3426" xr3:uid="{50F6A8D5-8326-47C3-9FB7-9D7600061FB2}" uniqueName="3426" name="25812" queryTableFieldId="3426"/>
    <tableColumn id="3427" xr3:uid="{EE4B0348-4811-47C8-B6BE-7FC3A5842334}" uniqueName="3427" name="25813" queryTableFieldId="3427"/>
    <tableColumn id="3428" xr3:uid="{E6DB6417-ED83-48E0-A7D6-6D9CE76FEEFB}" uniqueName="3428" name="25817" queryTableFieldId="3428"/>
    <tableColumn id="3429" xr3:uid="{BC0744C2-E80D-491A-AB63-59884743AD43}" uniqueName="3429" name="25818" queryTableFieldId="3429"/>
    <tableColumn id="3430" xr3:uid="{7C095199-33DF-442A-9CD4-BFD4E1925F3D}" uniqueName="3430" name="25820" queryTableFieldId="3430"/>
    <tableColumn id="3431" xr3:uid="{F80CB70C-51CD-4BEE-A17D-AC69CB09ADB9}" uniqueName="3431" name="25823" queryTableFieldId="3431"/>
    <tableColumn id="3432" xr3:uid="{60B47AE3-2DD2-40EB-A73D-315668DA3509}" uniqueName="3432" name="25825" queryTableFieldId="3432"/>
    <tableColumn id="3433" xr3:uid="{62137583-C056-42AD-8B16-B660D1894BA5}" uniqueName="3433" name="25826" queryTableFieldId="3433"/>
    <tableColumn id="3434" xr3:uid="{F8EC914B-37A8-4328-B2DA-F6EA5496F556}" uniqueName="3434" name="25827" queryTableFieldId="3434"/>
    <tableColumn id="3435" xr3:uid="{F14807D8-70A6-4B66-9FFE-DE16A72AADEF}" uniqueName="3435" name="25831" queryTableFieldId="3435"/>
    <tableColumn id="3436" xr3:uid="{CE416911-F385-47C0-B8B0-3D93C1DD118A}" uniqueName="3436" name="25832" queryTableFieldId="3436"/>
    <tableColumn id="3437" xr3:uid="{7511C985-0306-46F7-B489-2B2BE5F1D50E}" uniqueName="3437" name="25836" queryTableFieldId="3437"/>
    <tableColumn id="3438" xr3:uid="{CB10B96F-65B0-485A-A407-0EAED879570D}" uniqueName="3438" name="25837" queryTableFieldId="3438"/>
    <tableColumn id="3439" xr3:uid="{02823388-4859-4B84-868A-E52B0B64794B}" uniqueName="3439" name="25839" queryTableFieldId="3439"/>
    <tableColumn id="3440" xr3:uid="{99EA0211-176E-4429-8A13-A6218316189A}" uniqueName="3440" name="25840" queryTableFieldId="3440"/>
    <tableColumn id="3441" xr3:uid="{B965D2F3-DF20-41A3-8712-5DF82302C555}" uniqueName="3441" name="25841" queryTableFieldId="3441"/>
    <tableColumn id="3442" xr3:uid="{29EAE1EF-8A66-4FE0-90F7-1B2277A6D79E}" uniqueName="3442" name="25843" queryTableFieldId="3442"/>
    <tableColumn id="3443" xr3:uid="{A696E028-F508-4780-BBC9-2E24FA3C8652}" uniqueName="3443" name="25844" queryTableFieldId="3443"/>
    <tableColumn id="3444" xr3:uid="{9F9D446A-8D11-444E-B133-86E5B69C63A9}" uniqueName="3444" name="25845" queryTableFieldId="3444"/>
    <tableColumn id="3445" xr3:uid="{7175ECD1-CBF1-4477-9DEA-C2FDDF3839B7}" uniqueName="3445" name="25846" queryTableFieldId="3445"/>
    <tableColumn id="3446" xr3:uid="{ABFF2CB8-D212-48BA-9F54-902D15E78945}" uniqueName="3446" name="25848" queryTableFieldId="3446"/>
    <tableColumn id="3447" xr3:uid="{EED0909E-4EEB-497B-B102-9766E144529A}" uniqueName="3447" name="25849" queryTableFieldId="3447"/>
    <tableColumn id="3448" xr3:uid="{B895FB1D-7747-46AB-8DBE-B46B8591CA96}" uniqueName="3448" name="25851" queryTableFieldId="3448"/>
    <tableColumn id="3449" xr3:uid="{10511D1A-EF56-4289-8DA5-0D8821DBBFB3}" uniqueName="3449" name="25853" queryTableFieldId="3449"/>
    <tableColumn id="3450" xr3:uid="{8446A83C-7B36-42FC-B19A-F593C56E07B5}" uniqueName="3450" name="25854" queryTableFieldId="3450"/>
    <tableColumn id="3451" xr3:uid="{3A22F7EA-9C94-4B3B-A3FB-482AD9044028}" uniqueName="3451" name="25855" queryTableFieldId="3451"/>
    <tableColumn id="3452" xr3:uid="{D4B2B253-BC5F-464E-831A-15F524B13F08}" uniqueName="3452" name="25857" queryTableFieldId="3452"/>
    <tableColumn id="3453" xr3:uid="{7D789379-4188-4458-80DA-DFC5A521E609}" uniqueName="3453" name="25862" queryTableFieldId="3453"/>
    <tableColumn id="3454" xr3:uid="{F7562FBA-00BF-4B09-8C01-8B98DFBF2986}" uniqueName="3454" name="25864" queryTableFieldId="3454"/>
    <tableColumn id="3455" xr3:uid="{3D2DA008-668F-4923-BC4B-0DEFE2C4949A}" uniqueName="3455" name="25865" queryTableFieldId="3455"/>
    <tableColumn id="3456" xr3:uid="{327AE240-76F1-466A-A643-0A5B15DB4CFB}" uniqueName="3456" name="25866" queryTableFieldId="3456"/>
    <tableColumn id="3457" xr3:uid="{F006ADA8-14E6-4FB6-8EC2-D2998E858A31}" uniqueName="3457" name="25868" queryTableFieldId="3457"/>
    <tableColumn id="3458" xr3:uid="{8C039CDD-84AD-417F-B9E8-52C04D0ECEFD}" uniqueName="3458" name="25870" queryTableFieldId="3458"/>
    <tableColumn id="3459" xr3:uid="{F8345C17-25B0-4BBC-80F8-AFA1C39202D6}" uniqueName="3459" name="25871" queryTableFieldId="3459"/>
    <tableColumn id="3460" xr3:uid="{3B455077-6D2E-4195-A705-9C76E85C5649}" uniqueName="3460" name="25873" queryTableFieldId="3460"/>
    <tableColumn id="3461" xr3:uid="{B25ED3AD-F0FF-4C0B-9BD9-C73A9855CEB6}" uniqueName="3461" name="25875" queryTableFieldId="3461"/>
    <tableColumn id="3462" xr3:uid="{4DB3211A-C15B-4491-8661-034AADDBDC94}" uniqueName="3462" name="25876" queryTableFieldId="3462"/>
    <tableColumn id="3463" xr3:uid="{676BEE04-1C6D-4909-8B77-33C00EDC721E}" uniqueName="3463" name="25878" queryTableFieldId="3463"/>
    <tableColumn id="3464" xr3:uid="{DF46C95B-997B-42AC-96B6-B7DD6993C10F}" uniqueName="3464" name="25879" queryTableFieldId="3464"/>
    <tableColumn id="3465" xr3:uid="{C066E228-3838-4C44-B407-BCE8A7BDEF14}" uniqueName="3465" name="25880" queryTableFieldId="3465"/>
    <tableColumn id="3466" xr3:uid="{3AF3136F-EBD4-426F-9878-59321CC87F3C}" uniqueName="3466" name="25882" queryTableFieldId="3466"/>
    <tableColumn id="3467" xr3:uid="{5EAAE543-4A95-4ED3-BABC-9C63F970D796}" uniqueName="3467" name="25901" queryTableFieldId="3467"/>
    <tableColumn id="3468" xr3:uid="{130EA673-8534-4A97-AF06-9EFD9E1D5AD1}" uniqueName="3468" name="25902" queryTableFieldId="3468"/>
    <tableColumn id="3469" xr3:uid="{8D49CE5C-309A-49A1-B666-83E9A059F36F}" uniqueName="3469" name="25904" queryTableFieldId="3469"/>
    <tableColumn id="3470" xr3:uid="{DA2398E8-0D26-4E0F-B8C2-4CE86F94A035}" uniqueName="3470" name="25907" queryTableFieldId="3470"/>
    <tableColumn id="3471" xr3:uid="{15B47138-1626-4CBF-9A00-8971BA315AE0}" uniqueName="3471" name="25908" queryTableFieldId="3471"/>
    <tableColumn id="3472" xr3:uid="{AECACDA8-877B-4150-8B31-F10EB309E4DE}" uniqueName="3472" name="25909" queryTableFieldId="3472"/>
    <tableColumn id="3473" xr3:uid="{07594E78-1CC1-41F8-8E97-C7DBBBEAA1C8}" uniqueName="3473" name="25911" queryTableFieldId="3473"/>
    <tableColumn id="3474" xr3:uid="{2F66AEE5-D265-4319-8A40-F84BABAF16E0}" uniqueName="3474" name="25913" queryTableFieldId="3474"/>
    <tableColumn id="3475" xr3:uid="{D3263F77-59BD-40DA-AD2B-CBCD0AA9C2CF}" uniqueName="3475" name="25915" queryTableFieldId="3475"/>
    <tableColumn id="3476" xr3:uid="{7FC24F85-AE16-4EC4-83DC-208EEB0A196F}" uniqueName="3476" name="25916" queryTableFieldId="3476"/>
    <tableColumn id="3477" xr3:uid="{FBC5EFAA-BC17-4E07-8484-3784BF676207}" uniqueName="3477" name="25917" queryTableFieldId="3477"/>
    <tableColumn id="3478" xr3:uid="{7F8FF1E4-5A92-46E3-BF94-0BAF65FA073C}" uniqueName="3478" name="25918" queryTableFieldId="3478"/>
    <tableColumn id="3479" xr3:uid="{D95D408F-7CEB-4DAD-B122-201F843309E1}" uniqueName="3479" name="25920" queryTableFieldId="3479"/>
    <tableColumn id="3480" xr3:uid="{2A4BC0E5-59AD-4218-A959-23A33DC8ACE1}" uniqueName="3480" name="25921" queryTableFieldId="3480"/>
    <tableColumn id="3481" xr3:uid="{B0ED15A4-1AD9-4F1B-A050-F0C4588CA29B}" uniqueName="3481" name="25922" queryTableFieldId="3481"/>
    <tableColumn id="3482" xr3:uid="{456A7170-F9AD-472A-ADFE-7855E2EC2322}" uniqueName="3482" name="25928" queryTableFieldId="3482"/>
    <tableColumn id="3483" xr3:uid="{21816DF0-148A-497C-A704-AFBD6EBA0AED}" uniqueName="3483" name="25932" queryTableFieldId="3483"/>
    <tableColumn id="3484" xr3:uid="{185D7898-040A-4E40-A255-B7F72DF0AC66}" uniqueName="3484" name="25936" queryTableFieldId="3484"/>
    <tableColumn id="3485" xr3:uid="{741B39A9-77FF-429A-B6AD-F88281D7FB09}" uniqueName="3485" name="25938" queryTableFieldId="3485"/>
    <tableColumn id="3486" xr3:uid="{2D304F01-9F82-4931-BEAE-00EF75090AF3}" uniqueName="3486" name="25942" queryTableFieldId="3486"/>
    <tableColumn id="3487" xr3:uid="{1AE9366E-B704-4ECD-B96C-F6AD941EB6E1}" uniqueName="3487" name="25943" queryTableFieldId="3487"/>
    <tableColumn id="3488" xr3:uid="{7E1EF82F-AB1D-4CC6-9E8C-88A6A8F7E78F}" uniqueName="3488" name="25951" queryTableFieldId="3488"/>
    <tableColumn id="3489" xr3:uid="{48D3CF19-0502-47EB-873A-108A6C72AB17}" uniqueName="3489" name="25958" queryTableFieldId="3489"/>
    <tableColumn id="3490" xr3:uid="{5CB5903C-FB49-4EE0-B555-5516A798E930}" uniqueName="3490" name="25962" queryTableFieldId="3490"/>
    <tableColumn id="3491" xr3:uid="{7EB513B9-22AD-4041-AE35-12531B905672}" uniqueName="3491" name="25966" queryTableFieldId="3491"/>
    <tableColumn id="3492" xr3:uid="{3C422762-0CC1-4E8B-9856-397C55C49786}" uniqueName="3492" name="25969" queryTableFieldId="3492"/>
    <tableColumn id="3493" xr3:uid="{CBBC0EE6-5ADF-499F-8DAE-8B00D4100310}" uniqueName="3493" name="25971" queryTableFieldId="3493"/>
    <tableColumn id="3494" xr3:uid="{F7B62CD0-C540-42B1-B00D-52C3A9FEC292}" uniqueName="3494" name="25972" queryTableFieldId="3494"/>
    <tableColumn id="3495" xr3:uid="{26E7FA31-6EE3-4ADE-BE67-17A045BF0474}" uniqueName="3495" name="25976" queryTableFieldId="3495"/>
    <tableColumn id="3496" xr3:uid="{86562174-33E3-475F-883A-F2ACA0707A74}" uniqueName="3496" name="25977" queryTableFieldId="3496"/>
    <tableColumn id="3497" xr3:uid="{EEE5F6EA-4D7E-4391-9490-D4C4EC8BF0A9}" uniqueName="3497" name="25978" queryTableFieldId="3497"/>
    <tableColumn id="3498" xr3:uid="{BFAF90A6-F6B1-4DCD-B159-4BB4C2B85BF3}" uniqueName="3498" name="25979" queryTableFieldId="3498"/>
    <tableColumn id="3499" xr3:uid="{0EC8F546-7746-41A3-B41C-B9C6E0879C45}" uniqueName="3499" name="25981" queryTableFieldId="3499"/>
    <tableColumn id="3500" xr3:uid="{A8A41362-04D6-4B78-84B5-90A145A0D394}" uniqueName="3500" name="25984" queryTableFieldId="3500"/>
    <tableColumn id="3501" xr3:uid="{3404ED15-4E92-42B1-BB89-F6A2BC23EC3D}" uniqueName="3501" name="25985" queryTableFieldId="3501"/>
    <tableColumn id="3502" xr3:uid="{36AAA18C-FBE2-4529-A8A4-904E6963E67A}" uniqueName="3502" name="25986" queryTableFieldId="3502"/>
    <tableColumn id="3503" xr3:uid="{F15AA919-7686-4CC3-8791-9DDB00061543}" uniqueName="3503" name="25989" queryTableFieldId="3503"/>
    <tableColumn id="3504" xr3:uid="{BAA6E0A9-1B73-44A5-BE0A-7876C4B4AFDD}" uniqueName="3504" name="26003" queryTableFieldId="3504"/>
    <tableColumn id="3505" xr3:uid="{D62AC350-1185-4E3B-BE3D-EC0204E3A704}" uniqueName="3505" name="26030" queryTableFieldId="3505"/>
    <tableColumn id="3506" xr3:uid="{048C4B3E-56BD-462F-B68F-BE12C5050761}" uniqueName="3506" name="26031" queryTableFieldId="3506"/>
    <tableColumn id="3507" xr3:uid="{CABF9F92-83C5-49FA-8C32-BEC0367249B7}" uniqueName="3507" name="26032" queryTableFieldId="3507"/>
    <tableColumn id="3508" xr3:uid="{68D1E28F-27FF-4939-843F-5B4EA38709D4}" uniqueName="3508" name="26033" queryTableFieldId="3508"/>
    <tableColumn id="3509" xr3:uid="{8670A338-B079-4ABF-BE15-832FCF1D08B5}" uniqueName="3509" name="26034" queryTableFieldId="3509"/>
    <tableColumn id="3510" xr3:uid="{49CDEFF5-302A-4450-9C48-9C81D05942A8}" uniqueName="3510" name="26035" queryTableFieldId="3510"/>
    <tableColumn id="3511" xr3:uid="{A433BB51-C6CC-4231-BD5D-0EFD3F37F907}" uniqueName="3511" name="26036" queryTableFieldId="3511"/>
    <tableColumn id="3512" xr3:uid="{1FD5F05A-63D5-4149-81CD-C48ACEB94DA9}" uniqueName="3512" name="26037" queryTableFieldId="3512"/>
    <tableColumn id="3513" xr3:uid="{FC7CB381-BEC6-461D-A086-B812966DBED8}" uniqueName="3513" name="26038" queryTableFieldId="3513"/>
    <tableColumn id="3514" xr3:uid="{6AB5F8FD-9B43-480A-A63C-AB626DC7A506}" uniqueName="3514" name="26039" queryTableFieldId="3514"/>
    <tableColumn id="3515" xr3:uid="{AFC0A036-E65F-43B7-B29E-7238802FD539}" uniqueName="3515" name="26040" queryTableFieldId="3515"/>
    <tableColumn id="3516" xr3:uid="{D4275D3E-C7E0-44C4-B19A-22CA920FF7F6}" uniqueName="3516" name="26041" queryTableFieldId="3516"/>
    <tableColumn id="3517" xr3:uid="{827F9397-239B-451F-AB18-024EF2418CD7}" uniqueName="3517" name="26047" queryTableFieldId="3517"/>
    <tableColumn id="3518" xr3:uid="{CCF17EBD-5AB6-4C52-9E73-5FC2357098AB}" uniqueName="3518" name="26050" queryTableFieldId="3518"/>
    <tableColumn id="3519" xr3:uid="{28DCB7C2-A4C4-4EF0-8637-81F382B28EA4}" uniqueName="3519" name="26055" queryTableFieldId="3519"/>
    <tableColumn id="3520" xr3:uid="{19F9A649-2D9D-4C9F-A18C-DA188E0B7516}" uniqueName="3520" name="26056" queryTableFieldId="3520"/>
    <tableColumn id="3521" xr3:uid="{DE4B6E77-23B0-4972-B5A0-46F53FAA674E}" uniqueName="3521" name="26058" queryTableFieldId="3521"/>
    <tableColumn id="3522" xr3:uid="{7B77206A-830C-4743-8F56-21322675DAC7}" uniqueName="3522" name="26059" queryTableFieldId="3522"/>
    <tableColumn id="3523" xr3:uid="{8250020E-A542-4517-AC0D-7579A7805052}" uniqueName="3523" name="26060" queryTableFieldId="3523"/>
    <tableColumn id="3524" xr3:uid="{2EA4F646-071B-4FC2-960C-F51C181B151F}" uniqueName="3524" name="26062" queryTableFieldId="3524"/>
    <tableColumn id="3525" xr3:uid="{9BA3E5AA-D429-408B-8831-6E3BB681442B}" uniqueName="3525" name="26070" queryTableFieldId="3525"/>
    <tableColumn id="3526" xr3:uid="{59FCD267-611C-49D9-851A-CB5DED8FD928}" uniqueName="3526" name="26074" queryTableFieldId="3526"/>
    <tableColumn id="3527" xr3:uid="{8BBAEA16-FB59-451F-8796-07DC9DDFE17E}" uniqueName="3527" name="26075" queryTableFieldId="3527"/>
    <tableColumn id="3528" xr3:uid="{2E98AB0B-278F-4FC7-92DD-48930FFDF950}" uniqueName="3528" name="26101" queryTableFieldId="3528"/>
    <tableColumn id="3529" xr3:uid="{E497E380-04D1-47FA-9E76-9AE466855398}" uniqueName="3529" name="26104" queryTableFieldId="3529"/>
    <tableColumn id="3530" xr3:uid="{F4BE2A1C-0A28-4FAB-BEC7-86CCC0CF492D}" uniqueName="3530" name="26105" queryTableFieldId="3530"/>
    <tableColumn id="3531" xr3:uid="{64546B47-C777-4513-8AB8-C553B0D56C1D}" uniqueName="3531" name="26133" queryTableFieldId="3531"/>
    <tableColumn id="3532" xr3:uid="{90AE9BE0-D3DD-47C2-991D-600FE8B17628}" uniqueName="3532" name="26134" queryTableFieldId="3532"/>
    <tableColumn id="3533" xr3:uid="{1A66C429-4600-464B-B493-02640851AE6A}" uniqueName="3533" name="26136" queryTableFieldId="3533"/>
    <tableColumn id="3534" xr3:uid="{7BE3D973-94B4-4A2E-8AAB-A0343DD7EDCE}" uniqueName="3534" name="26137" queryTableFieldId="3534"/>
    <tableColumn id="3535" xr3:uid="{D9E976E8-EE92-41B5-951E-1E711FF92608}" uniqueName="3535" name="26138" queryTableFieldId="3535"/>
    <tableColumn id="3536" xr3:uid="{AF9E3A56-91DD-4CEC-A697-D5583B0BD867}" uniqueName="3536" name="26141" queryTableFieldId="3536"/>
    <tableColumn id="3537" xr3:uid="{E5C097FF-3561-4B61-9CB8-90406AD4D5EB}" uniqueName="3537" name="26142" queryTableFieldId="3537"/>
    <tableColumn id="3538" xr3:uid="{1C27B641-6FFE-4036-91DF-AAD6D5A2225C}" uniqueName="3538" name="26143" queryTableFieldId="3538"/>
    <tableColumn id="3539" xr3:uid="{1B810DAB-A3B1-427E-90D5-16BC39F370C4}" uniqueName="3539" name="26146" queryTableFieldId="3539"/>
    <tableColumn id="3540" xr3:uid="{16BD6440-2277-4A0F-9772-868E68440987}" uniqueName="3540" name="26147" queryTableFieldId="3540"/>
    <tableColumn id="3541" xr3:uid="{B0995E19-78AF-459D-8E38-1FD9CA8ED2F1}" uniqueName="3541" name="26148" queryTableFieldId="3541"/>
    <tableColumn id="3542" xr3:uid="{73FC29D6-869D-45A8-8DA3-75ADDB7244A8}" uniqueName="3542" name="26149" queryTableFieldId="3542"/>
    <tableColumn id="3543" xr3:uid="{B061887E-7787-4686-8A9E-419537954D08}" uniqueName="3543" name="26150" queryTableFieldId="3543"/>
    <tableColumn id="3544" xr3:uid="{F8A4C390-EF48-4668-BAB0-48AEF109AB1A}" uniqueName="3544" name="26151" queryTableFieldId="3544"/>
    <tableColumn id="3545" xr3:uid="{E0EC37C4-3555-4BC2-8422-88AB4169C4F0}" uniqueName="3545" name="26152" queryTableFieldId="3545"/>
    <tableColumn id="3546" xr3:uid="{03FB2814-D791-4113-8B69-AA074C83AA17}" uniqueName="3546" name="26155" queryTableFieldId="3546"/>
    <tableColumn id="3547" xr3:uid="{06D0A365-0CB5-40ED-AA74-46F16B6310E1}" uniqueName="3547" name="26159" queryTableFieldId="3547"/>
    <tableColumn id="3548" xr3:uid="{6ADB30FE-C02D-47F3-B8FD-A760C6BEC34B}" uniqueName="3548" name="26160" queryTableFieldId="3548"/>
    <tableColumn id="3549" xr3:uid="{3C973EC3-75AA-4A40-8FEE-44FFAC3C5AFA}" uniqueName="3549" name="26161" queryTableFieldId="3549"/>
    <tableColumn id="3550" xr3:uid="{9014087D-532D-4BAE-A79B-895BD67BB9B0}" uniqueName="3550" name="26162" queryTableFieldId="3550"/>
    <tableColumn id="3551" xr3:uid="{19C802B4-083D-4B52-B098-A00694095996}" uniqueName="3551" name="26164" queryTableFieldId="3551"/>
    <tableColumn id="3552" xr3:uid="{4A87F4F2-9545-41FF-9556-8E0CC1DF2D2D}" uniqueName="3552" name="26167" queryTableFieldId="3552"/>
    <tableColumn id="3553" xr3:uid="{08F022D9-7D33-4D44-A904-4707FE939651}" uniqueName="3553" name="26169" queryTableFieldId="3553"/>
    <tableColumn id="3554" xr3:uid="{C9DF2531-F926-4CF6-9490-C081A88974A1}" uniqueName="3554" name="26170" queryTableFieldId="3554"/>
    <tableColumn id="3555" xr3:uid="{FF7EC3EC-D274-477F-A1EC-0EFEA5CBFB15}" uniqueName="3555" name="26175" queryTableFieldId="3555"/>
    <tableColumn id="3556" xr3:uid="{055CC99F-1BB5-4884-B199-CD611C714186}" uniqueName="3556" name="26178" queryTableFieldId="3556"/>
    <tableColumn id="3557" xr3:uid="{E9B0209C-CA38-4329-9C6F-2F4143E8AB19}" uniqueName="3557" name="26180" queryTableFieldId="3557"/>
    <tableColumn id="3558" xr3:uid="{9E9FE516-255A-4D18-B8B7-55B4E68B431A}" uniqueName="3558" name="26181" queryTableFieldId="3558"/>
    <tableColumn id="3559" xr3:uid="{A878836D-397B-4881-9754-290937B00C49}" uniqueName="3559" name="26184" queryTableFieldId="3559"/>
    <tableColumn id="3560" xr3:uid="{F288817A-ACBD-422F-A865-B60A524BF4E2}" uniqueName="3560" name="26187" queryTableFieldId="3560"/>
    <tableColumn id="3561" xr3:uid="{32AA14CB-B630-45CE-8BB5-B615BD794401}" uniqueName="3561" name="26201" queryTableFieldId="3561"/>
    <tableColumn id="3562" xr3:uid="{85AE679D-CBE2-4D9E-AE6E-51CBD652FE02}" uniqueName="3562" name="26202" queryTableFieldId="3562"/>
    <tableColumn id="3563" xr3:uid="{33954882-FE15-4745-8521-D3AF2EECA872}" uniqueName="3563" name="26203" queryTableFieldId="3563"/>
    <tableColumn id="3564" xr3:uid="{B2812C3C-BADB-4268-8274-F4C3817CFCB4}" uniqueName="3564" name="26205" queryTableFieldId="3564"/>
    <tableColumn id="3565" xr3:uid="{395E92E7-3717-4AE0-BE53-FA60C7D8B016}" uniqueName="3565" name="26206" queryTableFieldId="3565"/>
    <tableColumn id="3566" xr3:uid="{46AC66ED-835B-4058-8700-29732EEB6D03}" uniqueName="3566" name="26208" queryTableFieldId="3566"/>
    <tableColumn id="3567" xr3:uid="{44211C75-FBA6-4870-963D-E5A2DA1E814D}" uniqueName="3567" name="26209" queryTableFieldId="3567"/>
    <tableColumn id="3568" xr3:uid="{8FAD6461-E9B5-41FC-BCA8-944FF6A59AFB}" uniqueName="3568" name="26210" queryTableFieldId="3568"/>
    <tableColumn id="3569" xr3:uid="{C1F520D2-0134-46E2-9662-437A4908E4C7}" uniqueName="3569" name="26215" queryTableFieldId="3569"/>
    <tableColumn id="3570" xr3:uid="{CD2868BF-F245-4EED-A334-B23A132356B9}" uniqueName="3570" name="26217" queryTableFieldId="3570"/>
    <tableColumn id="3571" xr3:uid="{C73D2F50-9DBF-4CBF-93C8-3949F60D9B38}" uniqueName="3571" name="26218" queryTableFieldId="3571"/>
    <tableColumn id="3572" xr3:uid="{C996571F-94EA-4DE5-97C0-F2B2552A9F7E}" uniqueName="3572" name="26222" queryTableFieldId="3572"/>
    <tableColumn id="3573" xr3:uid="{52C1C850-F2D2-490B-B7D3-9721DB324C24}" uniqueName="3573" name="26224" queryTableFieldId="3573"/>
    <tableColumn id="3574" xr3:uid="{237756A6-448D-47A2-B1D5-FB3198668E9C}" uniqueName="3574" name="26228" queryTableFieldId="3574"/>
    <tableColumn id="3575" xr3:uid="{D6284AF9-FF43-4C51-BC9D-449FBFD9AABA}" uniqueName="3575" name="26230" queryTableFieldId="3575"/>
    <tableColumn id="3576" xr3:uid="{F1B67FD8-7811-42A5-985D-7AA62973D8EA}" uniqueName="3576" name="26234" queryTableFieldId="3576"/>
    <tableColumn id="3577" xr3:uid="{04532061-791E-404E-82B3-D30370683672}" uniqueName="3577" name="26236" queryTableFieldId="3577"/>
    <tableColumn id="3578" xr3:uid="{1ACFB61B-6D03-42E6-B591-8BEADA714FD9}" uniqueName="3578" name="26237" queryTableFieldId="3578"/>
    <tableColumn id="3579" xr3:uid="{C50E0613-0AC2-433B-AC38-B779792F5F72}" uniqueName="3579" name="26238" queryTableFieldId="3579"/>
    <tableColumn id="3580" xr3:uid="{B187F7DF-A4E0-42B9-A104-ED5F62BB6FFE}" uniqueName="3580" name="26241" queryTableFieldId="3580"/>
    <tableColumn id="3581" xr3:uid="{E5D804F5-DA3E-4027-9794-283E713521C4}" uniqueName="3581" name="26250" queryTableFieldId="3581"/>
    <tableColumn id="3582" xr3:uid="{496E4426-9A74-40D9-92C3-E03225F52B85}" uniqueName="3582" name="26253" queryTableFieldId="3582"/>
    <tableColumn id="3583" xr3:uid="{67F4EE42-4E8E-4050-9A09-57BC6A1C8A1F}" uniqueName="3583" name="26254" queryTableFieldId="3583"/>
    <tableColumn id="3584" xr3:uid="{4C98FF08-FA0B-4297-9214-1E191DBDAEFA}" uniqueName="3584" name="26257" queryTableFieldId="3584"/>
    <tableColumn id="3585" xr3:uid="{FE5BB2EE-286C-46B9-B010-4512A000E3A4}" uniqueName="3585" name="26259" queryTableFieldId="3585"/>
    <tableColumn id="3586" xr3:uid="{54EFF2E8-C67A-4947-B7E2-E13A56EE5A2D}" uniqueName="3586" name="26260" queryTableFieldId="3586"/>
    <tableColumn id="3587" xr3:uid="{5887DF07-E2CF-4E0E-8AC2-9B1D623B40D1}" uniqueName="3587" name="26261" queryTableFieldId="3587"/>
    <tableColumn id="3588" xr3:uid="{604C79CE-D284-47B5-844D-8A55C50A49B2}" uniqueName="3588" name="26263" queryTableFieldId="3588"/>
    <tableColumn id="3589" xr3:uid="{D83181CB-D766-4E6B-936D-61ED22439201}" uniqueName="3589" name="26264" queryTableFieldId="3589"/>
    <tableColumn id="3590" xr3:uid="{D838B1DC-6F2E-4369-AC22-BECA168848A7}" uniqueName="3590" name="26266" queryTableFieldId="3590"/>
    <tableColumn id="3591" xr3:uid="{6E7A4BA7-1A1F-4980-BDB1-8C987BBB4F16}" uniqueName="3591" name="26267" queryTableFieldId="3591"/>
    <tableColumn id="3592" xr3:uid="{15E63F20-EB23-42A6-BF86-26D645F02A96}" uniqueName="3592" name="26268" queryTableFieldId="3592"/>
    <tableColumn id="3593" xr3:uid="{2E8A3858-EED6-4EA2-A150-BD1FF6168741}" uniqueName="3593" name="26269" queryTableFieldId="3593"/>
    <tableColumn id="3594" xr3:uid="{E340AA0E-EB1A-4842-B332-CBDC3E721BD2}" uniqueName="3594" name="26270" queryTableFieldId="3594"/>
    <tableColumn id="3595" xr3:uid="{3A48030E-BDCD-4C8B-B704-A1D72E24FDE9}" uniqueName="3595" name="26271" queryTableFieldId="3595"/>
    <tableColumn id="3596" xr3:uid="{1931FAB5-C6A5-47AA-96F4-3C389F66AD71}" uniqueName="3596" name="26273" queryTableFieldId="3596"/>
    <tableColumn id="3597" xr3:uid="{92AA396A-AD56-43B2-904F-C6797D5EF71D}" uniqueName="3597" name="26275" queryTableFieldId="3597"/>
    <tableColumn id="3598" xr3:uid="{EC56B33D-FB86-427C-8532-1AAE110C0202}" uniqueName="3598" name="26276" queryTableFieldId="3598"/>
    <tableColumn id="3599" xr3:uid="{578FBE36-FE5E-4B32-A73B-35AFB421862F}" uniqueName="3599" name="26278" queryTableFieldId="3599"/>
    <tableColumn id="3600" xr3:uid="{077617D6-5CD8-41FC-9799-AE0E5A611C0D}" uniqueName="3600" name="26280" queryTableFieldId="3600"/>
    <tableColumn id="3601" xr3:uid="{6381A604-F381-4C48-ABD4-2F36E7B4233C}" uniqueName="3601" name="26282" queryTableFieldId="3601"/>
    <tableColumn id="3602" xr3:uid="{F58E65E2-4945-470B-A35C-315EC9D14988}" uniqueName="3602" name="26283" queryTableFieldId="3602"/>
    <tableColumn id="3603" xr3:uid="{D5B2E1B1-FEFC-4A20-BA5E-7621C1165BB5}" uniqueName="3603" name="26285" queryTableFieldId="3603"/>
    <tableColumn id="3604" xr3:uid="{7CB5638F-D561-4537-9750-0AF5DBD38B6C}" uniqueName="3604" name="26287" queryTableFieldId="3604"/>
    <tableColumn id="3605" xr3:uid="{95A21EA9-983E-49EE-8164-D2CC897B8C53}" uniqueName="3605" name="26288" queryTableFieldId="3605"/>
    <tableColumn id="3606" xr3:uid="{3CAE9503-A0BA-4B2A-9B1C-47137576B4FD}" uniqueName="3606" name="26289" queryTableFieldId="3606"/>
    <tableColumn id="3607" xr3:uid="{5A11094C-3BC2-4458-B359-1C66149D08CA}" uniqueName="3607" name="26291" queryTableFieldId="3607"/>
    <tableColumn id="3608" xr3:uid="{99F06971-DA58-42F8-AED0-4BB84C1AE2A2}" uniqueName="3608" name="26292" queryTableFieldId="3608"/>
    <tableColumn id="3609" xr3:uid="{78FE60AE-5DDB-4078-BAB2-D0ED0B6DFB16}" uniqueName="3609" name="26293" queryTableFieldId="3609"/>
    <tableColumn id="3610" xr3:uid="{C6426350-ED98-40C9-A741-9B972DDF4830}" uniqueName="3610" name="26294" queryTableFieldId="3610"/>
    <tableColumn id="3611" xr3:uid="{845F8303-FF63-4DB7-BB69-908EB0B05130}" uniqueName="3611" name="26296" queryTableFieldId="3611"/>
    <tableColumn id="3612" xr3:uid="{B9895DA3-A412-435E-8308-822AC12DE13B}" uniqueName="3612" name="26298" queryTableFieldId="3612"/>
    <tableColumn id="3613" xr3:uid="{975E8761-09DF-4D35-9F95-CAC55C713671}" uniqueName="3613" name="26301" queryTableFieldId="3613"/>
    <tableColumn id="3614" xr3:uid="{4D684763-C69E-4428-A6BC-9F36BDABD84B}" uniqueName="3614" name="26320" queryTableFieldId="3614"/>
    <tableColumn id="3615" xr3:uid="{44BE4F1D-48D8-4611-9FBA-659D7306FC92}" uniqueName="3615" name="26321" queryTableFieldId="3615"/>
    <tableColumn id="3616" xr3:uid="{E0572319-F808-484F-9D19-7802E385DFC9}" uniqueName="3616" name="26323" queryTableFieldId="3616"/>
    <tableColumn id="3617" xr3:uid="{75F801EC-B37E-4B33-AE53-CF3724C7977C}" uniqueName="3617" name="26325" queryTableFieldId="3617"/>
    <tableColumn id="3618" xr3:uid="{E8F8CB23-DC87-4212-9CC8-017B40F14BE2}" uniqueName="3618" name="26327" queryTableFieldId="3618"/>
    <tableColumn id="3619" xr3:uid="{BB0538B9-0956-45CE-AF30-3DD4A1BD9983}" uniqueName="3619" name="26330" queryTableFieldId="3619"/>
    <tableColumn id="3620" xr3:uid="{C1ACC2E9-AB01-4C79-A0A5-7A8F5CC2E8FF}" uniqueName="3620" name="26335" queryTableFieldId="3620"/>
    <tableColumn id="3621" xr3:uid="{70E07361-E370-4907-8542-BCA06369F6DF}" uniqueName="3621" name="26337" queryTableFieldId="3621"/>
    <tableColumn id="3622" xr3:uid="{3BC9221B-C81B-4823-8368-503E22022AE1}" uniqueName="3622" name="26338" queryTableFieldId="3622"/>
    <tableColumn id="3623" xr3:uid="{DFB7A84C-367B-4082-8694-7192A0B1153A}" uniqueName="3623" name="26339" queryTableFieldId="3623"/>
    <tableColumn id="3624" xr3:uid="{DD37EE25-5184-469D-A314-B272788EC6DD}" uniqueName="3624" name="26342" queryTableFieldId="3624"/>
    <tableColumn id="3625" xr3:uid="{F7522E5B-DB93-4EF3-8A36-B8ADC6313CD1}" uniqueName="3625" name="26343" queryTableFieldId="3625"/>
    <tableColumn id="3626" xr3:uid="{E86A4E53-9F98-465B-A42D-267F1EF33A44}" uniqueName="3626" name="26346" queryTableFieldId="3626"/>
    <tableColumn id="3627" xr3:uid="{B11CB4BA-9ADE-4E5A-8D43-08ED925ADD28}" uniqueName="3627" name="26347" queryTableFieldId="3627"/>
    <tableColumn id="3628" xr3:uid="{CF86974E-5B57-4F4B-B2D3-EE850BB55F7D}" uniqueName="3628" name="26348" queryTableFieldId="3628"/>
    <tableColumn id="3629" xr3:uid="{01FB8114-0D3E-4F12-B478-DDD56D89E52F}" uniqueName="3629" name="26349" queryTableFieldId="3629"/>
    <tableColumn id="3630" xr3:uid="{1DC18AC9-4C8E-46FE-ABDC-05A20FF8234F}" uniqueName="3630" name="26351" queryTableFieldId="3630"/>
    <tableColumn id="3631" xr3:uid="{5C155C0C-D110-4D62-BB02-4FEA74D9339C}" uniqueName="3631" name="26354" queryTableFieldId="3631"/>
    <tableColumn id="3632" xr3:uid="{879A48EA-885D-4B64-ABB5-DCD1D711FB72}" uniqueName="3632" name="26361" queryTableFieldId="3632"/>
    <tableColumn id="3633" xr3:uid="{B10E5874-5052-4131-AE3B-8F1423CBDB6E}" uniqueName="3633" name="26362" queryTableFieldId="3633"/>
    <tableColumn id="3634" xr3:uid="{319B3027-C90C-42A2-A60C-7EC8AD09A142}" uniqueName="3634" name="26366" queryTableFieldId="3634"/>
    <tableColumn id="3635" xr3:uid="{835A91B6-00B3-438E-AD00-71C529F78AD7}" uniqueName="3635" name="26369" queryTableFieldId="3635"/>
    <tableColumn id="3636" xr3:uid="{1EB39885-18DA-408B-9076-B4E0CCB94975}" uniqueName="3636" name="26372" queryTableFieldId="3636"/>
    <tableColumn id="3637" xr3:uid="{6F4FDE45-BF39-4041-8E80-F610E492D6E8}" uniqueName="3637" name="26374" queryTableFieldId="3637"/>
    <tableColumn id="3638" xr3:uid="{4AF0D43A-083B-4C2C-9ACC-2554DC6B560C}" uniqueName="3638" name="26376" queryTableFieldId="3638"/>
    <tableColumn id="3639" xr3:uid="{D0726D1B-DCEE-4347-99DF-FA3D0F08AB5D}" uniqueName="3639" name="26377" queryTableFieldId="3639"/>
    <tableColumn id="3640" xr3:uid="{D47FB28E-8E4B-49A4-AA67-5CF07CECA08C}" uniqueName="3640" name="26378" queryTableFieldId="3640"/>
    <tableColumn id="3641" xr3:uid="{D880804A-8582-4AE5-89F7-2394DA1F1BF3}" uniqueName="3641" name="26384" queryTableFieldId="3641"/>
    <tableColumn id="3642" xr3:uid="{70D58B0D-9A08-47C8-9F57-3D1B930B14EF}" uniqueName="3642" name="26385" queryTableFieldId="3642"/>
    <tableColumn id="3643" xr3:uid="{7551E3E1-52B5-44A4-84D3-F28916A08325}" uniqueName="3643" name="26386" queryTableFieldId="3643"/>
    <tableColumn id="3644" xr3:uid="{BA34F638-B651-4A01-ADE9-5929A558295A}" uniqueName="3644" name="26404" queryTableFieldId="3644"/>
    <tableColumn id="3645" xr3:uid="{118D9A90-5013-48C1-8ABE-E3FD2E73892A}" uniqueName="3645" name="26405" queryTableFieldId="3645"/>
    <tableColumn id="3646" xr3:uid="{5CD59798-B93D-4984-A956-0F1B500B9F52}" uniqueName="3646" name="26408" queryTableFieldId="3646"/>
    <tableColumn id="3647" xr3:uid="{387E3ADA-EB73-4EAB-9638-6116102059D0}" uniqueName="3647" name="26410" queryTableFieldId="3647"/>
    <tableColumn id="3648" xr3:uid="{239546B0-8C20-4021-8996-B9362142D7CF}" uniqueName="3648" name="26411" queryTableFieldId="3648"/>
    <tableColumn id="3649" xr3:uid="{1E0156F9-37BC-43CE-9454-19B031A6A23C}" uniqueName="3649" name="26412" queryTableFieldId="3649"/>
    <tableColumn id="3650" xr3:uid="{E6FA1312-EDE2-46B1-8B73-782375D9F0D7}" uniqueName="3650" name="26415" queryTableFieldId="3650"/>
    <tableColumn id="3651" xr3:uid="{EAECC43E-5851-4253-9837-9CBC0041D950}" uniqueName="3651" name="26416" queryTableFieldId="3651"/>
    <tableColumn id="3652" xr3:uid="{681D81E0-E8A3-4739-B02F-D306D1ED5DA1}" uniqueName="3652" name="26419" queryTableFieldId="3652"/>
    <tableColumn id="3653" xr3:uid="{8469850E-16C1-40E2-AEC1-11DC8506E4B9}" uniqueName="3653" name="26421" queryTableFieldId="3653"/>
    <tableColumn id="3654" xr3:uid="{CF7B5601-827D-429A-AD38-784207E42C3B}" uniqueName="3654" name="26422" queryTableFieldId="3654"/>
    <tableColumn id="3655" xr3:uid="{A412D2E3-1DBF-4DEE-8CDE-B992007AC413}" uniqueName="3655" name="26424" queryTableFieldId="3655"/>
    <tableColumn id="3656" xr3:uid="{F977EFD3-DC96-4840-B6C4-422940B65574}" uniqueName="3656" name="26425" queryTableFieldId="3656"/>
    <tableColumn id="3657" xr3:uid="{13DABCE7-F27E-48C4-BF60-3DC6E3A91E0E}" uniqueName="3657" name="26426" queryTableFieldId="3657"/>
    <tableColumn id="3658" xr3:uid="{71175D44-5CA6-4640-8B3D-8E1BA71B1E9D}" uniqueName="3658" name="26430" queryTableFieldId="3658"/>
    <tableColumn id="3659" xr3:uid="{BB973064-45BC-43BA-990A-653C288AD879}" uniqueName="3659" name="26431" queryTableFieldId="3659"/>
    <tableColumn id="3660" xr3:uid="{6D460F39-AC53-49E3-BF9B-598FF02B0BA4}" uniqueName="3660" name="26435" queryTableFieldId="3660"/>
    <tableColumn id="3661" xr3:uid="{65C6F28E-8378-4DE8-AB2C-9E220955C471}" uniqueName="3661" name="26436" queryTableFieldId="3661"/>
    <tableColumn id="3662" xr3:uid="{48BF9199-2852-4AEA-A035-4B17A3AC7706}" uniqueName="3662" name="26437" queryTableFieldId="3662"/>
    <tableColumn id="3663" xr3:uid="{9FEC7D68-6E77-4E60-92F3-D3C8FF1DCD52}" uniqueName="3663" name="26438" queryTableFieldId="3663"/>
    <tableColumn id="3664" xr3:uid="{7A6F18A7-3E39-4AB1-BDDB-BD42CD4DDFB7}" uniqueName="3664" name="26440" queryTableFieldId="3664"/>
    <tableColumn id="3665" xr3:uid="{0B5F011A-63DC-41B0-9923-7FE9E2C61EAB}" uniqueName="3665" name="26443" queryTableFieldId="3665"/>
    <tableColumn id="3666" xr3:uid="{226D8F77-CBCA-42A0-AAA1-400DCFB4BEC8}" uniqueName="3666" name="26444" queryTableFieldId="3666"/>
    <tableColumn id="3667" xr3:uid="{23FAB2FC-42C2-4DB7-B7DF-EA605BAC3C54}" uniqueName="3667" name="26447" queryTableFieldId="3667"/>
    <tableColumn id="3668" xr3:uid="{443976C6-64E7-4E4D-933E-8832455F0702}" uniqueName="3668" name="26448" queryTableFieldId="3668"/>
    <tableColumn id="3669" xr3:uid="{0B2B56D3-170C-4112-AA1A-A81BE6E052A0}" uniqueName="3669" name="26451" queryTableFieldId="3669"/>
    <tableColumn id="3670" xr3:uid="{CDDE0032-014A-42D3-985F-3657948E4AF7}" uniqueName="3670" name="26452" queryTableFieldId="3670"/>
    <tableColumn id="3671" xr3:uid="{3B21DD96-1838-41FB-B535-0C3026EB38C3}" uniqueName="3671" name="26456" queryTableFieldId="3671"/>
    <tableColumn id="3672" xr3:uid="{5FDDA9EA-6EF6-41A7-B0DD-3973FD42AAC4}" uniqueName="3672" name="26463" queryTableFieldId="3672"/>
    <tableColumn id="3673" xr3:uid="{AEDFC953-80E2-4475-B76C-BD93EC417543}" uniqueName="3673" name="26501" queryTableFieldId="3673"/>
    <tableColumn id="3674" xr3:uid="{F71CD191-138E-4BD5-9F00-0075FAECD1B4}" uniqueName="3674" name="26505" queryTableFieldId="3674"/>
    <tableColumn id="3675" xr3:uid="{C1F20195-CF53-4EA3-A728-7BB43A5F8BF2}" uniqueName="3675" name="26506" queryTableFieldId="3675"/>
    <tableColumn id="3676" xr3:uid="{A90A29B3-CF62-43DD-9BC8-C525AC3DF0DC}" uniqueName="3676" name="26508" queryTableFieldId="3676"/>
    <tableColumn id="3677" xr3:uid="{838693FB-1655-4FBB-A3BC-1D9255D851C5}" uniqueName="3677" name="26519" queryTableFieldId="3677"/>
    <tableColumn id="3678" xr3:uid="{D7D5D9B3-D8D4-4740-A46F-E01DBB9743E1}" uniqueName="3678" name="26520" queryTableFieldId="3678"/>
    <tableColumn id="3679" xr3:uid="{9E727DC2-EEEA-4A12-928F-162A72D4F00D}" uniqueName="3679" name="26521" queryTableFieldId="3679"/>
    <tableColumn id="3680" xr3:uid="{C5300A60-7EF5-4A88-9F77-5E8B00532B5C}" uniqueName="3680" name="26524" queryTableFieldId="3680"/>
    <tableColumn id="3681" xr3:uid="{BCC49DA5-95B0-4E30-8A36-1C26E896B3C7}" uniqueName="3681" name="26525" queryTableFieldId="3681"/>
    <tableColumn id="3682" xr3:uid="{B8E93403-3CD4-4D59-ABBC-B829A7BDB7D9}" uniqueName="3682" name="26534" queryTableFieldId="3682"/>
    <tableColumn id="3683" xr3:uid="{096F3072-14CE-41B5-BCCB-DE95131DAD1F}" uniqueName="3683" name="26537" queryTableFieldId="3683"/>
    <tableColumn id="3684" xr3:uid="{486E4133-3B77-428A-AF4A-F15A5A5CD45A}" uniqueName="3684" name="26541" queryTableFieldId="3684"/>
    <tableColumn id="3685" xr3:uid="{3DD6C2FA-2658-4762-8375-27B13657255D}" uniqueName="3685" name="26542" queryTableFieldId="3685"/>
    <tableColumn id="3686" xr3:uid="{EFDE0E68-705A-4022-9AF0-151564E44C1F}" uniqueName="3686" name="26543" queryTableFieldId="3686"/>
    <tableColumn id="3687" xr3:uid="{4500C48F-9C0E-4E02-B271-AF7B26679E68}" uniqueName="3687" name="26544" queryTableFieldId="3687"/>
    <tableColumn id="3688" xr3:uid="{0ED08767-1917-4CDD-B1CB-6A63EC9D6283}" uniqueName="3688" name="26546" queryTableFieldId="3688"/>
    <tableColumn id="3689" xr3:uid="{246316EA-662B-4D55-9DF2-0B6B30B01C60}" uniqueName="3689" name="26547" queryTableFieldId="3689"/>
    <tableColumn id="3690" xr3:uid="{223DEBBB-2CA5-4F2A-91F3-D449A5076C79}" uniqueName="3690" name="26554" queryTableFieldId="3690"/>
    <tableColumn id="3691" xr3:uid="{8EF5B07C-9308-46EB-BE68-65E24CF6278A}" uniqueName="3691" name="26559" queryTableFieldId="3691"/>
    <tableColumn id="3692" xr3:uid="{44237EC0-3AEE-4CAB-9D13-7F09BACFFF17}" uniqueName="3692" name="26560" queryTableFieldId="3692"/>
    <tableColumn id="3693" xr3:uid="{0530595E-6FA6-41EC-9F78-7651A541651F}" uniqueName="3693" name="26562" queryTableFieldId="3693"/>
    <tableColumn id="3694" xr3:uid="{0F189197-330C-4871-9CAA-C3D31E9C9329}" uniqueName="3694" name="26563" queryTableFieldId="3694"/>
    <tableColumn id="3695" xr3:uid="{F37E92F0-FB6B-4F66-A1F1-5836133898C4}" uniqueName="3695" name="26568" queryTableFieldId="3695"/>
    <tableColumn id="3696" xr3:uid="{B09A4231-9D94-4A13-9AF5-3076296F94A2}" uniqueName="3696" name="26570" queryTableFieldId="3696"/>
    <tableColumn id="3697" xr3:uid="{52C8AC39-5D50-4111-814D-943E591B872B}" uniqueName="3697" name="26571" queryTableFieldId="3697"/>
    <tableColumn id="3698" xr3:uid="{6C417631-C7F6-4BD6-9D53-69F8808883CB}" uniqueName="3698" name="26572" queryTableFieldId="3698"/>
    <tableColumn id="3699" xr3:uid="{B0744F2C-648A-4815-BC1D-A3214D832D91}" uniqueName="3699" name="26574" queryTableFieldId="3699"/>
    <tableColumn id="3700" xr3:uid="{67CFAAC1-1A95-44E1-919E-7D2FEA041F42}" uniqueName="3700" name="26575" queryTableFieldId="3700"/>
    <tableColumn id="3701" xr3:uid="{6A57D81E-6816-4620-99FB-FB94EE7ED9AD}" uniqueName="3701" name="26576" queryTableFieldId="3701"/>
    <tableColumn id="3702" xr3:uid="{B7445A68-725C-45B1-988E-B716B6F15EC9}" uniqueName="3702" name="26581" queryTableFieldId="3702"/>
    <tableColumn id="3703" xr3:uid="{F4E91DFD-735B-41BC-8EB6-DF34880448C5}" uniqueName="3703" name="26582" queryTableFieldId="3703"/>
    <tableColumn id="3704" xr3:uid="{60F903CD-B4A4-48FC-B48D-989501A90CD6}" uniqueName="3704" name="26585" queryTableFieldId="3704"/>
    <tableColumn id="3705" xr3:uid="{CD898B80-A5E3-4A20-8619-0431A7F997EB}" uniqueName="3705" name="26586" queryTableFieldId="3705"/>
    <tableColumn id="3706" xr3:uid="{98EEFA89-2B3E-407D-8364-67BB35D3B1DA}" uniqueName="3706" name="26587" queryTableFieldId="3706"/>
    <tableColumn id="3707" xr3:uid="{9E6D781A-07D8-4C29-A808-EDEA54B361BA}" uniqueName="3707" name="26588" queryTableFieldId="3707"/>
    <tableColumn id="3708" xr3:uid="{FA7094BD-7DCC-4065-B7F7-D58BE1884AEC}" uniqueName="3708" name="26590" queryTableFieldId="3708"/>
    <tableColumn id="3709" xr3:uid="{4EEA79E8-52FD-42FE-89F9-56466A901C19}" uniqueName="3709" name="26591" queryTableFieldId="3709"/>
    <tableColumn id="3710" xr3:uid="{4E2C837E-6EFE-420D-BE33-613F59924A08}" uniqueName="3710" name="26601" queryTableFieldId="3710"/>
    <tableColumn id="3711" xr3:uid="{36879E95-AB88-4BAF-990D-D155CECCD1F9}" uniqueName="3711" name="26610" queryTableFieldId="3711"/>
    <tableColumn id="3712" xr3:uid="{3E0AF915-E4B8-47F1-8F87-18743C9DD42F}" uniqueName="3712" name="26611" queryTableFieldId="3712"/>
    <tableColumn id="3713" xr3:uid="{DF597E09-3259-4AF7-B444-CC659FBE6101}" uniqueName="3713" name="26615" queryTableFieldId="3713"/>
    <tableColumn id="3714" xr3:uid="{B09C7236-817B-4A55-9A0D-E0B673BE1C57}" uniqueName="3714" name="26617" queryTableFieldId="3714"/>
    <tableColumn id="3715" xr3:uid="{BF3A3878-46CA-4198-ADE4-1B8BE10CC403}" uniqueName="3715" name="26619" queryTableFieldId="3715"/>
    <tableColumn id="3716" xr3:uid="{AE59B88F-5CC9-456E-8ECD-CAC1946ECD91}" uniqueName="3716" name="26621" queryTableFieldId="3716"/>
    <tableColumn id="3717" xr3:uid="{3B4E03D7-764D-439F-84FD-EDCDD9B65F63}" uniqueName="3717" name="26623" queryTableFieldId="3717"/>
    <tableColumn id="3718" xr3:uid="{3C86946F-C43E-4E05-A785-E5A21ADE5A42}" uniqueName="3718" name="26624" queryTableFieldId="3718"/>
    <tableColumn id="3719" xr3:uid="{908376F6-895E-47A1-9A5A-0330399E7BC2}" uniqueName="3719" name="26627" queryTableFieldId="3719"/>
    <tableColumn id="3720" xr3:uid="{56C797B2-D4DA-4CE7-9113-A3C837887309}" uniqueName="3720" name="26629" queryTableFieldId="3720"/>
    <tableColumn id="3721" xr3:uid="{6783E91B-FD8A-4DF7-A3D1-CCC56D309AF6}" uniqueName="3721" name="26631" queryTableFieldId="3721"/>
    <tableColumn id="3722" xr3:uid="{CC5B80BC-62E8-4A6B-8AFC-37803BFD8874}" uniqueName="3722" name="26636" queryTableFieldId="3722"/>
    <tableColumn id="3723" xr3:uid="{CC9F2E05-EE27-4AE1-A6D8-676BB20954EF}" uniqueName="3723" name="26638" queryTableFieldId="3723"/>
    <tableColumn id="3724" xr3:uid="{93881016-F63D-4E5B-83D8-20C4D871BBD9}" uniqueName="3724" name="26651" queryTableFieldId="3724"/>
    <tableColumn id="3725" xr3:uid="{AB8CD432-9933-410F-954A-3E1D107A6737}" uniqueName="3725" name="26656" queryTableFieldId="3725"/>
    <tableColumn id="3726" xr3:uid="{0308FC3F-8B26-4461-9212-1012CCD939DF}" uniqueName="3726" name="26660" queryTableFieldId="3726"/>
    <tableColumn id="3727" xr3:uid="{BBC05FEA-1085-42E7-ACFE-0B2D7B9814EF}" uniqueName="3727" name="26662" queryTableFieldId="3727"/>
    <tableColumn id="3728" xr3:uid="{D693748C-3D74-470C-8136-D6050015F953}" uniqueName="3728" name="26667" queryTableFieldId="3728"/>
    <tableColumn id="3729" xr3:uid="{22D5126D-C58A-4F92-9A3E-4D8168F41516}" uniqueName="3729" name="26671" queryTableFieldId="3729"/>
    <tableColumn id="3730" xr3:uid="{662E2C0C-302C-4233-A504-FEDC3A72F0DD}" uniqueName="3730" name="26676" queryTableFieldId="3730"/>
    <tableColumn id="3731" xr3:uid="{49E3AB7B-CCDC-4E7A-8AA6-B530DFA48090}" uniqueName="3731" name="26678" queryTableFieldId="3731"/>
    <tableColumn id="3732" xr3:uid="{BAA9B785-0431-47F1-A847-62E7D6095836}" uniqueName="3732" name="26679" queryTableFieldId="3732"/>
    <tableColumn id="3733" xr3:uid="{F56DCFCF-DC5F-443D-8EAF-996041538CAE}" uniqueName="3733" name="26680" queryTableFieldId="3733"/>
    <tableColumn id="3734" xr3:uid="{E751B860-9BC8-4192-8FB6-F4746D69F7EC}" uniqueName="3734" name="26681" queryTableFieldId="3734"/>
    <tableColumn id="3735" xr3:uid="{252266B2-A8E7-4B5D-A11C-AFCAE33FEB3C}" uniqueName="3735" name="26684" queryTableFieldId="3735"/>
    <tableColumn id="3736" xr3:uid="{AAB4DC30-ACB1-41F9-95D3-8BA98C1D629F}" uniqueName="3736" name="26690" queryTableFieldId="3736"/>
    <tableColumn id="3737" xr3:uid="{6645EC95-0ACC-4123-A724-471FCA42B4A3}" uniqueName="3737" name="26691" queryTableFieldId="3737"/>
    <tableColumn id="3738" xr3:uid="{6F04B628-CB19-464B-803C-0AA86F980858}" uniqueName="3738" name="26704" queryTableFieldId="3738"/>
    <tableColumn id="3739" xr3:uid="{F08FD0AF-36B4-43A0-92DD-0515D29AF8C5}" uniqueName="3739" name="26705" queryTableFieldId="3739"/>
    <tableColumn id="3740" xr3:uid="{7E64D4EE-A831-4ED4-8877-E96019501432}" uniqueName="3740" name="26707" queryTableFieldId="3740"/>
    <tableColumn id="3741" xr3:uid="{77B43463-B8C2-4A88-8C2E-39B4D4C1C3F9}" uniqueName="3741" name="26710" queryTableFieldId="3741"/>
    <tableColumn id="3742" xr3:uid="{E375A794-0C0B-4207-A011-ED6BC15AF862}" uniqueName="3742" name="26711" queryTableFieldId="3742"/>
    <tableColumn id="3743" xr3:uid="{51F2BCBD-1CD2-4A0F-BB9F-50968A3B2245}" uniqueName="3743" name="26714" queryTableFieldId="3743"/>
    <tableColumn id="3744" xr3:uid="{EB133035-0DB4-4C5F-8415-9E3539CB7DDF}" uniqueName="3744" name="26716" queryTableFieldId="3744"/>
    <tableColumn id="3745" xr3:uid="{D9607186-4A31-4CDD-B730-89739EF06F1A}" uniqueName="3745" name="26717" queryTableFieldId="3745"/>
    <tableColumn id="3746" xr3:uid="{B2839469-E869-4C96-8893-2F8E822594B5}" uniqueName="3746" name="26719" queryTableFieldId="3746"/>
    <tableColumn id="3747" xr3:uid="{FEEE2781-1422-4147-A784-4DB45AB7AC5D}" uniqueName="3747" name="26720" queryTableFieldId="3747"/>
    <tableColumn id="3748" xr3:uid="{74C372ED-5E61-45EF-B43F-D9E3829B80CE}" uniqueName="3748" name="26722" queryTableFieldId="3748"/>
    <tableColumn id="3749" xr3:uid="{069E841A-387E-42C1-A68E-F692B8B14CFF}" uniqueName="3749" name="26726" queryTableFieldId="3749"/>
    <tableColumn id="3750" xr3:uid="{3DE276A7-41F2-4034-AB81-2A3BE47931A6}" uniqueName="3750" name="26731" queryTableFieldId="3750"/>
    <tableColumn id="3751" xr3:uid="{26876851-96DF-4BE3-B900-D2CDF5917E85}" uniqueName="3751" name="26739" queryTableFieldId="3751"/>
    <tableColumn id="3752" xr3:uid="{FBD913BC-4040-4D35-9D1B-58F16CA5C3B4}" uniqueName="3752" name="26743" queryTableFieldId="3752"/>
    <tableColumn id="3753" xr3:uid="{14D845D6-6215-4D22-8B34-581B2E4DFC8D}" uniqueName="3753" name="26750" queryTableFieldId="3753"/>
    <tableColumn id="3754" xr3:uid="{51EE1BCA-7859-464E-A2D5-3CD423B26639}" uniqueName="3754" name="26753" queryTableFieldId="3754"/>
    <tableColumn id="3755" xr3:uid="{D3214F6E-3058-4E38-8B49-7825DB41BCAC}" uniqueName="3755" name="26755" queryTableFieldId="3755"/>
    <tableColumn id="3756" xr3:uid="{011EB780-B3E2-433E-A427-1D96683122E9}" uniqueName="3756" name="26757" queryTableFieldId="3756"/>
    <tableColumn id="3757" xr3:uid="{01B2BFFC-0A89-456E-89B4-BD5E74DEE1C3}" uniqueName="3757" name="26761" queryTableFieldId="3757"/>
    <tableColumn id="3758" xr3:uid="{3AA8ED93-9DAE-4E88-8C7D-7A9951D01B22}" uniqueName="3758" name="26763" queryTableFieldId="3758"/>
    <tableColumn id="3759" xr3:uid="{BF842B43-51DE-4A97-A28D-149A99D3A3FE}" uniqueName="3759" name="26764" queryTableFieldId="3759"/>
    <tableColumn id="3760" xr3:uid="{73C5FB72-D326-4D92-94EE-0D6A709FA3C3}" uniqueName="3760" name="26767" queryTableFieldId="3760"/>
    <tableColumn id="3761" xr3:uid="{691E03E5-B55A-4593-B9BD-2F6FA083148D}" uniqueName="3761" name="26801" queryTableFieldId="3761"/>
    <tableColumn id="3762" xr3:uid="{10C665D2-BFB5-423C-853B-48FBC45428EB}" uniqueName="3762" name="26802" queryTableFieldId="3762"/>
    <tableColumn id="3763" xr3:uid="{1A5FD1A3-D32C-4D6C-BB44-025667C985B8}" uniqueName="3763" name="26804" queryTableFieldId="3763"/>
    <tableColumn id="3764" xr3:uid="{66A63B71-FB37-4E99-9F5D-BBED99035D13}" uniqueName="3764" name="26807" queryTableFieldId="3764"/>
    <tableColumn id="3765" xr3:uid="{C0961FEC-E7CC-4486-8CE1-5B9B0508BD02}" uniqueName="3765" name="26808" queryTableFieldId="3765"/>
    <tableColumn id="3766" xr3:uid="{FF2158B7-8D92-4443-BD55-CDDC1C1916BE}" uniqueName="3766" name="26810" queryTableFieldId="3766"/>
    <tableColumn id="3767" xr3:uid="{097D1B38-9EF6-4E65-8BC3-10AFB8E73AA7}" uniqueName="3767" name="26812" queryTableFieldId="3767"/>
    <tableColumn id="3768" xr3:uid="{868768CC-E6D5-4D39-9492-3B5ADFF7B3E1}" uniqueName="3768" name="26814" queryTableFieldId="3768"/>
    <tableColumn id="3769" xr3:uid="{87E7E305-D58E-4789-8DF0-0F34E721384F}" uniqueName="3769" name="26815" queryTableFieldId="3769"/>
    <tableColumn id="3770" xr3:uid="{BD313060-AF92-4840-B55A-876A6E5ADE48}" uniqueName="3770" name="26817" queryTableFieldId="3770"/>
    <tableColumn id="3771" xr3:uid="{569F582D-0E70-4D40-B873-DD974E9DF659}" uniqueName="3771" name="26818" queryTableFieldId="3771"/>
    <tableColumn id="3772" xr3:uid="{10420732-AEB9-40CD-98B4-BD6AF6AC7D78}" uniqueName="3772" name="26823" queryTableFieldId="3772"/>
    <tableColumn id="3773" xr3:uid="{42D779F1-76AF-4037-A563-4E5A6026F14D}" uniqueName="3773" name="26833" queryTableFieldId="3773"/>
    <tableColumn id="3774" xr3:uid="{28218A34-1234-41C7-AE94-C3D4CC0AE46A}" uniqueName="3774" name="26836" queryTableFieldId="3774"/>
    <tableColumn id="3775" xr3:uid="{CC86D42D-D4C6-43CA-BD96-1202054060BA}" uniqueName="3775" name="26838" queryTableFieldId="3775"/>
    <tableColumn id="3776" xr3:uid="{9E425475-7566-4FF3-AFF6-16A8A708791F}" uniqueName="3776" name="26845" queryTableFieldId="3776"/>
    <tableColumn id="3777" xr3:uid="{0FFECBEE-887A-43E6-83E4-4EB02D9CD49C}" uniqueName="3777" name="26847" queryTableFieldId="3777"/>
    <tableColumn id="3778" xr3:uid="{9A917167-7263-461B-8FEA-36FBE9906BC2}" uniqueName="3778" name="26851" queryTableFieldId="3778"/>
    <tableColumn id="3779" xr3:uid="{9F21F85B-9F9D-4B2D-92ED-75672607A920}" uniqueName="3779" name="26852" queryTableFieldId="3779"/>
    <tableColumn id="3780" xr3:uid="{F0C58BC2-AF7D-4A27-ADFB-80D19B5B70B6}" uniqueName="3780" name="26855" queryTableFieldId="3780"/>
    <tableColumn id="3781" xr3:uid="{CA240BB2-9A72-4790-8853-7CD323ABC968}" uniqueName="3781" name="26865" queryTableFieldId="3781"/>
    <tableColumn id="3782" xr3:uid="{5021A30A-F6EB-48F3-9863-5299C0321F21}" uniqueName="3782" name="26866" queryTableFieldId="3782"/>
    <tableColumn id="3783" xr3:uid="{1D89B683-8658-48D9-84CF-9F756B6A04F0}" uniqueName="3783" name="26884" queryTableFieldId="3783"/>
    <tableColumn id="3784" xr3:uid="{AEB30896-FE29-4CDA-BBB6-3A10360F42BE}" uniqueName="3784" name="26886" queryTableFieldId="3784"/>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E4864AC-83C5-4036-AB61-8A5CAA217619}" name="zip_tiers" displayName="zip_tiers" ref="A1:EON3" totalsRowShown="0">
  <autoFilter ref="A1:EON3" xr:uid="{AE4864AC-83C5-4036-AB61-8A5CAA217619}"/>
  <tableColumns count="3784">
    <tableColumn id="1" xr3:uid="{4AB87AD2-837C-400F-BA9F-9831F034AC30}" name="Year"/>
    <tableColumn id="2" xr3:uid="{78F2E6C2-18B8-4348-8E46-060EAAB0CED1}" name="20001" dataDxfId="0">
      <calculatedColumnFormula>IF(COUNT(zip_med_inc_updated!B$2:B$4)=0,"",AVERAGE(zip_med_inc_updated!B$2:B$4))</calculatedColumnFormula>
    </tableColumn>
    <tableColumn id="3" xr3:uid="{B51CFD18-3009-4B17-A720-0630E8CFE697}" name="20002"/>
    <tableColumn id="4" xr3:uid="{7625408A-154F-4A28-9C99-086470D11AB8}" name="20003"/>
    <tableColumn id="5" xr3:uid="{8FB66F2A-51F0-4157-8596-3692A14BED53}" name="20004"/>
    <tableColumn id="6" xr3:uid="{4A46DB0F-DEDA-447C-9DC3-773609570BB3}" name="20005"/>
    <tableColumn id="7" xr3:uid="{4C5245D5-75E6-416D-8CB9-2CD92330417A}" name="20006"/>
    <tableColumn id="8" xr3:uid="{064200BB-EABC-4592-A947-01C18F5204A3}" name="20007"/>
    <tableColumn id="9" xr3:uid="{DA48AC41-FD1E-464E-84AB-49B7CC95A0C6}" name="20008"/>
    <tableColumn id="10" xr3:uid="{8C4BB152-6C21-433E-BFB7-40933EB0564E}" name="20009"/>
    <tableColumn id="11" xr3:uid="{549469E7-4EC1-492A-91E6-8CCBFC8A959B}" name="20010"/>
    <tableColumn id="12" xr3:uid="{E07C5CC8-AC00-4AF9-B37E-C30007096E01}" name="20011"/>
    <tableColumn id="13" xr3:uid="{4956E889-3460-4F4F-B625-867764C2A882}" name="20012"/>
    <tableColumn id="14" xr3:uid="{93B65270-446E-42F7-9F75-E47E2D63602C}" name="20015"/>
    <tableColumn id="15" xr3:uid="{40B03C74-744A-41C3-96FE-5B634193BC78}" name="20016"/>
    <tableColumn id="16" xr3:uid="{58AE0D63-6AFA-49CF-9DF3-5F5195CFB5C1}" name="20017"/>
    <tableColumn id="17" xr3:uid="{1AAE4BBC-FB14-4C45-88AA-58DBF47A7EA9}" name="20018"/>
    <tableColumn id="18" xr3:uid="{A899668C-1EB8-4BB4-93A3-2F5945007B49}" name="20019"/>
    <tableColumn id="19" xr3:uid="{7B4D0889-869F-41C3-8C62-AD63604382D6}" name="20020"/>
    <tableColumn id="20" xr3:uid="{2A74201B-71C3-42F2-BD2B-590067AE6972}" name="20024"/>
    <tableColumn id="21" xr3:uid="{2F9546C7-20E0-4E99-BC6F-DF54B1460E68}" name="20032"/>
    <tableColumn id="22" xr3:uid="{CEEE4F6C-F7C4-4753-A2F1-469A7BF2D8CB}" name="20036"/>
    <tableColumn id="23" xr3:uid="{F5F4C8BA-5D35-490D-9980-FF22AB41FABA}" name="20037"/>
    <tableColumn id="24" xr3:uid="{961EBCBB-3884-407D-933F-27F9F426D066}" name="20045"/>
    <tableColumn id="25" xr3:uid="{6B610DCE-E935-409D-83F4-922668E21FD0}" name="20052"/>
    <tableColumn id="26" xr3:uid="{F8ACC9BC-1D48-40C7-A747-A985769155AF}" name="20057"/>
    <tableColumn id="27" xr3:uid="{C28A138E-B103-4905-AFDB-D0BFA4712555}" name="20059"/>
    <tableColumn id="28" xr3:uid="{A77B9E8D-D6E5-4FE0-A3DE-A53C087165FA}" name="20064"/>
    <tableColumn id="29" xr3:uid="{0D2F5494-9883-4245-AE96-B4BC8D064181}" name="20204"/>
    <tableColumn id="30" xr3:uid="{2AB6F077-C53A-42B8-A3EA-8442EF3EBC64}" name="20220"/>
    <tableColumn id="31" xr3:uid="{4D9D1460-C298-4935-9CA6-57D6C28C37AA}" name="20230"/>
    <tableColumn id="32" xr3:uid="{6A85671E-00AC-4D5D-9010-3B43275D5399}" name="20240"/>
    <tableColumn id="33" xr3:uid="{39DD4E67-5554-4541-A6AE-E3D6735670FA}" name="20245"/>
    <tableColumn id="34" xr3:uid="{C03568E2-F051-43FB-B9D6-947B9F5FD69E}" name="20250"/>
    <tableColumn id="35" xr3:uid="{FCFF2FAD-A8A0-4902-9DA9-C3E8184613DA}" name="20260"/>
    <tableColumn id="36" xr3:uid="{C9DAD36F-9090-4931-BC31-417626A40C52}" name="20317"/>
    <tableColumn id="37" xr3:uid="{2EEBBA7D-58B5-454D-9E6F-C09BAF373FE2}" name="20319"/>
    <tableColumn id="38" xr3:uid="{390FB574-7835-4340-9F91-F34FA77A0330}" name="20373"/>
    <tableColumn id="39" xr3:uid="{984BC41C-BAAE-4619-9DFB-4876F0BAE78B}" name="20388"/>
    <tableColumn id="40" xr3:uid="{6BAD9164-9976-4F63-B4C5-D4EC84C803A6}" name="20390"/>
    <tableColumn id="41" xr3:uid="{2B07FD4D-560B-41C6-B6AD-DF230B2EC06E}" name="20408"/>
    <tableColumn id="42" xr3:uid="{EE066837-C8FA-49C9-9E60-1EF4CD4A125F}" name="20415"/>
    <tableColumn id="43" xr3:uid="{50C1B1C7-B8FC-4852-8AD7-2ED41E3E17E3}" name="20418"/>
    <tableColumn id="44" xr3:uid="{81A06139-F91A-4AC8-A93D-1FFFB407AF38}" name="20422"/>
    <tableColumn id="45" xr3:uid="{36C4197D-2CAB-4569-B3B8-E79AD5144F21}" name="20427"/>
    <tableColumn id="46" xr3:uid="{ACBCB92B-A82C-4CDC-BCF1-376E6D4D5D3D}" name="20431"/>
    <tableColumn id="47" xr3:uid="{4E16170D-B214-454A-ADDB-04AA0CBEC6DA}" name="20510"/>
    <tableColumn id="48" xr3:uid="{0EA651D5-031D-4DB1-9BB7-06803B62B2F5}" name="20515"/>
    <tableColumn id="49" xr3:uid="{F355AF1F-372F-4F1F-990F-CF6675F22D36}" name="20520"/>
    <tableColumn id="50" xr3:uid="{52354711-C994-403D-9D82-74B3F48F9D5C}" name="20530"/>
    <tableColumn id="51" xr3:uid="{C41FB38C-AB66-4613-A1E9-B534BEC46698}" name="20535"/>
    <tableColumn id="52" xr3:uid="{341EEBFA-9B5D-42F7-993E-9E6E709F4F86}" name="20540"/>
    <tableColumn id="53" xr3:uid="{90BA0ABE-C682-4C79-B3DC-2D18456CDC88}" name="20542"/>
    <tableColumn id="54" xr3:uid="{AECA466B-EAC7-4F16-B936-2BE063C9ED6D}" name="20551"/>
    <tableColumn id="55" xr3:uid="{8E326460-67B5-43D7-B3F3-3B80D924C9CC}" name="20560"/>
    <tableColumn id="56" xr3:uid="{1D21CAAA-4654-4D86-82E2-D937E0B5219F}" name="20565"/>
    <tableColumn id="57" xr3:uid="{110AAD74-482D-4D74-A27D-FE6876AF017E}" name="20566"/>
    <tableColumn id="58" xr3:uid="{C06C791F-6FCC-4663-B8DC-5A620CAFE0D8}" name="20591"/>
    <tableColumn id="59" xr3:uid="{FB4D7A4F-10D0-4D00-873A-E21381AA176D}" name="30002"/>
    <tableColumn id="60" xr3:uid="{18CE4D5F-2E81-4245-8077-6BEAE37328E4}" name="30004"/>
    <tableColumn id="61" xr3:uid="{18BD0102-DF8D-4A9B-A505-0470F3738746}" name="30005"/>
    <tableColumn id="62" xr3:uid="{AD13DD52-EDBB-492E-AF12-4A52FE8EA882}" name="30008"/>
    <tableColumn id="63" xr3:uid="{6A18A9D0-EA08-42DF-907C-5FB53246C528}" name="30009"/>
    <tableColumn id="64" xr3:uid="{8074C771-AFBF-4ADF-9B5F-C314106698E8}" name="30011"/>
    <tableColumn id="65" xr3:uid="{63657D0A-301F-4D12-A252-B218F635A976}" name="30012"/>
    <tableColumn id="66" xr3:uid="{BC975E4E-302D-49F3-91C5-D7694AF60A81}" name="30013"/>
    <tableColumn id="67" xr3:uid="{9B6EE261-461A-4BCD-8C6A-43F448AA40CB}" name="30014"/>
    <tableColumn id="68" xr3:uid="{E1D2545B-0AA2-444D-AC60-F74E71D428B0}" name="30016"/>
    <tableColumn id="69" xr3:uid="{DD9641AA-E369-4CEE-B2B4-B45CD64C5A3B}" name="30017"/>
    <tableColumn id="70" xr3:uid="{54D8E95F-E6A3-4BEE-8898-E987DE72425B}" name="30018"/>
    <tableColumn id="71" xr3:uid="{B2121D12-EECE-4D27-9773-6F57098A7D66}" name="30019"/>
    <tableColumn id="72" xr3:uid="{CDAE49F1-FF4F-4D98-9746-39C6C79BDEC6}" name="30021"/>
    <tableColumn id="73" xr3:uid="{816A3D29-7DB3-407B-BCA7-EF4B91B29196}" name="30022"/>
    <tableColumn id="74" xr3:uid="{06ACD395-F498-48F2-A09C-B96236CC6763}" name="30024"/>
    <tableColumn id="75" xr3:uid="{BF9525E6-09D8-4539-815C-243CC850747E}" name="30025"/>
    <tableColumn id="76" xr3:uid="{0B406609-95B7-4326-8DE6-A51D643C59ED}" name="30028"/>
    <tableColumn id="77" xr3:uid="{73031995-F088-4906-AD76-54BBC06FF78B}" name="30030"/>
    <tableColumn id="78" xr3:uid="{5AD8FF76-8CF7-4C3D-8FEB-4B1BE59D3154}" name="30032"/>
    <tableColumn id="79" xr3:uid="{90A81C6D-7615-42DA-ABAF-9E88AA34BFCD}" name="30033"/>
    <tableColumn id="80" xr3:uid="{A44C5BF6-DBB1-42B0-8AE2-814BA4464E1C}" name="30034"/>
    <tableColumn id="81" xr3:uid="{3FABCA33-A6C9-4DDB-90FB-6D03886F18E0}" name="30035"/>
    <tableColumn id="82" xr3:uid="{9C6BE13F-F9C6-4BFF-B45B-40832A2A4D2A}" name="30038"/>
    <tableColumn id="83" xr3:uid="{A29BAE50-7603-470B-B89C-1BF5DA656D89}" name="30039"/>
    <tableColumn id="84" xr3:uid="{A760CFCF-A2CB-4452-A4F0-DF6EE9484B6A}" name="30040"/>
    <tableColumn id="85" xr3:uid="{F000FE37-36DD-4892-B4DA-714B4F81AB31}" name="30041"/>
    <tableColumn id="86" xr3:uid="{A3A31A87-BE33-4EEF-9BA5-C310847D43CF}" name="30043"/>
    <tableColumn id="87" xr3:uid="{0BC407AC-7C76-485D-AD55-DAE7AFC95E56}" name="30044"/>
    <tableColumn id="88" xr3:uid="{4F710BCA-111A-494C-BE48-DC152C6A86AD}" name="30045"/>
    <tableColumn id="89" xr3:uid="{80ED501B-2FFF-4DD1-8E86-AF35145508DB}" name="30046"/>
    <tableColumn id="90" xr3:uid="{22201D69-93F9-4742-AD2D-0F6675111901}" name="30047"/>
    <tableColumn id="91" xr3:uid="{06A9D920-5DD4-495E-81B4-C06EBC5ECDE3}" name="30052"/>
    <tableColumn id="92" xr3:uid="{944115D2-23DC-4661-949C-50FA62F32D7E}" name="30054"/>
    <tableColumn id="93" xr3:uid="{CFFBAD87-C793-4C0D-99C3-BEA3AE70184A}" name="30055"/>
    <tableColumn id="94" xr3:uid="{C25DF35B-30CC-416F-A8D7-0406C8FC767E}" name="30056"/>
    <tableColumn id="95" xr3:uid="{EE92F06C-C6C2-4C8C-B922-BCA6A6EEAD28}" name="30058"/>
    <tableColumn id="96" xr3:uid="{D33E0C5F-C762-4475-B9DF-0E1BB47F1235}" name="30060"/>
    <tableColumn id="97" xr3:uid="{D4102D45-622B-40F6-8D02-BEEABC095E01}" name="30062"/>
    <tableColumn id="98" xr3:uid="{0DD98EE9-F02B-4577-A513-5B069B93DA28}" name="30064"/>
    <tableColumn id="99" xr3:uid="{334E3798-D4C5-43A2-A79A-45EAE934AD3E}" name="30066"/>
    <tableColumn id="100" xr3:uid="{6220A688-32D7-469C-95DC-2A152239BB47}" name="30067"/>
    <tableColumn id="101" xr3:uid="{6CA5BDE7-69EB-4CE7-ABB5-774F3F7BB44D}" name="30068"/>
    <tableColumn id="102" xr3:uid="{FB44D7F2-335A-4079-8A2E-D8B886044DD8}" name="30070"/>
    <tableColumn id="103" xr3:uid="{1DE2F9FB-395F-4206-B8FA-787F7C165AB3}" name="30071"/>
    <tableColumn id="104" xr3:uid="{429E9089-4C04-4351-B6DC-53574ABAB5C2}" name="30072"/>
    <tableColumn id="105" xr3:uid="{0F8C2EDB-510A-4E44-B840-1C8B7CB6326C}" name="30075"/>
    <tableColumn id="106" xr3:uid="{A68697A6-0A27-4A48-9DBB-C5835AB983C3}" name="30076"/>
    <tableColumn id="107" xr3:uid="{C4611BAB-F096-4D86-92A0-F0BA78B7B7D2}" name="30078"/>
    <tableColumn id="108" xr3:uid="{6E79624F-1C01-4E34-A152-E689EB5DA9CD}" name="30079"/>
    <tableColumn id="109" xr3:uid="{94781369-8782-4DC1-B737-21B01435761B}" name="30080"/>
    <tableColumn id="110" xr3:uid="{0F7232D9-861F-4D28-8CD0-E766F4C95292}" name="30082"/>
    <tableColumn id="111" xr3:uid="{E0ECC91D-5A72-41AC-8BA5-CA2E8F4DDB16}" name="30083"/>
    <tableColumn id="112" xr3:uid="{579A5A02-8EDA-424C-AD96-64D7978E3D9A}" name="30084"/>
    <tableColumn id="113" xr3:uid="{CE36EC06-68A7-4188-B3DC-58AFE73F94BB}" name="30087"/>
    <tableColumn id="114" xr3:uid="{1FEDF4A9-8003-4000-ADBC-5133C9E59C04}" name="30088"/>
    <tableColumn id="115" xr3:uid="{538CE661-7C18-4D14-8C87-63FE8E07CA95}" name="30090"/>
    <tableColumn id="116" xr3:uid="{1657D966-64AF-45D1-B719-A2F87614CBB5}" name="30092"/>
    <tableColumn id="117" xr3:uid="{AF493FB7-FE43-47B1-8E63-76C0525C328F}" name="30093"/>
    <tableColumn id="118" xr3:uid="{2D81BCFC-03AA-4B3E-8DF4-AA60234B65F0}" name="30094"/>
    <tableColumn id="119" xr3:uid="{A1EC6325-EE2B-4951-8196-F2D8E5D1D283}" name="30096"/>
    <tableColumn id="120" xr3:uid="{A8FAC273-99AF-4114-B299-86C959936ED5}" name="30097"/>
    <tableColumn id="121" xr3:uid="{B6BF4D42-5279-4723-B8C3-0BC7A851FC4F}" name="30101"/>
    <tableColumn id="122" xr3:uid="{8F411AE0-69AC-4F14-88A0-38BB3BD6C3F8}" name="30102"/>
    <tableColumn id="123" xr3:uid="{55192C54-11B7-4A29-853A-762E83A5AC90}" name="30103"/>
    <tableColumn id="124" xr3:uid="{6B206AF2-25D0-4323-B4CA-CE99131BA064}" name="30104"/>
    <tableColumn id="125" xr3:uid="{D7C66628-B09E-4CEF-9180-258641BE00DE}" name="30105"/>
    <tableColumn id="126" xr3:uid="{C93985B9-18C3-471A-8F98-195753BFCF96}" name="30106"/>
    <tableColumn id="127" xr3:uid="{0F2467ED-8A0A-4BF6-B7D4-E3CE162EA6A1}" name="30107"/>
    <tableColumn id="128" xr3:uid="{2A996490-5EDC-49DC-9F78-8D7A8032C757}" name="30108"/>
    <tableColumn id="129" xr3:uid="{68ED2AE5-4B84-4D26-81BC-4C05B4DD59AE}" name="30110"/>
    <tableColumn id="130" xr3:uid="{8E5C104A-8376-4CDB-A1AD-34B133EB60E6}" name="30111"/>
    <tableColumn id="131" xr3:uid="{02CEEF5B-C1DA-4D3B-B799-F4357BAB8CBC}" name="30113"/>
    <tableColumn id="132" xr3:uid="{04AD3B74-3B06-469B-9131-86E697C4ADB8}" name="30114"/>
    <tableColumn id="133" xr3:uid="{4191ABB3-5513-4817-8267-FA2C82E47238}" name="30115"/>
    <tableColumn id="134" xr3:uid="{C992B33E-3B1C-4CD7-9567-6B030DB66582}" name="30116"/>
    <tableColumn id="135" xr3:uid="{B213385C-BF83-4B94-8325-FCA22BE661FF}" name="30117"/>
    <tableColumn id="136" xr3:uid="{4D5A4F6C-744D-437F-B0AB-E1871295622A}" name="30118"/>
    <tableColumn id="137" xr3:uid="{A27941E2-A683-45C2-A8C0-79C5BAF518C1}" name="30120"/>
    <tableColumn id="138" xr3:uid="{BA17BBF9-2B19-4556-976C-8C898796D382}" name="30121"/>
    <tableColumn id="139" xr3:uid="{C9ECAD47-0B29-447F-A9C4-74BAFD317F3F}" name="30122"/>
    <tableColumn id="140" xr3:uid="{205B8D6E-78B1-41A2-8822-9C6519A3851A}" name="30124"/>
    <tableColumn id="141" xr3:uid="{F5C93FE7-E1D0-430A-AE52-0EB830E0A66D}" name="30125"/>
    <tableColumn id="142" xr3:uid="{970DF429-34C2-47CB-ABE2-D9A07D502473}" name="30126"/>
    <tableColumn id="143" xr3:uid="{A143597F-2B9B-49B5-8563-0F6434A1908C}" name="30127"/>
    <tableColumn id="144" xr3:uid="{25C54C69-0B24-4922-B281-CBC251AD9DDA}" name="30132"/>
    <tableColumn id="145" xr3:uid="{1E7493BD-79F6-428C-BDDF-90E6BADD90F3}" name="30134"/>
    <tableColumn id="146" xr3:uid="{D366D787-32C0-4694-B2C1-B4109757C370}" name="30135"/>
    <tableColumn id="147" xr3:uid="{20E3496A-3613-427D-ABCF-B77ED32AF3C3}" name="30137"/>
    <tableColumn id="148" xr3:uid="{DE7BFCD6-D2CB-4B92-9D0D-4C76C2D26E87}" name="30139"/>
    <tableColumn id="149" xr3:uid="{AB3023E5-F282-4884-B03F-AD06C3F6FA09}" name="30141"/>
    <tableColumn id="150" xr3:uid="{998D8356-E559-4156-8282-BAA58F36E03A}" name="30143"/>
    <tableColumn id="151" xr3:uid="{49080021-0CAC-4337-AD59-E63FB1A4F235}" name="30144"/>
    <tableColumn id="152" xr3:uid="{29CB2AA3-52B2-4DA2-ABDF-9D2A2866B736}" name="30145"/>
    <tableColumn id="153" xr3:uid="{792B26C5-227F-40FE-BB12-FEBE8BCFBC8F}" name="30147"/>
    <tableColumn id="154" xr3:uid="{9376EECD-BF0B-4DE8-A63C-CAB3BA2E57CC}" name="30148"/>
    <tableColumn id="155" xr3:uid="{D89F92BB-2F70-48A5-B50D-0C0DCD03D1DA}" name="30149"/>
    <tableColumn id="156" xr3:uid="{19E0683E-D583-46D6-A2EB-DBD6E1FFD3AF}" name="30152"/>
    <tableColumn id="157" xr3:uid="{A77A78FB-5415-4E5B-9355-DEDB34CC6C23}" name="30153"/>
    <tableColumn id="158" xr3:uid="{852F7C13-5A92-4E3E-BDCC-7B9BE3874CD7}" name="30157"/>
    <tableColumn id="159" xr3:uid="{6CE66F64-12BE-45B8-8EAD-9EAFA7C16BCF}" name="30161"/>
    <tableColumn id="160" xr3:uid="{9717A9D1-8101-4969-B4CB-B44FDFA6BB0D}" name="30165"/>
    <tableColumn id="161" xr3:uid="{B365FBEC-5EF7-49F9-9BC5-32D036501151}" name="30168"/>
    <tableColumn id="162" xr3:uid="{357D17F0-5161-4FAE-AE44-F23578623C9D}" name="30170"/>
    <tableColumn id="163" xr3:uid="{CB24CA9D-B99B-444F-95F2-2A303F3FEF56}" name="30171"/>
    <tableColumn id="164" xr3:uid="{3DFA0153-94E3-408A-B140-03AFD4D1272C}" name="30173"/>
    <tableColumn id="165" xr3:uid="{F21B9B26-C176-4BAB-98FC-6D23895201AB}" name="30175"/>
    <tableColumn id="166" xr3:uid="{44F39AEC-9F59-4A81-A558-498B16A65871}" name="30176"/>
    <tableColumn id="167" xr3:uid="{2A82B546-BD94-4660-A0F9-EE725DFAAE32}" name="30177"/>
    <tableColumn id="168" xr3:uid="{AFBE7872-FCEF-4E29-929A-1F26D4954237}" name="30178"/>
    <tableColumn id="169" xr3:uid="{3CA7CD73-4B4E-409B-8C0A-ACC17E7A1281}" name="30179"/>
    <tableColumn id="170" xr3:uid="{DD60F251-63F7-4752-9C74-8165803523C9}" name="30180"/>
    <tableColumn id="171" xr3:uid="{0133C762-905A-4D04-8BE6-38EFF9FEE004}" name="30182"/>
    <tableColumn id="172" xr3:uid="{FC1EFA0F-D4F9-4E33-89A8-0389D0D01B53}" name="30183"/>
    <tableColumn id="173" xr3:uid="{4E5BB4C3-D291-49CA-B701-D807134BC034}" name="30184"/>
    <tableColumn id="174" xr3:uid="{6EC7B13B-6FCF-4EBA-A5BB-D2CE61354C8C}" name="30185"/>
    <tableColumn id="175" xr3:uid="{19D3B54D-6C92-4FA5-8CBA-FB4D7D2C34F1}" name="30187"/>
    <tableColumn id="176" xr3:uid="{5E73CA7A-B00C-40D6-BBD0-1B9D05B5FFC2}" name="30188"/>
    <tableColumn id="177" xr3:uid="{013315EB-30FD-437D-853F-BD7435FD941A}" name="30189"/>
    <tableColumn id="178" xr3:uid="{07DC3A11-7BBC-4900-A6E7-18DF087EA75E}" name="30204"/>
    <tableColumn id="179" xr3:uid="{730C6612-4100-43BB-A874-B0A27E0DA301}" name="30205"/>
    <tableColumn id="180" xr3:uid="{4239EE00-1889-48F2-8DC9-700326ADD38D}" name="30206"/>
    <tableColumn id="181" xr3:uid="{FF367819-3F87-45D4-81D1-40FE32C0B71A}" name="30213"/>
    <tableColumn id="182" xr3:uid="{D47BA9D9-914D-4B6F-ABE0-758D2FC96723}" name="30214"/>
    <tableColumn id="183" xr3:uid="{F2794126-F6E2-46A7-B037-02D73370701A}" name="30215"/>
    <tableColumn id="184" xr3:uid="{789E63BE-E655-4460-A989-2300742873A1}" name="30216"/>
    <tableColumn id="185" xr3:uid="{622ADC1F-2E55-493C-9550-92213E1178D0}" name="30217"/>
    <tableColumn id="186" xr3:uid="{89092BD4-902E-4079-A554-4B0FDC69C40C}" name="30218"/>
    <tableColumn id="187" xr3:uid="{1C47FD94-A880-4A9A-8F9B-E3A831BF29F8}" name="30220"/>
    <tableColumn id="188" xr3:uid="{7598833B-7722-44CD-8B64-892F38C4CF7B}" name="30222"/>
    <tableColumn id="189" xr3:uid="{33CA5B5B-BA6A-4B1A-98AC-2F23B63B8B9F}" name="30223"/>
    <tableColumn id="190" xr3:uid="{F7966C48-C5F2-49E2-9BE5-22555A0F02EB}" name="30224"/>
    <tableColumn id="191" xr3:uid="{0E0B0823-1D81-4A62-8FAB-9E6EB2F9609B}" name="30228"/>
    <tableColumn id="192" xr3:uid="{E223303E-480B-4ECF-8E6F-FC79CA74984A}" name="30229"/>
    <tableColumn id="193" xr3:uid="{A132ED80-EE89-435A-A285-FBC110296CEA}" name="30230"/>
    <tableColumn id="194" xr3:uid="{AA2E98AF-4C62-4B66-A4F1-E0C334B8084C}" name="30233"/>
    <tableColumn id="195" xr3:uid="{92D95341-C6A2-4D6A-BBF2-614B8F3FDE8F}" name="30234"/>
    <tableColumn id="196" xr3:uid="{303DA0C2-A9F7-4AF0-886C-1ED8CD3D334C}" name="30236"/>
    <tableColumn id="197" xr3:uid="{908CEFC4-B4E5-4E61-B644-088C734FF424}" name="30238"/>
    <tableColumn id="198" xr3:uid="{C7FF5CDF-943F-421A-ABE1-535654B88316}" name="30240"/>
    <tableColumn id="199" xr3:uid="{5E2D8DED-18F1-40D1-8CA4-1B3A48CA0D1B}" name="30241"/>
    <tableColumn id="200" xr3:uid="{698DDE10-3168-4E3D-9752-9D011A2E3894}" name="30248"/>
    <tableColumn id="201" xr3:uid="{9B2417F6-B317-4F7E-81CB-5AF129ABC5D8}" name="30250"/>
    <tableColumn id="202" xr3:uid="{4C329FBE-574A-406B-AC88-5F65CFC7274A}" name="30251"/>
    <tableColumn id="203" xr3:uid="{A0C707D1-C1BA-4A7B-A3F6-30FFF75652AA}" name="30252"/>
    <tableColumn id="204" xr3:uid="{D60AAE5D-AD4B-4B23-B68C-083F301167AA}" name="30253"/>
    <tableColumn id="205" xr3:uid="{EC7861E4-774F-4F87-80A7-62DDC7B71973}" name="30256"/>
    <tableColumn id="206" xr3:uid="{8FB5FBA6-ED08-4E75-9872-ECC2DCB550CC}" name="30257"/>
    <tableColumn id="207" xr3:uid="{81B2C1B8-0FBA-4A6C-901E-DAFDC45BF1AA}" name="30258"/>
    <tableColumn id="208" xr3:uid="{6DF0DF12-040E-4802-9B4F-BC8ABE86A189}" name="30259"/>
    <tableColumn id="209" xr3:uid="{788307A5-BF16-42D7-9A4F-E342F41B6007}" name="30260"/>
    <tableColumn id="210" xr3:uid="{E2B9601C-09BF-43CD-85F2-60A8162BFC73}" name="30263"/>
    <tableColumn id="211" xr3:uid="{A89C0CF5-4D34-40A2-A50E-E56A0E4C6678}" name="30265"/>
    <tableColumn id="212" xr3:uid="{446D439A-3D62-48D8-AC57-3BE54C35DE69}" name="30268"/>
    <tableColumn id="213" xr3:uid="{E53A3EA7-0F19-45BE-BB3D-CC8001F05F0B}" name="30269"/>
    <tableColumn id="214" xr3:uid="{BD545BAC-AD49-4811-824A-D27697DEB9C9}" name="30272"/>
    <tableColumn id="215" xr3:uid="{74C77AF9-EB25-4FB9-92D6-A751BF577A27}" name="30273"/>
    <tableColumn id="216" xr3:uid="{88689E74-F608-42C1-B433-731581B2289F}" name="30274"/>
    <tableColumn id="217" xr3:uid="{5ECD1DE7-8938-4222-9188-F5BF9468F0A1}" name="30275"/>
    <tableColumn id="218" xr3:uid="{C6377B2D-3802-4EE1-8831-E558BA183202}" name="30276"/>
    <tableColumn id="219" xr3:uid="{B55F27D6-4F18-4E6A-A4AA-2C8D360DAEF7}" name="30277"/>
    <tableColumn id="220" xr3:uid="{138D9885-F633-4AA5-ACCB-6BF5A1B9C125}" name="30281"/>
    <tableColumn id="221" xr3:uid="{63E52788-7EFF-4013-8021-ACCF79F41DB3}" name="30284"/>
    <tableColumn id="222" xr3:uid="{475FBA43-C008-49D3-A2CC-040D316BEEA4}" name="30285"/>
    <tableColumn id="223" xr3:uid="{CD00F314-716E-45C4-98A6-55ED5CE3B301}" name="30286"/>
    <tableColumn id="224" xr3:uid="{4B9B7623-3D73-4F5D-823B-1C227EA26210}" name="30288"/>
    <tableColumn id="225" xr3:uid="{EF319306-FFFE-416E-A69E-964CB45D787C}" name="30289"/>
    <tableColumn id="226" xr3:uid="{511E4E44-F998-45BA-ACE6-45D88AE79E4D}" name="30290"/>
    <tableColumn id="227" xr3:uid="{0E8D47E0-A52C-4BF8-BA6F-78C97A8BDE41}" name="30291"/>
    <tableColumn id="228" xr3:uid="{A650C3BB-2FC7-482E-BB00-01E7191093D8}" name="30292"/>
    <tableColumn id="229" xr3:uid="{1A983586-EE13-4FCF-AFF2-1B25B3443820}" name="30293"/>
    <tableColumn id="230" xr3:uid="{1DF2FDAE-1B5A-403B-9275-FE83DC43C176}" name="30294"/>
    <tableColumn id="231" xr3:uid="{C13ECD08-62A0-4344-8791-0BAC61552C56}" name="30295"/>
    <tableColumn id="232" xr3:uid="{61DCC949-E80B-4683-91D9-0D31DA08139B}" name="30296"/>
    <tableColumn id="233" xr3:uid="{2365ADFA-2FC5-4C07-BDC6-235AFF725A37}" name="30297"/>
    <tableColumn id="234" xr3:uid="{CC681DE2-28CB-4CBF-A525-20DD67E89078}" name="30303"/>
    <tableColumn id="235" xr3:uid="{D91342DE-E7D5-4F37-A997-7FDE6891CB5D}" name="30305"/>
    <tableColumn id="236" xr3:uid="{09477DAA-A927-48A2-99D2-CEF4FAF49E59}" name="30306"/>
    <tableColumn id="237" xr3:uid="{C753BBAF-4505-439C-A6D4-4B7FF1DB26C4}" name="30307"/>
    <tableColumn id="238" xr3:uid="{8A0056ED-3146-40AA-8B92-5542DE936014}" name="30308"/>
    <tableColumn id="239" xr3:uid="{5008CB1D-B0BC-4B85-A48A-F0AB908553DB}" name="30309"/>
    <tableColumn id="240" xr3:uid="{DD15B4BD-1EC5-41E5-BE65-DADD75D776FA}" name="30310"/>
    <tableColumn id="241" xr3:uid="{A866E6E1-3B68-44D6-B181-4D897CF355DD}" name="30311"/>
    <tableColumn id="242" xr3:uid="{3DADD1F1-F20A-4226-BE05-605C320E9482}" name="30312"/>
    <tableColumn id="243" xr3:uid="{D468014D-8D4A-4637-AB53-CF8133DB7B9D}" name="30313"/>
    <tableColumn id="244" xr3:uid="{6EF4648B-54C1-4128-B1DF-3216E4C3B06D}" name="30314"/>
    <tableColumn id="245" xr3:uid="{D687DCBF-68A2-410F-9331-2B3EAFD24574}" name="30315"/>
    <tableColumn id="246" xr3:uid="{6452953D-8377-4666-A04A-993E22D66F4B}" name="30316"/>
    <tableColumn id="247" xr3:uid="{3A7D6F00-1460-409A-9E78-2A63D475DD4C}" name="30317"/>
    <tableColumn id="248" xr3:uid="{76D1F580-B50C-4401-B549-46527F611758}" name="30318"/>
    <tableColumn id="249" xr3:uid="{7EDC897A-3EB7-4F38-8E62-A84FDC9C4916}" name="30319"/>
    <tableColumn id="250" xr3:uid="{7265C782-027D-466D-9CFF-E29A5B8E38C1}" name="30322"/>
    <tableColumn id="251" xr3:uid="{A0FDC36F-25FF-4791-858E-65F7C869D09A}" name="30324"/>
    <tableColumn id="252" xr3:uid="{C914C7F6-A291-46A2-B43D-3B78AE80BA51}" name="30326"/>
    <tableColumn id="253" xr3:uid="{BCA511AA-A368-4340-B866-CBA0A77BC6B4}" name="30327"/>
    <tableColumn id="254" xr3:uid="{184B989C-01C3-48B6-A942-91B16462AB25}" name="30328"/>
    <tableColumn id="255" xr3:uid="{61725607-9C0F-4CD6-B51B-2414EDFB58BE}" name="30329"/>
    <tableColumn id="256" xr3:uid="{E3720EFA-8583-47C3-B649-3ABE2DD20EFC}" name="30331"/>
    <tableColumn id="257" xr3:uid="{1C5834CB-9B71-402F-BC75-AB1D0F4A8E3C}" name="30332"/>
    <tableColumn id="258" xr3:uid="{81011407-F27B-4F7F-94DD-69851F05E362}" name="30334"/>
    <tableColumn id="259" xr3:uid="{7F969E03-C4DB-4070-ADD5-1CEED9154342}" name="30336"/>
    <tableColumn id="260" xr3:uid="{30BCF6EE-5160-4AA9-9BAC-B909BC473280}" name="30337"/>
    <tableColumn id="261" xr3:uid="{B8A9650C-2101-4944-A006-B6E506E24FA3}" name="30338"/>
    <tableColumn id="262" xr3:uid="{ACAEEC59-089A-4089-BA30-ADA4748D36A2}" name="30339"/>
    <tableColumn id="263" xr3:uid="{84E266CC-DEAB-4865-9989-5F2FE9E20F30}" name="30340"/>
    <tableColumn id="264" xr3:uid="{F9630561-270C-4A11-B078-98779FB14B18}" name="30341"/>
    <tableColumn id="265" xr3:uid="{EE6E9973-8912-4E76-A620-DCB002D4BA74}" name="30342"/>
    <tableColumn id="266" xr3:uid="{59F6D458-5185-48A5-A8D5-1FBA7648F1CF}" name="30344"/>
    <tableColumn id="267" xr3:uid="{E8D2393B-052C-4E67-A037-0F86D409579D}" name="30345"/>
    <tableColumn id="268" xr3:uid="{F9DFA0BA-5FD5-41B3-BF18-8490D19D97AB}" name="30346"/>
    <tableColumn id="269" xr3:uid="{2E154C2E-2FFC-474B-9300-2A3C61B99786}" name="30349"/>
    <tableColumn id="270" xr3:uid="{0DA33F67-0545-413C-A4A3-8D6CBA90BA61}" name="30350"/>
    <tableColumn id="271" xr3:uid="{47EA00CE-05DB-4003-90EA-219DD1BCF73B}" name="30354"/>
    <tableColumn id="272" xr3:uid="{B5328FF3-5878-446D-8B3D-B04C08F17125}" name="30360"/>
    <tableColumn id="273" xr3:uid="{4AED79F0-A2A2-4001-BE67-CB1CF3958B84}" name="30363"/>
    <tableColumn id="274" xr3:uid="{0878908B-421D-469B-9314-2C93BB109D96}" name="30401"/>
    <tableColumn id="275" xr3:uid="{73E4E359-1F7A-4D49-A8C4-350900B9600B}" name="30410"/>
    <tableColumn id="276" xr3:uid="{A2A384C3-41F8-4894-975F-A1985FEFA083}" name="30411"/>
    <tableColumn id="277" xr3:uid="{1BD19BC0-4B54-4C3A-8E9E-D543A45D8533}" name="30412"/>
    <tableColumn id="278" xr3:uid="{7F09CBB9-D223-491B-8A8D-EA4B7588109F}" name="30413"/>
    <tableColumn id="279" xr3:uid="{1FFCFF8C-8BBD-4981-B24B-1A1D85882360}" name="30414"/>
    <tableColumn id="280" xr3:uid="{D28DBF3A-E311-40FF-A55A-DE30E77E2046}" name="30415"/>
    <tableColumn id="281" xr3:uid="{830F49DF-414E-4696-AEE7-368DB6268EC6}" name="30417"/>
    <tableColumn id="282" xr3:uid="{4F3D474C-6829-4C34-8E18-62C1936703C4}" name="30420"/>
    <tableColumn id="283" xr3:uid="{7199CC03-A003-456C-9329-B107ECA56222}" name="30421"/>
    <tableColumn id="284" xr3:uid="{54CB38AF-7D8B-43A8-9854-31977E8728B0}" name="30423"/>
    <tableColumn id="285" xr3:uid="{0BD331F5-7983-4105-87E6-CC25A4CFDB55}" name="30425"/>
    <tableColumn id="286" xr3:uid="{E40330C7-DF41-462D-A59B-D2BE76CEA4B3}" name="30426"/>
    <tableColumn id="287" xr3:uid="{215E72FF-0356-4D47-983E-B1216D3A86D9}" name="30427"/>
    <tableColumn id="288" xr3:uid="{1791C5CE-5804-44C6-BD41-5BDFEC2C44BF}" name="30428"/>
    <tableColumn id="289" xr3:uid="{B8C744AD-4E15-4912-A589-B1E58C322031}" name="30429"/>
    <tableColumn id="290" xr3:uid="{63E03747-1F92-4625-8211-F2FCCEA4A80A}" name="30434"/>
    <tableColumn id="291" xr3:uid="{889606A3-8AAD-4BB4-892F-C850E5DCEF34}" name="30436"/>
    <tableColumn id="292" xr3:uid="{88B2D57D-5A20-4F59-ADFD-532E0546F11D}" name="30439"/>
    <tableColumn id="293" xr3:uid="{B11C09BF-A0F7-4913-863D-BF9F67DE19F8}" name="30441"/>
    <tableColumn id="294" xr3:uid="{BABDEC8F-B236-44FA-A34A-BED4F517BF5A}" name="30442"/>
    <tableColumn id="295" xr3:uid="{D4F4B55D-1CA0-4F29-BD00-BDD34653BAF0}" name="30445"/>
    <tableColumn id="296" xr3:uid="{BED70C7B-D1A5-42FD-A7B3-8FAF9C39B111}" name="30446"/>
    <tableColumn id="297" xr3:uid="{AC0DA1D2-1847-40E0-9956-33AF307E419A}" name="30448"/>
    <tableColumn id="298" xr3:uid="{0C313463-EB5F-4EF6-825E-97921C1CBB9E}" name="30449"/>
    <tableColumn id="299" xr3:uid="{53D38748-8450-40A0-BCC8-5DD8C92D6041}" name="30450"/>
    <tableColumn id="300" xr3:uid="{F734CA98-36DB-49EF-9D5E-5B22ACD461B8}" name="30451"/>
    <tableColumn id="301" xr3:uid="{A12E1686-BA48-454E-87FF-D9D890723882}" name="30452"/>
    <tableColumn id="302" xr3:uid="{CEF3099C-3A03-4B83-9672-04FD585B042D}" name="30453"/>
    <tableColumn id="303" xr3:uid="{367C8E3B-7462-4AAB-BA98-BAFB328D822B}" name="30454"/>
    <tableColumn id="304" xr3:uid="{499C308F-2194-418B-BE35-2A3EC46DF399}" name="30455"/>
    <tableColumn id="305" xr3:uid="{E93845DB-B05E-43EF-B3F7-3EEC7191BDFE}" name="30456"/>
    <tableColumn id="306" xr3:uid="{12C781F4-A672-4044-87F4-D50731C597A8}" name="30457"/>
    <tableColumn id="307" xr3:uid="{EBEA6CD5-48DD-41B7-B1BC-B09FF5A428BD}" name="30458"/>
    <tableColumn id="308" xr3:uid="{6D796494-FB51-40C6-9FB5-D7EC8F7EF84E}" name="30460"/>
    <tableColumn id="309" xr3:uid="{3CCF316E-FFFF-4751-B290-52AA3F57C0E5}" name="30461"/>
    <tableColumn id="310" xr3:uid="{2D9AA954-8CBE-4EF1-BE83-F77ADF3394FF}" name="30464"/>
    <tableColumn id="311" xr3:uid="{E400F8F8-4101-4192-BEEC-31D29FA656B0}" name="30467"/>
    <tableColumn id="312" xr3:uid="{24A64B5E-6A9A-4222-8CFD-303D74C266FA}" name="30470"/>
    <tableColumn id="313" xr3:uid="{6C292ADF-E22D-4323-B396-66F6522E96ED}" name="30471"/>
    <tableColumn id="314" xr3:uid="{9C384D38-4643-4587-BD40-B15393A93D84}" name="30473"/>
    <tableColumn id="315" xr3:uid="{4A446E01-4182-4607-8767-BA12784C359A}" name="30474"/>
    <tableColumn id="316" xr3:uid="{AC90B573-A578-452C-BF8F-18BED8B96BC0}" name="30477"/>
    <tableColumn id="317" xr3:uid="{2C9A396C-C612-458C-8C3A-B9BCB88E903B}" name="30501"/>
    <tableColumn id="318" xr3:uid="{BE852E18-8D2D-44D9-A271-B9C28675A330}" name="30504"/>
    <tableColumn id="319" xr3:uid="{00A12A07-7020-47A7-81D9-6D7852AC625B}" name="30506"/>
    <tableColumn id="320" xr3:uid="{34284EA3-6779-4E2C-A4A3-4A5205E9FD53}" name="30507"/>
    <tableColumn id="321" xr3:uid="{146A3AA1-0DB0-43E7-B061-EDB64F7B026F}" name="30510"/>
    <tableColumn id="322" xr3:uid="{BB301B22-9320-4173-ADA8-E9A049920616}" name="30511"/>
    <tableColumn id="323" xr3:uid="{1FBAA75A-D3B8-43E0-8DBA-645E6DE51966}" name="30512"/>
    <tableColumn id="324" xr3:uid="{ABD03ABB-61A3-44CD-A020-3E976B8B89BE}" name="30513"/>
    <tableColumn id="325" xr3:uid="{20A37846-FDE5-401B-ADDA-59FF24D26772}" name="30516"/>
    <tableColumn id="326" xr3:uid="{64CF2892-D0F2-43C2-800E-1290D16A21AA}" name="30517"/>
    <tableColumn id="327" xr3:uid="{84AE35AB-382C-470F-88A4-E4D6B0020305}" name="30518"/>
    <tableColumn id="328" xr3:uid="{66F882F6-C05C-4C01-B94D-1780B3E2D705}" name="30519"/>
    <tableColumn id="329" xr3:uid="{8095DC8F-641E-4CEE-B714-811E97ED6F32}" name="30520"/>
    <tableColumn id="330" xr3:uid="{CE00A245-0CE3-4D2A-A85E-2CE4B0E3A1CA}" name="30521"/>
    <tableColumn id="331" xr3:uid="{21A9EF74-0F26-412D-83BB-04FD8D1C8919}" name="30522"/>
    <tableColumn id="332" xr3:uid="{76827B05-7243-4D58-9BA4-BCC6DC5CF730}" name="30523"/>
    <tableColumn id="333" xr3:uid="{D48AA9E3-C920-4972-924D-656BA18817B7}" name="30525"/>
    <tableColumn id="334" xr3:uid="{19675A7C-21D6-47C3-A579-80E8B5F11EBB}" name="30527"/>
    <tableColumn id="335" xr3:uid="{3ADE9BCD-38BB-47C7-BE3B-9FBBB9878E9E}" name="30528"/>
    <tableColumn id="336" xr3:uid="{D99F9241-C472-4A5B-AC47-72539D848A52}" name="30529"/>
    <tableColumn id="337" xr3:uid="{CE4E2F6D-BE14-4889-9B92-49DE58538A22}" name="30530"/>
    <tableColumn id="338" xr3:uid="{767062BC-E633-4A5B-98BD-540CDD917EA2}" name="30531"/>
    <tableColumn id="339" xr3:uid="{D79C80D9-2E65-450C-8CC7-F222AF15B4AA}" name="30533"/>
    <tableColumn id="340" xr3:uid="{FF3104C6-05C4-44B1-ABED-E1D01C448DF3}" name="30534"/>
    <tableColumn id="341" xr3:uid="{49B8B9DD-FAEA-4434-B51C-65B5B89187FA}" name="30535"/>
    <tableColumn id="342" xr3:uid="{562F0BBF-A57E-4809-96D7-0D06197437D5}" name="30536"/>
    <tableColumn id="343" xr3:uid="{39E60F4F-E6C9-4141-8E15-218BE920D47B}" name="30537"/>
    <tableColumn id="344" xr3:uid="{DE229A3A-4936-43CA-9D63-E9664BEA6E93}" name="30538"/>
    <tableColumn id="345" xr3:uid="{02B2B14B-67D4-4E26-81A8-FDF09CE61323}" name="30539"/>
    <tableColumn id="346" xr3:uid="{A2B34F43-A242-4D56-9CA4-C76305A3CC00}" name="30540"/>
    <tableColumn id="347" xr3:uid="{E325CCD7-E163-4098-93C0-D6F4C77ED19C}" name="30541"/>
    <tableColumn id="348" xr3:uid="{FD58B98A-F7FF-4A22-BA3C-2093B040976E}" name="30542"/>
    <tableColumn id="349" xr3:uid="{56224A71-520E-493F-92C5-143255A4FE15}" name="30543"/>
    <tableColumn id="350" xr3:uid="{B5D9E6B0-BD8F-497B-8FC3-FFAB934E0E5E}" name="30545"/>
    <tableColumn id="351" xr3:uid="{1B4AB763-02D5-482B-93E1-5A266E87B7B0}" name="30546"/>
    <tableColumn id="352" xr3:uid="{AF87D5AB-A288-47CF-AC3B-8698041BBB27}" name="30547"/>
    <tableColumn id="353" xr3:uid="{A7AAAC31-263D-4896-8137-773758CCC6F0}" name="30548"/>
    <tableColumn id="354" xr3:uid="{9129B1A4-C435-4858-A05A-4E93F6622379}" name="30549"/>
    <tableColumn id="355" xr3:uid="{282B1F4A-4A21-4F82-98FF-5CD948F17ED5}" name="30552"/>
    <tableColumn id="356" xr3:uid="{8F26109E-41D1-4347-80FE-034B00BC7CB5}" name="30553"/>
    <tableColumn id="357" xr3:uid="{1156A068-6594-47DE-BF25-F98D5B2900ED}" name="30554"/>
    <tableColumn id="358" xr3:uid="{6FBAF472-FDD2-4A3B-AAED-9F3A572E9210}" name="30555"/>
    <tableColumn id="359" xr3:uid="{5092F215-E85D-48ED-8AF3-ABFD3A16D599}" name="30557"/>
    <tableColumn id="360" xr3:uid="{8B600943-E02A-4A24-9AB9-1E9BE945EA26}" name="30558"/>
    <tableColumn id="361" xr3:uid="{1BB27E0D-8C51-4AD0-A1C9-BB613B6C01FD}" name="30559"/>
    <tableColumn id="362" xr3:uid="{4C783C21-FECF-430A-86D6-381DE2E3DEF1}" name="30560"/>
    <tableColumn id="363" xr3:uid="{8D3DBA8C-8505-4644-8D6D-4DC798056823}" name="30562"/>
    <tableColumn id="364" xr3:uid="{4276F011-286F-4A1C-B6E2-995F9D3A53E2}" name="30563"/>
    <tableColumn id="365" xr3:uid="{B3D18098-5CDC-49AD-9C05-01FC56983B91}" name="30564"/>
    <tableColumn id="366" xr3:uid="{769E672A-F7D3-4E39-B835-248CEB2DA48C}" name="30565"/>
    <tableColumn id="367" xr3:uid="{D493EE89-14F4-42E6-ADD8-265D976D0A71}" name="30566"/>
    <tableColumn id="368" xr3:uid="{DDE67C6B-6210-421A-9ADD-7428AD25F41F}" name="30567"/>
    <tableColumn id="369" xr3:uid="{ED44BB4A-16EA-457C-A9CB-7C19A0F5E838}" name="30568"/>
    <tableColumn id="370" xr3:uid="{6FF88978-32E8-4D2A-A4CC-1C92EF236EE2}" name="30571"/>
    <tableColumn id="371" xr3:uid="{5FFD6C36-7D51-4DAB-B0A4-5A0996C9B324}" name="30572"/>
    <tableColumn id="372" xr3:uid="{E89B8030-5DC4-478D-B662-17B9AAC48D0B}" name="30573"/>
    <tableColumn id="373" xr3:uid="{A27557E7-6D47-46D8-8B5F-4D55D9D508CE}" name="30575"/>
    <tableColumn id="374" xr3:uid="{38700EC7-8097-4EB1-A733-684A784B9231}" name="30576"/>
    <tableColumn id="375" xr3:uid="{CB87B919-6623-4843-B943-36E011E349CD}" name="30577"/>
    <tableColumn id="376" xr3:uid="{20EFEA63-939F-4632-A89E-0E1B8D728A07}" name="30581"/>
    <tableColumn id="377" xr3:uid="{D9EA99F6-4A26-45C4-8D24-05DEAEEEDA6A}" name="30582"/>
    <tableColumn id="378" xr3:uid="{C1D4D1A3-2132-4F75-9AB8-EDE0D1AFC357}" name="30597"/>
    <tableColumn id="379" xr3:uid="{29B0E71F-842C-4308-841B-6894A7478A78}" name="30598"/>
    <tableColumn id="380" xr3:uid="{3E5F24B8-EF09-41B7-8E23-BCAD1E36DB6B}" name="30601"/>
    <tableColumn id="381" xr3:uid="{ED7A80AE-EC18-4F54-86A2-DB7857627685}" name="30602"/>
    <tableColumn id="382" xr3:uid="{92D356FC-3BE6-4991-8B6B-EA5565B848D9}" name="30605"/>
    <tableColumn id="383" xr3:uid="{E919FA78-D3CF-4CB5-A449-CE7C801D7055}" name="30606"/>
    <tableColumn id="384" xr3:uid="{D396AABC-0B1D-412A-B8B8-76EFFA742442}" name="30607"/>
    <tableColumn id="385" xr3:uid="{DDF32009-0CF0-438F-B406-2C607E57E401}" name="30609"/>
    <tableColumn id="386" xr3:uid="{FC2A8EAF-88D7-420C-A585-8CB6564D2D53}" name="30619"/>
    <tableColumn id="387" xr3:uid="{6711A01E-3A8D-4F6B-9B1B-8EA68EE9E185}" name="30620"/>
    <tableColumn id="388" xr3:uid="{11283F88-CCAB-4399-BC33-4B3CADAC1927}" name="30621"/>
    <tableColumn id="389" xr3:uid="{4F9ED8FF-93DB-4E9F-9F1C-3F22C1C165F7}" name="30622"/>
    <tableColumn id="390" xr3:uid="{B54DCFF0-4210-4EFC-A663-1AA7CDD2ED28}" name="30623"/>
    <tableColumn id="391" xr3:uid="{7A5267C8-8597-4B14-A005-942D27C4E607}" name="30624"/>
    <tableColumn id="392" xr3:uid="{C9CF6F84-0801-4207-BA2A-4BB1A8F51C2C}" name="30625"/>
    <tableColumn id="393" xr3:uid="{DA1AD8F1-C39E-4918-A552-E165810134D6}" name="30627"/>
    <tableColumn id="394" xr3:uid="{7E5CB553-D44E-4E91-B395-7250AD95CB75}" name="30628"/>
    <tableColumn id="395" xr3:uid="{C224EC5B-7868-4EE1-83EC-2E76C823DA68}" name="30629"/>
    <tableColumn id="396" xr3:uid="{E33A0213-94E9-4BFA-A780-ECD01786B746}" name="30630"/>
    <tableColumn id="397" xr3:uid="{539182D6-C50D-4655-9376-4AAB4E182F72}" name="30631"/>
    <tableColumn id="398" xr3:uid="{C2B7C73F-986E-47AF-8E20-AD3B2026C6DB}" name="30633"/>
    <tableColumn id="399" xr3:uid="{B7DCC8B8-5E80-448C-AF71-A05EA95F2124}" name="30634"/>
    <tableColumn id="400" xr3:uid="{EE740F5E-7079-4E6F-B144-FB69E541E218}" name="30635"/>
    <tableColumn id="401" xr3:uid="{7B8AE96E-26A3-4271-8A1C-389D0A29C9D1}" name="30639"/>
    <tableColumn id="402" xr3:uid="{6909A8C2-6CD1-43A2-84E7-A5E3AD786E89}" name="30641"/>
    <tableColumn id="403" xr3:uid="{B5812297-7A1F-4AC2-BC48-0B5E18BB4A90}" name="30642"/>
    <tableColumn id="404" xr3:uid="{0F88E949-34F8-44F2-9D56-48F563D5D945}" name="30643"/>
    <tableColumn id="405" xr3:uid="{A6AAE4E0-B47D-483D-8B01-A4916F9CB9E0}" name="30646"/>
    <tableColumn id="406" xr3:uid="{1254B0CE-45FA-4EAA-B1DE-FC5D40AD7568}" name="30648"/>
    <tableColumn id="407" xr3:uid="{5DED9616-D7AF-4CA4-B21D-D9BF78F0ABE9}" name="30650"/>
    <tableColumn id="408" xr3:uid="{944C0705-C363-4F7E-B803-3769A5C47B04}" name="30655"/>
    <tableColumn id="409" xr3:uid="{EE51CCD9-5C0A-48C8-BD09-DA73609F8B64}" name="30656"/>
    <tableColumn id="410" xr3:uid="{B0B1FCF0-2BCF-4321-AD00-792ED64C46D8}" name="30660"/>
    <tableColumn id="411" xr3:uid="{B331C179-DB32-4D16-897B-302D8314FE3E}" name="30662"/>
    <tableColumn id="412" xr3:uid="{922BDC8D-75D1-437B-8293-AAAA4144A4A7}" name="30663"/>
    <tableColumn id="413" xr3:uid="{329BE09C-9933-4186-90CD-1D4882218F07}" name="30664"/>
    <tableColumn id="414" xr3:uid="{C3824E40-2F4F-4885-B3E0-DBB0316B5A31}" name="30665"/>
    <tableColumn id="415" xr3:uid="{6D60ED8C-91B5-4A4C-9F75-456379EACFAA}" name="30666"/>
    <tableColumn id="416" xr3:uid="{CE2CC1DF-404C-4B45-8458-FA1934EBAB76}" name="30667"/>
    <tableColumn id="417" xr3:uid="{CC17D415-59B6-44D8-94A0-F595CF0880AE}" name="30668"/>
    <tableColumn id="418" xr3:uid="{728A9C35-5D34-44D9-BBB8-BE4058FDAB6B}" name="30669"/>
    <tableColumn id="419" xr3:uid="{6E39712E-B0B8-4C2E-8ECB-69DEAA98FE38}" name="30673"/>
    <tableColumn id="420" xr3:uid="{C32181E9-2AAB-4233-AAFD-2C025D7AE71A}" name="30677"/>
    <tableColumn id="421" xr3:uid="{211256DB-D370-48CD-B488-D8535326BDEC}" name="30678"/>
    <tableColumn id="422" xr3:uid="{05F4104F-15C6-49CF-8CD8-0CAB11362518}" name="30680"/>
    <tableColumn id="423" xr3:uid="{7B07B7DA-C5DD-45CE-9F45-41804FFC12D5}" name="30683"/>
    <tableColumn id="424" xr3:uid="{8B61AB07-B4E8-483C-B369-A516433BF5E6}" name="30701"/>
    <tableColumn id="425" xr3:uid="{A7FFA756-5B17-4341-AECC-938395C883FE}" name="30705"/>
    <tableColumn id="426" xr3:uid="{4A729FAE-0430-4F8E-B81B-BC7EC74DB9D4}" name="30707"/>
    <tableColumn id="427" xr3:uid="{289A9A97-1317-4119-8080-E89C5BA1C409}" name="30708"/>
    <tableColumn id="428" xr3:uid="{F46216BC-4B62-4331-A3F3-896FD88ECFD9}" name="30710"/>
    <tableColumn id="429" xr3:uid="{4BA24FF8-59A6-4136-A924-3F97EFF50E10}" name="30711"/>
    <tableColumn id="430" xr3:uid="{39E684EE-686A-4A89-BAE7-0C3FA0339EB8}" name="30720"/>
    <tableColumn id="431" xr3:uid="{C87E334E-1CB4-4DA7-999E-4A6E1DE79EF7}" name="30721"/>
    <tableColumn id="432" xr3:uid="{995C0FCF-68CC-40D4-A3E8-67B41EF505AE}" name="30724"/>
    <tableColumn id="433" xr3:uid="{8F1D6AF7-07CC-46A5-B085-7C30C8ADC541}" name="30725"/>
    <tableColumn id="434" xr3:uid="{8B166F4E-8081-4FB5-BB2B-56164E5917B9}" name="30726"/>
    <tableColumn id="435" xr3:uid="{B9B743B6-92B1-45E7-A248-2E26F221873E}" name="30728"/>
    <tableColumn id="436" xr3:uid="{91C2D399-8091-458F-A869-37A4A993CD54}" name="30730"/>
    <tableColumn id="437" xr3:uid="{C382B55D-3C10-4B1A-9B1D-F8D99AEB358E}" name="30731"/>
    <tableColumn id="438" xr3:uid="{7D867BCE-FA60-442B-80B3-9FDB5ADE4A2B}" name="30733"/>
    <tableColumn id="439" xr3:uid="{AA6B526E-84C3-41D7-8171-486DC1FE0ED3}" name="30734"/>
    <tableColumn id="440" xr3:uid="{05F3FA4F-D300-456A-B5A9-E7EA2EEDCD25}" name="30735"/>
    <tableColumn id="441" xr3:uid="{7239245A-9571-4400-9760-4A4F4C3A04AF}" name="30736"/>
    <tableColumn id="442" xr3:uid="{3CD0969E-D3B1-4177-B242-197B6D3C7F9C}" name="30738"/>
    <tableColumn id="443" xr3:uid="{710D8307-53AA-4AC3-832E-E177E08B27C7}" name="30739"/>
    <tableColumn id="444" xr3:uid="{FD5BA2AD-9A7D-47DC-B79B-E5E996A0BE50}" name="30740"/>
    <tableColumn id="445" xr3:uid="{E289DF03-C021-4F73-9E59-E1A161EF7475}" name="30741"/>
    <tableColumn id="446" xr3:uid="{8C9885F3-AD06-44C7-B4C8-8D16149361DE}" name="30742"/>
    <tableColumn id="447" xr3:uid="{7F23494A-884B-4558-A69F-5F4AFF25BED7}" name="30746"/>
    <tableColumn id="448" xr3:uid="{0A6CBBA1-A220-4E4D-890F-8940E705B9C1}" name="30747"/>
    <tableColumn id="449" xr3:uid="{2E37D62C-0A92-4529-8ECA-93B8482BED82}" name="30750"/>
    <tableColumn id="450" xr3:uid="{A01B6504-1F2E-4D03-BF83-DE4962B803C5}" name="30751"/>
    <tableColumn id="451" xr3:uid="{B8DA43FA-185A-4863-B1B0-128A64644172}" name="30752"/>
    <tableColumn id="452" xr3:uid="{49812E0C-167A-4D6E-A2BD-E3BC6FD4F3F7}" name="30753"/>
    <tableColumn id="453" xr3:uid="{6A8DE644-01E7-4F05-B518-A949B13670C9}" name="30755"/>
    <tableColumn id="454" xr3:uid="{5BC39D3E-2A8F-4322-B5A8-6BCC67B228BF}" name="30756"/>
    <tableColumn id="455" xr3:uid="{450A9049-788C-48A4-9F3F-85D419D2B3A3}" name="30757"/>
    <tableColumn id="456" xr3:uid="{F3B73E7E-4814-4A99-B287-81A91364339D}" name="30802"/>
    <tableColumn id="457" xr3:uid="{F95189D3-C1C6-433A-B101-3CBDAF0D231A}" name="30803"/>
    <tableColumn id="458" xr3:uid="{67A6ACBC-B2B2-4821-8920-11C6EBF32AC9}" name="30805"/>
    <tableColumn id="459" xr3:uid="{516DCE74-6034-4972-96CD-1DD1DE5EA3E7}" name="30807"/>
    <tableColumn id="460" xr3:uid="{AEFFFC47-716F-4952-9C81-2A65CC287A1A}" name="30808"/>
    <tableColumn id="461" xr3:uid="{9CB77EDB-1B75-44A4-BFF4-1BCC57116688}" name="30809"/>
    <tableColumn id="462" xr3:uid="{7490581D-9C8D-49F5-ADFB-692B37C69B89}" name="30810"/>
    <tableColumn id="463" xr3:uid="{6A675D5E-EEE6-4F0E-82F6-93BCD5F2BAAF}" name="30812"/>
    <tableColumn id="464" xr3:uid="{13FCB58A-CFE9-473E-8F59-B006DBFE7BB3}" name="30813"/>
    <tableColumn id="465" xr3:uid="{3680499F-A057-4261-B3FD-7F7965D11EE2}" name="30814"/>
    <tableColumn id="466" xr3:uid="{86FBA02D-E740-43DE-8016-6FFB92FB782D}" name="30815"/>
    <tableColumn id="467" xr3:uid="{70943398-D22F-4012-8488-D85D69A73760}" name="30816"/>
    <tableColumn id="468" xr3:uid="{901905CE-7822-4D0D-8AC3-CF405C5649D4}" name="30817"/>
    <tableColumn id="469" xr3:uid="{65D74813-5EF7-46E2-9572-5B314F736F43}" name="30818"/>
    <tableColumn id="470" xr3:uid="{EA525B84-ADAC-46AC-8617-AF240541F8F1}" name="30820"/>
    <tableColumn id="471" xr3:uid="{89070F18-94D2-483A-8E41-068855E749A6}" name="30821"/>
    <tableColumn id="472" xr3:uid="{9BF989FA-EB2B-45B3-A4F3-D1C1E25AE404}" name="30822"/>
    <tableColumn id="473" xr3:uid="{0B2F8D81-D86D-43BD-8909-226C8887E3CC}" name="30823"/>
    <tableColumn id="474" xr3:uid="{C95B9985-A30F-47CB-A007-4972F5BB3EC8}" name="30824"/>
    <tableColumn id="475" xr3:uid="{4B22C649-8132-4408-B64D-9CDC0495CD32}" name="30828"/>
    <tableColumn id="476" xr3:uid="{F19549D7-34E6-4231-99D0-7B0794183C17}" name="30830"/>
    <tableColumn id="477" xr3:uid="{1B9A3A22-D3D9-4333-B073-37FDCA2C9F8F}" name="30833"/>
    <tableColumn id="478" xr3:uid="{B10518DC-2555-4E3C-9C2C-1B25104C6A66}" name="30901"/>
    <tableColumn id="479" xr3:uid="{D246480F-3272-4D0A-B692-83CDA4B44FF3}" name="30904"/>
    <tableColumn id="480" xr3:uid="{4D6C7F1F-B06F-404A-8F75-4F8DCC828881}" name="30905"/>
    <tableColumn id="481" xr3:uid="{2F8E7559-B2A7-4BA7-B968-C44FF7DB24D0}" name="30906"/>
    <tableColumn id="482" xr3:uid="{11183372-8A50-4824-ADD9-F6C1A4F9D5EB}" name="30907"/>
    <tableColumn id="483" xr3:uid="{52D25ED8-B95F-4115-AC1E-3ADA861155C4}" name="30909"/>
    <tableColumn id="484" xr3:uid="{E3076723-90D6-4C8E-896E-DD2A63E165C0}" name="30912"/>
    <tableColumn id="485" xr3:uid="{1CDF23D6-E6DE-41F5-A9AA-0347159A8B00}" name="31001"/>
    <tableColumn id="486" xr3:uid="{F3D8A0F4-A554-4CA0-8937-4887B875B962}" name="31002"/>
    <tableColumn id="487" xr3:uid="{E0BDB150-8371-4489-A9FC-1E9B05F320B9}" name="31003"/>
    <tableColumn id="488" xr3:uid="{C0F9ED4A-9B36-4BDC-999E-A1DC16C83B0F}" name="31004"/>
    <tableColumn id="489" xr3:uid="{1086323C-4382-451C-BFF7-A03D1FF3FE62}" name="31005"/>
    <tableColumn id="490" xr3:uid="{E6EA2123-DE1C-4239-9692-469D7DD26226}" name="31006"/>
    <tableColumn id="491" xr3:uid="{E9D9BC7E-CA4E-4218-9689-F4D894B3D9F3}" name="31007"/>
    <tableColumn id="492" xr3:uid="{3DCCC1E8-235A-4E16-AC0A-0AB828780D77}" name="31008"/>
    <tableColumn id="493" xr3:uid="{C0BF36C8-6749-4AD1-AFB4-D233DFACBEBB}" name="31009"/>
    <tableColumn id="494" xr3:uid="{8BBC854C-3723-4594-8293-25D0CC1ACC13}" name="31011"/>
    <tableColumn id="495" xr3:uid="{357D4C82-15E0-46E7-A4B1-BA8902945D72}" name="31012"/>
    <tableColumn id="496" xr3:uid="{001D43AA-12CA-421B-9C8A-CE560EA79A7C}" name="31014"/>
    <tableColumn id="497" xr3:uid="{0AFDD3E4-D58F-40ED-924A-3BBBEDF3A91D}" name="31015"/>
    <tableColumn id="498" xr3:uid="{E36A83BF-CB30-463D-B4F9-D5394AD4796F}" name="31016"/>
    <tableColumn id="499" xr3:uid="{BE59BC96-5EC9-4663-A811-3D319B8A3472}" name="31017"/>
    <tableColumn id="500" xr3:uid="{D2CF3310-3A7C-497A-BD2D-FA8562DEA4B6}" name="31018"/>
    <tableColumn id="501" xr3:uid="{01275A34-72F7-4CC1-8DB1-536CEA30090B}" name="31019"/>
    <tableColumn id="502" xr3:uid="{077851E5-37C9-4A87-8058-4F715BB3473E}" name="31020"/>
    <tableColumn id="503" xr3:uid="{C11EFE6E-E353-408D-A00C-FE75B09D3961}" name="31021"/>
    <tableColumn id="504" xr3:uid="{41DC0953-9F2C-4A56-844A-CB0AC6FE788C}" name="31022"/>
    <tableColumn id="505" xr3:uid="{2D3E7C36-B8C5-4FD7-A6B2-B2C2D0A241B6}" name="31023"/>
    <tableColumn id="506" xr3:uid="{A5D9753D-8CAF-4297-B4C2-D27217C5B747}" name="31024"/>
    <tableColumn id="507" xr3:uid="{2902357C-BA53-4A19-AA10-C1A028FA09F1}" name="31025"/>
    <tableColumn id="508" xr3:uid="{BE4A306F-DC8D-4E9F-B238-A774588669FA}" name="31027"/>
    <tableColumn id="509" xr3:uid="{F1222E26-EAE5-4BFD-B957-5060A79B002C}" name="31028"/>
    <tableColumn id="510" xr3:uid="{D2ADF365-063B-421E-B30E-D480F73D0A17}" name="31029"/>
    <tableColumn id="511" xr3:uid="{EB6FAB9B-E8E3-41EE-B93B-C18527E14B05}" name="31030"/>
    <tableColumn id="512" xr3:uid="{05A1297B-14C7-4566-BA37-F8918070BAA0}" name="31031"/>
    <tableColumn id="513" xr3:uid="{D9100C6B-C145-4071-84DC-295EF30749A4}" name="31032"/>
    <tableColumn id="514" xr3:uid="{B384EC6A-3F31-4A88-AA5E-C6FBF85B310C}" name="31033"/>
    <tableColumn id="515" xr3:uid="{4B138274-19C7-43A1-872D-D95939A5142B}" name="31034"/>
    <tableColumn id="516" xr3:uid="{1C82CDAC-17CF-4107-8D43-25679EDE4031}" name="31035"/>
    <tableColumn id="517" xr3:uid="{C281E464-EFCC-4409-8072-67ECFE7AC915}" name="31036"/>
    <tableColumn id="518" xr3:uid="{AB855B12-A90E-463D-86B1-206CC4292609}" name="31037"/>
    <tableColumn id="519" xr3:uid="{6E737C87-C0E6-4B66-B111-C2B82002A9D7}" name="31038"/>
    <tableColumn id="520" xr3:uid="{D85846F2-A984-4739-83F5-4305EC0ECA8D}" name="31039"/>
    <tableColumn id="521" xr3:uid="{AB0487AA-BDAE-4B48-9439-DC0C5DC3CD01}" name="31041"/>
    <tableColumn id="522" xr3:uid="{F328FE87-5AEA-4F0A-9D92-2D730DFBC11B}" name="31042"/>
    <tableColumn id="523" xr3:uid="{96032463-EDC5-4120-A7D1-FEA134E4A2D5}" name="31044"/>
    <tableColumn id="524" xr3:uid="{1CFF0858-CE44-4B94-8BA7-BA9597BACC21}" name="31045"/>
    <tableColumn id="525" xr3:uid="{EB17B6E6-E8C5-4F2B-B2F6-2BCD7FDE08C9}" name="31046"/>
    <tableColumn id="526" xr3:uid="{730204F4-471B-440A-A589-904423191F04}" name="31047"/>
    <tableColumn id="527" xr3:uid="{9898CD47-43E2-4C35-8C77-BE0656EAAC41}" name="31049"/>
    <tableColumn id="528" xr3:uid="{F6B97474-A33E-4E31-B021-33E4995DF238}" name="31050"/>
    <tableColumn id="529" xr3:uid="{21FA89A4-393E-433C-86B7-176BB8FB3BA0}" name="31051"/>
    <tableColumn id="530" xr3:uid="{1344D22D-1356-407B-A7D7-924FE7207F3B}" name="31052"/>
    <tableColumn id="531" xr3:uid="{B08C5B6C-1004-45C4-B200-357C92A8A74D}" name="31054"/>
    <tableColumn id="532" xr3:uid="{EF8EDD54-3B61-4B41-81B1-5D7449459798}" name="31055"/>
    <tableColumn id="533" xr3:uid="{079DBF89-D013-46C8-A5F5-5342209CB6F0}" name="31057"/>
    <tableColumn id="534" xr3:uid="{A6E7DFDF-C7DE-4592-B271-05587AFA4062}" name="31058"/>
    <tableColumn id="535" xr3:uid="{0C5E13E5-74AE-4052-B7A7-F856359E3E26}" name="31060"/>
    <tableColumn id="536" xr3:uid="{CE1E4928-9939-4339-BA53-DCC560708183}" name="31061"/>
    <tableColumn id="537" xr3:uid="{FCBCBA10-5EBA-4C2A-A8B8-1FA419EEF93D}" name="31062"/>
    <tableColumn id="538" xr3:uid="{C8D732F8-4437-423C-AA70-6A22163FDC36}" name="31063"/>
    <tableColumn id="539" xr3:uid="{1EBBF172-432B-4175-88C6-4FCD2B28AA5B}" name="31064"/>
    <tableColumn id="540" xr3:uid="{AB7B80A8-1203-4E0F-86EC-7684F79C3CB3}" name="31065"/>
    <tableColumn id="541" xr3:uid="{2DF5DD45-AA31-46F9-97CA-71E899A09F41}" name="31066"/>
    <tableColumn id="542" xr3:uid="{AF9CE744-1C71-4078-8BC6-171C7890BB94}" name="31067"/>
    <tableColumn id="543" xr3:uid="{5D782E8C-3C0C-4423-B4D3-F37B81EBBA7E}" name="31068"/>
    <tableColumn id="544" xr3:uid="{7805093A-18D5-420F-92FE-D32A6FCC1381}" name="31069"/>
    <tableColumn id="545" xr3:uid="{550C7CCA-2CC3-4AB6-81B9-6351EC9F2D5F}" name="31070"/>
    <tableColumn id="546" xr3:uid="{309F372E-224A-4FBA-891B-D57E3F66D579}" name="31071"/>
    <tableColumn id="547" xr3:uid="{95007086-58B5-4498-BA74-64D3B692C1F1}" name="31072"/>
    <tableColumn id="548" xr3:uid="{AF15A3F1-F2E7-4300-9AA6-5372AA74CE61}" name="31075"/>
    <tableColumn id="549" xr3:uid="{CDB4D992-BAC9-49AE-B53B-E7BA2FCCCF79}" name="31076"/>
    <tableColumn id="550" xr3:uid="{78825677-0711-49AA-81BC-02BB908C0760}" name="31077"/>
    <tableColumn id="551" xr3:uid="{9309958C-6B5D-4FBB-8E24-8190AC4C2880}" name="31078"/>
    <tableColumn id="552" xr3:uid="{701E51BF-9879-4512-8918-5093A986541F}" name="31079"/>
    <tableColumn id="553" xr3:uid="{553D67F6-4B93-4444-A450-25E6C320A8DC}" name="31081"/>
    <tableColumn id="554" xr3:uid="{FEE87A38-10DB-427B-9C65-23BC8CFF5E3C}" name="31082"/>
    <tableColumn id="555" xr3:uid="{074C8B85-3E37-41E0-A278-827CFF2CF538}" name="31083"/>
    <tableColumn id="556" xr3:uid="{A95C0C5A-3190-4F80-8A59-5A246FA65B35}" name="31084"/>
    <tableColumn id="557" xr3:uid="{7D78033F-4250-4D31-96CF-151B46403C09}" name="31085"/>
    <tableColumn id="558" xr3:uid="{2698BF74-A409-4CF4-871F-77026AFE3C71}" name="31087"/>
    <tableColumn id="559" xr3:uid="{D3E232A6-7924-43EE-99C7-7CE9EFD22A77}" name="31088"/>
    <tableColumn id="560" xr3:uid="{96B04373-339A-40BB-A28D-94FBE8F5346D}" name="31089"/>
    <tableColumn id="561" xr3:uid="{28037BE4-E899-4BC2-A468-3FFE42C28CA2}" name="31090"/>
    <tableColumn id="562" xr3:uid="{F1F90AFC-D185-450F-959B-6D4C49F6B3F6}" name="31091"/>
    <tableColumn id="563" xr3:uid="{D513251A-2566-451C-9EE2-B8B6FA83CC14}" name="31092"/>
    <tableColumn id="564" xr3:uid="{3F11E13C-EE6B-48F7-B175-19B0F629E34C}" name="31093"/>
    <tableColumn id="565" xr3:uid="{FC4EE667-EBEE-40E8-8833-B68B41BBADE8}" name="31094"/>
    <tableColumn id="566" xr3:uid="{F616173B-D4DD-43FC-8CE3-9B56A63ABDDC}" name="31096"/>
    <tableColumn id="567" xr3:uid="{B7D566C6-97CB-4D4A-B97D-111784894F8F}" name="31097"/>
    <tableColumn id="568" xr3:uid="{966649AF-8EC8-4812-98D0-E02B2F4D486C}" name="31098"/>
    <tableColumn id="569" xr3:uid="{2B5F3B64-7E43-4258-9043-88F028BB7992}" name="31201"/>
    <tableColumn id="570" xr3:uid="{7457234A-CEF6-4819-9BC1-D0043E106443}" name="31204"/>
    <tableColumn id="571" xr3:uid="{62DF2CD8-CC81-4DB2-939E-955A9AACA71C}" name="31206"/>
    <tableColumn id="572" xr3:uid="{B8D43135-4863-4288-B6B2-378DD949BD80}" name="31207"/>
    <tableColumn id="573" xr3:uid="{F20D56AA-D60A-4EE3-9FB3-4EC8FD11AEF3}" name="31210"/>
    <tableColumn id="574" xr3:uid="{0CE656F8-6AD8-407C-9BE6-EF8AD902D0DB}" name="31211"/>
    <tableColumn id="575" xr3:uid="{94276E7B-CCE6-4CA8-BAA5-80736FC6DDE8}" name="31213"/>
    <tableColumn id="576" xr3:uid="{E651F69F-625F-487E-A2C9-EDF4E2269169}" name="31216"/>
    <tableColumn id="577" xr3:uid="{C1B574AF-2BE2-4AE2-A0F9-59D5D7701349}" name="31217"/>
    <tableColumn id="578" xr3:uid="{FA5C7360-3AE9-4A57-B87C-8025A4447A0D}" name="31220"/>
    <tableColumn id="579" xr3:uid="{AE36E7BD-916B-4B10-BC4B-AFABE0481C00}" name="31301"/>
    <tableColumn id="580" xr3:uid="{AE699553-EAE4-4B0C-8113-56E086C2B871}" name="31302"/>
    <tableColumn id="581" xr3:uid="{0B46B856-5DC9-4DE0-AB8D-39450A9F00B9}" name="31303"/>
    <tableColumn id="582" xr3:uid="{1DAD391B-0CDD-498D-AFA8-C9B4864E1972}" name="31305"/>
    <tableColumn id="583" xr3:uid="{FA834D9D-EEC8-4C0D-A941-69191053BDFF}" name="31307"/>
    <tableColumn id="584" xr3:uid="{FDFAC28E-C2C3-4A38-AF58-E86AE0D559AE}" name="31308"/>
    <tableColumn id="585" xr3:uid="{96785730-3DB7-444B-AA05-83F1C501A536}" name="31309"/>
    <tableColumn id="586" xr3:uid="{5130FE24-80B0-4A59-A254-09C673F17253}" name="31312"/>
    <tableColumn id="587" xr3:uid="{2EE31C81-4321-472E-B779-871F40A3E362}" name="31313"/>
    <tableColumn id="588" xr3:uid="{F1B7AAA0-32B5-4FC2-AE30-B39E140067FF}" name="31314"/>
    <tableColumn id="589" xr3:uid="{5ADEB46C-70F2-4372-B7E6-4537A47687B2}" name="31315"/>
    <tableColumn id="590" xr3:uid="{57F177B5-7C29-49E8-8032-A208EC530D29}" name="31316"/>
    <tableColumn id="591" xr3:uid="{123F1D25-2CA8-4E0D-8025-296785844EF9}" name="31318"/>
    <tableColumn id="592" xr3:uid="{AE59B7DC-B86A-4F03-8672-466D59ABA70A}" name="31320"/>
    <tableColumn id="593" xr3:uid="{481594BE-DA03-4CB4-827A-10BB2328ED9A}" name="31321"/>
    <tableColumn id="594" xr3:uid="{086F4326-31FF-4DC9-870A-1864E5EF42FF}" name="31322"/>
    <tableColumn id="595" xr3:uid="{2D358CD9-D8CE-4CD7-88DA-E2975C6B0A24}" name="31323"/>
    <tableColumn id="596" xr3:uid="{8F8E456A-45E9-44EC-BC1A-AC69A1F3C075}" name="31324"/>
    <tableColumn id="597" xr3:uid="{4F7BB5DC-3E61-4361-B42E-F42FEABB8F99}" name="31326"/>
    <tableColumn id="598" xr3:uid="{749C9BAD-4936-4CB5-B0C3-9D18CEA804BA}" name="31327"/>
    <tableColumn id="599" xr3:uid="{8D08AA98-DE16-4510-A716-D77D014B80C1}" name="31328"/>
    <tableColumn id="600" xr3:uid="{DCB87764-7AA8-4081-82E5-40F4B220E3F1}" name="31329"/>
    <tableColumn id="601" xr3:uid="{BB2AA390-77C3-47CF-A916-7FD756461C78}" name="31331"/>
    <tableColumn id="602" xr3:uid="{F52FA9A8-3C59-4005-BF47-47E92206FBC6}" name="31333"/>
    <tableColumn id="603" xr3:uid="{54CE5E55-245D-46B1-BDFB-47D138B6BA1D}" name="31401"/>
    <tableColumn id="604" xr3:uid="{531399A6-4F44-4F9F-951F-15F2E1F40172}" name="31404"/>
    <tableColumn id="605" xr3:uid="{0CB124AF-84E3-4D8F-A8FB-438479035509}" name="31405"/>
    <tableColumn id="606" xr3:uid="{53FE6215-0AD5-4660-9F7A-508EF724E80E}" name="31406"/>
    <tableColumn id="607" xr3:uid="{5CD40263-32BB-4621-9857-6FB3CAC62F0F}" name="31407"/>
    <tableColumn id="608" xr3:uid="{8B57CE16-9BD4-4155-A5CC-E44152909E7A}" name="31408"/>
    <tableColumn id="609" xr3:uid="{C2229F08-25C7-474E-A51F-F4FD25491A31}" name="31409"/>
    <tableColumn id="610" xr3:uid="{D1553947-A189-489E-AE58-231C3CB69DDB}" name="31410"/>
    <tableColumn id="611" xr3:uid="{49527A75-92F8-4599-866B-EB61E05EAB6A}" name="31411"/>
    <tableColumn id="612" xr3:uid="{8AF0B620-D7D8-4CE5-983B-17BCD4754801}" name="31415"/>
    <tableColumn id="613" xr3:uid="{55440737-C2D8-4367-BC08-0E143BD523AC}" name="31419"/>
    <tableColumn id="614" xr3:uid="{3D3A48D4-2B8F-488A-9A22-8789E5D0D5E2}" name="31421"/>
    <tableColumn id="615" xr3:uid="{0A4517BB-B4F5-4BB6-A3A5-7E0D528D06C2}" name="31501"/>
    <tableColumn id="616" xr3:uid="{8A54C8AC-F9E5-4577-BE7B-959272315248}" name="31503"/>
    <tableColumn id="617" xr3:uid="{72B41059-E592-4808-954F-38B82086A250}" name="31510"/>
    <tableColumn id="618" xr3:uid="{A6D47C02-A22C-4024-BF42-1EA344F9782A}" name="31512"/>
    <tableColumn id="619" xr3:uid="{9507D25B-7FA8-4983-9983-8EB8D0C4A4CB}" name="31513"/>
    <tableColumn id="620" xr3:uid="{32639755-8F76-4848-B877-E4CD659C1CD6}" name="31516"/>
    <tableColumn id="621" xr3:uid="{302008CB-5B60-4CF3-AD5B-96D3C4F6254E}" name="31518"/>
    <tableColumn id="622" xr3:uid="{B6E3034A-A514-4516-B1A1-89A0196BD04C}" name="31519"/>
    <tableColumn id="623" xr3:uid="{29D52C3D-2EB9-49A9-9962-B73A8D841918}" name="31520"/>
    <tableColumn id="624" xr3:uid="{A6BAA1D5-1108-4DDB-BD10-ACB7C36A2E93}" name="31522"/>
    <tableColumn id="625" xr3:uid="{74D417ED-0FB0-4D34-831F-F21F32BB46E5}" name="31523"/>
    <tableColumn id="626" xr3:uid="{FED006AE-2976-4BA3-A2F8-27BB239DA35C}" name="31524"/>
    <tableColumn id="627" xr3:uid="{4533F623-7EDD-44C9-9E82-AE9B8239AAAA}" name="31525"/>
    <tableColumn id="628" xr3:uid="{5FC86C4C-FC65-4607-B742-62CB78782B6F}" name="31527"/>
    <tableColumn id="629" xr3:uid="{97F6313C-FB73-4AAC-86EC-C14E6029E2A5}" name="31532"/>
    <tableColumn id="630" xr3:uid="{27F77172-4C17-442B-BD99-0B65737C1549}" name="31533"/>
    <tableColumn id="631" xr3:uid="{E8C5BAED-26C3-47B0-A009-C0DB9A5F93C1}" name="31535"/>
    <tableColumn id="632" xr3:uid="{41695FED-E307-40FB-B6E9-BAF026CFD8CC}" name="31537"/>
    <tableColumn id="633" xr3:uid="{038F36EA-AADB-489E-81FB-FC555807DBA0}" name="31539"/>
    <tableColumn id="634" xr3:uid="{6352215B-10E7-4CB8-936E-B4056324E973}" name="31542"/>
    <tableColumn id="635" xr3:uid="{092CB981-540F-4689-89A2-4AA7AD091962}" name="31543"/>
    <tableColumn id="636" xr3:uid="{F875F64E-20DD-4CDB-9F66-BA2D4065DD17}" name="31544"/>
    <tableColumn id="637" xr3:uid="{A8B67955-3FD4-4AC0-AF1C-C4095276D006}" name="31545"/>
    <tableColumn id="638" xr3:uid="{D8E4F0B5-A61F-468B-8ED8-072B419C6C4E}" name="31546"/>
    <tableColumn id="639" xr3:uid="{D720F437-86C4-4977-AF8A-000AB4293D89}" name="31547"/>
    <tableColumn id="640" xr3:uid="{035DD7A7-39CF-4133-9A33-7A7C55D197EE}" name="31548"/>
    <tableColumn id="641" xr3:uid="{C149B55C-F957-48CF-BDD4-676EB35C9B4D}" name="31549"/>
    <tableColumn id="642" xr3:uid="{EC3EEE8D-5969-4BEF-8620-97CC40E5C0F0}" name="31550"/>
    <tableColumn id="643" xr3:uid="{4DCADB12-C79C-4880-B579-323F1C061FB5}" name="31551"/>
    <tableColumn id="644" xr3:uid="{21E93744-EB1D-40EC-9ABD-F231DBA46CDF}" name="31552"/>
    <tableColumn id="645" xr3:uid="{7139714C-363F-422C-BF9D-1DE906F028C0}" name="31553"/>
    <tableColumn id="646" xr3:uid="{A0959F5B-518C-4850-A922-4D6D6CA0600D}" name="31554"/>
    <tableColumn id="647" xr3:uid="{38C1F96E-042A-4D3F-93E0-3351030FDEA6}" name="31555"/>
    <tableColumn id="648" xr3:uid="{0D3B2B52-ECFC-42B0-A7F0-6A6361917AB1}" name="31556"/>
    <tableColumn id="649" xr3:uid="{A69F5743-CFA2-4B9A-8662-D049A91FE35B}" name="31557"/>
    <tableColumn id="650" xr3:uid="{EA865592-30A1-4E21-AB23-83046FA809C0}" name="31558"/>
    <tableColumn id="651" xr3:uid="{1C153370-58BA-462B-AC36-D3775AB04B12}" name="31560"/>
    <tableColumn id="652" xr3:uid="{2CECE807-0C6A-4348-B64E-73E83C91D140}" name="31561"/>
    <tableColumn id="653" xr3:uid="{B83EEE49-5928-4492-BC80-91C280823E77}" name="31562"/>
    <tableColumn id="654" xr3:uid="{510677ED-C1D2-4B22-9487-00B8880B55BC}" name="31563"/>
    <tableColumn id="655" xr3:uid="{9407E1B2-C81F-4662-A819-90807568ACD0}" name="31564"/>
    <tableColumn id="656" xr3:uid="{247561FE-CFF6-47FC-A723-F448BDD544AD}" name="31565"/>
    <tableColumn id="657" xr3:uid="{83899F16-1BD3-4655-8330-94097D2568BF}" name="31566"/>
    <tableColumn id="658" xr3:uid="{EC8A30F7-12AD-4A12-9014-13D5274B4B66}" name="31567"/>
    <tableColumn id="659" xr3:uid="{AB3965CA-AAE8-440C-97AC-2CCE5E4B2BB5}" name="31568"/>
    <tableColumn id="660" xr3:uid="{DF7791F1-5F7C-47DC-9120-381910878DF5}" name="31569"/>
    <tableColumn id="661" xr3:uid="{F04FBF75-4CA7-4A8B-8455-65F0399C24BF}" name="31599"/>
    <tableColumn id="662" xr3:uid="{B0DB9E8D-2099-4E7C-AF8E-1B23F7484B1F}" name="31601"/>
    <tableColumn id="663" xr3:uid="{4D8AB2C2-7B0E-45A5-9CB7-7CD898049AE9}" name="31602"/>
    <tableColumn id="664" xr3:uid="{D937F276-CD6A-4C83-A1C2-680319F47F13}" name="31605"/>
    <tableColumn id="665" xr3:uid="{C774E80C-0F1F-447B-B904-EE7DD8CE9672}" name="31606"/>
    <tableColumn id="666" xr3:uid="{321E33DA-D559-401E-9AB0-5F4DAC5B9FCF}" name="31620"/>
    <tableColumn id="667" xr3:uid="{E005182F-5A3B-4DEF-9ED4-778480448142}" name="31622"/>
    <tableColumn id="668" xr3:uid="{E38729C5-4D08-4DC6-9AB6-D54BC132C308}" name="31623"/>
    <tableColumn id="669" xr3:uid="{FF7A535B-CCDD-4D4F-BCA7-A0129177FD06}" name="31624"/>
    <tableColumn id="670" xr3:uid="{35EAC186-3C96-41C4-B698-46BC0D537B04}" name="31625"/>
    <tableColumn id="671" xr3:uid="{E82C1501-3CBB-4A63-83AF-101B4C537AEF}" name="31626"/>
    <tableColumn id="672" xr3:uid="{02611608-9C19-443C-8170-CA4317B71F0B}" name="31627"/>
    <tableColumn id="673" xr3:uid="{C21833EA-052D-4BB0-A3BB-A275F23D6D41}" name="31629"/>
    <tableColumn id="674" xr3:uid="{BA670329-95EF-4427-92A1-6E0528A2568A}" name="31630"/>
    <tableColumn id="675" xr3:uid="{2544F70F-7F09-44D7-A760-E1C349C8FCC7}" name="31631"/>
    <tableColumn id="676" xr3:uid="{7BD803BD-5A11-4212-A472-D41C6991C329}" name="31632"/>
    <tableColumn id="677" xr3:uid="{31824981-83C4-4AA9-A619-1AB277776642}" name="31634"/>
    <tableColumn id="678" xr3:uid="{5865EEE1-EDA4-42C7-BC14-66AA08406606}" name="31635"/>
    <tableColumn id="679" xr3:uid="{E3BA9C7A-99D5-4243-A3EC-BE79A0C3480B}" name="31636"/>
    <tableColumn id="680" xr3:uid="{CA045724-ECD9-4B80-B948-DCB736E0C48F}" name="31637"/>
    <tableColumn id="681" xr3:uid="{3D1811AF-2E95-4A9B-8A33-C40B916F41EC}" name="31638"/>
    <tableColumn id="682" xr3:uid="{9129C7D1-4970-44B4-ACAC-0E0E06DDB9E4}" name="31639"/>
    <tableColumn id="683" xr3:uid="{7948129C-54EE-405D-A6AB-B0DE01AAED92}" name="31641"/>
    <tableColumn id="684" xr3:uid="{4858E389-4FC7-4409-B2BF-05CD301937D3}" name="31642"/>
    <tableColumn id="685" xr3:uid="{7CC24E27-0D56-4597-A628-8D1CE142EFBE}" name="31643"/>
    <tableColumn id="686" xr3:uid="{FBF0CD88-FA69-41F4-9427-C14F766EC109}" name="31645"/>
    <tableColumn id="687" xr3:uid="{72CAC494-C7D9-48CD-8587-79A0C0C44182}" name="31647"/>
    <tableColumn id="688" xr3:uid="{71D92544-3392-4FE6-A19D-9E86EC80854E}" name="31648"/>
    <tableColumn id="689" xr3:uid="{38415616-90C3-482B-B827-02CD2AECA71B}" name="31649"/>
    <tableColumn id="690" xr3:uid="{A4D53C1F-F9AB-4A9F-A468-41581208CD6B}" name="31650"/>
    <tableColumn id="691" xr3:uid="{4197039D-9702-4A58-B61D-5B3B69E8997C}" name="31698"/>
    <tableColumn id="692" xr3:uid="{E86FA408-07B8-45EF-A019-E0C762C027A0}" name="31699"/>
    <tableColumn id="693" xr3:uid="{497FA212-9456-4DBC-9630-6EDC881CC601}" name="31701"/>
    <tableColumn id="694" xr3:uid="{901B000F-7B5A-4D1F-83F3-4F018C763F00}" name="31704"/>
    <tableColumn id="695" xr3:uid="{0C62E5B0-7A80-4AAC-A25D-810AFED137B4}" name="31705"/>
    <tableColumn id="696" xr3:uid="{7F480010-340F-454E-8010-D8BFB7231083}" name="31707"/>
    <tableColumn id="697" xr3:uid="{B924F560-5D8E-4C43-97D6-D6BC3AE63F36}" name="31709"/>
    <tableColumn id="698" xr3:uid="{466CEEC6-B8BF-4F92-90E1-D4533EB1CABC}" name="31711"/>
    <tableColumn id="699" xr3:uid="{CA125398-451F-4912-9B07-38A4D02C4AB0}" name="31712"/>
    <tableColumn id="700" xr3:uid="{8651095F-470B-4051-A5C6-1430FFE947C1}" name="31714"/>
    <tableColumn id="701" xr3:uid="{78D719E5-7D27-4AE7-B8DF-AD1B91170C05}" name="31716"/>
    <tableColumn id="702" xr3:uid="{62A6275D-8155-4F97-9F7E-9A4FC738EEE0}" name="31719"/>
    <tableColumn id="703" xr3:uid="{55252E94-88E2-4CAE-86EB-03FAA9566288}" name="31720"/>
    <tableColumn id="704" xr3:uid="{D818DF5F-7A11-4C4B-AC6C-53659B360903}" name="31721"/>
    <tableColumn id="705" xr3:uid="{CC35C571-0C52-4E3A-829D-A764836A49A9}" name="31722"/>
    <tableColumn id="706" xr3:uid="{2EB4DD5C-2820-48AB-AC43-74BD21423E39}" name="31727"/>
    <tableColumn id="707" xr3:uid="{6CE1D38A-65DD-4436-A415-C1918328820C}" name="31730"/>
    <tableColumn id="708" xr3:uid="{222250AC-F9BA-4B1E-B641-13BD44CF8C9E}" name="31733"/>
    <tableColumn id="709" xr3:uid="{8795CE26-720C-4D3C-A709-FB80C1F5C5FD}" name="31735"/>
    <tableColumn id="710" xr3:uid="{84132E8A-FA04-4EEA-B3C7-909A33C94039}" name="31738"/>
    <tableColumn id="711" xr3:uid="{4CAA4F2A-7611-419D-9A0D-E4CE55FE8C2B}" name="31743"/>
    <tableColumn id="712" xr3:uid="{247B44FC-0C07-4A53-8803-CAC0354D8A4F}" name="31744"/>
    <tableColumn id="713" xr3:uid="{84821C1F-5473-4A20-9BA1-0E26868AEBE5}" name="31747"/>
    <tableColumn id="714" xr3:uid="{A6D1DD92-FEB9-45A1-B1CB-026CFC8E449A}" name="31749"/>
    <tableColumn id="715" xr3:uid="{43CA6B0F-8B86-47BC-8F27-DF58BBA594D4}" name="31750"/>
    <tableColumn id="716" xr3:uid="{247CD8DE-992C-4C9F-985D-AFC36E2F9549}" name="31753"/>
    <tableColumn id="717" xr3:uid="{B24D1931-A521-41C5-9839-ABF590246569}" name="31756"/>
    <tableColumn id="718" xr3:uid="{FE2A6FE7-1512-43E7-AF74-3D716DFE72D9}" name="31757"/>
    <tableColumn id="719" xr3:uid="{C241DBD7-FDEC-4079-992A-2DE50101D368}" name="31763"/>
    <tableColumn id="720" xr3:uid="{9D3E917F-704D-40EA-9BCB-B54C84F028AB}" name="31764"/>
    <tableColumn id="721" xr3:uid="{056ABD7A-D16B-4D93-AA3F-C82470039876}" name="31765"/>
    <tableColumn id="722" xr3:uid="{4E8982E1-2CCD-404D-BF1A-16D7C44E5129}" name="31768"/>
    <tableColumn id="723" xr3:uid="{C93235EC-1880-4E4B-951C-3881AD4E66F9}" name="31771"/>
    <tableColumn id="724" xr3:uid="{383AD575-CDE1-459F-8EBA-47FA44E6F7FC}" name="31772"/>
    <tableColumn id="725" xr3:uid="{FF230F98-E0AD-4FEA-A8F9-1663BE2D67DA}" name="31773"/>
    <tableColumn id="726" xr3:uid="{71AC5B68-DBD5-4656-A477-12356577C341}" name="31774"/>
    <tableColumn id="727" xr3:uid="{B69BB51E-C07A-4C6E-B294-63661BE5A358}" name="31775"/>
    <tableColumn id="728" xr3:uid="{B50E964F-50DA-4C6B-B8E9-07AD42A821D1}" name="31778"/>
    <tableColumn id="729" xr3:uid="{0F015D40-FE61-4F9C-BA67-E92E2B7AC27D}" name="31779"/>
    <tableColumn id="730" xr3:uid="{E2382380-1F1D-4291-817C-C7AF56CE0CBF}" name="31780"/>
    <tableColumn id="731" xr3:uid="{1BDB0C0C-0670-4819-B9D2-30DA58025111}" name="31781"/>
    <tableColumn id="732" xr3:uid="{1DD3D09D-B744-4A07-B808-9EA2F0A7707F}" name="31783"/>
    <tableColumn id="733" xr3:uid="{9E6BBD29-44A6-467D-8910-EB836F10BCBC}" name="31784"/>
    <tableColumn id="734" xr3:uid="{267EF280-E917-4DF5-9D37-2D24321BB1E2}" name="31787"/>
    <tableColumn id="735" xr3:uid="{EF2C9165-FB3C-4984-8A96-29A1446CFABC}" name="31788"/>
    <tableColumn id="736" xr3:uid="{006FEFF7-0AA6-48F2-AE85-8CD01F9954C8}" name="31789"/>
    <tableColumn id="737" xr3:uid="{100A9AAB-2EAD-47FE-B6A1-0671E23D2AD6}" name="31790"/>
    <tableColumn id="738" xr3:uid="{ABBF8CE2-5B85-4E79-8C31-7FFB7B1F1B0E}" name="31791"/>
    <tableColumn id="739" xr3:uid="{336DE8F8-C202-43B9-9C58-E5695A71880E}" name="31792"/>
    <tableColumn id="740" xr3:uid="{8654CBA1-F90D-4E6A-BF5D-8EC9AB2CE156}" name="31793"/>
    <tableColumn id="741" xr3:uid="{D74561D2-CA0A-488F-9C2B-796D2D142914}" name="31794"/>
    <tableColumn id="742" xr3:uid="{837271E4-CAE6-4D22-AC14-250837CB3A2B}" name="31795"/>
    <tableColumn id="743" xr3:uid="{E0B62A69-9D64-4232-A7A2-B48141DA80EA}" name="31796"/>
    <tableColumn id="744" xr3:uid="{96F89E92-DA13-4052-987D-FB1520CBBC70}" name="31798"/>
    <tableColumn id="745" xr3:uid="{C2E9B2B1-50AF-458F-8C01-D34CDCACADCA}" name="31801"/>
    <tableColumn id="746" xr3:uid="{252F1868-67FF-44A1-ACC1-97654F86FD9F}" name="31803"/>
    <tableColumn id="747" xr3:uid="{5D5CD474-A94E-4C2B-B541-0013CFA1B1E4}" name="31804"/>
    <tableColumn id="748" xr3:uid="{D438FAFB-B80D-44A9-8EE0-0116C4A443FC}" name="31805"/>
    <tableColumn id="749" xr3:uid="{1F205E97-D7F9-43CB-B1E3-696705102C17}" name="31806"/>
    <tableColumn id="750" xr3:uid="{57830C93-D2AC-460C-98B2-A60E56A56FE4}" name="31807"/>
    <tableColumn id="751" xr3:uid="{6D0C5B0C-2CB2-4A2A-BB27-79D1BF22C690}" name="31808"/>
    <tableColumn id="752" xr3:uid="{C33006FD-972B-451E-8FBC-BAA5885DCA49}" name="31810"/>
    <tableColumn id="753" xr3:uid="{925E65AF-29B6-4AFF-B327-48F8253F1C39}" name="31811"/>
    <tableColumn id="754" xr3:uid="{55E92275-5D33-4B96-91F9-1C1BE92C9731}" name="31812"/>
    <tableColumn id="755" xr3:uid="{DB4228E5-DC94-402B-A8D5-11293873E335}" name="31814"/>
    <tableColumn id="756" xr3:uid="{66D281A0-0AA0-4367-879C-12DF9F9EB719}" name="31815"/>
    <tableColumn id="757" xr3:uid="{1E44CDE5-DD84-4CF8-8B00-EBA820CE4A39}" name="31816"/>
    <tableColumn id="758" xr3:uid="{57D8868E-3E36-4D35-8765-B01A5AF1D74D}" name="31820"/>
    <tableColumn id="759" xr3:uid="{B482F18F-A5A6-48A5-AD3D-DDFD8412EAFE}" name="31821"/>
    <tableColumn id="760" xr3:uid="{C0128244-CBEA-4113-B713-6499C92D7EA2}" name="31822"/>
    <tableColumn id="761" xr3:uid="{7216FECC-FE66-4192-99D8-AE7DABDB853E}" name="31823"/>
    <tableColumn id="762" xr3:uid="{09A8C2C8-2754-452F-8A0B-ABB6107739D7}" name="31824"/>
    <tableColumn id="763" xr3:uid="{6E5BB352-A29E-4F02-BB64-6AF352C664EB}" name="31825"/>
    <tableColumn id="764" xr3:uid="{F3040170-B51A-458A-8CC2-FA2582123111}" name="31826"/>
    <tableColumn id="765" xr3:uid="{BAA99936-10CA-4890-B8CE-7A04D8B5ED66}" name="31827"/>
    <tableColumn id="766" xr3:uid="{D9DFE7DB-DAD7-49CE-9A37-9AE88DB251F4}" name="31829"/>
    <tableColumn id="767" xr3:uid="{69D800AA-4EBC-4C39-BE09-52A43E405C14}" name="31830"/>
    <tableColumn id="768" xr3:uid="{53DCCE90-2FFE-413E-9BEF-37556C880881}" name="31831"/>
    <tableColumn id="769" xr3:uid="{09C7CC83-6880-4818-AFED-45DBAFDE9028}" name="31832"/>
    <tableColumn id="770" xr3:uid="{7DCE9265-B77B-4078-9BE2-1DFB511AFD77}" name="31833"/>
    <tableColumn id="771" xr3:uid="{997D8FF9-8A71-4390-8596-F0ECB95BCDCE}" name="31836"/>
    <tableColumn id="772" xr3:uid="{6447B2C1-44B0-4A92-BE86-E2116CA01F74}" name="31901"/>
    <tableColumn id="773" xr3:uid="{C23D4E68-8376-4502-84EF-85B59C11B58A}" name="31903"/>
    <tableColumn id="774" xr3:uid="{7B9C3B56-7667-484F-A3D9-E41615277EDD}" name="31904"/>
    <tableColumn id="775" xr3:uid="{D17F56C7-45AB-48F3-BB02-9B1225DCD54F}" name="31905"/>
    <tableColumn id="776" xr3:uid="{ECB42DF8-F5F8-4717-B6FE-8DF1E8610ABD}" name="31906"/>
    <tableColumn id="777" xr3:uid="{91462727-290A-47E0-9E60-D0E1FFB3D174}" name="31907"/>
    <tableColumn id="778" xr3:uid="{96FB8D33-6D2A-4AF2-9C69-99AAC0CF872F}" name="31909"/>
    <tableColumn id="779" xr3:uid="{2AE5001B-FD70-43A8-A3F4-85BC8E3D410B}" name="36855"/>
    <tableColumn id="780" xr3:uid="{7A959111-76B1-4F60-B76B-8431F1A340A4}" name="39813"/>
    <tableColumn id="781" xr3:uid="{8D21F2C3-5891-4DAD-A17F-76F2007C11C5}" name="39815"/>
    <tableColumn id="782" xr3:uid="{50EA2717-1CBF-4EF1-B613-37FF44B81F86}" name="39817"/>
    <tableColumn id="783" xr3:uid="{EAF84B51-44F8-4CE3-B25F-896E508366CD}" name="39819"/>
    <tableColumn id="784" xr3:uid="{2EFE795A-4B3B-4A85-83DE-95E8439C014A}" name="39823"/>
    <tableColumn id="785" xr3:uid="{D5EDFC43-3E47-45F6-A5B3-108384C82F81}" name="39824"/>
    <tableColumn id="786" xr3:uid="{7F7B469F-9A2D-42DF-A9B7-21E2EDF58C2D}" name="39825"/>
    <tableColumn id="787" xr3:uid="{7D569085-80B4-46F6-BF0D-DCFB0E5AFC65}" name="39826"/>
    <tableColumn id="788" xr3:uid="{1C01075F-0F7B-4C9D-B6D7-F0F00004E637}" name="39827"/>
    <tableColumn id="789" xr3:uid="{E73EEA79-59DE-4E2B-B8B4-DE1C17B1D740}" name="39828"/>
    <tableColumn id="790" xr3:uid="{CB2296AC-B279-4AE0-98ED-E2BDB04E4CB3}" name="39832"/>
    <tableColumn id="791" xr3:uid="{59EE7AEB-38B4-44A6-B22F-3F27713C9418}" name="39834"/>
    <tableColumn id="792" xr3:uid="{E2CBECAE-0AA3-42BB-83D1-F3BB77A2EFBB}" name="39836"/>
    <tableColumn id="793" xr3:uid="{E26FA5E8-143B-4031-BD33-3B1C20B1AD77}" name="39837"/>
    <tableColumn id="794" xr3:uid="{9BB22A64-AC07-483F-974C-1F0DE589BC49}" name="39840"/>
    <tableColumn id="795" xr3:uid="{E3106074-6142-4D37-8577-DBEA1EFDA2D2}" name="39841"/>
    <tableColumn id="796" xr3:uid="{6DB94846-B14D-4CA3-A2AA-3EA13665EC42}" name="39842"/>
    <tableColumn id="797" xr3:uid="{1A32CC94-CDE5-45F9-B567-0E1891621DD5}" name="39845"/>
    <tableColumn id="798" xr3:uid="{F659A3CD-A8E9-4758-9F7E-0F08FCA49F81}" name="39846"/>
    <tableColumn id="799" xr3:uid="{16997038-91AE-48F9-AD92-19CC94016578}" name="39851"/>
    <tableColumn id="800" xr3:uid="{15B6106B-4FB8-49AD-A883-C38075277935}" name="39854"/>
    <tableColumn id="801" xr3:uid="{F1C18CD2-2577-4932-ABC9-53D0136C9375}" name="39859"/>
    <tableColumn id="802" xr3:uid="{063E02DB-93FA-48D8-BC87-D98A82FAAEB6}" name="39861"/>
    <tableColumn id="803" xr3:uid="{A62E235A-B3A3-41BC-8FE9-50F53BE7F65C}" name="39862"/>
    <tableColumn id="804" xr3:uid="{6B86BFE5-AC6F-48DB-9057-52E142352D81}" name="39866"/>
    <tableColumn id="805" xr3:uid="{FC0D3E51-E83A-4B14-8EF8-544F82791A63}" name="39867"/>
    <tableColumn id="806" xr3:uid="{178B74EE-B7C8-4E47-867B-5D84816F9072}" name="39870"/>
    <tableColumn id="807" xr3:uid="{774C759A-6290-46F0-8A48-66C6E16B152E}" name="39877"/>
    <tableColumn id="808" xr3:uid="{8BB4514B-7A0D-4AAC-B4F2-626BA15A676F}" name="39885"/>
    <tableColumn id="809" xr3:uid="{ABBFF5E3-B08D-47E4-AE6E-0774218CABA2}" name="39886"/>
    <tableColumn id="810" xr3:uid="{E6518002-15E1-40E2-B6DC-4FB57DDB3C7F}" name="39897"/>
    <tableColumn id="811" xr3:uid="{78467E6C-37B7-44F8-9474-3897CC220C17}" name="19973"/>
    <tableColumn id="812" xr3:uid="{F80F5448-AD05-43C4-A4CC-3D23D3DC60FD}" name="20601"/>
    <tableColumn id="813" xr3:uid="{446B1912-CE43-4287-8019-C2864996C9B7}" name="20602"/>
    <tableColumn id="814" xr3:uid="{B4D294EC-D358-438C-ADA1-CEF88A54710B}" name="20603"/>
    <tableColumn id="815" xr3:uid="{21500576-BCDA-4758-9807-3352BE603F87}" name="20606"/>
    <tableColumn id="816" xr3:uid="{58EFC846-914A-41B9-908C-C90A48A863A1}" name="20607"/>
    <tableColumn id="817" xr3:uid="{DB55AE74-AC2E-45C7-BA43-2FF04612719F}" name="20608"/>
    <tableColumn id="818" xr3:uid="{B1171EFC-FCF7-47C5-92AA-D0B3A0A70DCB}" name="20609"/>
    <tableColumn id="819" xr3:uid="{79C250AB-12B0-4633-8115-87C964F0CCBB}" name="20611"/>
    <tableColumn id="820" xr3:uid="{36F3A501-6073-44CD-BD24-F5E6766EAF3E}" name="20612"/>
    <tableColumn id="821" xr3:uid="{C69F3CA6-A187-4AC6-A80A-49AFF999FCAA}" name="20613"/>
    <tableColumn id="822" xr3:uid="{71E31ED9-A493-4631-816F-691FB14C0DD5}" name="20615"/>
    <tableColumn id="823" xr3:uid="{BCA7B301-8E8B-4FDD-9E58-9EA123A85F60}" name="20616"/>
    <tableColumn id="824" xr3:uid="{204048E5-2D2E-4C48-9AF8-C6CEF1A931EF}" name="20617"/>
    <tableColumn id="825" xr3:uid="{3F5E936B-26A2-42AF-8E95-6BEE70904576}" name="20618"/>
    <tableColumn id="826" xr3:uid="{81894556-5687-481C-BB34-9D96A2A76184}" name="20619"/>
    <tableColumn id="827" xr3:uid="{C0989493-5947-44BA-91CD-8FC15895655B}" name="20620"/>
    <tableColumn id="828" xr3:uid="{B14A4530-00F4-41D4-80A8-CDD104604419}" name="20621"/>
    <tableColumn id="829" xr3:uid="{FB4530FF-31ED-4425-A7CA-DDD6793A589E}" name="20622"/>
    <tableColumn id="830" xr3:uid="{48475866-CB39-4EF2-B21C-FDD618A32092}" name="20623"/>
    <tableColumn id="831" xr3:uid="{6FCF8CFC-B6DA-45DB-A0E5-D4DE885F2C02}" name="20624"/>
    <tableColumn id="832" xr3:uid="{E74B7936-66B7-4AEB-8A19-3181860099F5}" name="20625"/>
    <tableColumn id="833" xr3:uid="{643B4232-AB6B-4CA7-BFB9-30D3CD50C939}" name="20626"/>
    <tableColumn id="834" xr3:uid="{5033C709-7934-431A-BD21-8B102A627DC7}" name="20628"/>
    <tableColumn id="835" xr3:uid="{6554AF36-8B08-4E3E-8777-98366E44D85A}" name="20629"/>
    <tableColumn id="836" xr3:uid="{ECBE8538-35ED-4C01-8762-84BAD2107A15}" name="20630"/>
    <tableColumn id="837" xr3:uid="{34BDE569-E957-4A06-817D-71F718F387E1}" name="20632"/>
    <tableColumn id="838" xr3:uid="{DF2D43A8-ACB9-4646-9EC1-705FA12E687B}" name="20634"/>
    <tableColumn id="839" xr3:uid="{B431BF05-48A5-42D9-B08A-9F8108813302}" name="20636"/>
    <tableColumn id="840" xr3:uid="{180A5E25-7FD2-461E-8D29-67D14C77725F}" name="20637"/>
    <tableColumn id="841" xr3:uid="{00E83FA6-10B3-458C-8AF9-04D9CB250CB7}" name="20639"/>
    <tableColumn id="842" xr3:uid="{3492A59B-374E-437B-83B3-243FF6FC80C7}" name="20640"/>
    <tableColumn id="843" xr3:uid="{B21B0B1C-A71A-468D-A11F-D9D2C851DB1A}" name="20645"/>
    <tableColumn id="844" xr3:uid="{AB29A6B4-0D10-4CF0-9885-F2C22D80332A}" name="20646"/>
    <tableColumn id="845" xr3:uid="{6524DCE0-1FCD-4DCE-AD0E-726E788A16A8}" name="20650"/>
    <tableColumn id="846" xr3:uid="{3F394A95-75C5-4E51-B7AC-655F721CFFE1}" name="20653"/>
    <tableColumn id="847" xr3:uid="{20E4ECBE-3429-4EA3-899E-F4F91918469E}" name="20656"/>
    <tableColumn id="848" xr3:uid="{0C5384AD-1D1B-477E-A701-B88A06DD95C0}" name="20657"/>
    <tableColumn id="849" xr3:uid="{90F57F9D-DA23-41C6-B9AB-03E55CCCEAB3}" name="20658"/>
    <tableColumn id="850" xr3:uid="{0760CF0D-FBC8-41B9-AE33-9A183AF93115}" name="20659"/>
    <tableColumn id="851" xr3:uid="{6D1F74AC-49E9-4151-97C6-A5F4CC271B50}" name="20660"/>
    <tableColumn id="852" xr3:uid="{1A1B7679-9188-4ED9-ADFD-55E90DA32B4F}" name="20661"/>
    <tableColumn id="853" xr3:uid="{FA53A923-5765-4F75-B651-4B9EC2278A7B}" name="20662"/>
    <tableColumn id="854" xr3:uid="{677D1941-D1D8-4197-B7DF-07E048D9EB9E}" name="20664"/>
    <tableColumn id="855" xr3:uid="{F0721A3C-DD10-4770-80EF-85BC53059AD3}" name="20667"/>
    <tableColumn id="856" xr3:uid="{11DD6B2E-3CBD-490A-9D9D-42070DBB77B3}" name="20670"/>
    <tableColumn id="857" xr3:uid="{723C50CF-B036-436B-A34A-BE4587CC1330}" name="20674"/>
    <tableColumn id="858" xr3:uid="{89804283-FB17-4558-9D62-A45EE86B3722}" name="20675"/>
    <tableColumn id="859" xr3:uid="{9430D9E7-11B2-4221-9CB6-F1369501D0B0}" name="20676"/>
    <tableColumn id="860" xr3:uid="{FF2C3394-9D19-4E19-9649-8F50EF4DA428}" name="20677"/>
    <tableColumn id="861" xr3:uid="{FBE555F2-EA54-480B-8B98-956070BF7C9F}" name="20678"/>
    <tableColumn id="862" xr3:uid="{3746B45D-1560-47DB-BD6A-16494DBCD782}" name="20680"/>
    <tableColumn id="863" xr3:uid="{5E654BD8-3D33-491D-A1EE-29236CD1AE20}" name="20684"/>
    <tableColumn id="864" xr3:uid="{6278F1E4-D85A-41A4-A0BB-D5214BB8F311}" name="20685"/>
    <tableColumn id="865" xr3:uid="{7D4CDE08-EA5E-4772-BECE-74AF3AE545C9}" name="20686"/>
    <tableColumn id="866" xr3:uid="{EA0D2779-BCDA-447E-ABEE-64D3B2177C4A}" name="20687"/>
    <tableColumn id="867" xr3:uid="{6515DBE5-0C55-4C89-9C73-E2C7D4278AE1}" name="20688"/>
    <tableColumn id="868" xr3:uid="{B330E432-B97F-48F1-B166-DA1B6522B7F6}" name="20689"/>
    <tableColumn id="869" xr3:uid="{EE144D73-9721-4CAC-9FD0-73FCC55EF69F}" name="20690"/>
    <tableColumn id="870" xr3:uid="{1E825843-0E7C-4687-9096-9ADB935517E5}" name="20692"/>
    <tableColumn id="871" xr3:uid="{8EF6C5F5-A8A6-4B6B-861A-EF14244DEB55}" name="20693"/>
    <tableColumn id="872" xr3:uid="{6A46AB86-C50F-4A2A-A8AD-42611CD776B1}" name="20695"/>
    <tableColumn id="873" xr3:uid="{40525A65-D8D5-4713-85B2-66C99297FE71}" name="20701"/>
    <tableColumn id="874" xr3:uid="{3C26FC4F-C6EC-441E-A29D-A49CB7D18B29}" name="20705"/>
    <tableColumn id="875" xr3:uid="{B12B65F6-B4B5-4BE2-B572-0B7B3DDD8160}" name="20706"/>
    <tableColumn id="876" xr3:uid="{66A11AE7-3471-4523-8346-57CD32AF40BD}" name="20707"/>
    <tableColumn id="877" xr3:uid="{EB218448-358D-45B0-9EBD-134707621528}" name="20708"/>
    <tableColumn id="878" xr3:uid="{40D447A3-EFC8-4150-9166-D4C48F9BB7D2}" name="20710"/>
    <tableColumn id="879" xr3:uid="{269EE1EB-54ED-4BB5-849A-D6E83EEF190D}" name="20711"/>
    <tableColumn id="880" xr3:uid="{852A7FF5-31C8-44A7-BF23-016C4C9FC186}" name="20712"/>
    <tableColumn id="881" xr3:uid="{C0A8E8BC-E456-4ECA-9D5E-7890C31EAE1A}" name="20714"/>
    <tableColumn id="882" xr3:uid="{D5EBE338-FEB1-48C4-ACE0-A3E8CC8F8A41}" name="20715"/>
    <tableColumn id="883" xr3:uid="{EC6912F2-FCDB-451F-A52A-C0E310C0771B}" name="20716"/>
    <tableColumn id="884" xr3:uid="{92809154-EB67-4575-8F8C-058E5A1D7EDC}" name="20720"/>
    <tableColumn id="885" xr3:uid="{14041DF4-EF93-41BD-A1A0-D4E7F84C714B}" name="20721"/>
    <tableColumn id="886" xr3:uid="{08DA29B4-050B-444B-A65C-EDCABA2C1FA6}" name="20722"/>
    <tableColumn id="887" xr3:uid="{93617EC0-D45A-4E92-B250-A1B588D85832}" name="20723"/>
    <tableColumn id="888" xr3:uid="{160896AD-9D74-453F-B942-B901D533B3BA}" name="20724"/>
    <tableColumn id="889" xr3:uid="{1458E1E4-AB7D-4998-AD71-F713A4E34EB3}" name="20732"/>
    <tableColumn id="890" xr3:uid="{A72BD7D9-57AA-4D70-B8D5-41952BA353B4}" name="20733"/>
    <tableColumn id="891" xr3:uid="{9573F80A-3DB7-45EA-9402-F8F552FB3638}" name="20735"/>
    <tableColumn id="892" xr3:uid="{AA3216C0-DB2B-4669-BF65-1FE6C5D80D2A}" name="20736"/>
    <tableColumn id="893" xr3:uid="{980045EA-C684-4231-9533-43C6FF576D4E}" name="20737"/>
    <tableColumn id="894" xr3:uid="{D3364B9B-F936-4C56-89FE-2BDECBCA719F}" name="20740"/>
    <tableColumn id="895" xr3:uid="{3B5A6F3B-8018-4498-BCBA-BA26A7D29F66}" name="20742"/>
    <tableColumn id="896" xr3:uid="{92799C85-4BC3-498A-AD87-37D86CC792D7}" name="20743"/>
    <tableColumn id="897" xr3:uid="{26A4C592-FEDB-4A0A-AFA2-64252926BE8A}" name="20744"/>
    <tableColumn id="898" xr3:uid="{B901C174-F18F-41AC-83E3-D652AC17D258}" name="20745"/>
    <tableColumn id="899" xr3:uid="{B601E2B2-34BB-4DEC-85CB-65AC21C37FF1}" name="20746"/>
    <tableColumn id="900" xr3:uid="{8D9131F2-267D-4122-8757-56F1B14EB383}" name="20747"/>
    <tableColumn id="901" xr3:uid="{CD464E70-E4CA-4A5F-89AF-64CA096A1DFB}" name="20748"/>
    <tableColumn id="902" xr3:uid="{30964791-78CF-4EDC-B8DB-1E209B60F750}" name="20751"/>
    <tableColumn id="903" xr3:uid="{306F3A5D-0945-45DE-9C77-B7C4E9D85B75}" name="20754"/>
    <tableColumn id="904" xr3:uid="{1F823855-38D3-436B-B572-EE86504CA871}" name="20755"/>
    <tableColumn id="905" xr3:uid="{0802EA24-A09D-49F6-B838-9CA6D94309D7}" name="20758"/>
    <tableColumn id="906" xr3:uid="{09E47D2E-4878-4FEB-89DA-48A7BFD5E90E}" name="20759"/>
    <tableColumn id="907" xr3:uid="{3EF7769D-F9B1-488A-B832-03BAC6EBEE26}" name="20762"/>
    <tableColumn id="908" xr3:uid="{D2BCDE19-672D-4C5A-9191-4A1BEA638A44}" name="20763"/>
    <tableColumn id="909" xr3:uid="{96D83ABC-AE6F-4EFE-A9BA-BA4382E58FDD}" name="20764"/>
    <tableColumn id="910" xr3:uid="{3487DFA4-1FDB-45AA-8B96-DF208340B4CC}" name="20765"/>
    <tableColumn id="911" xr3:uid="{AEFCE046-46EA-4341-BF54-3FF5D0504281}" name="20769"/>
    <tableColumn id="912" xr3:uid="{9E38136C-4A39-4C4D-9202-6DFDB042490B}" name="20770"/>
    <tableColumn id="913" xr3:uid="{A20EBFE6-36E9-4282-B458-9A4B582E10E4}" name="20771"/>
    <tableColumn id="914" xr3:uid="{2E67D434-77BB-47FA-A472-D7B30C7F5A21}" name="20772"/>
    <tableColumn id="915" xr3:uid="{AB0FBD2D-09E4-4EAD-A657-CB541D0183E2}" name="20774"/>
    <tableColumn id="916" xr3:uid="{69A91A42-8980-405A-9CD3-6951FA2DFD46}" name="20776"/>
    <tableColumn id="917" xr3:uid="{51C940A9-FE82-4466-B413-68C89751A04B}" name="20777"/>
    <tableColumn id="918" xr3:uid="{5554F3EB-A0CA-451D-9571-53B83241B8E5}" name="20778"/>
    <tableColumn id="919" xr3:uid="{9361D023-129B-467C-B20B-8877F94C71CB}" name="20779"/>
    <tableColumn id="920" xr3:uid="{E629327E-3C25-4923-B47A-852D6AEBDFFF}" name="20781"/>
    <tableColumn id="921" xr3:uid="{B52AFA1C-9505-4445-9A13-1FC06D7A462A}" name="20782"/>
    <tableColumn id="922" xr3:uid="{3409E3E2-CAA8-467E-BE80-38444FA175B4}" name="20783"/>
    <tableColumn id="923" xr3:uid="{70C3A21D-8607-4FDF-8CD6-A0F63AAF8562}" name="20784"/>
    <tableColumn id="924" xr3:uid="{3FCC3255-D8F1-424E-BCBC-221AA74F5F92}" name="20785"/>
    <tableColumn id="925" xr3:uid="{C6A184EF-779B-4863-AD6A-A69F3A2FA3FA}" name="20794"/>
    <tableColumn id="926" xr3:uid="{D2486CD4-AB51-43BF-A31A-7717F18CA23A}" name="20812"/>
    <tableColumn id="927" xr3:uid="{F30B893C-BD3C-4E94-AC40-680431E7CFAA}" name="20814"/>
    <tableColumn id="928" xr3:uid="{8F81EADC-153C-48F5-A341-64976D491A37}" name="20815"/>
    <tableColumn id="929" xr3:uid="{C015B618-12D9-4397-B5D6-5A292A1D6434}" name="20816"/>
    <tableColumn id="930" xr3:uid="{D8527EEB-13CE-4511-811B-9DD4B9CE2F2D}" name="20817"/>
    <tableColumn id="931" xr3:uid="{A7002334-6715-4ADA-89C9-BE1BE75917E6}" name="20818"/>
    <tableColumn id="932" xr3:uid="{35F3B212-DEA0-4E7F-863E-67883807B88F}" name="20832"/>
    <tableColumn id="933" xr3:uid="{BD6EDDD8-2508-4A2F-B5A6-0D3B8522E3EC}" name="20833"/>
    <tableColumn id="934" xr3:uid="{C8E790C6-8B43-4869-97CB-E9B55F61D839}" name="20837"/>
    <tableColumn id="935" xr3:uid="{351458BE-030C-437C-806C-116698AD6294}" name="20838"/>
    <tableColumn id="936" xr3:uid="{4A529B85-D5E0-40F6-9901-132BE54B1A61}" name="20839"/>
    <tableColumn id="937" xr3:uid="{31E590F5-3BD6-440C-A01B-AA2DF6A6FDDC}" name="20841"/>
    <tableColumn id="938" xr3:uid="{87FE9511-6336-4D4A-BC66-95EE1F54DD0C}" name="20842"/>
    <tableColumn id="939" xr3:uid="{33479E58-80E8-4FF3-ADF2-DA634B3B2131}" name="20850"/>
    <tableColumn id="940" xr3:uid="{0683AA0F-6DC4-430A-AB65-B87D9DE5858A}" name="20851"/>
    <tableColumn id="941" xr3:uid="{94E2B5F2-C558-4FDC-A150-EFC2F74CD197}" name="20852"/>
    <tableColumn id="942" xr3:uid="{8B17AE9E-6825-4418-936D-9D062B818262}" name="20853"/>
    <tableColumn id="943" xr3:uid="{DEF3430A-5783-468C-AF4B-3E6BB0D33748}" name="20854"/>
    <tableColumn id="944" xr3:uid="{00A4FBE8-691A-4267-B398-C85B596F28F1}" name="20855"/>
    <tableColumn id="945" xr3:uid="{CB2D4219-99CD-4FAB-A211-A1A369751055}" name="20860"/>
    <tableColumn id="946" xr3:uid="{C9D877E3-A032-447C-94EC-FD7A3FF69A77}" name="20861"/>
    <tableColumn id="947" xr3:uid="{41FD1CD6-6298-4FD4-924D-889BA0C3304A}" name="20862"/>
    <tableColumn id="948" xr3:uid="{367B7AB1-BDBE-4B0D-AF5A-4387D81C06F8}" name="20866"/>
    <tableColumn id="949" xr3:uid="{9F70916A-690E-494E-A80A-212434875384}" name="20868"/>
    <tableColumn id="950" xr3:uid="{8BDEDE21-E50C-4B4F-9276-5B79CCC512C1}" name="20871"/>
    <tableColumn id="951" xr3:uid="{023736D9-93C7-42DA-8E43-F311FE803253}" name="20872"/>
    <tableColumn id="952" xr3:uid="{9E39EFC0-7DBB-48FE-86D8-CF3C5A433C27}" name="20874"/>
    <tableColumn id="953" xr3:uid="{97AC6641-9205-430D-B975-335D0ECCF6E6}" name="20876"/>
    <tableColumn id="954" xr3:uid="{7459062A-3F00-4915-AF46-469BC9C1BC92}" name="20877"/>
    <tableColumn id="955" xr3:uid="{040D9521-1341-4EDF-9104-FC26BB27684E}" name="20878"/>
    <tableColumn id="956" xr3:uid="{607EF045-91C9-4A6B-805E-C13ADFDA1E6A}" name="20879"/>
    <tableColumn id="957" xr3:uid="{3D56D883-F61F-4A73-B1D6-DA86BA727CD6}" name="20880"/>
    <tableColumn id="958" xr3:uid="{B63EA734-FA2C-428F-A679-A694505E63D2}" name="20882"/>
    <tableColumn id="959" xr3:uid="{BFEEA206-8419-4354-B711-0448BBA468F4}" name="20886"/>
    <tableColumn id="960" xr3:uid="{EC81BCDC-4479-4E2D-9D83-0A48CC611DA8}" name="20889"/>
    <tableColumn id="961" xr3:uid="{E9D1B221-1ADB-4C23-B52F-1782873302D7}" name="20892"/>
    <tableColumn id="962" xr3:uid="{5A8F5763-7EE7-483C-BDF0-0EA556B703E6}" name="20894"/>
    <tableColumn id="963" xr3:uid="{C0A70202-3038-4818-87BE-08165D54F9FD}" name="20895"/>
    <tableColumn id="964" xr3:uid="{4F77C6F0-DA57-4A7A-84B5-3A914F602999}" name="20896"/>
    <tableColumn id="965" xr3:uid="{14DEF116-3EC5-4549-BB79-2640307D930E}" name="20899"/>
    <tableColumn id="966" xr3:uid="{B02F4C94-F917-45D5-B5B4-B4AE223D865D}" name="20901"/>
    <tableColumn id="967" xr3:uid="{EE10DDED-8CFA-47CF-859C-CA9AADC1F16F}" name="20902"/>
    <tableColumn id="968" xr3:uid="{23EF3B84-C158-4962-B2D5-56331035B5FA}" name="20903"/>
    <tableColumn id="969" xr3:uid="{81ADD7EE-DB7D-4047-8493-B825C770C60A}" name="20904"/>
    <tableColumn id="970" xr3:uid="{1578A9B0-6276-4481-858B-4E0A4BBCB25F}" name="20905"/>
    <tableColumn id="971" xr3:uid="{4775CA60-3F31-4ED1-8F44-8907FDD73519}" name="20906"/>
    <tableColumn id="972" xr3:uid="{BD5885EB-DFEA-4A4B-B324-3922A479496A}" name="20910"/>
    <tableColumn id="973" xr3:uid="{49D8AB3A-CD8C-4074-9BAA-2F74034DA3AC}" name="20912"/>
    <tableColumn id="974" xr3:uid="{0DD97AD3-B768-475B-BCD9-8EB5140C1C9C}" name="21001"/>
    <tableColumn id="975" xr3:uid="{FA7282A9-90F0-4FA4-8361-2C81F2A0831C}" name="21005"/>
    <tableColumn id="976" xr3:uid="{EFD06934-E38D-4F03-B0AD-84A4C8764945}" name="21009"/>
    <tableColumn id="977" xr3:uid="{572FED19-E175-4AE4-9EF2-F9FA2E857658}" name="21010"/>
    <tableColumn id="978" xr3:uid="{56BA249B-2420-42C2-B5EB-4C2912125980}" name="21012"/>
    <tableColumn id="979" xr3:uid="{9E1B59D4-0DB6-4917-BA87-C2D87389F975}" name="21013"/>
    <tableColumn id="980" xr3:uid="{EF363650-D72B-4EF8-88D7-4C49BFE2496A}" name="21014"/>
    <tableColumn id="981" xr3:uid="{9AEC8DB3-A8EB-4B86-844D-54AF72E21D04}" name="21015"/>
    <tableColumn id="982" xr3:uid="{4D44147E-C171-4742-8D4D-C4E16D454DA4}" name="21017"/>
    <tableColumn id="983" xr3:uid="{A16B220D-6AA0-4E8C-9210-A4B729515502}" name="21023"/>
    <tableColumn id="984" xr3:uid="{0FB83F8B-659C-4E06-925B-14705280085C}" name="21028"/>
    <tableColumn id="985" xr3:uid="{4446B18C-1AE5-4FB4-BD06-EC77AD0ECAF8}" name="21029"/>
    <tableColumn id="986" xr3:uid="{DEADB85A-A638-454A-8408-5E782DF49315}" name="21030"/>
    <tableColumn id="987" xr3:uid="{BA5AA54C-C00D-4BBF-B8C4-8D3F2F5357D5}" name="21031"/>
    <tableColumn id="988" xr3:uid="{66E9018A-4D5F-4A38-A6F3-62B8191FA8AD}" name="21032"/>
    <tableColumn id="989" xr3:uid="{3CB27DF5-82F8-42BB-A446-9261236BAA2B}" name="21034"/>
    <tableColumn id="990" xr3:uid="{D69008C5-A9D9-49E7-92A9-52AFD6CDCA32}" name="21035"/>
    <tableColumn id="991" xr3:uid="{A370E09D-AEF0-4875-8368-E14A8F87253B}" name="21036"/>
    <tableColumn id="992" xr3:uid="{B7252213-3495-48AB-ABAA-7C7A651F3E5B}" name="21037"/>
    <tableColumn id="993" xr3:uid="{7930606F-ED1C-4C98-9128-99C227B25C7E}" name="21040"/>
    <tableColumn id="994" xr3:uid="{B230710A-CA74-4AF5-B45E-85996B20B1AA}" name="21042"/>
    <tableColumn id="995" xr3:uid="{9335C5F0-18FD-4308-B18B-5888CFF4EDCC}" name="21043"/>
    <tableColumn id="996" xr3:uid="{AE14934B-8308-421D-85C6-8CA62FCA2C83}" name="21044"/>
    <tableColumn id="997" xr3:uid="{6E0F827F-B3F4-4624-9A5F-71D1CC5E5ADB}" name="21045"/>
    <tableColumn id="998" xr3:uid="{F56CB8E7-26E7-4B61-9D52-169A8765A7E6}" name="21046"/>
    <tableColumn id="999" xr3:uid="{178DCDA7-B1DE-4D29-9A4B-7A43DEF58A17}" name="21047"/>
    <tableColumn id="1000" xr3:uid="{C06104C6-F92D-4CDE-A305-A2D0A27AA8F8}" name="21048"/>
    <tableColumn id="1001" xr3:uid="{525029A2-191D-4E72-8EAD-81E59752F33B}" name="21050"/>
    <tableColumn id="1002" xr3:uid="{82B987F8-CE50-4743-A1DD-093B7B85EF8B}" name="21051"/>
    <tableColumn id="1003" xr3:uid="{F798924B-5323-4558-A7AA-658AD60EDF53}" name="21052"/>
    <tableColumn id="1004" xr3:uid="{7CE6A75B-5E34-4392-BC32-B14D517F6817}" name="21053"/>
    <tableColumn id="1005" xr3:uid="{631E0627-E605-4A47-A71F-CE0F576375FE}" name="21054"/>
    <tableColumn id="1006" xr3:uid="{09586CFB-3847-4B05-8E2A-9EA95F7B8B85}" name="21056"/>
    <tableColumn id="1007" xr3:uid="{CFE74860-C3D7-4B05-99AF-8C791B4A0B9D}" name="21057"/>
    <tableColumn id="1008" xr3:uid="{DEBCBAAF-DAD2-4D85-B5A9-25FC98A96476}" name="21060"/>
    <tableColumn id="1009" xr3:uid="{ACC84B48-E7BD-45A9-BA6D-88086203C597}" name="21061"/>
    <tableColumn id="1010" xr3:uid="{4A8D2A67-5896-49A7-B779-8DBF85896384}" name="21071"/>
    <tableColumn id="1011" xr3:uid="{57F59F75-C8EF-4A9B-BCF5-1FF9099E0529}" name="21074"/>
    <tableColumn id="1012" xr3:uid="{6432DBF9-6B6B-43B6-BF73-83BD1C6E443F}" name="21075"/>
    <tableColumn id="1013" xr3:uid="{8B23717C-C578-4985-B45D-0EA2A24338AA}" name="21076"/>
    <tableColumn id="1014" xr3:uid="{F1EF9173-2CB9-477D-8BB5-344E302ADC80}" name="21077"/>
    <tableColumn id="1015" xr3:uid="{FA6B5CD6-8001-4DEC-80B3-F5B2A649E31C}" name="21078"/>
    <tableColumn id="1016" xr3:uid="{D4502E24-F142-4767-9A48-D10103AEC0EF}" name="21082"/>
    <tableColumn id="1017" xr3:uid="{927E95E2-6FB9-46F9-80B3-5749D3316CD0}" name="21084"/>
    <tableColumn id="1018" xr3:uid="{3CC6AD65-38D9-4EFE-8229-2C0C431AB074}" name="21085"/>
    <tableColumn id="1019" xr3:uid="{6E79DE8B-2CD0-4089-8D66-C72623A65465}" name="21087"/>
    <tableColumn id="1020" xr3:uid="{09F06368-660E-4A1B-A310-03A39402B76C}" name="21090"/>
    <tableColumn id="1021" xr3:uid="{9630CDEC-03F1-442D-97CD-4D90A606ACC6}" name="21093"/>
    <tableColumn id="1022" xr3:uid="{A44BF4C2-1FF8-48E5-9446-88135A2E8C19}" name="21102"/>
    <tableColumn id="1023" xr3:uid="{9E679D97-04CE-4EFA-88F1-56E57076B0F9}" name="21104"/>
    <tableColumn id="1024" xr3:uid="{127569E8-A2FB-4673-8F6B-9B3DBFAF1DFC}" name="21105"/>
    <tableColumn id="1025" xr3:uid="{C79C0271-70D8-4442-8144-B461B141C4C4}" name="21108"/>
    <tableColumn id="1026" xr3:uid="{09A58EE8-322D-48EF-BB18-A6721EB93CDD}" name="21111"/>
    <tableColumn id="1027" xr3:uid="{BA5440E2-061E-4844-B66D-EAB8ECD48BD1}" name="21113"/>
    <tableColumn id="1028" xr3:uid="{6E7CD839-281D-4C8C-A047-FD625DF23CF7}" name="21114"/>
    <tableColumn id="1029" xr3:uid="{D1ED163B-F39C-473E-AB6D-0BDCE52D8ADC}" name="21117"/>
    <tableColumn id="1030" xr3:uid="{AAB12E55-2D60-48C9-AC79-571429DBAFD1}" name="21120"/>
    <tableColumn id="1031" xr3:uid="{5818B23F-877E-4031-9284-6219A9A1C582}" name="21122"/>
    <tableColumn id="1032" xr3:uid="{25C60116-BE30-474B-96BE-4E1B7DF37D0D}" name="21128"/>
    <tableColumn id="1033" xr3:uid="{FEC0926C-A87F-4B08-9024-035C798CD6C4}" name="21130"/>
    <tableColumn id="1034" xr3:uid="{674954F5-003C-490A-AAB3-086C1AEDF8F2}" name="21131"/>
    <tableColumn id="1035" xr3:uid="{EC1E31A4-43A2-4D79-BF29-095E610BEBCD}" name="21132"/>
    <tableColumn id="1036" xr3:uid="{CAAD96BA-0F90-4AE0-8FA6-DDFE611502A8}" name="21133"/>
    <tableColumn id="1037" xr3:uid="{2CE48F10-827D-478B-B8B1-FF4D3F0B34E0}" name="21136"/>
    <tableColumn id="1038" xr3:uid="{C9B52C04-747F-432A-9FD3-84552F85A5ED}" name="21140"/>
    <tableColumn id="1039" xr3:uid="{9E21D77E-A618-4EBC-9EB6-9A51EE68820E}" name="21144"/>
    <tableColumn id="1040" xr3:uid="{5B208A24-A44F-44E6-B5A0-4C9FF1DBA50F}" name="21146"/>
    <tableColumn id="1041" xr3:uid="{0851A32A-B6CE-4516-A886-C34E83856AC9}" name="21152"/>
    <tableColumn id="1042" xr3:uid="{302E11FE-3A12-4E95-B00E-771712902DCF}" name="21153"/>
    <tableColumn id="1043" xr3:uid="{1ACF20C4-8B4E-4132-8736-EFD19030C16B}" name="21154"/>
    <tableColumn id="1044" xr3:uid="{D9BC2DE2-0D61-4405-B0CA-8C3483822D07}" name="21155"/>
    <tableColumn id="1045" xr3:uid="{A1674ED6-43B9-4B3A-8E70-1458396B6F4A}" name="21156"/>
    <tableColumn id="1046" xr3:uid="{79E65F48-0836-4655-8D91-E7EF0546145B}" name="21157"/>
    <tableColumn id="1047" xr3:uid="{23C7A60D-9AD3-4124-A691-6FDDD42B213A}" name="21158"/>
    <tableColumn id="1048" xr3:uid="{7880972C-13C5-4316-B4D5-3ED62FEE559C}" name="21160"/>
    <tableColumn id="1049" xr3:uid="{330BFF4C-56B6-42EF-821F-477C31E3AA1A}" name="21161"/>
    <tableColumn id="1050" xr3:uid="{B480C992-4531-414B-AB1E-163A233FAF65}" name="21162"/>
    <tableColumn id="1051" xr3:uid="{C13281BF-4F98-4721-B140-98C2C1A10319}" name="21163"/>
    <tableColumn id="1052" xr3:uid="{ECD34A9A-AB99-493A-AA6D-D9D0565C0E14}" name="21201"/>
    <tableColumn id="1053" xr3:uid="{C05CE792-9CE3-4D5D-B654-FA8398266B62}" name="21202"/>
    <tableColumn id="1054" xr3:uid="{A3C3A451-16A6-4FEC-B3A0-1B47B5EBD699}" name="21204"/>
    <tableColumn id="1055" xr3:uid="{86180F85-290E-4F95-983D-D75A32DE1EE2}" name="21205"/>
    <tableColumn id="1056" xr3:uid="{F9F58165-EA93-42FB-B3A1-FFE5F59C1174}" name="21206"/>
    <tableColumn id="1057" xr3:uid="{887F9F1A-79A7-4C42-8AFC-F764044662A7}" name="21207"/>
    <tableColumn id="1058" xr3:uid="{42E4DDF7-D4E5-4E57-83E7-36281D263DC3}" name="21208"/>
    <tableColumn id="1059" xr3:uid="{5497D1AA-11A0-4984-96CF-6F85A2774044}" name="21209"/>
    <tableColumn id="1060" xr3:uid="{4BCD23A2-C46F-4414-8AC5-71E5382AC875}" name="21210"/>
    <tableColumn id="1061" xr3:uid="{73574E3C-A4CA-4B3E-8743-C98EB8737F3F}" name="21211"/>
    <tableColumn id="1062" xr3:uid="{914012AE-E5C9-4E2E-9F40-3F7011DAC077}" name="21212"/>
    <tableColumn id="1063" xr3:uid="{BF1B58FB-6A14-4340-8454-938B6ED4C9D0}" name="21213"/>
    <tableColumn id="1064" xr3:uid="{F1FBDF93-860C-4D4B-B6B1-11DC7B5AAEB7}" name="21214"/>
    <tableColumn id="1065" xr3:uid="{7580DA1C-8E27-468C-A546-75E6E3D282BB}" name="21215"/>
    <tableColumn id="1066" xr3:uid="{F427B2D5-CB58-4834-9AE7-625124EEF608}" name="21216"/>
    <tableColumn id="1067" xr3:uid="{6278510B-E872-4FE8-847C-F93D1511D264}" name="21217"/>
    <tableColumn id="1068" xr3:uid="{4AF9D23B-EF00-4265-AABB-C1DC454B4336}" name="21218"/>
    <tableColumn id="1069" xr3:uid="{C28E851F-3C7A-45F3-BA2F-656063B7C949}" name="21219"/>
    <tableColumn id="1070" xr3:uid="{4D589352-37D2-427F-9B24-7F41222AACAD}" name="21220"/>
    <tableColumn id="1071" xr3:uid="{E8DD6A98-49D1-47CE-A69F-3A2ACEA33074}" name="21221"/>
    <tableColumn id="1072" xr3:uid="{2DFAF769-4C38-4364-BCCF-911E88602BAA}" name="21222"/>
    <tableColumn id="1073" xr3:uid="{35B5FF70-3273-4BCA-8666-EBC900B31510}" name="21223"/>
    <tableColumn id="1074" xr3:uid="{F144DD5A-11E1-4ADD-AD49-B8D91A3857D5}" name="21224"/>
    <tableColumn id="1075" xr3:uid="{8E8394D0-C258-4E2B-BBE2-651A023B0A3F}" name="21225"/>
    <tableColumn id="1076" xr3:uid="{020D60D7-1A4E-43FD-B89E-E9CAED0D8FD4}" name="21226"/>
    <tableColumn id="1077" xr3:uid="{F16C8C2C-EF6E-4243-A24A-34EF06F3D2C5}" name="21227"/>
    <tableColumn id="1078" xr3:uid="{77D3FB71-1AA5-4BC5-A157-05B5D2251FAE}" name="21228"/>
    <tableColumn id="1079" xr3:uid="{43831E00-E6A0-46E5-B4D6-5973E7414051}" name="21229"/>
    <tableColumn id="1080" xr3:uid="{E28B1E86-DE7A-4323-9DE7-8F7EEC2AA924}" name="21230"/>
    <tableColumn id="1081" xr3:uid="{93F04795-02F7-4710-B153-F87CAD3A5C53}" name="21231"/>
    <tableColumn id="1082" xr3:uid="{10538B43-3F2E-4CCF-896F-6366D6BE92F7}" name="21233"/>
    <tableColumn id="1083" xr3:uid="{79C569B0-635A-48F8-98CF-9BFFF4A667F9}" name="21234"/>
    <tableColumn id="1084" xr3:uid="{4870D0FC-4EF4-465C-88CC-3CFAD9A1616F}" name="21236"/>
    <tableColumn id="1085" xr3:uid="{44BEEAB3-929B-45E1-9C85-96CD074E2BDE}" name="21237"/>
    <tableColumn id="1086" xr3:uid="{E93224C4-182F-43F2-ADA0-59BE73BDA96A}" name="21239"/>
    <tableColumn id="1087" xr3:uid="{ACF99E24-262F-4164-B000-E77AF0CE607A}" name="21240"/>
    <tableColumn id="1088" xr3:uid="{19E88DFE-0AA8-4C07-88E4-028A1A9D3253}" name="21244"/>
    <tableColumn id="1089" xr3:uid="{E8EC2BA9-D144-4A48-8296-25CD8A35027E}" name="21250"/>
    <tableColumn id="1090" xr3:uid="{D41B808B-63D3-4278-A379-EB9BAA53957F}" name="21251"/>
    <tableColumn id="1091" xr3:uid="{C4ED0234-EA25-4CF6-90C5-77543C811090}" name="21252"/>
    <tableColumn id="1092" xr3:uid="{34A81DCC-CA90-49C1-8F94-1D478BC5545D}" name="21285"/>
    <tableColumn id="1093" xr3:uid="{BDF70AE9-8C01-43F1-B235-F777B0F6CFB6}" name="21286"/>
    <tableColumn id="1094" xr3:uid="{CA9A5CB6-A213-4A6E-B33B-7393380CB236}" name="21287"/>
    <tableColumn id="1095" xr3:uid="{EE6A4C0C-4ACC-48B2-B21C-CE79FF737C4E}" name="21401"/>
    <tableColumn id="1096" xr3:uid="{1F678974-BA3C-4A05-B7EB-14C24B7BAC35}" name="21402"/>
    <tableColumn id="1097" xr3:uid="{6F9EE277-0150-4421-8C35-FDA27D5BE9DD}" name="21403"/>
    <tableColumn id="1098" xr3:uid="{F50242E7-B81D-48BB-A531-F1829BEC8EF0}" name="21405"/>
    <tableColumn id="1099" xr3:uid="{3ACBAECB-098C-4BB9-AFDD-F04BDE849E22}" name="21409"/>
    <tableColumn id="1100" xr3:uid="{87023A8E-8A7D-43A3-B26C-360080A89008}" name="21502"/>
    <tableColumn id="1101" xr3:uid="{2EBC9E4C-8593-46D0-8006-FCFF38D451FD}" name="21520"/>
    <tableColumn id="1102" xr3:uid="{458B4F76-B57F-4845-A0F0-8CF8E50A7853}" name="21521"/>
    <tableColumn id="1103" xr3:uid="{CB98DEAC-3575-45AF-BCEC-4FDFFB74AC87}" name="21523"/>
    <tableColumn id="1104" xr3:uid="{D68E5EC0-426A-4E86-970B-BD2EB700E1C5}" name="21524"/>
    <tableColumn id="1105" xr3:uid="{30B8E4CE-8199-4640-B28C-68724046C4F5}" name="21529"/>
    <tableColumn id="1106" xr3:uid="{D4975123-5AC3-4A8C-8BA8-84B928302DDE}" name="21530"/>
    <tableColumn id="1107" xr3:uid="{035A1E62-8B6C-4ED3-A0EF-10A2315BC1D7}" name="21531"/>
    <tableColumn id="1108" xr3:uid="{F89A1036-469F-40AB-A265-D1787E9C3746}" name="21532"/>
    <tableColumn id="1109" xr3:uid="{704F0C1E-B900-427D-88DA-D5800E314DAC}" name="21536"/>
    <tableColumn id="1110" xr3:uid="{B5D2193E-94BB-4370-96BE-058BC0277271}" name="21538"/>
    <tableColumn id="1111" xr3:uid="{F9C96C0A-5011-41D0-B424-B5EDDB619D79}" name="21539"/>
    <tableColumn id="1112" xr3:uid="{8584DCFD-9853-43AD-8108-79EAD87DAA2A}" name="21540"/>
    <tableColumn id="1113" xr3:uid="{67F2E261-0E27-47C4-B869-36ADF32F1A56}" name="21541"/>
    <tableColumn id="1114" xr3:uid="{19D701EB-8361-43E1-B8DA-1824B0A474C1}" name="21542"/>
    <tableColumn id="1115" xr3:uid="{770E42E3-0064-4244-8B4D-0F7E187F52A5}" name="21543"/>
    <tableColumn id="1116" xr3:uid="{B39B6F02-E936-4687-BE01-059DBA906052}" name="21545"/>
    <tableColumn id="1117" xr3:uid="{471CCD4E-1635-4931-8D82-09B71398EBE4}" name="21550"/>
    <tableColumn id="1118" xr3:uid="{2D025D7D-E640-405F-822B-3A00C26ED1CC}" name="21555"/>
    <tableColumn id="1119" xr3:uid="{FC7C4458-959F-4A9F-A90A-50CDCFAC682C}" name="21557"/>
    <tableColumn id="1120" xr3:uid="{D7E4F1F9-537B-4CA2-A54B-639D0A3762FC}" name="21560"/>
    <tableColumn id="1121" xr3:uid="{4311402D-2336-435A-A3BC-7623B7CEEA5E}" name="21561"/>
    <tableColumn id="1122" xr3:uid="{245E3BBD-4ADD-416F-8F9E-E50E24789966}" name="21562"/>
    <tableColumn id="1123" xr3:uid="{4A976DFC-6986-43F7-811D-C7B7B2002A1F}" name="21601"/>
    <tableColumn id="1124" xr3:uid="{D16D0BA3-6EB7-4AEE-B7EB-868A66DFCB81}" name="21607"/>
    <tableColumn id="1125" xr3:uid="{562ACA36-5B05-4778-A2CE-B218F87EFCC5}" name="21610"/>
    <tableColumn id="1126" xr3:uid="{E8413A0D-1676-45BC-AAE4-2BFA59937AA1}" name="21612"/>
    <tableColumn id="1127" xr3:uid="{D4747E07-1632-4F42-B93E-E157EAF1537F}" name="21613"/>
    <tableColumn id="1128" xr3:uid="{96DEE768-52BB-43D4-916B-D35A8C70CA78}" name="21617"/>
    <tableColumn id="1129" xr3:uid="{6679F315-A482-46B7-883A-05FE3CE25ECA}" name="21619"/>
    <tableColumn id="1130" xr3:uid="{DF2C5234-EDA9-4D60-851D-E51277237F49}" name="21620"/>
    <tableColumn id="1131" xr3:uid="{014B61FF-BF26-45EE-A55C-00D90DBC4FE8}" name="21622"/>
    <tableColumn id="1132" xr3:uid="{AF014AA7-BBCA-4D20-94F1-04E59CC7B40F}" name="21623"/>
    <tableColumn id="1133" xr3:uid="{4CB1FA0C-F99B-4FCC-98B8-BD949B9F387B}" name="21624"/>
    <tableColumn id="1134" xr3:uid="{D945F71E-704A-4479-B373-BB6C4F317DF1}" name="21625"/>
    <tableColumn id="1135" xr3:uid="{1C608176-7DB7-449C-92F6-CABB32E134C1}" name="21626"/>
    <tableColumn id="1136" xr3:uid="{10C99550-717D-41F0-BDC9-6BF2B33CD6B2}" name="21627"/>
    <tableColumn id="1137" xr3:uid="{6A0F57E1-E8E9-439F-8DF8-3EE1543825EC}" name="21628"/>
    <tableColumn id="1138" xr3:uid="{54D9178E-513B-409F-A89A-668F77F369A3}" name="21629"/>
    <tableColumn id="1139" xr3:uid="{54C8E064-FF67-4A43-BEE0-BB32F3E6253E}" name="21631"/>
    <tableColumn id="1140" xr3:uid="{EBFF78AA-3CE5-44A5-A20F-9E711A0DAC14}" name="21632"/>
    <tableColumn id="1141" xr3:uid="{65570CA4-3808-4E3B-8E62-74B22F7EBB81}" name="21634"/>
    <tableColumn id="1142" xr3:uid="{7E1316FD-3C72-4610-BC24-FD543FAC9D21}" name="21635"/>
    <tableColumn id="1143" xr3:uid="{5B936C76-E88C-4CB0-8385-0749C06FFC13}" name="21636"/>
    <tableColumn id="1144" xr3:uid="{1DFE2EBA-19C9-486F-9532-4E99BAFCC054}" name="21638"/>
    <tableColumn id="1145" xr3:uid="{0B74D563-7035-4EC9-9F5B-B0DE149401C8}" name="21639"/>
    <tableColumn id="1146" xr3:uid="{1506B411-DCCF-4E24-9A29-F5F83C53ACDA}" name="21640"/>
    <tableColumn id="1147" xr3:uid="{F793475C-AECB-44EC-92E6-1CBB62C4528E}" name="21641"/>
    <tableColumn id="1148" xr3:uid="{42DF1405-4E90-4B2F-9130-D2729B3CD9B8}" name="21643"/>
    <tableColumn id="1149" xr3:uid="{A16BE200-9B46-4237-9D12-D93C4E2BAADB}" name="21644"/>
    <tableColumn id="1150" xr3:uid="{F19950F1-ED04-46EC-86A9-88CBF5F5D669}" name="21645"/>
    <tableColumn id="1151" xr3:uid="{C023BC86-11BE-4FF7-AE05-C10530B907C2}" name="21647"/>
    <tableColumn id="1152" xr3:uid="{BDDDFC12-4869-4618-ADD7-7E2EFE78AF5E}" name="21648"/>
    <tableColumn id="1153" xr3:uid="{0713523F-EBF7-44BC-A8B9-8A1F2557918F}" name="21649"/>
    <tableColumn id="1154" xr3:uid="{9F9739C4-3859-4741-AA0D-365FCA05C70B}" name="21650"/>
    <tableColumn id="1155" xr3:uid="{44842AC9-4FA0-4DBA-9FD6-C345A112ACB8}" name="21651"/>
    <tableColumn id="1156" xr3:uid="{D4B0B333-BA99-4CB2-A059-F37FD8BFD214}" name="21652"/>
    <tableColumn id="1157" xr3:uid="{DF8982F0-9A78-48D2-BC08-E52BF2AFABC8}" name="21653"/>
    <tableColumn id="1158" xr3:uid="{C6DC700C-E0AE-4DB1-8A56-485F05656863}" name="21654"/>
    <tableColumn id="1159" xr3:uid="{7E472583-798F-4858-B720-E5A3657D2B43}" name="21655"/>
    <tableColumn id="1160" xr3:uid="{A8D7DD86-407E-46B7-B4E6-F7D57018C8C5}" name="21657"/>
    <tableColumn id="1161" xr3:uid="{24CABEC4-45EB-4C54-A9CC-680C85B52C57}" name="21658"/>
    <tableColumn id="1162" xr3:uid="{20C93386-0E59-4502-B39B-4BE16A6E315D}" name="21659"/>
    <tableColumn id="1163" xr3:uid="{BCF4EDC1-D6CD-412D-AC79-6094BF110180}" name="21660"/>
    <tableColumn id="1164" xr3:uid="{657DA129-305C-4571-B2EE-A5FFB53AE93E}" name="21661"/>
    <tableColumn id="1165" xr3:uid="{4FE51290-AA32-43D7-94D0-096AC684A47F}" name="21662"/>
    <tableColumn id="1166" xr3:uid="{D3573F55-EDEE-4809-8ACD-ADA11F6E4181}" name="21663"/>
    <tableColumn id="1167" xr3:uid="{21F27DBA-94CC-4EF1-AA80-AD27D6C6FB2C}" name="21664"/>
    <tableColumn id="1168" xr3:uid="{3638F2CC-9D0A-4396-AE8E-EE1B45518188}" name="21665"/>
    <tableColumn id="1169" xr3:uid="{455EB007-19C7-4BAB-B95A-053CB56FA155}" name="21666"/>
    <tableColumn id="1170" xr3:uid="{47A08B18-2241-4620-9DAA-0EA3B1E9E772}" name="21667"/>
    <tableColumn id="1171" xr3:uid="{25DD12EC-016D-435F-9FEE-A0A773309426}" name="21668"/>
    <tableColumn id="1172" xr3:uid="{5A5320D1-034B-4CD6-BBE6-51F5009DED55}" name="21669"/>
    <tableColumn id="1173" xr3:uid="{94EC072A-F715-4FF6-8E2E-389175AB1053}" name="21671"/>
    <tableColumn id="1174" xr3:uid="{B1E9D2C1-5AF7-4323-B6E3-EE875F68987F}" name="21672"/>
    <tableColumn id="1175" xr3:uid="{77DB6EEA-59F5-4433-BA84-A6D00DE546EC}" name="21673"/>
    <tableColumn id="1176" xr3:uid="{C31D0FAB-1B73-46CF-A596-B20387F29BED}" name="21675"/>
    <tableColumn id="1177" xr3:uid="{ECCF790B-7304-455D-8AA0-13BDACAA02FC}" name="21676"/>
    <tableColumn id="1178" xr3:uid="{9FD090F7-BD75-4B8D-9ADB-1FAE754DE9D2}" name="21677"/>
    <tableColumn id="1179" xr3:uid="{E29275A3-A213-4CEE-ACA5-68AE75B957F3}" name="21678"/>
    <tableColumn id="1180" xr3:uid="{0E5B178A-3352-44F5-B1FB-8089AC6B055C}" name="21679"/>
    <tableColumn id="1181" xr3:uid="{D5CBCA18-7697-40AA-B342-853D00AA4C4E}" name="21701"/>
    <tableColumn id="1182" xr3:uid="{9105209F-7A3F-467F-8356-8FB3FD56BA68}" name="21702"/>
    <tableColumn id="1183" xr3:uid="{A0C583C9-3E9A-49AF-8DCB-7E34A18F8A77}" name="21703"/>
    <tableColumn id="1184" xr3:uid="{315C3E8E-8C36-4022-A85E-215422F051A5}" name="21704"/>
    <tableColumn id="1185" xr3:uid="{81AEBBB2-652D-4880-989B-897A22E17729}" name="21705"/>
    <tableColumn id="1186" xr3:uid="{61F5025A-07EA-4E91-9227-FF41B4A46BE5}" name="21710"/>
    <tableColumn id="1187" xr3:uid="{D1FB9538-395A-44E1-A699-12D6EF3EC222}" name="21711"/>
    <tableColumn id="1188" xr3:uid="{252D1A9B-657E-4B65-8D0B-33498788886F}" name="21713"/>
    <tableColumn id="1189" xr3:uid="{4B3384F1-8C8E-4CBE-A76E-682BECDADF3B}" name="21714"/>
    <tableColumn id="1190" xr3:uid="{A6ACC547-8FBD-4372-9C65-A2A78F8B2CCA}" name="21715"/>
    <tableColumn id="1191" xr3:uid="{0AAD8627-E6DB-4774-808E-475ED0B5C0CF}" name="21716"/>
    <tableColumn id="1192" xr3:uid="{F2FEE787-6C26-468C-BFBD-5534878937E3}" name="21717"/>
    <tableColumn id="1193" xr3:uid="{D60D0CF9-FAB3-46DF-A88A-C10CAC6625D3}" name="21718"/>
    <tableColumn id="1194" xr3:uid="{213000F6-3F51-46ED-A37D-E1F422E3EB96}" name="21719"/>
    <tableColumn id="1195" xr3:uid="{B043092E-B9F7-4B7A-9DEB-CFE6545EA08A}" name="21722"/>
    <tableColumn id="1196" xr3:uid="{28E4A015-39A5-4745-80D6-5C4E4D724D9B}" name="21723"/>
    <tableColumn id="1197" xr3:uid="{B358F0D5-2721-4E4E-8340-DF5E077243C5}" name="21727"/>
    <tableColumn id="1198" xr3:uid="{7DD4597B-42FD-4FEC-965B-7859DE757409}" name="21733"/>
    <tableColumn id="1199" xr3:uid="{9B61D690-7A53-45EF-B025-C0A47CE6178F}" name="21734"/>
    <tableColumn id="1200" xr3:uid="{5E1451C0-7895-4011-9CA2-621E988B88B5}" name="21737"/>
    <tableColumn id="1201" xr3:uid="{0951F2EB-AD8D-4517-AED3-66E02FD9CF83}" name="21738"/>
    <tableColumn id="1202" xr3:uid="{204FF926-9368-4E6B-B323-3BDB4A0074ED}" name="21740"/>
    <tableColumn id="1203" xr3:uid="{597D079A-8172-4855-B95F-01658867D1A5}" name="21742"/>
    <tableColumn id="1204" xr3:uid="{446E6865-1462-492C-9E88-4C470D085EE3}" name="21746"/>
    <tableColumn id="1205" xr3:uid="{EF3E6A17-4407-429A-BE82-9E389DEF1AE2}" name="21750"/>
    <tableColumn id="1206" xr3:uid="{B349294D-2303-44C0-B026-13C1EC743E9D}" name="21754"/>
    <tableColumn id="1207" xr3:uid="{17F7C753-DF75-4512-88D7-069912CC2485}" name="21755"/>
    <tableColumn id="1208" xr3:uid="{201AFF59-9FDD-4447-B7FA-456A759F064C}" name="21756"/>
    <tableColumn id="1209" xr3:uid="{1F1E519F-1F5E-457A-AA5B-2976CE005834}" name="21757"/>
    <tableColumn id="1210" xr3:uid="{39F8B316-894F-4523-B04E-C0DF96669C5B}" name="21758"/>
    <tableColumn id="1211" xr3:uid="{ED7515C4-7C31-4085-ABE3-C0CD5AE379A1}" name="21762"/>
    <tableColumn id="1212" xr3:uid="{8C1B992A-D361-4A69-93E6-7FD1140C99E5}" name="21766"/>
    <tableColumn id="1213" xr3:uid="{ECCE2BD7-92BB-4261-9A2D-D808A7002ECF}" name="21767"/>
    <tableColumn id="1214" xr3:uid="{C97BDAC0-24A2-4B88-938C-FE7ABB91D460}" name="21769"/>
    <tableColumn id="1215" xr3:uid="{21F2D6C7-8474-4739-AD9E-837F7C64FADC}" name="21770"/>
    <tableColumn id="1216" xr3:uid="{85887555-8298-4563-AAC0-F1B12C29C4C8}" name="21771"/>
    <tableColumn id="1217" xr3:uid="{E2CA1B71-2FBD-4EAD-BEDB-720BABAF15B4}" name="21773"/>
    <tableColumn id="1218" xr3:uid="{DEBCC759-11F9-4422-9555-7A435CFC217C}" name="21774"/>
    <tableColumn id="1219" xr3:uid="{5011B73E-9623-47B9-B158-695C5767A4E2}" name="21776"/>
    <tableColumn id="1220" xr3:uid="{B1D73377-8014-4BD6-AE29-149C11D11F21}" name="21777"/>
    <tableColumn id="1221" xr3:uid="{F565E699-7F6B-49BA-9B25-1E8E17C1DFD5}" name="21778"/>
    <tableColumn id="1222" xr3:uid="{5B0F7925-CAB7-4177-A235-C5A238F3FC33}" name="21779"/>
    <tableColumn id="1223" xr3:uid="{C4315986-6029-4ABD-9882-B2C148B8A9C7}" name="21780"/>
    <tableColumn id="1224" xr3:uid="{F584B491-903D-4891-ADF5-0089630C49EB}" name="21781"/>
    <tableColumn id="1225" xr3:uid="{41617323-48F1-4A47-A00F-610694EA48F2}" name="21782"/>
    <tableColumn id="1226" xr3:uid="{46798EA3-35C7-4300-97C3-106F35DB8895}" name="21783"/>
    <tableColumn id="1227" xr3:uid="{D7BE7C0A-0A04-4B06-8D9B-EC2CBC1E642E}" name="21784"/>
    <tableColumn id="1228" xr3:uid="{D44E762A-C3F3-4077-8FF7-D6AD3ABDD13B}" name="21787"/>
    <tableColumn id="1229" xr3:uid="{0F4F4B9B-4A39-4FCF-9BFE-8FA8AFAAED9F}" name="21788"/>
    <tableColumn id="1230" xr3:uid="{65567405-2914-4984-AA11-9EE284ADB104}" name="21790"/>
    <tableColumn id="1231" xr3:uid="{2AE3FA53-45B5-4FA3-9EC2-B2187283CD73}" name="21791"/>
    <tableColumn id="1232" xr3:uid="{35E1EA8E-90C4-4017-95FF-2EA7F0F26B16}" name="21793"/>
    <tableColumn id="1233" xr3:uid="{99667AB7-AFF5-40E9-A684-477E79BF799D}" name="21794"/>
    <tableColumn id="1234" xr3:uid="{20D021A7-1CC4-46D6-B601-471F4C3169BD}" name="21795"/>
    <tableColumn id="1235" xr3:uid="{BCCC43CA-094D-4306-A48F-4940B40B0834}" name="21797"/>
    <tableColumn id="1236" xr3:uid="{B781DD44-220E-48E9-8680-B2D52413A0D2}" name="21798"/>
    <tableColumn id="1237" xr3:uid="{C8C0239C-C095-47C3-AA90-359BA1D0AFB1}" name="21801"/>
    <tableColumn id="1238" xr3:uid="{7B4561D6-BB3E-4F19-ABC1-A7494F7B81CB}" name="21804"/>
    <tableColumn id="1239" xr3:uid="{1776BF70-022E-49C9-BB53-34FC6E9B4E18}" name="21810"/>
    <tableColumn id="1240" xr3:uid="{856F4DD8-7057-4DD4-8196-F0D05906780A}" name="21811"/>
    <tableColumn id="1241" xr3:uid="{9A481948-D4C6-4253-BEB9-3F79B8ECEA7E}" name="21813"/>
    <tableColumn id="1242" xr3:uid="{00E37234-D0E0-425E-95B4-2D4C92A589E7}" name="21814"/>
    <tableColumn id="1243" xr3:uid="{DE96ABD5-6F12-4643-AAA7-F551871AC816}" name="21817"/>
    <tableColumn id="1244" xr3:uid="{40465651-73B3-4993-999B-A26963353600}" name="21821"/>
    <tableColumn id="1245" xr3:uid="{0FDF1BA9-380E-427C-B95C-AC17452EE914}" name="21822"/>
    <tableColumn id="1246" xr3:uid="{7BC59168-DE91-4598-9EFA-00ECA1C213E0}" name="21824"/>
    <tableColumn id="1247" xr3:uid="{DE03ED02-0729-4BB7-B3EA-1C2067DE9C8D}" name="21826"/>
    <tableColumn id="1248" xr3:uid="{B864E8DD-1164-4CB3-AB3C-49BB9A7FE2D5}" name="21829"/>
    <tableColumn id="1249" xr3:uid="{798FFD91-C3BB-4967-A67D-9E427D996D1D}" name="21830"/>
    <tableColumn id="1250" xr3:uid="{F0B144FC-66C8-43D7-B8FB-345F9B6CEBB9}" name="21835"/>
    <tableColumn id="1251" xr3:uid="{E2EA226E-07A7-49A4-B231-6E899F32BA4C}" name="21837"/>
    <tableColumn id="1252" xr3:uid="{A0B64E5C-8C4A-428D-82AA-D4FD4238982F}" name="21838"/>
    <tableColumn id="1253" xr3:uid="{EA47F21F-80F1-4164-B588-83AFD7E37B28}" name="21840"/>
    <tableColumn id="1254" xr3:uid="{F189AB63-31F3-42BE-9CD8-BEE5359E9C6B}" name="21841"/>
    <tableColumn id="1255" xr3:uid="{B0F371BA-E3AF-4BC3-8A73-A06B7D420909}" name="21842"/>
    <tableColumn id="1256" xr3:uid="{A517293A-C0B8-4C59-8AF6-F5D8628CF35C}" name="21849"/>
    <tableColumn id="1257" xr3:uid="{B0179478-BE80-4FC5-8F53-EB970401AA31}" name="21850"/>
    <tableColumn id="1258" xr3:uid="{6B891736-D41C-499F-85C8-784DE5BEAB1E}" name="21851"/>
    <tableColumn id="1259" xr3:uid="{0D16C063-E299-480F-A2BA-1697C6483AEB}" name="21853"/>
    <tableColumn id="1260" xr3:uid="{0CBA9667-BDD3-45DC-84B0-BA14721EA0F4}" name="21856"/>
    <tableColumn id="1261" xr3:uid="{5C53E98A-EA5D-4C4C-8E1D-856E73874B2E}" name="21861"/>
    <tableColumn id="1262" xr3:uid="{52E7C6DE-C2C5-478E-8657-4E064DC89D96}" name="21862"/>
    <tableColumn id="1263" xr3:uid="{76AF21DB-9FE3-4C70-9E3F-20979136C094}" name="21863"/>
    <tableColumn id="1264" xr3:uid="{4E94B766-E777-4297-B7DB-B903D67854E7}" name="21864"/>
    <tableColumn id="1265" xr3:uid="{664B248B-2A4F-4A2C-80C8-501315AABB79}" name="21865"/>
    <tableColumn id="1266" xr3:uid="{4E9EB447-CDDD-48F2-8A81-D5520998A326}" name="21866"/>
    <tableColumn id="1267" xr3:uid="{89AC5143-BFF9-46AF-8D5F-2E936FB2E5DE}" name="21867"/>
    <tableColumn id="1268" xr3:uid="{4C3A09A9-2F8D-4ACD-B259-02230BF80215}" name="21869"/>
    <tableColumn id="1269" xr3:uid="{8675DB11-7094-4FA1-A3CF-3C74901A6734}" name="21871"/>
    <tableColumn id="1270" xr3:uid="{68A5D3BB-47C6-42D1-8D9B-714309275C94}" name="21872"/>
    <tableColumn id="1271" xr3:uid="{8C1CBFD4-6E6C-42A7-B45A-0A41BBFF2581}" name="21874"/>
    <tableColumn id="1272" xr3:uid="{AD04D3A8-3A85-40C2-9AF2-E4DDE08B2031}" name="21875"/>
    <tableColumn id="1273" xr3:uid="{89E25601-F5F8-4812-8C98-708B4BC14413}" name="21890"/>
    <tableColumn id="1274" xr3:uid="{CCD5179D-41B2-4F19-B1D3-645DB407CAA3}" name="21901"/>
    <tableColumn id="1275" xr3:uid="{953A24D0-3E2D-4F9E-B261-972B57C6DCEF}" name="21902"/>
    <tableColumn id="1276" xr3:uid="{62AA9800-2692-4735-9AF6-798A0036239E}" name="21903"/>
    <tableColumn id="1277" xr3:uid="{A8714910-F299-40EE-AF50-89F0F79778C6}" name="21904"/>
    <tableColumn id="1278" xr3:uid="{D613724B-8454-4765-9DC4-71996E243830}" name="21911"/>
    <tableColumn id="1279" xr3:uid="{31B47EFD-0746-462F-93F1-4C272989720D}" name="21912"/>
    <tableColumn id="1280" xr3:uid="{5AC5FCF3-8D62-403C-BD48-DB23E65D0122}" name="21913"/>
    <tableColumn id="1281" xr3:uid="{7DA411CF-F6D1-42BB-8284-61001772EB63}" name="21914"/>
    <tableColumn id="1282" xr3:uid="{F1C24779-2796-4C19-A5FA-2696E0D91AE1}" name="21915"/>
    <tableColumn id="1283" xr3:uid="{28D0B6A9-962C-4F5D-9E02-7E69B2E467AC}" name="21917"/>
    <tableColumn id="1284" xr3:uid="{EFEA5B1A-EB5C-484F-A8E6-7B526EA413CB}" name="21918"/>
    <tableColumn id="1285" xr3:uid="{C9A99EC6-7CC6-4CD3-A7F2-4E9FD4B46DBF}" name="21919"/>
    <tableColumn id="1286" xr3:uid="{6F0355CA-A881-49D0-AEEB-B57B6B00C800}" name="21920"/>
    <tableColumn id="1287" xr3:uid="{B755722D-930C-428A-BF4E-2CDCE9D831C9}" name="21921"/>
    <tableColumn id="1288" xr3:uid="{B85D20FA-3FD9-42E0-830C-B1BDB0B85813}" name="21930"/>
    <tableColumn id="1289" xr3:uid="{0E4091AF-CF80-436C-BA7C-0A7B581C2499}" name="27006"/>
    <tableColumn id="1290" xr3:uid="{17415CCF-13B7-4AE6-B5C5-F24628E9802B}" name="27007"/>
    <tableColumn id="1291" xr3:uid="{64333E4D-C011-4FBA-8C1F-85F1B19A7D2D}" name="27009"/>
    <tableColumn id="1292" xr3:uid="{C343A57E-E45A-4623-BDB8-8D7ECE98E849}" name="27011"/>
    <tableColumn id="1293" xr3:uid="{67483FF9-B004-4E04-B02F-E581C0A26212}" name="27012"/>
    <tableColumn id="1294" xr3:uid="{11E8778A-4AFB-48AE-913C-2E1EBC589A8F}" name="27013"/>
    <tableColumn id="1295" xr3:uid="{4A212016-291A-45EA-9069-53659679ABA3}" name="27014"/>
    <tableColumn id="1296" xr3:uid="{65E8F68B-AAFC-4115-A7AD-799DD8246CD3}" name="27016"/>
    <tableColumn id="1297" xr3:uid="{71218A3A-3040-4275-8F1E-F78E2DD75D94}" name="27017"/>
    <tableColumn id="1298" xr3:uid="{67734671-AD10-4674-A8F2-889A3636F488}" name="27018"/>
    <tableColumn id="1299" xr3:uid="{7FCD627D-F4EF-49C2-9929-0D68725587F8}" name="27019"/>
    <tableColumn id="1300" xr3:uid="{266F9753-33AA-4318-8F48-967AA22E5150}" name="27020"/>
    <tableColumn id="1301" xr3:uid="{DECCB688-EDFA-4C8F-A81F-B45862183200}" name="27021"/>
    <tableColumn id="1302" xr3:uid="{1E0642FD-7B20-421F-AFDD-BBF5170CB70B}" name="27022"/>
    <tableColumn id="1303" xr3:uid="{30B7125F-6B85-4C4D-AFED-E04B60EED38F}" name="27023"/>
    <tableColumn id="1304" xr3:uid="{205ABD79-B723-4ABD-ABE2-B673090F8D42}" name="27024"/>
    <tableColumn id="1305" xr3:uid="{B9D049B0-76D4-45F8-A060-AA67FFA8A978}" name="27025"/>
    <tableColumn id="1306" xr3:uid="{2330777D-F4EF-4EDE-9C78-9600292D771E}" name="27027"/>
    <tableColumn id="1307" xr3:uid="{FDC502B8-6208-4903-8B00-48A3D07F2DF4}" name="27028"/>
    <tableColumn id="1308" xr3:uid="{1A826104-E88A-4422-B3EC-258225EB8A7A}" name="27030"/>
    <tableColumn id="1309" xr3:uid="{265A0A51-8E87-4AA0-A0ED-0A373F09FBE4}" name="27040"/>
    <tableColumn id="1310" xr3:uid="{48A9BC08-FF59-4A0E-8891-C92D9CB1C408}" name="27041"/>
    <tableColumn id="1311" xr3:uid="{4EFF0A09-EC8C-4ED2-9D66-2A732E105D1C}" name="27042"/>
    <tableColumn id="1312" xr3:uid="{5B278571-F01F-4D2A-B1CF-7E9530EF8E50}" name="27043"/>
    <tableColumn id="1313" xr3:uid="{77E35775-883E-420F-9B1E-BC9AC477D561}" name="27045"/>
    <tableColumn id="1314" xr3:uid="{5D4EEC2E-1901-4555-9F57-9A4BEC523F96}" name="27046"/>
    <tableColumn id="1315" xr3:uid="{5458964C-AE32-414C-8B66-E81CBBB47231}" name="27047"/>
    <tableColumn id="1316" xr3:uid="{37B838CE-96A0-40DB-B92A-7EFA28EAF7C2}" name="27048"/>
    <tableColumn id="1317" xr3:uid="{A4B314F2-B13C-438C-91FA-FE7CAAE49E6A}" name="27050"/>
    <tableColumn id="1318" xr3:uid="{187B72AE-AA65-4A16-947B-08DC0F0915F3}" name="27051"/>
    <tableColumn id="1319" xr3:uid="{BF96AF80-32E4-491E-A4C4-74DA56D93CD5}" name="27052"/>
    <tableColumn id="1320" xr3:uid="{D218B425-5F5D-4F80-8F62-A23133E18136}" name="27053"/>
    <tableColumn id="1321" xr3:uid="{DA9D955E-C0C8-41C5-BC0C-334D4EB4DD9B}" name="27054"/>
    <tableColumn id="1322" xr3:uid="{5E4A5FCC-1585-4612-967D-BCA28161516F}" name="27055"/>
    <tableColumn id="1323" xr3:uid="{47650C18-9479-4ECD-82E4-49B6F7C91CD0}" name="27101"/>
    <tableColumn id="1324" xr3:uid="{9DBCF88B-78E8-4EDF-8375-9586F959C280}" name="27103"/>
    <tableColumn id="1325" xr3:uid="{0136178E-3E1D-4703-9C09-CBAD72F60772}" name="27104"/>
    <tableColumn id="1326" xr3:uid="{ABCAECCE-4A6B-42E0-83B1-0CEBC59EEC9B}" name="27105"/>
    <tableColumn id="1327" xr3:uid="{E4D0D7C3-7540-4B19-80FE-FE62E2397BCD}" name="27106"/>
    <tableColumn id="1328" xr3:uid="{1A1FC2D6-E897-4962-A021-743BE34320CD}" name="27107"/>
    <tableColumn id="1329" xr3:uid="{38FB79A7-C11B-4F33-91A4-DE556031A6ED}" name="27109"/>
    <tableColumn id="1330" xr3:uid="{9BF4F867-BC78-4F77-90C5-139DC30D9D7F}" name="27110"/>
    <tableColumn id="1331" xr3:uid="{DB98FCDA-F94D-4A90-B02A-E2FC75E8E34C}" name="27127"/>
    <tableColumn id="1332" xr3:uid="{59F21F7D-6171-4CCB-8A08-4E775EF967C3}" name="27201"/>
    <tableColumn id="1333" xr3:uid="{539F1B18-E1F9-4FD1-A100-CE61F5A92BA5}" name="27202"/>
    <tableColumn id="1334" xr3:uid="{4D1AFA57-2DAF-442E-B68E-1827184EDA22}" name="27203"/>
    <tableColumn id="1335" xr3:uid="{8FB404C4-43D3-4429-9EE3-E1A09EE07393}" name="27205"/>
    <tableColumn id="1336" xr3:uid="{67C47BDC-CB95-4340-820F-ECE0EFF27E2E}" name="27207"/>
    <tableColumn id="1337" xr3:uid="{7CA4CA79-AEA6-4A56-9709-12F5E0DF7DA5}" name="27208"/>
    <tableColumn id="1338" xr3:uid="{C1BCA48D-903A-4996-8D22-2069745A3921}" name="27209"/>
    <tableColumn id="1339" xr3:uid="{6ED7E64A-6F52-4C06-BB8D-01D0513CBA6F}" name="27212"/>
    <tableColumn id="1340" xr3:uid="{A929822E-10CF-4E24-9CFA-69177665984E}" name="27213"/>
    <tableColumn id="1341" xr3:uid="{E9CB2B7D-9825-4A5A-9645-AA1C51A8B62E}" name="27214"/>
    <tableColumn id="1342" xr3:uid="{088F6176-6944-4A83-A051-D70DF221F0F9}" name="27215"/>
    <tableColumn id="1343" xr3:uid="{85C4C02E-FA15-491A-BA2C-364BCFC576BB}" name="27217"/>
    <tableColumn id="1344" xr3:uid="{1D025807-E41C-4DCB-88A9-9170596CE4BA}" name="27229"/>
    <tableColumn id="1345" xr3:uid="{4B99BF8C-D87D-4FBC-BF51-698282848CB4}" name="27231"/>
    <tableColumn id="1346" xr3:uid="{BD6063D6-E19F-4956-B7C2-19023D35E484}" name="27233"/>
    <tableColumn id="1347" xr3:uid="{3D236048-FB02-4226-B304-6D0D043F7F4F}" name="27235"/>
    <tableColumn id="1348" xr3:uid="{4D3F173E-A979-4FFB-BAB9-CA34A268FC74}" name="27239"/>
    <tableColumn id="1349" xr3:uid="{673AACF1-6BED-4059-9ED3-7D3CB9A51968}" name="27242"/>
    <tableColumn id="1350" xr3:uid="{B9774B6B-4695-44E7-A704-6CE70E2F02A4}" name="27243"/>
    <tableColumn id="1351" xr3:uid="{B7066976-5A13-4383-9DBA-7EC45B913A33}" name="27244"/>
    <tableColumn id="1352" xr3:uid="{A48773DA-F450-4C71-A2E3-E37AF52C1585}" name="27247"/>
    <tableColumn id="1353" xr3:uid="{C5DDDA6B-D562-46F9-9258-B10094F7D6A8}" name="27248"/>
    <tableColumn id="1354" xr3:uid="{F7EDE407-07A2-400B-8CF8-AA25D13B1F84}" name="27249"/>
    <tableColumn id="1355" xr3:uid="{A062D54B-24C5-4C3E-9032-365BB67E276F}" name="27252"/>
    <tableColumn id="1356" xr3:uid="{265901D5-5670-41BA-B600-D8752456F01A}" name="27253"/>
    <tableColumn id="1357" xr3:uid="{3421E7E3-8352-4FCF-ACA0-AEFF34B006AF}" name="27256"/>
    <tableColumn id="1358" xr3:uid="{F3DA59CC-CBCA-4C46-A484-7C64059A563D}" name="27258"/>
    <tableColumn id="1359" xr3:uid="{26EFF160-1E52-4F48-9FC5-21C40FF7AF3F}" name="27259"/>
    <tableColumn id="1360" xr3:uid="{432CF7F4-B6B1-4F2E-9DED-EF53CDC96F92}" name="27260"/>
    <tableColumn id="1361" xr3:uid="{DD9D6422-8B36-4539-8E69-41053402C6C2}" name="27262"/>
    <tableColumn id="1362" xr3:uid="{8A1A27A6-B4CB-4FB2-B73F-5A2444BB6917}" name="27263"/>
    <tableColumn id="1363" xr3:uid="{6F040B6D-9144-40E6-91F9-740BA4822111}" name="27265"/>
    <tableColumn id="1364" xr3:uid="{CC370FFF-F53B-4608-928A-0E58AF622120}" name="27268"/>
    <tableColumn id="1365" xr3:uid="{DD423136-A6C6-4CB5-B35A-1CEF478988E3}" name="27278"/>
    <tableColumn id="1366" xr3:uid="{4CED7961-7B78-450B-947D-7C3171CAB1B6}" name="27281"/>
    <tableColumn id="1367" xr3:uid="{3195F78B-7DD8-4FBB-B0B1-1D28B5CD28AE}" name="27282"/>
    <tableColumn id="1368" xr3:uid="{E234E225-8EE0-48AD-9AD1-AD63CC4E4008}" name="27283"/>
    <tableColumn id="1369" xr3:uid="{487D4379-F318-4C95-9EAD-A3BC1B33B73A}" name="27284"/>
    <tableColumn id="1370" xr3:uid="{C3B533F7-2BC2-4F8A-A4C6-19801283D6FA}" name="27288"/>
    <tableColumn id="1371" xr3:uid="{A09E9515-1F8F-4BA2-BFCA-EBB2721AF152}" name="27291"/>
    <tableColumn id="1372" xr3:uid="{4F76629C-28CA-4264-8F72-57B19B03B149}" name="27292"/>
    <tableColumn id="1373" xr3:uid="{11995973-29CB-473A-BB79-3B5C884A4CB2}" name="27295"/>
    <tableColumn id="1374" xr3:uid="{EAA7F338-3671-4170-A0E1-3B7A5B4E7E48}" name="27298"/>
    <tableColumn id="1375" xr3:uid="{D09BD5AD-5E3F-4D6A-B6AF-EACE33E0FD70}" name="27299"/>
    <tableColumn id="1376" xr3:uid="{DDB9ADFE-7D1E-4568-9ECD-95BC5147BAD9}" name="27301"/>
    <tableColumn id="1377" xr3:uid="{80012383-FCCC-49ED-9E62-4E607B525084}" name="27302"/>
    <tableColumn id="1378" xr3:uid="{48D2218E-F5DC-4D50-94FC-C602096F9BDC}" name="27305"/>
    <tableColumn id="1379" xr3:uid="{8110DF49-CE3A-4481-8EC3-C4DEE109F9AA}" name="27306"/>
    <tableColumn id="1380" xr3:uid="{739D6364-C2A0-4E17-9B66-67064FDB3691}" name="27310"/>
    <tableColumn id="1381" xr3:uid="{B1871FE4-48E8-4C36-980B-EF9ECAF8BE0D}" name="27311"/>
    <tableColumn id="1382" xr3:uid="{788F505F-3710-48C9-8136-9702AB26873F}" name="27312"/>
    <tableColumn id="1383" xr3:uid="{FCFA04C4-9FC7-4647-B166-D69A33978F21}" name="27313"/>
    <tableColumn id="1384" xr3:uid="{2C286851-8C6A-46E2-8066-19A5190C5485}" name="27314"/>
    <tableColumn id="1385" xr3:uid="{CC87F93D-717A-4CFC-A7A3-16D42EC81008}" name="27315"/>
    <tableColumn id="1386" xr3:uid="{977D2D6B-45DC-4C26-863A-63BAA349B637}" name="27316"/>
    <tableColumn id="1387" xr3:uid="{E9AC9D6F-39E7-40EE-833A-F63D88FA3C85}" name="27317"/>
    <tableColumn id="1388" xr3:uid="{C4465B1E-E6A9-4F64-982D-B237E61B450E}" name="27320"/>
    <tableColumn id="1389" xr3:uid="{149A8C89-B3BC-4C95-B532-41C343DCDFEF}" name="27325"/>
    <tableColumn id="1390" xr3:uid="{D4E8B838-C64B-49A5-89CC-3178818153DE}" name="27326"/>
    <tableColumn id="1391" xr3:uid="{A027BD71-02E5-49C6-88AF-887E33E86686}" name="27330"/>
    <tableColumn id="1392" xr3:uid="{D08AAE09-F860-4E19-802A-4C84114D7015}" name="27332"/>
    <tableColumn id="1393" xr3:uid="{4B3882E4-ADDE-4A79-AF9C-C0B27C382DB5}" name="27340"/>
    <tableColumn id="1394" xr3:uid="{6BA27A4A-81EE-40F2-BAB2-233620CF3441}" name="27341"/>
    <tableColumn id="1395" xr3:uid="{E49472EC-A61F-455C-A745-4822E4B66C1F}" name="27342"/>
    <tableColumn id="1396" xr3:uid="{CE8A9DDA-6888-4136-A40D-C9AB7E0175A9}" name="27343"/>
    <tableColumn id="1397" xr3:uid="{F5AFDDDE-BC0D-4D83-BD52-DDDE8B43EBCB}" name="27344"/>
    <tableColumn id="1398" xr3:uid="{B389B08D-F381-479C-A7E2-1B348301E4E5}" name="27349"/>
    <tableColumn id="1399" xr3:uid="{85646F4E-A0D8-4256-9FB5-B6F5AA8E0FD7}" name="27350"/>
    <tableColumn id="1400" xr3:uid="{FDB1F494-0AFE-47C3-A5CA-E9C8FF606527}" name="27351"/>
    <tableColumn id="1401" xr3:uid="{9A130C61-3FA3-49AB-8559-35123B6B0D7E}" name="27355"/>
    <tableColumn id="1402" xr3:uid="{01F6EB37-D43D-4FE3-AF0E-C3BF76897549}" name="27356"/>
    <tableColumn id="1403" xr3:uid="{ACE2AA01-AE1E-4F7A-8831-74B23033BE97}" name="27357"/>
    <tableColumn id="1404" xr3:uid="{4CD697FC-E5D9-47B2-97B0-8E1FA137E73F}" name="27358"/>
    <tableColumn id="1405" xr3:uid="{7E2F13E5-299B-46BB-AA71-EF0FC98FDA8F}" name="27360"/>
    <tableColumn id="1406" xr3:uid="{1188F996-D5D3-4680-AEC5-5C96A5F97DC1}" name="27370"/>
    <tableColumn id="1407" xr3:uid="{301A4BF0-BFA0-447B-9E77-E4DA63C07BEF}" name="27371"/>
    <tableColumn id="1408" xr3:uid="{E3D19B13-F2C4-41CD-BD5B-C63187A62E57}" name="27374"/>
    <tableColumn id="1409" xr3:uid="{26F31CB3-0151-4E14-B5FD-6257CBB4CC36}" name="27376"/>
    <tableColumn id="1410" xr3:uid="{065C56C0-B02B-4674-8085-9C67D02A0B3E}" name="27377"/>
    <tableColumn id="1411" xr3:uid="{95DF290A-7DDF-4C0F-AD49-811D395CC605}" name="27379"/>
    <tableColumn id="1412" xr3:uid="{59307AB0-D2F9-4AB2-8882-1D07058BF34A}" name="27401"/>
    <tableColumn id="1413" xr3:uid="{953AAF66-0EDD-4FAC-9461-349E7287A1BB}" name="27403"/>
    <tableColumn id="1414" xr3:uid="{C5C7B27B-79D5-40F7-A4AA-46AC6B9A9908}" name="27405"/>
    <tableColumn id="1415" xr3:uid="{DB93BAA9-6635-4189-8C4C-A2D4512E029E}" name="27406"/>
    <tableColumn id="1416" xr3:uid="{03275867-84B3-4174-9861-563E3703F591}" name="27407"/>
    <tableColumn id="1417" xr3:uid="{75D1BDCB-9CD7-455B-AE31-A1E47F2245D1}" name="27408"/>
    <tableColumn id="1418" xr3:uid="{6BE1DABB-BE3D-490A-B23B-AD057C4B52C6}" name="27409"/>
    <tableColumn id="1419" xr3:uid="{C8A1B912-E010-4A92-B738-8BA3894AC0A9}" name="27410"/>
    <tableColumn id="1420" xr3:uid="{2C8CECFE-F917-4A5D-BA9B-5A6201CFC463}" name="27411"/>
    <tableColumn id="1421" xr3:uid="{93920ED8-905F-496A-8AD0-115C855D86C9}" name="27412"/>
    <tableColumn id="1422" xr3:uid="{39902BF7-A3D7-4C0F-A793-D92DBB3B8AA6}" name="27455"/>
    <tableColumn id="1423" xr3:uid="{ADC7A986-5774-44D4-B07C-D6654A79C4A4}" name="27501"/>
    <tableColumn id="1424" xr3:uid="{B96E351C-38A7-4F45-934E-42EF27DDB840}" name="27502"/>
    <tableColumn id="1425" xr3:uid="{F9479385-06E4-4A73-A587-93F0099AFA86}" name="27503"/>
    <tableColumn id="1426" xr3:uid="{C7F6BE72-8609-4038-B459-387CE195B661}" name="27504"/>
    <tableColumn id="1427" xr3:uid="{08FDE959-8062-4B7D-BBDC-66B8AB02C554}" name="27505"/>
    <tableColumn id="1428" xr3:uid="{1E925D39-B0DE-4A39-91F8-50F09E160D23}" name="27506"/>
    <tableColumn id="1429" xr3:uid="{86C5FCD0-BAE4-4C88-B14B-9967BF66C202}" name="27507"/>
    <tableColumn id="1430" xr3:uid="{2E008286-ADCC-49EF-AA54-8F124ADC54DB}" name="27508"/>
    <tableColumn id="1431" xr3:uid="{ED1CA78E-4DB1-42B0-9111-B304D13FE31E}" name="27509"/>
    <tableColumn id="1432" xr3:uid="{879A9081-AD85-481C-B346-46CDF0103E4B}" name="27510"/>
    <tableColumn id="1433" xr3:uid="{39BD0A95-C79E-4791-82F1-5B83C5E65089}" name="27511"/>
    <tableColumn id="1434" xr3:uid="{69066242-46BB-4AC4-8D3C-369622E96330}" name="27513"/>
    <tableColumn id="1435" xr3:uid="{73716752-C146-42FF-8EF8-74DB9752BBED}" name="27514"/>
    <tableColumn id="1436" xr3:uid="{EE850298-8270-474B-9BDF-85C7461E3715}" name="27516"/>
    <tableColumn id="1437" xr3:uid="{C28E1E34-75FE-42A2-8FDF-9F6DA39E25EC}" name="27517"/>
    <tableColumn id="1438" xr3:uid="{385710EE-38B9-4B13-A7A4-9DE62BB28548}" name="27518"/>
    <tableColumn id="1439" xr3:uid="{B44D911F-0994-4E5F-BBC3-5580838532A5}" name="27519"/>
    <tableColumn id="1440" xr3:uid="{A227D6D9-ADD2-4551-A0B4-A24940B1B372}" name="27520"/>
    <tableColumn id="1441" xr3:uid="{DE4036E1-E71F-4CC8-8377-766D768BDFB5}" name="27521"/>
    <tableColumn id="1442" xr3:uid="{9B632A8D-900B-4CD1-880C-7985CF8BBC4E}" name="27522"/>
    <tableColumn id="1443" xr3:uid="{216A284F-D4E6-4873-8EBA-882C9ACAD712}" name="27523"/>
    <tableColumn id="1444" xr3:uid="{1CF2EEC8-6C53-426C-A4F1-A904DC7B1C97}" name="27524"/>
    <tableColumn id="1445" xr3:uid="{7CCBCB82-F495-4C9F-9427-B4560F6EA7C0}" name="27525"/>
    <tableColumn id="1446" xr3:uid="{ECF7FA8D-D52E-4E85-9DD6-A09241BD7076}" name="27526"/>
    <tableColumn id="1447" xr3:uid="{A0E29FF8-BC7D-49F1-B99D-35F287D1161F}" name="27527"/>
    <tableColumn id="1448" xr3:uid="{72413E66-DD0D-44D2-ACFF-1C044F1F8B5E}" name="27529"/>
    <tableColumn id="1449" xr3:uid="{9B3655B0-2980-44CC-A149-B04962C42529}" name="27530"/>
    <tableColumn id="1450" xr3:uid="{C2BA8283-C36E-4281-B0D0-858A31A8F272}" name="27531"/>
    <tableColumn id="1451" xr3:uid="{DC7416A9-D0F0-4769-BA87-C472A838C4BC}" name="27533"/>
    <tableColumn id="1452" xr3:uid="{46E75852-43ED-4A9C-A131-4B6C0361770F}" name="27534"/>
    <tableColumn id="1453" xr3:uid="{11523399-B8D8-4420-86AB-6C4936F49B78}" name="27536"/>
    <tableColumn id="1454" xr3:uid="{17175555-F25E-4508-8E93-AF74AE99EED5}" name="27537"/>
    <tableColumn id="1455" xr3:uid="{30F6534B-2C68-42FB-BABC-66FA64D687E6}" name="27539"/>
    <tableColumn id="1456" xr3:uid="{ED4F1707-62AE-4B18-ABC3-D41F52325494}" name="27540"/>
    <tableColumn id="1457" xr3:uid="{CE73996F-7399-47D8-B55C-861D10BB1375}" name="27541"/>
    <tableColumn id="1458" xr3:uid="{84684FF7-71AE-4B80-806A-A865F1953222}" name="27542"/>
    <tableColumn id="1459" xr3:uid="{392FDCA5-4BC4-44F0-8A29-F97CF29C598A}" name="27544"/>
    <tableColumn id="1460" xr3:uid="{977B77E9-0E57-47A9-A6FF-E310316E837D}" name="27545"/>
    <tableColumn id="1461" xr3:uid="{73A7CB5E-97F3-4A2B-93F9-1D5D4972A028}" name="27546"/>
    <tableColumn id="1462" xr3:uid="{41CDE23E-1CC3-402E-AAC5-93E099FEC4EB}" name="27549"/>
    <tableColumn id="1463" xr3:uid="{AA06DBD0-B8AE-483B-B51F-77D80B6F0D3C}" name="27551"/>
    <tableColumn id="1464" xr3:uid="{AE69023E-4014-489A-8F58-E7F103436A65}" name="27553"/>
    <tableColumn id="1465" xr3:uid="{05F2CFE3-E870-4AB3-953D-C2B34DDA80BB}" name="27555"/>
    <tableColumn id="1466" xr3:uid="{C143422D-454E-4E5F-A72C-1B85E8FC236A}" name="27556"/>
    <tableColumn id="1467" xr3:uid="{7579BD4C-D6FA-46FA-8F8F-2B107460FBE0}" name="27557"/>
    <tableColumn id="1468" xr3:uid="{03F25D59-A48F-4165-95B4-68C30DE3BF81}" name="27559"/>
    <tableColumn id="1469" xr3:uid="{8B23D431-30CA-464F-88EA-9DB5059C6372}" name="27560"/>
    <tableColumn id="1470" xr3:uid="{34796E64-ECB8-4B40-8711-9A9D21B834A8}" name="27562"/>
    <tableColumn id="1471" xr3:uid="{DC731FDB-56C1-4059-8502-D57ABE3AAA28}" name="27563"/>
    <tableColumn id="1472" xr3:uid="{8E9D74C1-96CC-4F26-91FA-926A40FC2BC2}" name="27565"/>
    <tableColumn id="1473" xr3:uid="{73A2BE77-C9D7-40AB-9EDF-379B6A0A4FF4}" name="27568"/>
    <tableColumn id="1474" xr3:uid="{F7C7C252-630E-4DDF-A53C-9C1696482B0C}" name="27569"/>
    <tableColumn id="1475" xr3:uid="{59A74D67-2D0A-4B4D-80DF-1EECE4521607}" name="27570"/>
    <tableColumn id="1476" xr3:uid="{E619AFA2-32AA-42B1-8B04-76CDB4365112}" name="27571"/>
    <tableColumn id="1477" xr3:uid="{4D9F3FB4-591B-4BF4-AD13-4C4DBD066EB1}" name="27572"/>
    <tableColumn id="1478" xr3:uid="{8A92EB3F-7A04-46A8-B825-F269C703A77E}" name="27573"/>
    <tableColumn id="1479" xr3:uid="{56ADD0D6-4767-41B3-BFEA-1F9A2FD55682}" name="27574"/>
    <tableColumn id="1480" xr3:uid="{A4FE3D21-3824-4716-9632-13F1D4EDC5FA}" name="27576"/>
    <tableColumn id="1481" xr3:uid="{DE72D9DE-FF19-48E5-ABE2-98872B4B3050}" name="27577"/>
    <tableColumn id="1482" xr3:uid="{4127C16F-B567-4626-9F0D-A419CC83581D}" name="27581"/>
    <tableColumn id="1483" xr3:uid="{FADD95D6-2CD1-406C-90B9-3308B6C7D3AA}" name="27582"/>
    <tableColumn id="1484" xr3:uid="{736CE654-AAFD-4082-97ED-092ACB4C13D4}" name="27583"/>
    <tableColumn id="1485" xr3:uid="{A16D1D4B-FA3C-4BBA-85B6-E27AACDE8FF5}" name="27584"/>
    <tableColumn id="1486" xr3:uid="{B35FB586-A2D1-4F93-9E40-E89D3ED08BA9}" name="27587"/>
    <tableColumn id="1487" xr3:uid="{566BDB31-CB28-442B-9E29-D8B844C23A9F}" name="27589"/>
    <tableColumn id="1488" xr3:uid="{354117DA-CFF0-4067-9380-5BD55B3F5D6F}" name="27591"/>
    <tableColumn id="1489" xr3:uid="{B90BFA5E-B4EA-4253-A7B9-B7325766CC26}" name="27592"/>
    <tableColumn id="1490" xr3:uid="{6BADEC81-91A8-4BE8-8A01-9401C48C5DE9}" name="27593"/>
    <tableColumn id="1491" xr3:uid="{D234B611-3BD5-4FD1-AAC4-52C713902A16}" name="27594"/>
    <tableColumn id="1492" xr3:uid="{B59EE9F4-44CA-43EF-B77E-7A3D129764E8}" name="27596"/>
    <tableColumn id="1493" xr3:uid="{FBA10917-3A46-40E8-9FDA-5629A6B18AA5}" name="27597"/>
    <tableColumn id="1494" xr3:uid="{2D6F3CDE-5B8A-4C76-AB71-464D1B706225}" name="27599"/>
    <tableColumn id="1495" xr3:uid="{79CD2501-36B1-4A97-AEBE-4F174386AC39}" name="27601"/>
    <tableColumn id="1496" xr3:uid="{DFAE99CC-A11D-4EEE-A877-51AB3EED4C59}" name="27603"/>
    <tableColumn id="1497" xr3:uid="{7B63724F-8411-4117-BEA4-13359BD33942}" name="27604"/>
    <tableColumn id="1498" xr3:uid="{F2B42332-4A81-4963-828D-A95CAE2C5BAC}" name="27605"/>
    <tableColumn id="1499" xr3:uid="{44F5D233-2DDB-4D47-B6E5-C8F4A06FE659}" name="27606"/>
    <tableColumn id="1500" xr3:uid="{B741C508-685A-4EA9-9A25-94B3F5A7A6A6}" name="27607"/>
    <tableColumn id="1501" xr3:uid="{346CCC65-D48B-4957-8A52-EF27C8FC4AA4}" name="27608"/>
    <tableColumn id="1502" xr3:uid="{F8558492-4B12-4CBB-9BAF-79DD3367E85E}" name="27609"/>
    <tableColumn id="1503" xr3:uid="{5CF33196-5329-4C2D-BDB5-5D85897743EC}" name="27610"/>
    <tableColumn id="1504" xr3:uid="{DAD9D19E-565D-401D-AA42-8BE22568AB38}" name="27612"/>
    <tableColumn id="1505" xr3:uid="{B5A3D52B-1CB5-42FD-A98F-3D09F301398A}" name="27613"/>
    <tableColumn id="1506" xr3:uid="{13A7FD15-EEFB-4FB1-8F1F-072479D5665D}" name="27614"/>
    <tableColumn id="1507" xr3:uid="{F8ED3665-67F6-45F4-9332-5609CC242B5E}" name="27615"/>
    <tableColumn id="1508" xr3:uid="{1AD1F837-85E0-40FC-AA42-61D7C085E5B9}" name="27616"/>
    <tableColumn id="1509" xr3:uid="{C7E9FC9A-66E7-4BFF-9E5E-7A953C7F19C3}" name="27617"/>
    <tableColumn id="1510" xr3:uid="{F8F26F92-73D8-4DDF-8644-6524B8201EF4}" name="27695"/>
    <tableColumn id="1511" xr3:uid="{8A51193A-C525-44D7-B308-D56499B8AFED}" name="27697"/>
    <tableColumn id="1512" xr3:uid="{4D369982-901F-478B-A608-56332F835035}" name="27701"/>
    <tableColumn id="1513" xr3:uid="{160DD826-C74C-43D3-8BB1-DC9E285F4909}" name="27703"/>
    <tableColumn id="1514" xr3:uid="{431E44B9-3026-43B6-A2F8-3E8946DD297C}" name="27704"/>
    <tableColumn id="1515" xr3:uid="{40111D70-AFF9-404B-8E35-D816F4EFF6E0}" name="27705"/>
    <tableColumn id="1516" xr3:uid="{50C26947-8CDB-4C30-B9DA-9C66949CA3A8}" name="27707"/>
    <tableColumn id="1517" xr3:uid="{72361CAB-F0F6-4CAB-9E6E-A7AD2FDE8083}" name="27708"/>
    <tableColumn id="1518" xr3:uid="{4DDAF453-006B-40D1-A142-61F58E2163D7}" name="27709"/>
    <tableColumn id="1519" xr3:uid="{DD434E7B-6B13-462A-BEC0-23A82F56F094}" name="27712"/>
    <tableColumn id="1520" xr3:uid="{733FF00C-DB33-457B-B98E-62FCC87A7A9F}" name="27713"/>
    <tableColumn id="1521" xr3:uid="{41ACCFDD-6353-446A-A66A-FDD58568BF83}" name="27801"/>
    <tableColumn id="1522" xr3:uid="{49FA87CC-A981-4DFF-93F3-72D7C9288601}" name="27803"/>
    <tableColumn id="1523" xr3:uid="{32B22D18-D7A7-4197-A433-A90F6129AFB4}" name="27804"/>
    <tableColumn id="1524" xr3:uid="{29F053E4-30C9-43A3-9777-1AECCBC41CF7}" name="27805"/>
    <tableColumn id="1525" xr3:uid="{13B8B67B-D7B1-4341-8420-52BCB9776D60}" name="27806"/>
    <tableColumn id="1526" xr3:uid="{C25D6C89-0F53-4B1D-AEF5-1FC8791ADA8C}" name="27807"/>
    <tableColumn id="1527" xr3:uid="{25E168C1-C2B3-4590-AC7E-4349C9B7A837}" name="27808"/>
    <tableColumn id="1528" xr3:uid="{B5C272D7-49EF-4E35-8A4F-C3578456CF47}" name="27809"/>
    <tableColumn id="1529" xr3:uid="{C3A4405C-88FC-4640-BAAA-997CCBF94227}" name="27810"/>
    <tableColumn id="1530" xr3:uid="{A8068FCA-77BB-4B97-9D66-0E582AF978E5}" name="27812"/>
    <tableColumn id="1531" xr3:uid="{D84E6F00-E5C7-4057-A814-841C9BB02EE5}" name="27813"/>
    <tableColumn id="1532" xr3:uid="{C00FC77E-5A10-4D2E-AF1F-4D1CB1BCDB2E}" name="27814"/>
    <tableColumn id="1533" xr3:uid="{25D11787-AFAA-4559-86A4-964339FB830F}" name="27815"/>
    <tableColumn id="1534" xr3:uid="{817EB3CD-BDE4-4560-8B9D-B301D3451EFF}" name="27816"/>
    <tableColumn id="1535" xr3:uid="{F8F039F6-4F99-4469-8475-AA71B437DE0D}" name="27817"/>
    <tableColumn id="1536" xr3:uid="{A03AF67C-86B9-40D2-AD16-A96BF6E8A189}" name="27818"/>
    <tableColumn id="1537" xr3:uid="{DBE4241B-5AE3-4440-9728-B92C80EB13FF}" name="27819"/>
    <tableColumn id="1538" xr3:uid="{AE22E20D-432D-46DD-8699-2E2BF046848C}" name="27820"/>
    <tableColumn id="1539" xr3:uid="{6569DC4F-8FED-481F-890D-5CAE9115D77C}" name="27821"/>
    <tableColumn id="1540" xr3:uid="{D7FA569F-8CBE-41DC-AA3A-F8DB893B605D}" name="27822"/>
    <tableColumn id="1541" xr3:uid="{1217C926-7B93-491F-BCB4-4AE1107423A2}" name="27823"/>
    <tableColumn id="1542" xr3:uid="{3DC3544F-6EF4-4A95-A8F1-B98579CFE38D}" name="27824"/>
    <tableColumn id="1543" xr3:uid="{08C8A396-CBE7-4201-8FA4-157C8EA1162F}" name="27825"/>
    <tableColumn id="1544" xr3:uid="{34C72CFE-CFBE-4BCB-8AF2-1D351073C758}" name="27826"/>
    <tableColumn id="1545" xr3:uid="{8F59C1E1-91C1-4FCD-82F2-310AA93A27FB}" name="27827"/>
    <tableColumn id="1546" xr3:uid="{6CFB4A92-46FD-40B2-8A59-752236F9BEB6}" name="27828"/>
    <tableColumn id="1547" xr3:uid="{613F81E8-12B0-4B45-B5B7-94D90557B40F}" name="27829"/>
    <tableColumn id="1548" xr3:uid="{0E5D9A0E-3C39-4309-93DA-CCAFA00DC826}" name="27830"/>
    <tableColumn id="1549" xr3:uid="{9F27A567-14C0-4D07-9CEE-FEEB224DC392}" name="27831"/>
    <tableColumn id="1550" xr3:uid="{E0CC3EF7-0496-42C8-A1DB-4AF11B7CC7DC}" name="27832"/>
    <tableColumn id="1551" xr3:uid="{532559D6-5CC5-4302-8418-EF0B70BE9E69}" name="27834"/>
    <tableColumn id="1552" xr3:uid="{DA4B355E-10B2-41CD-A56D-5A39D4EEB0B7}" name="27837"/>
    <tableColumn id="1553" xr3:uid="{963202ED-9582-442A-8B7C-19A3E2ED899C}" name="27839"/>
    <tableColumn id="1554" xr3:uid="{46C1D3B6-B4B9-47EE-8AF6-A8F5A17790C1}" name="27840"/>
    <tableColumn id="1555" xr3:uid="{B7B3704C-534C-4A91-8C47-444F6CBD7BBE}" name="27841"/>
    <tableColumn id="1556" xr3:uid="{EB2BBF45-19FC-4177-B834-5F9744164EF8}" name="27842"/>
    <tableColumn id="1557" xr3:uid="{5326E86C-32D7-4BDB-8D85-BB566C9BC020}" name="27843"/>
    <tableColumn id="1558" xr3:uid="{C7DBCD23-D206-40E8-BC01-7BCE63D90800}" name="27844"/>
    <tableColumn id="1559" xr3:uid="{02C1B415-9A9B-4C2E-8D5E-AD35F5D2C761}" name="27845"/>
    <tableColumn id="1560" xr3:uid="{2337C8C2-B4C2-4D38-9819-50E0F604FAC7}" name="27846"/>
    <tableColumn id="1561" xr3:uid="{4B2D6467-ADA2-49C0-A879-6DE539D1A757}" name="27847"/>
    <tableColumn id="1562" xr3:uid="{ED246BA0-F6BB-47A9-BAF1-79994A8273C6}" name="27849"/>
    <tableColumn id="1563" xr3:uid="{709140A2-AE01-4519-AEFD-F0ECDC138198}" name="27850"/>
    <tableColumn id="1564" xr3:uid="{DCDDC785-B003-4D0C-BEA2-CE3E0B87D777}" name="27851"/>
    <tableColumn id="1565" xr3:uid="{08D638A0-88E4-4815-9393-039153E26391}" name="27852"/>
    <tableColumn id="1566" xr3:uid="{873E2ACC-B116-46F5-9C4C-0620BAD817D9}" name="27853"/>
    <tableColumn id="1567" xr3:uid="{A5D6FDF7-16C2-4CF3-9524-31EC04FEB3B3}" name="27855"/>
    <tableColumn id="1568" xr3:uid="{B67DA2D5-40BC-4ED8-B847-BAFE90CE07CE}" name="27856"/>
    <tableColumn id="1569" xr3:uid="{3D12F9D1-486D-49A2-847D-10E3530A0997}" name="27857"/>
    <tableColumn id="1570" xr3:uid="{D48C7B60-A4C6-40D7-99C0-1A682635CAB3}" name="27858"/>
    <tableColumn id="1571" xr3:uid="{A9358DA8-C7C2-4BE0-9A5F-423067FAD9A2}" name="27860"/>
    <tableColumn id="1572" xr3:uid="{7CBCFBDD-BD48-4BEA-8376-6F692A13815D}" name="27861"/>
    <tableColumn id="1573" xr3:uid="{63E5E98B-5B06-4DB8-9D95-C86A69887FB7}" name="27862"/>
    <tableColumn id="1574" xr3:uid="{331B61F3-C239-4682-99D4-038CFD908206}" name="27863"/>
    <tableColumn id="1575" xr3:uid="{FD29B594-E216-4A1E-9521-2CC19885A6E3}" name="27864"/>
    <tableColumn id="1576" xr3:uid="{AFEC90F5-4065-4878-B5F5-FBB2E07F0548}" name="27865"/>
    <tableColumn id="1577" xr3:uid="{A3CE3641-F9F6-41E4-AF83-65B72150BCFE}" name="27866"/>
    <tableColumn id="1578" xr3:uid="{F832561D-6934-4F11-BA8F-DF2AAE8FEF8A}" name="27869"/>
    <tableColumn id="1579" xr3:uid="{99CEC4CF-2D7C-4714-B1D7-297BB5C44229}" name="27870"/>
    <tableColumn id="1580" xr3:uid="{5D7BA372-6E31-4859-A332-481361C782DB}" name="27871"/>
    <tableColumn id="1581" xr3:uid="{CAE4E784-5ADC-4D66-9996-B4605FE84C2A}" name="27872"/>
    <tableColumn id="1582" xr3:uid="{09E67CAE-44B4-47B6-86E5-4E17B1676811}" name="27873"/>
    <tableColumn id="1583" xr3:uid="{CEC3CBBE-B066-4D2C-90F0-0419DC319DBB}" name="27874"/>
    <tableColumn id="1584" xr3:uid="{04C8F224-BE5E-4CDB-AFE2-C94ED6ED1A14}" name="27875"/>
    <tableColumn id="1585" xr3:uid="{8C6A9FAA-4C5E-424D-BE1C-75548296B5D6}" name="27876"/>
    <tableColumn id="1586" xr3:uid="{1F1FFBB7-FE95-4146-914A-0DC33A90D15C}" name="27877"/>
    <tableColumn id="1587" xr3:uid="{3BEEA9DB-98E5-4DE2-B2AF-0B44F6976040}" name="27878"/>
    <tableColumn id="1588" xr3:uid="{303B8EC5-8712-4B36-8EBF-135F8EA828CE}" name="27879"/>
    <tableColumn id="1589" xr3:uid="{7E896027-F54D-4736-80B1-ABACF7069036}" name="27880"/>
    <tableColumn id="1590" xr3:uid="{B0FD825F-0F24-4C8E-8B09-047BDBDE2E23}" name="27881"/>
    <tableColumn id="1591" xr3:uid="{CBA6CD21-FF5F-4BA2-896F-FFF942928EC6}" name="27882"/>
    <tableColumn id="1592" xr3:uid="{D23BE280-7CBE-43E4-99D5-159649F41777}" name="27883"/>
    <tableColumn id="1593" xr3:uid="{3C8D3976-4DF7-4140-ABF4-06EB5B08840D}" name="27884"/>
    <tableColumn id="1594" xr3:uid="{D454B181-CBB2-4AA2-9876-A6C89DF781C1}" name="27885"/>
    <tableColumn id="1595" xr3:uid="{DBD591E8-A8AD-4177-AD56-99BC10A29F17}" name="27886"/>
    <tableColumn id="1596" xr3:uid="{803BF9FC-E197-400F-80BF-18C35C7DE11F}" name="27888"/>
    <tableColumn id="1597" xr3:uid="{A22CCF4F-FF1F-474B-B8C6-DCC48733FAAA}" name="27889"/>
    <tableColumn id="1598" xr3:uid="{19DC143E-F321-453C-8815-174B8D6DF679}" name="27890"/>
    <tableColumn id="1599" xr3:uid="{5C01A357-4B7E-47BA-97D6-BA258512A909}" name="27891"/>
    <tableColumn id="1600" xr3:uid="{082CA1F1-707D-418B-8AE2-8129AE3D5845}" name="27892"/>
    <tableColumn id="1601" xr3:uid="{01E87640-B0F7-48E1-A784-1D57FDB03704}" name="27893"/>
    <tableColumn id="1602" xr3:uid="{4A066F6F-354E-4480-830D-740CCF4C977D}" name="27896"/>
    <tableColumn id="1603" xr3:uid="{3C1D19DA-2236-4D7C-8768-1B5618B5FBA2}" name="27897"/>
    <tableColumn id="1604" xr3:uid="{2A93D575-09B5-45D6-9E32-A4CC78D220D5}" name="27909"/>
    <tableColumn id="1605" xr3:uid="{47C8C76F-5F69-4CD5-A4E5-4AF92120968D}" name="27910"/>
    <tableColumn id="1606" xr3:uid="{01ECA422-EB01-468F-B7A7-B1CB87EBC165}" name="27915"/>
    <tableColumn id="1607" xr3:uid="{48D97491-4809-4CDD-B43C-8A841DF8B720}" name="27916"/>
    <tableColumn id="1608" xr3:uid="{D37EE702-F463-4963-A2BF-0C9D709C69F2}" name="27917"/>
    <tableColumn id="1609" xr3:uid="{EFCA6FC8-1A08-402B-95BF-EBE057ABFC3A}" name="27919"/>
    <tableColumn id="1610" xr3:uid="{DFBFDAFE-8762-4629-AB83-876E4561E33B}" name="27920"/>
    <tableColumn id="1611" xr3:uid="{105151EF-505A-4DF8-B1AF-81080D58C675}" name="27921"/>
    <tableColumn id="1612" xr3:uid="{286AE716-5469-4C78-8096-D0BA227E4A10}" name="27922"/>
    <tableColumn id="1613" xr3:uid="{E91146CB-00B3-4757-84AD-07614F0CA352}" name="27923"/>
    <tableColumn id="1614" xr3:uid="{9DA098A8-1CF3-46CA-A7B9-D4CE4FC89AB5}" name="27924"/>
    <tableColumn id="1615" xr3:uid="{2AB0893B-886C-44A0-8CD0-9185E3084DF9}" name="27925"/>
    <tableColumn id="1616" xr3:uid="{C5AEA3F8-F116-4DEB-A8D6-0D19391E7D0E}" name="27926"/>
    <tableColumn id="1617" xr3:uid="{AF001BCE-4D38-48A8-909C-43410240994B}" name="27927"/>
    <tableColumn id="1618" xr3:uid="{010102FD-0AF1-4F85-BDDB-9D671C1FD785}" name="27928"/>
    <tableColumn id="1619" xr3:uid="{CEE58CEF-E0FA-44AA-8B54-775FC4065EE1}" name="27929"/>
    <tableColumn id="1620" xr3:uid="{F7CDD95B-7EC4-47F8-9719-4C9F4F9CCE33}" name="27932"/>
    <tableColumn id="1621" xr3:uid="{620F10AD-B7BA-49E1-B998-803B15467397}" name="27935"/>
    <tableColumn id="1622" xr3:uid="{CFCBD5B2-6B0B-4C75-B525-74B54845854E}" name="27936"/>
    <tableColumn id="1623" xr3:uid="{6FBEE9C8-CDA7-4718-8D39-44071BCABD6C}" name="27937"/>
    <tableColumn id="1624" xr3:uid="{523BD490-6314-48EF-A6D9-5435499C9D59}" name="27938"/>
    <tableColumn id="1625" xr3:uid="{735C52E0-68FA-48BE-BB64-915C3F7F49DA}" name="27939"/>
    <tableColumn id="1626" xr3:uid="{3B3A0059-31E5-4C82-A3A2-4C6D6893A4AD}" name="27941"/>
    <tableColumn id="1627" xr3:uid="{08A7EF84-C4DE-4734-BAE1-FF0810EDF506}" name="27942"/>
    <tableColumn id="1628" xr3:uid="{7CFFA20C-E823-498B-AF1E-F9FABE7D066F}" name="27943"/>
    <tableColumn id="1629" xr3:uid="{D0FDABD4-7935-45D5-A3BF-096BF0504221}" name="27944"/>
    <tableColumn id="1630" xr3:uid="{6FD284EC-95EC-4F51-ABCE-68F4088A521A}" name="27946"/>
    <tableColumn id="1631" xr3:uid="{A73890D1-C22C-423B-B3B0-A55350451EF3}" name="27947"/>
    <tableColumn id="1632" xr3:uid="{94A4C063-1A32-44A3-9E74-15BFC9D1E0AA}" name="27948"/>
    <tableColumn id="1633" xr3:uid="{0831ECD6-1DD6-457F-93F2-8EAF6974820E}" name="27949"/>
    <tableColumn id="1634" xr3:uid="{25418D99-1DD3-4590-96DB-C918357525A5}" name="27950"/>
    <tableColumn id="1635" xr3:uid="{2A0D99BF-E91C-4FDD-98BB-5A8F4F9B0333}" name="27953"/>
    <tableColumn id="1636" xr3:uid="{F010F5C7-DC07-4AC7-947A-C9167CB53E1E}" name="27954"/>
    <tableColumn id="1637" xr3:uid="{1430BDC0-91E2-4276-96DC-163C71D3F92D}" name="27956"/>
    <tableColumn id="1638" xr3:uid="{AB0266FD-21A9-45C6-A141-D61FBE836007}" name="27957"/>
    <tableColumn id="1639" xr3:uid="{2CD23F88-C780-4F85-B10E-40279D7DE901}" name="27958"/>
    <tableColumn id="1640" xr3:uid="{6933E969-E311-43B3-81FA-42A9F26DF0B5}" name="27959"/>
    <tableColumn id="1641" xr3:uid="{DA1C5D50-97B6-4B30-9678-3D0379487C81}" name="27960"/>
    <tableColumn id="1642" xr3:uid="{C0EB0899-3826-4338-9CAF-4B41C3F7F8EE}" name="27962"/>
    <tableColumn id="1643" xr3:uid="{FABF71AD-DBDC-4535-8258-E6EE93E6367A}" name="27964"/>
    <tableColumn id="1644" xr3:uid="{B7E59F6B-CEBE-40AB-A74A-FA700210EAB4}" name="27965"/>
    <tableColumn id="1645" xr3:uid="{8737A437-CFC2-45B6-9D3C-1CC9091D3210}" name="27966"/>
    <tableColumn id="1646" xr3:uid="{4833266A-7EF9-4787-A4B4-058C304FEA26}" name="27967"/>
    <tableColumn id="1647" xr3:uid="{03A92BF1-B14D-4427-BCCE-6D0BC16CD45E}" name="27968"/>
    <tableColumn id="1648" xr3:uid="{1FBDC9A5-461A-4263-B692-0FEAC163F553}" name="27969"/>
    <tableColumn id="1649" xr3:uid="{7B5E6CD2-38CC-412F-A00A-19956348EEDC}" name="27970"/>
    <tableColumn id="1650" xr3:uid="{EF51EB49-C4B8-40B0-BBEE-295CD0A3FF26}" name="27972"/>
    <tableColumn id="1651" xr3:uid="{A7EE041E-C952-43F3-97F3-230221CA5503}" name="27973"/>
    <tableColumn id="1652" xr3:uid="{E9189E74-86B8-4486-A1A0-07975B777DC3}" name="27974"/>
    <tableColumn id="1653" xr3:uid="{8B36F35B-3D3E-4EC4-8F46-548BE2C4E24A}" name="27976"/>
    <tableColumn id="1654" xr3:uid="{74735354-C6DC-46FF-818B-393FB91FE6BA}" name="27978"/>
    <tableColumn id="1655" xr3:uid="{36F805D3-9C78-454D-8CCA-92BCF1F97400}" name="27979"/>
    <tableColumn id="1656" xr3:uid="{1E06D12A-7EE6-4311-B375-1E05368E1C31}" name="27980"/>
    <tableColumn id="1657" xr3:uid="{04FB9564-35AD-458D-904C-8DCA31632B00}" name="27981"/>
    <tableColumn id="1658" xr3:uid="{E046D03C-199C-4655-B11C-610B81F2C52E}" name="27982"/>
    <tableColumn id="1659" xr3:uid="{BFBE0FF3-7196-4805-A399-7817E371FEEF}" name="27983"/>
    <tableColumn id="1660" xr3:uid="{52BF3D98-C62D-45AA-A0C9-4FCE93360182}" name="27985"/>
    <tableColumn id="1661" xr3:uid="{7344F0C7-BEB3-4322-B08C-653D11EEB526}" name="27986"/>
    <tableColumn id="1662" xr3:uid="{2B1C7A7A-FC3C-4396-BAC7-46067097FEE0}" name="28001"/>
    <tableColumn id="1663" xr3:uid="{D31AAD0F-014F-4D4F-8728-9C62B54052B3}" name="28006"/>
    <tableColumn id="1664" xr3:uid="{6035C1A9-79CD-4FD7-A560-6175E0730936}" name="28007"/>
    <tableColumn id="1665" xr3:uid="{8A1411E6-AF23-4E88-868F-B64806DCAF4A}" name="28009"/>
    <tableColumn id="1666" xr3:uid="{13DE2911-C4B9-4AC7-ABDA-7267FE5B35E5}" name="28012"/>
    <tableColumn id="1667" xr3:uid="{FDF36F82-24EB-47C7-A14C-732800DF0094}" name="28016"/>
    <tableColumn id="1668" xr3:uid="{89C6E8B5-7DAE-4045-A052-8549DFBEA2DE}" name="28017"/>
    <tableColumn id="1669" xr3:uid="{E4AB9E65-0304-467E-A956-4FAC07361DA5}" name="28018"/>
    <tableColumn id="1670" xr3:uid="{D822BF63-F430-4E13-AA31-B7A0B847A574}" name="28019"/>
    <tableColumn id="1671" xr3:uid="{6D8FDC05-B636-405A-82C7-DDBC59C9AAD6}" name="28020"/>
    <tableColumn id="1672" xr3:uid="{0F26128F-9E23-42E2-8288-ABC99937DCB7}" name="28021"/>
    <tableColumn id="1673" xr3:uid="{BC09C65D-088A-4A1B-8119-DDC318CFF1BB}" name="28023"/>
    <tableColumn id="1674" xr3:uid="{AC28C51F-71BD-469C-9C21-24DBC9AB39AF}" name="28024"/>
    <tableColumn id="1675" xr3:uid="{210BE6A7-B00C-4EA9-988E-452BF1279322}" name="28025"/>
    <tableColumn id="1676" xr3:uid="{6CF6BEC6-D3A7-4C79-BFC7-E9996A2D5B5D}" name="28027"/>
    <tableColumn id="1677" xr3:uid="{EECECA20-EF79-4234-A942-089A7BB9B125}" name="28031"/>
    <tableColumn id="1678" xr3:uid="{2D02E871-9196-45F0-B987-4C521AE72A77}" name="28032"/>
    <tableColumn id="1679" xr3:uid="{6AE5C22B-CF1D-44AC-A5B6-E3701BDA3627}" name="28033"/>
    <tableColumn id="1680" xr3:uid="{BD67968A-43B9-4D84-A033-5A2B2FCA38A3}" name="28034"/>
    <tableColumn id="1681" xr3:uid="{5CCBB63A-1655-4E4C-8195-70B49EE0B301}" name="28036"/>
    <tableColumn id="1682" xr3:uid="{677FC428-5664-4CF8-85DC-A80FEA216AD8}" name="28037"/>
    <tableColumn id="1683" xr3:uid="{917353DF-09FF-4115-8D22-ED76FCF889F0}" name="28039"/>
    <tableColumn id="1684" xr3:uid="{27927D07-CB15-460E-ADF5-198A4F3826B8}" name="28040"/>
    <tableColumn id="1685" xr3:uid="{DE5BCBD4-655B-4C81-AD51-5CFD729CB6B7}" name="28041"/>
    <tableColumn id="1686" xr3:uid="{A4677CCC-39A4-4AB4-B02D-A0431615A078}" name="28042"/>
    <tableColumn id="1687" xr3:uid="{D96AAB38-1FBA-4F5E-AD8B-5EE024F79840}" name="28043"/>
    <tableColumn id="1688" xr3:uid="{7FD6A068-EE18-477A-BDC6-4A7995F8D751}" name="28052"/>
    <tableColumn id="1689" xr3:uid="{79D3DD1A-3696-4186-ADAD-457F0952A2E3}" name="28054"/>
    <tableColumn id="1690" xr3:uid="{5458C8E7-F412-4C3F-B8D9-412672F646BB}" name="28056"/>
    <tableColumn id="1691" xr3:uid="{F3699343-0496-42F1-B40A-49CF993A441F}" name="28071"/>
    <tableColumn id="1692" xr3:uid="{7166E345-BE9A-45EC-8EF1-AC465FA2AE5E}" name="28072"/>
    <tableColumn id="1693" xr3:uid="{71473245-E882-4C59-936E-956CFC11422A}" name="28073"/>
    <tableColumn id="1694" xr3:uid="{B78162A4-986C-419B-B728-B02A9F3FDE0B}" name="28074"/>
    <tableColumn id="1695" xr3:uid="{294A20B3-810E-4E24-B118-777E75F2FE94}" name="28075"/>
    <tableColumn id="1696" xr3:uid="{37B4055B-1FA7-4799-9256-3CA3E32DD1B5}" name="28076"/>
    <tableColumn id="1697" xr3:uid="{9C3BA698-A23D-4E3F-A231-46A636E7B8BB}" name="28077"/>
    <tableColumn id="1698" xr3:uid="{4CB2D661-B850-4844-9463-1A109949D493}" name="28078"/>
    <tableColumn id="1699" xr3:uid="{8E269BB4-79BE-4264-BD09-B50EBA7C8FE0}" name="28079"/>
    <tableColumn id="1700" xr3:uid="{433101DD-DFED-4FD4-9F06-3C827CACA15B}" name="28080"/>
    <tableColumn id="1701" xr3:uid="{830AD81D-71BE-4EAA-9682-803811A18349}" name="28081"/>
    <tableColumn id="1702" xr3:uid="{17EF2D43-B9A7-409F-9E05-2E277C728310}" name="28083"/>
    <tableColumn id="1703" xr3:uid="{7ABAC26C-D4A7-4F84-AC87-073F5E319106}" name="28086"/>
    <tableColumn id="1704" xr3:uid="{A0C8ACF0-2622-4232-A2CC-7F59EBF2C61F}" name="28088"/>
    <tableColumn id="1705" xr3:uid="{66A268A3-88F8-4A4A-953F-683CEC72D772}" name="28089"/>
    <tableColumn id="1706" xr3:uid="{C33D76E7-DE28-4BCE-AE51-3CB7B32E41BE}" name="28090"/>
    <tableColumn id="1707" xr3:uid="{379E21B6-780C-40AD-859A-A28E2516E946}" name="28091"/>
    <tableColumn id="1708" xr3:uid="{131A714E-D2B3-49B5-8E54-0E9CD4C141C7}" name="28092"/>
    <tableColumn id="1709" xr3:uid="{8D7FDD10-3DA9-4D1D-80A4-0112A72608F5}" name="28097"/>
    <tableColumn id="1710" xr3:uid="{12E8A9FC-63F8-4E95-91F5-69F49CCD26FD}" name="28098"/>
    <tableColumn id="1711" xr3:uid="{8D6EF241-D288-4721-995F-7C3F8BC46BFA}" name="28101"/>
    <tableColumn id="1712" xr3:uid="{57A4B788-1971-4970-9DDE-4C05CEA42FFA}" name="28102"/>
    <tableColumn id="1713" xr3:uid="{5D429D51-5DF6-4BE3-8D83-DB6D8B872AB2}" name="28103"/>
    <tableColumn id="1714" xr3:uid="{7AB05A13-8275-4DA4-9B67-E89F2DF9F495}" name="28104"/>
    <tableColumn id="1715" xr3:uid="{BA1025C6-62C2-43A8-9444-24AA41213A93}" name="28105"/>
    <tableColumn id="1716" xr3:uid="{1DCC69CC-0D7F-4C93-AA48-85BA8873A614}" name="28107"/>
    <tableColumn id="1717" xr3:uid="{967C63B9-2804-4143-B735-5B10B04ABE54}" name="28108"/>
    <tableColumn id="1718" xr3:uid="{6F179F47-5C51-41CA-B75B-DA1DCC202EEF}" name="28109"/>
    <tableColumn id="1719" xr3:uid="{0DC4ECAB-F96B-4373-9736-2C8A3248EA2F}" name="28110"/>
    <tableColumn id="1720" xr3:uid="{80DE9FE5-6571-4B7C-A63D-C9BE1DD99F7B}" name="28112"/>
    <tableColumn id="1721" xr3:uid="{4474F0CF-BE37-455B-8FB1-40599C408903}" name="28114"/>
    <tableColumn id="1722" xr3:uid="{708954CD-603A-48D1-8A32-DE9C66776772}" name="28115"/>
    <tableColumn id="1723" xr3:uid="{7A160FCA-519F-4B00-835C-06E4798AF37A}" name="28117"/>
    <tableColumn id="1724" xr3:uid="{9290C425-8D63-43EC-846C-0104E0C8C6F6}" name="28119"/>
    <tableColumn id="1725" xr3:uid="{44B34F72-2CED-4244-9C6A-0AF9D27EC3F8}" name="28120"/>
    <tableColumn id="1726" xr3:uid="{16C3874F-43EA-431D-A9A2-7A740E3F1BC9}" name="28124"/>
    <tableColumn id="1727" xr3:uid="{EC069498-67AE-4F84-A4CD-182B8C6B1580}" name="28125"/>
    <tableColumn id="1728" xr3:uid="{5C529A55-60B2-4CE3-9849-3663389CA0C4}" name="28127"/>
    <tableColumn id="1729" xr3:uid="{99CF6B0A-99E8-484B-885F-3ED0928A9CB2}" name="28128"/>
    <tableColumn id="1730" xr3:uid="{5292E4D1-5C5C-4902-913E-A83A8F678F53}" name="28129"/>
    <tableColumn id="1731" xr3:uid="{3B27A455-3965-4F6D-AD2B-2A071E8BDDF0}" name="28133"/>
    <tableColumn id="1732" xr3:uid="{6BF25E65-7DCA-4D21-9CF7-DF6886E94D24}" name="28134"/>
    <tableColumn id="1733" xr3:uid="{FEC5617A-4C8C-43D6-8652-0AD39A0027E3}" name="28135"/>
    <tableColumn id="1734" xr3:uid="{5EA25DAE-8F45-4E36-BB08-434BC63D605C}" name="28136"/>
    <tableColumn id="1735" xr3:uid="{848E7C8B-4D57-4893-9911-8A4133687F8D}" name="28137"/>
    <tableColumn id="1736" xr3:uid="{AC716C6D-126B-4460-99FC-0BF5305CC83E}" name="28138"/>
    <tableColumn id="1737" xr3:uid="{63BCC6C4-E5BB-45EA-9099-9D6CCD3BA953}" name="28139"/>
    <tableColumn id="1738" xr3:uid="{8EB0BE20-CC48-4C7C-B8FC-8EC688589164}" name="28144"/>
    <tableColumn id="1739" xr3:uid="{BB329840-45AC-4E9C-911F-6A29C970D7F8}" name="28146"/>
    <tableColumn id="1740" xr3:uid="{CEEFC39D-D1BA-456A-8179-6675C8752679}" name="28147"/>
    <tableColumn id="1741" xr3:uid="{C686C803-8ED3-40B7-ADED-90D69B0660E4}" name="28150"/>
    <tableColumn id="1742" xr3:uid="{C7CE1D26-10CC-4B0B-8703-5966D90C2807}" name="28152"/>
    <tableColumn id="1743" xr3:uid="{1A9BB5A7-8C4A-4B4B-BABE-6E3F69BEA090}" name="28159"/>
    <tableColumn id="1744" xr3:uid="{C1A3BB01-D457-4B7E-A26C-E47C711C43CB}" name="28160"/>
    <tableColumn id="1745" xr3:uid="{D3391F0B-6E0F-47A4-8645-8D2C2EE90A1B}" name="28163"/>
    <tableColumn id="1746" xr3:uid="{3B00134D-52E3-4DDD-B742-665CF8C0CA2C}" name="28164"/>
    <tableColumn id="1747" xr3:uid="{208228CF-0663-400A-882C-9113D2CC4892}" name="28166"/>
    <tableColumn id="1748" xr3:uid="{9F320F4D-426D-4A80-9AB5-589D59AAE3A5}" name="28167"/>
    <tableColumn id="1749" xr3:uid="{9797D0F2-1850-46A6-891F-DB5F7E1C11C9}" name="28168"/>
    <tableColumn id="1750" xr3:uid="{D124E342-A467-4CB7-8464-AD29E6892166}" name="28169"/>
    <tableColumn id="1751" xr3:uid="{938A313B-46EC-48CD-A33D-8ADEA2E73EBC}" name="28170"/>
    <tableColumn id="1752" xr3:uid="{F9769344-1396-488B-9E6D-98504FAC269D}" name="28173"/>
    <tableColumn id="1753" xr3:uid="{1BC02724-0CDE-474C-82E0-3EA58973943F}" name="28174"/>
    <tableColumn id="1754" xr3:uid="{6FD9A6A8-A67D-4BEE-8DEC-A10472B013FC}" name="28202"/>
    <tableColumn id="1755" xr3:uid="{3689E9E8-14A8-42D7-A196-2118AB76DDD1}" name="28203"/>
    <tableColumn id="1756" xr3:uid="{96060148-8708-403B-94FB-574BA6CB7AD9}" name="28204"/>
    <tableColumn id="1757" xr3:uid="{B585FCA6-4FAC-439C-B793-582B9415B484}" name="28205"/>
    <tableColumn id="1758" xr3:uid="{CC7DEA9C-76A2-400D-A443-D187939FD7C6}" name="28206"/>
    <tableColumn id="1759" xr3:uid="{84D6B54C-1077-463B-907F-FA1F4FCD0396}" name="28207"/>
    <tableColumn id="1760" xr3:uid="{96F923C3-3255-41E0-B0C1-ED96DB32D6BE}" name="28208"/>
    <tableColumn id="1761" xr3:uid="{0A100EB8-1765-48A1-99B0-0428885A2BFB}" name="28209"/>
    <tableColumn id="1762" xr3:uid="{30AF9A2B-FC1D-4B2A-AE18-47EDA2AA54BC}" name="28210"/>
    <tableColumn id="1763" xr3:uid="{3A6126D3-2E87-4B47-8808-6EC245E4CD79}" name="28211"/>
    <tableColumn id="1764" xr3:uid="{2CE47D13-C1B7-44D0-846A-1C4691927C9A}" name="28212"/>
    <tableColumn id="1765" xr3:uid="{28B5A386-25BA-4F70-B2CF-B98312C8ABC8}" name="28213"/>
    <tableColumn id="1766" xr3:uid="{CCB47490-2F98-4658-A395-EF1FFC70348B}" name="28214"/>
    <tableColumn id="1767" xr3:uid="{E4C5D632-5EF9-4024-9B57-04CEE1661DB7}" name="28215"/>
    <tableColumn id="1768" xr3:uid="{AE294B24-241C-4B37-A624-D4C812B87F3E}" name="28216"/>
    <tableColumn id="1769" xr3:uid="{196A2508-22BC-48A4-9EBD-1637DC4EEB8E}" name="28217"/>
    <tableColumn id="1770" xr3:uid="{099F7535-8171-4AB2-B871-D07BFFAD5655}" name="28223"/>
    <tableColumn id="1771" xr3:uid="{51D0C812-C46B-495A-86EC-3746111932A2}" name="28226"/>
    <tableColumn id="1772" xr3:uid="{737E8638-B312-4C61-8A53-3E689D59A18F}" name="28227"/>
    <tableColumn id="1773" xr3:uid="{C5149542-19E8-4A8E-AB4E-8978B0D41644}" name="28244"/>
    <tableColumn id="1774" xr3:uid="{2C664CA2-1793-41E7-BDA9-E8AB93C4DECA}" name="28262"/>
    <tableColumn id="1775" xr3:uid="{E8F8B65A-EFDC-4595-BBAC-B1047B014C28}" name="28269"/>
    <tableColumn id="1776" xr3:uid="{30FE7AB3-261C-40BC-B281-AB73ED3ABA83}" name="28270"/>
    <tableColumn id="1777" xr3:uid="{7AE7F05C-4A6F-42B7-9472-21E1A674444F}" name="28273"/>
    <tableColumn id="1778" xr3:uid="{481CB139-E301-4334-BCB2-E82AAFACE7B4}" name="28274"/>
    <tableColumn id="1779" xr3:uid="{DDF38888-E30C-45DB-B227-928FF96FADCF}" name="28277"/>
    <tableColumn id="1780" xr3:uid="{4D46253C-6252-4FB9-9633-853E0D274F01}" name="28278"/>
    <tableColumn id="1781" xr3:uid="{7BC5745A-6C23-48CC-BDAE-07A993484318}" name="28280"/>
    <tableColumn id="1782" xr3:uid="{CE323D44-EA48-407E-BBF8-DCE5C066C7B7}" name="28282"/>
    <tableColumn id="1783" xr3:uid="{15586E69-F6D5-487D-BE4E-6FA79594BB24}" name="28301"/>
    <tableColumn id="1784" xr3:uid="{A125BDF1-4BAF-4000-9EB0-39ADA58D7607}" name="28303"/>
    <tableColumn id="1785" xr3:uid="{F0E48F1F-9E89-435E-917A-634903D7DD7D}" name="28304"/>
    <tableColumn id="1786" xr3:uid="{555930BA-2809-42B5-B218-A370BB71C576}" name="28305"/>
    <tableColumn id="1787" xr3:uid="{459A5405-B20A-42A0-B4D9-BE8709663882}" name="28306"/>
    <tableColumn id="1788" xr3:uid="{6B7A966D-1D8B-4B49-BE27-4637EF342994}" name="28307"/>
    <tableColumn id="1789" xr3:uid="{6DC7CD81-5471-4513-B5A3-4E38308E3542}" name="28308"/>
    <tableColumn id="1790" xr3:uid="{1C931F27-107C-44F0-A8AD-D612B74E4E7A}" name="28310"/>
    <tableColumn id="1791" xr3:uid="{5E9157B6-A8AA-4413-B4F7-CC91C0DCAFAD}" name="28311"/>
    <tableColumn id="1792" xr3:uid="{2BE36FB8-4C50-4E75-9AE6-B46F1FB3121F}" name="28312"/>
    <tableColumn id="1793" xr3:uid="{BD4CCBEB-7C70-4275-A553-4D46DA6EDB8A}" name="28314"/>
    <tableColumn id="1794" xr3:uid="{670849E9-8D27-4319-A184-B9A76205FD2B}" name="28315"/>
    <tableColumn id="1795" xr3:uid="{1B483218-EF8B-4FF5-B0F8-16AE08189ED4}" name="28318"/>
    <tableColumn id="1796" xr3:uid="{1F72DF59-9DE7-4614-B4C7-168DFD0585EC}" name="28320"/>
    <tableColumn id="1797" xr3:uid="{79890683-C3AC-4863-8328-CC823A41CF89}" name="28323"/>
    <tableColumn id="1798" xr3:uid="{370D4CA5-F600-49EE-B3B2-1889F6423EFE}" name="28325"/>
    <tableColumn id="1799" xr3:uid="{E0D073FA-D6C8-48CF-8644-61A9D5CFE05A}" name="28326"/>
    <tableColumn id="1800" xr3:uid="{37EC3073-A6C7-4B1D-97DD-7F94A5DF081D}" name="28327"/>
    <tableColumn id="1801" xr3:uid="{B5E9BCBB-48E0-4913-B071-C4C6926A5122}" name="28328"/>
    <tableColumn id="1802" xr3:uid="{1DE68024-68AE-4118-8C94-1C029C5AF2AA}" name="28330"/>
    <tableColumn id="1803" xr3:uid="{72206639-AAA4-406F-A35A-BD8EBFE68794}" name="28331"/>
    <tableColumn id="1804" xr3:uid="{AE985A20-9DDF-4BAB-9D75-11481C459990}" name="28332"/>
    <tableColumn id="1805" xr3:uid="{8591E9AD-F551-42F9-B900-5F135760184C}" name="28333"/>
    <tableColumn id="1806" xr3:uid="{5948748B-CE6B-4BD5-8C75-F00AA252B061}" name="28334"/>
    <tableColumn id="1807" xr3:uid="{702913FC-DE37-4038-9CCC-0183D9B332E6}" name="28337"/>
    <tableColumn id="1808" xr3:uid="{CB968549-550C-4D4B-827C-8919BD2858EB}" name="28338"/>
    <tableColumn id="1809" xr3:uid="{4F8FCCAB-2B39-4160-BC6B-CEEC452F5F9B}" name="28339"/>
    <tableColumn id="1810" xr3:uid="{6FF8E473-D482-4713-B2DE-DE368789DFA6}" name="28340"/>
    <tableColumn id="1811" xr3:uid="{CDE04B2A-D539-4610-B6A1-4C5AB2BB6DD9}" name="28341"/>
    <tableColumn id="1812" xr3:uid="{986D0168-C28D-4702-8DB2-5B4123CFF54B}" name="28342"/>
    <tableColumn id="1813" xr3:uid="{91F8E70E-E7DB-437D-8108-B53165192A7F}" name="28343"/>
    <tableColumn id="1814" xr3:uid="{6BBDEEDA-4775-483B-A2B8-EF63BEE76BD1}" name="28344"/>
    <tableColumn id="1815" xr3:uid="{B8CFA9FE-E437-4E8F-B13A-A9C344BC8E15}" name="28345"/>
    <tableColumn id="1816" xr3:uid="{C993BD5F-8AA1-4BF6-B556-503DD15F65DE}" name="28347"/>
    <tableColumn id="1817" xr3:uid="{C95192DF-154C-47BE-9A08-606569DB7E56}" name="28348"/>
    <tableColumn id="1818" xr3:uid="{162F85CD-FEBD-4529-BC9C-859AAE5C122E}" name="28349"/>
    <tableColumn id="1819" xr3:uid="{3833CDE9-9BB8-4317-BA8B-17A105AB0017}" name="28350"/>
    <tableColumn id="1820" xr3:uid="{F6C86DB3-1BFF-441D-94CB-83FBC1D35EFC}" name="28351"/>
    <tableColumn id="1821" xr3:uid="{7401E850-2F87-4A6E-908F-2E2D82C64471}" name="28352"/>
    <tableColumn id="1822" xr3:uid="{779D1955-4F9B-45C0-90B9-EDA1AE64E550}" name="28355"/>
    <tableColumn id="1823" xr3:uid="{54E72EF9-D188-4D8C-8398-85A38559AAD7}" name="28356"/>
    <tableColumn id="1824" xr3:uid="{51689061-F0E4-402E-9263-E8EA3EBBC66B}" name="28357"/>
    <tableColumn id="1825" xr3:uid="{87CF50D7-485C-490E-9201-762FE902B9E1}" name="28358"/>
    <tableColumn id="1826" xr3:uid="{52868650-ECF1-4D03-96FE-1664CC2A2F03}" name="28359"/>
    <tableColumn id="1827" xr3:uid="{83F34F3D-3507-42EA-BA77-768C92F3BA6D}" name="28360"/>
    <tableColumn id="1828" xr3:uid="{58491FC4-7420-4CB6-87F7-C851B20E34D8}" name="28362"/>
    <tableColumn id="1829" xr3:uid="{863CDBAA-2ABE-4CC6-BA43-E8929828679B}" name="28363"/>
    <tableColumn id="1830" xr3:uid="{31EFAEDE-7FA0-4C13-82A7-25429EA3CB3B}" name="28364"/>
    <tableColumn id="1831" xr3:uid="{F593CE43-2C49-4E33-8688-0BCFCB1B3C8F}" name="28365"/>
    <tableColumn id="1832" xr3:uid="{17FC9AE2-FA27-4828-8CE5-AD3DEC6E0101}" name="28366"/>
    <tableColumn id="1833" xr3:uid="{9E2A5BDA-6160-4F7C-8B32-CEE8B8B5C037}" name="28367"/>
    <tableColumn id="1834" xr3:uid="{D5E61D7A-5E75-4D86-9759-E30D4BA0AAD6}" name="28368"/>
    <tableColumn id="1835" xr3:uid="{D7D80AA7-EA6F-4509-B4D5-ACA0F2906F3C}" name="28369"/>
    <tableColumn id="1836" xr3:uid="{BC1397EE-0ABC-4A67-A30F-445E15826813}" name="28371"/>
    <tableColumn id="1837" xr3:uid="{295F55B5-FE24-409F-81CB-A74B07019FD5}" name="28372"/>
    <tableColumn id="1838" xr3:uid="{D563A3EA-E77C-455C-ACE8-182FABA413D4}" name="28373"/>
    <tableColumn id="1839" xr3:uid="{063C9D6D-4173-4297-BC3C-682847B23B92}" name="28374"/>
    <tableColumn id="1840" xr3:uid="{F79FE066-6335-4BB6-970E-8111FD1C9C29}" name="28375"/>
    <tableColumn id="1841" xr3:uid="{F19EE5AB-F6EA-4FD8-9F9F-19EAA9393FAE}" name="28376"/>
    <tableColumn id="1842" xr3:uid="{4425ABCA-5E4F-4E6F-B029-B5FB09643E18}" name="28377"/>
    <tableColumn id="1843" xr3:uid="{F27C14C3-09C4-44E8-8AFC-A0722207BF78}" name="28378"/>
    <tableColumn id="1844" xr3:uid="{E56313FB-2404-43F2-A903-5B07F3B8F626}" name="28379"/>
    <tableColumn id="1845" xr3:uid="{C4977C45-A0BC-48CD-95C6-2C0F1DA6163F}" name="28382"/>
    <tableColumn id="1846" xr3:uid="{F4EC0DE5-A47E-46BF-AA7A-98CE1638BC6A}" name="28383"/>
    <tableColumn id="1847" xr3:uid="{28AF69A6-F403-49AB-AD03-45D859D99C74}" name="28384"/>
    <tableColumn id="1848" xr3:uid="{5F4916EC-1C4C-46A2-9A62-EA32AF51AEB5}" name="28385"/>
    <tableColumn id="1849" xr3:uid="{84B5F672-B261-4B6A-8BBC-906EE18E65C1}" name="28386"/>
    <tableColumn id="1850" xr3:uid="{DF601E22-10AB-466D-BE85-5F41D96CD321}" name="28387"/>
    <tableColumn id="1851" xr3:uid="{9A73028F-88C0-445C-9611-5AF39C75BE18}" name="28390"/>
    <tableColumn id="1852" xr3:uid="{BADEC6B0-42C3-4735-8D43-1FBCCEC2BC1B}" name="28391"/>
    <tableColumn id="1853" xr3:uid="{25EEEE54-CCC0-4E70-8AA7-4A7542DF48C6}" name="28392"/>
    <tableColumn id="1854" xr3:uid="{1B8E2CDC-0753-4D86-B2A1-7747D41ED383}" name="28393"/>
    <tableColumn id="1855" xr3:uid="{E51D7007-945B-4072-8C10-41172DF4CF29}" name="28394"/>
    <tableColumn id="1856" xr3:uid="{5484D2DC-984E-4084-A747-05E36FC1C0F2}" name="28395"/>
    <tableColumn id="1857" xr3:uid="{02CC2448-659E-4C8B-8680-B7F4CEB3DA5C}" name="28396"/>
    <tableColumn id="1858" xr3:uid="{9F8CBBED-4B24-4377-B467-FD10E7253366}" name="28398"/>
    <tableColumn id="1859" xr3:uid="{21ECAE9E-A8D5-451F-B1BE-5C00E33B42BE}" name="28399"/>
    <tableColumn id="1860" xr3:uid="{DCE5FE56-0A88-4DC4-BABF-FCBACCABF0D3}" name="28401"/>
    <tableColumn id="1861" xr3:uid="{94A025EE-FA38-4DE2-BED0-67B5B3791800}" name="28403"/>
    <tableColumn id="1862" xr3:uid="{7FE9745F-7D85-4BA0-A3B4-9402762B4227}" name="28405"/>
    <tableColumn id="1863" xr3:uid="{52DF50F5-0C54-4176-8736-CA3F508AE6BC}" name="28409"/>
    <tableColumn id="1864" xr3:uid="{8BCDC084-3F5A-4FA9-B15E-00E1478640FE}" name="28411"/>
    <tableColumn id="1865" xr3:uid="{DB637BBD-EFBF-48F9-9C0B-DF86D138CC8B}" name="28412"/>
    <tableColumn id="1866" xr3:uid="{9AA4C598-78C2-448A-BA9B-B049A2DA3D3A}" name="28420"/>
    <tableColumn id="1867" xr3:uid="{48192614-F49A-45EC-B93B-E035C70BB1DB}" name="28421"/>
    <tableColumn id="1868" xr3:uid="{B56A1FC1-6CD2-4CBE-A3B0-96B4D2F54423}" name="28422"/>
    <tableColumn id="1869" xr3:uid="{AAD5B09A-16D8-4F04-91D4-676C13310E67}" name="28423"/>
    <tableColumn id="1870" xr3:uid="{D52639EE-EB05-4B55-89E8-33C201F94736}" name="28424"/>
    <tableColumn id="1871" xr3:uid="{1D99C88C-5C0E-45B6-8D98-7061D7FA2912}" name="28425"/>
    <tableColumn id="1872" xr3:uid="{DC04A80A-0058-45A1-A8D4-9BB128FCC19F}" name="28428"/>
    <tableColumn id="1873" xr3:uid="{C60A5E46-45D7-47E6-93D4-F830835A08D2}" name="28429"/>
    <tableColumn id="1874" xr3:uid="{0A20CB06-7B8B-441A-BA7E-3C3D7BA9AAA0}" name="28430"/>
    <tableColumn id="1875" xr3:uid="{9F69ACBD-284C-4E5F-87EA-28C9290939E5}" name="28431"/>
    <tableColumn id="1876" xr3:uid="{7949A867-6C71-452B-AA1E-E400807EF844}" name="28432"/>
    <tableColumn id="1877" xr3:uid="{E669A8E3-81C9-458D-94F7-26B2A33593CD}" name="28433"/>
    <tableColumn id="1878" xr3:uid="{F377EC16-711B-40EA-9E7F-44DFC4D35202}" name="28434"/>
    <tableColumn id="1879" xr3:uid="{B0AEB189-880F-477A-BD42-2D92CFDE39AF}" name="28435"/>
    <tableColumn id="1880" xr3:uid="{6227F6DD-EA85-4180-BF92-941D1B7B128E}" name="28436"/>
    <tableColumn id="1881" xr3:uid="{2F309D0D-2894-4781-B170-ED06B26D3739}" name="28438"/>
    <tableColumn id="1882" xr3:uid="{032BD701-8A20-42B9-BCFA-A2431C03D721}" name="28439"/>
    <tableColumn id="1883" xr3:uid="{DA8C0CD5-50CD-4058-A098-4E65F151F624}" name="28441"/>
    <tableColumn id="1884" xr3:uid="{095C0B0E-A421-4DD6-819A-9AE0D2E91BF3}" name="28442"/>
    <tableColumn id="1885" xr3:uid="{DF9A2575-B897-4EA1-97E8-AF8C50726308}" name="28443"/>
    <tableColumn id="1886" xr3:uid="{9CEDB99E-1200-4965-A85F-566DAD95D31F}" name="28444"/>
    <tableColumn id="1887" xr3:uid="{70C52FAA-5E4D-420F-850A-42FE2A68BE69}" name="28445"/>
    <tableColumn id="1888" xr3:uid="{CC4A464A-B1E8-4A4D-83C7-2086FEB2C18A}" name="28447"/>
    <tableColumn id="1889" xr3:uid="{08C7EFA8-E424-4B4A-9839-F07C035EF5CB}" name="28448"/>
    <tableColumn id="1890" xr3:uid="{BA768C92-4035-4B93-A235-76CBCEA62699}" name="28449"/>
    <tableColumn id="1891" xr3:uid="{77BC2C69-CFB1-4CAB-B332-AE5FE9E99340}" name="28450"/>
    <tableColumn id="1892" xr3:uid="{1521D4D4-B09D-4DBD-B717-5FD524BCB638}" name="28451"/>
    <tableColumn id="1893" xr3:uid="{D3DF5352-D9D4-4C47-AF87-7DE5DE16F40C}" name="28452"/>
    <tableColumn id="1894" xr3:uid="{69DA9522-BB92-438C-811D-E9259ECAA44E}" name="28453"/>
    <tableColumn id="1895" xr3:uid="{5194F20B-4C34-4CAC-95CA-E20DC83556BA}" name="28454"/>
    <tableColumn id="1896" xr3:uid="{108AE09A-03F7-4017-9A7F-B562A05ADEC0}" name="28455"/>
    <tableColumn id="1897" xr3:uid="{6FF42104-FB2E-4DAF-86E2-1C2151F713A4}" name="28456"/>
    <tableColumn id="1898" xr3:uid="{FB263103-2EFB-4FCC-9251-4F8DDCE1AFEC}" name="28457"/>
    <tableColumn id="1899" xr3:uid="{5B9404C6-BF88-4602-B9A1-E9DEE47071AF}" name="28458"/>
    <tableColumn id="1900" xr3:uid="{596E42F4-A46F-4C7D-90C4-2DBAA2DABFE3}" name="28460"/>
    <tableColumn id="1901" xr3:uid="{C207B14A-13C4-46E7-90BE-A534F7032CB8}" name="28461"/>
    <tableColumn id="1902" xr3:uid="{9748C7B2-2D45-459A-8EE7-44F3D2C9D025}" name="28462"/>
    <tableColumn id="1903" xr3:uid="{D2805F2C-5426-42C0-87A1-7A65B718B143}" name="28463"/>
    <tableColumn id="1904" xr3:uid="{3392F14F-F1C1-430E-9C30-7937FBEE76D7}" name="28464"/>
    <tableColumn id="1905" xr3:uid="{BFDBBB89-DEFF-40B9-8134-992284A231B7}" name="28465"/>
    <tableColumn id="1906" xr3:uid="{20229D65-53B2-4E42-9506-984BB4E55489}" name="28466"/>
    <tableColumn id="1907" xr3:uid="{50946D81-30DE-43EC-97A8-0014343AA2C1}" name="28467"/>
    <tableColumn id="1908" xr3:uid="{358A23BA-8B99-4BBC-BD70-AB23188E29D8}" name="28468"/>
    <tableColumn id="1909" xr3:uid="{6958A891-E33A-4A52-B32E-3083DB7079DD}" name="28469"/>
    <tableColumn id="1910" xr3:uid="{38F3F8E3-2654-4363-998F-D456C4B5CA3F}" name="28470"/>
    <tableColumn id="1911" xr3:uid="{59C6EB51-7C4B-406D-9A6D-8BCA8DC129DB}" name="28472"/>
    <tableColumn id="1912" xr3:uid="{7CA37696-3FEB-4091-B70F-CF07CB86C20F}" name="28478"/>
    <tableColumn id="1913" xr3:uid="{513FE61F-84DE-41F9-B184-F5C25EDB76E4}" name="28479"/>
    <tableColumn id="1914" xr3:uid="{B1C7179F-935E-4006-BBF5-94E29D7A7AF4}" name="28480"/>
    <tableColumn id="1915" xr3:uid="{8BEFC482-2D32-4D89-A17B-67C93EAFA865}" name="28501"/>
    <tableColumn id="1916" xr3:uid="{0BE703A3-F718-4745-A766-EDAE82DB9FD1}" name="28504"/>
    <tableColumn id="1917" xr3:uid="{C2BB7726-4BE8-4D92-A2CA-604BDDD8F430}" name="28508"/>
    <tableColumn id="1918" xr3:uid="{D8E377C0-DDDC-4A78-B472-7CFF699B5D01}" name="28509"/>
    <tableColumn id="1919" xr3:uid="{98770C65-72DB-4346-AB2B-D8C4AF02A87C}" name="28510"/>
    <tableColumn id="1920" xr3:uid="{626BB3D2-3636-4B19-A13E-3F3FAECA949B}" name="28511"/>
    <tableColumn id="1921" xr3:uid="{23AF207C-3567-471D-825C-74C708157E19}" name="28512"/>
    <tableColumn id="1922" xr3:uid="{CF12E540-09EA-4B43-ACD0-A475637E693F}" name="28513"/>
    <tableColumn id="1923" xr3:uid="{ADAB692F-50D4-449B-961A-6CC7A0CE0478}" name="28515"/>
    <tableColumn id="1924" xr3:uid="{A83683B8-8ACC-49FC-B2D9-0B29AE895D16}" name="28516"/>
    <tableColumn id="1925" xr3:uid="{3B23428A-53FD-433A-B4D0-F5A4B23D7B97}" name="28518"/>
    <tableColumn id="1926" xr3:uid="{4A11F84E-14C7-43F8-B95E-17B74A56ED60}" name="28519"/>
    <tableColumn id="1927" xr3:uid="{CA6B6A27-1B6D-4164-9ECD-3507F8A9A5AD}" name="28520"/>
    <tableColumn id="1928" xr3:uid="{313C41CB-E8A3-4A8C-B889-FC94647790A0}" name="28521"/>
    <tableColumn id="1929" xr3:uid="{6024016A-CDCE-404C-BE41-E2284D73AF41}" name="28523"/>
    <tableColumn id="1930" xr3:uid="{49F81447-43FE-4B7D-85ED-D4ED04752411}" name="28524"/>
    <tableColumn id="1931" xr3:uid="{DECD3DEF-FBCD-499F-8947-C3D3BA49C0DE}" name="28525"/>
    <tableColumn id="1932" xr3:uid="{91CE6EDC-B13E-439A-B7EE-F7053739CE0F}" name="28526"/>
    <tableColumn id="1933" xr3:uid="{9E06AE70-6399-4511-8DAD-88B3F0D421A8}" name="28527"/>
    <tableColumn id="1934" xr3:uid="{3241B622-65D5-441F-B4FA-C7D030BF4380}" name="28528"/>
    <tableColumn id="1935" xr3:uid="{426DBDBE-FA62-4286-B8A4-825BFC9148CD}" name="28529"/>
    <tableColumn id="1936" xr3:uid="{2B83AD00-0BEE-4861-AE22-EE09DCB94C54}" name="28530"/>
    <tableColumn id="1937" xr3:uid="{D9FFBE87-D116-4E00-8C51-101DD0993219}" name="28531"/>
    <tableColumn id="1938" xr3:uid="{67F1DB82-FC00-4C10-8CC4-E3AA408D1F17}" name="28532"/>
    <tableColumn id="1939" xr3:uid="{84006579-30F1-4DB2-B8F3-BBC3FA347E14}" name="28533"/>
    <tableColumn id="1940" xr3:uid="{CB73A2B8-7BB2-4D68-BD3D-815D1B185B37}" name="28537"/>
    <tableColumn id="1941" xr3:uid="{2F3A2762-B0AD-43B9-9387-77F719027A6E}" name="28538"/>
    <tableColumn id="1942" xr3:uid="{CC27C9CD-D46B-438F-B400-90F7290D09F9}" name="28539"/>
    <tableColumn id="1943" xr3:uid="{8E17D42D-2567-4059-A64F-294F3FDB62A6}" name="28540"/>
    <tableColumn id="1944" xr3:uid="{206F9B55-9E19-41DF-9E3F-8DE4E4128A2F}" name="28542"/>
    <tableColumn id="1945" xr3:uid="{D764830B-CC4A-46A9-8B51-015D44A92364}" name="28543"/>
    <tableColumn id="1946" xr3:uid="{0E77327B-5B81-4D99-A4AA-A5C20D1A246C}" name="28544"/>
    <tableColumn id="1947" xr3:uid="{7C53B332-2A93-44EA-8456-BE720EF8D96B}" name="28546"/>
    <tableColumn id="1948" xr3:uid="{3F079BBA-68A3-477D-9F7D-06F2538751CC}" name="28547"/>
    <tableColumn id="1949" xr3:uid="{91AB8F0F-F8B6-4EB2-B63E-943DE370185B}" name="28551"/>
    <tableColumn id="1950" xr3:uid="{238A3D92-FC89-4E90-8154-F7AC9ECFB27F}" name="28552"/>
    <tableColumn id="1951" xr3:uid="{F9D1F751-3FE4-4DA2-94CE-3FA09E3CBB0E}" name="28553"/>
    <tableColumn id="1952" xr3:uid="{15B92F36-CF7D-49D1-B8F9-33F6D687EDE5}" name="28554"/>
    <tableColumn id="1953" xr3:uid="{8ED42FA1-F365-46D9-A34D-0FCE171870CC}" name="28555"/>
    <tableColumn id="1954" xr3:uid="{F714E0B6-2EC6-450F-95EF-65D1F268FCB8}" name="28556"/>
    <tableColumn id="1955" xr3:uid="{DF8A1B04-D40A-4A0A-A8C4-BCAE1E22382C}" name="28557"/>
    <tableColumn id="1956" xr3:uid="{A3AD9475-AE31-4D33-958C-50E499219E4A}" name="28560"/>
    <tableColumn id="1957" xr3:uid="{AAB4EF99-51FD-4351-8F2F-A44D63C6A3E9}" name="28562"/>
    <tableColumn id="1958" xr3:uid="{1B7949FE-6F7D-49C7-8996-865232DEADF7}" name="28570"/>
    <tableColumn id="1959" xr3:uid="{FFD39D15-3A20-4CA1-AA87-F636D1F6E7FB}" name="28571"/>
    <tableColumn id="1960" xr3:uid="{AFBD0445-6253-48CC-8DD8-4091788FDC34}" name="28572"/>
    <tableColumn id="1961" xr3:uid="{0F09CC9E-937E-496E-BB7F-AB9CE4AA7D28}" name="28573"/>
    <tableColumn id="1962" xr3:uid="{23CFB4E8-6104-4CF0-85DD-2E5402AA98F6}" name="28574"/>
    <tableColumn id="1963" xr3:uid="{C561F2ED-B53A-4C5D-A32D-409D41806026}" name="28575"/>
    <tableColumn id="1964" xr3:uid="{38A262CF-AE49-4E41-9386-18295E7BAF49}" name="28577"/>
    <tableColumn id="1965" xr3:uid="{6E245CC1-E0B9-47B8-8D6D-5E7B3C5A3E8E}" name="28578"/>
    <tableColumn id="1966" xr3:uid="{9B44C629-0F55-4F0C-BF15-AAAB613CE371}" name="28579"/>
    <tableColumn id="1967" xr3:uid="{9C05436F-2360-412F-83A0-61CCC5BDE38E}" name="28580"/>
    <tableColumn id="1968" xr3:uid="{CFA57A23-3DF9-4858-9196-115557676577}" name="28581"/>
    <tableColumn id="1969" xr3:uid="{FDB060C2-67A2-4ED4-80C3-EDCC2575AF9F}" name="28582"/>
    <tableColumn id="1970" xr3:uid="{404DBAA7-4AD9-411E-8209-A169A26EF2B6}" name="28584"/>
    <tableColumn id="1971" xr3:uid="{6B1763D9-E99D-4D1E-A2CD-606AF06A5617}" name="28585"/>
    <tableColumn id="1972" xr3:uid="{D1AFF57B-AEF1-4B4D-B636-E2F0D0FDC3A8}" name="28586"/>
    <tableColumn id="1973" xr3:uid="{DD615EAA-4E72-47BA-93FC-DECADC451050}" name="28587"/>
    <tableColumn id="1974" xr3:uid="{996FB2A4-4863-4F88-8C16-9EE6110E95CD}" name="28589"/>
    <tableColumn id="1975" xr3:uid="{20DE8EF2-2820-4E2F-A860-CFA07647AD74}" name="28590"/>
    <tableColumn id="1976" xr3:uid="{0ABB927D-CC0A-4B0B-9185-3F9BB2A03627}" name="28594"/>
    <tableColumn id="1977" xr3:uid="{04984CC8-C7E2-4517-A8EB-5DA8278F3BD7}" name="28601"/>
    <tableColumn id="1978" xr3:uid="{F021E023-9586-419A-B205-712F5EE17631}" name="28602"/>
    <tableColumn id="1979" xr3:uid="{DE6AEDE2-FF86-46F3-A8AC-7372C0B478B5}" name="28604"/>
    <tableColumn id="1980" xr3:uid="{DB15B316-7437-4F39-81E0-B83A973F1F78}" name="28605"/>
    <tableColumn id="1981" xr3:uid="{7A41C5D6-1F3D-41A0-ACE7-862DD025B709}" name="28606"/>
    <tableColumn id="1982" xr3:uid="{D8E31843-E0B3-4141-823B-CEA2C52A676B}" name="28607"/>
    <tableColumn id="1983" xr3:uid="{C48390B6-2844-43C6-937A-766FE1E63B68}" name="28609"/>
    <tableColumn id="1984" xr3:uid="{3AF11CB5-5543-4A31-86DA-3D02E9B107A7}" name="28610"/>
    <tableColumn id="1985" xr3:uid="{A4245836-CECA-49AB-8EE0-65ABD85D0A8B}" name="28611"/>
    <tableColumn id="1986" xr3:uid="{D174DDE0-C9CA-428A-8410-D30D3CDB553A}" name="28612"/>
    <tableColumn id="1987" xr3:uid="{85313642-E310-4963-ACAC-BC0979D29C22}" name="28613"/>
    <tableColumn id="1988" xr3:uid="{3B4C6480-5749-4AFE-850F-0B4B3E3E6825}" name="28615"/>
    <tableColumn id="1989" xr3:uid="{8321F4F8-D7FF-453C-AAA9-0BA624D5615F}" name="28616"/>
    <tableColumn id="1990" xr3:uid="{4F3BEB3D-6640-4D42-B0B0-74916F8B4E63}" name="28617"/>
    <tableColumn id="1991" xr3:uid="{287371A3-94AE-4222-9F7C-C2D380E9A4A7}" name="28618"/>
    <tableColumn id="1992" xr3:uid="{0DCCE0F7-BD04-42E2-AF4B-366357BF682B}" name="28619"/>
    <tableColumn id="1993" xr3:uid="{205DE218-1458-45C3-B59B-C1B233AE28D0}" name="28621"/>
    <tableColumn id="1994" xr3:uid="{E6191759-3B66-4FF6-B635-71BF5F85601D}" name="28622"/>
    <tableColumn id="1995" xr3:uid="{4E05C8B9-4F15-4532-8AA0-89097745D861}" name="28623"/>
    <tableColumn id="1996" xr3:uid="{4A8FA4E7-15E1-485F-A806-6CC617BBDD13}" name="28624"/>
    <tableColumn id="1997" xr3:uid="{8C70F5C1-3036-4967-A56E-B9500E027919}" name="28625"/>
    <tableColumn id="1998" xr3:uid="{A413165B-69C6-4C6A-A5B5-AFEAB0BF0FED}" name="28626"/>
    <tableColumn id="1999" xr3:uid="{3873CA50-8F42-45C7-95A9-314789CFBD6E}" name="28627"/>
    <tableColumn id="2000" xr3:uid="{CE6D776C-CB60-4E5A-A426-3AD5C2030949}" name="28628"/>
    <tableColumn id="2001" xr3:uid="{5AF8F379-DAE1-4190-9752-744BB05B96E7}" name="28629"/>
    <tableColumn id="2002" xr3:uid="{7F3DE5FC-A590-48DE-80AB-A3A961CF7184}" name="28630"/>
    <tableColumn id="2003" xr3:uid="{FEDCC8FA-5AE4-4196-B2C0-629EC6E5223F}" name="28631"/>
    <tableColumn id="2004" xr3:uid="{9297AB3E-3F44-41CA-9F32-9A4E83AD0213}" name="28634"/>
    <tableColumn id="2005" xr3:uid="{A44C4956-94AE-4FA3-8DDE-6D5A5E2F9ABD}" name="28635"/>
    <tableColumn id="2006" xr3:uid="{7C11127A-853D-4D9C-B31A-F77333B5C7C8}" name="28636"/>
    <tableColumn id="2007" xr3:uid="{790BB0B7-D289-4340-A0C6-6A15325DD89D}" name="28637"/>
    <tableColumn id="2008" xr3:uid="{A0795FE4-8565-4377-9BC8-6229955F30A5}" name="28638"/>
    <tableColumn id="2009" xr3:uid="{83D0867B-E8D2-4A26-8AB5-4714EC4DE84E}" name="28640"/>
    <tableColumn id="2010" xr3:uid="{38948B82-3089-4522-BABF-C1ED1BDE4426}" name="28641"/>
    <tableColumn id="2011" xr3:uid="{A3AEDBDB-361C-4878-91D1-DF34A09B20E6}" name="28642"/>
    <tableColumn id="2012" xr3:uid="{91F3B39E-7354-4EB7-8DE8-AF8BE53899B4}" name="28643"/>
    <tableColumn id="2013" xr3:uid="{244D3B9D-4656-4E58-8751-19D7D0910817}" name="28644"/>
    <tableColumn id="2014" xr3:uid="{68C9FE30-3400-426E-9093-676AAD54AEC5}" name="28645"/>
    <tableColumn id="2015" xr3:uid="{43C5E693-5EFA-4D75-94F3-EB904EA1FD19}" name="28646"/>
    <tableColumn id="2016" xr3:uid="{B2F33311-0DAC-441E-8283-5BD40CE184AF}" name="28649"/>
    <tableColumn id="2017" xr3:uid="{19949AFC-C2C6-4D4C-86CC-6B54D6002FB3}" name="28650"/>
    <tableColumn id="2018" xr3:uid="{5A00F51D-963B-4CE9-BAC4-9623C709AD09}" name="28651"/>
    <tableColumn id="2019" xr3:uid="{B44E50E5-62A7-4DE5-8E9F-EF6C2B2E05BF}" name="28652"/>
    <tableColumn id="2020" xr3:uid="{D5C89B4E-F013-4CE2-A99F-85634A0A5DA5}" name="28653"/>
    <tableColumn id="2021" xr3:uid="{E596AA25-60AF-4379-99F3-723B624D0AED}" name="28654"/>
    <tableColumn id="2022" xr3:uid="{369A7912-1F9C-4E71-B40A-2028126C0395}" name="28655"/>
    <tableColumn id="2023" xr3:uid="{8B4AA925-C7C8-4850-B7DB-1DCD62B4E995}" name="28657"/>
    <tableColumn id="2024" xr3:uid="{F2965830-B5AD-4DB7-B684-F5D2AB5FE350}" name="28658"/>
    <tableColumn id="2025" xr3:uid="{3A3FF2F3-76B7-4C6D-A11D-D1C29A2FDA96}" name="28659"/>
    <tableColumn id="2026" xr3:uid="{182A7C0A-4C52-4629-A780-F8926A1A6F40}" name="28660"/>
    <tableColumn id="2027" xr3:uid="{50AE39D6-5D39-4EF6-AE0D-935774FC94E8}" name="28662"/>
    <tableColumn id="2028" xr3:uid="{3C86FD1F-0E14-46C3-A942-E2DCC7F92FA6}" name="28663"/>
    <tableColumn id="2029" xr3:uid="{B1295DA5-7A96-4B4D-847E-381DDEACE866}" name="28664"/>
    <tableColumn id="2030" xr3:uid="{847CEC6A-EDB1-493A-BF82-23F2B395D437}" name="28665"/>
    <tableColumn id="2031" xr3:uid="{AA4E1D40-0658-428D-8C3F-F7AE129B6ED5}" name="28666"/>
    <tableColumn id="2032" xr3:uid="{512DF462-6E92-451F-B158-EFDEB49CCA3C}" name="28667"/>
    <tableColumn id="2033" xr3:uid="{174549CB-4F94-46F3-84D7-2FC512C42A4D}" name="28668"/>
    <tableColumn id="2034" xr3:uid="{BAD9C6B2-A740-469E-9400-9BA555AC15C9}" name="28669"/>
    <tableColumn id="2035" xr3:uid="{2DB8CCE6-D229-4A15-A2DE-93518BFE4912}" name="28670"/>
    <tableColumn id="2036" xr3:uid="{343E2A85-A7BE-4E70-87F2-D5C799E6BD16}" name="28671"/>
    <tableColumn id="2037" xr3:uid="{25E14564-12F6-4EE5-ABB3-17EF87B5F0DB}" name="28672"/>
    <tableColumn id="2038" xr3:uid="{340541FA-199D-4439-9E8E-E70622DCDA67}" name="28673"/>
    <tableColumn id="2039" xr3:uid="{5987F9A3-9476-4E34-995D-4182BD48F9E9}" name="28675"/>
    <tableColumn id="2040" xr3:uid="{39FEF5D6-1DC9-4AC0-B67F-DF7B560A21E1}" name="28676"/>
    <tableColumn id="2041" xr3:uid="{48D4AF56-2CF3-42A9-BA8E-CA9B618C2A98}" name="28677"/>
    <tableColumn id="2042" xr3:uid="{B24590A0-2C8C-4C96-8BE4-70EE2BC130D2}" name="28678"/>
    <tableColumn id="2043" xr3:uid="{7BB4DDED-E9FA-43EE-BA25-F529B53FD725}" name="28679"/>
    <tableColumn id="2044" xr3:uid="{994D1F9F-53DE-4AD4-81C2-5A941A5523F8}" name="28681"/>
    <tableColumn id="2045" xr3:uid="{26C619E9-24A0-48CA-8250-01FFC69E6A15}" name="28682"/>
    <tableColumn id="2046" xr3:uid="{0913BD3D-ED30-428E-A2CB-1D1325EC5589}" name="28683"/>
    <tableColumn id="2047" xr3:uid="{BDFA7331-B9F0-429E-99E1-0118EF069A3D}" name="28684"/>
    <tableColumn id="2048" xr3:uid="{9EFBD5C3-0B82-4310-9A1F-530C555959A0}" name="28685"/>
    <tableColumn id="2049" xr3:uid="{1EB3CD31-A1B0-4CAE-A925-B09B47A63CA0}" name="28689"/>
    <tableColumn id="2050" xr3:uid="{9D977AB8-367C-425A-92C2-71ACF0E41CCB}" name="28690"/>
    <tableColumn id="2051" xr3:uid="{757DB636-CCF4-4843-9A9D-76EDA501AE4B}" name="28692"/>
    <tableColumn id="2052" xr3:uid="{984BAFEE-D965-4095-BA2B-358C7EE033E6}" name="28693"/>
    <tableColumn id="2053" xr3:uid="{C36A1E47-B3D5-499C-8E84-6CA8C2A8E5E9}" name="28694"/>
    <tableColumn id="2054" xr3:uid="{69E8345C-9106-4498-A2D4-056AC0CECD16}" name="28697"/>
    <tableColumn id="2055" xr3:uid="{E94185C9-D058-4F6D-8B44-A3B5CE23145A}" name="28698"/>
    <tableColumn id="2056" xr3:uid="{8109D22A-9E8E-4D87-8658-E16DF621A69F}" name="28701"/>
    <tableColumn id="2057" xr3:uid="{CA286C79-2C73-46E2-AD71-FCF5380B1D92}" name="28702"/>
    <tableColumn id="2058" xr3:uid="{ED216C35-55EA-4955-9067-58AAAA207A60}" name="28704"/>
    <tableColumn id="2059" xr3:uid="{4E8707A6-BE44-4054-AED4-04123D033E22}" name="28705"/>
    <tableColumn id="2060" xr3:uid="{C85562B9-3627-4322-91FC-83756120B132}" name="28707"/>
    <tableColumn id="2061" xr3:uid="{AA6DF160-D6EE-47A6-A7ED-A0F7437CFD65}" name="28708"/>
    <tableColumn id="2062" xr3:uid="{193AE0DA-B2D0-45B8-81A7-AB889E1B0E89}" name="28709"/>
    <tableColumn id="2063" xr3:uid="{60B4B7BC-1B9B-483A-A19E-BF8EAEED3995}" name="28710"/>
    <tableColumn id="2064" xr3:uid="{019687BE-8429-4234-AB97-EA33F13E68F5}" name="28711"/>
    <tableColumn id="2065" xr3:uid="{2DA943F1-6E73-4DB7-8129-5FC44664025F}" name="28712"/>
    <tableColumn id="2066" xr3:uid="{47F7EE4A-67F3-47FB-A454-4F63E8BC06AF}" name="28713"/>
    <tableColumn id="2067" xr3:uid="{10A4C8CE-CAB7-4680-88D2-47FB3CC6BDAA}" name="28714"/>
    <tableColumn id="2068" xr3:uid="{E6FA63AD-BCF6-4843-9F52-757CFD2D6CC0}" name="28715"/>
    <tableColumn id="2069" xr3:uid="{85024923-730A-403B-920A-835ACE67F995}" name="28716"/>
    <tableColumn id="2070" xr3:uid="{F788DF3A-56FC-494E-B810-BD0DF23A81D2}" name="28717"/>
    <tableColumn id="2071" xr3:uid="{D0606821-8004-42F1-B4E2-AEB5BCA3E17F}" name="28718"/>
    <tableColumn id="2072" xr3:uid="{E80A3EA6-A654-4735-9ED5-70FF0166C50E}" name="28719"/>
    <tableColumn id="2073" xr3:uid="{811A070E-A47C-4808-BBBC-9F7D3A3F421B}" name="28720"/>
    <tableColumn id="2074" xr3:uid="{79E05BF1-A8F6-478A-8ACC-77FB361DFF37}" name="28721"/>
    <tableColumn id="2075" xr3:uid="{4374B80E-D344-498F-A857-578CBF1FEDA0}" name="28722"/>
    <tableColumn id="2076" xr3:uid="{4642D059-C600-4BE6-AA99-445B0E13C3E4}" name="28723"/>
    <tableColumn id="2077" xr3:uid="{39F76E91-54E4-4353-9AD3-DEF7456703AA}" name="28725"/>
    <tableColumn id="2078" xr3:uid="{1A027745-CD13-4779-ADD8-33CB7365862F}" name="28726"/>
    <tableColumn id="2079" xr3:uid="{F1926A9A-7A0F-4AC8-A3BA-40BEDE262420}" name="28729"/>
    <tableColumn id="2080" xr3:uid="{12C6B8D5-BE63-4C46-B7EE-9FC6E37F74DF}" name="28730"/>
    <tableColumn id="2081" xr3:uid="{8E239CD8-D79B-485C-9062-0F6F42317D82}" name="28731"/>
    <tableColumn id="2082" xr3:uid="{8B9A7A05-7CA2-4C74-AAED-7A8C19584BEC}" name="28732"/>
    <tableColumn id="2083" xr3:uid="{C74BBC11-BC43-410C-ADBD-E6EC32320AEB}" name="28733"/>
    <tableColumn id="2084" xr3:uid="{185C5B97-5772-4822-9254-967392D146B6}" name="28734"/>
    <tableColumn id="2085" xr3:uid="{C80924A6-C4B1-40C8-8BD0-26291D04356B}" name="28735"/>
    <tableColumn id="2086" xr3:uid="{FAEF26B3-4A82-4271-9A48-33131EB08934}" name="28736"/>
    <tableColumn id="2087" xr3:uid="{F2FC7484-59E2-4A96-A4A7-CFEF07B35BFA}" name="28739"/>
    <tableColumn id="2088" xr3:uid="{B9A2F34A-B909-4F36-98E6-1BDDDC820C55}" name="28740"/>
    <tableColumn id="2089" xr3:uid="{269A2893-0683-4EF3-A113-6C127D20B3EC}" name="28741"/>
    <tableColumn id="2090" xr3:uid="{828E2CB3-27C3-4DA9-82A3-814605643DA1}" name="28742"/>
    <tableColumn id="2091" xr3:uid="{B8D89E6A-A399-4722-988F-2F3E18A67DB8}" name="28743"/>
    <tableColumn id="2092" xr3:uid="{41F2B602-94BC-4BE2-843D-F82C00058AEA}" name="28745"/>
    <tableColumn id="2093" xr3:uid="{76B42D99-41C5-43F5-8700-C9E9FD63F76A}" name="28746"/>
    <tableColumn id="2094" xr3:uid="{ACEF70DB-3C93-48F8-932B-EACFD773D877}" name="28747"/>
    <tableColumn id="2095" xr3:uid="{12C240C4-0146-426C-82B6-98E52FE11EC3}" name="28748"/>
    <tableColumn id="2096" xr3:uid="{977A5006-25CC-4659-B127-CCD3DDC4CE79}" name="28749"/>
    <tableColumn id="2097" xr3:uid="{24EB99E8-AD7C-44B0-A38E-FC996FD9D779}" name="28751"/>
    <tableColumn id="2098" xr3:uid="{6B03833F-FA89-491D-8C2F-8106109BB27D}" name="28752"/>
    <tableColumn id="2099" xr3:uid="{9C67ED6B-7258-49A2-97E9-1D4C699B1174}" name="28753"/>
    <tableColumn id="2100" xr3:uid="{8510D85E-8F3A-4743-BDFA-449FA34541D0}" name="28754"/>
    <tableColumn id="2101" xr3:uid="{48B21328-E74F-4F33-903D-BCB7188C9241}" name="28755"/>
    <tableColumn id="2102" xr3:uid="{16D95D55-9D42-4F5C-9AB4-41DBE11C66F5}" name="28756"/>
    <tableColumn id="2103" xr3:uid="{76917600-7686-43C2-B75B-04DE5F61F833}" name="28757"/>
    <tableColumn id="2104" xr3:uid="{A919FDAC-59F8-44FD-B2F2-0C90BC600CD5}" name="28758"/>
    <tableColumn id="2105" xr3:uid="{95FFF9B7-F19E-4422-AEBB-2CC6AFF47E50}" name="28759"/>
    <tableColumn id="2106" xr3:uid="{A71D8ADC-2D07-4208-96E2-97BCAFA9D334}" name="28761"/>
    <tableColumn id="2107" xr3:uid="{B94F8356-C6B0-4669-9AB7-B546A1D76FFD}" name="28762"/>
    <tableColumn id="2108" xr3:uid="{C0FA6881-1C7A-40B0-A02D-D75910D6833E}" name="28763"/>
    <tableColumn id="2109" xr3:uid="{99644C7A-9443-46A0-964D-A40C52C821BE}" name="28766"/>
    <tableColumn id="2110" xr3:uid="{DA2D533D-656E-49E6-BA84-0715B35C5F7F}" name="28768"/>
    <tableColumn id="2111" xr3:uid="{22CBE34F-BB21-4C15-8104-BBEF1E73E229}" name="28770"/>
    <tableColumn id="2112" xr3:uid="{AA6EB372-F569-40F0-8C0A-98A90C24CC62}" name="28771"/>
    <tableColumn id="2113" xr3:uid="{F01D82BD-8E6E-4570-8124-12FE87789EB5}" name="28772"/>
    <tableColumn id="2114" xr3:uid="{204B8B35-CA77-42D2-B9EE-2CA20CFB9FF0}" name="28773"/>
    <tableColumn id="2115" xr3:uid="{54CE0E21-CE67-42CF-A0DE-9D85BEDA71AB}" name="28774"/>
    <tableColumn id="2116" xr3:uid="{1FA23A44-8D98-4E3F-985A-A26467ED9835}" name="28775"/>
    <tableColumn id="2117" xr3:uid="{161A3620-B83C-4216-9E10-728D99A31E52}" name="28777"/>
    <tableColumn id="2118" xr3:uid="{2E6A9817-7CE5-4C72-9E8D-A20CC3A1F751}" name="28778"/>
    <tableColumn id="2119" xr3:uid="{6DA61FF0-1A2D-4BFF-BF5A-6FC11DDA704B}" name="28779"/>
    <tableColumn id="2120" xr3:uid="{8D38FD84-8388-449A-B62A-A623CC0814FA}" name="28781"/>
    <tableColumn id="2121" xr3:uid="{83C635AD-B44C-4E91-9812-B0CC9BE724CB}" name="28782"/>
    <tableColumn id="2122" xr3:uid="{78120F42-B1E0-4DE5-8829-A5DBFA3EC821}" name="28783"/>
    <tableColumn id="2123" xr3:uid="{5AA23A59-5DA1-4101-8493-767748FA19BF}" name="28785"/>
    <tableColumn id="2124" xr3:uid="{E89D4B43-A7A1-4B14-8BE7-BB9347694174}" name="28786"/>
    <tableColumn id="2125" xr3:uid="{81BEC3EF-1571-4235-87B4-051660C2C5F9}" name="28787"/>
    <tableColumn id="2126" xr3:uid="{17C44EC7-3DFB-4B7A-BB01-135726373A8B}" name="28788"/>
    <tableColumn id="2127" xr3:uid="{0134D6D3-BE81-4771-8286-69C10894D834}" name="28789"/>
    <tableColumn id="2128" xr3:uid="{7B5807F6-EFA5-47F1-8D54-DC0B1E99C0AA}" name="28790"/>
    <tableColumn id="2129" xr3:uid="{1C1FAB03-3E36-4D89-8B3E-81BEFCF458BF}" name="28791"/>
    <tableColumn id="2130" xr3:uid="{537FB7AB-ED20-4F3A-A485-CCBAA1A919A3}" name="28792"/>
    <tableColumn id="2131" xr3:uid="{EAF5B7E5-4D79-4C8E-8451-837FE8B594DE}" name="28801"/>
    <tableColumn id="2132" xr3:uid="{AC55CC70-492E-4458-B6B9-0EAE2D59BE4E}" name="28803"/>
    <tableColumn id="2133" xr3:uid="{C21D9169-F5E6-438E-B808-8A2DE445ACE4}" name="28804"/>
    <tableColumn id="2134" xr3:uid="{46ABBA98-F8F6-4D33-B388-189CC81B8A25}" name="28805"/>
    <tableColumn id="2135" xr3:uid="{C519DB54-DED8-4607-8838-4022B61BFFCB}" name="28806"/>
    <tableColumn id="2136" xr3:uid="{7C690CEE-3C63-411B-A977-5F0D80BDA866}" name="28901"/>
    <tableColumn id="2137" xr3:uid="{C5936062-14DB-44E6-A38F-A33002DD2591}" name="28902"/>
    <tableColumn id="2138" xr3:uid="{35A1E495-FB85-4C29-A87D-6C50993CD708}" name="28904"/>
    <tableColumn id="2139" xr3:uid="{C117A660-FCFB-452A-AFCB-CE2136977C52}" name="28905"/>
    <tableColumn id="2140" xr3:uid="{4A51B44F-374E-446F-ADE5-9E0FA0DEB8A0}" name="28906"/>
    <tableColumn id="2141" xr3:uid="{36856A71-FC0E-4155-B4A9-6DA444EA679C}" name="28909"/>
    <tableColumn id="2142" xr3:uid="{87AFBDD4-5DAD-4F91-B87C-35735D0F9B6E}" name="20105"/>
    <tableColumn id="2143" xr3:uid="{CB9CC568-3DDC-4B30-BAA0-EAE78D48E2B3}" name="20106"/>
    <tableColumn id="2144" xr3:uid="{E88C527C-E8B9-4221-B30E-A90359B0B988}" name="20109"/>
    <tableColumn id="2145" xr3:uid="{EB849BA1-F602-4B5F-BE0A-CEE0AD07CF81}" name="20110"/>
    <tableColumn id="2146" xr3:uid="{2FB0FF35-E8B4-43F0-8E1C-F09D398A537B}" name="20111"/>
    <tableColumn id="2147" xr3:uid="{6A2D769C-95BE-4C6F-8021-59AE053424EE}" name="20112"/>
    <tableColumn id="2148" xr3:uid="{B5DEC90B-4B32-4407-905B-83016EF75057}" name="20115"/>
    <tableColumn id="2149" xr3:uid="{C8E43E8D-32FC-40F2-AE43-39475ED120E5}" name="20117"/>
    <tableColumn id="2150" xr3:uid="{8C89AF61-AC8F-4B8C-9CBB-EAB2A63022D0}" name="20119"/>
    <tableColumn id="2151" xr3:uid="{859BC6F4-0731-40A9-BD3E-1318306B68E3}" name="20120"/>
    <tableColumn id="2152" xr3:uid="{2C7FA92E-BB8F-4332-A000-3131476C8335}" name="20121"/>
    <tableColumn id="2153" xr3:uid="{450ED67C-1D74-4F2E-95A8-80BDC266149E}" name="20124"/>
    <tableColumn id="2154" xr3:uid="{51B718C2-2C39-4DCD-84AA-70A4F09B5B98}" name="20129"/>
    <tableColumn id="2155" xr3:uid="{DAA3A1A9-E944-41D7-BDB8-D07655226AB3}" name="20130"/>
    <tableColumn id="2156" xr3:uid="{A6007499-265D-4655-AC05-5D28AF6FD5B2}" name="20132"/>
    <tableColumn id="2157" xr3:uid="{A1AD544C-86F9-4942-B378-764B3DA48520}" name="20135"/>
    <tableColumn id="2158" xr3:uid="{B88DA3DF-E5CA-4D32-9CB0-F7FE6DC8DDD3}" name="20136"/>
    <tableColumn id="2159" xr3:uid="{75117782-3E95-4287-9136-5529192B9420}" name="20137"/>
    <tableColumn id="2160" xr3:uid="{9A7E46C1-2FD3-4DA5-A82C-9819AD048F4A}" name="20141"/>
    <tableColumn id="2161" xr3:uid="{6CE05AE5-3EEA-4B70-9C81-3AD2CE4C9DFE}" name="20143"/>
    <tableColumn id="2162" xr3:uid="{146295EF-1205-424F-928C-DEC6847E66BE}" name="20144"/>
    <tableColumn id="2163" xr3:uid="{375C3B63-0AD1-47B8-835E-CFE178A71D22}" name="20147"/>
    <tableColumn id="2164" xr3:uid="{B2B0F023-5137-4CC8-8361-0768DC80D883}" name="20148"/>
    <tableColumn id="2165" xr3:uid="{1D6658A4-44AA-4C39-9BFA-8D882984FADA}" name="20151"/>
    <tableColumn id="2166" xr3:uid="{93D4F27B-D01F-496F-ACD5-D48E9F835470}" name="20152"/>
    <tableColumn id="2167" xr3:uid="{ECAA8427-4252-436D-936F-30975551AA77}" name="20155"/>
    <tableColumn id="2168" xr3:uid="{67C3B235-FA64-474F-8249-471217B9FE25}" name="20158"/>
    <tableColumn id="2169" xr3:uid="{8445F276-4CDB-4793-8CAC-6C9B58AF1CE0}" name="20164"/>
    <tableColumn id="2170" xr3:uid="{A76A38ED-6D08-45C5-AFF0-B2408488F979}" name="20165"/>
    <tableColumn id="2171" xr3:uid="{B97E97A7-76DB-4A63-9FD5-5B729CDF9111}" name="20166"/>
    <tableColumn id="2172" xr3:uid="{97CB55FD-7356-4267-96E2-36E0C23D47B9}" name="20169"/>
    <tableColumn id="2173" xr3:uid="{DA783936-51A5-4F96-99F6-E9A15EA6C00B}" name="20170"/>
    <tableColumn id="2174" xr3:uid="{528A8F94-8B5C-4091-AB60-2D74AE5D5EB2}" name="20171"/>
    <tableColumn id="2175" xr3:uid="{98E91006-960C-40DF-A9CA-AB5C9E2755D4}" name="20175"/>
    <tableColumn id="2176" xr3:uid="{87B810E5-C16E-4729-9313-7CC47C6F13EC}" name="20176"/>
    <tableColumn id="2177" xr3:uid="{7A23F28D-BB53-4E0A-A857-013D90227162}" name="20180"/>
    <tableColumn id="2178" xr3:uid="{7B67BF39-41A9-4474-8FD6-AC06B0CE03B8}" name="20181"/>
    <tableColumn id="2179" xr3:uid="{5C29743E-4A9B-44CF-825A-8321F601B893}" name="20184"/>
    <tableColumn id="2180" xr3:uid="{25F951DA-9904-4E71-99E6-B260711B0BC0}" name="20186"/>
    <tableColumn id="2181" xr3:uid="{4F2AFAFB-1BC9-4246-A07A-54F3818CD26A}" name="20187"/>
    <tableColumn id="2182" xr3:uid="{5A0F2BAA-A353-41DF-A3DB-6E8EE3EAE711}" name="20190"/>
    <tableColumn id="2183" xr3:uid="{A42DCFAB-C8A2-4B89-A42C-2057AE7F6B45}" name="20191"/>
    <tableColumn id="2184" xr3:uid="{669EBE2A-044B-4492-8107-E02FB9A0D92C}" name="20194"/>
    <tableColumn id="2185" xr3:uid="{889464E0-5599-4E79-A8B6-93340185C98A}" name="20197"/>
    <tableColumn id="2186" xr3:uid="{E589BFB2-5C7D-4112-A5A2-B91119BE58C6}" name="20198"/>
    <tableColumn id="2187" xr3:uid="{3A479845-AE55-4342-B03A-F50C940371AF}" name="22003"/>
    <tableColumn id="2188" xr3:uid="{7C5AB358-74FF-400A-B389-D509CE33C88C}" name="22015"/>
    <tableColumn id="2189" xr3:uid="{47214A2C-99FA-4F41-A495-08F09249BB03}" name="22025"/>
    <tableColumn id="2190" xr3:uid="{02C39FFC-5251-47E4-98EA-D461441067AD}" name="22026"/>
    <tableColumn id="2191" xr3:uid="{B83AB852-CDD5-4A0D-BC75-D45D83E777CE}" name="22027"/>
    <tableColumn id="2192" xr3:uid="{CD1B1AC7-7349-4B6A-A423-CBF0EC7183E9}" name="22030"/>
    <tableColumn id="2193" xr3:uid="{1117183B-4070-4BCD-B93B-024B72F3A65E}" name="22031"/>
    <tableColumn id="2194" xr3:uid="{BD1546B3-5FC6-4660-A7C8-9810F999912E}" name="22032"/>
    <tableColumn id="2195" xr3:uid="{FB927767-86E2-4A3D-A822-29082F60A317}" name="22033"/>
    <tableColumn id="2196" xr3:uid="{180B8E5E-647F-464B-83CF-D8292FC34234}" name="22035"/>
    <tableColumn id="2197" xr3:uid="{E626DD7E-17FD-4A03-A622-145506683189}" name="22039"/>
    <tableColumn id="2198" xr3:uid="{DD102C00-C71E-41A2-8548-7696EAA2A11C}" name="22041"/>
    <tableColumn id="2199" xr3:uid="{95DADCF1-1F49-4AF8-B5EF-6F0D02B7D617}" name="22042"/>
    <tableColumn id="2200" xr3:uid="{198AD5A8-CD1C-4E4B-B57F-F02E9943DBA0}" name="22043"/>
    <tableColumn id="2201" xr3:uid="{6924A314-73F8-433B-870C-5FC9C8C6306D}" name="22044"/>
    <tableColumn id="2202" xr3:uid="{FE64F45A-2A54-4AE3-B1A7-C4DEF5A28C77}" name="22046"/>
    <tableColumn id="2203" xr3:uid="{67983D6F-7B72-42D1-B1C8-AABC67F3863A}" name="22060"/>
    <tableColumn id="2204" xr3:uid="{9B2A5056-606D-4503-8C63-991FF7A8B2B7}" name="22066"/>
    <tableColumn id="2205" xr3:uid="{7C6259E6-2C5F-4AA9-90FC-F40968C15938}" name="22079"/>
    <tableColumn id="2206" xr3:uid="{08F08DA1-1E5A-4A80-91CD-2405F6B907F8}" name="22101"/>
    <tableColumn id="2207" xr3:uid="{0CD844B4-5CEF-4935-8E13-8F84E445216A}" name="22102"/>
    <tableColumn id="2208" xr3:uid="{F884185D-1E44-4701-AA50-E402EEDAD058}" name="22124"/>
    <tableColumn id="2209" xr3:uid="{10C01340-D3EA-423E-A1A4-3724CF093595}" name="22125"/>
    <tableColumn id="2210" xr3:uid="{8A5B5814-42A2-4B5D-98F3-7DE847CB0B82}" name="22134"/>
    <tableColumn id="2211" xr3:uid="{2C7203B8-7DF3-40E1-8960-DA1FCBBFEBD4}" name="22150"/>
    <tableColumn id="2212" xr3:uid="{E7E698FF-4EC7-4DEE-82EF-CE69666192D8}" name="22151"/>
    <tableColumn id="2213" xr3:uid="{A0827479-E86F-4D11-AAEC-53DC73A176EA}" name="22152"/>
    <tableColumn id="2214" xr3:uid="{E843D9BF-AB01-479D-8F4E-2AC10283D27C}" name="22153"/>
    <tableColumn id="2215" xr3:uid="{7E5B767D-E6D3-4490-A6F9-DA92F93F5D80}" name="22172"/>
    <tableColumn id="2216" xr3:uid="{D8869B44-4682-43D6-9150-9AB77A804372}" name="22180"/>
    <tableColumn id="2217" xr3:uid="{F589190F-5E90-4669-B186-1BD489BC42B8}" name="22181"/>
    <tableColumn id="2218" xr3:uid="{096B6409-02FE-442C-8AE8-B3483FA26B8F}" name="22182"/>
    <tableColumn id="2219" xr3:uid="{1B19B1BA-9544-4A6E-9F5E-AE56F35817D6}" name="22191"/>
    <tableColumn id="2220" xr3:uid="{61A3B638-F8BF-42C4-BE64-3AFEA03D5BA9}" name="22192"/>
    <tableColumn id="2221" xr3:uid="{DFC2F816-9D5D-4913-8374-3BCECD679007}" name="22193"/>
    <tableColumn id="2222" xr3:uid="{DDC84C1A-09CE-44B4-85CA-56BCDA1B9EE2}" name="22201"/>
    <tableColumn id="2223" xr3:uid="{9C8A6ED2-D7FC-453A-AAA6-F8B91DC66E45}" name="22202"/>
    <tableColumn id="2224" xr3:uid="{13CFFF64-9C10-4122-A505-C2018FB9B635}" name="22203"/>
    <tableColumn id="2225" xr3:uid="{A9E70090-71C1-43A2-B53C-38494B40FAC1}" name="22204"/>
    <tableColumn id="2226" xr3:uid="{51F3B674-1BE1-4D48-852F-1ADE96064A1C}" name="22205"/>
    <tableColumn id="2227" xr3:uid="{921CD267-0EDE-4580-B96E-3177108DC52B}" name="22206"/>
    <tableColumn id="2228" xr3:uid="{D6C4459C-2CED-4778-AC6C-2E0A6E556BE4}" name="22207"/>
    <tableColumn id="2229" xr3:uid="{54FFB7FE-06E3-4002-A5C0-895454BA4143}" name="22209"/>
    <tableColumn id="2230" xr3:uid="{D7651A3B-0ACA-4833-AF4E-3228391A91B5}" name="22211"/>
    <tableColumn id="2231" xr3:uid="{8DF1CF73-AE4E-44F3-96E3-269F267C5F38}" name="22213"/>
    <tableColumn id="2232" xr3:uid="{D99C0D50-383E-441C-9B80-DB2F93F13B22}" name="22214"/>
    <tableColumn id="2233" xr3:uid="{B26C4D3D-9BC1-4948-8A08-F9FF2230FDFC}" name="22301"/>
    <tableColumn id="2234" xr3:uid="{D849BB00-8B09-479A-A878-AD9A25659B14}" name="22302"/>
    <tableColumn id="2235" xr3:uid="{FFF682DA-A611-49C8-B6E8-A2808B36D03A}" name="22303"/>
    <tableColumn id="2236" xr3:uid="{B0EEA61F-D21B-4D24-8528-A743846344CB}" name="22304"/>
    <tableColumn id="2237" xr3:uid="{0B73B595-12DF-450F-B138-172362DEE5EC}" name="22305"/>
    <tableColumn id="2238" xr3:uid="{9AC6175A-836E-4D3A-BB93-6D1637B3740D}" name="22306"/>
    <tableColumn id="2239" xr3:uid="{5DDF3AE7-88EA-4C42-BB14-3DC882B1B0DF}" name="22307"/>
    <tableColumn id="2240" xr3:uid="{C1844352-AA14-4663-9923-9AEB27203F59}" name="22308"/>
    <tableColumn id="2241" xr3:uid="{A5C08675-214D-45B9-8D6D-B400E81C3020}" name="22309"/>
    <tableColumn id="2242" xr3:uid="{11EAA9F0-D41D-4A1B-8DD5-ADDB2777C1C9}" name="22310"/>
    <tableColumn id="2243" xr3:uid="{47AD308B-A133-4ED3-9199-63C45A506070}" name="22311"/>
    <tableColumn id="2244" xr3:uid="{3A74F7AB-0903-440E-B3D5-A37F4A72AC7F}" name="22312"/>
    <tableColumn id="2245" xr3:uid="{2F4AD388-4BF1-4E52-A350-A055434BE6C1}" name="22314"/>
    <tableColumn id="2246" xr3:uid="{F3953D45-3EC0-4C8E-AD0A-8B672DBE7562}" name="22315"/>
    <tableColumn id="2247" xr3:uid="{F1969A31-0B79-460B-B582-C0175576FC6C}" name="22401"/>
    <tableColumn id="2248" xr3:uid="{D312FC08-366B-42B3-82CD-6A64CF9A02AF}" name="22405"/>
    <tableColumn id="2249" xr3:uid="{3622C5CC-61A8-4B6C-A805-B741B6F363CB}" name="22406"/>
    <tableColumn id="2250" xr3:uid="{5722D745-909A-48E9-9F4B-AB896725C1EB}" name="22407"/>
    <tableColumn id="2251" xr3:uid="{A68E9957-ED37-4902-9B47-EE6CB9B70547}" name="22408"/>
    <tableColumn id="2252" xr3:uid="{73F9B353-3746-49C6-9168-E2767EF03B46}" name="22427"/>
    <tableColumn id="2253" xr3:uid="{8B40F4D3-A5B7-42BB-BBBF-B495409A4BF0}" name="22432"/>
    <tableColumn id="2254" xr3:uid="{B4092308-BF2F-4D4D-A864-E6248B26A462}" name="22433"/>
    <tableColumn id="2255" xr3:uid="{9F310BAA-A212-4050-8AF4-B32DDFD62957}" name="22435"/>
    <tableColumn id="2256" xr3:uid="{70A2837B-1B44-48EB-859F-9053346C5C84}" name="22436"/>
    <tableColumn id="2257" xr3:uid="{44784B7D-5426-421E-9A54-362E1C46C7BA}" name="22437"/>
    <tableColumn id="2258" xr3:uid="{06BE24CD-9DE3-4924-B33E-B12D9B2F6EE4}" name="22438"/>
    <tableColumn id="2259" xr3:uid="{5DEE3169-33A4-4A16-AD48-35F48CDF69B6}" name="22443"/>
    <tableColumn id="2260" xr3:uid="{812C0320-78B2-4EB3-B02C-CE20607BA7C9}" name="22448"/>
    <tableColumn id="2261" xr3:uid="{6AF0680D-5602-4C69-BCE5-07550A4A4476}" name="22454"/>
    <tableColumn id="2262" xr3:uid="{8122FFB2-F94F-4A4F-970C-9A734788DF39}" name="22460"/>
    <tableColumn id="2263" xr3:uid="{D197C2F6-CE9A-4CA3-84D6-CF6A668F860A}" name="22469"/>
    <tableColumn id="2264" xr3:uid="{A8FDA734-F48C-4DBB-B98F-B41B75DC997C}" name="22472"/>
    <tableColumn id="2265" xr3:uid="{A45F928A-2367-41E9-9016-63825E3DB578}" name="22473"/>
    <tableColumn id="2266" xr3:uid="{83D63E4F-DAC3-4421-817A-F48E9FEE0D7A}" name="22476"/>
    <tableColumn id="2267" xr3:uid="{A15E9C06-337E-40EE-B2BB-453942ADC455}" name="22480"/>
    <tableColumn id="2268" xr3:uid="{63C914EC-36FC-4160-9798-A6A7D20B8F7D}" name="22482"/>
    <tableColumn id="2269" xr3:uid="{9F6A8FC8-1C66-41A4-8F56-4905A039ADB1}" name="22485"/>
    <tableColumn id="2270" xr3:uid="{0507FB13-0156-4891-AEB3-5A83F70A349F}" name="22488"/>
    <tableColumn id="2271" xr3:uid="{B90B321E-2B70-49AF-AB08-E4605CF05445}" name="22503"/>
    <tableColumn id="2272" xr3:uid="{871DF598-5A38-4D8F-BD77-8B2E993CF892}" name="22504"/>
    <tableColumn id="2273" xr3:uid="{A34ABA40-A61F-4473-9AFE-E7E3423C4D93}" name="22508"/>
    <tableColumn id="2274" xr3:uid="{46CD376A-96E3-4A22-8DFB-4CE54AC952A5}" name="22509"/>
    <tableColumn id="2275" xr3:uid="{91C89A34-B059-450C-AF4E-565EDC80BE21}" name="22511"/>
    <tableColumn id="2276" xr3:uid="{6F6BDA23-A43E-4DE5-8E1C-85716AD55F7C}" name="22514"/>
    <tableColumn id="2277" xr3:uid="{EC9EDC0D-FDA9-4DC0-BC37-A326AB4F236B}" name="22520"/>
    <tableColumn id="2278" xr3:uid="{26EFB4FB-8383-4EB8-A3B4-B8134630BEDC}" name="22529"/>
    <tableColumn id="2279" xr3:uid="{C678239C-9199-46D1-AC65-806D4F510898}" name="22534"/>
    <tableColumn id="2280" xr3:uid="{2187B77C-90D5-4F24-8FA2-5E6555684DBB}" name="22535"/>
    <tableColumn id="2281" xr3:uid="{08922EB5-2210-4268-A713-925DB66E42C4}" name="22538"/>
    <tableColumn id="2282" xr3:uid="{AF2D7B2A-B653-4D80-9B10-75C98EB987A9}" name="22539"/>
    <tableColumn id="2283" xr3:uid="{313B6713-8925-4999-AD0B-6F909958A028}" name="22542"/>
    <tableColumn id="2284" xr3:uid="{019BB16B-8ABA-4F9A-86B7-191122AAE1BF}" name="22546"/>
    <tableColumn id="2285" xr3:uid="{ACF4CD32-85F3-46F6-A840-491BAAE7AE70}" name="22548"/>
    <tableColumn id="2286" xr3:uid="{E3B4B70F-8296-4F17-A769-A246552DEF97}" name="22551"/>
    <tableColumn id="2287" xr3:uid="{7436D897-4F6B-4FF8-9AB2-6618C1A479FF}" name="22553"/>
    <tableColumn id="2288" xr3:uid="{B0EE758B-F534-44C6-8209-A01EAF5E4562}" name="22554"/>
    <tableColumn id="2289" xr3:uid="{53E2C123-6A97-4956-B4F3-8196AE71F5DB}" name="22556"/>
    <tableColumn id="2290" xr3:uid="{7F20572F-50D6-4187-854E-91330AD96615}" name="22560"/>
    <tableColumn id="2291" xr3:uid="{147907F9-B903-4DB7-893A-7635A52AAC12}" name="22567"/>
    <tableColumn id="2292" xr3:uid="{0D0F65C2-D8C2-4460-ABCC-C81A76BA73AB}" name="22572"/>
    <tableColumn id="2293" xr3:uid="{6DC90670-B114-4927-A9F8-D9903C873012}" name="22576"/>
    <tableColumn id="2294" xr3:uid="{D865B16F-82BC-47E7-8076-6B3B118AE415}" name="22578"/>
    <tableColumn id="2295" xr3:uid="{A4CBB20C-88EE-4311-82DE-74682EE2E34F}" name="22580"/>
    <tableColumn id="2296" xr3:uid="{DFA81BF1-210B-44F6-89D7-97589B12FA9F}" name="22601"/>
    <tableColumn id="2297" xr3:uid="{541EC2C5-9FAE-489B-A0C0-2E9FC9FC19E5}" name="22602"/>
    <tableColumn id="2298" xr3:uid="{A1A6A687-7B0E-454A-9E49-4483AEA741F5}" name="22603"/>
    <tableColumn id="2299" xr3:uid="{770BC991-AF02-4F5F-870C-ABD83F25AC84}" name="22610"/>
    <tableColumn id="2300" xr3:uid="{A31B1E37-9BD1-4A02-B306-9D8ECFCF7F66}" name="22611"/>
    <tableColumn id="2301" xr3:uid="{12937AFA-7212-47F2-9629-DAAA69EAC055}" name="22620"/>
    <tableColumn id="2302" xr3:uid="{16BD92F6-12B0-4069-99F3-BF24022AE9D5}" name="22623"/>
    <tableColumn id="2303" xr3:uid="{AC8433CF-616D-42A8-8E00-E9D09048AC2D}" name="22624"/>
    <tableColumn id="2304" xr3:uid="{795FFAF7-552F-4E9D-B366-2EA39DBEA00E}" name="22625"/>
    <tableColumn id="2305" xr3:uid="{5ABD0F8F-D522-4A20-98F4-6EE97ECC42A3}" name="22627"/>
    <tableColumn id="2306" xr3:uid="{EF378E18-9047-401A-8BF1-50CC44698295}" name="22630"/>
    <tableColumn id="2307" xr3:uid="{CB70F98E-F18A-4684-9E2D-F3CA3377A29E}" name="22637"/>
    <tableColumn id="2308" xr3:uid="{B2DCAC3B-3DC1-4895-8064-011E32718B0A}" name="22639"/>
    <tableColumn id="2309" xr3:uid="{A5C2DA01-9891-4F59-B36E-0BE69B829C41}" name="22640"/>
    <tableColumn id="2310" xr3:uid="{A6EDE07E-A8EA-4157-AEAA-3F3261F66405}" name="22641"/>
    <tableColumn id="2311" xr3:uid="{FEAA28B5-663C-4A8E-A853-52A1D290381D}" name="22642"/>
    <tableColumn id="2312" xr3:uid="{9CD3888C-DAA9-4877-A2B7-FD17EF52D05A}" name="22643"/>
    <tableColumn id="2313" xr3:uid="{B728D8B4-20B1-4DC3-B6D6-EA87D5DDF6EE}" name="22644"/>
    <tableColumn id="2314" xr3:uid="{5A68EB0F-D66C-4BFD-B7E4-18CA1B0D7E8B}" name="22645"/>
    <tableColumn id="2315" xr3:uid="{24369E15-336D-4DF7-A410-B96D59DA5725}" name="22646"/>
    <tableColumn id="2316" xr3:uid="{4CA21CC2-6DCF-4CD9-99B9-1C087F7AF24E}" name="22650"/>
    <tableColumn id="2317" xr3:uid="{DC83E2FB-9C09-4A3B-B55F-82A0CC0ADC57}" name="22652"/>
    <tableColumn id="2318" xr3:uid="{7032D0B5-3AB3-4FE4-9A4A-FFAEA3F9F3D1}" name="22654"/>
    <tableColumn id="2319" xr3:uid="{DD4898BC-9BDB-4886-94A4-90C62F850356}" name="22655"/>
    <tableColumn id="2320" xr3:uid="{C1664649-2134-4966-9FD4-136E021AD1E6}" name="22656"/>
    <tableColumn id="2321" xr3:uid="{F7C236D3-AB96-47F0-A1EC-8E02AE91E7E4}" name="22657"/>
    <tableColumn id="2322" xr3:uid="{69166E96-EF3D-4227-9540-BA5C4D58D122}" name="22660"/>
    <tableColumn id="2323" xr3:uid="{F64D2F36-7F85-40AC-B9F1-58D72B5CFA3B}" name="22663"/>
    <tableColumn id="2324" xr3:uid="{90E98FA2-24C5-4488-8269-5C9262703CEF}" name="22664"/>
    <tableColumn id="2325" xr3:uid="{0B4C0565-1BEC-4414-8320-18388ECE1C12}" name="22701"/>
    <tableColumn id="2326" xr3:uid="{B070D6C9-ACCE-4299-9C48-BAC37868DC9A}" name="22709"/>
    <tableColumn id="2327" xr3:uid="{90F218E6-F7B8-4052-AA08-C3A9783717BC}" name="22711"/>
    <tableColumn id="2328" xr3:uid="{E5CC0E81-7156-45D0-BDC0-150F66247C8B}" name="22712"/>
    <tableColumn id="2329" xr3:uid="{25C8BC38-6243-403E-B2F4-5BE181353611}" name="22713"/>
    <tableColumn id="2330" xr3:uid="{261AA169-7879-44AC-B20B-836293BF2B2F}" name="22714"/>
    <tableColumn id="2331" xr3:uid="{9DE7CF8E-F5D2-49F7-805D-D172F6B7FA01}" name="22715"/>
    <tableColumn id="2332" xr3:uid="{004CD961-EFC4-4102-9095-4C439C1627A8}" name="22716"/>
    <tableColumn id="2333" xr3:uid="{955E9F6A-6DA7-433E-A838-F5F0EB52443E}" name="22718"/>
    <tableColumn id="2334" xr3:uid="{315C8BA7-5588-48E3-A014-12E12EAAFDE2}" name="22719"/>
    <tableColumn id="2335" xr3:uid="{F491BFF4-5C08-49CA-996E-4EEEE19B3884}" name="22720"/>
    <tableColumn id="2336" xr3:uid="{51E63C7A-89E3-495D-99DE-96AA480482E8}" name="22722"/>
    <tableColumn id="2337" xr3:uid="{31907414-8141-471E-AA93-CE8B2F692D6B}" name="22723"/>
    <tableColumn id="2338" xr3:uid="{A321776F-319A-4E34-805F-7DB9CBFA5CC5}" name="22724"/>
    <tableColumn id="2339" xr3:uid="{AF2F0FD4-EEE9-42B8-A685-F0A19D2B6DEC}" name="22725"/>
    <tableColumn id="2340" xr3:uid="{C7580061-C67F-46A7-B771-984C2BB98873}" name="22726"/>
    <tableColumn id="2341" xr3:uid="{917D2A7B-2643-41CE-BAF3-DE34B8CAB513}" name="22727"/>
    <tableColumn id="2342" xr3:uid="{E677BE19-A6E0-4D88-8A15-C3694253DBDE}" name="22728"/>
    <tableColumn id="2343" xr3:uid="{A24FC11A-C65E-4D09-824A-B399CC45E167}" name="22729"/>
    <tableColumn id="2344" xr3:uid="{E895781E-AB77-4975-A4EF-0DD5429BCC18}" name="22730"/>
    <tableColumn id="2345" xr3:uid="{B92BC484-3423-49B3-8AB8-F66FBC50DF28}" name="22731"/>
    <tableColumn id="2346" xr3:uid="{2EAB0A33-B272-44BB-97F7-A4ED99A95C04}" name="22732"/>
    <tableColumn id="2347" xr3:uid="{BB1AC4B5-DF1E-4CCB-A5FA-1CCD095ADDA5}" name="22733"/>
    <tableColumn id="2348" xr3:uid="{8D301878-F8AB-467B-BA9E-B8D81585A629}" name="22734"/>
    <tableColumn id="2349" xr3:uid="{144F5154-87EB-4DCB-BDC7-2E3AB27D5712}" name="22735"/>
    <tableColumn id="2350" xr3:uid="{39757383-4369-4ED6-9F6D-C812015A6041}" name="22736"/>
    <tableColumn id="2351" xr3:uid="{AFF999A6-9643-4B4F-8FFF-22070ABA4F2E}" name="22737"/>
    <tableColumn id="2352" xr3:uid="{7F4BACCA-7B07-4711-8030-F38F068FC1BE}" name="22738"/>
    <tableColumn id="2353" xr3:uid="{3873CB84-625A-43FA-ADC2-DA3AF2D907D3}" name="22740"/>
    <tableColumn id="2354" xr3:uid="{D5F4F0AB-FE15-4BCD-B4FD-71EF47088158}" name="22741"/>
    <tableColumn id="2355" xr3:uid="{EFEAE57D-A0FB-4133-83F3-1E17567CA22C}" name="22742"/>
    <tableColumn id="2356" xr3:uid="{C65648B7-5DD6-4A6F-9177-7D8BAF4785A7}" name="22743"/>
    <tableColumn id="2357" xr3:uid="{438E7D73-27D7-421C-B2A9-D634C2726EE5}" name="22746"/>
    <tableColumn id="2358" xr3:uid="{7910D512-F1CE-4128-8258-A8D41517E273}" name="22747"/>
    <tableColumn id="2359" xr3:uid="{1E24FEEC-0008-4ABE-ABD2-AE3057926DD1}" name="22749"/>
    <tableColumn id="2360" xr3:uid="{E2AF3927-C547-4CDD-98A8-F53548A8C11C}" name="22801"/>
    <tableColumn id="2361" xr3:uid="{D976A5D7-C7D8-47DE-A69C-DD811B66E9AB}" name="22802"/>
    <tableColumn id="2362" xr3:uid="{66D861B1-7054-42FA-A0B2-9C6BE7F0A30C}" name="22807"/>
    <tableColumn id="2363" xr3:uid="{46BC7BFA-836D-431E-841B-124BAF9D2D12}" name="22810"/>
    <tableColumn id="2364" xr3:uid="{7365A91A-A8F6-4F5D-BC4E-598C29861535}" name="22811"/>
    <tableColumn id="2365" xr3:uid="{559AF9D8-7A36-4767-869A-B178F70A4983}" name="22812"/>
    <tableColumn id="2366" xr3:uid="{47FCD2A6-33B1-4969-853F-6BC51EDA4C41}" name="22815"/>
    <tableColumn id="2367" xr3:uid="{348A7F82-35C7-49CC-B095-E6DCFE74E2EB}" name="22820"/>
    <tableColumn id="2368" xr3:uid="{83EDFAF4-C573-4611-B827-7B4E7DF5843D}" name="22821"/>
    <tableColumn id="2369" xr3:uid="{D394774B-B15E-4009-A1D9-7BC7C8078D1E}" name="22824"/>
    <tableColumn id="2370" xr3:uid="{03D42EE0-DFF8-405A-A638-EE70C9A27410}" name="22827"/>
    <tableColumn id="2371" xr3:uid="{87DB00EE-CDE8-4FBD-A804-A6EF6FDD329D}" name="22830"/>
    <tableColumn id="2372" xr3:uid="{D301307C-1407-49D5-A088-35D6B1BB9225}" name="22831"/>
    <tableColumn id="2373" xr3:uid="{41DB70BB-2C14-4952-84EF-1FC00A382B41}" name="22832"/>
    <tableColumn id="2374" xr3:uid="{1DD6A093-0053-4EF9-A773-392E2F074761}" name="22834"/>
    <tableColumn id="2375" xr3:uid="{BFC8E8D4-2E06-46AC-AC2E-5685A8011325}" name="22835"/>
    <tableColumn id="2376" xr3:uid="{8B530778-A658-4154-B648-9CDBAB1D3D20}" name="22840"/>
    <tableColumn id="2377" xr3:uid="{DE0F45A0-FDCA-4B32-8EDA-19F42B13EF8E}" name="22841"/>
    <tableColumn id="2378" xr3:uid="{A18366EA-E09C-4229-85CB-8C110E0FDE88}" name="22842"/>
    <tableColumn id="2379" xr3:uid="{407F63FE-114B-44A7-BF2D-DFEEBE5BE9B4}" name="22843"/>
    <tableColumn id="2380" xr3:uid="{15AB3E33-8842-4EF2-959C-13CFA3E814F4}" name="22844"/>
    <tableColumn id="2381" xr3:uid="{EAEF4D8C-C3DF-42D3-BF0D-ECA2C1A65F66}" name="22845"/>
    <tableColumn id="2382" xr3:uid="{243D5834-7534-4509-882B-BB93ADABEE0F}" name="22846"/>
    <tableColumn id="2383" xr3:uid="{8CA4177C-C43F-4115-89C7-1E838DF5027D}" name="22847"/>
    <tableColumn id="2384" xr3:uid="{4A17413D-16FC-4091-8608-55F5096B5888}" name="22849"/>
    <tableColumn id="2385" xr3:uid="{DC05E278-6320-4F4C-B4F8-8FC379C67F9B}" name="22850"/>
    <tableColumn id="2386" xr3:uid="{E4AC3523-60A4-469A-A7A1-A3B5BD2B1089}" name="22851"/>
    <tableColumn id="2387" xr3:uid="{CAFC09F5-0497-4A0E-970F-7A2C88D2AC50}" name="22853"/>
    <tableColumn id="2388" xr3:uid="{68FAB3CA-7614-481C-BEAB-201DE2E4F00A}" name="22901"/>
    <tableColumn id="2389" xr3:uid="{57AEB23C-C6AA-430A-BBF7-59AFB7C6E1D6}" name="22902"/>
    <tableColumn id="2390" xr3:uid="{27953C36-857A-4470-B53C-6C160F999560}" name="22903"/>
    <tableColumn id="2391" xr3:uid="{8A5511D5-2897-4F29-8C7D-C03FF71404AF}" name="22904"/>
    <tableColumn id="2392" xr3:uid="{CF43C2F3-98CB-4BE5-A9E0-47E7AD2A893C}" name="22908"/>
    <tableColumn id="2393" xr3:uid="{59EAEBB6-CBBD-475F-A107-A5E9A0CCF23A}" name="22911"/>
    <tableColumn id="2394" xr3:uid="{2E73C31E-296C-4BAB-A50C-C565770414B8}" name="22920"/>
    <tableColumn id="2395" xr3:uid="{6A389F3E-7602-4BA6-8A85-0EF6DFCD7B0F}" name="22922"/>
    <tableColumn id="2396" xr3:uid="{D77F5359-7E5E-4AFE-897B-32CF9CAEADFE}" name="22923"/>
    <tableColumn id="2397" xr3:uid="{A4EF0AB4-C31B-4BF5-8C8D-4266E8360F9A}" name="22931"/>
    <tableColumn id="2398" xr3:uid="{B326C53B-5BD0-4ACC-B7F3-6A2BBA1310ED}" name="22932"/>
    <tableColumn id="2399" xr3:uid="{6D87EC6F-31B6-4357-A569-273180EB7C2F}" name="22935"/>
    <tableColumn id="2400" xr3:uid="{D9907DAA-BAA5-4698-8863-BA433DBDF209}" name="22936"/>
    <tableColumn id="2401" xr3:uid="{0889919F-7BEF-4D0E-9B92-441CE73648E8}" name="22937"/>
    <tableColumn id="2402" xr3:uid="{719CC394-5AA8-41FE-8F43-95D2E210A55B}" name="22938"/>
    <tableColumn id="2403" xr3:uid="{40E10E13-4EDC-4EF8-BE84-0D3D081A3DC6}" name="22939"/>
    <tableColumn id="2404" xr3:uid="{C6CC766E-28E6-4E23-94EE-4DAB4E6CF24E}" name="22940"/>
    <tableColumn id="2405" xr3:uid="{0F93FA7D-07AC-474E-A33E-F4186788E55D}" name="22942"/>
    <tableColumn id="2406" xr3:uid="{7E9D71B5-45B0-4BFA-872E-682FE53172F7}" name="22943"/>
    <tableColumn id="2407" xr3:uid="{2549D66D-5210-4F94-8E40-C9E90D340149}" name="22946"/>
    <tableColumn id="2408" xr3:uid="{E88A52DC-96D1-4DD4-8AA9-CAAAE08EAF1D}" name="22947"/>
    <tableColumn id="2409" xr3:uid="{A64FA509-BA77-49B7-B7A0-BC085079FEC1}" name="22948"/>
    <tableColumn id="2410" xr3:uid="{E09DC1EB-CE35-44AF-8F93-A61A2759A4E5}" name="22949"/>
    <tableColumn id="2411" xr3:uid="{891DE1E2-373F-4305-99B4-E4E0E86FA9C4}" name="22952"/>
    <tableColumn id="2412" xr3:uid="{1F7149E3-D403-4031-A310-7B8A0FCA2813}" name="22957"/>
    <tableColumn id="2413" xr3:uid="{7339EDB2-E6E2-4458-81E5-3781115158A6}" name="22958"/>
    <tableColumn id="2414" xr3:uid="{97C2BD1A-A71A-4FA7-8DBB-4E4D79C4311B}" name="22959"/>
    <tableColumn id="2415" xr3:uid="{63FE8509-0EAE-458D-9B1D-85A52D712B13}" name="22960"/>
    <tableColumn id="2416" xr3:uid="{A0CF987F-947F-4C51-9C84-AFE876E17E1D}" name="22963"/>
    <tableColumn id="2417" xr3:uid="{7DCB842A-B186-4EB5-8932-B5A71CF14307}" name="22964"/>
    <tableColumn id="2418" xr3:uid="{E1D2C98A-E107-4B7B-9B57-B2389E8D2C39}" name="22967"/>
    <tableColumn id="2419" xr3:uid="{7ABD0A92-44C2-41CE-9474-DC8F184EC5F1}" name="22968"/>
    <tableColumn id="2420" xr3:uid="{74B83323-48D0-4017-A2D0-7B1C203CA852}" name="22969"/>
    <tableColumn id="2421" xr3:uid="{1B475A89-4325-4760-AB45-E894D62452A9}" name="22971"/>
    <tableColumn id="2422" xr3:uid="{71B8EED6-DA65-48DB-B90F-7A4D665E68E3}" name="22972"/>
    <tableColumn id="2423" xr3:uid="{21B3D627-3BA6-49F3-9597-3D71BE61D2E8}" name="22973"/>
    <tableColumn id="2424" xr3:uid="{489FD567-53EC-4B00-A9ED-23FB9D8212DF}" name="22974"/>
    <tableColumn id="2425" xr3:uid="{5BE5F1A6-B327-4ABC-BA14-ECED83756FC1}" name="22976"/>
    <tableColumn id="2426" xr3:uid="{0469513E-3E5C-4E92-B49F-F278DDAA4A30}" name="22980"/>
    <tableColumn id="2427" xr3:uid="{F66BF36F-FC7D-46C9-9C95-8B72B2C1A4D4}" name="22989"/>
    <tableColumn id="2428" xr3:uid="{B7BC5A46-00B0-4F77-807A-E565B02E89F9}" name="23002"/>
    <tableColumn id="2429" xr3:uid="{C90756AD-CDEF-4778-9E0B-95BD06B2C52E}" name="23004"/>
    <tableColumn id="2430" xr3:uid="{183CA414-5729-480C-9017-9FE0B14FE957}" name="23005"/>
    <tableColumn id="2431" xr3:uid="{4BCBECB1-2829-42FF-B5FD-247366FB52BF}" name="23009"/>
    <tableColumn id="2432" xr3:uid="{7B79B4F2-2DE7-4CCD-8B00-11EA3C4B6E8F}" name="23011"/>
    <tableColumn id="2433" xr3:uid="{C5D2CF82-A28F-476B-9913-CAC72F1F1644}" name="23015"/>
    <tableColumn id="2434" xr3:uid="{3E6A78B7-28A9-431B-B48D-B6F457F34E99}" name="23021"/>
    <tableColumn id="2435" xr3:uid="{66B98F59-F3F0-4451-B554-DB2F926C8343}" name="23022"/>
    <tableColumn id="2436" xr3:uid="{07080178-DA8C-4646-A201-11F08DBE268A}" name="23023"/>
    <tableColumn id="2437" xr3:uid="{B36FEB0D-8762-4F3E-8B03-F1D488329A9E}" name="23024"/>
    <tableColumn id="2438" xr3:uid="{5267256F-B3E3-4F05-8034-955D9C0BBB18}" name="23025"/>
    <tableColumn id="2439" xr3:uid="{334407AF-C82F-4607-9D14-756499676D9D}" name="23027"/>
    <tableColumn id="2440" xr3:uid="{DD65C8F8-B16D-4959-9925-1F5B81DF7C0C}" name="23030"/>
    <tableColumn id="2441" xr3:uid="{7693057B-5F09-4241-B809-27ACE993935A}" name="23032"/>
    <tableColumn id="2442" xr3:uid="{AFF1CAEE-C5EF-4079-84FF-B8DE653DA87F}" name="23035"/>
    <tableColumn id="2443" xr3:uid="{23593C04-CF01-4CAD-AEA8-AA3A394D9880}" name="23038"/>
    <tableColumn id="2444" xr3:uid="{71A5EDDC-8988-4554-8C53-681AA05A2C3E}" name="23039"/>
    <tableColumn id="2445" xr3:uid="{253E6189-E4F2-4535-83CD-6852D458966E}" name="23040"/>
    <tableColumn id="2446" xr3:uid="{3CB882F7-9655-48E9-AB07-DEEB1C48E4C2}" name="23043"/>
    <tableColumn id="2447" xr3:uid="{76FE7835-1B26-41A4-8A78-290EE2D639A5}" name="23045"/>
    <tableColumn id="2448" xr3:uid="{C08A5944-A6B1-4522-BD2F-058E3072D4F6}" name="23047"/>
    <tableColumn id="2449" xr3:uid="{622D17D4-2665-409C-BB5A-5923FA9AE38F}" name="23050"/>
    <tableColumn id="2450" xr3:uid="{DBFD7B5A-A89B-4059-B3C4-A96B0CFE24BE}" name="23055"/>
    <tableColumn id="2451" xr3:uid="{CA8B5F68-9987-4DA8-94D0-1AAD8B8D612A}" name="23056"/>
    <tableColumn id="2452" xr3:uid="{FDC30E7A-9021-421F-908C-8A9BC4AD7DB0}" name="23059"/>
    <tableColumn id="2453" xr3:uid="{531402C8-D889-496E-B739-F8C182714D07}" name="23060"/>
    <tableColumn id="2454" xr3:uid="{C945791D-4967-4750-94F4-D0ECBCF866C0}" name="23061"/>
    <tableColumn id="2455" xr3:uid="{39FD8971-68CD-4D89-AB33-B507FD84122D}" name="23062"/>
    <tableColumn id="2456" xr3:uid="{620505C4-DFE5-4A90-869D-C5A6937AFCCC}" name="23063"/>
    <tableColumn id="2457" xr3:uid="{4ACEF8B3-3B61-4636-9587-C9FC720B0489}" name="23065"/>
    <tableColumn id="2458" xr3:uid="{EA2C9D97-ACED-4719-BAE3-9CB561C0551A}" name="23066"/>
    <tableColumn id="2459" xr3:uid="{24B6CBDF-172D-41AB-9F3E-1560BE2D6F3A}" name="23068"/>
    <tableColumn id="2460" xr3:uid="{97F6C0A1-21D7-48D1-B4A1-CBACB2FDF0C3}" name="23069"/>
    <tableColumn id="2461" xr3:uid="{73094F6D-006B-456B-85F2-96B1162121A2}" name="23070"/>
    <tableColumn id="2462" xr3:uid="{BB6DCF21-C358-4360-8A5C-BF7D18E5B450}" name="23071"/>
    <tableColumn id="2463" xr3:uid="{F0E1B621-BA9D-43A5-9121-40CE5566B4B7}" name="23072"/>
    <tableColumn id="2464" xr3:uid="{D1168F9E-ABE3-4DD0-9F5E-F495893440A1}" name="23075"/>
    <tableColumn id="2465" xr3:uid="{DC22B400-0333-4177-97F4-8F01423BB00B}" name="23076"/>
    <tableColumn id="2466" xr3:uid="{DD89FFBA-E047-4FD5-ADB6-FF87537EE34C}" name="23079"/>
    <tableColumn id="2467" xr3:uid="{E9C88E90-721B-40DB-B98A-13318475B8D9}" name="23081"/>
    <tableColumn id="2468" xr3:uid="{64B446C2-A14E-4BC1-98DC-59A2419B5567}" name="23083"/>
    <tableColumn id="2469" xr3:uid="{144A1178-6F79-4B2C-AB04-068CE190347A}" name="23084"/>
    <tableColumn id="2470" xr3:uid="{E8F6E329-6409-4DCC-AE41-41F1C713BA0C}" name="23085"/>
    <tableColumn id="2471" xr3:uid="{579507EF-A007-4FE8-B60D-2F52B9A13C64}" name="23086"/>
    <tableColumn id="2472" xr3:uid="{90F85EB9-5E36-433D-B996-CEDF6BF13C09}" name="23089"/>
    <tableColumn id="2473" xr3:uid="{D56322A9-8ED5-4ECB-8EBB-11BE097DA21A}" name="23091"/>
    <tableColumn id="2474" xr3:uid="{E26CB1D2-20C0-4B54-A479-BEA39617C2EF}" name="23092"/>
    <tableColumn id="2475" xr3:uid="{9CC4AE55-3BF1-4704-895C-992848355002}" name="23093"/>
    <tableColumn id="2476" xr3:uid="{7BD66BC9-9315-410C-ACB0-CB823387013A}" name="23102"/>
    <tableColumn id="2477" xr3:uid="{559E8CA3-05D8-47FA-850F-F650AFA618A0}" name="23103"/>
    <tableColumn id="2478" xr3:uid="{EC1A6DCD-3258-46E4-A86C-E55B7BC8D7CB}" name="23106"/>
    <tableColumn id="2479" xr3:uid="{6F58598F-69E2-46A5-A5F4-D9BF481CCE77}" name="23108"/>
    <tableColumn id="2480" xr3:uid="{2B828AE2-60D3-4C07-9E23-334845DDB9AE}" name="23109"/>
    <tableColumn id="2481" xr3:uid="{F2E67635-A68A-426D-88DF-33A2D90092C4}" name="23110"/>
    <tableColumn id="2482" xr3:uid="{A640C5B1-0515-446B-AA56-FAC39AD0150F}" name="23111"/>
    <tableColumn id="2483" xr3:uid="{DF78711F-8AA6-4EB5-8DEC-7EDB9A64A68E}" name="23112"/>
    <tableColumn id="2484" xr3:uid="{BA29CFA9-D183-4760-935A-9BA630CB6DDA}" name="23113"/>
    <tableColumn id="2485" xr3:uid="{1C541C23-46E0-4CAB-89BA-7033A7761041}" name="23114"/>
    <tableColumn id="2486" xr3:uid="{81E301DE-2CB7-4DD9-8C52-BE5489659AB6}" name="23116"/>
    <tableColumn id="2487" xr3:uid="{BB2670F9-B583-48D7-A4D9-087D350E504C}" name="23117"/>
    <tableColumn id="2488" xr3:uid="{E3290DDA-F79A-4EE2-8F9C-22E7D3EED9ED}" name="23119"/>
    <tableColumn id="2489" xr3:uid="{EFDDD4CF-BEA4-4A99-9D19-706A2A87201D}" name="23120"/>
    <tableColumn id="2490" xr3:uid="{72EE9307-9532-4A10-8B4F-2401BEE911B1}" name="23123"/>
    <tableColumn id="2491" xr3:uid="{E8F585C3-6AE3-4AB5-9721-B87D85045FFB}" name="23124"/>
    <tableColumn id="2492" xr3:uid="{D641E1AB-5185-4240-A4ED-CBB359D28B0E}" name="23126"/>
    <tableColumn id="2493" xr3:uid="{89E7B9B3-840A-4461-8E2F-8040F04A9DB6}" name="23128"/>
    <tableColumn id="2494" xr3:uid="{A32194C8-CE34-4B6F-8FAD-D3CFA11F193D}" name="23129"/>
    <tableColumn id="2495" xr3:uid="{7F701DFC-149F-48DC-A65C-43792ECCC788}" name="23130"/>
    <tableColumn id="2496" xr3:uid="{72441B8E-79FE-41E3-A9E9-43AB05B680C9}" name="23138"/>
    <tableColumn id="2497" xr3:uid="{7C13535A-86B7-45DF-A331-3BF42903C337}" name="23139"/>
    <tableColumn id="2498" xr3:uid="{BBE4D17D-9418-4708-8E74-103F6218B975}" name="23140"/>
    <tableColumn id="2499" xr3:uid="{D51AFD5F-CE7E-439B-BD6B-29360CF94CF8}" name="23141"/>
    <tableColumn id="2500" xr3:uid="{6E66006A-5729-4298-9E65-C991FF88B9BF}" name="23146"/>
    <tableColumn id="2501" xr3:uid="{3BCD5883-3A10-4EEE-A3F7-C55D5987D9B4}" name="23147"/>
    <tableColumn id="2502" xr3:uid="{AA2A8AFD-B27D-484D-8CFC-E1EC14038C7D}" name="23148"/>
    <tableColumn id="2503" xr3:uid="{6168A7F1-5490-4077-BD35-2ECA5214AEBF}" name="23149"/>
    <tableColumn id="2504" xr3:uid="{980F0311-987D-4F4C-B2C6-98CFCFD878E9}" name="23150"/>
    <tableColumn id="2505" xr3:uid="{7A61570E-5D85-4E93-9230-6B83B9306C28}" name="23153"/>
    <tableColumn id="2506" xr3:uid="{90481B8A-2F19-4388-9FD0-040E781F5560}" name="23156"/>
    <tableColumn id="2507" xr3:uid="{6ED2887A-F3B6-49F5-881E-37FA12D830D9}" name="23160"/>
    <tableColumn id="2508" xr3:uid="{7FB69EFB-C26B-476F-A6CD-37906D07C4A6}" name="23161"/>
    <tableColumn id="2509" xr3:uid="{D67DA846-1BC2-4CEE-8D14-D20E91F32A8F}" name="23163"/>
    <tableColumn id="2510" xr3:uid="{AC1BD50F-F161-460D-A7EC-E2A195EE67B2}" name="23168"/>
    <tableColumn id="2511" xr3:uid="{CC5D114B-840A-41EB-8390-05B2153D4D72}" name="23169"/>
    <tableColumn id="2512" xr3:uid="{26B3E25A-EC37-46BA-8417-92F30E93DDA7}" name="23173"/>
    <tableColumn id="2513" xr3:uid="{7796F255-4E38-4040-AE22-E7434E65A5BA}" name="23175"/>
    <tableColumn id="2514" xr3:uid="{70833051-11B5-4DEB-A038-7632EF9572D1}" name="23176"/>
    <tableColumn id="2515" xr3:uid="{0AD2B6A3-9750-4881-9802-E42C536A2D3E}" name="23177"/>
    <tableColumn id="2516" xr3:uid="{4D5B8B25-9A39-47C4-A24B-55FB63105ACB}" name="23180"/>
    <tableColumn id="2517" xr3:uid="{7EDF775B-0A86-4BDF-AD1D-40085441918C}" name="23181"/>
    <tableColumn id="2518" xr3:uid="{09ED4065-F978-4022-9DAD-75A4C348BFA0}" name="23185"/>
    <tableColumn id="2519" xr3:uid="{9ADE369E-A1BF-4ACC-9AD0-B1B3BB44A02C}" name="23188"/>
    <tableColumn id="2520" xr3:uid="{DCC71DA2-53A6-4F3C-B8F7-17A8BF809414}" name="23192"/>
    <tableColumn id="2521" xr3:uid="{5B4B6B83-FBA3-4C13-82C9-1D04D1B4C645}" name="23219"/>
    <tableColumn id="2522" xr3:uid="{0102E87C-DE35-42AE-8C9F-84DBA13F8BCA}" name="23220"/>
    <tableColumn id="2523" xr3:uid="{D2B16EE3-33DC-42DA-91E7-B9AFBDFE4D44}" name="23221"/>
    <tableColumn id="2524" xr3:uid="{328858BC-4E11-4C59-A872-135A29702879}" name="23222"/>
    <tableColumn id="2525" xr3:uid="{05A052AD-9A6C-461D-B40F-15AF316488E5}" name="23223"/>
    <tableColumn id="2526" xr3:uid="{14983555-EFCF-421A-B1F2-9E4F77BAB91F}" name="23224"/>
    <tableColumn id="2527" xr3:uid="{1CD2E250-BFD1-4354-A0F4-A00CEABB9B18}" name="23225"/>
    <tableColumn id="2528" xr3:uid="{B5BA6EBF-D36D-4D90-8FD8-FBF5E6625E76}" name="23226"/>
    <tableColumn id="2529" xr3:uid="{A71657E1-FCCF-413E-A875-7D1FA26C7726}" name="23227"/>
    <tableColumn id="2530" xr3:uid="{49BEA081-2CE8-41C6-BDFD-26E8BE043E38}" name="23228"/>
    <tableColumn id="2531" xr3:uid="{71DFD8B1-5BBC-4E49-88DC-D3C2CAF6983F}" name="23229"/>
    <tableColumn id="2532" xr3:uid="{F05EC44F-3781-4304-B4D2-344B1FA2A68B}" name="23230"/>
    <tableColumn id="2533" xr3:uid="{EBBAB1C1-C4C3-4E5E-8831-6E253F68F2A5}" name="23231"/>
    <tableColumn id="2534" xr3:uid="{3B00C853-C749-4848-92B7-4BD0698A2232}" name="23233"/>
    <tableColumn id="2535" xr3:uid="{7BB8F811-A7EA-4DC5-B8C1-86C74630647D}" name="23234"/>
    <tableColumn id="2536" xr3:uid="{079E6466-729D-48A2-B2E5-7CB8F2E74294}" name="23235"/>
    <tableColumn id="2537" xr3:uid="{2FDF092D-9ACD-45E0-B955-EADA2721B023}" name="23236"/>
    <tableColumn id="2538" xr3:uid="{4E1A350E-13AC-4BE5-9938-490231504EB4}" name="23237"/>
    <tableColumn id="2539" xr3:uid="{812C62D8-E674-4737-80F2-BA8743A272A1}" name="23238"/>
    <tableColumn id="2540" xr3:uid="{08C46104-015D-4118-ACA1-A5140DABC88C}" name="23250"/>
    <tableColumn id="2541" xr3:uid="{08980437-0930-455D-82C1-561EEC274DA1}" name="23284"/>
    <tableColumn id="2542" xr3:uid="{6E4AF47C-1DF0-41DF-A129-DFCBA5D54792}" name="23294"/>
    <tableColumn id="2543" xr3:uid="{3F915113-4615-4B87-A775-8EDE13353E02}" name="23298"/>
    <tableColumn id="2544" xr3:uid="{66B56019-4B51-43F4-8571-FB9FCF3E611D}" name="23301"/>
    <tableColumn id="2545" xr3:uid="{7B9D619D-0014-427D-B66F-04A06808D6F0}" name="23302"/>
    <tableColumn id="2546" xr3:uid="{26807555-35AB-40DF-8633-0D9D49C974ED}" name="23303"/>
    <tableColumn id="2547" xr3:uid="{59EF919D-BD82-4467-AB82-70E821DC7862}" name="23304"/>
    <tableColumn id="2548" xr3:uid="{5B4ED3B5-D614-4F60-9545-7C8277A68E38}" name="23306"/>
    <tableColumn id="2549" xr3:uid="{D55B4F5C-A607-4DFB-9551-2595AEED0756}" name="23307"/>
    <tableColumn id="2550" xr3:uid="{838552E6-01E1-49B1-A5D4-3E5E39CD3DE8}" name="23308"/>
    <tableColumn id="2551" xr3:uid="{AC3B552E-D9AD-4D50-87DD-D8894CF02D2D}" name="23310"/>
    <tableColumn id="2552" xr3:uid="{39FB762E-1AC5-4774-97A0-5B6DB43F87AA}" name="23314"/>
    <tableColumn id="2553" xr3:uid="{618CE6CD-1AC5-4045-8523-0735B21004D3}" name="23315"/>
    <tableColumn id="2554" xr3:uid="{89D7B2AA-8143-4AC8-950D-3328124C4439}" name="23316"/>
    <tableColumn id="2555" xr3:uid="{C5BAD2C5-10AF-44ED-88AA-85AB28C81446}" name="23320"/>
    <tableColumn id="2556" xr3:uid="{81BDE5BE-B50D-4706-AED8-5700F0D2FF6F}" name="23321"/>
    <tableColumn id="2557" xr3:uid="{25892092-8496-464E-A41C-B2D9B0FA24BA}" name="23322"/>
    <tableColumn id="2558" xr3:uid="{649C816A-B81B-43C9-A0E0-3FB1B36AF1FB}" name="23323"/>
    <tableColumn id="2559" xr3:uid="{80A754EE-48B9-4FD7-934E-1B1BA75857DD}" name="23324"/>
    <tableColumn id="2560" xr3:uid="{39D31246-8C77-4CA5-B571-633415A4600B}" name="23325"/>
    <tableColumn id="2561" xr3:uid="{BB13D1E1-48B4-4857-A246-F2B945C8AAC7}" name="23336"/>
    <tableColumn id="2562" xr3:uid="{315E3F9B-1BB6-4A82-9403-1867437608FB}" name="23337"/>
    <tableColumn id="2563" xr3:uid="{96B1B309-B830-4D51-86C1-BDE5D72698C0}" name="23347"/>
    <tableColumn id="2564" xr3:uid="{A8AF2218-F6D9-4953-82AB-0367038D841E}" name="23350"/>
    <tableColumn id="2565" xr3:uid="{675E79BA-D1AF-4D6D-B3BA-6E0A1FE95A88}" name="23354"/>
    <tableColumn id="2566" xr3:uid="{9DB2CF3D-9989-4F5A-923E-7DB8C77B331C}" name="23356"/>
    <tableColumn id="2567" xr3:uid="{D90326F4-99B5-4388-8424-7E1090FC8F55}" name="23357"/>
    <tableColumn id="2568" xr3:uid="{40AA86D1-DEEC-4EEB-B0CB-3773FA8C316C}" name="23358"/>
    <tableColumn id="2569" xr3:uid="{3A17D496-B8C6-48DE-8E16-793244EB4087}" name="23359"/>
    <tableColumn id="2570" xr3:uid="{D581078F-106C-4029-B400-2B95943EEDFC}" name="23389"/>
    <tableColumn id="2571" xr3:uid="{09190CB9-EBAE-4C6C-8322-16022390D2C1}" name="23395"/>
    <tableColumn id="2572" xr3:uid="{89DF245C-5C7A-41C6-B8B8-28A06BD31AD2}" name="23398"/>
    <tableColumn id="2573" xr3:uid="{F1AB8B0E-AC21-4D2F-A733-58DDA03C1E23}" name="23401"/>
    <tableColumn id="2574" xr3:uid="{7B17824D-9315-4C5A-A64C-7F5B097A1C62}" name="23405"/>
    <tableColumn id="2575" xr3:uid="{E4AECD9A-54FE-41B0-8004-342C09B4EF2B}" name="23407"/>
    <tableColumn id="2576" xr3:uid="{7D254464-3F55-4C52-B0D5-2A5D3D8C0F73}" name="23408"/>
    <tableColumn id="2577" xr3:uid="{28FED40C-8A98-478A-A7EF-4D3A3D761CD7}" name="23409"/>
    <tableColumn id="2578" xr3:uid="{40A606A7-C0C4-40D2-B123-55B5263491F3}" name="23410"/>
    <tableColumn id="2579" xr3:uid="{5849ED78-8339-4404-A4F3-029507AA0CB7}" name="23413"/>
    <tableColumn id="2580" xr3:uid="{C40A9119-78BE-412B-B423-04200BB2CA03}" name="23414"/>
    <tableColumn id="2581" xr3:uid="{3806C76D-4D5E-4FD6-B740-CD83C3FB6F1D}" name="23415"/>
    <tableColumn id="2582" xr3:uid="{2F13477B-4A49-43B7-BAF0-E20E7951958E}" name="23416"/>
    <tableColumn id="2583" xr3:uid="{28D4F433-31B7-4E32-B7B9-5185B04D739C}" name="23417"/>
    <tableColumn id="2584" xr3:uid="{A96198B5-A1D4-4492-A7D8-2EE8B3D6DE32}" name="23418"/>
    <tableColumn id="2585" xr3:uid="{D763C0AA-F2CF-4C0B-9D7B-A31FA4698DD5}" name="23420"/>
    <tableColumn id="2586" xr3:uid="{56009C03-B759-41D9-8773-82835C747626}" name="23421"/>
    <tableColumn id="2587" xr3:uid="{33B0EEF1-2FFB-472E-8375-3223F7A1C4A9}" name="23422"/>
    <tableColumn id="2588" xr3:uid="{E683558A-EAA9-474C-BC34-DF992CE39055}" name="23423"/>
    <tableColumn id="2589" xr3:uid="{AEDEF6F4-139C-4FEC-8D73-24F7EB34F33B}" name="23426"/>
    <tableColumn id="2590" xr3:uid="{79B44B89-8B93-4287-9A30-0CFF68705B64}" name="23427"/>
    <tableColumn id="2591" xr3:uid="{F3B4134D-8A79-4717-BC47-517CBC55E4E8}" name="23430"/>
    <tableColumn id="2592" xr3:uid="{D9948A2E-11EE-41FF-BFC9-063242C8B284}" name="23432"/>
    <tableColumn id="2593" xr3:uid="{8EDE011A-D51A-4134-BB9B-9E345EAC704A}" name="23433"/>
    <tableColumn id="2594" xr3:uid="{3ADB0239-8494-461F-A9BC-9C6BA8F04911}" name="23434"/>
    <tableColumn id="2595" xr3:uid="{0202E8B3-803D-4CB1-94D1-1060C5F354CE}" name="23435"/>
    <tableColumn id="2596" xr3:uid="{632D47F4-D5C2-4ECC-B0EF-C4BC506915C8}" name="23436"/>
    <tableColumn id="2597" xr3:uid="{61D40339-750A-435F-A475-95C3A2C0FEEC}" name="23437"/>
    <tableColumn id="2598" xr3:uid="{9FC2EBD3-FF43-40DA-9231-AE056AE4C79A}" name="23438"/>
    <tableColumn id="2599" xr3:uid="{F21C615C-7489-4914-9B47-C92BC908F89B}" name="23440"/>
    <tableColumn id="2600" xr3:uid="{BB6EF0D7-13B5-46A2-BD8D-DC0327901BB1}" name="23441"/>
    <tableColumn id="2601" xr3:uid="{C9999B9B-E512-4840-A732-9604183B67D2}" name="23442"/>
    <tableColumn id="2602" xr3:uid="{D7C533E0-40DB-4B11-8082-7C7C4ED3A1A2}" name="23451"/>
    <tableColumn id="2603" xr3:uid="{E7C8272B-E8A3-418C-9C19-9A3036C13240}" name="23452"/>
    <tableColumn id="2604" xr3:uid="{98243797-4B88-48AB-9FBF-6233E90B689D}" name="23453"/>
    <tableColumn id="2605" xr3:uid="{A1E01643-DCA8-435C-89AB-9E22FCCF4604}" name="23454"/>
    <tableColumn id="2606" xr3:uid="{94999294-0761-4270-8BBA-AC0C599A2DD6}" name="23455"/>
    <tableColumn id="2607" xr3:uid="{E47C12C0-88A9-4C16-BBFE-D71E814FA887}" name="23456"/>
    <tableColumn id="2608" xr3:uid="{63363DDF-0DE7-44E8-9761-A25D463DB10E}" name="23457"/>
    <tableColumn id="2609" xr3:uid="{1921B16E-33D8-40B8-85C2-5FC0E987DB98}" name="23459"/>
    <tableColumn id="2610" xr3:uid="{C6851ACA-36E6-4B65-AB66-607778076A54}" name="23460"/>
    <tableColumn id="2611" xr3:uid="{AF2700DA-B88A-4566-9CED-CCAC285EC847}" name="23461"/>
    <tableColumn id="2612" xr3:uid="{1EC3F821-2203-4643-8657-6A99C3FD3D14}" name="23462"/>
    <tableColumn id="2613" xr3:uid="{3C7093B7-2476-480F-B97C-629BB009A82B}" name="23464"/>
    <tableColumn id="2614" xr3:uid="{B553C67C-B67A-43C0-9E8B-3209ABEC22A0}" name="23480"/>
    <tableColumn id="2615" xr3:uid="{A8844FF4-BFF2-4FC4-A6F6-66E92C769838}" name="23486"/>
    <tableColumn id="2616" xr3:uid="{D113D4CC-0F71-4324-BE96-4CF95096AD54}" name="23487"/>
    <tableColumn id="2617" xr3:uid="{D85A81DC-176D-4C23-9669-65ABD46D7919}" name="23488"/>
    <tableColumn id="2618" xr3:uid="{7543F725-F9AD-442A-AE2A-3C69F6511EE6}" name="23502"/>
    <tableColumn id="2619" xr3:uid="{9C4A16A6-0DF7-43D9-BDA3-939515B026D8}" name="23503"/>
    <tableColumn id="2620" xr3:uid="{C7FA6287-93C2-48FA-8A13-DC87A3B1B75D}" name="23504"/>
    <tableColumn id="2621" xr3:uid="{ED450CB3-408E-4716-85A8-3EDDDEE99706}" name="23505"/>
    <tableColumn id="2622" xr3:uid="{CC5625FD-DE61-487B-9CD8-CBB5C82DF61D}" name="23507"/>
    <tableColumn id="2623" xr3:uid="{EDD9877B-35B3-4995-BA1F-5C6A55A20834}" name="23508"/>
    <tableColumn id="2624" xr3:uid="{39109B3D-993A-4EA0-8D8B-A830BC9484DA}" name="23509"/>
    <tableColumn id="2625" xr3:uid="{81FEF250-518E-41EE-9B28-74750E7CB8AD}" name="23510"/>
    <tableColumn id="2626" xr3:uid="{2A05BD58-A819-4AC5-B665-8EF2776D08D8}" name="23511"/>
    <tableColumn id="2627" xr3:uid="{F17835E3-40B9-4941-96CD-C5A0052BA1A1}" name="23513"/>
    <tableColumn id="2628" xr3:uid="{13F733DE-1F86-442B-BBB0-8ABC8F04A2D3}" name="23517"/>
    <tableColumn id="2629" xr3:uid="{D677E02C-67CF-4D98-B65C-074351F33A49}" name="23518"/>
    <tableColumn id="2630" xr3:uid="{85439B3E-B84B-4AF1-B6E6-097AE88E0E56}" name="23523"/>
    <tableColumn id="2631" xr3:uid="{ABDF6619-AAFA-4EC1-98F5-00F3C968693C}" name="23551"/>
    <tableColumn id="2632" xr3:uid="{13A559BC-9BDD-4E8B-8311-45E5AC7DE06A}" name="23601"/>
    <tableColumn id="2633" xr3:uid="{2A161C7C-66BE-4478-9F89-6B9E712119A1}" name="23602"/>
    <tableColumn id="2634" xr3:uid="{009ED6CC-7F58-4D52-80A5-2EAB6FC61239}" name="23603"/>
    <tableColumn id="2635" xr3:uid="{89C4CD5C-53D2-47BF-BD71-85316CBFC338}" name="23604"/>
    <tableColumn id="2636" xr3:uid="{88B32E26-3F86-47C9-8F48-888D2EB7194C}" name="23605"/>
    <tableColumn id="2637" xr3:uid="{F9484CC1-2EB6-4A64-A300-FCF908718FDA}" name="23606"/>
    <tableColumn id="2638" xr3:uid="{8F82F43F-80BC-4415-86C8-0CA846A984D1}" name="23607"/>
    <tableColumn id="2639" xr3:uid="{0C43547D-7AA9-4312-8C4B-3088C1E5BCB5}" name="23608"/>
    <tableColumn id="2640" xr3:uid="{53B79179-DE26-4763-9C2E-50989CB0C9D8}" name="23651"/>
    <tableColumn id="2641" xr3:uid="{5C58D414-6A7B-41CB-9BCB-F0C7BDF94105}" name="23661"/>
    <tableColumn id="2642" xr3:uid="{6413EBD1-F476-439C-B620-DB869563EFDB}" name="23662"/>
    <tableColumn id="2643" xr3:uid="{F25194B3-6F13-441B-912F-22C1EE3EA47B}" name="23663"/>
    <tableColumn id="2644" xr3:uid="{FEAF787C-A594-4C12-AD20-C7BFD3228490}" name="23664"/>
    <tableColumn id="2645" xr3:uid="{B34A7D08-494E-423D-9C1F-6F679EFD220D}" name="23665"/>
    <tableColumn id="2646" xr3:uid="{BC25D43D-08E0-4ED9-BE3C-9AFE33FE5C8A}" name="23666"/>
    <tableColumn id="2647" xr3:uid="{F8D2229D-E7FF-4667-A43C-4C0B428D676B}" name="23667"/>
    <tableColumn id="2648" xr3:uid="{10646883-F762-4A27-A62A-80E22D753C77}" name="23668"/>
    <tableColumn id="2649" xr3:uid="{CA20865D-9DE6-45C6-B935-C4485CF953E5}" name="23669"/>
    <tableColumn id="2650" xr3:uid="{8763D90E-62DE-41EB-8615-295DA36EEB69}" name="23681"/>
    <tableColumn id="2651" xr3:uid="{6947F5DB-BF23-4EC8-822A-6E968439AEFC}" name="23690"/>
    <tableColumn id="2652" xr3:uid="{07061B45-6AB6-47DC-A13B-1E8E202939EC}" name="23691"/>
    <tableColumn id="2653" xr3:uid="{CA54B1C4-A367-493E-88B1-0CCE77686272}" name="23692"/>
    <tableColumn id="2654" xr3:uid="{80E437AB-C328-45BA-9A0F-0DDD72453B87}" name="23693"/>
    <tableColumn id="2655" xr3:uid="{D564B3D3-B96F-44AC-B070-263B87C54697}" name="23696"/>
    <tableColumn id="2656" xr3:uid="{E4218722-A133-4D2B-8A7D-47213F523521}" name="23701"/>
    <tableColumn id="2657" xr3:uid="{10890713-C497-42F6-BC46-20C0E1B0FDE6}" name="23702"/>
    <tableColumn id="2658" xr3:uid="{B2503AF4-D458-4E77-8487-E812C24E9FA5}" name="23703"/>
    <tableColumn id="2659" xr3:uid="{10F2F6CD-1868-42CD-A159-CC5EB0E00744}" name="23704"/>
    <tableColumn id="2660" xr3:uid="{ACC96312-218D-4B56-A4DF-19CD11DFC85D}" name="23707"/>
    <tableColumn id="2661" xr3:uid="{F3288203-D775-40A4-8FAE-1CCF531DCC18}" name="23708"/>
    <tableColumn id="2662" xr3:uid="{D2FCA418-2653-479E-A20F-30E36C1ECA52}" name="23709"/>
    <tableColumn id="2663" xr3:uid="{36B3D9B9-5545-44A3-8241-CC64461FC317}" name="23801"/>
    <tableColumn id="2664" xr3:uid="{34FE5293-A9B8-48F4-9ABA-B998BE69BAB9}" name="23803"/>
    <tableColumn id="2665" xr3:uid="{4E1E99C4-0842-4D36-85C0-77B6EDF9FB1A}" name="23805"/>
    <tableColumn id="2666" xr3:uid="{A7C14344-909B-46C3-BDC8-759B9365012B}" name="23821"/>
    <tableColumn id="2667" xr3:uid="{01D16142-FBFD-4F87-A2E5-6666086490E6}" name="23824"/>
    <tableColumn id="2668" xr3:uid="{62D442B8-BE1E-4F7A-8D47-9C57A71DD5B1}" name="23827"/>
    <tableColumn id="2669" xr3:uid="{B474CA70-CA36-4E1D-8201-F48F67D512F0}" name="23828"/>
    <tableColumn id="2670" xr3:uid="{DA782931-3AD4-4E45-A8FB-7C05E86B018F}" name="23829"/>
    <tableColumn id="2671" xr3:uid="{200A661C-E077-42C9-828F-F029535422AD}" name="23830"/>
    <tableColumn id="2672" xr3:uid="{3FF8197E-3356-4D15-8451-CC1E4B07F3F9}" name="23831"/>
    <tableColumn id="2673" xr3:uid="{E42E4824-DBD5-41B2-A7AD-A01769DEEE7A}" name="23832"/>
    <tableColumn id="2674" xr3:uid="{2433945B-175D-4042-8ED9-F070A657445A}" name="23833"/>
    <tableColumn id="2675" xr3:uid="{BE81596A-2A9D-4F9A-B36E-A6675A886F7C}" name="23834"/>
    <tableColumn id="2676" xr3:uid="{018EB17A-10F4-4915-BFB1-D77EACDFEA4A}" name="23836"/>
    <tableColumn id="2677" xr3:uid="{748DF648-734C-46F7-AAAC-BDB0C344DB5D}" name="23837"/>
    <tableColumn id="2678" xr3:uid="{65EC8653-24E8-46F4-AD57-4CF7E485184E}" name="23838"/>
    <tableColumn id="2679" xr3:uid="{62EA9B8D-7506-4DDF-9118-80CBDF62918B}" name="23839"/>
    <tableColumn id="2680" xr3:uid="{19CBFDDF-7268-4E7A-88CD-E63749B34697}" name="23840"/>
    <tableColumn id="2681" xr3:uid="{98234420-F563-42A4-91EF-6AE0CAED2602}" name="23841"/>
    <tableColumn id="2682" xr3:uid="{A5E0D485-0C3A-429C-9C58-F56CECEDBFF1}" name="23842"/>
    <tableColumn id="2683" xr3:uid="{E4D84CD7-199B-4A04-B04D-3702497102E0}" name="23843"/>
    <tableColumn id="2684" xr3:uid="{7DA14A18-D6E2-4783-9491-64B24AD08ED9}" name="23844"/>
    <tableColumn id="2685" xr3:uid="{313B9409-5FB4-40F2-B810-87CB77E0A89E}" name="23845"/>
    <tableColumn id="2686" xr3:uid="{32A5A872-9C12-4628-9960-FF35D0D67ED1}" name="23846"/>
    <tableColumn id="2687" xr3:uid="{F3A4995D-6AF1-4E10-AC2D-394946818C3B}" name="23847"/>
    <tableColumn id="2688" xr3:uid="{805193F4-357B-4D21-980A-80FE1E760DFC}" name="23850"/>
    <tableColumn id="2689" xr3:uid="{7AB3DD6D-DF38-4E6F-BC8E-B74D30B5BFDA}" name="23851"/>
    <tableColumn id="2690" xr3:uid="{C63ACCEC-D654-404B-B6EC-DE7013216328}" name="23856"/>
    <tableColumn id="2691" xr3:uid="{7EC4F2BE-57AE-46FC-B5EE-55EBE5A88760}" name="23857"/>
    <tableColumn id="2692" xr3:uid="{46708F4B-EFE8-4A82-AAC1-8F31E30F5330}" name="23860"/>
    <tableColumn id="2693" xr3:uid="{79E52D8F-1073-4D9C-A728-667E14D43445}" name="23866"/>
    <tableColumn id="2694" xr3:uid="{E7919B4D-BC6E-49BC-B2A6-E80992F76601}" name="23867"/>
    <tableColumn id="2695" xr3:uid="{986F1AED-4B83-4593-A56D-449DA41A55E8}" name="23868"/>
    <tableColumn id="2696" xr3:uid="{AD2A05B1-3B01-4CF0-80D2-4E37C1760806}" name="23870"/>
    <tableColumn id="2697" xr3:uid="{B6368A29-81EC-49A7-86BD-74CCA1ABC337}" name="23872"/>
    <tableColumn id="2698" xr3:uid="{799E869E-7D00-4464-A108-CFC20E749124}" name="23874"/>
    <tableColumn id="2699" xr3:uid="{A93AD471-309F-46FA-BCC9-596AC2DDA87C}" name="23875"/>
    <tableColumn id="2700" xr3:uid="{9D709621-B338-4EEA-A4C2-A5587DAFEAE1}" name="23876"/>
    <tableColumn id="2701" xr3:uid="{11C4C795-E5D5-4FB3-B73B-57DAE1789D0D}" name="23878"/>
    <tableColumn id="2702" xr3:uid="{D7A02BE1-5E09-4097-A181-1FDDF0A83D19}" name="23879"/>
    <tableColumn id="2703" xr3:uid="{150E9A09-769F-4A20-BB5B-56524EDB033D}" name="23881"/>
    <tableColumn id="2704" xr3:uid="{A973793E-B047-4CA4-84B0-B1EEC5D95DF8}" name="23882"/>
    <tableColumn id="2705" xr3:uid="{77C9E006-E22D-497B-B0C6-B6EBD6563B5D}" name="23883"/>
    <tableColumn id="2706" xr3:uid="{0B8510BD-1CD8-40A2-AA43-946C57BF00D4}" name="23884"/>
    <tableColumn id="2707" xr3:uid="{1BA1B5E9-A04F-4737-BE9A-CFC4ABF29487}" name="23885"/>
    <tableColumn id="2708" xr3:uid="{2BE788B8-4446-45D6-AA1C-35E15FB42303}" name="23887"/>
    <tableColumn id="2709" xr3:uid="{032ABF43-5C9E-459D-B7A9-5A33F7E16354}" name="23888"/>
    <tableColumn id="2710" xr3:uid="{E60FDE56-BC98-4C05-A094-8E15628CA34F}" name="23889"/>
    <tableColumn id="2711" xr3:uid="{9B937127-57F9-411E-BCAB-40B55E223A56}" name="23890"/>
    <tableColumn id="2712" xr3:uid="{9C494B0A-6CAF-4913-B8AA-AD537859CB93}" name="23891"/>
    <tableColumn id="2713" xr3:uid="{DA133B17-22C7-4651-A777-2B5365D5A499}" name="23893"/>
    <tableColumn id="2714" xr3:uid="{A2F0B9D6-AB5E-4298-850B-0004C4B49A9C}" name="23894"/>
    <tableColumn id="2715" xr3:uid="{4823D37B-597A-4C24-AA5D-AF7166015045}" name="23897"/>
    <tableColumn id="2716" xr3:uid="{58F050BD-B2D1-4B0A-BB4A-5D44918B9CDC}" name="23898"/>
    <tableColumn id="2717" xr3:uid="{6497153F-AB3B-44A7-B327-E7D7519DF73F}" name="23899"/>
    <tableColumn id="2718" xr3:uid="{AD20AF03-8212-4130-AE8C-71EAED69C2E5}" name="23901"/>
    <tableColumn id="2719" xr3:uid="{37F5632F-D177-4952-AD50-C8F8F21FB18F}" name="23909"/>
    <tableColumn id="2720" xr3:uid="{1D8C3E98-1EAF-474A-8F48-A6C0035DB8C3}" name="23915"/>
    <tableColumn id="2721" xr3:uid="{69C12E2E-3AAF-4040-91E6-372D0E060083}" name="23917"/>
    <tableColumn id="2722" xr3:uid="{C84848AC-A140-434D-8C58-5C658EFA9A57}" name="23919"/>
    <tableColumn id="2723" xr3:uid="{E20DC018-0354-40DA-B2C6-068693119BBC}" name="23920"/>
    <tableColumn id="2724" xr3:uid="{35153286-D8E7-4CBF-84F9-6EB2DD304D75}" name="23921"/>
    <tableColumn id="2725" xr3:uid="{1FA475D2-775D-4338-8568-877EA0D185F0}" name="23922"/>
    <tableColumn id="2726" xr3:uid="{2B0FD902-4D86-4FCF-A0E6-162DC4F4E799}" name="23923"/>
    <tableColumn id="2727" xr3:uid="{4122D978-38EE-4E37-806F-85EAF2612911}" name="23924"/>
    <tableColumn id="2728" xr3:uid="{E729FDFF-00FE-483B-A677-15A36E041DF7}" name="23927"/>
    <tableColumn id="2729" xr3:uid="{6D6B5D0B-4A40-4289-BEAC-4376F7BE2E43}" name="23930"/>
    <tableColumn id="2730" xr3:uid="{9FA09D19-BD5E-4BB7-9E6B-65469DD4130B}" name="23934"/>
    <tableColumn id="2731" xr3:uid="{910C4CC8-BF6E-473B-96D2-6901676F9172}" name="23936"/>
    <tableColumn id="2732" xr3:uid="{0BCE945F-E83C-49FC-AEBC-3D96A96FBA3E}" name="23937"/>
    <tableColumn id="2733" xr3:uid="{E2690514-0896-4852-9555-475B58DB50A9}" name="23938"/>
    <tableColumn id="2734" xr3:uid="{A74D6BC5-90F8-4366-8B56-F2DE9F6B0F6B}" name="23942"/>
    <tableColumn id="2735" xr3:uid="{2ADE07A0-895D-4197-A6D2-09B5D7D8EDA4}" name="23943"/>
    <tableColumn id="2736" xr3:uid="{2A01D8A0-09CB-4846-A11B-A0E0AD785EDA}" name="23944"/>
    <tableColumn id="2737" xr3:uid="{9F984635-2F04-41A9-A590-760D0717D293}" name="23947"/>
    <tableColumn id="2738" xr3:uid="{DA3D3DA1-CBF9-48BF-86DA-A8E70A7C0579}" name="23950"/>
    <tableColumn id="2739" xr3:uid="{AFA149DB-C682-41D0-83A1-A8CA7A8BB074}" name="23952"/>
    <tableColumn id="2740" xr3:uid="{26F2545F-E708-4873-A3F6-A9E49F954C2C}" name="23954"/>
    <tableColumn id="2741" xr3:uid="{E91D28C7-6A4F-4326-9700-D84E2B752AF1}" name="23955"/>
    <tableColumn id="2742" xr3:uid="{A335FDC8-A0D3-48E8-B1D0-AAFFEEBEE625}" name="23958"/>
    <tableColumn id="2743" xr3:uid="{61F7CA48-C8DD-4CF5-8F5E-F146B5DFDFD5}" name="23959"/>
    <tableColumn id="2744" xr3:uid="{CC517A21-821E-42BB-A0D0-2FD2F7EE35C8}" name="23960"/>
    <tableColumn id="2745" xr3:uid="{B961D79D-7B20-45F6-A190-02DC71024EC0}" name="23962"/>
    <tableColumn id="2746" xr3:uid="{A8C46D71-11C8-48A3-A7C2-3E6B1609AF4D}" name="23963"/>
    <tableColumn id="2747" xr3:uid="{F00CD16F-F8FB-463A-8F88-A471654912AD}" name="23964"/>
    <tableColumn id="2748" xr3:uid="{53FCFCAB-1CC3-49FC-A9D1-AA9B12FAF7BF}" name="23966"/>
    <tableColumn id="2749" xr3:uid="{98013743-B273-458A-95DF-120B868C6FB2}" name="23967"/>
    <tableColumn id="2750" xr3:uid="{E9197F6E-D8A1-4BA3-B2F5-54D94BBB42B7}" name="23968"/>
    <tableColumn id="2751" xr3:uid="{6741AB66-2B14-421D-A65E-658BA9E68FA5}" name="23970"/>
    <tableColumn id="2752" xr3:uid="{6E4A7553-C5A6-40E0-991B-8B8D8B875698}" name="23974"/>
    <tableColumn id="2753" xr3:uid="{09EF6848-1152-4807-A1C8-728178852D55}" name="23976"/>
    <tableColumn id="2754" xr3:uid="{F7833503-2082-40C3-AF1D-20FA4DD9A57A}" name="24011"/>
    <tableColumn id="2755" xr3:uid="{B26DA923-9CA2-4D68-A695-0E082313C7A9}" name="24012"/>
    <tableColumn id="2756" xr3:uid="{CC099A81-62F6-4CA5-A96F-2C9B2432BE2F}" name="24013"/>
    <tableColumn id="2757" xr3:uid="{3854F6AC-402F-48BD-9345-C631C6064F9E}" name="24014"/>
    <tableColumn id="2758" xr3:uid="{269A80BB-AE08-436F-82CE-A109FDB25B6A}" name="24015"/>
    <tableColumn id="2759" xr3:uid="{2154D671-85A0-4E4F-880F-8794D4CCFA47}" name="24016"/>
    <tableColumn id="2760" xr3:uid="{2A33D45C-A27A-4671-98A6-FEAF539596DB}" name="24017"/>
    <tableColumn id="2761" xr3:uid="{5FEB3A33-0DF7-424D-A744-579D8FA1CF6D}" name="24018"/>
    <tableColumn id="2762" xr3:uid="{C6C71741-5FF0-4FAD-BD58-23CD57792BF4}" name="24019"/>
    <tableColumn id="2763" xr3:uid="{F2C538EC-8305-4B00-B815-6F08CD881ACF}" name="24020"/>
    <tableColumn id="2764" xr3:uid="{D5CB8180-7310-4B35-A60C-5425F2CE4817}" name="24022"/>
    <tableColumn id="2765" xr3:uid="{FCA9CDEF-04A4-4573-B1E6-7798244CB48E}" name="24053"/>
    <tableColumn id="2766" xr3:uid="{EFC2908B-78C9-484B-8B23-1936C995FBB5}" name="24054"/>
    <tableColumn id="2767" xr3:uid="{D24FF94E-311E-44AC-9604-0B6F4F38408F}" name="24055"/>
    <tableColumn id="2768" xr3:uid="{965DFE97-19D0-4660-B61C-C2A05960CFE7}" name="24058"/>
    <tableColumn id="2769" xr3:uid="{CFF18374-B271-4010-85A1-FFDAD3942C7E}" name="24059"/>
    <tableColumn id="2770" xr3:uid="{980CDE7D-542A-43EA-9CB1-0BBE809B9EAF}" name="24060"/>
    <tableColumn id="2771" xr3:uid="{78F23F99-3AF7-4E4C-970D-306EDC7AE099}" name="24061"/>
    <tableColumn id="2772" xr3:uid="{9897C47C-E0A6-40FA-A91F-53E81466C60E}" name="24064"/>
    <tableColumn id="2773" xr3:uid="{F3DC2B8B-3003-49A3-A096-13F07C36AAEE}" name="24065"/>
    <tableColumn id="2774" xr3:uid="{6243CB33-1E27-47FE-A9F2-2917F40DF749}" name="24066"/>
    <tableColumn id="2775" xr3:uid="{48AC1D3D-699B-4E2A-B984-34AEFE974E9A}" name="24067"/>
    <tableColumn id="2776" xr3:uid="{C944A5B9-21F1-4316-B68C-BB6540FD1592}" name="24069"/>
    <tableColumn id="2777" xr3:uid="{15FFB10E-1D8A-4DAE-851F-5408FD366359}" name="24070"/>
    <tableColumn id="2778" xr3:uid="{13E0787A-5A83-4700-9B42-6CD942504291}" name="24072"/>
    <tableColumn id="2779" xr3:uid="{B6632695-5BDD-46E2-B163-6C76648B8A6F}" name="24073"/>
    <tableColumn id="2780" xr3:uid="{75FA1363-6D5C-4C98-B981-1C788D17469C}" name="24076"/>
    <tableColumn id="2781" xr3:uid="{C951A3D4-E275-41D3-BF99-250E854E040D}" name="24077"/>
    <tableColumn id="2782" xr3:uid="{767E99D9-72BB-41E4-A24F-04BA4F32D959}" name="24078"/>
    <tableColumn id="2783" xr3:uid="{6DFF6B9F-CF22-46EA-84E5-82855823F7EE}" name="24079"/>
    <tableColumn id="2784" xr3:uid="{912E2F3C-CF2F-47DA-9D3C-7DE3D33F88D1}" name="24082"/>
    <tableColumn id="2785" xr3:uid="{79B98506-85C0-4933-9E17-4A43449415A7}" name="24083"/>
    <tableColumn id="2786" xr3:uid="{6372C27D-F386-4E1F-A325-999EA26D7F42}" name="24084"/>
    <tableColumn id="2787" xr3:uid="{E75899A6-0361-4C56-A2AB-8E18F9DD1CF8}" name="24085"/>
    <tableColumn id="2788" xr3:uid="{E88D0DCA-A49D-460B-B146-C85AAC156402}" name="24086"/>
    <tableColumn id="2789" xr3:uid="{A168109D-1E8B-460D-BCA8-113A2848630C}" name="24087"/>
    <tableColumn id="2790" xr3:uid="{CBFE3A28-C97C-417A-9BEF-DEA39217DFC9}" name="24088"/>
    <tableColumn id="2791" xr3:uid="{306401CC-61F2-4D90-A3DD-0E61414EBCF4}" name="24089"/>
    <tableColumn id="2792" xr3:uid="{A887F85B-D720-4641-80C1-3E2F4FA3DE5E}" name="24090"/>
    <tableColumn id="2793" xr3:uid="{FC11792E-AD4A-4B3D-8F63-CCCAA599C9BA}" name="24091"/>
    <tableColumn id="2794" xr3:uid="{3DD2DAB3-2909-4DAD-BDE2-A2F85B77C079}" name="24092"/>
    <tableColumn id="2795" xr3:uid="{998249BC-43A3-4F1C-91D7-874E7D0804D3}" name="24093"/>
    <tableColumn id="2796" xr3:uid="{603C3235-327E-4756-8DA6-91DBA38C7F33}" name="24095"/>
    <tableColumn id="2797" xr3:uid="{96735714-E459-4F40-A253-7C1AC22D18FA}" name="24101"/>
    <tableColumn id="2798" xr3:uid="{F5E0FB21-0C90-4623-A9BC-262A7B144A0E}" name="24102"/>
    <tableColumn id="2799" xr3:uid="{59E9ACD4-DFDB-44D3-A162-864ECDED4550}" name="24104"/>
    <tableColumn id="2800" xr3:uid="{46D6980E-C14C-4F83-A4DE-4F5BD2DDEB24}" name="24105"/>
    <tableColumn id="2801" xr3:uid="{7343E429-A755-471C-85BE-3AC87CCEA525}" name="24112"/>
    <tableColumn id="2802" xr3:uid="{AF21B483-C4D4-4725-9E46-E27D94A786D6}" name="24120"/>
    <tableColumn id="2803" xr3:uid="{D35354ED-5909-40A3-8364-AEEB4900BE5C}" name="24121"/>
    <tableColumn id="2804" xr3:uid="{58A6EF2C-0F06-4F4D-819E-C583C176B1CF}" name="24122"/>
    <tableColumn id="2805" xr3:uid="{ED2D340F-3679-451F-9304-0B8E8340DCD1}" name="24124"/>
    <tableColumn id="2806" xr3:uid="{1F376CDC-605A-4BC9-95A5-042E16B2CAAD}" name="24127"/>
    <tableColumn id="2807" xr3:uid="{3031B566-88C1-41F4-B4F4-F7454987E537}" name="24128"/>
    <tableColumn id="2808" xr3:uid="{91FA2ED3-BECC-43DB-AFAE-6323FA432AF1}" name="24129"/>
    <tableColumn id="2809" xr3:uid="{04CBC115-B3B3-4192-A57D-6CB6271199ED}" name="24131"/>
    <tableColumn id="2810" xr3:uid="{37BBFF37-442C-4E65-9C75-4D5DBBDD8CF6}" name="24132"/>
    <tableColumn id="2811" xr3:uid="{5038C3EE-B4F2-4B65-B96D-93DE9D600E3B}" name="24133"/>
    <tableColumn id="2812" xr3:uid="{465C3A84-129F-41C3-B9F0-0D267369B3F9}" name="24134"/>
    <tableColumn id="2813" xr3:uid="{8B70ECCA-647B-4E71-9C4C-F2FB0CA48D50}" name="24136"/>
    <tableColumn id="2814" xr3:uid="{3DD7AC7C-FDAC-496D-A0C9-185D192A228E}" name="24137"/>
    <tableColumn id="2815" xr3:uid="{71612DC6-ED74-4644-9CA4-E30147D2731C}" name="24138"/>
    <tableColumn id="2816" xr3:uid="{F5A39C30-2DAC-44FA-AC5E-EB44CEF86045}" name="24139"/>
    <tableColumn id="2817" xr3:uid="{52ED08DB-F00D-40D8-8D0D-E92511EAD814}" name="24141"/>
    <tableColumn id="2818" xr3:uid="{503EB11E-2C6B-4921-9861-007D4215F7AE}" name="24142"/>
    <tableColumn id="2819" xr3:uid="{8F595BB5-F8AF-4ED9-BA73-4CFD47FD7250}" name="24147"/>
    <tableColumn id="2820" xr3:uid="{222C624A-9C33-4DD9-835B-1048C068974E}" name="24148"/>
    <tableColumn id="2821" xr3:uid="{6A1E9C50-5139-468F-AFF6-B4C695C0639D}" name="24149"/>
    <tableColumn id="2822" xr3:uid="{36D5782E-108E-4DD6-8436-FF21A460B574}" name="24150"/>
    <tableColumn id="2823" xr3:uid="{0921EFFE-8F9F-420B-BAFF-FF4A441E8627}" name="24151"/>
    <tableColumn id="2824" xr3:uid="{110F960A-79A3-4C11-B058-CEF5FB3C5223}" name="24153"/>
    <tableColumn id="2825" xr3:uid="{A1C6A243-589E-4B9D-B6B8-F03C159BEAD5}" name="24161"/>
    <tableColumn id="2826" xr3:uid="{36740B1E-78B7-4824-9488-9CCF849008D8}" name="24162"/>
    <tableColumn id="2827" xr3:uid="{DA8D7C64-8120-45D9-8215-212A5616D48F}" name="24165"/>
    <tableColumn id="2828" xr3:uid="{0504C30B-0FDF-4361-A6B3-751E6759A6CC}" name="24167"/>
    <tableColumn id="2829" xr3:uid="{F28356BE-DF93-46F8-903C-F0780EB5FB05}" name="24168"/>
    <tableColumn id="2830" xr3:uid="{1F97E03E-CB38-42B5-990D-FD7E6FC048A4}" name="24171"/>
    <tableColumn id="2831" xr3:uid="{6FF9D440-5FEA-436B-9060-EA22AF89C94E}" name="24174"/>
    <tableColumn id="2832" xr3:uid="{60C6432A-EDCA-4A84-B5B7-8803BEEF6239}" name="24175"/>
    <tableColumn id="2833" xr3:uid="{12B499B1-6650-4217-97F6-96DD66B5F3FA}" name="24176"/>
    <tableColumn id="2834" xr3:uid="{E05697D5-412D-4CB8-9CA8-4A210BFB1B4A}" name="24179"/>
    <tableColumn id="2835" xr3:uid="{C1B48E9B-81C1-4959-B25A-CDE2592237BA}" name="24184"/>
    <tableColumn id="2836" xr3:uid="{07D6B0DF-EBE0-43EE-94DD-5F9BFD411B97}" name="24185"/>
    <tableColumn id="2837" xr3:uid="{CE18C17D-CE6F-45FE-8014-2C11A7C73D16}" name="24201"/>
    <tableColumn id="2838" xr3:uid="{41AEB305-BB35-4A11-BB7F-DA017ED0CE0D}" name="24202"/>
    <tableColumn id="2839" xr3:uid="{16B23312-1040-44B4-A7BF-202301410218}" name="24210"/>
    <tableColumn id="2840" xr3:uid="{CAEFCD2F-8EE7-4043-B768-8C070EA24F00}" name="24211"/>
    <tableColumn id="2841" xr3:uid="{166869FF-A8E6-48A8-AC16-D646C478A17B}" name="24216"/>
    <tableColumn id="2842" xr3:uid="{A74E0BDF-D21C-47DC-A1A6-2FFEF4F768FB}" name="24217"/>
    <tableColumn id="2843" xr3:uid="{183EBCD4-96C9-4858-A5E5-CA613CBB8B41}" name="24219"/>
    <tableColumn id="2844" xr3:uid="{105BF6A3-CC56-46A8-B3A1-17B10233D8BB}" name="24220"/>
    <tableColumn id="2845" xr3:uid="{F67EEF4A-3D13-42F8-898B-E568D25827C8}" name="24221"/>
    <tableColumn id="2846" xr3:uid="{9BE3BA79-E68F-4034-AFD2-1F9F578EAD59}" name="24224"/>
    <tableColumn id="2847" xr3:uid="{89A8EC14-7AA4-4551-8472-AFA41B53E5C9}" name="24225"/>
    <tableColumn id="2848" xr3:uid="{96A1ED2C-5682-47A4-BD4C-50B0DACF8527}" name="24226"/>
    <tableColumn id="2849" xr3:uid="{C2E16414-9F58-4CC2-95C5-414BF8D2457C}" name="24228"/>
    <tableColumn id="2850" xr3:uid="{758E514C-8BE1-4CCB-9D54-93829DEAE535}" name="24230"/>
    <tableColumn id="2851" xr3:uid="{65BFF89A-53BD-48CE-86A7-C662B8B6E89A}" name="24236"/>
    <tableColumn id="2852" xr3:uid="{BC881BED-F09D-4FEC-9648-3B3B783266D6}" name="24237"/>
    <tableColumn id="2853" xr3:uid="{EC8429C6-509D-4BCC-A28C-1C9234628468}" name="24239"/>
    <tableColumn id="2854" xr3:uid="{9D4D7819-F8CA-444D-9EC4-45788A9820A7}" name="24243"/>
    <tableColumn id="2855" xr3:uid="{12DE5E58-6E8E-4C88-82EA-EBCD59CEB195}" name="24244"/>
    <tableColumn id="2856" xr3:uid="{C77E9956-92C4-4BCF-8CDB-CAB99028E863}" name="24245"/>
    <tableColumn id="2857" xr3:uid="{D9CB3AEE-A065-48D8-B146-BF864E14AF62}" name="24246"/>
    <tableColumn id="2858" xr3:uid="{D76687A9-D9D2-49FF-AB40-624E8E00C649}" name="24248"/>
    <tableColumn id="2859" xr3:uid="{0CA95727-6BA0-4618-B031-EFC1E1F9572E}" name="24250"/>
    <tableColumn id="2860" xr3:uid="{93C440B5-74D6-47F5-9211-60D2DE259378}" name="24251"/>
    <tableColumn id="2861" xr3:uid="{4CFC9712-FE25-48B8-A5C4-0D3CEEEA6170}" name="24256"/>
    <tableColumn id="2862" xr3:uid="{3E7AEC54-AA2D-45F2-AB8E-4568991D1BDA}" name="24258"/>
    <tableColumn id="2863" xr3:uid="{F6F6AF6E-0674-412B-95D8-5CAE5AA63CDF}" name="24260"/>
    <tableColumn id="2864" xr3:uid="{AB5B0A7C-3C52-4CE7-B8EE-ED7FE9195A8F}" name="24263"/>
    <tableColumn id="2865" xr3:uid="{7B14CAED-DC63-4ED6-9303-89B02459BF52}" name="24265"/>
    <tableColumn id="2866" xr3:uid="{FD427958-EF92-4D3F-B3DB-D2DEAF9BDE08}" name="24266"/>
    <tableColumn id="2867" xr3:uid="{671B51F2-E1C8-4C2E-8EAA-9386F8587B83}" name="24269"/>
    <tableColumn id="2868" xr3:uid="{A7A69316-072C-46CD-AB41-4D27D2197C17}" name="24270"/>
    <tableColumn id="2869" xr3:uid="{894D3C01-C39B-4F20-B87B-DA008ED9845E}" name="24271"/>
    <tableColumn id="2870" xr3:uid="{B6B7A12E-D175-4989-ACC0-B8D971A6DA64}" name="24272"/>
    <tableColumn id="2871" xr3:uid="{60820BC7-2076-45EC-807A-6F41B3DB2AE2}" name="24273"/>
    <tableColumn id="2872" xr3:uid="{8DEED1AB-6DDF-4EA4-A3C1-CFAA9754F18B}" name="24277"/>
    <tableColumn id="2873" xr3:uid="{6C10B42F-5D06-4182-B415-CDC1B659B0D5}" name="24279"/>
    <tableColumn id="2874" xr3:uid="{A68A362E-CD15-4134-955C-EBC567193661}" name="24280"/>
    <tableColumn id="2875" xr3:uid="{73DAD5E7-8386-435E-9633-B9A06446DB9F}" name="24281"/>
    <tableColumn id="2876" xr3:uid="{43615C5A-5D03-4895-B972-5A9B3FE53E18}" name="24282"/>
    <tableColumn id="2877" xr3:uid="{1E42E8F6-F52A-4AC2-8C26-1557C370C7AD}" name="24283"/>
    <tableColumn id="2878" xr3:uid="{E8B4EF2B-9A09-446A-A8B7-6D48657FC9A6}" name="24290"/>
    <tableColumn id="2879" xr3:uid="{812D2BBB-3BC6-45B6-A840-3DDCC771ED5C}" name="24292"/>
    <tableColumn id="2880" xr3:uid="{24DA9911-3B5C-4B6A-ACB5-1173B48EE4CE}" name="24293"/>
    <tableColumn id="2881" xr3:uid="{D7728139-F3B5-4998-8D64-5C7B3A585FDE}" name="24301"/>
    <tableColumn id="2882" xr3:uid="{9249D475-DD6A-4BC8-AE01-A3A4704946BC}" name="24311"/>
    <tableColumn id="2883" xr3:uid="{BFFCD971-EC87-40F4-8F42-CBD95416DCDC}" name="24312"/>
    <tableColumn id="2884" xr3:uid="{8EEA93EA-0548-40AF-A38E-0EB42C2630D0}" name="24313"/>
    <tableColumn id="2885" xr3:uid="{4119A94E-AD1C-433A-97E0-4FF3C7B4736C}" name="24314"/>
    <tableColumn id="2886" xr3:uid="{CB52C41A-5A81-401C-A47C-D5EAC37879E0}" name="24315"/>
    <tableColumn id="2887" xr3:uid="{02EF4C70-A72F-4966-B342-17FDAAC5E1B0}" name="24316"/>
    <tableColumn id="2888" xr3:uid="{BB48F500-938E-4009-A05D-1A0ECBBCAF24}" name="24317"/>
    <tableColumn id="2889" xr3:uid="{6314F90B-AB49-4C31-BA28-2673CF5D902B}" name="24318"/>
    <tableColumn id="2890" xr3:uid="{19C26C47-B8F3-4B3D-B794-83B6B63327B0}" name="24319"/>
    <tableColumn id="2891" xr3:uid="{57BC012E-4200-42BD-91D7-802448B44C26}" name="24322"/>
    <tableColumn id="2892" xr3:uid="{E158BEAD-BB97-421C-8D4A-18E851CE4D84}" name="24323"/>
    <tableColumn id="2893" xr3:uid="{7EDD3419-54B4-4F3C-865B-514A7319AC5E}" name="24324"/>
    <tableColumn id="2894" xr3:uid="{FE984EE4-25ED-4A79-B8B2-560D53FF4AE0}" name="24325"/>
    <tableColumn id="2895" xr3:uid="{14180A6B-183E-4648-B239-D97F95C77602}" name="24326"/>
    <tableColumn id="2896" xr3:uid="{3B32433E-66F7-4854-A357-8ACCDAA5CF4B}" name="24327"/>
    <tableColumn id="2897" xr3:uid="{BD96702E-170E-482B-B8C3-017E5FFF4099}" name="24328"/>
    <tableColumn id="2898" xr3:uid="{AF0BE549-0CE6-4233-8A27-487548ECA309}" name="24330"/>
    <tableColumn id="2899" xr3:uid="{F1FA04FB-ED98-45E1-817A-6056C8F84D8F}" name="24333"/>
    <tableColumn id="2900" xr3:uid="{1E9B2B48-1157-470F-B700-D77F388DF627}" name="24340"/>
    <tableColumn id="2901" xr3:uid="{5C59F502-C616-4374-86B3-9DAED677072B}" name="24343"/>
    <tableColumn id="2902" xr3:uid="{44835AA4-7FD7-4520-B06D-C87B3011BEDA}" name="24347"/>
    <tableColumn id="2903" xr3:uid="{A93361BE-63D6-49CE-99B0-F50140642E56}" name="24348"/>
    <tableColumn id="2904" xr3:uid="{EB18DCA8-8AA1-46FA-B572-A8B665718247}" name="24350"/>
    <tableColumn id="2905" xr3:uid="{60FF3CA8-2990-4649-8132-8DB513EB9787}" name="24351"/>
    <tableColumn id="2906" xr3:uid="{D327F868-EFED-40CA-AF52-2815F1A81702}" name="24352"/>
    <tableColumn id="2907" xr3:uid="{6EA437B7-445D-4A74-85FE-C8D78A316F68}" name="24354"/>
    <tableColumn id="2908" xr3:uid="{87879B2F-BD4F-46D4-8C19-001A459D7997}" name="24360"/>
    <tableColumn id="2909" xr3:uid="{B632CC62-3380-479C-8FAC-973E596B2526}" name="24361"/>
    <tableColumn id="2910" xr3:uid="{1A760052-477D-4126-85BB-DFF65700E9C0}" name="24363"/>
    <tableColumn id="2911" xr3:uid="{1ED57A86-F7F2-4E49-B345-C7CCD752639B}" name="24366"/>
    <tableColumn id="2912" xr3:uid="{CE688EBD-0647-4B55-AD18-350908FC8960}" name="24368"/>
    <tableColumn id="2913" xr3:uid="{29EB7346-0F75-41B1-8215-AFC789972379}" name="24370"/>
    <tableColumn id="2914" xr3:uid="{054F3F6E-12D5-4A9B-8A7E-EA735936BA57}" name="24374"/>
    <tableColumn id="2915" xr3:uid="{A6A8C913-4C3D-4707-BACF-E557E0183222}" name="24375"/>
    <tableColumn id="2916" xr3:uid="{ACAAB838-FE51-4A8A-A897-012A26D7F18B}" name="24377"/>
    <tableColumn id="2917" xr3:uid="{084DF974-F227-4B5F-AC6C-D3082E906375}" name="24378"/>
    <tableColumn id="2918" xr3:uid="{02D9AC1D-DDA6-4500-9F2F-D4E969D29C0E}" name="24380"/>
    <tableColumn id="2919" xr3:uid="{67DEBB21-D615-4BB3-A4E8-E09924237B71}" name="24381"/>
    <tableColumn id="2920" xr3:uid="{FACAE551-7A25-4F46-98CB-D5DBFA2C816B}" name="24382"/>
    <tableColumn id="2921" xr3:uid="{80E9E768-CCCE-4234-AD39-9007AC0D8236}" name="24401"/>
    <tableColumn id="2922" xr3:uid="{397CD025-1A8F-46B3-B190-619CADA43657}" name="24411"/>
    <tableColumn id="2923" xr3:uid="{5255B5C6-DE61-42FA-9148-C25D2C7F78A4}" name="24412"/>
    <tableColumn id="2924" xr3:uid="{F3FD6323-2CB2-4E8D-B15F-E54166F46435}" name="24413"/>
    <tableColumn id="2925" xr3:uid="{F5626603-08AD-42F7-8B6B-BC2A038B1F78}" name="24415"/>
    <tableColumn id="2926" xr3:uid="{1FDD593A-1156-47C3-A734-0B5BB4ED762A}" name="24416"/>
    <tableColumn id="2927" xr3:uid="{29245AF2-F954-4469-8346-A9DB0A7DEC8A}" name="24421"/>
    <tableColumn id="2928" xr3:uid="{ED9C1451-4DD1-4E09-B9F6-B2ECDDFC1548}" name="24422"/>
    <tableColumn id="2929" xr3:uid="{25A63759-8C89-4E6B-9967-BAEB4AC56CCA}" name="24426"/>
    <tableColumn id="2930" xr3:uid="{04206DE6-3021-423B-8E93-A5CDF615DE65}" name="24430"/>
    <tableColumn id="2931" xr3:uid="{5FCFCDD4-93E7-4B3B-8B42-D7C35B1A727B}" name="24431"/>
    <tableColumn id="2932" xr3:uid="{79615B80-4F8E-4821-8FAB-ACA907EA5050}" name="24432"/>
    <tableColumn id="2933" xr3:uid="{93D50F8F-8EE3-41A2-9BB4-15835956BC50}" name="24433"/>
    <tableColumn id="2934" xr3:uid="{446FB4EF-ED10-4314-B108-2B31BDE71973}" name="24435"/>
    <tableColumn id="2935" xr3:uid="{6534DA62-D9DD-4C2E-9529-32C2BA3FC5DC}" name="24437"/>
    <tableColumn id="2936" xr3:uid="{ADE11186-1AE0-449B-A7DE-0E15F44C2BB9}" name="24439"/>
    <tableColumn id="2937" xr3:uid="{35857924-56DD-4D96-9C8B-E08C48FE9666}" name="24440"/>
    <tableColumn id="2938" xr3:uid="{65EBDB10-A499-4852-9F3E-CA2C2B5F91B2}" name="24441"/>
    <tableColumn id="2939" xr3:uid="{263ED171-1AE9-4824-BC0C-737934478B33}" name="24442"/>
    <tableColumn id="2940" xr3:uid="{4C5F015F-AE42-4E8A-8C3D-0161A82F4D5A}" name="24445"/>
    <tableColumn id="2941" xr3:uid="{115175B2-E032-4EB4-BD27-A895FD367109}" name="24448"/>
    <tableColumn id="2942" xr3:uid="{742D44D7-B325-4606-8CBC-52C0DAF3669C}" name="24450"/>
    <tableColumn id="2943" xr3:uid="{15CF4EE9-F861-4445-A984-8F41DDE128D3}" name="24457"/>
    <tableColumn id="2944" xr3:uid="{2B5FC5FF-3690-474E-9833-83630E47B926}" name="24458"/>
    <tableColumn id="2945" xr3:uid="{A81076E3-1A8B-40C9-B346-2AFD2B56DAC6}" name="24459"/>
    <tableColumn id="2946" xr3:uid="{2667A839-29AE-4662-841F-86F9E5249F3A}" name="24460"/>
    <tableColumn id="2947" xr3:uid="{84657F3F-3C8A-46ED-A8C4-3584738648E0}" name="24464"/>
    <tableColumn id="2948" xr3:uid="{C88AA1AE-9D8A-4A14-8641-413BA0E0F50E}" name="24465"/>
    <tableColumn id="2949" xr3:uid="{49A2F50B-61D1-4C16-9A93-17D95D1CF197}" name="24467"/>
    <tableColumn id="2950" xr3:uid="{342C93EB-B1A4-4A03-B2DD-2611E7628A6E}" name="24469"/>
    <tableColumn id="2951" xr3:uid="{521D33FC-24E5-4F96-AB59-86EA9B558D61}" name="24471"/>
    <tableColumn id="2952" xr3:uid="{55C01202-6EEE-44EB-A13E-1C7F830FC55E}" name="24472"/>
    <tableColumn id="2953" xr3:uid="{08584C3A-DBE3-44E3-A287-ED8E3AD864A2}" name="24473"/>
    <tableColumn id="2954" xr3:uid="{98D853D8-CB3D-49D1-B3E6-528999A78708}" name="24474"/>
    <tableColumn id="2955" xr3:uid="{0B982DC4-D239-4974-93AD-858BE433D165}" name="24476"/>
    <tableColumn id="2956" xr3:uid="{FCEEDFC6-F130-43AE-8A8D-7FA66EAC63DB}" name="24477"/>
    <tableColumn id="2957" xr3:uid="{9287868A-624E-4FA3-9ECA-20BAAB3080E0}" name="24479"/>
    <tableColumn id="2958" xr3:uid="{70236EE5-32F1-42FC-91DC-24B51DD1FE50}" name="24482"/>
    <tableColumn id="2959" xr3:uid="{D124D47F-81DA-4E24-870D-71C41435AEBD}" name="24483"/>
    <tableColumn id="2960" xr3:uid="{6AF74EE2-FC58-48FD-937F-3FB95733257A}" name="24484"/>
    <tableColumn id="2961" xr3:uid="{D56110ED-E110-4390-A431-6DD2475E1AB5}" name="24485"/>
    <tableColumn id="2962" xr3:uid="{EDC7C38F-FF9D-4E50-9F37-F0BF6637FD52}" name="24486"/>
    <tableColumn id="2963" xr3:uid="{98E74E2B-96BB-4A54-A8BA-05F5874AA8DB}" name="24487"/>
    <tableColumn id="2964" xr3:uid="{D12407D0-C452-482A-8DDF-E0A4FF02B7E5}" name="24501"/>
    <tableColumn id="2965" xr3:uid="{CF53D9B1-00D0-4061-9DF8-945685C43282}" name="24502"/>
    <tableColumn id="2966" xr3:uid="{F3F765E6-1CDC-44A3-9058-A1DA4A2A8210}" name="24503"/>
    <tableColumn id="2967" xr3:uid="{EEFE1067-5928-47FD-8C32-7A2096F69500}" name="24504"/>
    <tableColumn id="2968" xr3:uid="{58451061-BF6C-41F2-B6BE-2FDA3EFC8F46}" name="24515"/>
    <tableColumn id="2969" xr3:uid="{4ECC683F-73AE-46C5-8C52-C692CC2D9A34}" name="24517"/>
    <tableColumn id="2970" xr3:uid="{03302329-3962-4A2A-9F68-CA3EE85EF52B}" name="24520"/>
    <tableColumn id="2971" xr3:uid="{CF484DD8-5A54-4B5C-A75B-99DDB664049E}" name="24521"/>
    <tableColumn id="2972" xr3:uid="{41B41822-8161-4F52-A54E-98E7FB407639}" name="24522"/>
    <tableColumn id="2973" xr3:uid="{EAA54770-5281-446A-91AC-3D36F4F88F96}" name="24523"/>
    <tableColumn id="2974" xr3:uid="{D0557365-EB42-4386-AC57-5D39B850AC1C}" name="24526"/>
    <tableColumn id="2975" xr3:uid="{1054B3F5-8337-400A-A02F-E6DE058C7070}" name="24527"/>
    <tableColumn id="2976" xr3:uid="{2B870449-09E6-4792-9EE8-EE542143D8AA}" name="24528"/>
    <tableColumn id="2977" xr3:uid="{6841CEE3-7669-4AB2-88F4-CAABACDCD55B}" name="24529"/>
    <tableColumn id="2978" xr3:uid="{C6CB2702-15FF-49F0-A163-398D429EFB93}" name="24530"/>
    <tableColumn id="2979" xr3:uid="{A25A6E58-5B51-4EB4-9CBE-4B4E18BC505C}" name="24531"/>
    <tableColumn id="2980" xr3:uid="{46BAB0B0-0826-4C7A-B680-180230A8B952}" name="24534"/>
    <tableColumn id="2981" xr3:uid="{2C977BD3-95DB-42E8-8C3E-FF30CDE3ED3B}" name="24536"/>
    <tableColumn id="2982" xr3:uid="{2659943E-ABF9-4FBA-9A56-237DEE68BCE6}" name="24538"/>
    <tableColumn id="2983" xr3:uid="{B09F0843-ECE3-4450-9167-39707CC6A1E5}" name="24539"/>
    <tableColumn id="2984" xr3:uid="{128C78B2-7DB8-4580-A09D-EA18779D65F3}" name="24540"/>
    <tableColumn id="2985" xr3:uid="{4A4B667A-861E-4D4F-AB05-96231CEC087C}" name="24541"/>
    <tableColumn id="2986" xr3:uid="{B0A8AC13-1B2D-4875-AC96-9B9B228C65F2}" name="24549"/>
    <tableColumn id="2987" xr3:uid="{C085007C-FCFF-4D7B-8D6B-C23F642F3DA3}" name="24550"/>
    <tableColumn id="2988" xr3:uid="{53865585-E1DE-4DC0-B20C-B5F8F8CC5C19}" name="24551"/>
    <tableColumn id="2989" xr3:uid="{E288275A-F6D5-4BE5-9AD4-A3BDF8FE85AE}" name="24553"/>
    <tableColumn id="2990" xr3:uid="{F4678851-1600-471B-B03B-90C6A2CD00BE}" name="24554"/>
    <tableColumn id="2991" xr3:uid="{A0AA1641-00F3-48A5-B765-A9F2D58B78C9}" name="24555"/>
    <tableColumn id="2992" xr3:uid="{817C3E4C-4896-4BA4-AA83-BB5E4C476C84}" name="24556"/>
    <tableColumn id="2993" xr3:uid="{58874C81-1352-4236-A8EB-8C9FB82F73ED}" name="24557"/>
    <tableColumn id="2994" xr3:uid="{ED808CF8-DBC8-47E0-B004-26C08EE72A50}" name="24558"/>
    <tableColumn id="2995" xr3:uid="{BA953D70-973F-476D-BABA-FA5A6B1C76C1}" name="24562"/>
    <tableColumn id="2996" xr3:uid="{919607CF-859C-489B-9DDC-8875773C3396}" name="24563"/>
    <tableColumn id="2997" xr3:uid="{A6017F04-8229-4F56-8E7B-297254781DE7}" name="24565"/>
    <tableColumn id="2998" xr3:uid="{1534CCDD-66A7-4C3B-AA01-6B03733EB537}" name="24566"/>
    <tableColumn id="2999" xr3:uid="{307177DB-7F25-43B1-8C32-C8D5837F6D71}" name="24569"/>
    <tableColumn id="3000" xr3:uid="{511A9FCB-BB84-4202-BA18-448B5C4A4C07}" name="24570"/>
    <tableColumn id="3001" xr3:uid="{9D4E368E-94D3-4113-B9F0-4E2E0072A050}" name="24571"/>
    <tableColumn id="3002" xr3:uid="{0DFF87E6-E570-43B1-A2FA-230534732A08}" name="24572"/>
    <tableColumn id="3003" xr3:uid="{1E99A0FC-34B4-4AB8-A4F9-B4988C93F591}" name="24574"/>
    <tableColumn id="3004" xr3:uid="{152178B9-61B9-4592-BB98-C03E2519F79E}" name="24577"/>
    <tableColumn id="3005" xr3:uid="{0338D9FA-6B38-4B4A-9C93-F3AE062F7B75}" name="24578"/>
    <tableColumn id="3006" xr3:uid="{7F679207-EC90-4486-8A7F-FC6BC61343EE}" name="24579"/>
    <tableColumn id="3007" xr3:uid="{CF701748-6BE2-4F0D-AD2A-0BAD424F15B3}" name="24580"/>
    <tableColumn id="3008" xr3:uid="{06FC7C2B-5887-47F0-A09B-F7EFD5B578C1}" name="24581"/>
    <tableColumn id="3009" xr3:uid="{D9989953-37AE-4923-8D82-11E742A9D50D}" name="24586"/>
    <tableColumn id="3010" xr3:uid="{D8922F90-2C65-457C-8A0C-77C7F10328F0}" name="24588"/>
    <tableColumn id="3011" xr3:uid="{2FAF4F8C-5BD8-4273-9019-6FC59AAFCA85}" name="24589"/>
    <tableColumn id="3012" xr3:uid="{2B5CE4B6-F9C0-41EA-861A-D371C5F2DB44}" name="24590"/>
    <tableColumn id="3013" xr3:uid="{25FD340A-463E-4C9B-9192-E35A232E42C3}" name="24592"/>
    <tableColumn id="3014" xr3:uid="{482BB53C-CCFD-4E5F-AE3B-48408EA64D16}" name="24593"/>
    <tableColumn id="3015" xr3:uid="{93DE6AFF-AFCC-4526-B7D4-ACBF78C02A69}" name="24594"/>
    <tableColumn id="3016" xr3:uid="{AC8C489E-1D20-4CE4-91D1-081BF3C708DC}" name="24595"/>
    <tableColumn id="3017" xr3:uid="{DA4644F8-694E-46BD-AA0E-8F168E74B29D}" name="24597"/>
    <tableColumn id="3018" xr3:uid="{87378063-1F1C-4430-8C5B-015F6CA694DB}" name="24598"/>
    <tableColumn id="3019" xr3:uid="{4CB1A35B-F6E6-400F-9850-582824E296DE}" name="24599"/>
    <tableColumn id="3020" xr3:uid="{60FB823B-C762-48FF-A709-0022D5E24B7E}" name="24601"/>
    <tableColumn id="3021" xr3:uid="{9BD9E0EE-8A4F-4F68-B13E-D54A3A099B3A}" name="24602"/>
    <tableColumn id="3022" xr3:uid="{C6DCFA65-07EE-436C-856B-33D24D675DD1}" name="24603"/>
    <tableColumn id="3023" xr3:uid="{446344EC-54C7-4FD5-887F-C15995AB4A2C}" name="24604"/>
    <tableColumn id="3024" xr3:uid="{8D8BBC5A-4416-4244-886F-34F391FABB23}" name="24605"/>
    <tableColumn id="3025" xr3:uid="{D87499E7-FF8C-438B-B68E-9D37FC4B629F}" name="24606"/>
    <tableColumn id="3026" xr3:uid="{6170AD0F-4741-4BAE-89BE-F4EFA5266A3E}" name="24607"/>
    <tableColumn id="3027" xr3:uid="{C682665D-FCC3-4D07-AA0D-7314FAE5B244}" name="24609"/>
    <tableColumn id="3028" xr3:uid="{9040E8D1-0644-4835-88B6-5198C2A8ABAA}" name="24612"/>
    <tableColumn id="3029" xr3:uid="{EAFB1C61-FDE4-44F8-A7D7-E4028566FF39}" name="24613"/>
    <tableColumn id="3030" xr3:uid="{FBC11E02-F05A-49D1-9067-0C2901C555E1}" name="24614"/>
    <tableColumn id="3031" xr3:uid="{BB761455-90E9-4BFB-841C-959CE6DCE7B2}" name="24620"/>
    <tableColumn id="3032" xr3:uid="{C43DC50F-7CEC-4DA7-939E-26ACD0D18344}" name="24622"/>
    <tableColumn id="3033" xr3:uid="{27389F68-AFFB-4121-A0F4-67AF2195D2C3}" name="24630"/>
    <tableColumn id="3034" xr3:uid="{43C56AD6-1182-4868-B891-10C0322992E3}" name="24631"/>
    <tableColumn id="3035" xr3:uid="{0C94CC3D-B716-4BC8-9136-8F723FF1E038}" name="24634"/>
    <tableColumn id="3036" xr3:uid="{05A0C185-659D-4636-9DC1-C5416A43FFF3}" name="24635"/>
    <tableColumn id="3037" xr3:uid="{39960499-BBC0-4C34-900A-66B9696160EA}" name="24637"/>
    <tableColumn id="3038" xr3:uid="{A4AA46FD-C0DA-446D-99C5-FE3C747FEE36}" name="24639"/>
    <tableColumn id="3039" xr3:uid="{4B0A758E-BE38-4F56-947B-FA3B2593200C}" name="24641"/>
    <tableColumn id="3040" xr3:uid="{EC884DB9-2542-4F9B-814F-4AB192808834}" name="24646"/>
    <tableColumn id="3041" xr3:uid="{1301EC2E-B247-4543-A531-1782A3FD9802}" name="24649"/>
    <tableColumn id="3042" xr3:uid="{A8B38A48-FE4A-4F10-A7D3-20774952AEA8}" name="24651"/>
    <tableColumn id="3043" xr3:uid="{14C4D8AB-3527-4925-BA2F-72FB97CAD727}" name="24656"/>
    <tableColumn id="3044" xr3:uid="{BF880AF1-9A1B-4505-8BED-B573679E9087}" name="24657"/>
    <tableColumn id="3045" xr3:uid="{66D3542D-DE95-4C31-B63D-4F04EC8468C5}" name="37642"/>
    <tableColumn id="3046" xr3:uid="{AA1323AB-B0D9-411D-AEB8-81954E407550}" name="37752"/>
    <tableColumn id="3047" xr3:uid="{8F35B783-F6C0-47C9-8D2A-7891DDB68097}" name="24701"/>
    <tableColumn id="3048" xr3:uid="{9F68AD87-FD73-46A3-90B4-EA3C528DE2FE}" name="24712"/>
    <tableColumn id="3049" xr3:uid="{6568B0A3-F2B5-4C7A-B61D-655CEB74B3B5}" name="24714"/>
    <tableColumn id="3050" xr3:uid="{369C018F-EFAA-4E88-A562-C1ED8D8750DD}" name="24715"/>
    <tableColumn id="3051" xr3:uid="{985F184E-256F-4D37-AFC8-B73DC4B69B21}" name="24716"/>
    <tableColumn id="3052" xr3:uid="{9E816590-F683-48B4-948F-989ECCA6EFBF}" name="24719"/>
    <tableColumn id="3053" xr3:uid="{06887C09-0F57-49F5-9472-C1F9E10F1C31}" name="24724"/>
    <tableColumn id="3054" xr3:uid="{C0FED0E5-D4DE-4403-BBAC-AB387631C9D3}" name="24726"/>
    <tableColumn id="3055" xr3:uid="{7ADADE4F-B10F-4585-AD1A-004535950A4B}" name="24729"/>
    <tableColumn id="3056" xr3:uid="{70A0D766-4FAF-4C62-80B8-23AE4AF8C677}" name="24731"/>
    <tableColumn id="3057" xr3:uid="{A17E54AF-8910-406A-A773-743F774B7B4D}" name="24733"/>
    <tableColumn id="3058" xr3:uid="{9DA8DC22-CA2F-43CC-B533-94B03370E837}" name="24736"/>
    <tableColumn id="3059" xr3:uid="{23E06146-85CC-4CED-8731-697B11681CC7}" name="24737"/>
    <tableColumn id="3060" xr3:uid="{2C2C5CB2-BB01-47BA-A4A8-684082E867E2}" name="24738"/>
    <tableColumn id="3061" xr3:uid="{4D95C218-9FF9-452C-8A8B-276D02FD0C20}" name="24739"/>
    <tableColumn id="3062" xr3:uid="{16690B86-A496-45E0-AF04-C1328FF1838B}" name="24740"/>
    <tableColumn id="3063" xr3:uid="{D2307E91-3AE5-4EE1-8A66-3B5C9E7250F3}" name="24747"/>
    <tableColumn id="3064" xr3:uid="{9CFF6FE2-4779-4E33-83F4-7831FA221D89}" name="24801"/>
    <tableColumn id="3065" xr3:uid="{522FC32A-CE63-4D0D-A440-8D93DF3429BF}" name="24808"/>
    <tableColumn id="3066" xr3:uid="{9E33D548-62A5-4564-A247-FA351EABD5DC}" name="24811"/>
    <tableColumn id="3067" xr3:uid="{7ED7FE21-89D1-4330-9E12-BAB8866CAB6B}" name="24813"/>
    <tableColumn id="3068" xr3:uid="{955AA9AC-B36E-4B8A-8F1E-4C2F15045E6A}" name="24815"/>
    <tableColumn id="3069" xr3:uid="{BD4F8A60-C286-4E8E-9EE7-483DDD379722}" name="24816"/>
    <tableColumn id="3070" xr3:uid="{0C960E28-C731-4ADC-9E95-178E2E34CC04}" name="24817"/>
    <tableColumn id="3071" xr3:uid="{6CBE311F-73E3-409C-A6F1-4805343F1F4D}" name="24818"/>
    <tableColumn id="3072" xr3:uid="{FD4AC374-C33F-4E07-A0C6-7F432CB2ECA1}" name="24822"/>
    <tableColumn id="3073" xr3:uid="{8AEDD595-4450-4ED0-8FDE-269ED8D257FB}" name="24823"/>
    <tableColumn id="3074" xr3:uid="{E99A7725-FB76-4C0E-A1AD-FB4FE235940E}" name="24826"/>
    <tableColumn id="3075" xr3:uid="{814762E6-7E76-40F7-809F-CAA75E3782C8}" name="24827"/>
    <tableColumn id="3076" xr3:uid="{521E1CD4-8882-45C6-8AEA-A8C595D8482E}" name="24828"/>
    <tableColumn id="3077" xr3:uid="{926D4B15-5214-41DC-BEA9-2EF4BECA8875}" name="24830"/>
    <tableColumn id="3078" xr3:uid="{0945E3BF-692F-423A-8255-F651843AB422}" name="24831"/>
    <tableColumn id="3079" xr3:uid="{E942652C-C54B-4219-8810-4212D3A4F85E}" name="24834"/>
    <tableColumn id="3080" xr3:uid="{0C0E4008-8682-4A93-8765-0A55223E3957}" name="24836"/>
    <tableColumn id="3081" xr3:uid="{91114F7E-10D2-4373-92ED-726E60CB991D}" name="24839"/>
    <tableColumn id="3082" xr3:uid="{BEAF0B35-D5F0-44BF-AA1F-E9ED60024867}" name="24843"/>
    <tableColumn id="3083" xr3:uid="{D0B044D4-74C6-4872-A97F-9E6FA8C523AF}" name="24844"/>
    <tableColumn id="3084" xr3:uid="{690051F5-ADDA-4347-961D-5009CDF61F94}" name="24845"/>
    <tableColumn id="3085" xr3:uid="{5EA84975-A9AC-4E85-A476-02C0D249C9BE}" name="24846"/>
    <tableColumn id="3086" xr3:uid="{59FE3F76-E1EB-446B-9FC0-7DB7CAD599A3}" name="24847"/>
    <tableColumn id="3087" xr3:uid="{4A280F00-A92A-4CAE-966A-DE68A727D258}" name="24848"/>
    <tableColumn id="3088" xr3:uid="{87C9243D-0622-4396-A389-610F30F4A3F6}" name="24849"/>
    <tableColumn id="3089" xr3:uid="{406D1107-B32A-40D7-82ED-C2E450B7AD76}" name="24850"/>
    <tableColumn id="3090" xr3:uid="{FE63FE01-461D-4BB5-8442-A7B214B5FA58}" name="24851"/>
    <tableColumn id="3091" xr3:uid="{59C5BDED-C4B2-4362-B795-421159A3B33E}" name="24853"/>
    <tableColumn id="3092" xr3:uid="{87FA54EA-766F-4918-ADE0-699D1070B9FB}" name="24854"/>
    <tableColumn id="3093" xr3:uid="{B98C85A6-21EB-4FEA-9FBB-9EDD15F605E5}" name="24855"/>
    <tableColumn id="3094" xr3:uid="{C96CDF47-C3C6-4E9F-B35F-BAA47DE41C9C}" name="24857"/>
    <tableColumn id="3095" xr3:uid="{3B100514-BE82-4D1A-8DB2-0054069210AA}" name="24860"/>
    <tableColumn id="3096" xr3:uid="{C6148411-836C-4108-8873-EBA82C8CD4E0}" name="24861"/>
    <tableColumn id="3097" xr3:uid="{668EFE5F-2B50-4870-BE99-A102A16B0BDD}" name="24862"/>
    <tableColumn id="3098" xr3:uid="{062C04E2-F631-41B7-A2A5-CDDE6D888850}" name="24866"/>
    <tableColumn id="3099" xr3:uid="{B9A164CD-BFE1-42C7-9DCE-80C6143D369D}" name="24867"/>
    <tableColumn id="3100" xr3:uid="{71C40A68-08F3-460C-9447-E8CCC6180D13}" name="24868"/>
    <tableColumn id="3101" xr3:uid="{EDB7C463-2701-4625-901E-F11C5A3D5B33}" name="24869"/>
    <tableColumn id="3102" xr3:uid="{F958DD15-7EA1-4D2B-9F00-DE1D26CCD9EE}" name="24870"/>
    <tableColumn id="3103" xr3:uid="{D16AE798-810B-4CF0-9814-B69175BE06DC}" name="24871"/>
    <tableColumn id="3104" xr3:uid="{14D535CC-BF77-49A7-9F7D-728DC96E542F}" name="24872"/>
    <tableColumn id="3105" xr3:uid="{FC607D56-0B29-4359-990B-53ACED7F4E24}" name="24873"/>
    <tableColumn id="3106" xr3:uid="{560DE0C4-16C9-4A56-A479-AEF183A554CB}" name="24874"/>
    <tableColumn id="3107" xr3:uid="{AABB7A23-3FC8-4600-89BC-4279A5B8D921}" name="24878"/>
    <tableColumn id="3108" xr3:uid="{FE222FDD-12CE-4135-A2D7-1D1C6A4F83DA}" name="24879"/>
    <tableColumn id="3109" xr3:uid="{6FD0E085-61A5-423F-AD58-E2AA3D53F32C}" name="24880"/>
    <tableColumn id="3110" xr3:uid="{DA91DAA2-3B33-4195-8075-BD38D20BFFB2}" name="24881"/>
    <tableColumn id="3111" xr3:uid="{48EED202-398D-4088-A0B7-1589DE8DC2BD}" name="24882"/>
    <tableColumn id="3112" xr3:uid="{F369FBD6-7A41-4662-AFCD-457B8629835D}" name="24884"/>
    <tableColumn id="3113" xr3:uid="{9D5C3AB6-09A4-404A-816C-5700C57ABA4D}" name="24887"/>
    <tableColumn id="3114" xr3:uid="{D68CF129-5BD1-4F76-A748-754517731FFC}" name="24888"/>
    <tableColumn id="3115" xr3:uid="{3AECE676-301F-4040-B6E8-A7799396CCFC}" name="24892"/>
    <tableColumn id="3116" xr3:uid="{8E645D59-AB77-4D47-98B4-724E4EB60472}" name="24894"/>
    <tableColumn id="3117" xr3:uid="{AA63F3CE-6DF3-4A93-8DF2-037CC2FC4F3D}" name="24895"/>
    <tableColumn id="3118" xr3:uid="{1821A9A4-6C28-4505-8429-980DDCF036AE}" name="24898"/>
    <tableColumn id="3119" xr3:uid="{F2368CE7-8E48-42B4-9C8B-B486E7CE25FA}" name="24901"/>
    <tableColumn id="3120" xr3:uid="{F52BE0BA-B03D-48AA-A5DB-3DAF14D3BE2F}" name="24910"/>
    <tableColumn id="3121" xr3:uid="{8BF7D9AF-C39A-4419-849D-D177D4FA2196}" name="24915"/>
    <tableColumn id="3122" xr3:uid="{DA4F2403-20BD-4CAF-8506-9FE5ABE31E61}" name="24916"/>
    <tableColumn id="3123" xr3:uid="{E65368A6-620A-4FE7-BE9B-DD742E2CED77}" name="24918"/>
    <tableColumn id="3124" xr3:uid="{6D27615C-63D4-4282-9B31-B2E02CA8CAAB}" name="24920"/>
    <tableColumn id="3125" xr3:uid="{160C370E-059A-476E-BCFE-82106DE42AC2}" name="24924"/>
    <tableColumn id="3126" xr3:uid="{711D0D27-AA55-42C7-BA5F-4F03EC9FF86B}" name="24925"/>
    <tableColumn id="3127" xr3:uid="{E5D5DA02-444D-49FC-AD23-6CBF3A015F6E}" name="24927"/>
    <tableColumn id="3128" xr3:uid="{DEA178DC-B75B-4DA0-9591-8FDAA0DB0397}" name="24931"/>
    <tableColumn id="3129" xr3:uid="{12714E4B-0658-472C-AF07-9E5ACFB53163}" name="24934"/>
    <tableColumn id="3130" xr3:uid="{4E38BD2E-D29C-4D86-93FB-30120D18656B}" name="24935"/>
    <tableColumn id="3131" xr3:uid="{19F2FD6F-E04A-4E67-897F-F4D1E4B670CE}" name="24938"/>
    <tableColumn id="3132" xr3:uid="{D8424FE1-9136-413C-8E46-AC0B9CA39FB2}" name="24941"/>
    <tableColumn id="3133" xr3:uid="{E65DA781-5F47-498F-8357-7BE711FD7EBC}" name="24943"/>
    <tableColumn id="3134" xr3:uid="{F723F046-ACDA-45AA-ABAD-C6C05EDF59E3}" name="24944"/>
    <tableColumn id="3135" xr3:uid="{FD581999-D059-4AC5-AE22-A1AB4BC98AC9}" name="24945"/>
    <tableColumn id="3136" xr3:uid="{C97A7013-3806-4910-9928-1112269F3786}" name="24946"/>
    <tableColumn id="3137" xr3:uid="{B398EF65-68B7-4878-9F19-72E19E8F7722}" name="24951"/>
    <tableColumn id="3138" xr3:uid="{356C5B8F-F6FD-4A87-B703-AAE4BEFD8031}" name="24954"/>
    <tableColumn id="3139" xr3:uid="{BCC3B4B5-76AC-437A-802A-79D89E6A34BB}" name="24957"/>
    <tableColumn id="3140" xr3:uid="{17A40068-065D-4053-B3DA-3313567059CB}" name="24962"/>
    <tableColumn id="3141" xr3:uid="{84D4E60B-3113-4067-A514-18B0F2F6C7D8}" name="24963"/>
    <tableColumn id="3142" xr3:uid="{F259359A-4D38-456D-886F-BA42407773D0}" name="24966"/>
    <tableColumn id="3143" xr3:uid="{A459E6E6-9143-42DA-A69D-E574B45AD9DB}" name="24970"/>
    <tableColumn id="3144" xr3:uid="{BA48742C-FB35-441C-84B8-37DDF9829CA8}" name="24974"/>
    <tableColumn id="3145" xr3:uid="{7147E693-BE37-4838-BD6B-7D4942B62777}" name="24976"/>
    <tableColumn id="3146" xr3:uid="{7B51D867-5A6C-42E5-A528-5DD6ED938770}" name="24977"/>
    <tableColumn id="3147" xr3:uid="{97C35768-B809-4A49-A5BC-B0878D48736F}" name="24981"/>
    <tableColumn id="3148" xr3:uid="{95ADB8A9-6B07-4BFD-843C-4B03F9358810}" name="24983"/>
    <tableColumn id="3149" xr3:uid="{6EACF4BA-51BA-415B-93B3-DC07B6E3F2AC}" name="24984"/>
    <tableColumn id="3150" xr3:uid="{166BE9A2-19CA-4E4F-9D05-F3421F5E502A}" name="24985"/>
    <tableColumn id="3151" xr3:uid="{C66C51F1-2D6D-45B7-B531-6CA30397C2BA}" name="24986"/>
    <tableColumn id="3152" xr3:uid="{9361ED22-6B66-47F8-ACEE-A2F90DC85AAC}" name="24991"/>
    <tableColumn id="3153" xr3:uid="{9409699E-0630-4DDB-852F-62D64552EE36}" name="24993"/>
    <tableColumn id="3154" xr3:uid="{02A2A4E8-5271-44AD-9505-8C9138B515BF}" name="25002"/>
    <tableColumn id="3155" xr3:uid="{8BFD2A75-60E8-4ECC-A503-F76CE4F39FB1}" name="25003"/>
    <tableColumn id="3156" xr3:uid="{083E0938-4631-47EA-9D7C-508E4A0C5412}" name="25005"/>
    <tableColumn id="3157" xr3:uid="{038EC253-3488-4B06-B5CF-B415BF8C8D90}" name="25007"/>
    <tableColumn id="3158" xr3:uid="{36163AF0-FEA9-4A41-9071-E28420EA2F33}" name="25008"/>
    <tableColumn id="3159" xr3:uid="{10894398-4881-4A1A-A02D-F959814E1C10}" name="25009"/>
    <tableColumn id="3160" xr3:uid="{C76C3898-94AF-4C88-B6AA-035CAE875934}" name="25011"/>
    <tableColumn id="3161" xr3:uid="{2DC9995A-D458-426C-B9CE-B5DAC6A09856}" name="25015"/>
    <tableColumn id="3162" xr3:uid="{A88567DA-0678-4392-8F46-3D17DB2B21F5}" name="25019"/>
    <tableColumn id="3163" xr3:uid="{A66949EA-35B1-4303-A839-D3135B9A18F4}" name="25021"/>
    <tableColumn id="3164" xr3:uid="{304D697D-F082-474E-ABB8-6E6A40C08C94}" name="25022"/>
    <tableColumn id="3165" xr3:uid="{F3BBCCEF-BE00-4902-921E-40490092E96A}" name="25024"/>
    <tableColumn id="3166" xr3:uid="{2CE71BC4-9BA4-4869-8A33-EAA30F2C9956}" name="25025"/>
    <tableColumn id="3167" xr3:uid="{BEE6C92F-9B32-4B05-96A7-BD8085DD6E6D}" name="25028"/>
    <tableColumn id="3168" xr3:uid="{7843DB6B-32BC-491D-9B6C-A3D275B2619D}" name="25030"/>
    <tableColumn id="3169" xr3:uid="{CAA41AD0-0C78-408A-A59D-F7E298A4BEB8}" name="25031"/>
    <tableColumn id="3170" xr3:uid="{731E836C-2ADE-45BA-BF07-289A3507AAC9}" name="25033"/>
    <tableColumn id="3171" xr3:uid="{DE621E15-1E96-46F2-98A5-AE7680753208}" name="25035"/>
    <tableColumn id="3172" xr3:uid="{9437ACF2-4F8F-4E8A-8F5C-4E1970A4673A}" name="25036"/>
    <tableColumn id="3173" xr3:uid="{2A0EEAE4-66F7-4018-AAE5-C658A8DA37A3}" name="25039"/>
    <tableColumn id="3174" xr3:uid="{E7957AAC-EB6C-4709-A4B7-F300F31F73A9}" name="25040"/>
    <tableColumn id="3175" xr3:uid="{205EE3D8-0881-419C-AFF4-F8AA2B7FF098}" name="25043"/>
    <tableColumn id="3176" xr3:uid="{0D325530-495B-4E42-B78C-AC34186ACDB7}" name="25044"/>
    <tableColumn id="3177" xr3:uid="{5FF5C07F-A06D-48E9-86E5-E2D2EB63BBB1}" name="25045"/>
    <tableColumn id="3178" xr3:uid="{626D5E8C-D3FF-4231-9299-66B06031F471}" name="25047"/>
    <tableColumn id="3179" xr3:uid="{883945CB-F709-48B8-BFCE-DE25ED4E048C}" name="25048"/>
    <tableColumn id="3180" xr3:uid="{EB89C3F8-A52D-4FA2-B166-7B9BBEB79D04}" name="25049"/>
    <tableColumn id="3181" xr3:uid="{C557F15E-22A3-422C-9BB6-90C25201DB68}" name="25051"/>
    <tableColumn id="3182" xr3:uid="{CCE4DBFF-8EB1-4EF3-BAE8-F4C11E8C204D}" name="25053"/>
    <tableColumn id="3183" xr3:uid="{E3E376FD-CCA2-4449-B7D8-93395035FA40}" name="25054"/>
    <tableColumn id="3184" xr3:uid="{0B075912-958A-4E4E-89DF-D83DE8CD2043}" name="25057"/>
    <tableColumn id="3185" xr3:uid="{06182E23-6E42-4C68-9E41-89960001DF5C}" name="25059"/>
    <tableColumn id="3186" xr3:uid="{8377758B-CADE-4AB9-9B5B-9FEBAD8FF3D8}" name="25060"/>
    <tableColumn id="3187" xr3:uid="{92CEC5C3-6177-45DC-B46F-C5847C3D84BD}" name="25061"/>
    <tableColumn id="3188" xr3:uid="{2CC3B79E-EC93-4BA9-8044-820CF59195DA}" name="25062"/>
    <tableColumn id="3189" xr3:uid="{DFD28DF4-F4A1-4965-A8A5-24FAD4548FB5}" name="25063"/>
    <tableColumn id="3190" xr3:uid="{0411C6E9-E77E-4558-AAAF-AF5CB6CD32EE}" name="25064"/>
    <tableColumn id="3191" xr3:uid="{698DEC14-DDD3-42A7-8655-566A9D64206F}" name="25067"/>
    <tableColumn id="3192" xr3:uid="{8D7DB127-7F5B-4453-B002-FDFE926AA6B0}" name="25070"/>
    <tableColumn id="3193" xr3:uid="{D80D0A56-A2F5-4328-8247-42A5C3069A46}" name="25071"/>
    <tableColumn id="3194" xr3:uid="{B8E4F642-93BD-4580-A2F9-795CF52FDCC4}" name="25075"/>
    <tableColumn id="3195" xr3:uid="{4D34BD8D-7485-48B9-9F88-B81EBD48554F}" name="25076"/>
    <tableColumn id="3196" xr3:uid="{FAD5696D-4710-47AE-B802-C28F060966A3}" name="25081"/>
    <tableColumn id="3197" xr3:uid="{E106BE6F-CFAC-4233-AFA9-EB891782158C}" name="25082"/>
    <tableColumn id="3198" xr3:uid="{068E3D61-BC55-46F8-BDF0-B939AB22E5EA}" name="25083"/>
    <tableColumn id="3199" xr3:uid="{9C1D2CE3-EF98-4FCE-B31E-93634C7D21C5}" name="25085"/>
    <tableColumn id="3200" xr3:uid="{CC72F596-FD0E-4406-B898-B366703E0CA2}" name="25086"/>
    <tableColumn id="3201" xr3:uid="{ACCDE57C-70B8-40ED-A910-80C7BBBB4271}" name="25088"/>
    <tableColumn id="3202" xr3:uid="{7C2D147D-32A0-48A4-8861-91DDEA8E124A}" name="25090"/>
    <tableColumn id="3203" xr3:uid="{DCF29E02-3880-4D7C-85A3-5523F45957B2}" name="25093"/>
    <tableColumn id="3204" xr3:uid="{3B6F0EBA-3E61-4FBB-B36F-8812DDEBA0A9}" name="25102"/>
    <tableColumn id="3205" xr3:uid="{DACC0CA9-7D36-45D8-AE93-AD6A0CD98EE9}" name="25103"/>
    <tableColumn id="3206" xr3:uid="{E03CA6A1-6DBE-4AC8-9EAE-F4D64327C9BF}" name="25106"/>
    <tableColumn id="3207" xr3:uid="{FC10D47D-84EA-43A2-B5F5-029DE4B94BC9}" name="25107"/>
    <tableColumn id="3208" xr3:uid="{111F6EA4-2F3B-40B0-ABC9-F5E4FE921AA4}" name="25108"/>
    <tableColumn id="3209" xr3:uid="{83CD1C32-3BE1-44C0-AD78-08873FFF3488}" name="25109"/>
    <tableColumn id="3210" xr3:uid="{AC21BCEA-0BAE-4A08-BAE1-D3E92BF8D0E8}" name="25110"/>
    <tableColumn id="3211" xr3:uid="{DFD01E23-10DB-4E52-B672-BFF7E6BAC21C}" name="25111"/>
    <tableColumn id="3212" xr3:uid="{5953F6D1-6073-4E4F-9783-C5B888E90E24}" name="25112"/>
    <tableColumn id="3213" xr3:uid="{8517B795-633D-4966-9C72-11EDDE3F3779}" name="25113"/>
    <tableColumn id="3214" xr3:uid="{29D50DFE-C8AC-4F96-BF89-A9C3DE3A3BE6}" name="25114"/>
    <tableColumn id="3215" xr3:uid="{758E3CD0-0D0E-41CE-BF5E-273417F86872}" name="25115"/>
    <tableColumn id="3216" xr3:uid="{1906FA13-ABF2-414C-8313-10BA7E79B75E}" name="25118"/>
    <tableColumn id="3217" xr3:uid="{275BBED1-2F0B-4F34-8DCF-50CDA5B99CCA}" name="25119"/>
    <tableColumn id="3218" xr3:uid="{FB9F0BFB-1446-4CD4-9C06-F21794C58CF5}" name="25121"/>
    <tableColumn id="3219" xr3:uid="{D3A78AEA-0991-4445-9403-C543765A0B13}" name="25123"/>
    <tableColumn id="3220" xr3:uid="{B8923CDF-7908-46B4-AC6B-CCC3B0B8FCBA}" name="25124"/>
    <tableColumn id="3221" xr3:uid="{74457DC8-E01B-4179-8636-D5B66F948C7F}" name="25125"/>
    <tableColumn id="3222" xr3:uid="{336ADBB7-04C4-4F0C-805C-9B6760894E16}" name="25126"/>
    <tableColumn id="3223" xr3:uid="{397BAF70-930E-4647-8A79-D1A4693ADBAB}" name="25130"/>
    <tableColumn id="3224" xr3:uid="{A906C7CC-7956-4505-B19A-7761FDFBA365}" name="25132"/>
    <tableColumn id="3225" xr3:uid="{22F70FFF-531C-4523-99E3-18651FE54B09}" name="25133"/>
    <tableColumn id="3226" xr3:uid="{215720A5-28A8-45F5-B7A0-84DA3DE675F2}" name="25134"/>
    <tableColumn id="3227" xr3:uid="{FCA73626-1F09-47F1-AF1A-ADA7975C9090}" name="25136"/>
    <tableColumn id="3228" xr3:uid="{780D38F4-40B5-4703-BE8D-9A6EFBD46965}" name="25139"/>
    <tableColumn id="3229" xr3:uid="{E43227FE-C8EF-4C81-9151-553861778346}" name="25140"/>
    <tableColumn id="3230" xr3:uid="{EC6E3FB4-9F8B-4C4E-BEE7-EA7E83AD318F}" name="25141"/>
    <tableColumn id="3231" xr3:uid="{4D85E0C1-E1E0-4E77-961D-C5A24A7FFA1E}" name="25142"/>
    <tableColumn id="3232" xr3:uid="{62E8512A-81E3-4606-981A-81C6718BA41E}" name="25143"/>
    <tableColumn id="3233" xr3:uid="{9544764D-3D6F-4AC7-A2D6-6C3D77D8C536}" name="25148"/>
    <tableColumn id="3234" xr3:uid="{E8CEF5F0-7003-4BD5-89F8-B288436CE050}" name="25149"/>
    <tableColumn id="3235" xr3:uid="{E304FAC6-A0DB-46A2-A6CF-7E2236365FB1}" name="25152"/>
    <tableColumn id="3236" xr3:uid="{B803E617-BBEC-436E-9B38-41F18E7666EA}" name="25154"/>
    <tableColumn id="3237" xr3:uid="{CC2F714F-A2D7-42D6-A682-238DD7C407F5}" name="25156"/>
    <tableColumn id="3238" xr3:uid="{FE790C37-C86E-400E-947A-78FCAAFFE450}" name="25159"/>
    <tableColumn id="3239" xr3:uid="{7316DD3E-B996-4EA2-8A0C-AB6E368AF505}" name="25160"/>
    <tableColumn id="3240" xr3:uid="{E322B32F-5D3C-4984-8956-0F35BEC1F2B8}" name="25161"/>
    <tableColumn id="3241" xr3:uid="{3CA943F3-1598-4B9C-BB1A-4BCF3B4A5E9A}" name="25162"/>
    <tableColumn id="3242" xr3:uid="{91945884-15D7-40EE-A44F-3A3C7BC9B8E1}" name="25164"/>
    <tableColumn id="3243" xr3:uid="{FA73C5C0-F1CE-4F89-937E-E93684F6311F}" name="25165"/>
    <tableColumn id="3244" xr3:uid="{B504886F-53C2-44EE-AEF9-8BD4A5AE1176}" name="25168"/>
    <tableColumn id="3245" xr3:uid="{7E78D2C4-C575-4160-BF8B-856A2F9F4EBC}" name="25169"/>
    <tableColumn id="3246" xr3:uid="{377163B2-D398-40EF-9181-B81AD195C21B}" name="25173"/>
    <tableColumn id="3247" xr3:uid="{41AA64B5-D216-4846-9B20-19948BA2F46E}" name="25174"/>
    <tableColumn id="3248" xr3:uid="{967E38F4-D1F9-4D58-8F1D-CD41CBA1C7B2}" name="25177"/>
    <tableColumn id="3249" xr3:uid="{AF8B26DE-EC35-48CF-8A8E-ACFF7E6FDF1B}" name="25180"/>
    <tableColumn id="3250" xr3:uid="{36F95E35-2D2F-4610-9C78-393F6BDDD377}" name="25181"/>
    <tableColumn id="3251" xr3:uid="{DC0135F4-6B92-4456-BD76-4817D6DC6800}" name="25183"/>
    <tableColumn id="3252" xr3:uid="{633E6593-2519-484A-B751-F7AA2E271C20}" name="25185"/>
    <tableColumn id="3253" xr3:uid="{6889A674-4D9E-46D0-AE12-EEE92D185C22}" name="25186"/>
    <tableColumn id="3254" xr3:uid="{76FD39D6-2FB2-4F39-8387-59DA6B7967F5}" name="25187"/>
    <tableColumn id="3255" xr3:uid="{B7B85E68-F792-4778-B04C-3B5E11FC1BAC}" name="25193"/>
    <tableColumn id="3256" xr3:uid="{7FD41D2D-FABC-401A-A0DC-12A8FEF95037}" name="25201"/>
    <tableColumn id="3257" xr3:uid="{F6D8E2C4-6B85-4826-9727-6BD9445F733B}" name="25202"/>
    <tableColumn id="3258" xr3:uid="{94F63B1E-40E7-4B8F-9549-AAA5E425922D}" name="25203"/>
    <tableColumn id="3259" xr3:uid="{1969EABC-5B10-4DC5-BBF5-B0FF2B583B02}" name="25204"/>
    <tableColumn id="3260" xr3:uid="{8435F640-75EE-4C90-9BD6-68E15601F571}" name="25205"/>
    <tableColumn id="3261" xr3:uid="{39DF7690-5D32-42EA-AB99-39C90DE89695}" name="25206"/>
    <tableColumn id="3262" xr3:uid="{B9AD6C33-E8A7-4988-84B2-955242EF5443}" name="25208"/>
    <tableColumn id="3263" xr3:uid="{4F802CBF-24AE-42F5-BF5B-8E192E8A6807}" name="25209"/>
    <tableColumn id="3264" xr3:uid="{D2B6FF0F-C5E7-467B-A0FD-F304511B9C54}" name="25211"/>
    <tableColumn id="3265" xr3:uid="{FC43A6F1-62B8-4A58-AFA9-3FCE3BFC8ACD}" name="25213"/>
    <tableColumn id="3266" xr3:uid="{D296C615-A6C0-45FE-9F47-1C6719EA81D1}" name="25214"/>
    <tableColumn id="3267" xr3:uid="{CA888436-282F-44DE-A8C7-13F07B31C3FE}" name="25231"/>
    <tableColumn id="3268" xr3:uid="{E0B8CEA7-F1B8-4BF6-9ED9-570BCAB295AC}" name="25234"/>
    <tableColumn id="3269" xr3:uid="{C610D7A3-402F-404F-B9CB-B49722896699}" name="25235"/>
    <tableColumn id="3270" xr3:uid="{FC298245-DB53-497B-A91D-E184C05CCEF1}" name="25239"/>
    <tableColumn id="3271" xr3:uid="{90813BF8-CB22-4E67-BC56-868512C8068E}" name="25241"/>
    <tableColumn id="3272" xr3:uid="{477E9CE2-4E55-4C75-AA4A-58EC99556806}" name="25243"/>
    <tableColumn id="3273" xr3:uid="{2626B2B3-A6F8-40C0-8D95-22DC724FD8A9}" name="25244"/>
    <tableColumn id="3274" xr3:uid="{410518F0-DCD1-4F60-990A-FFCAE6C1D45B}" name="25245"/>
    <tableColumn id="3275" xr3:uid="{690524F8-D152-4133-85BE-14B8086CE762}" name="25247"/>
    <tableColumn id="3276" xr3:uid="{E2AEB919-19F5-4D15-B95A-96B6F3E562A9}" name="25248"/>
    <tableColumn id="3277" xr3:uid="{83C87148-7E0B-49D5-8EEC-5FDA2F3D35F8}" name="25251"/>
    <tableColumn id="3278" xr3:uid="{91EC2B67-6BA8-4967-A25F-7B04D5C2D5A1}" name="25252"/>
    <tableColumn id="3279" xr3:uid="{916DD29F-36A1-450C-891E-38A111D5BE45}" name="25253"/>
    <tableColumn id="3280" xr3:uid="{BF22F319-7DFB-47C8-80E1-993AF237D5F3}" name="25259"/>
    <tableColumn id="3281" xr3:uid="{9ADA1FA2-A665-401F-A156-D033D8949376}" name="25260"/>
    <tableColumn id="3282" xr3:uid="{91B8DFBD-DABB-48D4-A382-251B4A9CB274}" name="25261"/>
    <tableColumn id="3283" xr3:uid="{7A51CC63-B85C-4E00-A89B-0ACE530A2B2E}" name="25262"/>
    <tableColumn id="3284" xr3:uid="{BCEBFFA8-BD1B-4A23-A025-58359E03631D}" name="25264"/>
    <tableColumn id="3285" xr3:uid="{DDA24290-66BC-4211-8CA2-C73A41DE4EB0}" name="25265"/>
    <tableColumn id="3286" xr3:uid="{D6EAE9A3-2D40-4DCB-9395-0CC5116BB9B7}" name="25266"/>
    <tableColumn id="3287" xr3:uid="{F5E2D117-E097-490D-907C-53587892A48B}" name="25267"/>
    <tableColumn id="3288" xr3:uid="{3281A56C-E583-4CD7-A18D-345BBDE83424}" name="25268"/>
    <tableColumn id="3289" xr3:uid="{A65DACF1-3C06-4539-AE67-43260AE7278C}" name="25270"/>
    <tableColumn id="3290" xr3:uid="{F2864E45-ABA0-4EBB-BEC3-D4C67B8700E6}" name="25271"/>
    <tableColumn id="3291" xr3:uid="{8F6D72E4-FC5C-4B9A-A9F1-412C023F0553}" name="25275"/>
    <tableColumn id="3292" xr3:uid="{AA3B4DBE-1A6A-48E8-8802-37E86F2B558B}" name="25276"/>
    <tableColumn id="3293" xr3:uid="{301DC5A5-9AD8-4300-9CFA-C79C2D0C69CD}" name="25285"/>
    <tableColumn id="3294" xr3:uid="{83DE9C63-B7CD-401F-80DF-78CDB24B25A5}" name="25286"/>
    <tableColumn id="3295" xr3:uid="{9C7EBC7D-EE61-4D29-A061-BF5C81AEB27C}" name="25287"/>
    <tableColumn id="3296" xr3:uid="{2A8AE28B-7716-4ECA-B1B3-46F46D2FF788}" name="25301"/>
    <tableColumn id="3297" xr3:uid="{556993CA-F7F8-4587-9E1C-66CE40B933DE}" name="25302"/>
    <tableColumn id="3298" xr3:uid="{54B2C8D8-42B9-4768-ACF6-30D0583245FA}" name="25303"/>
    <tableColumn id="3299" xr3:uid="{101BC834-D8B4-4A8B-A6C8-538183889DED}" name="25304"/>
    <tableColumn id="3300" xr3:uid="{7DAD2E40-FF2E-48CF-9EAF-4E047971FA2E}" name="25305"/>
    <tableColumn id="3301" xr3:uid="{B26F818E-2A7E-4423-91C3-CB0B92F94C37}" name="25306"/>
    <tableColumn id="3302" xr3:uid="{A3AE03FB-D297-4E72-8C4B-5D199B0623EF}" name="25309"/>
    <tableColumn id="3303" xr3:uid="{A5494F4C-BAB0-4D98-9563-06118C4833F9}" name="25311"/>
    <tableColumn id="3304" xr3:uid="{9D0D0A73-7CDF-4905-905D-62E031F79734}" name="25312"/>
    <tableColumn id="3305" xr3:uid="{D738EA6A-70A0-45DB-A0D2-D618EBAAB36F}" name="25313"/>
    <tableColumn id="3306" xr3:uid="{0E2639A0-1DA8-42E8-B366-5C286BA85361}" name="25314"/>
    <tableColumn id="3307" xr3:uid="{894838B7-86E4-40EB-A352-6F54A29A7CA2}" name="25315"/>
    <tableColumn id="3308" xr3:uid="{C7BBB8E9-A92A-44DF-8BC2-E6C7A8B56210}" name="25320"/>
    <tableColumn id="3309" xr3:uid="{38BC5A78-5425-455C-AE00-C97C227C97AD}" name="25387"/>
    <tableColumn id="3310" xr3:uid="{6F7F7EAE-EE0C-4F42-B82B-C8365EE5A3CA}" name="25401"/>
    <tableColumn id="3311" xr3:uid="{85A714A4-22DB-4057-9E9D-492C6FE31D32}" name="25403"/>
    <tableColumn id="3312" xr3:uid="{1C9BA111-1F5E-4954-A1A8-504D481F75DC}" name="25404"/>
    <tableColumn id="3313" xr3:uid="{CD93B762-BB2D-4414-A108-F789CB8DBA9E}" name="25405"/>
    <tableColumn id="3314" xr3:uid="{BBB9EA61-4E7A-4938-983D-4CB6862EC08E}" name="25411"/>
    <tableColumn id="3315" xr3:uid="{EFFFC0C3-4B31-445D-9817-E877B0E84E3E}" name="25413"/>
    <tableColumn id="3316" xr3:uid="{971A5D8A-6E6A-4C8A-B321-6AD9AE69E2E2}" name="25414"/>
    <tableColumn id="3317" xr3:uid="{6A2BF4E1-19B8-426B-B6E5-6E8326267E22}" name="25419"/>
    <tableColumn id="3318" xr3:uid="{BD835A30-9928-4B5A-AD8A-876D050ACC9C}" name="25420"/>
    <tableColumn id="3319" xr3:uid="{BC8A037C-4F35-4E7A-8002-8D3B90E6BE47}" name="25421"/>
    <tableColumn id="3320" xr3:uid="{EC256BC4-39C6-43DD-8263-74F0CAF4C2AF}" name="25422"/>
    <tableColumn id="3321" xr3:uid="{6207FF95-4AD9-4C2F-B2C9-5CEF1581AF2A}" name="25425"/>
    <tableColumn id="3322" xr3:uid="{1F689EF8-2281-43F9-A380-8D0A4B734942}" name="25427"/>
    <tableColumn id="3323" xr3:uid="{32C9CC4C-7339-4134-B411-C9F5495DC4F8}" name="25428"/>
    <tableColumn id="3324" xr3:uid="{F3F9324D-8840-486A-86CC-F354AC98B48D}" name="25430"/>
    <tableColumn id="3325" xr3:uid="{C4E9FD54-2B59-4811-9BA5-7901939B20CF}" name="25431"/>
    <tableColumn id="3326" xr3:uid="{12B1D5AC-EDAB-45D3-96AE-B9DA4BD42E28}" name="25432"/>
    <tableColumn id="3327" xr3:uid="{E47FE60C-AC6C-45F5-BC55-3C5F884EBFFF}" name="25434"/>
    <tableColumn id="3328" xr3:uid="{BF4251E1-42D5-4700-9240-691E0A94C1B4}" name="25437"/>
    <tableColumn id="3329" xr3:uid="{1A2C353D-913E-4004-ACCE-F7D7C8E5E564}" name="25438"/>
    <tableColumn id="3330" xr3:uid="{A9D6192D-D9C5-465D-9A4B-56DEB68F0DC9}" name="25442"/>
    <tableColumn id="3331" xr3:uid="{E511C8A1-CB4E-4E7A-B06A-DCDCAC5A706A}" name="25443"/>
    <tableColumn id="3332" xr3:uid="{B83D65AE-3B4D-4B2E-B644-B105C532EDEA}" name="25444"/>
    <tableColumn id="3333" xr3:uid="{DFD8B4DF-FEA4-490C-A4E8-A185CAF5F4CB}" name="25446"/>
    <tableColumn id="3334" xr3:uid="{4792F74D-011B-44AC-8EBF-2807F6A569B1}" name="25501"/>
    <tableColumn id="3335" xr3:uid="{59DD1196-3716-46B9-AD45-6D9A90CA489F}" name="25502"/>
    <tableColumn id="3336" xr3:uid="{B84AAE46-C8AA-4CFF-9037-5B125B0C460F}" name="25503"/>
    <tableColumn id="3337" xr3:uid="{475C2C1C-3B04-4FEB-BDF2-054BEDB568FA}" name="25504"/>
    <tableColumn id="3338" xr3:uid="{2EE89A97-D446-4F83-B40B-9DD6C73DDC12}" name="25505"/>
    <tableColumn id="3339" xr3:uid="{9EC7619D-6DE9-4A9B-AC94-43CE6E3D7DFE}" name="25506"/>
    <tableColumn id="3340" xr3:uid="{89B3A052-F109-4C3D-B654-1769A372E333}" name="25507"/>
    <tableColumn id="3341" xr3:uid="{741247AF-4BC7-4CC3-8A39-DC49C28C52EB}" name="25508"/>
    <tableColumn id="3342" xr3:uid="{EED9E3AB-744B-4533-AF89-21AC5814200E}" name="25510"/>
    <tableColumn id="3343" xr3:uid="{B073E965-5EE7-4A3C-A336-2FA0B4F2B8C0}" name="25511"/>
    <tableColumn id="3344" xr3:uid="{AC2CF6C5-95DA-4694-B144-F71A5CCA729D}" name="25512"/>
    <tableColumn id="3345" xr3:uid="{2D0EDD26-EA4D-48E3-8CF1-010F14CB3928}" name="25514"/>
    <tableColumn id="3346" xr3:uid="{74702ED8-223E-415D-945E-CDC329146AC4}" name="25515"/>
    <tableColumn id="3347" xr3:uid="{BAC08407-0116-41E8-91B8-47E3E9C8C0D5}" name="25517"/>
    <tableColumn id="3348" xr3:uid="{819E3943-BFF1-4596-AE96-71CE72AB97A8}" name="25520"/>
    <tableColumn id="3349" xr3:uid="{D3B46E2B-7E66-4AE7-9C77-652D623C5DF8}" name="25521"/>
    <tableColumn id="3350" xr3:uid="{0B6582EF-BE30-4428-B8F5-35588633CC4C}" name="25523"/>
    <tableColumn id="3351" xr3:uid="{38CDEA10-E280-46A6-954F-AA2A4F3B4026}" name="25524"/>
    <tableColumn id="3352" xr3:uid="{146A136E-7705-42EE-964D-DD8CD4AA950F}" name="25526"/>
    <tableColumn id="3353" xr3:uid="{23BAB8F8-8615-4801-A246-50C69F1413D1}" name="25529"/>
    <tableColumn id="3354" xr3:uid="{36FBC3C4-C4C8-4945-94AB-103CF83C2694}" name="25530"/>
    <tableColumn id="3355" xr3:uid="{88D2003F-6459-40EB-AF43-62917F6260D1}" name="25534"/>
    <tableColumn id="3356" xr3:uid="{72550045-EFC6-4897-8778-3690576CE240}" name="25535"/>
    <tableColumn id="3357" xr3:uid="{7A2F4C06-A577-4ECF-869E-E296281FDF1C}" name="25537"/>
    <tableColumn id="3358" xr3:uid="{917C3AE7-99AF-41F8-AFE6-F5E00306FCB2}" name="25540"/>
    <tableColumn id="3359" xr3:uid="{C03EE9D1-A43A-4861-82EE-987BA13435B6}" name="25541"/>
    <tableColumn id="3360" xr3:uid="{DFE3CC72-8B46-4359-9408-A28F8B3D7FB6}" name="25544"/>
    <tableColumn id="3361" xr3:uid="{847A7AF5-F4AB-4E3B-8F55-6E548E797A16}" name="25545"/>
    <tableColumn id="3362" xr3:uid="{B1763005-C8DD-4194-B73F-74C3C8D7081C}" name="25547"/>
    <tableColumn id="3363" xr3:uid="{C66A99D9-217A-4BC9-A7BC-B74988DF02AC}" name="25550"/>
    <tableColumn id="3364" xr3:uid="{F188207F-A29D-4D0B-A7D8-9F97DDFB247C}" name="25555"/>
    <tableColumn id="3365" xr3:uid="{D055E3A1-1ECD-428A-B722-C7693F589BC8}" name="25557"/>
    <tableColumn id="3366" xr3:uid="{BF27BE40-3E84-48F8-B077-3243FC4FB561}" name="25559"/>
    <tableColumn id="3367" xr3:uid="{C1141812-56EF-43D0-BBF3-4E8C7EF9EE71}" name="25560"/>
    <tableColumn id="3368" xr3:uid="{7D3696DC-9C9D-4EB7-A16B-2ABD527D997B}" name="25564"/>
    <tableColumn id="3369" xr3:uid="{B24F060E-70FE-4EB8-889A-804978663571}" name="25565"/>
    <tableColumn id="3370" xr3:uid="{18C06190-D219-41F5-B800-C8D00DAADC41}" name="25567"/>
    <tableColumn id="3371" xr3:uid="{EE30A959-20C0-4936-9B35-1658A9EAF291}" name="25570"/>
    <tableColumn id="3372" xr3:uid="{10770BA0-F5D6-483F-B0EB-8EF0DCE4E5C0}" name="25571"/>
    <tableColumn id="3373" xr3:uid="{5A2D5B75-5302-4381-B3FE-CD5D3BC79073}" name="25573"/>
    <tableColumn id="3374" xr3:uid="{A627207C-36FA-48A1-9536-B5AC1738CE9D}" name="25601"/>
    <tableColumn id="3375" xr3:uid="{A1ECC02C-4BA0-4BC4-93BD-451C47A161B7}" name="25606"/>
    <tableColumn id="3376" xr3:uid="{AC74F703-CA96-4A51-9F41-5E19FE0F0004}" name="25607"/>
    <tableColumn id="3377" xr3:uid="{3522939A-1471-41D2-BCC6-096C999BE029}" name="25608"/>
    <tableColumn id="3378" xr3:uid="{141D02D9-C824-479A-80C5-8E14C3230675}" name="25611"/>
    <tableColumn id="3379" xr3:uid="{213920DB-6F2C-45CD-8C30-B80F1558E339}" name="25612"/>
    <tableColumn id="3380" xr3:uid="{E2D0256C-F357-4B09-A33B-6E7FA79B8524}" name="25617"/>
    <tableColumn id="3381" xr3:uid="{CEC7A3A0-2499-45D4-BE7D-B9EAC2AF1257}" name="25621"/>
    <tableColumn id="3382" xr3:uid="{1F3F0210-C25E-49AA-BF2F-A4F43AFE16E4}" name="25624"/>
    <tableColumn id="3383" xr3:uid="{422E81AE-2EA8-491D-9A79-7A2A9A9C7ECB}" name="25625"/>
    <tableColumn id="3384" xr3:uid="{BEBFA700-E7B2-4501-A30A-3059F73D7236}" name="25628"/>
    <tableColumn id="3385" xr3:uid="{EB88E1ED-3656-4571-B624-5C9DC9E83F0D}" name="25630"/>
    <tableColumn id="3386" xr3:uid="{F6214D51-C528-4987-AC6C-B6E0C4E6EC13}" name="25632"/>
    <tableColumn id="3387" xr3:uid="{8892BEF7-5FEE-445A-B80F-3880B393F8FE}" name="25634"/>
    <tableColumn id="3388" xr3:uid="{2176F4AC-D755-4CCA-9AE9-6199FAB8968C}" name="25635"/>
    <tableColumn id="3389" xr3:uid="{F5E1F678-FE3B-490C-8D98-766C937B2B74}" name="25637"/>
    <tableColumn id="3390" xr3:uid="{C9EE34C0-8B4B-4EA7-86CA-F84722D74DF1}" name="25638"/>
    <tableColumn id="3391" xr3:uid="{EB756FEC-0B9E-4CDA-AA75-98B1A41DFEAE}" name="25639"/>
    <tableColumn id="3392" xr3:uid="{214F4674-0839-4A61-96D2-47D09D02604A}" name="25644"/>
    <tableColumn id="3393" xr3:uid="{348AB93A-CF5F-418C-9B07-7DFF7F7A958D}" name="25646"/>
    <tableColumn id="3394" xr3:uid="{84546049-9D90-46EA-AC68-92FE5F068901}" name="25647"/>
    <tableColumn id="3395" xr3:uid="{B6755A65-9747-45D8-BF72-08ECC67D1ED0}" name="25649"/>
    <tableColumn id="3396" xr3:uid="{A84A1437-2005-470F-BBCF-4CF0AA1B4661}" name="25650"/>
    <tableColumn id="3397" xr3:uid="{469A9E90-659E-4D8F-AF5B-DA988AF001A7}" name="25651"/>
    <tableColumn id="3398" xr3:uid="{EF12F24B-C546-4721-9750-333EB7A3F809}" name="25652"/>
    <tableColumn id="3399" xr3:uid="{909D326B-4A9E-4B2B-BFCD-B5D4E05ECC6A}" name="25653"/>
    <tableColumn id="3400" xr3:uid="{883F9C9D-34B9-4DBA-872F-AB98B4118818}" name="25654"/>
    <tableColumn id="3401" xr3:uid="{4506BE88-C253-4966-97BA-8E9762367817}" name="25661"/>
    <tableColumn id="3402" xr3:uid="{E1B6841D-13CD-4359-9E01-9D394245133B}" name="25666"/>
    <tableColumn id="3403" xr3:uid="{83106B29-D4C7-4E6D-BBFF-001D2F0ED4B2}" name="25667"/>
    <tableColumn id="3404" xr3:uid="{81AB513A-52E6-4EE2-8F70-656B40761A5B}" name="25669"/>
    <tableColumn id="3405" xr3:uid="{660B9237-88EB-41A9-BB1F-1B47F90CC4C1}" name="25670"/>
    <tableColumn id="3406" xr3:uid="{EF6B0083-C6C2-44B9-B9AF-F3AA60EBA08B}" name="25671"/>
    <tableColumn id="3407" xr3:uid="{25762CA7-30FB-4F36-83C3-05D1066EBB78}" name="25672"/>
    <tableColumn id="3408" xr3:uid="{B844B80B-E06A-4D8B-B888-892D25345FB8}" name="25674"/>
    <tableColumn id="3409" xr3:uid="{D17927E5-72E1-43A6-84A1-02DBD5C7B806}" name="25676"/>
    <tableColumn id="3410" xr3:uid="{55C25E02-E62B-4BCB-8324-C0EF01EBBDD0}" name="25678"/>
    <tableColumn id="3411" xr3:uid="{4B9D027B-A5DB-43E8-8043-4646D9D19028}" name="25685"/>
    <tableColumn id="3412" xr3:uid="{E0C44502-EFDD-4BC5-B5BA-6FFAE78824C8}" name="25688"/>
    <tableColumn id="3413" xr3:uid="{B5BEBBBE-8FE5-48AA-99C8-FAFCD6023C09}" name="25690"/>
    <tableColumn id="3414" xr3:uid="{A8BFE150-32E9-4BAD-9872-0B377034F12C}" name="25692"/>
    <tableColumn id="3415" xr3:uid="{B5ED3986-EE06-4E3D-93C1-455F5FD6094D}" name="25696"/>
    <tableColumn id="3416" xr3:uid="{AC5CD808-4FCB-4DAB-A71B-32F2336B4431}" name="25699"/>
    <tableColumn id="3417" xr3:uid="{69D4AB89-4E4E-4319-8984-CF61955943C7}" name="25701"/>
    <tableColumn id="3418" xr3:uid="{55272577-98D7-4B74-9D56-CB1FAB12A2DA}" name="25702"/>
    <tableColumn id="3419" xr3:uid="{992008DE-AD66-4335-A2D5-3DF586963CB7}" name="25703"/>
    <tableColumn id="3420" xr3:uid="{EF336B0A-C7CB-4EAB-B2F0-96E0A0B4A108}" name="25704"/>
    <tableColumn id="3421" xr3:uid="{E6792933-F059-49BA-8BC1-65D0CFA492FD}" name="25705"/>
    <tableColumn id="3422" xr3:uid="{059588C6-36AF-4052-8EF1-D28D113073D7}" name="25755"/>
    <tableColumn id="3423" xr3:uid="{F8617E39-1BFC-484B-9677-7F144F00C108}" name="25801"/>
    <tableColumn id="3424" xr3:uid="{9F75A7C5-3C17-46C2-BE57-B9D5DF62A5D6}" name="25810"/>
    <tableColumn id="3425" xr3:uid="{AB14FE6C-1A14-428B-9DB3-8D60B787F539}" name="25811"/>
    <tableColumn id="3426" xr3:uid="{AD7B866E-F488-4D79-8FA4-EF31063C9BD8}" name="25812"/>
    <tableColumn id="3427" xr3:uid="{5F54DFC0-BE3E-45B2-BDDF-4745FDA0DD51}" name="25813"/>
    <tableColumn id="3428" xr3:uid="{FA42B523-4256-4028-9CE1-4BC976022601}" name="25817"/>
    <tableColumn id="3429" xr3:uid="{70EAF573-FC0B-4CE7-849F-9CE7A354D548}" name="25818"/>
    <tableColumn id="3430" xr3:uid="{922798FA-4FB5-40F7-A4F1-52BA4B6F1F55}" name="25820"/>
    <tableColumn id="3431" xr3:uid="{0FE45B97-895B-4368-9F3B-1881522A5E35}" name="25823"/>
    <tableColumn id="3432" xr3:uid="{65566B9B-A31B-4BC6-A59F-7E70B45D833F}" name="25825"/>
    <tableColumn id="3433" xr3:uid="{95687AFD-B945-4113-8A46-3FDE013D04BE}" name="25826"/>
    <tableColumn id="3434" xr3:uid="{FADDAA27-C829-49D4-9E5A-9C3226CFE516}" name="25827"/>
    <tableColumn id="3435" xr3:uid="{9C31FD5E-34EC-4C2A-A544-109BC02F291F}" name="25831"/>
    <tableColumn id="3436" xr3:uid="{FE27E835-A414-4EF8-B24A-313A2B49E098}" name="25832"/>
    <tableColumn id="3437" xr3:uid="{64915F94-88DC-48F9-8079-E3A65FA44104}" name="25836"/>
    <tableColumn id="3438" xr3:uid="{B5C8205F-AA38-4548-A719-AC25EE9D662B}" name="25837"/>
    <tableColumn id="3439" xr3:uid="{F9E7CFFC-9AE1-4A5D-B1DE-C151843567CD}" name="25839"/>
    <tableColumn id="3440" xr3:uid="{6E930EE6-CFE5-4F95-8949-B893329D4D99}" name="25840"/>
    <tableColumn id="3441" xr3:uid="{F06B8391-0506-4386-8F29-A9A8D6ECC0E6}" name="25841"/>
    <tableColumn id="3442" xr3:uid="{01DA0612-BE08-4573-A19A-9BFD4C46A0D0}" name="25843"/>
    <tableColumn id="3443" xr3:uid="{B2AE0CF9-CD30-41B1-8A55-C0B3247F0513}" name="25844"/>
    <tableColumn id="3444" xr3:uid="{8136A40C-609A-449A-93C8-7BD1AACE918C}" name="25845"/>
    <tableColumn id="3445" xr3:uid="{27C870D2-B7D7-4572-8EF7-552404F9C24C}" name="25846"/>
    <tableColumn id="3446" xr3:uid="{882E8ADF-B5F8-4E43-A571-021BFABA6ACF}" name="25848"/>
    <tableColumn id="3447" xr3:uid="{27058C93-F384-4905-A32B-C4E7871C7E69}" name="25849"/>
    <tableColumn id="3448" xr3:uid="{D914DC81-2127-4A3C-A5FA-32EFD2509C10}" name="25851"/>
    <tableColumn id="3449" xr3:uid="{C0A31CB0-755E-4F8A-A286-981EF355CCA3}" name="25853"/>
    <tableColumn id="3450" xr3:uid="{555B7547-A604-404C-887F-17DB014CD368}" name="25854"/>
    <tableColumn id="3451" xr3:uid="{0964A9CA-6D99-455D-927B-F76AFD884A71}" name="25855"/>
    <tableColumn id="3452" xr3:uid="{F0F53AB1-C0A4-47FA-A954-AF29CA54F4C6}" name="25857"/>
    <tableColumn id="3453" xr3:uid="{07F00A88-BE3E-43BE-82B8-0D73EFD6CA10}" name="25862"/>
    <tableColumn id="3454" xr3:uid="{BF8CEBF9-1833-49AC-951F-C926F6714AAF}" name="25864"/>
    <tableColumn id="3455" xr3:uid="{D3583BDF-5471-4A18-8C29-B2E994BF29A3}" name="25865"/>
    <tableColumn id="3456" xr3:uid="{FE236A96-91EF-48D0-9B74-D91C697498B8}" name="25866"/>
    <tableColumn id="3457" xr3:uid="{311E59C7-1445-4017-9030-900AF736507E}" name="25868"/>
    <tableColumn id="3458" xr3:uid="{515D4782-D8E5-45EF-A7CA-2B825D7F12D4}" name="25870"/>
    <tableColumn id="3459" xr3:uid="{C0CAFE74-FEAA-4DC4-8382-265442D47ACC}" name="25871"/>
    <tableColumn id="3460" xr3:uid="{7689D6F3-88A3-4B0D-8069-38F72EE005F2}" name="25873"/>
    <tableColumn id="3461" xr3:uid="{AF79CF34-BF01-42E5-BA33-4C40DBF2C87F}" name="25875"/>
    <tableColumn id="3462" xr3:uid="{E2BE983B-10E2-485B-903A-6FBC45D2E558}" name="25876"/>
    <tableColumn id="3463" xr3:uid="{B7D70EC1-91C0-4496-A814-E63B93458CDF}" name="25878"/>
    <tableColumn id="3464" xr3:uid="{0AD424D2-3D48-44AA-8521-6C80A65D7550}" name="25879"/>
    <tableColumn id="3465" xr3:uid="{35EC950B-F430-49C8-9B45-FD0960FDC5F7}" name="25880"/>
    <tableColumn id="3466" xr3:uid="{F70BAE3C-F0EC-4013-8413-2FC4F37C0326}" name="25882"/>
    <tableColumn id="3467" xr3:uid="{AD190F49-0645-48C9-AD2E-B2F705AC87AD}" name="25901"/>
    <tableColumn id="3468" xr3:uid="{6912A42C-25E6-4F42-BD54-8E82973060F2}" name="25902"/>
    <tableColumn id="3469" xr3:uid="{A0D9BBF3-33EA-457B-8787-3A56246294D1}" name="25904"/>
    <tableColumn id="3470" xr3:uid="{930EE6DF-9A3E-4BFD-84B4-77E048BCFCD8}" name="25907"/>
    <tableColumn id="3471" xr3:uid="{F5413B4D-98FF-402B-9971-63119A13819F}" name="25908"/>
    <tableColumn id="3472" xr3:uid="{EBA3B841-52CC-4575-88D4-694239F9816C}" name="25909"/>
    <tableColumn id="3473" xr3:uid="{CDE6D098-DAE8-4319-8BE1-6F696D6055A1}" name="25911"/>
    <tableColumn id="3474" xr3:uid="{D7DEF863-E1C3-46D0-B720-8FDBBB7FCAB8}" name="25913"/>
    <tableColumn id="3475" xr3:uid="{A49BFEA6-60FA-4CF6-A231-71CA4C0DF239}" name="25915"/>
    <tableColumn id="3476" xr3:uid="{E3A46C68-2B23-4580-8BA2-65B518C75971}" name="25916"/>
    <tableColumn id="3477" xr3:uid="{F490D561-C3F0-4970-A95E-BD6738C7AA2A}" name="25917"/>
    <tableColumn id="3478" xr3:uid="{8288E872-6470-4427-835C-B5E989E98F3D}" name="25918"/>
    <tableColumn id="3479" xr3:uid="{272F9A54-0E81-4C37-B601-40D0AF90F8E0}" name="25920"/>
    <tableColumn id="3480" xr3:uid="{11BC82FB-8CD2-4B44-8619-0E67B8FBABDC}" name="25921"/>
    <tableColumn id="3481" xr3:uid="{18F7C01D-DB01-4E17-A29F-993CB07CAB89}" name="25922"/>
    <tableColumn id="3482" xr3:uid="{9399BE15-2A6F-4983-8693-F850370C3A3E}" name="25928"/>
    <tableColumn id="3483" xr3:uid="{378A9310-310E-4531-8FC9-7690574F57F0}" name="25932"/>
    <tableColumn id="3484" xr3:uid="{F2B99B23-7E6A-4C16-99C7-5BE9E0B5A89B}" name="25936"/>
    <tableColumn id="3485" xr3:uid="{99BC9301-7907-4B8B-B1DE-388DC17E3453}" name="25938"/>
    <tableColumn id="3486" xr3:uid="{BE6DB9E7-1B92-4BA9-B815-87E210744AFF}" name="25942"/>
    <tableColumn id="3487" xr3:uid="{AB27EC46-7797-49D6-9FAC-B730FB8CED66}" name="25943"/>
    <tableColumn id="3488" xr3:uid="{32C0CA74-BA08-4FE3-B4CC-FEAF1F169F40}" name="25951"/>
    <tableColumn id="3489" xr3:uid="{9248CDA1-C423-458C-80F8-1576D9D2AE18}" name="25958"/>
    <tableColumn id="3490" xr3:uid="{45934193-6113-469F-983F-D16C9961B21F}" name="25962"/>
    <tableColumn id="3491" xr3:uid="{0B529703-DE52-4759-8C5A-03B44CB88017}" name="25966"/>
    <tableColumn id="3492" xr3:uid="{32B8EAFE-28BA-4B01-8F5D-E86FD3E04987}" name="25969"/>
    <tableColumn id="3493" xr3:uid="{C4609FCA-C87C-473B-B8D4-9062E836B59F}" name="25971"/>
    <tableColumn id="3494" xr3:uid="{450910EB-8CF1-4349-8AC2-796337CAB21D}" name="25972"/>
    <tableColumn id="3495" xr3:uid="{F59C4ED1-05B6-4B08-A81F-C1C52BA066BC}" name="25976"/>
    <tableColumn id="3496" xr3:uid="{AC0CA5A0-6E08-454D-899D-04CFD576A2A7}" name="25977"/>
    <tableColumn id="3497" xr3:uid="{17ED8B1E-64FC-4F08-9036-9B48CA988A6B}" name="25978"/>
    <tableColumn id="3498" xr3:uid="{E3E67D61-2399-459D-A0D5-11446415C52C}" name="25979"/>
    <tableColumn id="3499" xr3:uid="{F69ACFFE-6C1A-4795-835C-852EFC646ABC}" name="25981"/>
    <tableColumn id="3500" xr3:uid="{D4FEFDD5-D17A-4D72-BC45-6DEC29DBC22A}" name="25984"/>
    <tableColumn id="3501" xr3:uid="{D2C0942B-3EA6-4D2E-AF86-41FE23369074}" name="25985"/>
    <tableColumn id="3502" xr3:uid="{B2C5D3F1-6C45-4B28-8A5A-18336CFE3093}" name="25986"/>
    <tableColumn id="3503" xr3:uid="{88DDB48D-45A9-4E38-9FBA-8E768A42B262}" name="25989"/>
    <tableColumn id="3504" xr3:uid="{DAD16458-C4F2-41ED-BBCD-15C5DD15374C}" name="26003"/>
    <tableColumn id="3505" xr3:uid="{1C9566C4-C511-4CBD-8D15-D988032A2931}" name="26030"/>
    <tableColumn id="3506" xr3:uid="{DA14EF6D-328E-4436-81EC-4EBDF16FAD81}" name="26031"/>
    <tableColumn id="3507" xr3:uid="{98002485-DA14-4D85-8A08-8C2B105E0A52}" name="26032"/>
    <tableColumn id="3508" xr3:uid="{44DC1FF2-87C6-4BBC-A405-D33F2AEBB4B1}" name="26033"/>
    <tableColumn id="3509" xr3:uid="{DA4B2F74-7F20-4C80-9805-50FFEAD19927}" name="26034"/>
    <tableColumn id="3510" xr3:uid="{A962FF86-8F9F-4477-A71F-624BCAE9DD5F}" name="26035"/>
    <tableColumn id="3511" xr3:uid="{27FBC86C-3417-47E4-958B-2B91AF7AFB9B}" name="26036"/>
    <tableColumn id="3512" xr3:uid="{D44DD1CB-9467-42AA-BDB1-226813FAC29B}" name="26037"/>
    <tableColumn id="3513" xr3:uid="{6E40C6CA-C60F-47AB-A902-4FD797293F07}" name="26038"/>
    <tableColumn id="3514" xr3:uid="{CD377F1F-2FDE-4D8B-8BA2-1E9564D6CE11}" name="26039"/>
    <tableColumn id="3515" xr3:uid="{3052520A-42E1-4953-98A9-E99191A0CC03}" name="26040"/>
    <tableColumn id="3516" xr3:uid="{89B448C2-20FE-4D5C-A6FC-85A13C331493}" name="26041"/>
    <tableColumn id="3517" xr3:uid="{FAED0C88-9219-4365-AD81-AA57239D024E}" name="26047"/>
    <tableColumn id="3518" xr3:uid="{2DC4B71B-C9B5-447D-9410-1A49A8D78E0B}" name="26050"/>
    <tableColumn id="3519" xr3:uid="{9646A416-C9C3-42F5-BB50-E109654BA4BF}" name="26055"/>
    <tableColumn id="3520" xr3:uid="{250B851E-9242-42C9-94C3-937251BF2A85}" name="26056"/>
    <tableColumn id="3521" xr3:uid="{269EC455-0C7E-4B97-9052-8DD4AB56D148}" name="26058"/>
    <tableColumn id="3522" xr3:uid="{1167088F-64ED-4BAB-8E93-E6DCA0822CD6}" name="26059"/>
    <tableColumn id="3523" xr3:uid="{03D3276A-6A8E-4433-80D3-CA6FFA9EBF88}" name="26060"/>
    <tableColumn id="3524" xr3:uid="{C9538A3E-188A-4834-A47C-435DCE28F368}" name="26062"/>
    <tableColumn id="3525" xr3:uid="{EF4A46EE-38F4-44E7-AC3D-8CA681C85843}" name="26070"/>
    <tableColumn id="3526" xr3:uid="{623FCBE4-4134-4A45-94E0-22ED59B8EFA1}" name="26074"/>
    <tableColumn id="3527" xr3:uid="{E34F5781-DDF3-4E1E-9039-F3E77EEE3655}" name="26075"/>
    <tableColumn id="3528" xr3:uid="{F8E4AAF4-9F47-4B73-963F-3670AFA711FA}" name="26101"/>
    <tableColumn id="3529" xr3:uid="{A2BD60EF-3A0E-4E1C-8427-E248B9347983}" name="26104"/>
    <tableColumn id="3530" xr3:uid="{508D602B-5044-47F9-9DF8-4D628183295C}" name="26105"/>
    <tableColumn id="3531" xr3:uid="{BCBAF1E0-41E3-4B03-B97E-9015E48B4891}" name="26133"/>
    <tableColumn id="3532" xr3:uid="{09D4B947-D18F-4918-B0D1-65CC6F7FD05C}" name="26134"/>
    <tableColumn id="3533" xr3:uid="{4B1CD811-C902-4125-9672-6F7BF70F53D5}" name="26136"/>
    <tableColumn id="3534" xr3:uid="{8F32AD60-91D3-4EDE-B392-5E1495D32A2E}" name="26137"/>
    <tableColumn id="3535" xr3:uid="{A5C11359-76E4-40E8-9B5A-E03AF9B5C040}" name="26138"/>
    <tableColumn id="3536" xr3:uid="{4CF9182F-1B1E-4C21-B9F1-6BA2BFDCDA79}" name="26141"/>
    <tableColumn id="3537" xr3:uid="{09FA83AD-EFD9-446B-89B7-58F5D4A7902C}" name="26142"/>
    <tableColumn id="3538" xr3:uid="{D7A6FEB9-DFFD-4431-AEAD-D2B72F0890E5}" name="26143"/>
    <tableColumn id="3539" xr3:uid="{F0D9B1D3-85ED-4C49-BF3A-87E581260D96}" name="26146"/>
    <tableColumn id="3540" xr3:uid="{5DD5503E-018D-46E2-86EC-069BA955079E}" name="26147"/>
    <tableColumn id="3541" xr3:uid="{E8510924-66E7-4626-8DC7-D45D1314C0EE}" name="26148"/>
    <tableColumn id="3542" xr3:uid="{29FF0CA2-8488-4A15-87B1-684D263279D3}" name="26149"/>
    <tableColumn id="3543" xr3:uid="{640587E5-9BEC-4721-82D5-06B0045B14E2}" name="26150"/>
    <tableColumn id="3544" xr3:uid="{EC820B14-5BD6-41F0-AD3A-7D08250C4BE8}" name="26151"/>
    <tableColumn id="3545" xr3:uid="{97FA4AE3-1902-43B3-8ABD-B0378DE96ED1}" name="26152"/>
    <tableColumn id="3546" xr3:uid="{6253E25E-E772-428E-A571-C693859A10EA}" name="26155"/>
    <tableColumn id="3547" xr3:uid="{E9F4442D-8619-4DA8-8263-8F987400851C}" name="26159"/>
    <tableColumn id="3548" xr3:uid="{654F445D-7ADC-4E5D-AA5A-72A5635F96AB}" name="26160"/>
    <tableColumn id="3549" xr3:uid="{74BBE382-41D2-495D-BD2D-F3AC77402A1C}" name="26161"/>
    <tableColumn id="3550" xr3:uid="{349EAE9C-369F-43E3-BF87-2286DE04E472}" name="26162"/>
    <tableColumn id="3551" xr3:uid="{EF5438DE-E2D0-45F9-A3EA-BC18B0B881EC}" name="26164"/>
    <tableColumn id="3552" xr3:uid="{42611E5D-3418-4201-9ABE-DF5C5BB5B7A0}" name="26167"/>
    <tableColumn id="3553" xr3:uid="{CE9F16ED-59FE-4BF2-B35B-2381FC9652C9}" name="26169"/>
    <tableColumn id="3554" xr3:uid="{F28B45C9-528C-4391-86BD-E5C450AD55F7}" name="26170"/>
    <tableColumn id="3555" xr3:uid="{F15C900F-3440-44AA-A1C6-5511D2D9212B}" name="26175"/>
    <tableColumn id="3556" xr3:uid="{493632FC-E053-4919-95CD-B2587120CF18}" name="26178"/>
    <tableColumn id="3557" xr3:uid="{B601A7AC-D36C-4320-B5D9-E299FE65A6B5}" name="26180"/>
    <tableColumn id="3558" xr3:uid="{4D821AA1-4655-447E-ACA0-14201A277AC3}" name="26181"/>
    <tableColumn id="3559" xr3:uid="{D7E51D2D-4E7E-48A5-A377-8EFC3046C09A}" name="26184"/>
    <tableColumn id="3560" xr3:uid="{1F390625-98B5-45DC-8B9A-C77EFE0A5AA9}" name="26187"/>
    <tableColumn id="3561" xr3:uid="{E5DA3257-0E1A-4B42-9071-5DE73B0F1648}" name="26201"/>
    <tableColumn id="3562" xr3:uid="{6E117FF2-9723-44AB-BCA1-37BEECF66632}" name="26202"/>
    <tableColumn id="3563" xr3:uid="{0B374380-C93E-4238-8235-34C7A3B44A3E}" name="26203"/>
    <tableColumn id="3564" xr3:uid="{32423833-F9F6-4F8B-8EF8-E9D6F1CF1D6C}" name="26205"/>
    <tableColumn id="3565" xr3:uid="{32FF6619-463C-4FBD-83AE-881701CD0B78}" name="26206"/>
    <tableColumn id="3566" xr3:uid="{D99879E1-D031-4A7D-8CD3-AEB8A28936C2}" name="26208"/>
    <tableColumn id="3567" xr3:uid="{0FCB3089-70AA-4709-9AE7-F6B3A7D43F54}" name="26209"/>
    <tableColumn id="3568" xr3:uid="{DFAB4D95-5EC6-4A6B-B127-6864DFFF2022}" name="26210"/>
    <tableColumn id="3569" xr3:uid="{B2C13C34-353B-4405-AE91-CEE5FC4DB70F}" name="26215"/>
    <tableColumn id="3570" xr3:uid="{27A8088B-9195-4E41-BB4B-898E7A2E4D52}" name="26217"/>
    <tableColumn id="3571" xr3:uid="{94706966-B61C-4017-8537-6E8A94A9858B}" name="26218"/>
    <tableColumn id="3572" xr3:uid="{B133C8AB-8A7A-4280-99B4-EC17F996DBE8}" name="26222"/>
    <tableColumn id="3573" xr3:uid="{7B924198-23F5-4474-8A28-3D720F525A1E}" name="26224"/>
    <tableColumn id="3574" xr3:uid="{2E7B4907-0F18-48DB-AF7E-34D6635A922A}" name="26228"/>
    <tableColumn id="3575" xr3:uid="{829F87D2-5AF5-43B8-A5C8-B3253ADEACDA}" name="26230"/>
    <tableColumn id="3576" xr3:uid="{C66159FE-692D-41AC-B2B8-9D381548107F}" name="26234"/>
    <tableColumn id="3577" xr3:uid="{0EB642F8-F165-4443-BF32-CB96D3784F4A}" name="26236"/>
    <tableColumn id="3578" xr3:uid="{6291EE60-B538-4F95-8B32-E9F7D1F4AA0D}" name="26237"/>
    <tableColumn id="3579" xr3:uid="{2AD9C582-0A17-4999-BFA5-B9DB133A20FF}" name="26238"/>
    <tableColumn id="3580" xr3:uid="{81765623-69A5-4BC3-AC69-CF2D1B6FFA93}" name="26241"/>
    <tableColumn id="3581" xr3:uid="{A24622BC-E528-4DD1-96E7-417CA01C3590}" name="26250"/>
    <tableColumn id="3582" xr3:uid="{194B3081-0F82-4849-AE1A-320AF45373F1}" name="26253"/>
    <tableColumn id="3583" xr3:uid="{136BCECB-CEFD-49F6-AF70-7302942BCAF2}" name="26254"/>
    <tableColumn id="3584" xr3:uid="{2983E9EF-2729-4197-B4C8-5E018F10002F}" name="26257"/>
    <tableColumn id="3585" xr3:uid="{5AED9CB5-8690-47F0-B262-E28B729F8BAC}" name="26259"/>
    <tableColumn id="3586" xr3:uid="{0E4D0A85-5710-448B-AEB9-8EAB7D5CD91D}" name="26260"/>
    <tableColumn id="3587" xr3:uid="{3D7C6D9E-D08A-4056-85FD-E56BA69DF0D1}" name="26261"/>
    <tableColumn id="3588" xr3:uid="{2F620B64-BB2C-472F-9501-A9421169A292}" name="26263"/>
    <tableColumn id="3589" xr3:uid="{9F029463-647D-463F-97DA-EF30B56B5653}" name="26264"/>
    <tableColumn id="3590" xr3:uid="{0DD8A7F2-7C81-49A5-AA42-2D5B9C0C1AA7}" name="26266"/>
    <tableColumn id="3591" xr3:uid="{43727285-05F4-4943-8BF8-44971E6AF49E}" name="26267"/>
    <tableColumn id="3592" xr3:uid="{5ED45F19-495C-4336-AE18-8E1B20A28888}" name="26268"/>
    <tableColumn id="3593" xr3:uid="{68FA6A2A-8527-45AB-8ED3-59D0D9149066}" name="26269"/>
    <tableColumn id="3594" xr3:uid="{6643CB46-FE4D-4657-9D51-EAD9B3D56F53}" name="26270"/>
    <tableColumn id="3595" xr3:uid="{54F9872F-CDF4-456A-AC92-9F596400A397}" name="26271"/>
    <tableColumn id="3596" xr3:uid="{8AC8B18D-3B7D-474F-9CFC-FBF150DF3387}" name="26273"/>
    <tableColumn id="3597" xr3:uid="{518CAD6B-5D01-47EB-B8B1-55DEBE338B20}" name="26275"/>
    <tableColumn id="3598" xr3:uid="{9F247807-8514-40D2-A2E0-E33F7EAF953F}" name="26276"/>
    <tableColumn id="3599" xr3:uid="{9FC2A773-3621-4126-A378-61959BC30196}" name="26278"/>
    <tableColumn id="3600" xr3:uid="{ED9FB31C-55B0-47C3-A671-13BB0D8B9352}" name="26280"/>
    <tableColumn id="3601" xr3:uid="{741F132C-08E1-470F-9719-43672AD9B687}" name="26282"/>
    <tableColumn id="3602" xr3:uid="{8888C1EF-708B-40F2-869E-898ECE1E4663}" name="26283"/>
    <tableColumn id="3603" xr3:uid="{F955BCEB-9254-4AC4-AFD2-1052B513DCC8}" name="26285"/>
    <tableColumn id="3604" xr3:uid="{EF97CF0D-761F-4C6B-8294-F4632A6DA0E4}" name="26287"/>
    <tableColumn id="3605" xr3:uid="{8AB6386A-0D87-4C3B-8945-F4C0C098E89F}" name="26288"/>
    <tableColumn id="3606" xr3:uid="{28C8AB3C-2FCC-48BF-A018-4C44BA2F8E04}" name="26289"/>
    <tableColumn id="3607" xr3:uid="{D887E51A-26CB-472A-9EDF-56015EF36D47}" name="26291"/>
    <tableColumn id="3608" xr3:uid="{F161A8F7-A60C-4252-AD46-4377A1578BCB}" name="26292"/>
    <tableColumn id="3609" xr3:uid="{D5B08EE4-121D-4262-91B6-1B0341944A2A}" name="26293"/>
    <tableColumn id="3610" xr3:uid="{D07D3E74-D388-4F83-8932-4AAC1A910676}" name="26294"/>
    <tableColumn id="3611" xr3:uid="{6C02F3B7-5267-4389-BE48-CF358B385E05}" name="26296"/>
    <tableColumn id="3612" xr3:uid="{C5243192-C46F-450A-90AC-7CFDEEFC09B6}" name="26298"/>
    <tableColumn id="3613" xr3:uid="{0BFF8780-B574-4C38-8C5A-85852444B212}" name="26301"/>
    <tableColumn id="3614" xr3:uid="{5DDFB88C-BB50-4942-BBFA-8D0CD6D81BCB}" name="26320"/>
    <tableColumn id="3615" xr3:uid="{1E8D8848-83F6-42EA-8719-D32E43E82953}" name="26321"/>
    <tableColumn id="3616" xr3:uid="{F6F9F61D-C889-4C21-8DA7-2CA9FD023C6C}" name="26323"/>
    <tableColumn id="3617" xr3:uid="{FD05BFED-3D9F-4E62-A4D8-CC48A11539DA}" name="26325"/>
    <tableColumn id="3618" xr3:uid="{2493F65D-E559-4B08-8ADD-B9B5BB6990A0}" name="26327"/>
    <tableColumn id="3619" xr3:uid="{C40F59E8-6965-4E2D-BFB4-9DB386C8664C}" name="26330"/>
    <tableColumn id="3620" xr3:uid="{7229082E-9166-4D78-9755-C27D364CB679}" name="26335"/>
    <tableColumn id="3621" xr3:uid="{63206B2D-D812-4DF3-A9B2-491E4A3A79BC}" name="26337"/>
    <tableColumn id="3622" xr3:uid="{96D423C6-B2B5-4055-B555-19D6988806E3}" name="26338"/>
    <tableColumn id="3623" xr3:uid="{7B28F4C6-9239-473A-977B-A75B7C53C4D9}" name="26339"/>
    <tableColumn id="3624" xr3:uid="{3EEA357D-BB59-435F-A6B3-F6A586E1896A}" name="26342"/>
    <tableColumn id="3625" xr3:uid="{4FE4305C-59BA-4FDB-ABA9-10F4A27E28AF}" name="26343"/>
    <tableColumn id="3626" xr3:uid="{E8F11BBE-F7E6-4F0B-9FD4-B5175C32A7D4}" name="26346"/>
    <tableColumn id="3627" xr3:uid="{515CF75D-557D-45D9-AE38-B33C78BACC82}" name="26347"/>
    <tableColumn id="3628" xr3:uid="{29B4CEED-483A-4887-924E-E91672974AD1}" name="26348"/>
    <tableColumn id="3629" xr3:uid="{8AAEB925-308F-41AF-8DFE-AAF30D0B246A}" name="26349"/>
    <tableColumn id="3630" xr3:uid="{E9281580-3C7C-427C-8A45-C0CE479F40FD}" name="26351"/>
    <tableColumn id="3631" xr3:uid="{EC09C862-3791-4FC2-8F53-7773A7A0289F}" name="26354"/>
    <tableColumn id="3632" xr3:uid="{D0A1F848-01A8-4660-8FD7-1647DFD27FE9}" name="26361"/>
    <tableColumn id="3633" xr3:uid="{EC6C6B16-3125-464F-8648-CBDFDF4AB6B5}" name="26362"/>
    <tableColumn id="3634" xr3:uid="{81073580-A36D-439A-869C-2D1D2FB6411E}" name="26366"/>
    <tableColumn id="3635" xr3:uid="{ABF5490F-0A82-426C-A8FC-77552B5382AE}" name="26369"/>
    <tableColumn id="3636" xr3:uid="{641DC5FD-8382-40E7-85A0-AE37F0D15BBE}" name="26372"/>
    <tableColumn id="3637" xr3:uid="{525ECCAE-57F4-40EE-9D04-721C16BBE80F}" name="26374"/>
    <tableColumn id="3638" xr3:uid="{25276200-6A07-43C0-80C1-9552CF07DDE3}" name="26376"/>
    <tableColumn id="3639" xr3:uid="{E0F016D0-0274-4B58-A25D-5F5ED0DB36D7}" name="26377"/>
    <tableColumn id="3640" xr3:uid="{72CD0D28-EA05-4F39-B8AB-EDDD5E74A9E8}" name="26378"/>
    <tableColumn id="3641" xr3:uid="{68F73124-4AFB-473A-BFA4-65D8C5160B52}" name="26384"/>
    <tableColumn id="3642" xr3:uid="{DCAF3F24-DFA9-4AD6-A9B6-052E001A610A}" name="26385"/>
    <tableColumn id="3643" xr3:uid="{B8602A83-FB25-4127-B535-A39246C0FF54}" name="26386"/>
    <tableColumn id="3644" xr3:uid="{8CA34A65-D272-496B-80B8-F4F6041C0A2E}" name="26404"/>
    <tableColumn id="3645" xr3:uid="{C016A611-D72B-4CC1-A8E6-10EE2D4C7AF3}" name="26405"/>
    <tableColumn id="3646" xr3:uid="{A6576F4A-D9F1-4D22-B634-59E379666F3E}" name="26408"/>
    <tableColumn id="3647" xr3:uid="{4A31232B-652F-40BA-8778-773943E38F83}" name="26410"/>
    <tableColumn id="3648" xr3:uid="{B7A362EE-8913-4FDA-8E5B-11E8AE0ED72C}" name="26411"/>
    <tableColumn id="3649" xr3:uid="{C00653F9-8636-499B-850C-5E5A73563122}" name="26412"/>
    <tableColumn id="3650" xr3:uid="{1744F991-8D45-4532-8A88-A901DC65513E}" name="26415"/>
    <tableColumn id="3651" xr3:uid="{AE2E6CF3-5558-420E-BA40-BA1D82858A52}" name="26416"/>
    <tableColumn id="3652" xr3:uid="{79C7745A-D921-417B-B537-7CF098C87276}" name="26419"/>
    <tableColumn id="3653" xr3:uid="{44153AB6-0890-40BA-B027-272C5FB0BF88}" name="26421"/>
    <tableColumn id="3654" xr3:uid="{EA46B726-44D3-4849-8D2F-E827EC3021EB}" name="26422"/>
    <tableColumn id="3655" xr3:uid="{DC915792-2C33-46EA-B2FA-3F51C20222A0}" name="26424"/>
    <tableColumn id="3656" xr3:uid="{BE5B0D3E-7A9D-450F-97AB-076F19100450}" name="26425"/>
    <tableColumn id="3657" xr3:uid="{DE5D0DCC-2620-4128-9119-D6F1C2C93B9E}" name="26426"/>
    <tableColumn id="3658" xr3:uid="{2F95C347-A800-4182-BF42-81B4DBB8DAC5}" name="26430"/>
    <tableColumn id="3659" xr3:uid="{AD1D137C-B668-42C6-8B63-7EBD91E41191}" name="26431"/>
    <tableColumn id="3660" xr3:uid="{1A61507D-7D50-4004-96DA-EF307934DC8D}" name="26435"/>
    <tableColumn id="3661" xr3:uid="{CF1FE96F-59AF-4C6A-A6F5-8A5A658419F9}" name="26436"/>
    <tableColumn id="3662" xr3:uid="{E18A5E2E-F9A2-45DF-8474-E1688A0C1683}" name="26437"/>
    <tableColumn id="3663" xr3:uid="{AF2F1B5D-EDD2-427C-B189-900FDAEDBF8F}" name="26438"/>
    <tableColumn id="3664" xr3:uid="{02802D36-8F58-4F36-80CF-274E01F4B5FB}" name="26440"/>
    <tableColumn id="3665" xr3:uid="{1CD42927-C02F-4374-BFEA-06379E7A8EDB}" name="26443"/>
    <tableColumn id="3666" xr3:uid="{62F12060-2B35-4145-ADBB-18DE568CF06E}" name="26444"/>
    <tableColumn id="3667" xr3:uid="{03808CA6-6F29-4188-B435-39505359C983}" name="26447"/>
    <tableColumn id="3668" xr3:uid="{7E44A559-77AB-4C15-B2B8-87D06BDADAEC}" name="26448"/>
    <tableColumn id="3669" xr3:uid="{AE5E6BAC-B891-4AE9-914B-278AAD26D5B3}" name="26451"/>
    <tableColumn id="3670" xr3:uid="{AB0D128A-60FE-4D47-A6D2-C24E5FE1B315}" name="26452"/>
    <tableColumn id="3671" xr3:uid="{ACEF4CB7-8B20-458D-9976-FEC6AFD10E6D}" name="26456"/>
    <tableColumn id="3672" xr3:uid="{21311D64-77A6-44A3-8115-9BE4667B939A}" name="26463"/>
    <tableColumn id="3673" xr3:uid="{6DCDB4E4-9988-412A-B861-6D04ABF86209}" name="26501"/>
    <tableColumn id="3674" xr3:uid="{B9423A57-D71D-4C0E-8681-A870235A8ED0}" name="26505"/>
    <tableColumn id="3675" xr3:uid="{A45F4E9C-8F51-4332-A7F5-BFE4F4EC8A80}" name="26506"/>
    <tableColumn id="3676" xr3:uid="{85F31B96-EE93-4AC8-87D8-E28E15F0AC1C}" name="26508"/>
    <tableColumn id="3677" xr3:uid="{9953D527-601C-4E02-A6F9-B1F87969FD00}" name="26519"/>
    <tableColumn id="3678" xr3:uid="{D750026A-F5E8-4779-94CE-61CC499913EE}" name="26520"/>
    <tableColumn id="3679" xr3:uid="{F1690D27-90DA-4370-9927-1352C772A935}" name="26521"/>
    <tableColumn id="3680" xr3:uid="{87D88CA5-9249-4A80-A8C1-389F8EBA6653}" name="26524"/>
    <tableColumn id="3681" xr3:uid="{C3AC1C5B-D783-4018-8731-638F8C5ED347}" name="26525"/>
    <tableColumn id="3682" xr3:uid="{BABF4B57-3909-4D67-A29E-E2321E5E642F}" name="26534"/>
    <tableColumn id="3683" xr3:uid="{DFBC92D4-0EA6-4468-A9C2-26E3CBF78C80}" name="26537"/>
    <tableColumn id="3684" xr3:uid="{0E017D93-E411-4430-BD6E-5B1A0E37968C}" name="26541"/>
    <tableColumn id="3685" xr3:uid="{A69B86F7-42C1-4AA9-BC8B-DFFCA4C6D623}" name="26542"/>
    <tableColumn id="3686" xr3:uid="{DA8EC1A2-F005-43FF-9813-28C25AE767DE}" name="26543"/>
    <tableColumn id="3687" xr3:uid="{9DAB79E2-C49E-4344-8CA3-36D58E2C9566}" name="26544"/>
    <tableColumn id="3688" xr3:uid="{2BE1202C-09D7-4835-A5CB-DBF5E5134B27}" name="26546"/>
    <tableColumn id="3689" xr3:uid="{745DAC30-114A-475E-9690-09AF34E0D88D}" name="26547"/>
    <tableColumn id="3690" xr3:uid="{127EFCE6-50B8-4529-BF49-AE2716A79E87}" name="26554"/>
    <tableColumn id="3691" xr3:uid="{5B757E93-09D0-4555-A1E7-E8F34BB7D2B2}" name="26559"/>
    <tableColumn id="3692" xr3:uid="{3893AE1A-9F8A-451F-9911-B3049BB629D8}" name="26560"/>
    <tableColumn id="3693" xr3:uid="{E7658BD5-108D-4B68-92F8-416CBFFF03B7}" name="26562"/>
    <tableColumn id="3694" xr3:uid="{16767ED1-31E8-47B6-BF9E-7B40505D5A3E}" name="26563"/>
    <tableColumn id="3695" xr3:uid="{DE6A4012-C8AA-4F67-9D0E-545308A08DD5}" name="26568"/>
    <tableColumn id="3696" xr3:uid="{DCED8D13-F065-43E9-93C4-3F3A125FE969}" name="26570"/>
    <tableColumn id="3697" xr3:uid="{3B86EEFC-EB9A-41CF-928E-50B2139B50E6}" name="26571"/>
    <tableColumn id="3698" xr3:uid="{3194A6A0-E5F8-41DF-92C2-C5D8740994D0}" name="26572"/>
    <tableColumn id="3699" xr3:uid="{B26EA868-BDE0-4095-BA6E-05196A11CB14}" name="26574"/>
    <tableColumn id="3700" xr3:uid="{FA42B2B4-3536-48FF-A797-07B8FA464E1C}" name="26575"/>
    <tableColumn id="3701" xr3:uid="{9376E1AB-1B6C-4684-AD46-29456E4C1A97}" name="26576"/>
    <tableColumn id="3702" xr3:uid="{AE1CA812-94F7-4869-90FF-86AA768000BA}" name="26581"/>
    <tableColumn id="3703" xr3:uid="{2F8CBF6C-F9C4-4EFC-86EA-51D6D590F4EF}" name="26582"/>
    <tableColumn id="3704" xr3:uid="{FB1A71A1-7E41-4863-9A9B-78451B9FBA6A}" name="26585"/>
    <tableColumn id="3705" xr3:uid="{55C79080-7B6D-4AF8-A802-FD119DAFBE66}" name="26586"/>
    <tableColumn id="3706" xr3:uid="{2A73F364-5F33-41A3-8777-0BD398188FE5}" name="26587"/>
    <tableColumn id="3707" xr3:uid="{FE47C25C-1A4F-45BD-AF57-0EEDA546BDE1}" name="26588"/>
    <tableColumn id="3708" xr3:uid="{03DE002D-3490-4588-A58F-A2CC28685D16}" name="26590"/>
    <tableColumn id="3709" xr3:uid="{BE513D46-BE30-4C79-91DA-5754AB240C64}" name="26591"/>
    <tableColumn id="3710" xr3:uid="{B97AA0F3-DA42-44DC-8363-06CEE1FA38BB}" name="26601"/>
    <tableColumn id="3711" xr3:uid="{4A94ED21-A80D-4B4B-87B3-A1FBA14EB90E}" name="26610"/>
    <tableColumn id="3712" xr3:uid="{84C25DD8-4FDE-43C4-ABCC-BEACC3FAE533}" name="26611"/>
    <tableColumn id="3713" xr3:uid="{E0C4DD9B-2106-4D1D-B1EA-50CEBD9E498D}" name="26615"/>
    <tableColumn id="3714" xr3:uid="{C7BF2970-4A14-4EF7-A8F3-743392EC6F80}" name="26617"/>
    <tableColumn id="3715" xr3:uid="{2E15B8BD-040C-4784-B89C-13A1A7096D4E}" name="26619"/>
    <tableColumn id="3716" xr3:uid="{ADCD65C5-3567-4727-8729-D1CFCC42E8BC}" name="26621"/>
    <tableColumn id="3717" xr3:uid="{372279C4-B9A2-4678-9835-35B93E9260AF}" name="26623"/>
    <tableColumn id="3718" xr3:uid="{D65261AD-9BAB-440A-8C03-CCCD53BA5F87}" name="26624"/>
    <tableColumn id="3719" xr3:uid="{5AC95CE8-D69C-43FF-89C7-83344415DE1C}" name="26627"/>
    <tableColumn id="3720" xr3:uid="{3AAF622C-9BF5-4E16-8898-38B1E4D38A2B}" name="26629"/>
    <tableColumn id="3721" xr3:uid="{3D853D57-4738-4C7F-9CA7-6280706D5A9B}" name="26631"/>
    <tableColumn id="3722" xr3:uid="{1242428D-4274-4ADD-8F37-C3ADC59EA710}" name="26636"/>
    <tableColumn id="3723" xr3:uid="{24A9A7B0-28E5-4000-B83B-944881A5D87B}" name="26638"/>
    <tableColumn id="3724" xr3:uid="{47656591-886E-4CFE-8561-D156362142B7}" name="26651"/>
    <tableColumn id="3725" xr3:uid="{15DFE4BA-5699-4799-A578-66102C0E59C2}" name="26656"/>
    <tableColumn id="3726" xr3:uid="{B7BC599D-6D49-4F17-8733-8AF30CE337F3}" name="26660"/>
    <tableColumn id="3727" xr3:uid="{3AA08D23-2875-4775-B3D7-7C2B3CC63088}" name="26662"/>
    <tableColumn id="3728" xr3:uid="{9BD4D33D-6A97-4980-BDBE-9291FF166437}" name="26667"/>
    <tableColumn id="3729" xr3:uid="{FD4445E7-E5CD-4983-B106-60286E39412B}" name="26671"/>
    <tableColumn id="3730" xr3:uid="{A47463BE-AA1F-4956-B342-C0010339FF42}" name="26676"/>
    <tableColumn id="3731" xr3:uid="{5319665C-5B46-4B58-8EFE-A12B2D5BF461}" name="26678"/>
    <tableColumn id="3732" xr3:uid="{6F156872-757E-40ED-A16D-C180E226F349}" name="26679"/>
    <tableColumn id="3733" xr3:uid="{BADDBD29-A062-47DA-BAE2-A62904660BD6}" name="26680"/>
    <tableColumn id="3734" xr3:uid="{2EE77AF1-DED7-4210-A23C-45AFD1FB5A5D}" name="26681"/>
    <tableColumn id="3735" xr3:uid="{85922B10-5CA5-4473-9ED4-AE24B9C705FE}" name="26684"/>
    <tableColumn id="3736" xr3:uid="{AC97434A-7C3E-4C45-9CA2-5699EA7CFB88}" name="26690"/>
    <tableColumn id="3737" xr3:uid="{4B1D8EC2-EE90-4F37-A0C8-135E43BC293B}" name="26691"/>
    <tableColumn id="3738" xr3:uid="{FE3B7088-3019-4E33-BB29-952A13217090}" name="26704"/>
    <tableColumn id="3739" xr3:uid="{0D5E3082-8DC3-4E28-A06F-E384803E7346}" name="26705"/>
    <tableColumn id="3740" xr3:uid="{C57D3C43-727C-4D92-8634-6E1FF09117CD}" name="26707"/>
    <tableColumn id="3741" xr3:uid="{D9E9EAAD-3FD4-4A01-8575-9B20F550EBBD}" name="26710"/>
    <tableColumn id="3742" xr3:uid="{E9E2080A-00D5-4260-BD22-F94F2F284B6D}" name="26711"/>
    <tableColumn id="3743" xr3:uid="{2FF5AF12-EBB9-439C-AEA4-CF31822972D7}" name="26714"/>
    <tableColumn id="3744" xr3:uid="{37D0E5D1-D9BF-403C-B74D-034C91968AA5}" name="26716"/>
    <tableColumn id="3745" xr3:uid="{1EE3B202-EBF4-4DB0-8AC1-6450F04D0644}" name="26717"/>
    <tableColumn id="3746" xr3:uid="{223CA541-BC72-4B9F-A56E-B488DEEAB934}" name="26719"/>
    <tableColumn id="3747" xr3:uid="{0CA6676A-44AC-4DA3-8EC5-D39733B82383}" name="26720"/>
    <tableColumn id="3748" xr3:uid="{E9D7B0A8-E810-474E-AD15-71FAA8D871FA}" name="26722"/>
    <tableColumn id="3749" xr3:uid="{1B5C30E7-C70C-415D-9600-260AF739FDCF}" name="26726"/>
    <tableColumn id="3750" xr3:uid="{A3712FA5-75CA-41B2-9800-026256A3960B}" name="26731"/>
    <tableColumn id="3751" xr3:uid="{F59C6632-ED6C-43F5-94C3-EAF6C99D779B}" name="26739"/>
    <tableColumn id="3752" xr3:uid="{A635F912-70F5-40E9-879A-E75F82998A38}" name="26743"/>
    <tableColumn id="3753" xr3:uid="{B2A0016F-F0A9-41A0-89BC-88C6DB064C23}" name="26750"/>
    <tableColumn id="3754" xr3:uid="{D2D5B239-C2D7-4182-8A54-6BDCD95E7CFA}" name="26753"/>
    <tableColumn id="3755" xr3:uid="{2E6C89BE-4C74-4842-8D93-CC7967BFC69C}" name="26755"/>
    <tableColumn id="3756" xr3:uid="{94B8BB18-34E1-4A26-92A3-C28A23FE7868}" name="26757"/>
    <tableColumn id="3757" xr3:uid="{4BC48018-EBC4-4105-BA9E-CF48E9A12216}" name="26761"/>
    <tableColumn id="3758" xr3:uid="{33A13825-CF6F-460E-9EDB-0C26DB33FAB5}" name="26763"/>
    <tableColumn id="3759" xr3:uid="{45593850-1F95-4CA1-A13D-9379A76F5864}" name="26764"/>
    <tableColumn id="3760" xr3:uid="{0C8A9E2D-F7A7-44B7-8F12-F4A750C6BAC4}" name="26767"/>
    <tableColumn id="3761" xr3:uid="{FDA9DC21-B72B-4FD0-9E52-0B1690C91A04}" name="26801"/>
    <tableColumn id="3762" xr3:uid="{82A6237D-2EDB-4AA7-9D06-1E3E1759E97E}" name="26802"/>
    <tableColumn id="3763" xr3:uid="{7A2475BD-E56E-45B8-A155-4C77131FE911}" name="26804"/>
    <tableColumn id="3764" xr3:uid="{59527210-DCA5-492B-B0B3-623328A98622}" name="26807"/>
    <tableColumn id="3765" xr3:uid="{E05DED44-374F-4828-A8E6-2A269998CE1B}" name="26808"/>
    <tableColumn id="3766" xr3:uid="{185C4F16-4D8D-4B8F-8DAA-3333D52ED29E}" name="26810"/>
    <tableColumn id="3767" xr3:uid="{FDEAE202-D4F8-4F04-8F16-B72E2DF0B14A}" name="26812"/>
    <tableColumn id="3768" xr3:uid="{7A505E68-4936-42A6-8134-2E6CC4CD330F}" name="26814"/>
    <tableColumn id="3769" xr3:uid="{08C843EB-D190-4491-917A-0C190F15BDCA}" name="26815"/>
    <tableColumn id="3770" xr3:uid="{CE35A020-B5A9-4C3B-B825-51B431D466F2}" name="26817"/>
    <tableColumn id="3771" xr3:uid="{E502CBAF-03EA-4EC5-9E60-94067BC9C3E6}" name="26818"/>
    <tableColumn id="3772" xr3:uid="{6138F3F9-2CD2-4492-B78A-CB7C69B2626F}" name="26823"/>
    <tableColumn id="3773" xr3:uid="{CA53AC94-038C-4665-951F-CAA3CF42E26C}" name="26833"/>
    <tableColumn id="3774" xr3:uid="{5C61F4FB-0D3A-4D1B-90F9-DEECAC358818}" name="26836"/>
    <tableColumn id="3775" xr3:uid="{86B3AB96-378D-4166-82D3-65B019B4BAAE}" name="26838"/>
    <tableColumn id="3776" xr3:uid="{E426C7D5-E6B6-4772-AB67-F806A9369483}" name="26845"/>
    <tableColumn id="3777" xr3:uid="{9D1912DB-4ED7-44DF-87F6-9541EF86227C}" name="26847"/>
    <tableColumn id="3778" xr3:uid="{34FFF502-8A02-4B6A-8C86-B79D0C86583D}" name="26851"/>
    <tableColumn id="3779" xr3:uid="{53A357D5-6596-4352-8D45-2C2B28CFE9F5}" name="26852"/>
    <tableColumn id="3780" xr3:uid="{C1F3FE0D-031E-49B7-8EA2-8110F7D73B70}" name="26855"/>
    <tableColumn id="3781" xr3:uid="{E2BDEA2B-E74B-418A-9353-F77E2F6E58FC}" name="26865"/>
    <tableColumn id="3782" xr3:uid="{C216CA68-3013-4678-9B73-2000DF0237CA}" name="26866"/>
    <tableColumn id="3783" xr3:uid="{B2C724CF-AA66-4485-9A86-1D474FFA1DB8}" name="26884"/>
    <tableColumn id="3784" xr3:uid="{AB893059-8F3E-4BF3-B569-B7380F655DC9}" name="2688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2206-12D6-4375-9D9A-9FDF6C951491}">
  <sheetPr>
    <tabColor rgb="FF1A4480"/>
    <pageSetUpPr fitToPage="1"/>
  </sheetPr>
  <dimension ref="A1:G48"/>
  <sheetViews>
    <sheetView showGridLines="0" topLeftCell="A17" zoomScale="130" zoomScaleNormal="130" workbookViewId="0">
      <selection activeCell="F19" sqref="F19:G21"/>
    </sheetView>
  </sheetViews>
  <sheetFormatPr defaultColWidth="9.1796875" defaultRowHeight="14" x14ac:dyDescent="0.3"/>
  <cols>
    <col min="1" max="1" width="55.1796875" style="117" customWidth="1"/>
    <col min="2" max="2" width="18" style="117" customWidth="1"/>
    <col min="3" max="3" width="4.26953125" style="117" customWidth="1"/>
    <col min="4" max="4" width="13" style="117" customWidth="1"/>
    <col min="5" max="5" width="15.453125" style="117" customWidth="1"/>
    <col min="6" max="6" width="31" style="117" customWidth="1"/>
    <col min="7" max="7" width="22.26953125" style="117" customWidth="1"/>
    <col min="8" max="16384" width="9.1796875" style="117"/>
  </cols>
  <sheetData>
    <row r="1" spans="1:7" ht="45" customHeight="1" x14ac:dyDescent="0.6">
      <c r="A1" s="116" t="s">
        <v>3979</v>
      </c>
      <c r="G1" s="187" t="s">
        <v>3977</v>
      </c>
    </row>
    <row r="2" spans="1:7" ht="15.5" x14ac:dyDescent="0.35">
      <c r="A2" s="118" t="s">
        <v>3978</v>
      </c>
      <c r="G2" s="187"/>
    </row>
    <row r="3" spans="1:7" ht="25.5" x14ac:dyDescent="0.3">
      <c r="A3" s="140" t="s">
        <v>3976</v>
      </c>
      <c r="B3" s="119"/>
      <c r="C3" s="119"/>
      <c r="D3" s="119"/>
      <c r="E3" s="119"/>
      <c r="F3" s="119"/>
      <c r="G3" s="146" t="s">
        <v>4154</v>
      </c>
    </row>
    <row r="4" spans="1:7" ht="15.5" x14ac:dyDescent="0.35">
      <c r="A4" s="120" t="s">
        <v>4133</v>
      </c>
      <c r="B4" s="147"/>
      <c r="C4" s="147"/>
      <c r="D4" s="147"/>
      <c r="E4" s="147"/>
      <c r="F4" s="128"/>
      <c r="G4" s="128"/>
    </row>
    <row r="5" spans="1:7" ht="16" thickBot="1" x14ac:dyDescent="0.35">
      <c r="A5" s="121" t="s">
        <v>3975</v>
      </c>
      <c r="B5" s="121" t="s">
        <v>3974</v>
      </c>
      <c r="C5" s="121"/>
      <c r="D5" s="121" t="s">
        <v>3973</v>
      </c>
      <c r="E5" s="121"/>
      <c r="F5" s="148"/>
      <c r="G5" s="148"/>
    </row>
    <row r="6" spans="1:7" ht="18" x14ac:dyDescent="0.3">
      <c r="A6" s="122" t="s">
        <v>3970</v>
      </c>
      <c r="B6" s="123">
        <f>'Revenue and Consumption'!N10</f>
        <v>83996982.58988452</v>
      </c>
      <c r="C6" s="123"/>
      <c r="D6" s="188" t="s">
        <v>4152</v>
      </c>
      <c r="E6" s="188"/>
      <c r="F6" s="188"/>
      <c r="G6" s="188"/>
    </row>
    <row r="7" spans="1:7" ht="15" customHeight="1" x14ac:dyDescent="0.3">
      <c r="A7" s="122"/>
      <c r="B7" s="123"/>
      <c r="C7" s="123"/>
      <c r="D7" s="189"/>
      <c r="E7" s="189"/>
      <c r="F7" s="189"/>
      <c r="G7" s="189"/>
    </row>
    <row r="8" spans="1:7" ht="15.5" x14ac:dyDescent="0.35">
      <c r="A8" s="122" t="s">
        <v>4149</v>
      </c>
      <c r="B8" s="124">
        <f>INT('Revenue and Consumption'!F10)</f>
        <v>2328279060</v>
      </c>
      <c r="C8" s="124"/>
      <c r="D8" s="126" t="s">
        <v>4150</v>
      </c>
      <c r="E8" s="126"/>
      <c r="F8" s="118"/>
    </row>
    <row r="9" spans="1:7" ht="15.5" x14ac:dyDescent="0.35">
      <c r="A9" s="125" t="s">
        <v>4147</v>
      </c>
      <c r="B9" s="124">
        <f>INT('Revenue and Consumption'!K10)</f>
        <v>2229519348</v>
      </c>
      <c r="C9" s="124"/>
      <c r="D9" s="126" t="s">
        <v>4151</v>
      </c>
      <c r="E9" s="126"/>
      <c r="F9" s="118"/>
    </row>
    <row r="10" spans="1:7" ht="18" x14ac:dyDescent="0.35">
      <c r="A10" s="122" t="s">
        <v>4148</v>
      </c>
      <c r="B10" s="127">
        <f>B8-B9</f>
        <v>98759712</v>
      </c>
      <c r="C10" s="127"/>
      <c r="D10" s="126" t="s">
        <v>4146</v>
      </c>
      <c r="E10" s="126"/>
      <c r="F10" s="118"/>
    </row>
    <row r="12" spans="1:7" ht="15.5" x14ac:dyDescent="0.35">
      <c r="A12" s="120" t="s">
        <v>4139</v>
      </c>
      <c r="B12" s="128"/>
      <c r="D12" s="120" t="s">
        <v>4138</v>
      </c>
      <c r="E12" s="120"/>
      <c r="F12" s="129"/>
      <c r="G12" s="128"/>
    </row>
    <row r="13" spans="1:7" x14ac:dyDescent="0.3">
      <c r="A13" s="130" t="s">
        <v>3972</v>
      </c>
      <c r="B13" s="131"/>
      <c r="C13" s="131"/>
      <c r="D13" s="131" t="s">
        <v>3965</v>
      </c>
      <c r="E13" s="131"/>
      <c r="F13" s="183" t="s">
        <v>4167</v>
      </c>
      <c r="G13" s="183"/>
    </row>
    <row r="14" spans="1:7" x14ac:dyDescent="0.3">
      <c r="A14" s="133" t="s">
        <v>4371</v>
      </c>
      <c r="B14" s="131"/>
      <c r="C14" s="131"/>
      <c r="D14" s="131"/>
      <c r="E14" s="131"/>
      <c r="F14" s="183"/>
      <c r="G14" s="183"/>
    </row>
    <row r="15" spans="1:7" x14ac:dyDescent="0.3">
      <c r="A15" s="130" t="s">
        <v>4372</v>
      </c>
      <c r="B15" s="131"/>
      <c r="C15" s="131"/>
      <c r="D15" s="131"/>
      <c r="E15" s="131"/>
      <c r="F15" s="183"/>
      <c r="G15" s="183"/>
    </row>
    <row r="16" spans="1:7" ht="16" thickBot="1" x14ac:dyDescent="0.4">
      <c r="A16" s="134" t="s">
        <v>3968</v>
      </c>
      <c r="B16" s="134" t="s">
        <v>3967</v>
      </c>
      <c r="C16" s="135"/>
      <c r="D16" s="131" t="s">
        <v>3964</v>
      </c>
      <c r="E16" s="131"/>
      <c r="F16" s="186" t="s">
        <v>4168</v>
      </c>
      <c r="G16" s="186"/>
    </row>
    <row r="17" spans="1:7" ht="20" x14ac:dyDescent="0.3">
      <c r="A17" s="126" t="s">
        <v>4192</v>
      </c>
      <c r="B17" s="154">
        <f>Elasticity!G7</f>
        <v>-0.71035912604352014</v>
      </c>
      <c r="C17" s="137"/>
      <c r="D17" s="131"/>
      <c r="E17" s="131"/>
      <c r="F17" s="186"/>
      <c r="G17" s="186"/>
    </row>
    <row r="18" spans="1:7" ht="20" x14ac:dyDescent="0.4">
      <c r="A18" s="136" t="s">
        <v>4193</v>
      </c>
      <c r="B18" s="155">
        <f>Elasticity!G8</f>
        <v>-0.92885328475974116</v>
      </c>
      <c r="C18" s="137"/>
      <c r="D18" s="131"/>
      <c r="E18" s="131"/>
      <c r="F18" s="186"/>
      <c r="G18" s="186"/>
    </row>
    <row r="19" spans="1:7" ht="20" x14ac:dyDescent="0.4">
      <c r="A19" s="138" t="s">
        <v>4191</v>
      </c>
      <c r="B19" s="155">
        <f>Elasticity!G9</f>
        <v>-1.9421317637462001</v>
      </c>
      <c r="C19" s="137"/>
      <c r="D19" s="133" t="s">
        <v>3963</v>
      </c>
      <c r="E19" s="131"/>
      <c r="F19" s="183" t="s">
        <v>4144</v>
      </c>
      <c r="G19" s="183"/>
    </row>
    <row r="20" spans="1:7" x14ac:dyDescent="0.3">
      <c r="A20" s="183" t="s">
        <v>4145</v>
      </c>
      <c r="B20" s="183"/>
      <c r="C20" s="139"/>
      <c r="D20" s="131"/>
      <c r="E20" s="131"/>
      <c r="F20" s="183"/>
      <c r="G20" s="183"/>
    </row>
    <row r="21" spans="1:7" x14ac:dyDescent="0.3">
      <c r="A21" s="183"/>
      <c r="B21" s="183"/>
      <c r="D21" s="131"/>
      <c r="E21" s="131"/>
      <c r="F21" s="183"/>
      <c r="G21" s="183"/>
    </row>
    <row r="22" spans="1:7" x14ac:dyDescent="0.3">
      <c r="A22" s="183"/>
      <c r="B22" s="183"/>
      <c r="D22" s="131" t="s">
        <v>3962</v>
      </c>
      <c r="E22" s="131"/>
      <c r="F22" s="186" t="s">
        <v>4143</v>
      </c>
      <c r="G22" s="186"/>
    </row>
    <row r="23" spans="1:7" x14ac:dyDescent="0.3">
      <c r="A23" s="183"/>
      <c r="B23" s="183"/>
      <c r="D23" s="131"/>
      <c r="E23" s="131"/>
      <c r="F23" s="186"/>
      <c r="G23" s="186"/>
    </row>
    <row r="24" spans="1:7" ht="14.25" customHeight="1" x14ac:dyDescent="0.3">
      <c r="A24" s="183"/>
      <c r="B24" s="183"/>
      <c r="D24" s="131"/>
      <c r="E24" s="131"/>
      <c r="F24" s="186"/>
      <c r="G24" s="186"/>
    </row>
    <row r="25" spans="1:7" ht="15" customHeight="1" x14ac:dyDescent="0.3">
      <c r="A25" s="183"/>
      <c r="B25" s="183"/>
      <c r="D25" s="131"/>
      <c r="E25" s="131"/>
      <c r="F25" s="132"/>
      <c r="G25" s="132"/>
    </row>
    <row r="26" spans="1:7" ht="15" customHeight="1" x14ac:dyDescent="0.35">
      <c r="A26" s="183"/>
      <c r="B26" s="183"/>
      <c r="D26" s="120" t="s">
        <v>4134</v>
      </c>
      <c r="E26" s="120"/>
      <c r="F26" s="144"/>
      <c r="G26" s="128"/>
    </row>
    <row r="27" spans="1:7" ht="15" customHeight="1" thickBot="1" x14ac:dyDescent="0.4">
      <c r="A27" s="183"/>
      <c r="B27" s="183"/>
      <c r="D27" s="134" t="s">
        <v>3971</v>
      </c>
      <c r="E27" s="134"/>
      <c r="F27" s="134" t="s">
        <v>3900</v>
      </c>
      <c r="G27" s="148"/>
    </row>
    <row r="28" spans="1:7" ht="15" customHeight="1" x14ac:dyDescent="0.3">
      <c r="A28" s="183"/>
      <c r="B28" s="183"/>
      <c r="D28" s="182" t="s">
        <v>4142</v>
      </c>
      <c r="E28" s="182"/>
      <c r="F28" s="190" t="s">
        <v>4155</v>
      </c>
      <c r="G28" s="190"/>
    </row>
    <row r="29" spans="1:7" ht="14.25" customHeight="1" x14ac:dyDescent="0.3">
      <c r="A29" s="132"/>
      <c r="B29" s="132"/>
      <c r="D29" s="132"/>
      <c r="E29" s="132"/>
      <c r="F29" s="184"/>
      <c r="G29" s="184"/>
    </row>
    <row r="30" spans="1:7" x14ac:dyDescent="0.3">
      <c r="A30" s="132"/>
      <c r="B30" s="132"/>
      <c r="D30" s="183" t="s">
        <v>4157</v>
      </c>
      <c r="E30" s="183"/>
      <c r="F30" s="184" t="s">
        <v>4156</v>
      </c>
      <c r="G30" s="184"/>
    </row>
    <row r="31" spans="1:7" x14ac:dyDescent="0.3">
      <c r="A31" s="132"/>
      <c r="B31" s="132"/>
      <c r="D31" s="132"/>
      <c r="E31" s="132"/>
      <c r="F31" s="184"/>
      <c r="G31" s="184"/>
    </row>
    <row r="32" spans="1:7" x14ac:dyDescent="0.3">
      <c r="A32" s="132"/>
      <c r="B32" s="132"/>
      <c r="D32" s="183" t="s">
        <v>4169</v>
      </c>
      <c r="E32" s="183"/>
      <c r="F32" s="184" t="s">
        <v>4153</v>
      </c>
      <c r="G32" s="184"/>
    </row>
    <row r="33" spans="1:7" ht="14.25" customHeight="1" x14ac:dyDescent="0.3">
      <c r="A33" s="132"/>
      <c r="B33" s="132"/>
      <c r="D33" s="132"/>
      <c r="E33" s="132"/>
      <c r="F33" s="184"/>
      <c r="G33" s="184"/>
    </row>
    <row r="34" spans="1:7" x14ac:dyDescent="0.3">
      <c r="A34" s="132"/>
      <c r="B34" s="132"/>
      <c r="D34" s="132"/>
      <c r="E34" s="132"/>
      <c r="F34" s="184"/>
      <c r="G34" s="184"/>
    </row>
    <row r="35" spans="1:7" x14ac:dyDescent="0.3">
      <c r="A35" s="132"/>
      <c r="B35" s="132"/>
      <c r="D35" s="183" t="s">
        <v>4170</v>
      </c>
      <c r="E35" s="183"/>
      <c r="F35" s="184" t="s">
        <v>4171</v>
      </c>
      <c r="G35" s="184"/>
    </row>
    <row r="36" spans="1:7" x14ac:dyDescent="0.3">
      <c r="D36" s="183"/>
      <c r="E36" s="183"/>
      <c r="F36" s="184"/>
      <c r="G36" s="184"/>
    </row>
    <row r="37" spans="1:7" x14ac:dyDescent="0.3">
      <c r="F37" s="184"/>
      <c r="G37" s="184"/>
    </row>
    <row r="38" spans="1:7" x14ac:dyDescent="0.3">
      <c r="D38" s="117" t="s">
        <v>4245</v>
      </c>
      <c r="F38" s="185" t="s">
        <v>4246</v>
      </c>
      <c r="G38" s="185"/>
    </row>
    <row r="39" spans="1:7" x14ac:dyDescent="0.3">
      <c r="F39" s="185"/>
      <c r="G39" s="185"/>
    </row>
    <row r="40" spans="1:7" x14ac:dyDescent="0.3">
      <c r="F40" s="185"/>
      <c r="G40" s="185"/>
    </row>
    <row r="41" spans="1:7" x14ac:dyDescent="0.3">
      <c r="F41" s="145"/>
      <c r="G41" s="145"/>
    </row>
    <row r="42" spans="1:7" ht="15.5" x14ac:dyDescent="0.35">
      <c r="A42" s="120" t="s">
        <v>4135</v>
      </c>
      <c r="B42" s="149"/>
      <c r="C42" s="149"/>
      <c r="D42" s="128"/>
      <c r="E42" s="128"/>
      <c r="F42" s="128"/>
      <c r="G42" s="128"/>
    </row>
    <row r="43" spans="1:7" ht="16" thickBot="1" x14ac:dyDescent="0.35">
      <c r="A43" s="121" t="s">
        <v>3960</v>
      </c>
      <c r="B43" s="121" t="s">
        <v>3900</v>
      </c>
      <c r="C43" s="121"/>
      <c r="D43" s="148"/>
      <c r="E43" s="148"/>
      <c r="F43" s="148"/>
      <c r="G43" s="148"/>
    </row>
    <row r="44" spans="1:7" ht="45" customHeight="1" x14ac:dyDescent="0.3">
      <c r="A44" s="130" t="s">
        <v>4159</v>
      </c>
      <c r="B44" s="182" t="s">
        <v>4183</v>
      </c>
      <c r="C44" s="182"/>
      <c r="D44" s="182"/>
      <c r="E44" s="182"/>
      <c r="F44" s="182"/>
      <c r="G44" s="182"/>
    </row>
    <row r="45" spans="1:7" ht="30" customHeight="1" x14ac:dyDescent="0.3">
      <c r="A45" s="130" t="s">
        <v>4158</v>
      </c>
      <c r="B45" s="183" t="s">
        <v>4163</v>
      </c>
      <c r="C45" s="183"/>
      <c r="D45" s="183"/>
      <c r="E45" s="183"/>
      <c r="F45" s="183"/>
      <c r="G45" s="183"/>
    </row>
    <row r="46" spans="1:7" ht="45" customHeight="1" x14ac:dyDescent="0.3">
      <c r="A46" s="130" t="s">
        <v>4160</v>
      </c>
      <c r="B46" s="183" t="s">
        <v>4164</v>
      </c>
      <c r="C46" s="183"/>
      <c r="D46" s="183"/>
      <c r="E46" s="183"/>
      <c r="F46" s="183"/>
      <c r="G46" s="183"/>
    </row>
    <row r="47" spans="1:7" ht="45" customHeight="1" x14ac:dyDescent="0.3">
      <c r="A47" s="130" t="s">
        <v>4161</v>
      </c>
      <c r="B47" s="183" t="s">
        <v>4165</v>
      </c>
      <c r="C47" s="183"/>
      <c r="D47" s="183"/>
      <c r="E47" s="183"/>
      <c r="F47" s="183"/>
      <c r="G47" s="183"/>
    </row>
    <row r="48" spans="1:7" ht="45" customHeight="1" x14ac:dyDescent="0.3">
      <c r="A48" s="130" t="s">
        <v>4162</v>
      </c>
      <c r="B48" s="183" t="s">
        <v>4166</v>
      </c>
      <c r="C48" s="183"/>
      <c r="D48" s="183"/>
      <c r="E48" s="183"/>
      <c r="F48" s="183"/>
      <c r="G48" s="183"/>
    </row>
  </sheetData>
  <mergeCells count="21">
    <mergeCell ref="A20:B28"/>
    <mergeCell ref="D28:E28"/>
    <mergeCell ref="D30:E30"/>
    <mergeCell ref="F28:G29"/>
    <mergeCell ref="F30:G31"/>
    <mergeCell ref="F13:G15"/>
    <mergeCell ref="F16:G18"/>
    <mergeCell ref="G1:G2"/>
    <mergeCell ref="F19:G21"/>
    <mergeCell ref="F22:G24"/>
    <mergeCell ref="D6:G7"/>
    <mergeCell ref="B44:G44"/>
    <mergeCell ref="B45:G45"/>
    <mergeCell ref="B47:G47"/>
    <mergeCell ref="B48:G48"/>
    <mergeCell ref="F32:G34"/>
    <mergeCell ref="F35:G37"/>
    <mergeCell ref="D35:E36"/>
    <mergeCell ref="B46:G46"/>
    <mergeCell ref="F38:G40"/>
    <mergeCell ref="D32:E32"/>
  </mergeCells>
  <printOptions horizontalCentered="1"/>
  <pageMargins left="0.25" right="0.25" top="0.25" bottom="0.25" header="0.25" footer="0"/>
  <pageSetup scale="64"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C9E7-D6FA-404D-A4C0-A88552EB8C43}">
  <sheetPr>
    <tabColor rgb="FF1A4480"/>
    <pageSetUpPr fitToPage="1"/>
  </sheetPr>
  <dimension ref="A1:Q31"/>
  <sheetViews>
    <sheetView showGridLines="0" topLeftCell="A20" zoomScaleNormal="100" workbookViewId="0">
      <selection activeCell="G16" sqref="G16"/>
    </sheetView>
  </sheetViews>
  <sheetFormatPr defaultRowHeight="14.5" x14ac:dyDescent="0.35"/>
  <cols>
    <col min="1" max="1" width="20.453125" customWidth="1"/>
    <col min="2" max="2" width="18.26953125" bestFit="1" customWidth="1"/>
    <col min="3" max="3" width="9.54296875" bestFit="1" customWidth="1"/>
    <col min="4" max="4" width="49.81640625" bestFit="1" customWidth="1"/>
    <col min="17" max="17" width="40.81640625" customWidth="1"/>
  </cols>
  <sheetData>
    <row r="1" spans="1:17" ht="27.75" customHeight="1" x14ac:dyDescent="0.6">
      <c r="A1" s="116"/>
    </row>
    <row r="2" spans="1:17" ht="15.5" x14ac:dyDescent="0.35">
      <c r="A2" s="118"/>
    </row>
    <row r="3" spans="1:17" ht="89.25" customHeight="1" x14ac:dyDescent="0.35">
      <c r="A3" s="140"/>
    </row>
    <row r="4" spans="1:17" ht="27.75" customHeight="1" x14ac:dyDescent="0.35">
      <c r="Q4" s="168" t="s">
        <v>4177</v>
      </c>
    </row>
    <row r="5" spans="1:17" ht="15" thickBot="1" x14ac:dyDescent="0.4">
      <c r="Q5" s="52" t="s">
        <v>4173</v>
      </c>
    </row>
    <row r="6" spans="1:17" ht="15" thickTop="1" x14ac:dyDescent="0.35">
      <c r="Q6" s="191" t="s">
        <v>4175</v>
      </c>
    </row>
    <row r="7" spans="1:17" x14ac:dyDescent="0.35">
      <c r="Q7" s="191"/>
    </row>
    <row r="8" spans="1:17" x14ac:dyDescent="0.35">
      <c r="Q8" s="191"/>
    </row>
    <row r="9" spans="1:17" x14ac:dyDescent="0.35">
      <c r="Q9" s="192" t="s">
        <v>4176</v>
      </c>
    </row>
    <row r="10" spans="1:17" x14ac:dyDescent="0.35">
      <c r="Q10" s="192"/>
    </row>
    <row r="11" spans="1:17" x14ac:dyDescent="0.35">
      <c r="Q11" s="192"/>
    </row>
    <row r="12" spans="1:17" x14ac:dyDescent="0.35">
      <c r="Q12" s="192"/>
    </row>
    <row r="13" spans="1:17" x14ac:dyDescent="0.35">
      <c r="Q13" s="192"/>
    </row>
    <row r="20" spans="17:17" ht="75" customHeight="1" x14ac:dyDescent="0.35"/>
    <row r="22" spans="17:17" ht="15" thickBot="1" x14ac:dyDescent="0.4">
      <c r="Q22" s="52" t="s">
        <v>4173</v>
      </c>
    </row>
    <row r="23" spans="17:17" ht="15" thickTop="1" x14ac:dyDescent="0.35">
      <c r="Q23" s="192" t="s">
        <v>4174</v>
      </c>
    </row>
    <row r="24" spans="17:17" x14ac:dyDescent="0.35">
      <c r="Q24" s="192"/>
    </row>
    <row r="25" spans="17:17" x14ac:dyDescent="0.35">
      <c r="Q25" s="192"/>
    </row>
    <row r="26" spans="17:17" x14ac:dyDescent="0.35">
      <c r="Q26" s="191" t="s">
        <v>4178</v>
      </c>
    </row>
    <row r="27" spans="17:17" x14ac:dyDescent="0.35">
      <c r="Q27" s="191"/>
    </row>
    <row r="28" spans="17:17" x14ac:dyDescent="0.35">
      <c r="Q28" s="191"/>
    </row>
    <row r="29" spans="17:17" x14ac:dyDescent="0.35">
      <c r="Q29" s="191" t="s">
        <v>4179</v>
      </c>
    </row>
    <row r="30" spans="17:17" x14ac:dyDescent="0.35">
      <c r="Q30" s="191"/>
    </row>
    <row r="31" spans="17:17" x14ac:dyDescent="0.35">
      <c r="Q31" s="191"/>
    </row>
  </sheetData>
  <mergeCells count="5">
    <mergeCell ref="Q29:Q31"/>
    <mergeCell ref="Q6:Q8"/>
    <mergeCell ref="Q9:Q13"/>
    <mergeCell ref="Q23:Q25"/>
    <mergeCell ref="Q26:Q28"/>
  </mergeCells>
  <printOptions horizontalCentered="1"/>
  <pageMargins left="0.25" right="0.25" top="0.25" bottom="0.25" header="0.25" footer="0"/>
  <pageSetup scale="46"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9C22E-4B7E-4AE5-AA8C-E11A5946719D}">
  <sheetPr>
    <tabColor rgb="FF1A4480"/>
    <pageSetUpPr fitToPage="1"/>
  </sheetPr>
  <dimension ref="A1:E62"/>
  <sheetViews>
    <sheetView showGridLines="0" topLeftCell="A37" zoomScale="175" zoomScaleNormal="175" workbookViewId="0">
      <selection activeCell="G16" sqref="G16"/>
    </sheetView>
  </sheetViews>
  <sheetFormatPr defaultRowHeight="14.5" x14ac:dyDescent="0.35"/>
  <cols>
    <col min="1" max="1" width="13.453125" bestFit="1" customWidth="1"/>
    <col min="2" max="2" width="17.81640625" bestFit="1" customWidth="1"/>
    <col min="3" max="6" width="18.81640625" bestFit="1" customWidth="1"/>
  </cols>
  <sheetData>
    <row r="1" spans="1:3" ht="28" x14ac:dyDescent="0.6">
      <c r="A1" s="116"/>
    </row>
    <row r="2" spans="1:3" ht="15.5" x14ac:dyDescent="0.35">
      <c r="A2" s="118"/>
    </row>
    <row r="3" spans="1:3" x14ac:dyDescent="0.35">
      <c r="A3" s="140"/>
    </row>
    <row r="4" spans="1:3" ht="1.5" customHeight="1" x14ac:dyDescent="0.35">
      <c r="A4" s="19" t="s">
        <v>2</v>
      </c>
      <c r="B4" t="s" vm="7">
        <v>3</v>
      </c>
    </row>
    <row r="5" spans="1:3" ht="1.5" customHeight="1" x14ac:dyDescent="0.35">
      <c r="A5" s="19" t="s">
        <v>3919</v>
      </c>
      <c r="B5" t="s" vm="2">
        <v>4077</v>
      </c>
    </row>
    <row r="6" spans="1:3" ht="1.5" customHeight="1" x14ac:dyDescent="0.35"/>
    <row r="7" spans="1:3" ht="1.5" customHeight="1" x14ac:dyDescent="0.35">
      <c r="A7" s="19" t="s">
        <v>3934</v>
      </c>
      <c r="B7" s="153" t="s">
        <v>3936</v>
      </c>
      <c r="C7" t="s">
        <v>4181</v>
      </c>
    </row>
    <row r="8" spans="1:3" ht="1.5" customHeight="1" x14ac:dyDescent="0.35">
      <c r="A8" s="20" t="s">
        <v>3926</v>
      </c>
      <c r="B8" s="77">
        <v>17472270.675000001</v>
      </c>
      <c r="C8" s="68">
        <v>0.30179804427528395</v>
      </c>
    </row>
    <row r="9" spans="1:3" ht="1.5" customHeight="1" x14ac:dyDescent="0.35">
      <c r="A9" s="20" t="s">
        <v>3927</v>
      </c>
      <c r="B9" s="77">
        <v>38908750.256300002</v>
      </c>
      <c r="C9" s="68">
        <v>0.67206975847441153</v>
      </c>
    </row>
    <row r="10" spans="1:3" ht="1.5" customHeight="1" x14ac:dyDescent="0.35">
      <c r="A10" s="20" t="s">
        <v>3928</v>
      </c>
      <c r="B10" s="77">
        <v>1512895.2368999999</v>
      </c>
      <c r="C10" s="68">
        <v>2.6132197250304579E-2</v>
      </c>
    </row>
    <row r="11" spans="1:3" ht="1.5" customHeight="1" x14ac:dyDescent="0.35">
      <c r="A11" s="20" t="s">
        <v>3935</v>
      </c>
      <c r="B11" s="77">
        <v>57893916.168200001</v>
      </c>
      <c r="C11" s="68">
        <v>1</v>
      </c>
    </row>
    <row r="12" spans="1:3" ht="1.5" customHeight="1" x14ac:dyDescent="0.35"/>
    <row r="13" spans="1:3" ht="1.5" customHeight="1" x14ac:dyDescent="0.35"/>
    <row r="14" spans="1:3" ht="1.5" customHeight="1" x14ac:dyDescent="0.35">
      <c r="A14" s="24"/>
      <c r="B14" s="24"/>
      <c r="C14" s="24"/>
    </row>
    <row r="15" spans="1:3" ht="1.5" customHeight="1" x14ac:dyDescent="0.35">
      <c r="A15" s="24" t="s">
        <v>3968</v>
      </c>
      <c r="B15" s="24" t="s">
        <v>3967</v>
      </c>
      <c r="C15" s="24"/>
    </row>
    <row r="16" spans="1:3" ht="1.5" customHeight="1" x14ac:dyDescent="0.35">
      <c r="A16" s="25" t="s">
        <v>3926</v>
      </c>
      <c r="B16" s="25">
        <v>-0.71</v>
      </c>
      <c r="C16" s="25"/>
    </row>
    <row r="17" spans="1:3" ht="1.5" customHeight="1" x14ac:dyDescent="0.35">
      <c r="A17" s="25" t="s">
        <v>3966</v>
      </c>
      <c r="B17" s="25">
        <v>-0.93</v>
      </c>
      <c r="C17" s="25"/>
    </row>
    <row r="18" spans="1:3" ht="1.5" customHeight="1" x14ac:dyDescent="0.35">
      <c r="A18" s="25" t="s">
        <v>3928</v>
      </c>
      <c r="B18" s="25">
        <v>-1.94</v>
      </c>
      <c r="C18" s="25"/>
    </row>
    <row r="35" spans="1:5" x14ac:dyDescent="0.35">
      <c r="A35" s="193" t="s">
        <v>4180</v>
      </c>
      <c r="B35" s="193"/>
      <c r="C35" s="193"/>
      <c r="D35" s="193"/>
      <c r="E35" s="193"/>
    </row>
    <row r="36" spans="1:5" x14ac:dyDescent="0.35">
      <c r="A36" s="193"/>
      <c r="B36" s="193"/>
      <c r="C36" s="193"/>
      <c r="D36" s="193"/>
      <c r="E36" s="193"/>
    </row>
    <row r="37" spans="1:5" ht="60" customHeight="1" x14ac:dyDescent="0.35"/>
    <row r="61" spans="1:5" x14ac:dyDescent="0.35">
      <c r="A61" s="193" t="s">
        <v>4182</v>
      </c>
      <c r="B61" s="193"/>
      <c r="C61" s="193"/>
      <c r="D61" s="193"/>
      <c r="E61" s="193"/>
    </row>
    <row r="62" spans="1:5" x14ac:dyDescent="0.35">
      <c r="A62" s="193"/>
      <c r="B62" s="193"/>
      <c r="C62" s="193"/>
      <c r="D62" s="193"/>
      <c r="E62" s="193"/>
    </row>
  </sheetData>
  <mergeCells count="2">
    <mergeCell ref="A35:E36"/>
    <mergeCell ref="A61:E62"/>
  </mergeCells>
  <printOptions horizontalCentered="1"/>
  <pageMargins left="0.25" right="0.25" top="0.25" bottom="0.25" header="0.25" footer="0"/>
  <pageSetup scale="94"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4A272-7F3A-41C4-B2EF-4A8FDF572EF9}">
  <sheetPr>
    <tabColor rgb="FF1A4480"/>
    <pageSetUpPr fitToPage="1"/>
  </sheetPr>
  <dimension ref="A3:A13"/>
  <sheetViews>
    <sheetView showGridLines="0" zoomScale="130" zoomScaleNormal="130" workbookViewId="0">
      <selection activeCell="G16" sqref="G16"/>
    </sheetView>
  </sheetViews>
  <sheetFormatPr defaultRowHeight="14.5" x14ac:dyDescent="0.35"/>
  <cols>
    <col min="1" max="1" width="30.1796875" bestFit="1" customWidth="1"/>
    <col min="2" max="2" width="10.54296875" bestFit="1" customWidth="1"/>
  </cols>
  <sheetData>
    <row r="3" spans="1:1" ht="63.75" customHeight="1" x14ac:dyDescent="0.35"/>
    <row r="4" spans="1:1" ht="30" customHeight="1" x14ac:dyDescent="0.35">
      <c r="A4" s="26"/>
    </row>
    <row r="13" spans="1:1" ht="15" customHeight="1" x14ac:dyDescent="0.35"/>
  </sheetData>
  <printOptions horizontalCentered="1"/>
  <pageMargins left="0.25" right="0.25" top="0.25" bottom="0.25" header="0.25" footer="0"/>
  <pageSetup scale="7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C01F9-9A1E-4E7B-A3F6-F90972C240E6}">
  <sheetPr>
    <tabColor rgb="FF1A4480"/>
    <pageSetUpPr fitToPage="1"/>
  </sheetPr>
  <dimension ref="A1:G13"/>
  <sheetViews>
    <sheetView showGridLines="0" zoomScale="160" zoomScaleNormal="160" workbookViewId="0">
      <selection activeCell="G16" sqref="G16"/>
    </sheetView>
  </sheetViews>
  <sheetFormatPr defaultRowHeight="14.5" x14ac:dyDescent="0.35"/>
  <cols>
    <col min="1" max="1" width="55.1796875" customWidth="1"/>
    <col min="2" max="2" width="18" customWidth="1"/>
    <col min="3" max="3" width="4.26953125" customWidth="1"/>
    <col min="4" max="4" width="3.7265625" customWidth="1"/>
    <col min="5" max="5" width="4.26953125" customWidth="1"/>
    <col min="6" max="6" width="13.26953125" customWidth="1"/>
    <col min="7" max="7" width="22.26953125" customWidth="1"/>
  </cols>
  <sheetData>
    <row r="1" spans="1:7" x14ac:dyDescent="0.35">
      <c r="A1" s="140"/>
      <c r="B1" s="119"/>
      <c r="C1" s="119"/>
      <c r="D1" s="119"/>
      <c r="E1" s="119"/>
      <c r="F1" s="119"/>
      <c r="G1" s="146"/>
    </row>
    <row r="2" spans="1:7" ht="48.75" customHeight="1" x14ac:dyDescent="0.35"/>
    <row r="3" spans="1:7" ht="15.5" x14ac:dyDescent="0.35">
      <c r="A3" s="120" t="s">
        <v>4136</v>
      </c>
      <c r="B3" s="129"/>
      <c r="C3" s="129"/>
      <c r="D3" s="128"/>
      <c r="E3" s="128"/>
      <c r="F3" s="128"/>
      <c r="G3" s="128" t="s">
        <v>4076</v>
      </c>
    </row>
    <row r="4" spans="1:7" ht="29.25" customHeight="1" x14ac:dyDescent="0.35">
      <c r="A4" s="183" t="s">
        <v>3959</v>
      </c>
      <c r="B4" s="183"/>
      <c r="C4" s="183"/>
      <c r="D4" s="183"/>
      <c r="E4" s="183"/>
      <c r="F4" s="183"/>
      <c r="G4" s="183"/>
    </row>
    <row r="5" spans="1:7" ht="90" customHeight="1" x14ac:dyDescent="0.35">
      <c r="A5" s="183" t="s">
        <v>3958</v>
      </c>
      <c r="B5" s="183"/>
      <c r="C5" s="183"/>
      <c r="D5" s="183"/>
      <c r="E5" s="183"/>
      <c r="F5" s="183"/>
      <c r="G5" s="183"/>
    </row>
    <row r="6" spans="1:7" x14ac:dyDescent="0.35">
      <c r="A6" s="117"/>
      <c r="B6" s="117"/>
      <c r="C6" s="117"/>
      <c r="D6" s="132"/>
      <c r="E6" s="132"/>
      <c r="F6" s="132"/>
      <c r="G6" s="132"/>
    </row>
    <row r="7" spans="1:7" ht="15.5" x14ac:dyDescent="0.35">
      <c r="A7" s="141" t="s">
        <v>4137</v>
      </c>
      <c r="B7" s="150"/>
      <c r="C7" s="150"/>
      <c r="D7" s="151"/>
      <c r="E7" s="151"/>
      <c r="F7" s="151"/>
      <c r="G7" s="151"/>
    </row>
    <row r="8" spans="1:7" ht="16" thickBot="1" x14ac:dyDescent="0.4">
      <c r="A8" s="152" t="s">
        <v>3957</v>
      </c>
      <c r="B8" s="152" t="s">
        <v>3938</v>
      </c>
      <c r="C8" s="152"/>
      <c r="D8" s="148"/>
      <c r="E8" s="148"/>
      <c r="F8" s="148"/>
      <c r="G8" s="148"/>
    </row>
    <row r="9" spans="1:7" ht="45" customHeight="1" x14ac:dyDescent="0.35">
      <c r="A9" s="130" t="s">
        <v>3956</v>
      </c>
      <c r="B9" s="182" t="s">
        <v>3955</v>
      </c>
      <c r="C9" s="182"/>
      <c r="D9" s="182"/>
      <c r="E9" s="182"/>
      <c r="F9" s="182"/>
      <c r="G9" s="182"/>
    </row>
    <row r="10" spans="1:7" ht="30" customHeight="1" x14ac:dyDescent="0.35">
      <c r="A10" s="130" t="s">
        <v>3954</v>
      </c>
      <c r="B10" s="183" t="s">
        <v>3953</v>
      </c>
      <c r="C10" s="183"/>
      <c r="D10" s="183"/>
      <c r="E10" s="183"/>
      <c r="F10" s="183"/>
      <c r="G10" s="183"/>
    </row>
    <row r="11" spans="1:7" ht="45" customHeight="1" x14ac:dyDescent="0.35">
      <c r="A11" s="130" t="s">
        <v>3951</v>
      </c>
      <c r="B11" s="183" t="s">
        <v>3950</v>
      </c>
      <c r="C11" s="183"/>
      <c r="D11" s="183"/>
      <c r="E11" s="183"/>
      <c r="F11" s="183"/>
      <c r="G11" s="183"/>
    </row>
    <row r="12" spans="1:7" ht="45" customHeight="1" x14ac:dyDescent="0.35">
      <c r="A12" s="130" t="s">
        <v>3949</v>
      </c>
      <c r="B12" s="183" t="s">
        <v>4172</v>
      </c>
      <c r="C12" s="183"/>
      <c r="D12" s="183"/>
      <c r="E12" s="183"/>
      <c r="F12" s="183"/>
      <c r="G12" s="183"/>
    </row>
    <row r="13" spans="1:7" ht="45" customHeight="1" x14ac:dyDescent="0.35">
      <c r="A13" s="130" t="s">
        <v>3948</v>
      </c>
      <c r="B13" s="183" t="s">
        <v>3947</v>
      </c>
      <c r="C13" s="183"/>
      <c r="D13" s="183"/>
      <c r="E13" s="183"/>
      <c r="F13" s="183"/>
      <c r="G13" s="183"/>
    </row>
  </sheetData>
  <mergeCells count="7">
    <mergeCell ref="B12:G12"/>
    <mergeCell ref="B13:G13"/>
    <mergeCell ref="A4:G4"/>
    <mergeCell ref="A5:G5"/>
    <mergeCell ref="B9:G9"/>
    <mergeCell ref="B10:G10"/>
    <mergeCell ref="B11:G11"/>
  </mergeCells>
  <printOptions horizontalCentered="1"/>
  <pageMargins left="0.25" right="0.25" top="0.25" bottom="0.25" header="0.25" footer="0"/>
  <pageSetup scale="7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773D2-EB83-4B08-A3D5-C5761BE8DC01}">
  <dimension ref="A1:X21"/>
  <sheetViews>
    <sheetView zoomScaleNormal="100" workbookViewId="0">
      <selection activeCell="A10" sqref="A1:P11"/>
    </sheetView>
  </sheetViews>
  <sheetFormatPr defaultRowHeight="14.5" x14ac:dyDescent="0.35"/>
  <cols>
    <col min="1" max="1" width="16.1796875" bestFit="1" customWidth="1"/>
    <col min="2" max="2" width="11.81640625" bestFit="1" customWidth="1"/>
    <col min="3" max="3" width="10.7265625" customWidth="1"/>
    <col min="4" max="4" width="11.54296875" hidden="1" customWidth="1"/>
    <col min="5" max="5" width="12.54296875" hidden="1" customWidth="1"/>
    <col min="6" max="6" width="14.26953125" hidden="1" customWidth="1"/>
    <col min="7" max="7" width="24.54296875" customWidth="1"/>
    <col min="8" max="8" width="24.54296875" hidden="1" customWidth="1"/>
    <col min="9" max="9" width="13.7265625" customWidth="1"/>
    <col min="10" max="10" width="12.54296875" hidden="1" customWidth="1"/>
    <col min="11" max="11" width="14" hidden="1" customWidth="1"/>
    <col min="12" max="12" width="19.1796875" customWidth="1"/>
    <col min="13" max="13" width="15.54296875" customWidth="1"/>
    <col min="14" max="14" width="16" hidden="1" customWidth="1"/>
    <col min="15" max="15" width="18" bestFit="1" customWidth="1"/>
    <col min="16" max="16" width="73.26953125" customWidth="1"/>
    <col min="17" max="17" width="2.81640625" style="164" customWidth="1"/>
    <col min="18" max="18" width="16.26953125" customWidth="1"/>
    <col min="19" max="19" width="16.81640625" bestFit="1" customWidth="1"/>
    <col min="20" max="20" width="15.453125" customWidth="1"/>
    <col min="21" max="21" width="13.26953125" customWidth="1"/>
    <col min="22" max="22" width="12.81640625" customWidth="1"/>
    <col min="23" max="23" width="2.81640625" style="164" customWidth="1"/>
    <col min="24" max="24" width="15.453125" customWidth="1"/>
  </cols>
  <sheetData>
    <row r="1" spans="1:22" ht="21.5" thickBot="1" x14ac:dyDescent="0.55000000000000004">
      <c r="A1" s="165" t="s">
        <v>4185</v>
      </c>
    </row>
    <row r="2" spans="1:22" ht="60" hidden="1" customHeight="1" x14ac:dyDescent="0.35">
      <c r="A2" s="19" t="s">
        <v>2</v>
      </c>
      <c r="B2" t="s" vm="1">
        <v>3</v>
      </c>
    </row>
    <row r="3" spans="1:22" ht="15" hidden="1" customHeight="1" x14ac:dyDescent="0.35">
      <c r="A3" s="19" t="s">
        <v>4091</v>
      </c>
      <c r="B3" t="s" vm="2">
        <v>4077</v>
      </c>
    </row>
    <row r="4" spans="1:22" ht="15.75" hidden="1" customHeight="1" thickBot="1" x14ac:dyDescent="0.4"/>
    <row r="5" spans="1:22" ht="52.5" customHeight="1" x14ac:dyDescent="0.35">
      <c r="A5" s="71" t="s">
        <v>3968</v>
      </c>
      <c r="B5" s="23" t="s">
        <v>4071</v>
      </c>
      <c r="C5" s="181" t="s">
        <v>4370</v>
      </c>
      <c r="D5" s="23" t="s">
        <v>4087</v>
      </c>
      <c r="E5" s="23" t="s">
        <v>4088</v>
      </c>
      <c r="F5" s="88" t="s">
        <v>4078</v>
      </c>
      <c r="G5" s="88" t="s">
        <v>4186</v>
      </c>
      <c r="H5" s="88" t="s">
        <v>4370</v>
      </c>
      <c r="I5" s="88" t="s">
        <v>3967</v>
      </c>
      <c r="J5" s="88" t="s">
        <v>4069</v>
      </c>
      <c r="K5" s="88" t="s">
        <v>4129</v>
      </c>
      <c r="L5" s="88" t="s">
        <v>4188</v>
      </c>
      <c r="M5" s="88" t="s">
        <v>4187</v>
      </c>
      <c r="N5" s="88" t="s">
        <v>4081</v>
      </c>
      <c r="O5" s="88" t="s">
        <v>4075</v>
      </c>
      <c r="P5" s="88" t="s">
        <v>3961</v>
      </c>
    </row>
    <row r="6" spans="1:22" ht="29" x14ac:dyDescent="0.35">
      <c r="A6" s="98" t="s">
        <v>3926</v>
      </c>
      <c r="B6" s="78">
        <v>11</v>
      </c>
      <c r="C6" s="180">
        <v>0.7545121212121213</v>
      </c>
      <c r="D6" s="99">
        <v>23124174</v>
      </c>
      <c r="E6" s="100">
        <v>17472270.675000001</v>
      </c>
      <c r="F6" s="101">
        <f>1000/33*GETPIVOTDATA("[Measures].[Sum of soda_units_sold]",$A$6,"[DimZip].[zip_inc_tier]","[DimZip].[zip_inc_tier].&amp;[High]")</f>
        <v>700732545.4545455</v>
      </c>
      <c r="G6" s="162">
        <f>1000/33*GETPIVOTDATA("[Measures].[Sum of soda_sales]",$A$6,"[DimZip].[zip_inc_tier]","[DimZip].[zip_inc_tier].&amp;[High]")</f>
        <v>529462747.72727275</v>
      </c>
      <c r="H6" s="162"/>
      <c r="I6" s="102">
        <f>Elasticity!G7</f>
        <v>-0.71035912604352014</v>
      </c>
      <c r="J6" s="103">
        <v>0.05</v>
      </c>
      <c r="K6" s="104">
        <f>(1+J6)^I6-1</f>
        <v>-3.4064810252381283E-2</v>
      </c>
      <c r="L6" s="160">
        <f>F6*(1+K6)</f>
        <v>676862224.25596821</v>
      </c>
      <c r="M6" s="158">
        <f>L6-F6</f>
        <v>-23870321.198577285</v>
      </c>
      <c r="N6" s="106">
        <f>G6/F6*L6</f>
        <v>511426699.69023877</v>
      </c>
      <c r="O6" s="162">
        <f>N6*0.05</f>
        <v>25571334.984511942</v>
      </c>
      <c r="P6" s="107" t="s">
        <v>4130</v>
      </c>
    </row>
    <row r="7" spans="1:22" ht="15" customHeight="1" x14ac:dyDescent="0.35">
      <c r="A7" s="98" t="s">
        <v>3966</v>
      </c>
      <c r="B7" s="78">
        <v>21</v>
      </c>
      <c r="C7" s="180">
        <v>0.75284166666666674</v>
      </c>
      <c r="D7" s="99">
        <v>51721008</v>
      </c>
      <c r="E7" s="100">
        <v>38908750.256300002</v>
      </c>
      <c r="F7" s="101">
        <f>1000/33*GETPIVOTDATA("[Measures].[Sum of soda_units_sold]",$A$6,"[DimZip].[zip_inc_tier]","[DimZip].[zip_inc_tier].&amp;[Med]")</f>
        <v>1567303272.7272727</v>
      </c>
      <c r="G7" s="162">
        <f>1000/33*GETPIVOTDATA("[Measures].[Sum of soda_sales]",$A$6,"[DimZip].[zip_inc_tier]","[DimZip].[zip_inc_tier].&amp;[Med]")</f>
        <v>1179053038.0696971</v>
      </c>
      <c r="H7" s="162"/>
      <c r="I7" s="102">
        <f>Elasticity!G8</f>
        <v>-0.92885328475974116</v>
      </c>
      <c r="J7" s="103">
        <v>0.05</v>
      </c>
      <c r="K7" s="104">
        <f>(1+J7)^I7-1</f>
        <v>-4.430734122220148E-2</v>
      </c>
      <c r="L7" s="160">
        <f>F7*(1+K7)</f>
        <v>1497860231.8238723</v>
      </c>
      <c r="M7" s="158">
        <f>L7-F7</f>
        <v>-69443040.903400421</v>
      </c>
      <c r="N7" s="106">
        <f>G7/F7*L7</f>
        <v>1126812332.7928698</v>
      </c>
      <c r="O7" s="162">
        <f t="shared" ref="O7:O8" si="0">N7*0.05</f>
        <v>56340616.63964349</v>
      </c>
      <c r="P7" s="107"/>
    </row>
    <row r="8" spans="1:22" ht="29" x14ac:dyDescent="0.35">
      <c r="A8" s="98" t="s">
        <v>3928</v>
      </c>
      <c r="B8" s="78">
        <v>1</v>
      </c>
      <c r="C8" s="180">
        <v>0.76122500000000004</v>
      </c>
      <c r="D8" s="99">
        <v>1988027</v>
      </c>
      <c r="E8" s="100">
        <v>1512895.2368999999</v>
      </c>
      <c r="F8" s="101">
        <f>1000/33*GETPIVOTDATA("[Measures].[Sum of soda_units_sold]",$A$6,"[DimZip].[zip_inc_tier]","[DimZip].[zip_inc_tier].&amp;[Low]")</f>
        <v>60243242.424242429</v>
      </c>
      <c r="G8" s="162">
        <f>1000/33*GETPIVOTDATA("[Measures].[Sum of soda_sales]",$A$6,"[DimZip].[zip_inc_tier]","[DimZip].[zip_inc_tier].&amp;[Low]")</f>
        <v>45845310.209090911</v>
      </c>
      <c r="H8" s="162"/>
      <c r="I8" s="102">
        <f>Elasticity!G9</f>
        <v>-1.9421317637462001</v>
      </c>
      <c r="J8" s="103">
        <v>0.05</v>
      </c>
      <c r="K8" s="104">
        <f>(1+J8)^I8-1</f>
        <v>-9.0405995195716016E-2</v>
      </c>
      <c r="L8" s="160">
        <f>F8*(1+K8)</f>
        <v>54796892.13906201</v>
      </c>
      <c r="M8" s="158">
        <f>L8-F8</f>
        <v>-5446350.2851804197</v>
      </c>
      <c r="N8" s="106">
        <f>G8/F8*L8</f>
        <v>41700619.314581722</v>
      </c>
      <c r="O8" s="162">
        <f t="shared" si="0"/>
        <v>2085030.9657290862</v>
      </c>
      <c r="P8" s="107" t="s">
        <v>4131</v>
      </c>
    </row>
    <row r="9" spans="1:22" ht="15" thickBot="1" x14ac:dyDescent="0.4">
      <c r="A9" s="98" t="s">
        <v>3930</v>
      </c>
      <c r="B9" s="78">
        <v>33</v>
      </c>
      <c r="C9" s="180">
        <v>0.75365252525252524</v>
      </c>
      <c r="D9" s="99">
        <v>76833209</v>
      </c>
      <c r="E9" s="98">
        <v>57893916.168200001</v>
      </c>
      <c r="F9" s="109">
        <f>1000/33*GETPIVOTDATA("[Measures].[Sum of soda_units_sold]",$A$6)</f>
        <v>2328279060.6060605</v>
      </c>
      <c r="G9" s="157">
        <f>1000/33*GETPIVOTDATA("[Measures].[Sum of soda_sales]",$A$6)</f>
        <v>1754361096.0060608</v>
      </c>
      <c r="H9" s="157"/>
      <c r="I9" s="156" t="s">
        <v>4184</v>
      </c>
      <c r="J9" s="111">
        <v>0.05</v>
      </c>
      <c r="K9" s="112" t="e">
        <f>(1+J9)^I9-1</f>
        <v>#VALUE!</v>
      </c>
      <c r="L9" s="161">
        <f t="shared" ref="L9:N9" si="1">SUM(L6:L8)</f>
        <v>2229519348.2189026</v>
      </c>
      <c r="M9" s="159">
        <f t="shared" si="1"/>
        <v>-98759712.387158126</v>
      </c>
      <c r="N9" s="113">
        <f t="shared" si="1"/>
        <v>1679939651.7976902</v>
      </c>
      <c r="O9" s="157">
        <f>SUM(O6:O8)</f>
        <v>83996982.58988452</v>
      </c>
      <c r="P9" s="114"/>
    </row>
    <row r="10" spans="1:22" x14ac:dyDescent="0.35">
      <c r="A10" s="193" t="s">
        <v>4132</v>
      </c>
      <c r="B10" s="193"/>
      <c r="C10" s="193"/>
      <c r="D10" s="193"/>
      <c r="E10" s="193"/>
      <c r="F10" s="193"/>
      <c r="G10" s="193"/>
      <c r="H10" s="193"/>
      <c r="I10" s="193"/>
      <c r="J10" s="193"/>
      <c r="K10" s="193"/>
      <c r="L10" s="193"/>
      <c r="M10" s="193"/>
      <c r="N10" s="193"/>
      <c r="O10" s="193"/>
      <c r="P10" s="193"/>
    </row>
    <row r="11" spans="1:22" x14ac:dyDescent="0.35">
      <c r="A11" s="193"/>
      <c r="B11" s="193"/>
      <c r="C11" s="193"/>
      <c r="D11" s="193"/>
      <c r="E11" s="193"/>
      <c r="F11" s="193"/>
      <c r="G11" s="193"/>
      <c r="H11" s="193"/>
      <c r="I11" s="193"/>
      <c r="J11" s="193"/>
      <c r="K11" s="193"/>
      <c r="L11" s="193"/>
      <c r="M11" s="193"/>
      <c r="N11" s="193"/>
      <c r="O11" s="193"/>
      <c r="P11" s="193"/>
    </row>
    <row r="12" spans="1:22" s="164" customFormat="1" x14ac:dyDescent="0.35"/>
    <row r="13" spans="1:22" ht="21" x14ac:dyDescent="0.5">
      <c r="R13" s="165" t="s">
        <v>4085</v>
      </c>
    </row>
    <row r="14" spans="1:22" ht="29" x14ac:dyDescent="0.35">
      <c r="R14" s="72" t="s">
        <v>3952</v>
      </c>
      <c r="S14" s="72" t="s">
        <v>4070</v>
      </c>
      <c r="T14" s="72" t="s">
        <v>4080</v>
      </c>
      <c r="U14" s="72" t="s">
        <v>4074</v>
      </c>
      <c r="V14" s="72" t="s">
        <v>4082</v>
      </c>
    </row>
    <row r="15" spans="1:22" x14ac:dyDescent="0.35">
      <c r="R15" s="73">
        <v>1</v>
      </c>
      <c r="S15" s="74">
        <v>0.05</v>
      </c>
      <c r="T15" s="166">
        <v>2229519348.2189026</v>
      </c>
      <c r="U15" s="163">
        <v>-98759712.387157917</v>
      </c>
      <c r="V15" s="167">
        <v>83996982.58988452</v>
      </c>
    </row>
    <row r="16" spans="1:22" x14ac:dyDescent="0.35">
      <c r="R16" s="73">
        <v>0.75</v>
      </c>
      <c r="S16" s="74">
        <v>3.7500000000000006E-2</v>
      </c>
      <c r="T16" s="166">
        <v>2253347130.4714785</v>
      </c>
      <c r="U16" s="163">
        <v>-74931930.134582043</v>
      </c>
      <c r="V16" s="167">
        <v>84894759.880261049</v>
      </c>
    </row>
    <row r="17" spans="18:24" x14ac:dyDescent="0.35">
      <c r="R17" s="73">
        <v>0.5</v>
      </c>
      <c r="S17" s="74">
        <v>2.5000000000000001E-2</v>
      </c>
      <c r="T17" s="166">
        <v>2277735813.1790094</v>
      </c>
      <c r="U17" s="163">
        <v>-50543247.427051067</v>
      </c>
      <c r="V17" s="167">
        <v>85813675.097905084</v>
      </c>
    </row>
    <row r="18" spans="18:24" ht="45" customHeight="1" x14ac:dyDescent="0.35">
      <c r="R18" s="194" t="s">
        <v>4140</v>
      </c>
      <c r="S18" s="194"/>
      <c r="T18" s="194"/>
      <c r="U18" s="194"/>
      <c r="V18" s="194"/>
    </row>
    <row r="19" spans="18:24" ht="15" customHeight="1" x14ac:dyDescent="0.35">
      <c r="R19" s="195" t="s">
        <v>4189</v>
      </c>
      <c r="S19" s="195"/>
      <c r="T19" s="195"/>
      <c r="U19" s="195"/>
      <c r="V19" s="195"/>
    </row>
    <row r="20" spans="18:24" s="164" customFormat="1" x14ac:dyDescent="0.35"/>
    <row r="21" spans="18:24" x14ac:dyDescent="0.35">
      <c r="X21" t="s">
        <v>4190</v>
      </c>
    </row>
  </sheetData>
  <mergeCells count="3">
    <mergeCell ref="A10:P11"/>
    <mergeCell ref="R18:V18"/>
    <mergeCell ref="R19:V19"/>
  </mergeCell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BB563-5F20-4ABA-9A71-318CED237E44}">
  <dimension ref="A1:I62"/>
  <sheetViews>
    <sheetView workbookViewId="0">
      <selection activeCell="I35" sqref="A5:I35"/>
    </sheetView>
  </sheetViews>
  <sheetFormatPr defaultRowHeight="14.5" x14ac:dyDescent="0.35"/>
  <cols>
    <col min="1" max="1" width="13.26953125" customWidth="1"/>
    <col min="2" max="2" width="16.453125" customWidth="1"/>
    <col min="3" max="3" width="15.81640625" customWidth="1"/>
    <col min="4" max="4" width="16.1796875" customWidth="1"/>
    <col min="5" max="5" width="19" customWidth="1"/>
    <col min="6" max="6" width="20.453125" customWidth="1"/>
    <col min="7" max="7" width="15.26953125" customWidth="1"/>
    <col min="8" max="8" width="12.453125" customWidth="1"/>
    <col min="9" max="9" width="133.1796875" customWidth="1"/>
  </cols>
  <sheetData>
    <row r="1" spans="1:9" x14ac:dyDescent="0.35">
      <c r="A1" t="s">
        <v>4040</v>
      </c>
    </row>
    <row r="2" spans="1:9" x14ac:dyDescent="0.35">
      <c r="A2" t="s">
        <v>4010</v>
      </c>
    </row>
    <row r="3" spans="1:9" x14ac:dyDescent="0.35">
      <c r="A3" t="s">
        <v>4011</v>
      </c>
    </row>
    <row r="5" spans="1:9" s="85" customFormat="1" ht="16.5" thickBot="1" x14ac:dyDescent="0.45">
      <c r="A5" s="142" t="s">
        <v>4076</v>
      </c>
      <c r="B5" s="143" t="s">
        <v>3968</v>
      </c>
      <c r="C5" s="143" t="s">
        <v>4013</v>
      </c>
      <c r="D5" s="143" t="s">
        <v>3969</v>
      </c>
      <c r="E5" s="143" t="s">
        <v>4014</v>
      </c>
      <c r="F5" s="143" t="s">
        <v>4015</v>
      </c>
      <c r="G5" s="143" t="s">
        <v>3967</v>
      </c>
      <c r="H5" s="143" t="s">
        <v>4016</v>
      </c>
      <c r="I5" s="143" t="s">
        <v>3973</v>
      </c>
    </row>
    <row r="6" spans="1:9" ht="16" x14ac:dyDescent="0.4">
      <c r="A6" s="85" t="s">
        <v>4041</v>
      </c>
      <c r="B6" s="64" t="s">
        <v>3996</v>
      </c>
      <c r="C6">
        <f>COUNT((dataset[ln_soda_units]))</f>
        <v>3600</v>
      </c>
      <c r="D6" cm="1">
        <f t="array" ref="D6">ROWS(_xlfn.UNIQUE(_xlfn._xlws.FILTER(dataset[store_id],(dataset[soda_units_sold]&gt;0)*(dataset[soda_ppu]&gt;0))))</f>
        <v>100</v>
      </c>
      <c r="E6" s="2">
        <f>AVERAGEIFS(dataset[soda_ppu],dataset[soda_units_sold],"&gt;0",dataset[soda_ppu],"&gt;0")</f>
        <v>0.72502311111111173</v>
      </c>
      <c r="F6" s="3">
        <f>AVERAGEIFS(dataset[soda_units_sold],dataset[soda_units_sold],"&gt;0",dataset[soda_ppu],"&gt;0")</f>
        <v>203580.38916666666</v>
      </c>
      <c r="G6" s="21">
        <f>SLOPE(dataset[ln_soda_units],dataset[ln_soda_ppu])</f>
        <v>-0.97684053497063317</v>
      </c>
      <c r="H6" s="27" cm="1">
        <f t="array" ref="H6">RSQ(_xlfn._xlws.FILTER(dataset[ln_soda_units],(dataset[soda_units_sold]&gt;0)*(dataset[soda_ppu]&gt;0)),_xlfn._xlws.FILTER(dataset[ln_soda_ppu],(dataset[soda_units_sold]&gt;0)*(dataset[soda_ppu]&gt;0)))</f>
        <v>6.6619344613549347E-2</v>
      </c>
    </row>
    <row r="7" spans="1:9" x14ac:dyDescent="0.35">
      <c r="B7" s="11" t="s">
        <v>3926</v>
      </c>
      <c r="C7" cm="1">
        <f t="array" ref="C7">COUNT(_xlfn._xlws.FILTER(dataset[ln_soda_units],dataset[zip_inc_tier]="High",""))</f>
        <v>828</v>
      </c>
      <c r="D7" cm="1">
        <f t="array" ref="D7">ROWS(_xlfn.UNIQUE(_xlfn._xlws.FILTER(dataset[store_id],dataset[zip_inc_tier]="High")))</f>
        <v>23</v>
      </c>
      <c r="E7" s="2">
        <f>AVERAGEIFS(dataset[soda_ppu],dataset[zip_inc_tier],"High")</f>
        <v>0.72701304347826012</v>
      </c>
      <c r="F7" s="3">
        <f>AVERAGEIFS(dataset[soda_units_sold],dataset[zip_inc_tier],"High")</f>
        <v>181586.48429951692</v>
      </c>
      <c r="G7" s="21" cm="1">
        <f t="array" ref="G7">SLOPE( _xlfn._xlws.FILTER(dataset[ln_soda_units],dataset[zip_inc_tier]="High",""), _xlfn._xlws.FILTER(dataset[ln_soda_ppu],dataset[zip_inc_tier]="High","") )</f>
        <v>-0.71035912604352014</v>
      </c>
      <c r="H7" s="27" cm="1">
        <f t="array" ref="H7">RSQ(_xlfn._xlws.FILTER(dataset[ln_soda_units],dataset[zip_inc_tier]="High"),_xlfn._xlws.FILTER(dataset[ln_soda_ppu],dataset[zip_inc_tier]="High"))</f>
        <v>2.4805876085599376E-2</v>
      </c>
      <c r="I7" t="s">
        <v>4054</v>
      </c>
    </row>
    <row r="8" spans="1:9" x14ac:dyDescent="0.35">
      <c r="B8" s="11" t="s">
        <v>3966</v>
      </c>
      <c r="C8" cm="1">
        <f t="array" ref="C8">COUNT(_xlfn._xlws.FILTER(dataset[ln_soda_units],dataset[zip_inc_tier]="Med",""))</f>
        <v>2268</v>
      </c>
      <c r="D8" cm="1">
        <f t="array" ref="D8">ROWS(_xlfn.UNIQUE(_xlfn._xlws.FILTER(dataset[store_id],dataset[zip_inc_tier]="Med")))</f>
        <v>63</v>
      </c>
      <c r="E8" s="2">
        <f>AVERAGEIFS(dataset[soda_ppu],dataset[zip_inc_tier],"Med")</f>
        <v>0.72360017636684326</v>
      </c>
      <c r="F8" s="3">
        <f>AVERAGEIFS(dataset[soda_units_sold],dataset[zip_inc_tier],"Med")</f>
        <v>212169.2729276896</v>
      </c>
      <c r="G8" s="21" cm="1">
        <f t="array" ref="G8">SLOPE( _xlfn._xlws.FILTER(dataset[ln_soda_units],dataset[zip_inc_tier]="Med",""), _xlfn._xlws.FILTER(dataset[ln_soda_ppu],dataset[zip_inc_tier]="Med","") )</f>
        <v>-0.92885328475974116</v>
      </c>
      <c r="H8" s="27" cm="1">
        <f t="array" ref="H8">RSQ(_xlfn._xlws.FILTER(dataset[ln_soda_units],dataset[zip_inc_tier]="Med"),_xlfn._xlws.FILTER(dataset[ln_soda_ppu],dataset[zip_inc_tier]="Med"))</f>
        <v>8.0816380021290046E-2</v>
      </c>
      <c r="I8" t="s">
        <v>4055</v>
      </c>
    </row>
    <row r="9" spans="1:9" x14ac:dyDescent="0.35">
      <c r="A9" s="14"/>
      <c r="B9" s="15" t="s">
        <v>3928</v>
      </c>
      <c r="C9" s="14" cm="1">
        <f t="array" ref="C9">COUNT(_xlfn._xlws.FILTER(dataset[ln_soda_units],dataset[zip_inc_tier]="Low",""))</f>
        <v>180</v>
      </c>
      <c r="D9" s="14" cm="1">
        <f t="array" ref="D9">ROWS(_xlfn.UNIQUE(_xlfn._xlws.FILTER(dataset[store_id],dataset[zip_inc_tier]="Low")))</f>
        <v>5</v>
      </c>
      <c r="E9" s="55">
        <f>AVERAGEIFS(dataset[soda_ppu],dataset[zip_inc_tier],"Low")</f>
        <v>0.73157555555555576</v>
      </c>
      <c r="F9" s="56">
        <f>AVERAGEIFS(dataset[soda_units_sold],dataset[zip_inc_tier],"Low")</f>
        <v>194329.00555555554</v>
      </c>
      <c r="G9" s="57" cm="1">
        <f t="array" ref="G9">SLOPE( _xlfn._xlws.FILTER(dataset[ln_soda_units],dataset[zip_inc_tier]="Low",""), _xlfn._xlws.FILTER(dataset[ln_soda_ppu],dataset[zip_inc_tier]="Low","") )</f>
        <v>-1.9421317637462001</v>
      </c>
      <c r="H9" s="58" cm="1">
        <f t="array" ref="H9">RSQ(_xlfn._xlws.FILTER(dataset[ln_soda_units],dataset[zip_inc_tier]="Low"),_xlfn._xlws.FILTER(dataset[ln_soda_ppu],dataset[zip_inc_tier]="Low"))</f>
        <v>0.24216740169127421</v>
      </c>
      <c r="I9" s="14" t="s">
        <v>4056</v>
      </c>
    </row>
    <row r="10" spans="1:9" x14ac:dyDescent="0.35">
      <c r="A10" s="26" t="s">
        <v>4058</v>
      </c>
      <c r="B10" s="11"/>
      <c r="E10" s="59"/>
      <c r="F10" s="60"/>
      <c r="G10" s="21"/>
      <c r="H10" s="27"/>
    </row>
    <row r="11" spans="1:9" ht="16" x14ac:dyDescent="0.4">
      <c r="A11" s="85" t="s">
        <v>4042</v>
      </c>
      <c r="B11" s="11" t="s">
        <v>3996</v>
      </c>
      <c r="C11" cm="1">
        <f t="array" ref="C11">COUNT(_xlfn._xlws.FILTER(dataset[ln_soda_units],dataset[state]="VA",""))</f>
        <v>1188</v>
      </c>
      <c r="D11" cm="1">
        <f t="array" ref="D11">ROWS(_xlfn.UNIQUE(_xlfn._xlws.FILTER(dataset[store_id],(dataset[state]="VA")*(dataset[soda_units_sold]&gt;0)*(dataset[soda_ppu]&gt;0))))</f>
        <v>33</v>
      </c>
      <c r="E11" s="2">
        <f>AVERAGEIFS(dataset[soda_ppu],dataset[state],"VA",dataset[soda_units_sold],"&gt;0",dataset[soda_ppu],"&gt;0")</f>
        <v>0.72935589225589137</v>
      </c>
      <c r="F11" s="3">
        <f>AVERAGEIFS(dataset[soda_units_sold],dataset[state],"VA",dataset[soda_units_sold],"&gt;0",dataset[soda_ppu],"&gt;0")</f>
        <v>196974.36026936027</v>
      </c>
      <c r="G11" s="21" cm="1">
        <f t="array" ref="G11">SLOPE(_xlfn._xlws.FILTER(dataset[ln_soda_units],dataset[state]="VA",""),_xlfn._xlws.FILTER(dataset[ln_soda_ppu],dataset[state]="VA",""))</f>
        <v>-0.34704711195838728</v>
      </c>
      <c r="H11" s="27" cm="1">
        <f t="array" ref="H11">RSQ(_xlfn._xlws.FILTER(dataset[ln_soda_units],(dataset[state]="VA")*(dataset[soda_units_sold]&gt;0)*(dataset[soda_ppu]&gt;0)),_xlfn._xlws.FILTER(dataset[ln_soda_ppu],(dataset[state]="VA")*(dataset[soda_units_sold]&gt;0)*(dataset[soda_ppu]&gt;0)))</f>
        <v>4.6073871906313563E-3</v>
      </c>
      <c r="I11" t="s">
        <v>4045</v>
      </c>
    </row>
    <row r="12" spans="1:9" x14ac:dyDescent="0.35">
      <c r="B12" s="11" t="s">
        <v>3926</v>
      </c>
      <c r="C12" cm="1">
        <f t="array" ref="C12">COUNT(_xlfn._xlws.FILTER(dataset[ln_soda_units],(dataset[zip_inc_tier]="High")*(dataset[state]="VA"),""))</f>
        <v>396</v>
      </c>
      <c r="D12" cm="1">
        <f t="array" ref="D12">ROWS(_xlfn.UNIQUE(_xlfn._xlws.FILTER(dataset[store_id],(dataset[zip_inc_tier]="High")*(dataset[state]="VA"))))</f>
        <v>11</v>
      </c>
      <c r="E12" s="2">
        <f>AVERAGEIFS(dataset[soda_ppu],dataset[zip_inc_tier],"High",dataset[state],"VA")</f>
        <v>0.73048005050505016</v>
      </c>
      <c r="F12" s="3">
        <f>AVERAGEIFS(dataset[soda_units_sold],dataset[zip_inc_tier],"High",dataset[state],"VA")</f>
        <v>177787.49494949495</v>
      </c>
      <c r="G12" s="53" cm="1">
        <f t="array" ref="G12">SLOPE( _xlfn._xlws.FILTER(dataset[ln_soda_units],(dataset[zip_inc_tier]="High")*(dataset[state]="VA"),""), _xlfn._xlws.FILTER(dataset[ln_soda_ppu],(dataset[zip_inc_tier]="High")*(dataset[state]="VA"),"") )</f>
        <v>0.50598059780559901</v>
      </c>
      <c r="H12" s="27" cm="1">
        <f t="array" ref="H12">RSQ(_xlfn._xlws.FILTER(dataset[ln_soda_units],(dataset[zip_inc_tier]="High")*(dataset[state]="VA")),_xlfn._xlws.FILTER(dataset[ln_soda_ppu],(dataset[zip_inc_tier]="High")*(dataset[state]="VA")))</f>
        <v>9.4590573278897378E-3</v>
      </c>
      <c r="I12" t="s">
        <v>4052</v>
      </c>
    </row>
    <row r="13" spans="1:9" x14ac:dyDescent="0.35">
      <c r="B13" s="11" t="s">
        <v>3966</v>
      </c>
      <c r="C13" cm="1">
        <f t="array" ref="C13">COUNT(_xlfn._xlws.FILTER(dataset[ln_soda_units],(dataset[zip_inc_tier]="Med")*(dataset[state]="VA"),""))</f>
        <v>756</v>
      </c>
      <c r="D13" cm="1">
        <f t="array" ref="D13">ROWS(_xlfn.UNIQUE(_xlfn._xlws.FILTER(dataset[store_id],(dataset[zip_inc_tier]="Med")*(dataset[state]="VA"))))</f>
        <v>21</v>
      </c>
      <c r="E13" s="2">
        <f>AVERAGEIFS(dataset[soda_ppu],dataset[zip_inc_tier],"Med",dataset[state],"VA")</f>
        <v>0.72851071428571534</v>
      </c>
      <c r="F13" s="3">
        <f>AVERAGEIFS(dataset[soda_units_sold],dataset[zip_inc_tier],"Med",dataset[state],"VA")</f>
        <v>208286.46825396825</v>
      </c>
      <c r="G13" s="21" cm="1">
        <f t="array" ref="G13">SLOPE( _xlfn._xlws.FILTER(dataset[ln_soda_units],(dataset[zip_inc_tier]="Med")*(dataset[state]="VA"),""), _xlfn._xlws.FILTER(dataset[ln_soda_ppu],(dataset[zip_inc_tier]="Med")*(dataset[state]="VA"),"") )</f>
        <v>-0.78466402985384953</v>
      </c>
      <c r="H13" s="27" cm="1">
        <f t="array" ref="H13">RSQ(_xlfn._xlws.FILTER(dataset[ln_soda_units],(dataset[zip_inc_tier]="Med")*(dataset[state]="VA")),_xlfn._xlws.FILTER(dataset[ln_soda_ppu],(dataset[zip_inc_tier]="Med")*(dataset[state]="VA")))</f>
        <v>3.1851898676843862E-2</v>
      </c>
      <c r="I13" t="s">
        <v>4053</v>
      </c>
    </row>
    <row r="14" spans="1:9" x14ac:dyDescent="0.35">
      <c r="A14" s="14"/>
      <c r="B14" s="15" t="s">
        <v>3928</v>
      </c>
      <c r="C14" s="14" cm="1">
        <f t="array" ref="C14">COUNT(_xlfn._xlws.FILTER(dataset[ln_soda_units],(dataset[zip_inc_tier]="Low")*(dataset[state]="VA"),""))</f>
        <v>36</v>
      </c>
      <c r="D14" s="14" cm="1">
        <f t="array" ref="D14">ROWS(_xlfn.UNIQUE(_xlfn._xlws.FILTER(dataset[store_id],(dataset[zip_inc_tier]="Low")*(dataset[state]="VA"))))</f>
        <v>1</v>
      </c>
      <c r="E14" s="55">
        <f>AVERAGEIFS(dataset[soda_ppu],dataset[zip_inc_tier],"Low",dataset[state],"VA")</f>
        <v>0.73473888888888905</v>
      </c>
      <c r="F14" s="56">
        <f>AVERAGEIFS(dataset[soda_units_sold],dataset[zip_inc_tier],"Low",dataset[state],"VA")</f>
        <v>170475.61111111112</v>
      </c>
      <c r="G14" s="57" cm="1">
        <f t="array" ref="G14">SLOPE( _xlfn._xlws.FILTER(dataset[ln_soda_units],(dataset[zip_inc_tier]="Low")*(dataset[state]="VA"),""), _xlfn._xlws.FILTER(dataset[ln_soda_ppu],(dataset[zip_inc_tier]="Low")*(dataset[state]="VA"),"") )</f>
        <v>-1.0151468094679488</v>
      </c>
      <c r="H14" s="58" cm="1">
        <f t="array" ref="H14">RSQ(_xlfn._xlws.FILTER(dataset[ln_soda_units],(dataset[zip_inc_tier]="Low")*(dataset[state]="VA")),_xlfn._xlws.FILTER(dataset[ln_soda_ppu],(dataset[zip_inc_tier]="Low")*(dataset[state]="VA")))</f>
        <v>3.1076425606929782E-2</v>
      </c>
      <c r="I14" s="14" t="s">
        <v>4057</v>
      </c>
    </row>
    <row r="15" spans="1:9" x14ac:dyDescent="0.35">
      <c r="B15" s="11"/>
      <c r="E15" s="59"/>
      <c r="F15" s="60"/>
      <c r="G15" s="21"/>
      <c r="H15" s="27"/>
    </row>
    <row r="16" spans="1:9" x14ac:dyDescent="0.35">
      <c r="A16" t="s">
        <v>4</v>
      </c>
      <c r="B16" s="11" t="s">
        <v>3996</v>
      </c>
      <c r="C16" cm="1">
        <f t="array" ref="C16">COUNT(_xlfn._xlws.FILTER(dataset[ln_soda_units],dataset[state]="DC",""))</f>
        <v>72</v>
      </c>
      <c r="D16" cm="1">
        <f t="array" ref="D16">ROWS(_xlfn.UNIQUE(_xlfn._xlws.FILTER(dataset[store_id],(dataset[state]="DC")*(dataset[soda_units_sold]&gt;0)*(dataset[soda_ppu]&gt;0))))</f>
        <v>2</v>
      </c>
      <c r="E16" s="2">
        <f>AVERAGEIFS(dataset[soda_ppu],dataset[state],"DC",dataset[soda_units_sold],"&gt;0",dataset[soda_ppu],"&gt;0")</f>
        <v>0.72162916666666654</v>
      </c>
      <c r="F16" s="3">
        <f>AVERAGEIFS(dataset[soda_units_sold],dataset[state],"DC",dataset[soda_units_sold],"&gt;0",dataset[soda_ppu],"&gt;0")</f>
        <v>204413.63888888888</v>
      </c>
      <c r="G16" s="21" cm="1">
        <f t="array" ref="G16">SLOPE(_xlfn._xlws.FILTER(dataset[ln_soda_units],dataset[state]="DC",""),_xlfn._xlws.FILTER(dataset[ln_soda_ppu],dataset[state]="DC",""))</f>
        <v>-0.40497449805418489</v>
      </c>
      <c r="H16" s="27" cm="1">
        <f t="array" ref="H16">RSQ(_xlfn._xlws.FILTER(dataset[ln_soda_units],(dataset[state]="DC")*(dataset[soda_units_sold]&gt;0)*(dataset[soda_ppu]&gt;0)),_xlfn._xlws.FILTER(dataset[ln_soda_ppu],(dataset[state]="DC")*(dataset[soda_units_sold]&gt;0)*(dataset[soda_ppu]&gt;0)))</f>
        <v>5.8344603575541743E-3</v>
      </c>
      <c r="I16" t="s">
        <v>4046</v>
      </c>
    </row>
    <row r="17" spans="1:9" x14ac:dyDescent="0.35">
      <c r="B17" s="11" t="s">
        <v>3926</v>
      </c>
      <c r="C17" cm="1">
        <f t="array" ref="C17">COUNT(_xlfn._xlws.FILTER(dataset[ln_soda_units],(dataset[zip_inc_tier]="High")*(dataset[state]="DC"),""))</f>
        <v>36</v>
      </c>
      <c r="D17" cm="1">
        <f t="array" ref="D17">ROWS(_xlfn.UNIQUE(_xlfn._xlws.FILTER(dataset[store_id],(dataset[zip_inc_tier]="High")*(dataset[state]="DC"))))</f>
        <v>1</v>
      </c>
      <c r="E17" s="2">
        <f>AVERAGEIFS(dataset[soda_ppu],dataset[zip_inc_tier],"High",dataset[state],"DC")</f>
        <v>0.724088888888889</v>
      </c>
      <c r="F17" s="3">
        <f>AVERAGEIFS(dataset[soda_units_sold],dataset[zip_inc_tier],"High",dataset[state],"DC")</f>
        <v>204131.30555555556</v>
      </c>
      <c r="G17" s="21" cm="1">
        <f t="array" ref="G17">SLOPE( _xlfn._xlws.FILTER(dataset[ln_soda_units],(dataset[zip_inc_tier]="High")*(dataset[state]="DC"),""), _xlfn._xlws.FILTER(dataset[ln_soda_ppu],(dataset[zip_inc_tier]="High")*(dataset[state]="DC"),"") )</f>
        <v>-0.22237294316624789</v>
      </c>
      <c r="H17" s="27" cm="1">
        <f t="array" ref="H17">RSQ(_xlfn._xlws.FILTER(dataset[ln_soda_units],(dataset[zip_inc_tier]="High")*(dataset[state]="DC")),_xlfn._xlws.FILTER(dataset[ln_soda_ppu],(dataset[zip_inc_tier]="High")*(dataset[state]="DC")))</f>
        <v>1.5577963086321248E-3</v>
      </c>
    </row>
    <row r="18" spans="1:9" x14ac:dyDescent="0.35">
      <c r="B18" s="11" t="s">
        <v>3966</v>
      </c>
      <c r="C18" cm="1">
        <f t="array" ref="C18">COUNT(_xlfn._xlws.FILTER(dataset[ln_soda_units],(dataset[zip_inc_tier]="Med")*(dataset[state]="DC"),""))</f>
        <v>0</v>
      </c>
      <c r="F18" s="3"/>
      <c r="G18" s="21"/>
      <c r="H18" s="27"/>
      <c r="I18" t="s">
        <v>4051</v>
      </c>
    </row>
    <row r="19" spans="1:9" x14ac:dyDescent="0.35">
      <c r="A19" s="14"/>
      <c r="B19" s="15" t="s">
        <v>3928</v>
      </c>
      <c r="C19" s="14" cm="1">
        <f t="array" ref="C19">COUNT(_xlfn._xlws.FILTER(dataset[ln_soda_units],(dataset[zip_inc_tier]="Low")*(dataset[state]="DC"),""))</f>
        <v>0</v>
      </c>
      <c r="D19" s="14"/>
      <c r="E19" s="55"/>
      <c r="F19" s="56"/>
      <c r="G19" s="57"/>
      <c r="H19" s="58"/>
      <c r="I19" s="14" t="s">
        <v>4051</v>
      </c>
    </row>
    <row r="20" spans="1:9" x14ac:dyDescent="0.35">
      <c r="A20" t="s">
        <v>6</v>
      </c>
      <c r="B20" s="11" t="s">
        <v>3996</v>
      </c>
      <c r="C20" cm="1">
        <f t="array" ref="C20">COUNT(_xlfn._xlws.FILTER(dataset[ln_soda_units],dataset[state]="MD",""))</f>
        <v>540</v>
      </c>
      <c r="D20" cm="1">
        <f t="array" ref="D20">ROWS(_xlfn.UNIQUE(_xlfn._xlws.FILTER(dataset[store_id],(dataset[state]="MD")*(dataset[soda_units_sold]&gt;0)*(dataset[soda_ppu]&gt;0))))</f>
        <v>15</v>
      </c>
      <c r="E20" s="2">
        <f>AVERAGEIFS(dataset[soda_ppu],dataset[state],"MD",dataset[soda_units_sold],"&gt;0",dataset[soda_ppu],"&gt;0")</f>
        <v>0.73191185185185181</v>
      </c>
      <c r="F20" s="3">
        <f>AVERAGEIFS(dataset[soda_units_sold],dataset[state],"MD",dataset[soda_units_sold],"&gt;0",dataset[soda_ppu],"&gt;0")</f>
        <v>192794.26111111112</v>
      </c>
      <c r="G20" s="21" cm="1">
        <f t="array" ref="G20">SLOPE(_xlfn._xlws.FILTER(dataset[ln_soda_units],dataset[state]="MD",""),_xlfn._xlws.FILTER(dataset[ln_soda_ppu],dataset[state]="MD",""))</f>
        <v>-1.4393072343455295</v>
      </c>
      <c r="H20" s="27" cm="1">
        <f t="array" ref="H20">RSQ(_xlfn._xlws.FILTER(dataset[ln_soda_units],(dataset[state]="MD")*(dataset[soda_units_sold]&gt;0)*(dataset[soda_ppu]&gt;0)),_xlfn._xlws.FILTER(dataset[ln_soda_ppu],(dataset[state]="MD")*(dataset[soda_units_sold]&gt;0)*(dataset[soda_ppu]&gt;0)))</f>
        <v>8.5184499445823958E-2</v>
      </c>
      <c r="I20" s="50" t="s">
        <v>4047</v>
      </c>
    </row>
    <row r="21" spans="1:9" x14ac:dyDescent="0.35">
      <c r="B21" s="11" t="s">
        <v>3926</v>
      </c>
      <c r="C21" cm="1">
        <f t="array" ref="C21">COUNT(_xlfn._xlws.FILTER(dataset[ln_soda_units],(dataset[zip_inc_tier]="High")*(dataset[state]="MD"),""))</f>
        <v>252</v>
      </c>
      <c r="D21" cm="1">
        <f t="array" ref="D21">ROWS(_xlfn.UNIQUE(_xlfn._xlws.FILTER(dataset[store_id],(dataset[zip_inc_tier]="High")*(dataset[state]="MD"))))</f>
        <v>7</v>
      </c>
      <c r="E21" s="2">
        <f>AVERAGEIFS(dataset[soda_ppu],dataset[zip_inc_tier],"High",dataset[state],"MD")</f>
        <v>0.7396730158730157</v>
      </c>
      <c r="F21" s="3">
        <f>AVERAGEIFS(dataset[soda_units_sold],dataset[zip_inc_tier],"High",dataset[state],"MD")</f>
        <v>174528.21428571429</v>
      </c>
      <c r="G21" s="21" cm="1">
        <f t="array" ref="G21">SLOPE( _xlfn._xlws.FILTER(dataset[ln_soda_units],(dataset[zip_inc_tier]="High")*(dataset[state]="MD"),""), _xlfn._xlws.FILTER(dataset[ln_soda_ppu],(dataset[zip_inc_tier]="High")*(dataset[state]="MD"),"") )</f>
        <v>-1.4528595205287276</v>
      </c>
      <c r="H21" s="27" cm="1">
        <f t="array" ref="H21">RSQ(_xlfn._xlws.FILTER(dataset[ln_soda_units],(dataset[zip_inc_tier]="High")*(dataset[state]="MD")),_xlfn._xlws.FILTER(dataset[ln_soda_ppu],(dataset[zip_inc_tier]="High")*(dataset[state]="MD")))</f>
        <v>7.9733121332456511E-2</v>
      </c>
    </row>
    <row r="22" spans="1:9" x14ac:dyDescent="0.35">
      <c r="B22" s="11" t="s">
        <v>3966</v>
      </c>
      <c r="C22" cm="1">
        <f t="array" ref="C22">COUNT(_xlfn._xlws.FILTER(dataset[ln_soda_units],(dataset[zip_inc_tier]="Med")*(dataset[state]="MD"),""))</f>
        <v>288</v>
      </c>
      <c r="D22" cm="1">
        <f t="array" ref="D22">ROWS(_xlfn.UNIQUE(_xlfn._xlws.FILTER(dataset[store_id],(dataset[zip_inc_tier]="Med")*(dataset[state]="MD"))))</f>
        <v>8</v>
      </c>
      <c r="E22" s="2">
        <f>AVERAGEIFS(dataset[soda_ppu],dataset[zip_inc_tier],"Med",dataset[state],"MD")</f>
        <v>0.72512083333333288</v>
      </c>
      <c r="F22" s="3">
        <f>AVERAGEIFS(dataset[soda_units_sold],dataset[zip_inc_tier],"Med",dataset[state],"MD")</f>
        <v>208777.05208333334</v>
      </c>
      <c r="G22" s="21" cm="1">
        <f t="array" ref="G22">SLOPE( _xlfn._xlws.FILTER(dataset[ln_soda_units],(dataset[zip_inc_tier]="Med")*(dataset[state]="MD"),""), _xlfn._xlws.FILTER(dataset[ln_soda_ppu],(dataset[zip_inc_tier]="Med")*(dataset[state]="MD"),"") )</f>
        <v>-0.69447110687056324</v>
      </c>
      <c r="H22" s="27" cm="1">
        <f t="array" ref="H22">RSQ(_xlfn._xlws.FILTER(dataset[ln_soda_units],(dataset[zip_inc_tier]="Med")*(dataset[state]="MD")),_xlfn._xlws.FILTER(dataset[ln_soda_ppu],(dataset[zip_inc_tier]="Med")*(dataset[state]="MD")))</f>
        <v>3.0542779741970061E-2</v>
      </c>
    </row>
    <row r="23" spans="1:9" x14ac:dyDescent="0.35">
      <c r="A23" s="14"/>
      <c r="B23" s="15" t="s">
        <v>3928</v>
      </c>
      <c r="C23" s="14" cm="1">
        <f t="array" ref="C23">COUNT(_xlfn._xlws.FILTER(dataset[ln_soda_units],(dataset[zip_inc_tier]="Low")*(dataset[state]="MD"),""))</f>
        <v>0</v>
      </c>
      <c r="D23" s="14"/>
      <c r="E23" s="55"/>
      <c r="F23" s="56"/>
      <c r="G23" s="57"/>
      <c r="H23" s="58"/>
      <c r="I23" s="14" t="s">
        <v>4051</v>
      </c>
    </row>
    <row r="24" spans="1:9" x14ac:dyDescent="0.35">
      <c r="A24" t="s">
        <v>7</v>
      </c>
      <c r="B24" s="11" t="s">
        <v>3996</v>
      </c>
      <c r="C24" cm="1">
        <f t="array" ref="C24">COUNT(_xlfn._xlws.FILTER(dataset[ln_soda_units],dataset[state]="NC",""))</f>
        <v>684</v>
      </c>
      <c r="D24" cm="1">
        <f t="array" ref="D24">ROWS(_xlfn.UNIQUE(_xlfn._xlws.FILTER(dataset[store_id],(dataset[state]="NC")*(dataset[soda_units_sold]&gt;0)*(dataset[soda_ppu]&gt;0))))</f>
        <v>19</v>
      </c>
      <c r="E24" s="2">
        <f>AVERAGEIFS(dataset[soda_ppu],dataset[state],"NC",dataset[soda_units_sold],"&gt;0",dataset[soda_ppu],"&gt;0")</f>
        <v>0.75083143274853792</v>
      </c>
      <c r="F24" s="3">
        <f>AVERAGEIFS(dataset[soda_units_sold],dataset[state],"NC",dataset[soda_units_sold],"&gt;0",dataset[soda_ppu],"&gt;0")</f>
        <v>203433.55847953216</v>
      </c>
      <c r="G24" s="21" cm="1">
        <f t="array" ref="G24">SLOPE(_xlfn._xlws.FILTER(dataset[ln_soda_units],dataset[state]="NC",""),_xlfn._xlws.FILTER(dataset[ln_soda_ppu],dataset[state]="NC",""))</f>
        <v>-0.92154405135339978</v>
      </c>
      <c r="H24" s="27" cm="1">
        <f t="array" ref="H24">RSQ(_xlfn._xlws.FILTER(dataset[ln_soda_units],(dataset[state]="NC")*(dataset[soda_units_sold]&gt;0)*(dataset[soda_ppu]&gt;0)),_xlfn._xlws.FILTER(dataset[ln_soda_ppu],(dataset[state]="NC")*(dataset[soda_units_sold]&gt;0)*(dataset[soda_ppu]&gt;0)))</f>
        <v>7.5439790682708341E-2</v>
      </c>
      <c r="I24" t="s">
        <v>4048</v>
      </c>
    </row>
    <row r="25" spans="1:9" x14ac:dyDescent="0.35">
      <c r="B25" s="11" t="s">
        <v>3926</v>
      </c>
      <c r="C25" cm="1">
        <f t="array" ref="C25">COUNT(_xlfn._xlws.FILTER(dataset[ln_soda_units],(dataset[zip_inc_tier]="High")*(dataset[state]="NC"),""))</f>
        <v>0</v>
      </c>
      <c r="E25" s="2"/>
      <c r="F25" s="3"/>
      <c r="G25" s="53"/>
      <c r="H25" s="27"/>
      <c r="I25" t="s">
        <v>4051</v>
      </c>
    </row>
    <row r="26" spans="1:9" x14ac:dyDescent="0.35">
      <c r="B26" s="11" t="s">
        <v>3966</v>
      </c>
      <c r="C26" cm="1">
        <f t="array" ref="C26">COUNT(_xlfn._xlws.FILTER(dataset[ln_soda_units],(dataset[zip_inc_tier]="Med")*(dataset[state]="NC"),""))</f>
        <v>504</v>
      </c>
      <c r="D26" cm="1">
        <f t="array" ref="D26">ROWS(_xlfn.UNIQUE(_xlfn._xlws.FILTER(dataset[store_id],(dataset[zip_inc_tier]="Med")*(dataset[state]="NC"))))</f>
        <v>14</v>
      </c>
      <c r="E26" s="2">
        <f>AVERAGEIFS(dataset[soda_ppu],dataset[zip_inc_tier],"Med",dataset[state],"NC")</f>
        <v>0.75445019841269845</v>
      </c>
      <c r="F26" s="3">
        <f>AVERAGEIFS(dataset[soda_units_sold],dataset[zip_inc_tier],"Med",dataset[state],"NC")</f>
        <v>203516.74206349207</v>
      </c>
      <c r="G26" s="21" cm="1">
        <f t="array" ref="G26">SLOPE( _xlfn._xlws.FILTER(dataset[ln_soda_units],(dataset[zip_inc_tier]="Med")*(dataset[state]="NC"),""), _xlfn._xlws.FILTER(dataset[ln_soda_ppu],(dataset[zip_inc_tier]="Med")*(dataset[state]="NC"),"") )</f>
        <v>-0.81394401718199938</v>
      </c>
      <c r="H26" s="27" cm="1">
        <f t="array" ref="H26">RSQ(_xlfn._xlws.FILTER(dataset[ln_soda_units],(dataset[zip_inc_tier]="Med")*(dataset[state]="NC")),_xlfn._xlws.FILTER(dataset[ln_soda_ppu],(dataset[zip_inc_tier]="Med")*(dataset[state]="NC")))</f>
        <v>5.8742897779353466E-2</v>
      </c>
    </row>
    <row r="27" spans="1:9" x14ac:dyDescent="0.35">
      <c r="A27" s="14"/>
      <c r="B27" s="15" t="s">
        <v>3928</v>
      </c>
      <c r="C27" s="14" cm="1">
        <f t="array" ref="C27">COUNT(_xlfn._xlws.FILTER(dataset[ln_soda_units],(dataset[zip_inc_tier]="Low")*(dataset[state]="NC"),""))</f>
        <v>72</v>
      </c>
      <c r="D27" s="14" cm="1">
        <f t="array" ref="D27">ROWS(_xlfn.UNIQUE(_xlfn._xlws.FILTER(dataset[store_id],(dataset[zip_inc_tier]="Low")*(dataset[state]="NC"))))</f>
        <v>2</v>
      </c>
      <c r="E27" s="55">
        <f>AVERAGEIFS(dataset[soda_ppu],dataset[zip_inc_tier],"Low",dataset[state],"NC")</f>
        <v>0.7516138888888888</v>
      </c>
      <c r="F27" s="56">
        <f>AVERAGEIFS(dataset[soda_units_sold],dataset[zip_inc_tier],"Low",dataset[state],"NC")</f>
        <v>193479.45833333334</v>
      </c>
      <c r="G27" s="57" cm="1">
        <f t="array" ref="G27">SLOPE( _xlfn._xlws.FILTER(dataset[ln_soda_units],(dataset[zip_inc_tier]="Low")*(dataset[state]="NC"),""), _xlfn._xlws.FILTER(dataset[ln_soda_ppu],(dataset[zip_inc_tier]="Low")*(dataset[state]="NC"),"") )</f>
        <v>-1.5619225232280096</v>
      </c>
      <c r="H27" s="58" cm="1">
        <f t="array" ref="H27">RSQ(_xlfn._xlws.FILTER(dataset[ln_soda_units],(dataset[zip_inc_tier]="Low")*(dataset[state]="NC")),_xlfn._xlws.FILTER(dataset[ln_soda_ppu],(dataset[zip_inc_tier]="Low")*(dataset[state]="NC")))</f>
        <v>0.22024514711581694</v>
      </c>
      <c r="I27" s="14"/>
    </row>
    <row r="28" spans="1:9" x14ac:dyDescent="0.35">
      <c r="A28" t="s">
        <v>8</v>
      </c>
      <c r="B28" s="11" t="s">
        <v>3996</v>
      </c>
      <c r="C28" cm="1">
        <f t="array" ref="C28">COUNT(_xlfn._xlws.FILTER(dataset[ln_soda_units],dataset[state]="WV",""))</f>
        <v>468</v>
      </c>
      <c r="D28" cm="1">
        <f t="array" ref="D28">ROWS(_xlfn.UNIQUE(_xlfn._xlws.FILTER(dataset[store_id],(dataset[state]="WV")*(dataset[soda_units_sold]&gt;0)*(dataset[soda_ppu]&gt;0))))</f>
        <v>13</v>
      </c>
      <c r="E28" s="2">
        <f>AVERAGEIFS(dataset[soda_ppu],dataset[state],"WV",dataset[soda_units_sold],"&gt;0",dataset[soda_ppu],"&gt;0")</f>
        <v>0.73142307692307662</v>
      </c>
      <c r="F28" s="3">
        <f>AVERAGEIFS(dataset[soda_units_sold],dataset[state],"WV",dataset[soda_units_sold],"&gt;0",dataset[soda_ppu],"&gt;0")</f>
        <v>203054.45085470084</v>
      </c>
      <c r="G28" s="21" cm="1">
        <f t="array" ref="G28">SLOPE(_xlfn._xlws.FILTER(dataset[ln_soda_units],dataset[state]="WV",""),_xlfn._xlws.FILTER(dataset[ln_soda_ppu],dataset[state]="WV",""))</f>
        <v>-1.049523188226998</v>
      </c>
      <c r="H28" s="27" cm="1">
        <f t="array" ref="H28">RSQ(_xlfn._xlws.FILTER(dataset[ln_soda_units],(dataset[state]="WV")*(dataset[soda_units_sold]&gt;0)*(dataset[soda_ppu]&gt;0)),_xlfn._xlws.FILTER(dataset[ln_soda_ppu],(dataset[state]="WV")*(dataset[soda_units_sold]&gt;0)*(dataset[soda_ppu]&gt;0)))</f>
        <v>6.814122608067523E-2</v>
      </c>
      <c r="I28" t="s">
        <v>4049</v>
      </c>
    </row>
    <row r="29" spans="1:9" x14ac:dyDescent="0.35">
      <c r="B29" s="11" t="s">
        <v>3926</v>
      </c>
      <c r="C29" cm="1">
        <f t="array" ref="C29">COUNT(_xlfn._xlws.FILTER(dataset[ln_soda_units],(dataset[zip_inc_tier]="High")*(dataset[state]="WV"),""))</f>
        <v>36</v>
      </c>
      <c r="D29" cm="1">
        <f t="array" ref="D29">ROWS(_xlfn.UNIQUE(_xlfn._xlws.FILTER(dataset[store_id],(dataset[zip_inc_tier]="High")*(dataset[state]="WV"))))</f>
        <v>1</v>
      </c>
      <c r="E29" s="2">
        <f>AVERAGEIFS(dataset[soda_ppu],dataset[zip_inc_tier],"High",dataset[state],"WV")</f>
        <v>0.75346388888888916</v>
      </c>
      <c r="F29" s="3">
        <f>AVERAGEIFS(dataset[soda_units_sold],dataset[zip_inc_tier],"High",dataset[state],"WV")</f>
        <v>184153.19444444444</v>
      </c>
      <c r="G29" s="53" cm="1">
        <f t="array" ref="G29">SLOPE( _xlfn._xlws.FILTER(dataset[ln_soda_units],(dataset[zip_inc_tier]="High")*(dataset[state]="WV"),""), _xlfn._xlws.FILTER(dataset[ln_soda_ppu],(dataset[zip_inc_tier]="High")*(dataset[state]="WV"),"") )</f>
        <v>0.68975055654500139</v>
      </c>
      <c r="H29" s="27" cm="1">
        <f t="array" ref="H29">RSQ(_xlfn._xlws.FILTER(dataset[ln_soda_units],(dataset[zip_inc_tier]="High")*(dataset[state]="WV")),_xlfn._xlws.FILTER(dataset[ln_soda_ppu],(dataset[zip_inc_tier]="High")*(dataset[state]="WV")))</f>
        <v>1.8933473968186936E-2</v>
      </c>
      <c r="I29" t="s">
        <v>4050</v>
      </c>
    </row>
    <row r="30" spans="1:9" x14ac:dyDescent="0.35">
      <c r="B30" s="11" t="s">
        <v>3966</v>
      </c>
      <c r="C30" cm="1">
        <f t="array" ref="C30">COUNT(_xlfn._xlws.FILTER(dataset[ln_soda_units],(dataset[zip_inc_tier]="Med")*(dataset[state]="WV"),""))</f>
        <v>288</v>
      </c>
      <c r="D30" cm="1">
        <f t="array" ref="D30">ROWS(_xlfn.UNIQUE(_xlfn._xlws.FILTER(dataset[store_id],(dataset[zip_inc_tier]="Med")*(dataset[state]="WV"))))</f>
        <v>8</v>
      </c>
      <c r="E30" s="2">
        <f>AVERAGEIFS(dataset[soda_ppu],dataset[zip_inc_tier],"Med",dataset[state],"WV")</f>
        <v>0.71975104166666681</v>
      </c>
      <c r="F30" s="3">
        <f>AVERAGEIFS(dataset[soda_units_sold],dataset[zip_inc_tier],"Med",dataset[state],"WV")</f>
        <v>212701.03125</v>
      </c>
      <c r="G30" s="21" cm="1">
        <f t="array" ref="G30">SLOPE( _xlfn._xlws.FILTER(dataset[ln_soda_units],(dataset[zip_inc_tier]="Med")*(dataset[state]="WV"),""), _xlfn._xlws.FILTER(dataset[ln_soda_ppu],(dataset[zip_inc_tier]="Med")*(dataset[state]="WV"),"") )</f>
        <v>-0.70193049511542804</v>
      </c>
      <c r="H30" s="27" cm="1">
        <f t="array" ref="H30">RSQ(_xlfn._xlws.FILTER(dataset[ln_soda_units],(dataset[zip_inc_tier]="Med")*(dataset[state]="WV")),_xlfn._xlws.FILTER(dataset[ln_soda_ppu],(dataset[zip_inc_tier]="Med")*(dataset[state]="WV")))</f>
        <v>3.4710872949873572E-2</v>
      </c>
    </row>
    <row r="31" spans="1:9" x14ac:dyDescent="0.35">
      <c r="A31" s="14"/>
      <c r="B31" s="15" t="s">
        <v>3928</v>
      </c>
      <c r="C31" s="14" cm="1">
        <f t="array" ref="C31">COUNT(_xlfn._xlws.FILTER(dataset[ln_soda_units],(dataset[zip_inc_tier]="Low")*(dataset[state]="WV"),""))</f>
        <v>36</v>
      </c>
      <c r="D31" s="14" cm="1">
        <f t="array" ref="D31">ROWS(_xlfn.UNIQUE(_xlfn._xlws.FILTER(dataset[store_id],(dataset[zip_inc_tier]="Low")*(dataset[state]="WV"))))</f>
        <v>1</v>
      </c>
      <c r="E31" s="55">
        <f>AVERAGEIFS(dataset[soda_ppu],dataset[zip_inc_tier],"Low",dataset[state],"WV")</f>
        <v>0.73891111111111096</v>
      </c>
      <c r="F31" s="56">
        <f>AVERAGEIFS(dataset[soda_units_sold],dataset[zip_inc_tier],"Low",dataset[state],"WV")</f>
        <v>172414.16666666666</v>
      </c>
      <c r="G31" s="57" cm="1">
        <f t="array" ref="G31">SLOPE( _xlfn._xlws.FILTER(dataset[ln_soda_units],(dataset[zip_inc_tier]="Low")*(dataset[state]="WV"),""), _xlfn._xlws.FILTER(dataset[ln_soda_ppu],(dataset[zip_inc_tier]="Low")*(dataset[state]="WV"),"") )</f>
        <v>-1.2768575071771411</v>
      </c>
      <c r="H31" s="58" cm="1">
        <f t="array" ref="H31">RSQ(_xlfn._xlws.FILTER(dataset[ln_soda_units],(dataset[zip_inc_tier]="Low")*(dataset[state]="WV")),_xlfn._xlws.FILTER(dataset[ln_soda_ppu],(dataset[zip_inc_tier]="Low")*(dataset[state]="WV")))</f>
        <v>4.3641129889754944E-2</v>
      </c>
      <c r="I31" s="14"/>
    </row>
    <row r="32" spans="1:9" x14ac:dyDescent="0.35">
      <c r="A32" t="s">
        <v>5</v>
      </c>
      <c r="B32" s="11" t="s">
        <v>3996</v>
      </c>
      <c r="C32" cm="1">
        <f t="array" ref="C32">COUNT(_xlfn._xlws.FILTER(dataset[ln_soda_units],dataset[state]="GA",""))</f>
        <v>648</v>
      </c>
      <c r="D32" cm="1">
        <f t="array" ref="D32">ROWS(_xlfn.UNIQUE(_xlfn._xlws.FILTER(dataset[store_id],(dataset[state]="GA")*(dataset[soda_units_sold]&gt;0)*(dataset[soda_ppu]&gt;0))))</f>
        <v>18</v>
      </c>
      <c r="E32" s="51">
        <f>AVERAGEIFS(dataset[soda_ppu],dataset[state],"GA",dataset[soda_units_sold],"&gt;0",dataset[soda_ppu],"&gt;0")</f>
        <v>0.6798518518518526</v>
      </c>
      <c r="F32" s="3">
        <f>AVERAGEIFS(dataset[soda_units_sold],dataset[state],"GA",dataset[soda_units_sold],"&gt;0",dataset[soda_ppu],"&gt;0")</f>
        <v>225122.13117283949</v>
      </c>
      <c r="G32" s="21" cm="1">
        <f t="array" ref="G32">SLOPE(_xlfn._xlws.FILTER(dataset[ln_soda_units],dataset[state]="GA",""),_xlfn._xlws.FILTER(dataset[ln_soda_ppu],dataset[state]="GA",""))</f>
        <v>-0.63395630320144547</v>
      </c>
      <c r="H32" s="27" cm="1">
        <f t="array" ref="H32">RSQ(_xlfn._xlws.FILTER(dataset[ln_soda_units],(dataset[state]="GA")*(dataset[soda_units_sold]&gt;0)*(dataset[soda_ppu]&gt;0)),_xlfn._xlws.FILTER(dataset[ln_soda_ppu],(dataset[state]="GA")*(dataset[soda_units_sold]&gt;0)*(dataset[soda_ppu]&gt;0)))</f>
        <v>2.1398984088828239E-2</v>
      </c>
      <c r="I32" t="s">
        <v>4049</v>
      </c>
    </row>
    <row r="33" spans="1:9" x14ac:dyDescent="0.35">
      <c r="B33" s="11" t="s">
        <v>3926</v>
      </c>
      <c r="C33" cm="1">
        <f t="array" ref="C33">COUNT(_xlfn._xlws.FILTER(dataset[ln_soda_units],(dataset[zip_inc_tier]="High")*(dataset[state]="GA"),""))</f>
        <v>108</v>
      </c>
      <c r="D33" cm="1">
        <f t="array" ref="D33">ROWS(_xlfn.UNIQUE(_xlfn._xlws.FILTER(dataset[store_id],(dataset[zip_inc_tier]="High")*(dataset[state]="GA"))))</f>
        <v>3</v>
      </c>
      <c r="E33" s="2">
        <f>AVERAGEIFS(dataset[soda_ppu],dataset[zip_inc_tier],"High",dataset[state],"GA")</f>
        <v>0.67691851851851847</v>
      </c>
      <c r="F33" s="3">
        <f>AVERAGEIFS(dataset[soda_units_sold],dataset[zip_inc_tier],"High",dataset[state],"GA")</f>
        <v>203614.89814814815</v>
      </c>
      <c r="G33" s="21" cm="1">
        <f t="array" ref="G33">SLOPE( _xlfn._xlws.FILTER(dataset[ln_soda_units],(dataset[zip_inc_tier]="High")*(dataset[state]="GA"),""), _xlfn._xlws.FILTER(dataset[ln_soda_ppu],(dataset[zip_inc_tier]="High")*(dataset[state]="GA"),"") )</f>
        <v>-0.66169377613578473</v>
      </c>
      <c r="H33" s="27" cm="1">
        <f t="array" ref="H33">RSQ(_xlfn._xlws.FILTER(dataset[ln_soda_units],(dataset[zip_inc_tier]="High")*(dataset[state]="GA")),_xlfn._xlws.FILTER(dataset[ln_soda_ppu],(dataset[zip_inc_tier]="High")*(dataset[state]="GA")))</f>
        <v>1.9079091933177757E-2</v>
      </c>
    </row>
    <row r="34" spans="1:9" x14ac:dyDescent="0.35">
      <c r="B34" s="11" t="s">
        <v>3966</v>
      </c>
      <c r="C34" cm="1">
        <f t="array" ref="C34">COUNT(_xlfn._xlws.FILTER(dataset[ln_soda_units],(dataset[zip_inc_tier]="Med")*(dataset[state]="GA"),""))</f>
        <v>432</v>
      </c>
      <c r="D34" cm="1">
        <f t="array" ref="D34">ROWS(_xlfn.UNIQUE(_xlfn._xlws.FILTER(dataset[store_id],(dataset[zip_inc_tier]="Med")*(dataset[state]="GA"))))</f>
        <v>12</v>
      </c>
      <c r="E34" s="2">
        <f>AVERAGEIFS(dataset[soda_ppu],dataset[zip_inc_tier],"Med",dataset[state],"GA")</f>
        <v>0.68056736111111171</v>
      </c>
      <c r="F34" s="3">
        <f>AVERAGEIFS(dataset[soda_units_sold],dataset[zip_inc_tier],"Med",dataset[state],"GA")</f>
        <v>230965.77546296295</v>
      </c>
      <c r="G34" s="21" cm="1">
        <f t="array" ref="G34">SLOPE( _xlfn._xlws.FILTER(dataset[ln_soda_units],(dataset[zip_inc_tier]="Med")*(dataset[state]="GA"),""), _xlfn._xlws.FILTER(dataset[ln_soda_ppu],(dataset[zip_inc_tier]="Med")*(dataset[state]="GA"),"") )</f>
        <v>-0.65710754195696786</v>
      </c>
      <c r="H34" s="27" cm="1">
        <f t="array" ref="H34">RSQ(_xlfn._xlws.FILTER(dataset[ln_soda_units],(dataset[zip_inc_tier]="Med")*(dataset[state]="GA")),_xlfn._xlws.FILTER(dataset[ln_soda_ppu],(dataset[zip_inc_tier]="Med")*(dataset[state]="GA")))</f>
        <v>2.7287226029652376E-2</v>
      </c>
    </row>
    <row r="35" spans="1:9" x14ac:dyDescent="0.35">
      <c r="B35" s="11" t="s">
        <v>3928</v>
      </c>
      <c r="C35" cm="1">
        <f t="array" ref="C35">COUNT(_xlfn._xlws.FILTER(dataset[ln_soda_units],(dataset[zip_inc_tier]="Low")*(dataset[state]="GA"),""))</f>
        <v>36</v>
      </c>
      <c r="D35" cm="1">
        <f t="array" ref="D35">ROWS(_xlfn.UNIQUE(_xlfn._xlws.FILTER(dataset[store_id],(dataset[zip_inc_tier]="Low")*(dataset[state]="GA"))))</f>
        <v>1</v>
      </c>
      <c r="E35" s="2">
        <f>AVERAGEIFS(dataset[soda_ppu],dataset[zip_inc_tier],"Low",dataset[state],"GA")</f>
        <v>0.68099999999999994</v>
      </c>
      <c r="F35" s="3">
        <f>AVERAGEIFS(dataset[soda_units_sold],dataset[zip_inc_tier],"Low",dataset[state],"GA")</f>
        <v>241796.33333333334</v>
      </c>
      <c r="G35" s="21" cm="1">
        <f t="array" ref="G35">SLOPE( _xlfn._xlws.FILTER(dataset[ln_soda_units],(dataset[zip_inc_tier]="Low")*(dataset[state]="GA"),""), _xlfn._xlws.FILTER(dataset[ln_soda_ppu],(dataset[zip_inc_tier]="Low")*(dataset[state]="GA"),"") )</f>
        <v>-0.61684724890519194</v>
      </c>
      <c r="H35" s="27" cm="1">
        <f t="array" ref="H35">RSQ(_xlfn._xlws.FILTER(dataset[ln_soda_units],(dataset[zip_inc_tier]="Low")*(dataset[state]="GA")),_xlfn._xlws.FILTER(dataset[ln_soda_ppu],(dataset[zip_inc_tier]="Low")*(dataset[state]="GA")))</f>
        <v>9.6546115774130692E-3</v>
      </c>
    </row>
    <row r="36" spans="1:9" x14ac:dyDescent="0.35">
      <c r="A36" t="s">
        <v>4044</v>
      </c>
      <c r="E36" s="2"/>
      <c r="F36" s="6"/>
      <c r="H36" s="28"/>
    </row>
    <row r="37" spans="1:9" x14ac:dyDescent="0.35">
      <c r="E37" s="2"/>
      <c r="F37" s="6"/>
      <c r="H37" s="28"/>
    </row>
    <row r="38" spans="1:9" ht="15" thickBot="1" x14ac:dyDescent="0.4">
      <c r="A38" s="54" t="s">
        <v>3968</v>
      </c>
      <c r="B38" s="54" t="s">
        <v>4059</v>
      </c>
      <c r="C38" s="54" t="s">
        <v>4060</v>
      </c>
      <c r="D38" s="54" t="s">
        <v>4061</v>
      </c>
      <c r="E38" s="61" t="s">
        <v>4062</v>
      </c>
      <c r="F38" s="62" t="s">
        <v>4063</v>
      </c>
      <c r="G38" s="54" t="s">
        <v>3939</v>
      </c>
      <c r="H38" s="63"/>
      <c r="I38" s="54"/>
    </row>
    <row r="39" spans="1:9" x14ac:dyDescent="0.35">
      <c r="A39" t="s">
        <v>3996</v>
      </c>
      <c r="B39" s="2">
        <f>IFERROR(AVERAGEIFS(dataset[soda_ppu],dataset[zip_inc_tier],"High",dataset[year_month],"&gt;=202201",dataset[year_month],"&lt;=202212",dataset[soda_ppu],"&gt;0",dataset[soda_units_sold],"&gt;0"),"No rows")</f>
        <v>0.70590181159420207</v>
      </c>
      <c r="C39" s="3">
        <f>IFERROR(AVERAGEIFS(dataset[soda_units_sold],dataset[year_month],"&gt;=202201",dataset[year_month],"&lt;=202212",dataset[soda_ppu],"&gt;0",dataset[soda_units_sold],"&gt;0"),"No rows")</f>
        <v>207267.4375</v>
      </c>
      <c r="D39" s="2">
        <f>IFERROR(AVERAGEIFS(dataset[soda_ppu],dataset[year_month],"&gt;=202401",dataset[year_month],"&lt;=202412",dataset[soda_ppu],"&gt;0",dataset[soda_units_sold],"&gt;0"),"No rows")</f>
        <v>0.75325941666666729</v>
      </c>
      <c r="E39" s="3">
        <f>IFERROR(AVERAGEIFS(dataset[soda_units_sold],dataset[year_month],"&gt;=202401",dataset[year_month],"&lt;=202412",dataset[soda_ppu],"&gt;0",dataset[soda_units_sold],"&gt;0"),"No rows")</f>
        <v>199263.94833333333</v>
      </c>
      <c r="F39" s="21">
        <f>((E39-C39)/AVERAGE(C39,E39))/((D39-B39)/AVERAGE(B39,D39))</f>
        <v>-0.60659500644309539</v>
      </c>
      <c r="H39" s="28"/>
    </row>
    <row r="40" spans="1:9" x14ac:dyDescent="0.35">
      <c r="A40" t="s">
        <v>3926</v>
      </c>
      <c r="B40" s="2">
        <f>IFERROR(AVERAGEIFS(dataset[soda_ppu],dataset[zip_inc_tier],"High",dataset[year_month],"&gt;=202201",dataset[year_month],"&lt;=202212",dataset[soda_ppu],"&gt;0",dataset[soda_units_sold],"&gt;0"),"No rows")</f>
        <v>0.70590181159420207</v>
      </c>
      <c r="C40" s="3">
        <f>IFERROR(AVERAGEIFS(dataset[soda_units_sold],dataset[zip_inc_tier],A40,dataset[year_month],"&gt;=202201",dataset[year_month],"&lt;=202212",dataset[soda_ppu],"&gt;0",dataset[soda_units_sold],"&gt;0"),"No rows")</f>
        <v>183807.09782608695</v>
      </c>
      <c r="D40" s="2">
        <f>IFERROR(AVERAGEIFS(dataset[soda_ppu],dataset[zip_inc_tier],A40,dataset[year_month],"&gt;=202401",dataset[year_month],"&lt;=202412",dataset[soda_ppu],"&gt;0",dataset[soda_units_sold],"&gt;0"),"No rows")</f>
        <v>0.75279492753623156</v>
      </c>
      <c r="E40" s="3">
        <f>IFERROR(AVERAGEIFS(dataset[soda_units_sold],dataset[zip_inc_tier],A40,dataset[year_month],"&gt;=202401",dataset[year_month],"&lt;=202412",dataset[soda_ppu],"&gt;0",dataset[soda_units_sold],"&gt;0"),"No rows")</f>
        <v>178699.89130434784</v>
      </c>
      <c r="F40" s="21">
        <f t="shared" ref="F40:F42" si="0">((E40-C40)/AVERAGE(C40,E40))/((D40-B40)/AVERAGE(B40,D40))</f>
        <v>-0.43825104088098754</v>
      </c>
      <c r="G40" t="s">
        <v>4064</v>
      </c>
    </row>
    <row r="41" spans="1:9" x14ac:dyDescent="0.35">
      <c r="A41" t="s">
        <v>3966</v>
      </c>
      <c r="B41" s="2">
        <f>IFERROR(AVERAGEIFS(dataset[soda_ppu],dataset[zip_inc_tier],"Med",dataset[year_month],"&gt;=202201",dataset[year_month],"&lt;=202212",dataset[soda_ppu],"&gt;0",dataset[soda_units_sold],"&gt;0"),"No rows")</f>
        <v>0.69925277777777672</v>
      </c>
      <c r="C41" s="3">
        <f>IFERROR(AVERAGEIFS(dataset[soda_units_sold],dataset[zip_inc_tier],"Med",dataset[year_month],"&gt;=202201",dataset[year_month],"&lt;=202212",dataset[soda_ppu],"&gt;0",dataset[soda_units_sold],"&gt;0"),"No rows")</f>
        <v>216231.03835978836</v>
      </c>
      <c r="D41" s="2">
        <f>IFERROR(AVERAGEIFS(dataset[soda_ppu],dataset[zip_inc_tier],"Med",dataset[year_month],"&gt;=202401",dataset[year_month],"&lt;=202412",dataset[soda_ppu],"&gt;0",dataset[soda_units_sold],"&gt;0"),"No rows")</f>
        <v>0.75211415343915389</v>
      </c>
      <c r="E41" s="3">
        <f>IFERROR(AVERAGEIFS(dataset[soda_units_sold],dataset[zip_inc_tier],"Med",dataset[year_month],"&gt;=202401",dataset[year_month],"&lt;=202412",dataset[soda_ppu],"&gt;0",dataset[soda_units_sold],"&gt;0"),"No rows")</f>
        <v>207636.95502645502</v>
      </c>
      <c r="F41" s="21">
        <f t="shared" si="0"/>
        <v>-0.5566826671098779</v>
      </c>
    </row>
    <row r="42" spans="1:9" x14ac:dyDescent="0.35">
      <c r="A42" t="s">
        <v>3928</v>
      </c>
      <c r="B42" s="2">
        <f>IFERROR(AVERAGEIFS(dataset[soda_ppu],dataset[zip_inc_tier],"Low",dataset[year_month],"&gt;=202201",dataset[year_month],"&lt;=202212",dataset[soda_ppu],"&gt;0",dataset[soda_units_sold],"&gt;0"),"No rows")</f>
        <v>0.7066216666666667</v>
      </c>
      <c r="C42" s="3">
        <f>IFERROR(AVERAGEIFS(dataset[soda_units_sold],dataset[zip_inc_tier],A42,dataset[year_month],"&gt;=202201",dataset[year_month],"&lt;=202212",dataset[soda_ppu],"&gt;0",dataset[soda_units_sold],"&gt;0"),"No rows")</f>
        <v>199425.65</v>
      </c>
      <c r="D42" s="2">
        <f>IFERROR(AVERAGEIFS(dataset[soda_ppu],dataset[zip_inc_tier],A42,dataset[year_month],"&gt;=202401",dataset[year_month],"&lt;=202412",dataset[soda_ppu],"&gt;0",dataset[soda_units_sold],"&gt;0"),"No rows")</f>
        <v>0.76279666666666657</v>
      </c>
      <c r="E42" s="3">
        <f>IFERROR(AVERAGEIFS(dataset[soda_units_sold],dataset[zip_inc_tier],A42,dataset[year_month],"&gt;=202401",dataset[year_month],"&lt;=202412",dataset[soda_ppu],"&gt;0",dataset[soda_units_sold],"&gt;0"),"No rows")</f>
        <v>187032.03333333333</v>
      </c>
      <c r="F42" s="21">
        <f t="shared" si="0"/>
        <v>-0.83887738427109648</v>
      </c>
    </row>
    <row r="43" spans="1:9" x14ac:dyDescent="0.35">
      <c r="A43" t="s">
        <v>4065</v>
      </c>
      <c r="C43" s="2"/>
      <c r="E43" s="2"/>
      <c r="F43" s="6"/>
      <c r="H43" s="28"/>
    </row>
    <row r="44" spans="1:9" x14ac:dyDescent="0.35">
      <c r="A44" t="s">
        <v>4066</v>
      </c>
      <c r="C44" s="2"/>
      <c r="E44" s="2"/>
      <c r="F44" s="6"/>
      <c r="H44" s="28"/>
    </row>
    <row r="45" spans="1:9" x14ac:dyDescent="0.35">
      <c r="A45" t="s">
        <v>4067</v>
      </c>
      <c r="C45" s="2"/>
      <c r="E45" s="2"/>
      <c r="F45" s="6"/>
      <c r="H45" s="28"/>
    </row>
    <row r="46" spans="1:9" x14ac:dyDescent="0.35">
      <c r="C46" s="2"/>
      <c r="E46" s="2"/>
      <c r="F46" s="6"/>
      <c r="H46" s="28"/>
    </row>
    <row r="47" spans="1:9" x14ac:dyDescent="0.35">
      <c r="C47" s="2"/>
      <c r="E47" s="2"/>
      <c r="F47" s="6"/>
      <c r="H47" s="28"/>
    </row>
    <row r="48" spans="1:9" x14ac:dyDescent="0.35">
      <c r="C48" s="2"/>
      <c r="E48" s="2"/>
      <c r="F48" s="6"/>
      <c r="H48" s="28"/>
    </row>
    <row r="49" spans="1:7" x14ac:dyDescent="0.35">
      <c r="A49" s="65"/>
    </row>
    <row r="50" spans="1:7" x14ac:dyDescent="0.35">
      <c r="B50" t="s">
        <v>4018</v>
      </c>
    </row>
    <row r="51" spans="1:7" x14ac:dyDescent="0.35">
      <c r="A51" t="s">
        <v>4017</v>
      </c>
      <c r="B51" t="s">
        <v>4020</v>
      </c>
    </row>
    <row r="52" spans="1:7" x14ac:dyDescent="0.35">
      <c r="A52" t="s">
        <v>4019</v>
      </c>
      <c r="B52" t="s">
        <v>4021</v>
      </c>
    </row>
    <row r="53" spans="1:7" x14ac:dyDescent="0.35">
      <c r="A53" t="s">
        <v>3967</v>
      </c>
      <c r="B53" t="s">
        <v>4023</v>
      </c>
    </row>
    <row r="54" spans="1:7" x14ac:dyDescent="0.35">
      <c r="A54" t="s">
        <v>4022</v>
      </c>
      <c r="B54" t="s">
        <v>4025</v>
      </c>
    </row>
    <row r="55" spans="1:7" x14ac:dyDescent="0.35">
      <c r="A55" t="s">
        <v>4024</v>
      </c>
      <c r="B55" t="s">
        <v>4027</v>
      </c>
    </row>
    <row r="56" spans="1:7" x14ac:dyDescent="0.35">
      <c r="A56" t="s">
        <v>4026</v>
      </c>
    </row>
    <row r="58" spans="1:7" x14ac:dyDescent="0.35">
      <c r="A58" t="s">
        <v>4038</v>
      </c>
    </row>
    <row r="59" spans="1:7" x14ac:dyDescent="0.35">
      <c r="A59" t="s">
        <v>4012</v>
      </c>
      <c r="B59" t="s">
        <v>4028</v>
      </c>
      <c r="C59" t="s">
        <v>4029</v>
      </c>
      <c r="D59" t="s">
        <v>4030</v>
      </c>
      <c r="G59" t="s">
        <v>4031</v>
      </c>
    </row>
    <row r="60" spans="1:7" ht="45" customHeight="1" x14ac:dyDescent="0.35">
      <c r="A60" t="s">
        <v>3926</v>
      </c>
      <c r="B60" t="s">
        <v>4032</v>
      </c>
      <c r="C60" t="s">
        <v>4033</v>
      </c>
      <c r="D60" s="191" t="s">
        <v>4034</v>
      </c>
      <c r="E60" s="191"/>
      <c r="F60" s="191"/>
      <c r="G60" t="s">
        <v>4035</v>
      </c>
    </row>
    <row r="61" spans="1:7" x14ac:dyDescent="0.35">
      <c r="A61" t="s">
        <v>3966</v>
      </c>
      <c r="B61" t="s">
        <v>4032</v>
      </c>
      <c r="C61" t="s">
        <v>4032</v>
      </c>
      <c r="D61" t="s">
        <v>4036</v>
      </c>
      <c r="G61" t="s">
        <v>4037</v>
      </c>
    </row>
    <row r="62" spans="1:7" x14ac:dyDescent="0.35">
      <c r="A62" t="s">
        <v>3928</v>
      </c>
      <c r="B62" t="s">
        <v>4032</v>
      </c>
      <c r="C62" t="s">
        <v>4032</v>
      </c>
      <c r="D62" t="s">
        <v>4036</v>
      </c>
      <c r="G62" t="s">
        <v>4037</v>
      </c>
    </row>
  </sheetData>
  <mergeCells count="1">
    <mergeCell ref="D60:F60"/>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B718D-8CAA-4BED-BE49-63962B6E5974}">
  <dimension ref="A1:O80"/>
  <sheetViews>
    <sheetView workbookViewId="0">
      <selection activeCell="O77" sqref="O77"/>
    </sheetView>
  </sheetViews>
  <sheetFormatPr defaultRowHeight="14.5" x14ac:dyDescent="0.35"/>
  <cols>
    <col min="1" max="1" width="16.26953125" customWidth="1"/>
    <col min="2" max="2" width="16.81640625" bestFit="1" customWidth="1"/>
    <col min="3" max="3" width="15.453125" customWidth="1"/>
    <col min="4" max="4" width="13.26953125" customWidth="1"/>
    <col min="5" max="5" width="12.54296875" bestFit="1" customWidth="1"/>
    <col min="6" max="6" width="15.1796875" customWidth="1"/>
    <col min="7" max="7" width="15.453125" customWidth="1"/>
    <col min="8" max="8" width="13.7265625" customWidth="1"/>
    <col min="9" max="9" width="12.54296875" bestFit="1" customWidth="1"/>
    <col min="10" max="10" width="14" customWidth="1"/>
    <col min="11" max="11" width="15.26953125" customWidth="1"/>
    <col min="12" max="12" width="15.54296875" customWidth="1"/>
    <col min="13" max="13" width="16" bestFit="1" customWidth="1"/>
    <col min="14" max="14" width="18" bestFit="1" customWidth="1"/>
    <col min="15" max="15" width="73.26953125" customWidth="1"/>
    <col min="16" max="16" width="11.453125" customWidth="1"/>
    <col min="17" max="17" width="11.54296875" bestFit="1" customWidth="1"/>
    <col min="18" max="18" width="8.81640625" customWidth="1"/>
    <col min="19" max="19" width="11.26953125" bestFit="1" customWidth="1"/>
    <col min="20" max="20" width="12.26953125" bestFit="1" customWidth="1"/>
    <col min="21" max="22" width="14" customWidth="1"/>
    <col min="23" max="23" width="16.26953125" bestFit="1" customWidth="1"/>
    <col min="24" max="24" width="13.81640625" customWidth="1"/>
    <col min="25" max="25" width="14.54296875" customWidth="1"/>
    <col min="26" max="26" width="13.1796875" customWidth="1"/>
    <col min="27" max="27" width="12.81640625" customWidth="1"/>
    <col min="28" max="28" width="10.7265625" bestFit="1" customWidth="1"/>
    <col min="29" max="29" width="15" customWidth="1"/>
  </cols>
  <sheetData>
    <row r="1" spans="1:15" s="67" customFormat="1" ht="32.25" customHeight="1" x14ac:dyDescent="0.35">
      <c r="A1" s="193" t="s">
        <v>4068</v>
      </c>
      <c r="B1" s="193"/>
      <c r="C1" s="193"/>
      <c r="D1" s="193"/>
      <c r="E1" s="193"/>
      <c r="F1" s="193"/>
      <c r="G1" s="193"/>
      <c r="H1" s="193"/>
      <c r="I1" s="193"/>
      <c r="J1" s="193"/>
      <c r="K1" s="193"/>
      <c r="L1" s="193"/>
      <c r="M1" s="193"/>
      <c r="N1" s="193"/>
    </row>
    <row r="2" spans="1:15" ht="18.5" x14ac:dyDescent="0.45">
      <c r="A2" s="86" t="s">
        <v>4083</v>
      </c>
    </row>
    <row r="3" spans="1:15" ht="2.25" customHeight="1" x14ac:dyDescent="0.35">
      <c r="A3" s="19" t="s">
        <v>2</v>
      </c>
      <c r="B3" t="s" vm="1">
        <v>3</v>
      </c>
    </row>
    <row r="4" spans="1:15" ht="2.25" customHeight="1" x14ac:dyDescent="0.35">
      <c r="A4" s="19" t="s">
        <v>4091</v>
      </c>
      <c r="B4" t="s" vm="2">
        <v>4077</v>
      </c>
    </row>
    <row r="5" spans="1:15" ht="2.25" customHeight="1" thickBot="1" x14ac:dyDescent="0.4"/>
    <row r="6" spans="1:15" ht="43.5" x14ac:dyDescent="0.35">
      <c r="A6" s="71" t="s">
        <v>4076</v>
      </c>
      <c r="B6" s="23" t="s">
        <v>4071</v>
      </c>
      <c r="C6" s="23" t="s">
        <v>4087</v>
      </c>
      <c r="D6" s="23" t="s">
        <v>4088</v>
      </c>
      <c r="E6" s="88" t="s">
        <v>4072</v>
      </c>
      <c r="F6" s="88" t="s">
        <v>4078</v>
      </c>
      <c r="G6" s="88" t="s">
        <v>4079</v>
      </c>
      <c r="H6" s="88" t="s">
        <v>3967</v>
      </c>
      <c r="I6" s="88" t="s">
        <v>4069</v>
      </c>
      <c r="J6" s="88" t="s">
        <v>4129</v>
      </c>
      <c r="K6" s="88" t="s">
        <v>4080</v>
      </c>
      <c r="L6" s="88" t="s">
        <v>4074</v>
      </c>
      <c r="M6" s="88" t="s">
        <v>4081</v>
      </c>
      <c r="N6" s="88" t="s">
        <v>4082</v>
      </c>
      <c r="O6" s="88" t="s">
        <v>3961</v>
      </c>
    </row>
    <row r="7" spans="1:15" ht="29" x14ac:dyDescent="0.35">
      <c r="A7" s="98" t="s">
        <v>3926</v>
      </c>
      <c r="B7" s="78">
        <v>11</v>
      </c>
      <c r="C7" s="99">
        <v>23124174</v>
      </c>
      <c r="D7" s="100">
        <v>17472270.675000001</v>
      </c>
      <c r="E7" s="98" t="s">
        <v>4084</v>
      </c>
      <c r="F7" s="101">
        <f>1000/33*GETPIVOTDATA("[Measures].[Sum of soda_units_sold]",$A$6,"[DimZip].[zip_inc_tier]","[DimZip].[zip_inc_tier].&amp;[High]")</f>
        <v>700732545.4545455</v>
      </c>
      <c r="G7" s="106">
        <f>1000/33*GETPIVOTDATA("[Measures].[Sum of soda_sales]",$A$6,"[DimZip].[zip_inc_tier]","[DimZip].[zip_inc_tier].&amp;[High]")</f>
        <v>529462747.72727275</v>
      </c>
      <c r="H7" s="102">
        <f>Elasticity!G7</f>
        <v>-0.71035912604352014</v>
      </c>
      <c r="I7" s="103">
        <v>0.05</v>
      </c>
      <c r="J7" s="104">
        <f>(1+I7)^H7-1</f>
        <v>-3.4064810252381283E-2</v>
      </c>
      <c r="K7" s="101">
        <f>F7*(1+J7)</f>
        <v>676862224.25596821</v>
      </c>
      <c r="L7" s="105">
        <f>K7-F7</f>
        <v>-23870321.198577285</v>
      </c>
      <c r="M7" s="106">
        <f>G7/F7*K7</f>
        <v>511426699.69023877</v>
      </c>
      <c r="N7" s="106">
        <f>M7*0.05</f>
        <v>25571334.984511942</v>
      </c>
      <c r="O7" s="107" t="s">
        <v>4130</v>
      </c>
    </row>
    <row r="8" spans="1:15" x14ac:dyDescent="0.35">
      <c r="A8" s="98" t="s">
        <v>3966</v>
      </c>
      <c r="B8" s="78">
        <v>21</v>
      </c>
      <c r="C8" s="99">
        <v>51721008</v>
      </c>
      <c r="D8" s="100">
        <v>38908750.256300002</v>
      </c>
      <c r="E8" s="98" t="s">
        <v>4084</v>
      </c>
      <c r="F8" s="101">
        <f>1000/33*GETPIVOTDATA("[Measures].[Sum of soda_units_sold]",$A$6,"[DimZip].[zip_inc_tier]","[DimZip].[zip_inc_tier].&amp;[Med]")</f>
        <v>1567303272.7272727</v>
      </c>
      <c r="G8" s="106">
        <f>1000/33*GETPIVOTDATA("[Measures].[Sum of soda_sales]",$A$6,"[DimZip].[zip_inc_tier]","[DimZip].[zip_inc_tier].&amp;[Med]")</f>
        <v>1179053038.0696971</v>
      </c>
      <c r="H8" s="102">
        <f>Elasticity!G8</f>
        <v>-0.92885328475974116</v>
      </c>
      <c r="I8" s="103">
        <v>0.05</v>
      </c>
      <c r="J8" s="104">
        <f>(1+I8)^H8-1</f>
        <v>-4.430734122220148E-2</v>
      </c>
      <c r="K8" s="101">
        <f>F8*(1+J8)</f>
        <v>1497860231.8238723</v>
      </c>
      <c r="L8" s="105">
        <f>K8-F8</f>
        <v>-69443040.903400421</v>
      </c>
      <c r="M8" s="106">
        <f>G8/F8*K8</f>
        <v>1126812332.7928698</v>
      </c>
      <c r="N8" s="106">
        <f t="shared" ref="N8:N9" si="0">M8*0.05</f>
        <v>56340616.63964349</v>
      </c>
      <c r="O8" s="107"/>
    </row>
    <row r="9" spans="1:15" ht="29" x14ac:dyDescent="0.35">
      <c r="A9" s="98" t="s">
        <v>3928</v>
      </c>
      <c r="B9" s="78">
        <v>1</v>
      </c>
      <c r="C9" s="99">
        <v>1988027</v>
      </c>
      <c r="D9" s="100">
        <v>1512895.2368999999</v>
      </c>
      <c r="E9" s="98" t="s">
        <v>4084</v>
      </c>
      <c r="F9" s="101">
        <f>1000/33*GETPIVOTDATA("[Measures].[Sum of soda_units_sold]",$A$6,"[DimZip].[zip_inc_tier]","[DimZip].[zip_inc_tier].&amp;[Low]")</f>
        <v>60243242.424242429</v>
      </c>
      <c r="G9" s="106">
        <f>1000/33*GETPIVOTDATA("[Measures].[Sum of soda_sales]",$A$6,"[DimZip].[zip_inc_tier]","[DimZip].[zip_inc_tier].&amp;[Low]")</f>
        <v>45845310.209090911</v>
      </c>
      <c r="H9" s="102">
        <f>Elasticity!G9</f>
        <v>-1.9421317637462001</v>
      </c>
      <c r="I9" s="103">
        <v>0.05</v>
      </c>
      <c r="J9" s="104">
        <f>(1+I9)^H9-1</f>
        <v>-9.0405995195716016E-2</v>
      </c>
      <c r="K9" s="101">
        <f>F9*(1+J9)</f>
        <v>54796892.13906201</v>
      </c>
      <c r="L9" s="105">
        <f>K9-F9</f>
        <v>-5446350.2851804197</v>
      </c>
      <c r="M9" s="106">
        <f>G9/F9*K9</f>
        <v>41700619.314581722</v>
      </c>
      <c r="N9" s="106">
        <f t="shared" si="0"/>
        <v>2085030.9657290862</v>
      </c>
      <c r="O9" s="107" t="s">
        <v>4131</v>
      </c>
    </row>
    <row r="10" spans="1:15" ht="15" thickBot="1" x14ac:dyDescent="0.4">
      <c r="A10" s="98" t="s">
        <v>3930</v>
      </c>
      <c r="B10" s="78">
        <v>33</v>
      </c>
      <c r="C10" s="99">
        <v>76833209</v>
      </c>
      <c r="D10" s="100">
        <v>57893916.168200001</v>
      </c>
      <c r="E10" s="108" t="s">
        <v>4084</v>
      </c>
      <c r="F10" s="109">
        <f>1000/33*GETPIVOTDATA("[Measures].[Sum of soda_units_sold]",$A$6)</f>
        <v>2328279060.6060605</v>
      </c>
      <c r="G10" s="113">
        <f>1000/33*GETPIVOTDATA("[Measures].[Sum of soda_sales]",$A$6)</f>
        <v>1754361096.0060608</v>
      </c>
      <c r="H10" s="110">
        <f>Elasticity!G6</f>
        <v>-0.97684053497063317</v>
      </c>
      <c r="I10" s="111">
        <v>0.05</v>
      </c>
      <c r="J10" s="112">
        <f>(1+I10)^H10-1</f>
        <v>-4.6542292629032755E-2</v>
      </c>
      <c r="K10" s="113">
        <f t="shared" ref="K10:M10" si="1">SUM(K7:K9)</f>
        <v>2229519348.2189026</v>
      </c>
      <c r="L10" s="113">
        <f t="shared" si="1"/>
        <v>-98759712.387158126</v>
      </c>
      <c r="M10" s="113">
        <f t="shared" si="1"/>
        <v>1679939651.7976902</v>
      </c>
      <c r="N10" s="113">
        <f>SUM(N7:N9)</f>
        <v>83996982.58988452</v>
      </c>
      <c r="O10" s="114"/>
    </row>
    <row r="11" spans="1:15" x14ac:dyDescent="0.35">
      <c r="A11" s="20" t="s">
        <v>4132</v>
      </c>
      <c r="C11" s="7"/>
      <c r="D11" s="77"/>
      <c r="E11" s="89"/>
      <c r="F11" s="90"/>
      <c r="G11" s="91"/>
      <c r="H11" s="92"/>
      <c r="I11" s="93"/>
      <c r="J11" s="94"/>
      <c r="K11" s="90"/>
      <c r="L11" s="95"/>
      <c r="M11" s="96"/>
      <c r="N11" s="96"/>
      <c r="O11" s="97"/>
    </row>
    <row r="12" spans="1:15" x14ac:dyDescent="0.35">
      <c r="L12" s="7"/>
      <c r="M12" s="77"/>
      <c r="N12" s="77"/>
    </row>
    <row r="13" spans="1:15" ht="18.5" x14ac:dyDescent="0.45">
      <c r="A13" s="86" t="s">
        <v>4085</v>
      </c>
    </row>
    <row r="14" spans="1:15" ht="29" x14ac:dyDescent="0.35">
      <c r="A14" s="72" t="s">
        <v>3952</v>
      </c>
      <c r="B14" s="72" t="s">
        <v>4070</v>
      </c>
      <c r="C14" s="72" t="s">
        <v>4080</v>
      </c>
      <c r="D14" s="72" t="s">
        <v>4074</v>
      </c>
      <c r="E14" s="72" t="s">
        <v>4086</v>
      </c>
      <c r="F14" s="72" t="s">
        <v>4081</v>
      </c>
      <c r="G14" s="72" t="s">
        <v>4082</v>
      </c>
    </row>
    <row r="15" spans="1:15" x14ac:dyDescent="0.35">
      <c r="A15" s="70">
        <v>1</v>
      </c>
      <c r="B15" s="74">
        <f>0.05*A15</f>
        <v>0.05</v>
      </c>
      <c r="C15" s="3">
        <f>SUM(F7*(1+(1+B15)^H7-1),F8*(1+(1+B15)^H8-1),F9*(1+(1+B15)^H9-1))</f>
        <v>2229519348.2189026</v>
      </c>
      <c r="D15" s="7">
        <f>C15-F$10</f>
        <v>-98759712.387157917</v>
      </c>
      <c r="E15" s="76">
        <f>(1+B15)^H10-1</f>
        <v>-4.6542292629032755E-2</v>
      </c>
      <c r="F15" s="1">
        <f>SUM($G$7*(1+(1+B15)^$H$7-1),$G$8*(1+(1+B15)^$H$8-1),$G$9*(1+(1+B15)^$H$9-1))</f>
        <v>1679939651.7976902</v>
      </c>
      <c r="G15" s="115">
        <f>F15*0.05</f>
        <v>83996982.58988452</v>
      </c>
    </row>
    <row r="16" spans="1:15" x14ac:dyDescent="0.35">
      <c r="A16" s="70">
        <v>0.75</v>
      </c>
      <c r="B16" s="74">
        <f t="shared" ref="B16:B17" si="2">0.05*A16</f>
        <v>3.7500000000000006E-2</v>
      </c>
      <c r="C16" s="3">
        <f>SUM(F7*(1+(1+B16)^H7-1),F8*(1+(1+B16)^H8-1),F9*(1+(1+B16)^H9-1))</f>
        <v>2253347130.4714785</v>
      </c>
      <c r="D16" s="7">
        <f>C16-F$10</f>
        <v>-74931930.134582043</v>
      </c>
      <c r="E16" s="76">
        <f t="shared" ref="E16:E17" si="3">D16/F$10</f>
        <v>-3.2183397343734627E-2</v>
      </c>
      <c r="F16" s="1">
        <f>SUM($G$7*(1+(1+B16)^$H$7-1),$G$8*(1+(1+B16)^$H$8-1),$G$9*(1+(1+B16)^$H$9-1))</f>
        <v>1697895197.6052208</v>
      </c>
      <c r="G16" s="115">
        <f t="shared" ref="G16:G17" si="4">F16*0.05</f>
        <v>84894759.880261049</v>
      </c>
    </row>
    <row r="17" spans="1:14" x14ac:dyDescent="0.35">
      <c r="A17" s="70">
        <v>0.5</v>
      </c>
      <c r="B17" s="74">
        <f t="shared" si="2"/>
        <v>2.5000000000000001E-2</v>
      </c>
      <c r="C17" s="3">
        <f>SUM(F7*(1+(1+B17)^H7-1),F8*(1+(1+B17)^H8-1),F9*(1+(1+B17)^H9-1))</f>
        <v>2277735813.1790094</v>
      </c>
      <c r="D17" s="7">
        <f t="shared" ref="D17" si="5">C17-F$10</f>
        <v>-50543247.427051067</v>
      </c>
      <c r="E17" s="76">
        <f t="shared" si="3"/>
        <v>-2.1708414718076989E-2</v>
      </c>
      <c r="F17" s="1">
        <f>SUM($G$7*(1+(1+B17)^$H$7-1),$G$8*(1+(1+B17)^$H$8-1),$G$9*(1+(1+B17)^$H$9-1))</f>
        <v>1716273501.9581015</v>
      </c>
      <c r="G17" s="115">
        <f t="shared" si="4"/>
        <v>85813675.097905084</v>
      </c>
    </row>
    <row r="18" spans="1:14" x14ac:dyDescent="0.35">
      <c r="A18" s="69" t="s">
        <v>3930</v>
      </c>
      <c r="B18" s="69"/>
      <c r="C18" s="69"/>
      <c r="D18" s="69"/>
      <c r="E18" s="69"/>
      <c r="F18" s="69"/>
      <c r="G18" s="69"/>
    </row>
    <row r="19" spans="1:14" ht="15.75" customHeight="1" x14ac:dyDescent="0.35">
      <c r="A19" s="196" t="s">
        <v>4140</v>
      </c>
      <c r="B19" s="196"/>
      <c r="C19" s="196"/>
      <c r="D19" s="196"/>
      <c r="E19" s="196"/>
      <c r="F19" s="196"/>
      <c r="G19" s="196"/>
    </row>
    <row r="20" spans="1:14" x14ac:dyDescent="0.35">
      <c r="A20" s="196"/>
      <c r="B20" s="196"/>
      <c r="C20" s="196"/>
      <c r="D20" s="196"/>
      <c r="E20" s="196"/>
      <c r="F20" s="196"/>
      <c r="G20" s="196"/>
    </row>
    <row r="22" spans="1:14" s="26" customFormat="1" ht="18.5" x14ac:dyDescent="0.45">
      <c r="A22" s="86" t="s">
        <v>4095</v>
      </c>
    </row>
    <row r="23" spans="1:14" ht="0.75" customHeight="1" x14ac:dyDescent="0.35">
      <c r="A23" s="19" t="s">
        <v>2</v>
      </c>
      <c r="B23" t="s" vm="4">
        <v>6</v>
      </c>
    </row>
    <row r="24" spans="1:14" ht="2.25" hidden="1" customHeight="1" x14ac:dyDescent="0.35">
      <c r="A24" s="19" t="s">
        <v>9</v>
      </c>
      <c r="B24" t="s" vm="3">
        <v>3996</v>
      </c>
    </row>
    <row r="25" spans="1:14" ht="2.25" hidden="1" customHeight="1" x14ac:dyDescent="0.35"/>
    <row r="26" spans="1:14" hidden="1" x14ac:dyDescent="0.35">
      <c r="B26" s="19" t="s">
        <v>4076</v>
      </c>
    </row>
    <row r="27" spans="1:14" x14ac:dyDescent="0.35">
      <c r="B27" s="78" t="s">
        <v>4089</v>
      </c>
      <c r="C27" s="78"/>
      <c r="D27" s="78"/>
      <c r="E27" s="78"/>
      <c r="F27" t="s">
        <v>4090</v>
      </c>
      <c r="J27" t="s">
        <v>4077</v>
      </c>
    </row>
    <row r="28" spans="1:14" ht="14.25" customHeight="1" x14ac:dyDescent="0.35">
      <c r="A28" s="80" t="s">
        <v>3968</v>
      </c>
      <c r="B28" s="66" t="s">
        <v>4092</v>
      </c>
      <c r="C28" s="66" t="s">
        <v>3992</v>
      </c>
      <c r="D28" s="66" t="s">
        <v>4093</v>
      </c>
      <c r="E28" s="66" t="s">
        <v>4094</v>
      </c>
      <c r="F28" s="66" t="s">
        <v>4092</v>
      </c>
      <c r="G28" s="66" t="s">
        <v>3992</v>
      </c>
      <c r="H28" s="66" t="s">
        <v>4093</v>
      </c>
      <c r="I28" s="66" t="s">
        <v>4094</v>
      </c>
      <c r="J28" s="66" t="s">
        <v>4092</v>
      </c>
      <c r="K28" s="66" t="s">
        <v>3992</v>
      </c>
      <c r="L28" s="66" t="s">
        <v>4093</v>
      </c>
      <c r="M28" s="66" t="s">
        <v>4094</v>
      </c>
      <c r="N28" s="66"/>
    </row>
    <row r="29" spans="1:14" x14ac:dyDescent="0.35">
      <c r="A29" s="20" t="s">
        <v>3926</v>
      </c>
      <c r="B29">
        <v>7</v>
      </c>
      <c r="C29" s="5">
        <v>0.71396547619047623</v>
      </c>
      <c r="D29" s="7">
        <v>14882697</v>
      </c>
      <c r="E29" s="77">
        <v>10597280.290200001</v>
      </c>
      <c r="F29">
        <v>7</v>
      </c>
      <c r="G29" s="5">
        <v>0.73412500000000003</v>
      </c>
      <c r="H29" s="7">
        <v>14743133</v>
      </c>
      <c r="I29" s="77">
        <v>10779558.9814</v>
      </c>
      <c r="J29">
        <v>7</v>
      </c>
      <c r="K29" s="5">
        <v>0.77092857142857141</v>
      </c>
      <c r="L29" s="7">
        <v>14355280</v>
      </c>
      <c r="M29" s="77">
        <v>11043592.6095</v>
      </c>
    </row>
    <row r="30" spans="1:14" x14ac:dyDescent="0.35">
      <c r="A30" s="20" t="s">
        <v>3927</v>
      </c>
      <c r="B30">
        <v>8</v>
      </c>
      <c r="C30" s="5">
        <v>0.6994614583333334</v>
      </c>
      <c r="D30" s="7">
        <v>20429023</v>
      </c>
      <c r="E30" s="77">
        <v>14276205.835100001</v>
      </c>
      <c r="F30">
        <v>8</v>
      </c>
      <c r="G30" s="5">
        <v>0.72212187500000002</v>
      </c>
      <c r="H30" s="7">
        <v>20090519</v>
      </c>
      <c r="I30" s="77">
        <v>14491120.848099999</v>
      </c>
      <c r="J30">
        <v>8</v>
      </c>
      <c r="K30" s="5">
        <v>0.75377916666666656</v>
      </c>
      <c r="L30" s="7">
        <v>19608249</v>
      </c>
      <c r="M30" s="77">
        <v>14766446.387700001</v>
      </c>
    </row>
    <row r="31" spans="1:14" x14ac:dyDescent="0.35">
      <c r="A31" s="20" t="s">
        <v>3935</v>
      </c>
      <c r="B31">
        <v>15</v>
      </c>
      <c r="C31" s="5">
        <v>0.70622999999999991</v>
      </c>
      <c r="D31" s="7">
        <v>35311720</v>
      </c>
      <c r="E31" s="77">
        <v>24873486.125300001</v>
      </c>
      <c r="F31">
        <v>15</v>
      </c>
      <c r="G31" s="5">
        <v>0.72772333333333328</v>
      </c>
      <c r="H31" s="7">
        <v>34833652</v>
      </c>
      <c r="I31" s="77">
        <v>25270679.829500001</v>
      </c>
      <c r="J31">
        <v>15</v>
      </c>
      <c r="K31" s="5">
        <v>0.76178222222222225</v>
      </c>
      <c r="L31" s="7">
        <v>33963529</v>
      </c>
      <c r="M31" s="77">
        <v>25810038.997200001</v>
      </c>
    </row>
    <row r="33" spans="1:13" s="26" customFormat="1" ht="18.5" x14ac:dyDescent="0.45">
      <c r="A33" s="87" t="s">
        <v>4096</v>
      </c>
    </row>
    <row r="34" spans="1:13" ht="0.75" customHeight="1" x14ac:dyDescent="0.35">
      <c r="A34" s="19" t="s">
        <v>2</v>
      </c>
      <c r="B34" t="s" vm="5">
        <v>7</v>
      </c>
    </row>
    <row r="35" spans="1:13" ht="2.25" hidden="1" customHeight="1" x14ac:dyDescent="0.35">
      <c r="A35" s="19" t="s">
        <v>9</v>
      </c>
      <c r="B35" t="s" vm="3">
        <v>3996</v>
      </c>
    </row>
    <row r="36" spans="1:13" ht="2.25" hidden="1" customHeight="1" x14ac:dyDescent="0.35"/>
    <row r="37" spans="1:13" hidden="1" x14ac:dyDescent="0.35">
      <c r="B37" s="19" t="s">
        <v>4076</v>
      </c>
    </row>
    <row r="38" spans="1:13" x14ac:dyDescent="0.35">
      <c r="B38" t="s">
        <v>4089</v>
      </c>
      <c r="F38" t="s">
        <v>4090</v>
      </c>
      <c r="J38" t="s">
        <v>4077</v>
      </c>
    </row>
    <row r="39" spans="1:13" s="66" customFormat="1" x14ac:dyDescent="0.35">
      <c r="A39" s="80" t="s">
        <v>3968</v>
      </c>
      <c r="B39" s="66" t="s">
        <v>4092</v>
      </c>
      <c r="C39" s="66" t="s">
        <v>3992</v>
      </c>
      <c r="D39" s="66" t="s">
        <v>4093</v>
      </c>
      <c r="E39" s="66" t="s">
        <v>4094</v>
      </c>
      <c r="F39" s="66" t="s">
        <v>4092</v>
      </c>
      <c r="G39" s="66" t="s">
        <v>3992</v>
      </c>
      <c r="H39" s="66" t="s">
        <v>4093</v>
      </c>
      <c r="I39" s="66" t="s">
        <v>4094</v>
      </c>
      <c r="J39" s="66" t="s">
        <v>4092</v>
      </c>
      <c r="K39" s="66" t="s">
        <v>3992</v>
      </c>
      <c r="L39" s="66" t="s">
        <v>4093</v>
      </c>
      <c r="M39" s="66" t="s">
        <v>4094</v>
      </c>
    </row>
    <row r="40" spans="1:13" x14ac:dyDescent="0.35">
      <c r="A40" s="20" t="s">
        <v>3927</v>
      </c>
      <c r="B40">
        <v>14</v>
      </c>
      <c r="C40" s="5">
        <v>0.71668095238095242</v>
      </c>
      <c r="D40" s="7">
        <v>35621041</v>
      </c>
      <c r="E40" s="77">
        <v>25507288.8664</v>
      </c>
      <c r="F40">
        <v>14</v>
      </c>
      <c r="G40" s="5">
        <v>0.75000357142857144</v>
      </c>
      <c r="H40" s="7">
        <v>34204703</v>
      </c>
      <c r="I40" s="77">
        <v>25619798.424699999</v>
      </c>
      <c r="J40">
        <v>14</v>
      </c>
      <c r="K40" s="5">
        <v>0.79666607142857138</v>
      </c>
      <c r="L40" s="7">
        <v>32746694</v>
      </c>
      <c r="M40" s="77">
        <v>26056466.651700001</v>
      </c>
    </row>
    <row r="41" spans="1:13" x14ac:dyDescent="0.35">
      <c r="A41" s="20" t="s">
        <v>3928</v>
      </c>
      <c r="B41">
        <v>2</v>
      </c>
      <c r="C41" s="5">
        <v>0.71374166666666661</v>
      </c>
      <c r="D41" s="7">
        <v>4941584</v>
      </c>
      <c r="E41" s="77">
        <v>3518580.4737</v>
      </c>
      <c r="F41">
        <v>2</v>
      </c>
      <c r="G41" s="5">
        <v>0.74614166666666659</v>
      </c>
      <c r="H41" s="7">
        <v>4675391</v>
      </c>
      <c r="I41" s="77">
        <v>3471846.4317000001</v>
      </c>
      <c r="J41">
        <v>2</v>
      </c>
      <c r="K41" s="5">
        <v>0.79495833333333332</v>
      </c>
      <c r="L41" s="7">
        <v>4313546</v>
      </c>
      <c r="M41" s="77">
        <v>3422024.6170999999</v>
      </c>
    </row>
    <row r="42" spans="1:13" x14ac:dyDescent="0.35">
      <c r="A42" s="20" t="s">
        <v>3929</v>
      </c>
      <c r="B42">
        <v>3</v>
      </c>
      <c r="C42" s="5">
        <v>0.69621388888888891</v>
      </c>
      <c r="D42" s="7">
        <v>7807255</v>
      </c>
      <c r="E42" s="77">
        <v>5429283.3892999999</v>
      </c>
      <c r="F42">
        <v>3</v>
      </c>
      <c r="G42" s="5">
        <v>0.72691388888888886</v>
      </c>
      <c r="H42" s="7">
        <v>7566403</v>
      </c>
      <c r="I42" s="77">
        <v>5492162.1591999996</v>
      </c>
      <c r="J42">
        <v>3</v>
      </c>
      <c r="K42" s="5">
        <v>0.77713888888888893</v>
      </c>
      <c r="L42" s="7">
        <v>7271937</v>
      </c>
      <c r="M42" s="77">
        <v>5642889.2741</v>
      </c>
    </row>
    <row r="43" spans="1:13" x14ac:dyDescent="0.35">
      <c r="A43" s="20" t="s">
        <v>3935</v>
      </c>
      <c r="B43">
        <v>19</v>
      </c>
      <c r="C43" s="5">
        <v>0.71313991228070173</v>
      </c>
      <c r="D43" s="7">
        <v>48369880</v>
      </c>
      <c r="E43" s="77">
        <v>34455152.729400001</v>
      </c>
      <c r="F43">
        <v>19</v>
      </c>
      <c r="G43" s="5">
        <v>0.74595131578947371</v>
      </c>
      <c r="H43" s="7">
        <v>46446497</v>
      </c>
      <c r="I43" s="77">
        <v>34583807.015600003</v>
      </c>
      <c r="J43">
        <v>19</v>
      </c>
      <c r="K43" s="5">
        <v>0.79340307017543865</v>
      </c>
      <c r="L43" s="7">
        <v>44332177</v>
      </c>
      <c r="M43" s="77">
        <v>35121380.542900003</v>
      </c>
    </row>
    <row r="45" spans="1:13" ht="18.5" x14ac:dyDescent="0.45">
      <c r="A45" s="87" t="s">
        <v>4124</v>
      </c>
      <c r="B45" s="26"/>
      <c r="C45" s="26"/>
      <c r="D45" s="26"/>
      <c r="E45" s="26"/>
      <c r="F45" s="26"/>
      <c r="G45" s="26"/>
      <c r="H45" s="26"/>
      <c r="I45" s="26"/>
      <c r="J45" s="26"/>
      <c r="K45" s="26"/>
      <c r="L45" s="26"/>
      <c r="M45" s="26"/>
    </row>
    <row r="46" spans="1:13" ht="2.25" hidden="1" customHeight="1" x14ac:dyDescent="0.35">
      <c r="A46" s="19" t="s">
        <v>2</v>
      </c>
      <c r="B46" t="s" vm="6">
        <v>5</v>
      </c>
    </row>
    <row r="47" spans="1:13" ht="2.25" hidden="1" customHeight="1" x14ac:dyDescent="0.35">
      <c r="A47" s="19" t="s">
        <v>9</v>
      </c>
      <c r="B47" t="s" vm="3">
        <v>3996</v>
      </c>
    </row>
    <row r="48" spans="1:13" ht="2.25" hidden="1" customHeight="1" x14ac:dyDescent="0.35"/>
    <row r="49" spans="1:15" hidden="1" x14ac:dyDescent="0.35">
      <c r="B49" s="19" t="s">
        <v>4076</v>
      </c>
    </row>
    <row r="50" spans="1:15" x14ac:dyDescent="0.35">
      <c r="B50" t="s">
        <v>4089</v>
      </c>
      <c r="F50" t="s">
        <v>4090</v>
      </c>
      <c r="J50" t="s">
        <v>4077</v>
      </c>
    </row>
    <row r="51" spans="1:15" s="66" customFormat="1" x14ac:dyDescent="0.35">
      <c r="A51" s="80" t="s">
        <v>3968</v>
      </c>
      <c r="B51" s="66" t="s">
        <v>4092</v>
      </c>
      <c r="C51" s="66" t="s">
        <v>3992</v>
      </c>
      <c r="D51" s="66" t="s">
        <v>4093</v>
      </c>
      <c r="E51" s="66" t="s">
        <v>4094</v>
      </c>
      <c r="F51" s="66" t="s">
        <v>4092</v>
      </c>
      <c r="G51" s="66" t="s">
        <v>3992</v>
      </c>
      <c r="H51" s="66" t="s">
        <v>4093</v>
      </c>
      <c r="I51" s="66" t="s">
        <v>4094</v>
      </c>
      <c r="J51" s="66" t="s">
        <v>4092</v>
      </c>
      <c r="K51" s="66" t="s">
        <v>3992</v>
      </c>
      <c r="L51" s="66" t="s">
        <v>4093</v>
      </c>
      <c r="M51" s="66" t="s">
        <v>4094</v>
      </c>
    </row>
    <row r="52" spans="1:15" x14ac:dyDescent="0.35">
      <c r="A52" s="20" t="s">
        <v>3926</v>
      </c>
      <c r="B52">
        <v>3</v>
      </c>
      <c r="C52" s="5">
        <v>0.65757222222222222</v>
      </c>
      <c r="D52" s="7">
        <v>7432441</v>
      </c>
      <c r="E52" s="77">
        <v>4885861.3082999997</v>
      </c>
      <c r="F52">
        <v>3</v>
      </c>
      <c r="G52" s="5">
        <v>0.67552777777777773</v>
      </c>
      <c r="H52" s="7">
        <v>7319399</v>
      </c>
      <c r="I52" s="77">
        <v>4937740.7747</v>
      </c>
      <c r="J52">
        <v>3</v>
      </c>
      <c r="K52" s="5">
        <v>0.69765555555555558</v>
      </c>
      <c r="L52" s="7">
        <v>7238569</v>
      </c>
      <c r="M52" s="77">
        <v>5048473.8990000002</v>
      </c>
    </row>
    <row r="53" spans="1:15" x14ac:dyDescent="0.35">
      <c r="A53" s="20" t="s">
        <v>3927</v>
      </c>
      <c r="B53">
        <v>12</v>
      </c>
      <c r="C53" s="5">
        <v>0.66132152777777775</v>
      </c>
      <c r="D53" s="7">
        <v>33685822</v>
      </c>
      <c r="E53" s="77">
        <v>22251441.200800002</v>
      </c>
      <c r="F53">
        <v>12</v>
      </c>
      <c r="G53" s="5">
        <v>0.67691180555555563</v>
      </c>
      <c r="H53" s="7">
        <v>33334799</v>
      </c>
      <c r="I53" s="77">
        <v>22527252.134599999</v>
      </c>
      <c r="J53">
        <v>12</v>
      </c>
      <c r="K53" s="5">
        <v>0.70346874999999998</v>
      </c>
      <c r="L53" s="7">
        <v>32756594</v>
      </c>
      <c r="M53" s="77">
        <v>23030220.8235</v>
      </c>
    </row>
    <row r="54" spans="1:15" x14ac:dyDescent="0.35">
      <c r="A54" s="20" t="s">
        <v>3928</v>
      </c>
      <c r="B54">
        <v>1</v>
      </c>
      <c r="C54" s="5">
        <v>0.6636333333333333</v>
      </c>
      <c r="D54" s="7">
        <v>2926646</v>
      </c>
      <c r="E54" s="77">
        <v>1938679.6394</v>
      </c>
      <c r="F54">
        <v>1</v>
      </c>
      <c r="G54" s="5">
        <v>0.67988333333333328</v>
      </c>
      <c r="H54" s="7">
        <v>2886953</v>
      </c>
      <c r="I54" s="77">
        <v>1962333.5134000001</v>
      </c>
      <c r="J54">
        <v>1</v>
      </c>
      <c r="K54" s="5">
        <v>0.69948333333333335</v>
      </c>
      <c r="L54" s="7">
        <v>2891069</v>
      </c>
      <c r="M54" s="77">
        <v>2023517.4809999999</v>
      </c>
    </row>
    <row r="55" spans="1:15" ht="15" customHeight="1" x14ac:dyDescent="0.35">
      <c r="A55" s="20" t="s">
        <v>3929</v>
      </c>
      <c r="B55">
        <v>2</v>
      </c>
      <c r="C55" s="5">
        <v>0.65691250000000001</v>
      </c>
      <c r="D55" s="7">
        <v>5209190</v>
      </c>
      <c r="E55" s="77">
        <v>3414274.0232000002</v>
      </c>
      <c r="F55">
        <v>2</v>
      </c>
      <c r="G55" s="5">
        <v>0.6802125</v>
      </c>
      <c r="H55" s="7">
        <v>5121626</v>
      </c>
      <c r="I55" s="77">
        <v>3478558.0134000001</v>
      </c>
      <c r="J55">
        <v>2</v>
      </c>
      <c r="K55" s="5">
        <v>0.7010291666666667</v>
      </c>
      <c r="L55" s="7">
        <v>5076033</v>
      </c>
      <c r="M55" s="77">
        <v>3555345.5646000002</v>
      </c>
    </row>
    <row r="56" spans="1:15" x14ac:dyDescent="0.35">
      <c r="A56" s="20" t="s">
        <v>3935</v>
      </c>
      <c r="B56">
        <v>18</v>
      </c>
      <c r="C56" s="5">
        <v>0.66033518518518519</v>
      </c>
      <c r="D56" s="7">
        <v>49254099</v>
      </c>
      <c r="E56" s="77">
        <v>32490256.171700001</v>
      </c>
      <c r="F56">
        <v>18</v>
      </c>
      <c r="G56" s="5">
        <v>0.67721296296296296</v>
      </c>
      <c r="H56" s="7">
        <v>48662777</v>
      </c>
      <c r="I56" s="77">
        <v>32905884.436099999</v>
      </c>
      <c r="J56">
        <v>18</v>
      </c>
      <c r="K56" s="5">
        <v>0.70200740740740741</v>
      </c>
      <c r="L56" s="7">
        <v>47962265</v>
      </c>
      <c r="M56" s="77">
        <v>33657557.768100001</v>
      </c>
    </row>
    <row r="58" spans="1:15" ht="18.5" x14ac:dyDescent="0.45">
      <c r="A58" s="86" t="s">
        <v>4097</v>
      </c>
      <c r="B58" s="26"/>
      <c r="C58" s="26"/>
      <c r="D58" s="26"/>
      <c r="E58" s="26"/>
      <c r="F58" s="26"/>
      <c r="G58" s="26"/>
      <c r="H58" s="26"/>
      <c r="I58" s="26"/>
      <c r="J58" s="26"/>
      <c r="K58" s="26"/>
      <c r="L58" s="26"/>
      <c r="M58" s="26"/>
      <c r="N58" s="26"/>
      <c r="O58" s="26"/>
    </row>
    <row r="59" spans="1:15" ht="30" customHeight="1" x14ac:dyDescent="0.35">
      <c r="A59" s="72" t="s">
        <v>4099</v>
      </c>
      <c r="B59" s="72" t="s">
        <v>3968</v>
      </c>
      <c r="C59" s="72" t="s">
        <v>4100</v>
      </c>
      <c r="D59" s="72" t="s">
        <v>4101</v>
      </c>
      <c r="E59" s="72" t="s">
        <v>4102</v>
      </c>
      <c r="F59" s="72" t="s">
        <v>4103</v>
      </c>
      <c r="G59" s="72" t="s">
        <v>4104</v>
      </c>
      <c r="H59" s="72" t="s">
        <v>4111</v>
      </c>
      <c r="I59" s="72" t="s">
        <v>4073</v>
      </c>
      <c r="J59" s="72" t="s">
        <v>4113</v>
      </c>
      <c r="K59" s="72" t="s">
        <v>4114</v>
      </c>
      <c r="L59" s="72" t="s">
        <v>4105</v>
      </c>
      <c r="M59" s="82" t="s">
        <v>4110</v>
      </c>
      <c r="N59" s="82" t="s">
        <v>4123</v>
      </c>
      <c r="O59" s="82" t="s">
        <v>3939</v>
      </c>
    </row>
    <row r="60" spans="1:15" x14ac:dyDescent="0.35">
      <c r="A60" t="s">
        <v>6</v>
      </c>
      <c r="B60" t="s">
        <v>3926</v>
      </c>
      <c r="C60" t="s">
        <v>4106</v>
      </c>
      <c r="D60" t="s">
        <v>4109</v>
      </c>
      <c r="E60" s="2">
        <f>GETPIVOTDATA("[Measures].[Average of soda_ppu]",$A$26,"[DimZip].[zip_inc_tier]","[DimZip].[zip_inc_tier].&amp;[High]","[DimDate].[year]","[DimDate].[year].&amp;[2022]")</f>
        <v>0.71396547619047623</v>
      </c>
      <c r="F60" s="2">
        <f>GETPIVOTDATA("[Measures].[Average of soda_ppu]",$A$26,"[DimZip].[zip_inc_tier]","[DimZip].[zip_inc_tier].&amp;[High]","[DimDate].[year]","[DimDate].[year].&amp;[2023]")</f>
        <v>0.73412500000000003</v>
      </c>
      <c r="G60" s="75">
        <f t="shared" ref="G60:G65" si="6">(F60-E60)/E60</f>
        <v>2.8235992469957342E-2</v>
      </c>
      <c r="H60">
        <v>2022</v>
      </c>
      <c r="I60" s="21" cm="1">
        <f t="array" ref="I60">SLOPE(_xlfn._xlws.FILTER(dataset[ln_soda_units],(dataset[zip_inc_tier]=B60)*(VALUE(dataset[year_month])&gt;=202201)*(VALUE(dataset[year_month])&lt;=202212)),_xlfn._xlws.FILTER(dataset[ln_soda_ppu],(dataset[zip_inc_tier]=B60)*(VALUE(dataset[year_month])&gt;=202201)*(VALUE(dataset[year_month])&lt;=202212)))</f>
        <v>-0.61625475419236686</v>
      </c>
      <c r="J60" s="3" cm="1">
        <f t="array" ref="J60:J62">D29:D31</f>
        <v>14882697</v>
      </c>
      <c r="K60" s="3" cm="1">
        <f t="array" ref="K60:K62">H29:H31</f>
        <v>14743133</v>
      </c>
      <c r="L60" s="75">
        <f>I60*G60</f>
        <v>-1.7400564598951083E-2</v>
      </c>
      <c r="M60" s="75">
        <f>(K60-J60)/J60</f>
        <v>-9.3776013850177826E-3</v>
      </c>
      <c r="N60" s="169">
        <f>M60-L60</f>
        <v>8.0229632139333009E-3</v>
      </c>
    </row>
    <row r="61" spans="1:15" x14ac:dyDescent="0.35">
      <c r="A61" t="s">
        <v>6</v>
      </c>
      <c r="B61" t="s">
        <v>3966</v>
      </c>
      <c r="C61" t="s">
        <v>4106</v>
      </c>
      <c r="D61" t="s">
        <v>4109</v>
      </c>
      <c r="E61" s="2">
        <f>GETPIVOTDATA("[Measures].[Average of soda_ppu]",$A$26,"[DimZip].[zip_inc_tier]","[DimZip].[zip_inc_tier].&amp;[Med]","[DimDate].[year]","[DimDate].[year].&amp;[2022]")</f>
        <v>0.6994614583333334</v>
      </c>
      <c r="F61" s="2">
        <f>GETPIVOTDATA("[Measures].[Average of soda_ppu]",$A$26,"[DimZip].[zip_inc_tier]","[DimZip].[zip_inc_tier].&amp;[Med]","[DimDate].[year]","[DimDate].[year].&amp;[2023]")</f>
        <v>0.72212187500000002</v>
      </c>
      <c r="G61" s="75">
        <f t="shared" si="6"/>
        <v>3.2396948247386696E-2</v>
      </c>
      <c r="H61">
        <v>2022</v>
      </c>
      <c r="I61" s="21" cm="1">
        <f t="array" ref="I61">SLOPE(_xlfn._xlws.FILTER(dataset[ln_soda_units],(dataset[zip_inc_tier]="Med")*(VALUE(dataset[year_month])&gt;=202201)*(VALUE(dataset[year_month])&lt;=202212)),_xlfn._xlws.FILTER(dataset[ln_soda_ppu],(dataset[zip_inc_tier]="Med")*(VALUE(dataset[year_month])&gt;=202201)*(VALUE(dataset[year_month])&lt;=202212)))</f>
        <v>-0.99005930726320235</v>
      </c>
      <c r="J61" s="3">
        <v>20429023</v>
      </c>
      <c r="K61" s="3">
        <v>20090519</v>
      </c>
      <c r="L61" s="75">
        <f>I61*G61</f>
        <v>-3.207490013924949E-2</v>
      </c>
      <c r="M61" s="75">
        <f t="shared" ref="M61:M65" si="7">(K61-J61)/J61</f>
        <v>-1.6569759601327973E-2</v>
      </c>
      <c r="N61" s="169">
        <f t="shared" ref="N61:N65" si="8">M61-L61</f>
        <v>1.5505140537921517E-2</v>
      </c>
    </row>
    <row r="62" spans="1:15" x14ac:dyDescent="0.35">
      <c r="A62" t="s">
        <v>6</v>
      </c>
      <c r="B62" t="s">
        <v>3930</v>
      </c>
      <c r="C62" t="s">
        <v>4106</v>
      </c>
      <c r="D62" t="s">
        <v>4109</v>
      </c>
      <c r="E62" s="2">
        <f>GETPIVOTDATA("[Measures].[Average of soda_ppu]",$A$26,"[DimDate].[year]","[DimDate].[year].&amp;[2022]")</f>
        <v>0.70622999999999991</v>
      </c>
      <c r="F62" s="2">
        <f>GETPIVOTDATA("[Measures].[Average of soda_ppu]",$A$26,"[DimDate].[year]","[DimDate].[year].&amp;[2023]")</f>
        <v>0.72772333333333328</v>
      </c>
      <c r="G62" s="75">
        <f t="shared" si="6"/>
        <v>3.0433900193043862E-2</v>
      </c>
      <c r="H62" s="79">
        <v>2022</v>
      </c>
      <c r="I62" s="21" cm="1">
        <f t="array" ref="I62">SLOPE(_xlfn._xlws.FILTER(dataset[ln_soda_units],(dataset[year_month]&gt;=202201)*(dataset[year_month]&lt;=202212)),_xlfn._xlws.FILTER(dataset[ln_soda_ppu],(dataset[year_month]&gt;=202201)*(dataset[year_month]&lt;=202212)))</f>
        <v>-1.1127167122920694</v>
      </c>
      <c r="J62" s="3">
        <v>35311720</v>
      </c>
      <c r="K62" s="3">
        <v>34833652</v>
      </c>
      <c r="L62" s="75">
        <f t="shared" ref="L62:L64" si="9">I62*G62</f>
        <v>-3.3864309365028739E-2</v>
      </c>
      <c r="M62" s="75">
        <f t="shared" si="7"/>
        <v>-1.3538507894829252E-2</v>
      </c>
      <c r="N62" s="169">
        <f t="shared" si="8"/>
        <v>2.0325801470199488E-2</v>
      </c>
    </row>
    <row r="63" spans="1:15" x14ac:dyDescent="0.35">
      <c r="A63" t="s">
        <v>6</v>
      </c>
      <c r="B63" t="s">
        <v>3926</v>
      </c>
      <c r="C63" t="s">
        <v>4107</v>
      </c>
      <c r="D63" t="s">
        <v>4108</v>
      </c>
      <c r="E63" s="2">
        <f>GETPIVOTDATA("[Measures].[Average of soda_ppu]",$A$26,"[DimZip].[zip_inc_tier]","[DimZip].[zip_inc_tier].&amp;[High]","[DimDate].[year]","[DimDate].[year].&amp;[2023]")</f>
        <v>0.73412500000000003</v>
      </c>
      <c r="F63" s="2">
        <f>GETPIVOTDATA("[Measures].[Average of soda_ppu]",$A$26,"[DimZip].[zip_inc_tier]","[DimZip].[zip_inc_tier].&amp;[High]","[DimDate].[year]","[DimDate].[year].&amp;[2024]")</f>
        <v>0.77092857142857141</v>
      </c>
      <c r="G63" s="75">
        <f t="shared" si="6"/>
        <v>5.0132567925859191E-2</v>
      </c>
      <c r="H63" s="79" t="s">
        <v>4112</v>
      </c>
      <c r="I63" s="21" cm="1">
        <f t="array" ref="I63">SLOPE(_xlfn._xlws.FILTER(dataset[ln_soda_units],(dataset[zip_inc_tier]="High")*(dataset[year_month]&gt;=202201)*(dataset[year_month]&lt;=202312)),_xlfn._xlws.FILTER(dataset[ln_soda_ppu],(dataset[zip_inc_tier]="High")*(dataset[year_month]&gt;=202201)*(dataset[year_month]&lt;=202312)))</f>
        <v>-0.92754933921082183</v>
      </c>
      <c r="J63" s="3" cm="1">
        <f t="array" ref="J63:J65">H29:H31</f>
        <v>14743133</v>
      </c>
      <c r="K63" s="3" cm="1">
        <f t="array" ref="K63:K65">L29:L31</f>
        <v>14355280</v>
      </c>
      <c r="L63" s="75">
        <f t="shared" si="9"/>
        <v>-4.6500430252572333E-2</v>
      </c>
      <c r="M63" s="75">
        <f t="shared" si="7"/>
        <v>-2.6307366283679325E-2</v>
      </c>
      <c r="N63" s="169">
        <f t="shared" si="8"/>
        <v>2.0193063968893008E-2</v>
      </c>
      <c r="O63" t="s">
        <v>4125</v>
      </c>
    </row>
    <row r="64" spans="1:15" x14ac:dyDescent="0.35">
      <c r="A64" t="s">
        <v>6</v>
      </c>
      <c r="B64" t="s">
        <v>3966</v>
      </c>
      <c r="C64" t="s">
        <v>4107</v>
      </c>
      <c r="D64" t="s">
        <v>4108</v>
      </c>
      <c r="E64" s="2">
        <f>GETPIVOTDATA("[Measures].[Average of soda_ppu]",$A$26,"[DimZip].[zip_inc_tier]","[DimZip].[zip_inc_tier].&amp;[Med]","[DimDate].[year]","[DimDate].[year].&amp;[2023]")</f>
        <v>0.72212187500000002</v>
      </c>
      <c r="F64" s="2">
        <f>GETPIVOTDATA("[Measures].[Average of soda_ppu]",$A$26,"[DimZip].[zip_inc_tier]","[DimZip].[zip_inc_tier].&amp;[Med]","[DimDate].[year]","[DimDate].[year].&amp;[2024]")</f>
        <v>0.75377916666666656</v>
      </c>
      <c r="G64" s="75">
        <f t="shared" si="6"/>
        <v>4.3839264205459125E-2</v>
      </c>
      <c r="H64" s="79" t="s">
        <v>4112</v>
      </c>
      <c r="I64" s="21" cm="1">
        <f t="array" ref="I64">SLOPE(_xlfn._xlws.FILTER(dataset[ln_soda_units],(dataset[zip_inc_tier]="Med")*(dataset[year_month]&gt;=202201)*(dataset[year_month]&lt;=202312)),_xlfn._xlws.FILTER(dataset[ln_soda_ppu],(dataset[zip_inc_tier]="Med")*(dataset[year_month]&gt;=202201)*(dataset[year_month]&lt;=202312)))</f>
        <v>-1.0933144155074588</v>
      </c>
      <c r="J64" s="3">
        <v>20090519</v>
      </c>
      <c r="K64" s="3">
        <v>19608249</v>
      </c>
      <c r="L64" s="75">
        <f t="shared" si="9"/>
        <v>-4.7930099521068602E-2</v>
      </c>
      <c r="M64" s="75">
        <f t="shared" si="7"/>
        <v>-2.4004855225492183E-2</v>
      </c>
      <c r="N64" s="169">
        <f t="shared" si="8"/>
        <v>2.3925244295576419E-2</v>
      </c>
    </row>
    <row r="65" spans="1:15" x14ac:dyDescent="0.35">
      <c r="A65" t="s">
        <v>6</v>
      </c>
      <c r="B65" t="s">
        <v>3930</v>
      </c>
      <c r="C65" t="s">
        <v>4107</v>
      </c>
      <c r="D65" t="s">
        <v>4108</v>
      </c>
      <c r="E65" s="2">
        <f>GETPIVOTDATA("[Measures].[Average of soda_ppu]",$A$26,"[DimDate].[year]","[DimDate].[year].&amp;[2023]")</f>
        <v>0.72772333333333328</v>
      </c>
      <c r="F65" s="2">
        <f>GETPIVOTDATA("[Measures].[Average of soda_ppu]",$A$26,"[DimDate].[year]","[DimDate].[year].&amp;[2024]")</f>
        <v>0.76178222222222225</v>
      </c>
      <c r="G65" s="75">
        <f t="shared" si="6"/>
        <v>4.6801974498855758E-2</v>
      </c>
      <c r="H65" s="79" t="s">
        <v>4112</v>
      </c>
      <c r="I65" s="21" cm="1">
        <f t="array" ref="I65">SLOPE(_xlfn._xlws.FILTER(dataset[ln_soda_units],(dataset[year_month]&gt;=202201)*(dataset[year_month]&lt;=202312)),_xlfn._xlws.FILTER(dataset[ln_soda_ppu],(dataset[year_month]&gt;=202201)*(dataset[year_month]&lt;=202312)))</f>
        <v>-1.1982267387785248</v>
      </c>
      <c r="J65" s="3">
        <v>34833652</v>
      </c>
      <c r="K65" s="3">
        <v>33963529</v>
      </c>
      <c r="L65" s="75">
        <f>I65*G65</f>
        <v>-5.6079377272159621E-2</v>
      </c>
      <c r="M65" s="75">
        <f t="shared" si="7"/>
        <v>-2.4979379136014793E-2</v>
      </c>
      <c r="N65" s="169">
        <f t="shared" si="8"/>
        <v>3.1099998136144828E-2</v>
      </c>
    </row>
    <row r="66" spans="1:15" x14ac:dyDescent="0.35">
      <c r="E66" s="2"/>
      <c r="F66" s="2"/>
      <c r="G66" s="75"/>
      <c r="H66" s="79"/>
      <c r="I66" s="21"/>
      <c r="J66" s="3"/>
      <c r="K66" s="3"/>
      <c r="L66" s="75"/>
      <c r="M66" s="75"/>
      <c r="N66" s="75"/>
    </row>
    <row r="67" spans="1:15" ht="18.5" x14ac:dyDescent="0.45">
      <c r="A67" s="86" t="s">
        <v>4098</v>
      </c>
      <c r="B67" s="26"/>
      <c r="C67" s="26"/>
      <c r="D67" s="26"/>
      <c r="E67" s="26"/>
      <c r="F67" s="26"/>
      <c r="G67" s="26"/>
      <c r="H67" s="26"/>
      <c r="I67" s="26"/>
      <c r="J67" s="26"/>
      <c r="K67" s="26"/>
      <c r="L67" s="26"/>
      <c r="M67" s="26"/>
      <c r="N67" s="26"/>
      <c r="O67" s="26"/>
    </row>
    <row r="68" spans="1:15" ht="30" customHeight="1" x14ac:dyDescent="0.35">
      <c r="A68" s="81" t="s">
        <v>4099</v>
      </c>
      <c r="B68" s="81" t="s">
        <v>3968</v>
      </c>
      <c r="C68" s="81" t="s">
        <v>4100</v>
      </c>
      <c r="D68" s="81" t="s">
        <v>4101</v>
      </c>
      <c r="E68" s="81" t="s">
        <v>4102</v>
      </c>
      <c r="F68" s="81" t="s">
        <v>4103</v>
      </c>
      <c r="G68" s="81" t="s">
        <v>4104</v>
      </c>
      <c r="H68" s="81" t="s">
        <v>4111</v>
      </c>
      <c r="I68" s="81" t="s">
        <v>4073</v>
      </c>
      <c r="J68" s="81" t="s">
        <v>4113</v>
      </c>
      <c r="K68" s="81" t="s">
        <v>4114</v>
      </c>
      <c r="L68" s="81" t="s">
        <v>4105</v>
      </c>
      <c r="M68" s="81" t="s">
        <v>4110</v>
      </c>
      <c r="N68" s="81" t="s">
        <v>4123</v>
      </c>
      <c r="O68" s="81" t="s">
        <v>3939</v>
      </c>
    </row>
    <row r="69" spans="1:15" x14ac:dyDescent="0.35">
      <c r="A69" t="s">
        <v>7</v>
      </c>
      <c r="B69" t="s">
        <v>3966</v>
      </c>
      <c r="C69" t="s">
        <v>4116</v>
      </c>
      <c r="D69" t="s">
        <v>4115</v>
      </c>
      <c r="E69" s="2">
        <f>GETPIVOTDATA("[Measures].[Average of soda_ppu]",$A$37,"[DimZip].[zip_inc_tier]","[DimZip].[zip_inc_tier].&amp;[Med]","[DimDate].[year]","[DimDate].[year].&amp;[2022]")</f>
        <v>0.71668095238095242</v>
      </c>
      <c r="F69" s="2">
        <f>GETPIVOTDATA("[Measures].[Average of soda_ppu]",$A$37,"[DimZip].[zip_inc_tier]","[DimZip].[zip_inc_tier].&amp;[Med]","[DimDate].[year]","[DimDate].[year].&amp;[2023]")</f>
        <v>0.75000357142857144</v>
      </c>
      <c r="G69" s="75">
        <f>F69/E69-1</f>
        <v>4.6495750915264145E-2</v>
      </c>
      <c r="H69">
        <v>2022</v>
      </c>
      <c r="I69" s="21" cm="1">
        <f t="array" ref="I69">SLOPE(_xlfn._xlws.FILTER(dataset[ln_soda_units],(dataset[zip_inc_tier]="Med")*(VALUE(dataset[year_month])&gt;=202201)*(VALUE(dataset[year_month])&lt;=202212)),_xlfn._xlws.FILTER(dataset[ln_soda_ppu],(dataset[zip_inc_tier]="Med")*(VALUE(dataset[year_month])&gt;=202201)*(VALUE(dataset[year_month])&lt;=202212)))</f>
        <v>-0.99005930726320235</v>
      </c>
      <c r="J69" s="3">
        <f>GETPIVOTDATA("[Measures].[Sum of soda_units_sold]",$A$37,"[DimZip].[zip_inc_tier]","[DimZip].[zip_inc_tier].&amp;[Med]","[DimDate].[year]","[DimDate].[year].&amp;[2022]")</f>
        <v>35621041</v>
      </c>
      <c r="K69" s="3" cm="1">
        <f t="array" ref="K69:K70">L40:L41</f>
        <v>32746694</v>
      </c>
      <c r="L69" s="75">
        <f>I69*G69</f>
        <v>-4.6033550941848828E-2</v>
      </c>
      <c r="M69" s="75">
        <f>(K69-J69)/J69</f>
        <v>-8.0692391892757995E-2</v>
      </c>
      <c r="N69" s="169">
        <f>M69-L69</f>
        <v>-3.4658840950909167E-2</v>
      </c>
    </row>
    <row r="70" spans="1:15" x14ac:dyDescent="0.35">
      <c r="A70" t="s">
        <v>7</v>
      </c>
      <c r="B70" t="s">
        <v>3928</v>
      </c>
      <c r="C70" t="s">
        <v>4116</v>
      </c>
      <c r="D70" t="s">
        <v>4115</v>
      </c>
      <c r="E70" s="2">
        <f>GETPIVOTDATA("[Measures].[Average of soda_ppu]",$A$37,"[DimZip].[zip_inc_tier]","[DimZip].[zip_inc_tier].&amp;[Low]","[DimDate].[year]","[DimDate].[year].&amp;[2022]")</f>
        <v>0.71374166666666661</v>
      </c>
      <c r="F70" s="2">
        <f>GETPIVOTDATA("[Measures].[Average of soda_ppu]",$A$37,"[DimZip].[zip_inc_tier]","[DimZip].[zip_inc_tier].&amp;[Low]","[DimDate].[year]","[DimDate].[year].&amp;[2023]")</f>
        <v>0.74614166666666659</v>
      </c>
      <c r="G70" s="75">
        <f>F70/E70-1</f>
        <v>4.5394575535032455E-2</v>
      </c>
      <c r="H70">
        <v>2022</v>
      </c>
      <c r="I70" s="21" cm="1">
        <f t="array" ref="I70">SLOPE(_xlfn._xlws.FILTER(dataset[ln_soda_units],(dataset[zip_inc_tier]="Low")*(VALUE(dataset[year_month])&gt;=202201)*(VALUE(dataset[year_month])&lt;=202212)),_xlfn._xlws.FILTER(dataset[ln_soda_ppu],(dataset[zip_inc_tier]="Low")*(VALUE(dataset[year_month])&gt;=202201)*(VALUE(dataset[year_month])&lt;=202212)))</f>
        <v>-2.9659281793137455</v>
      </c>
      <c r="J70" s="3">
        <f>GETPIVOTDATA("[Measures].[Sum of soda_units_sold]",$A$37,"[DimZip].[zip_inc_tier]","[DimZip].[zip_inc_tier].&amp;[Low]","[DimDate].[year]","[DimDate].[year].&amp;[2022]")</f>
        <v>4941584</v>
      </c>
      <c r="K70" s="3">
        <v>4313546</v>
      </c>
      <c r="L70" s="75">
        <f>I70*G70</f>
        <v>-0.13463705076733912</v>
      </c>
      <c r="M70" s="75">
        <f>(K70-J70)/J70</f>
        <v>-0.12709244647060539</v>
      </c>
      <c r="N70" s="169">
        <f t="shared" ref="N70:N71" si="10">M70-L70</f>
        <v>7.5446042967337312E-3</v>
      </c>
    </row>
    <row r="71" spans="1:15" x14ac:dyDescent="0.35">
      <c r="A71" t="s">
        <v>7</v>
      </c>
      <c r="B71" t="s">
        <v>3930</v>
      </c>
      <c r="C71" t="s">
        <v>4116</v>
      </c>
      <c r="D71" t="s">
        <v>4115</v>
      </c>
      <c r="E71" s="2">
        <f>GETPIVOTDATA("[Measures].[Average of soda_ppu]",$A$37,"[DimDate].[year]","[DimDate].[year].&amp;[2022]")</f>
        <v>0.71313991228070173</v>
      </c>
      <c r="F71" s="2">
        <f>GETPIVOTDATA("[Measures].[Average of soda_ppu]",$A$37,"[DimDate].[year]","[DimDate].[year].&amp;[2024]")</f>
        <v>0.79340307017543865</v>
      </c>
      <c r="G71" s="75">
        <f>F71/E71-1</f>
        <v>0.11254896341174669</v>
      </c>
      <c r="H71">
        <v>2022</v>
      </c>
      <c r="I71" s="21" cm="1">
        <f t="array" ref="I71">SLOPE(_xlfn._xlws.FILTER(dataset[ln_soda_units],(dataset[year_month]&gt;=202201)*(dataset[year_month]&lt;=202212)),_xlfn._xlws.FILTER(dataset[ln_soda_ppu],(dataset[year_month]&gt;=202201)*(dataset[year_month]&lt;=202212)))</f>
        <v>-1.1127167122920694</v>
      </c>
      <c r="J71" s="3">
        <f>GETPIVOTDATA("[Measures].[Sum of soda_units_sold]",$A$37,"[DimDate].[year]","[DimDate].[year].&amp;[2022]")</f>
        <v>48369880</v>
      </c>
      <c r="K71" s="3">
        <f>GETPIVOTDATA("[Measures].[Sum of soda_units_sold]",$A$37,"[DimDate].[year]","[DimDate].[year].&amp;[2024]")</f>
        <v>44332177</v>
      </c>
      <c r="L71" s="75">
        <f t="shared" ref="L71" si="11">I71*G71</f>
        <v>-0.1252351125393992</v>
      </c>
      <c r="M71" s="75">
        <f t="shared" ref="M71" si="12">(K71-J71)/J71</f>
        <v>-8.3475563718578588E-2</v>
      </c>
      <c r="N71" s="169">
        <f t="shared" si="10"/>
        <v>4.1759548820820613E-2</v>
      </c>
      <c r="O71" t="s">
        <v>4125</v>
      </c>
    </row>
    <row r="72" spans="1:15" x14ac:dyDescent="0.35">
      <c r="A72" t="s">
        <v>4117</v>
      </c>
      <c r="H72" s="79"/>
    </row>
    <row r="73" spans="1:15" x14ac:dyDescent="0.35">
      <c r="H73" s="79"/>
    </row>
    <row r="74" spans="1:15" ht="18.5" x14ac:dyDescent="0.45">
      <c r="A74" s="86" t="s">
        <v>4118</v>
      </c>
    </row>
    <row r="75" spans="1:15" ht="29" x14ac:dyDescent="0.35">
      <c r="A75" s="83" t="s">
        <v>4119</v>
      </c>
      <c r="B75" s="83" t="s">
        <v>4099</v>
      </c>
      <c r="C75" s="83" t="s">
        <v>4100</v>
      </c>
      <c r="D75" s="83" t="s">
        <v>4102</v>
      </c>
      <c r="E75" s="83" t="s">
        <v>4103</v>
      </c>
      <c r="F75" s="83" t="s">
        <v>4104</v>
      </c>
      <c r="G75" s="83" t="s">
        <v>4111</v>
      </c>
      <c r="H75" s="83" t="s">
        <v>4073</v>
      </c>
      <c r="I75" s="83" t="s">
        <v>4113</v>
      </c>
      <c r="J75" s="83" t="s">
        <v>4114</v>
      </c>
      <c r="K75" s="83" t="s">
        <v>4105</v>
      </c>
      <c r="L75" s="83" t="s">
        <v>4110</v>
      </c>
      <c r="M75" s="83" t="s">
        <v>4126</v>
      </c>
      <c r="N75" s="83" t="s">
        <v>4127</v>
      </c>
      <c r="O75" s="83" t="s">
        <v>3939</v>
      </c>
    </row>
    <row r="76" spans="1:15" x14ac:dyDescent="0.35">
      <c r="A76" t="s">
        <v>4120</v>
      </c>
      <c r="B76" t="s">
        <v>5</v>
      </c>
      <c r="C76" t="s">
        <v>4106</v>
      </c>
      <c r="D76" s="2">
        <f>GETPIVOTDATA("[Measures].[Average of soda_ppu]",$A$49,"[DimDate].[year]","[DimDate].[year].&amp;[2022]")</f>
        <v>0.66033518518518519</v>
      </c>
      <c r="E76" s="2">
        <f>GETPIVOTDATA("[Measures].[Average of soda_ppu]",$A$49,"[DimDate].[year]","[DimDate].[year].&amp;[2023]")</f>
        <v>0.67721296296296296</v>
      </c>
      <c r="F76" s="75">
        <f>E76/D76-1</f>
        <v>2.5559410063912491E-2</v>
      </c>
      <c r="G76">
        <f>H62</f>
        <v>2022</v>
      </c>
      <c r="H76" s="21">
        <f>I62</f>
        <v>-1.1127167122920694</v>
      </c>
      <c r="I76" s="3">
        <f>GETPIVOTDATA("[Measures].[Sum of soda_units_sold]",$A$49,"[DimDate].[year]","[DimDate].[year].&amp;[2022]")</f>
        <v>49254099</v>
      </c>
      <c r="J76" s="3">
        <f>GETPIVOTDATA("[Measures].[Sum of soda_units_sold]",$A$49,"[DimDate].[year]","[DimDate].[year].&amp;[2023]")</f>
        <v>48662777</v>
      </c>
      <c r="K76" s="75">
        <f>H76*F76</f>
        <v>-2.8440382734441539E-2</v>
      </c>
      <c r="L76" s="75">
        <f>(J76-I76)/I76</f>
        <v>-1.2005538868957891E-2</v>
      </c>
      <c r="M76" s="84">
        <f>100*(L76-K76)</f>
        <v>1.6434843865483648</v>
      </c>
      <c r="N76" s="170">
        <f>100*(N62-M76/100)</f>
        <v>0.38909576047158401</v>
      </c>
    </row>
    <row r="77" spans="1:15" x14ac:dyDescent="0.35">
      <c r="A77" t="s">
        <v>4121</v>
      </c>
      <c r="B77" t="s">
        <v>5</v>
      </c>
      <c r="C77" t="s">
        <v>4107</v>
      </c>
      <c r="D77" s="2">
        <f>GETPIVOTDATA("[Measures].[Average of soda_ppu]",$A$49,"[DimDate].[year]","[DimDate].[year].&amp;[2023]")</f>
        <v>0.67721296296296296</v>
      </c>
      <c r="E77" s="2">
        <f>GETPIVOTDATA("[Measures].[Average of soda_ppu]",$A$49,"[DimDate].[year]","[DimDate].[year].&amp;[2024]")</f>
        <v>0.70200740740740741</v>
      </c>
      <c r="F77" s="75">
        <f t="shared" ref="F77:F78" si="13">E77/D77-1</f>
        <v>3.6612477611124072E-2</v>
      </c>
      <c r="G77" s="79" t="str">
        <f>H65</f>
        <v>2022, 2023</v>
      </c>
      <c r="H77" s="21">
        <f>I65</f>
        <v>-1.1982267387785248</v>
      </c>
      <c r="I77" s="3">
        <f>GETPIVOTDATA("[Measures].[Sum of soda_units_sold]",$A$49,"[DimDate].[year]","[DimDate].[year].&amp;[2023]")</f>
        <v>48662777</v>
      </c>
      <c r="J77" s="3">
        <f>GETPIVOTDATA("[Measures].[Sum of soda_units_sold]",$A$49,"[DimDate].[year]","[DimDate].[year].&amp;[2024]")</f>
        <v>47962265</v>
      </c>
      <c r="K77" s="75">
        <f>H77*F77</f>
        <v>-4.3870049646578951E-2</v>
      </c>
      <c r="L77" s="75">
        <f>(J77-I77)/I77</f>
        <v>-1.4395232725826559E-2</v>
      </c>
      <c r="M77" s="84">
        <f>100*(L77-K77)</f>
        <v>2.9474816920752391</v>
      </c>
      <c r="N77" s="170">
        <f>100*(N65-M77/100)</f>
        <v>0.16251812153924364</v>
      </c>
    </row>
    <row r="78" spans="1:15" x14ac:dyDescent="0.35">
      <c r="A78" t="s">
        <v>4122</v>
      </c>
      <c r="B78" t="s">
        <v>5</v>
      </c>
      <c r="C78" t="s">
        <v>4116</v>
      </c>
      <c r="D78" s="2">
        <f>GETPIVOTDATA("[Measures].[Average of soda_ppu]",$A$49,"[DimDate].[year]","[DimDate].[year].&amp;[2022]")</f>
        <v>0.66033518518518519</v>
      </c>
      <c r="E78" s="2">
        <f>GETPIVOTDATA("[Measures].[Average of soda_ppu]",$A$49,"[DimDate].[year]","[DimDate].[year].&amp;[2024]")</f>
        <v>0.70200740740740741</v>
      </c>
      <c r="F78" s="75">
        <f t="shared" si="13"/>
        <v>6.3107681003755189E-2</v>
      </c>
      <c r="G78">
        <f>H71</f>
        <v>2022</v>
      </c>
      <c r="H78" s="21">
        <f>I71</f>
        <v>-1.1127167122920694</v>
      </c>
      <c r="I78" s="3">
        <f>GETPIVOTDATA("[Measures].[Sum of soda_units_sold]",$A$49,"[DimDate].[year]","[DimDate].[year].&amp;[2022]")</f>
        <v>49254099</v>
      </c>
      <c r="J78" s="3">
        <f>GETPIVOTDATA("[Measures].[Sum of soda_units_sold]",$A$49,"[DimDate].[year]","[DimDate].[year].&amp;[2024]")</f>
        <v>47962265</v>
      </c>
      <c r="K78" s="75">
        <f>H78*F78</f>
        <v>-7.0220971326875159E-2</v>
      </c>
      <c r="L78" s="75">
        <f>(J78-I78)/I78</f>
        <v>-2.6227949068766847E-2</v>
      </c>
      <c r="M78" s="84">
        <f>100*(L78-K78)</f>
        <v>4.399302225810831</v>
      </c>
      <c r="N78" s="170">
        <f>100*(N71-M78/100)</f>
        <v>-0.22334734372876988</v>
      </c>
    </row>
    <row r="79" spans="1:15" x14ac:dyDescent="0.35">
      <c r="A79" t="s">
        <v>4141</v>
      </c>
    </row>
    <row r="80" spans="1:15" x14ac:dyDescent="0.35">
      <c r="A80" t="s">
        <v>4128</v>
      </c>
    </row>
  </sheetData>
  <mergeCells count="2">
    <mergeCell ref="A1:N1"/>
    <mergeCell ref="A19:G20"/>
  </mergeCells>
  <phoneticPr fontId="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101C7-89F8-4962-98D4-EB46DEE8838D}">
  <dimension ref="A1:I38"/>
  <sheetViews>
    <sheetView workbookViewId="0">
      <selection activeCell="N8" sqref="K1:N8"/>
    </sheetView>
  </sheetViews>
  <sheetFormatPr defaultRowHeight="14.5" x14ac:dyDescent="0.35"/>
  <cols>
    <col min="1" max="1" width="13.453125" bestFit="1" customWidth="1"/>
    <col min="2" max="2" width="17.81640625" bestFit="1" customWidth="1"/>
    <col min="4" max="4" width="13.453125" bestFit="1" customWidth="1"/>
    <col min="5" max="5" width="17.81640625" bestFit="1" customWidth="1"/>
    <col min="7" max="7" width="13.453125" bestFit="1" customWidth="1"/>
    <col min="8" max="9" width="18" bestFit="1" customWidth="1"/>
    <col min="11" max="11" width="13.453125" bestFit="1" customWidth="1"/>
    <col min="12" max="12" width="24.54296875" bestFit="1" customWidth="1"/>
    <col min="13" max="13" width="22.54296875" bestFit="1" customWidth="1"/>
    <col min="14" max="14" width="17.81640625" bestFit="1" customWidth="1"/>
  </cols>
  <sheetData>
    <row r="1" spans="1:9" x14ac:dyDescent="0.35">
      <c r="A1" s="19" t="s">
        <v>3934</v>
      </c>
      <c r="B1" t="s">
        <v>3936</v>
      </c>
      <c r="D1" s="19" t="s">
        <v>3934</v>
      </c>
      <c r="E1" s="22" t="s">
        <v>3936</v>
      </c>
      <c r="G1" s="19" t="s">
        <v>3934</v>
      </c>
      <c r="H1" t="s">
        <v>3937</v>
      </c>
      <c r="I1" t="s">
        <v>3936</v>
      </c>
    </row>
    <row r="2" spans="1:9" x14ac:dyDescent="0.35">
      <c r="A2" s="20">
        <v>202201</v>
      </c>
      <c r="B2" s="5">
        <v>9824079.6675000004</v>
      </c>
      <c r="D2" s="20" t="s">
        <v>3926</v>
      </c>
      <c r="E2" s="5">
        <v>109069481.4526</v>
      </c>
      <c r="G2" s="20" t="s">
        <v>4</v>
      </c>
      <c r="H2" s="5">
        <v>199741605.87930009</v>
      </c>
      <c r="I2" s="5">
        <v>10616440.875700001</v>
      </c>
    </row>
    <row r="3" spans="1:9" x14ac:dyDescent="0.35">
      <c r="A3" s="20">
        <v>202202</v>
      </c>
      <c r="B3" s="5">
        <v>11132228.7939</v>
      </c>
      <c r="D3" s="20" t="s">
        <v>3928</v>
      </c>
      <c r="E3" s="5">
        <v>25422406.761599999</v>
      </c>
      <c r="G3" s="20" t="s">
        <v>5</v>
      </c>
      <c r="H3" s="5">
        <v>1627691319.7377994</v>
      </c>
      <c r="I3" s="5">
        <v>99053698.3759</v>
      </c>
    </row>
    <row r="4" spans="1:9" x14ac:dyDescent="0.35">
      <c r="A4" s="20">
        <v>202203</v>
      </c>
      <c r="B4" s="5">
        <v>13102487.1217</v>
      </c>
      <c r="D4" s="20" t="s">
        <v>3927</v>
      </c>
      <c r="E4" s="5">
        <v>347082801.7597</v>
      </c>
      <c r="G4" s="20" t="s">
        <v>6</v>
      </c>
      <c r="H4" s="5">
        <v>1662874857.6115003</v>
      </c>
      <c r="I4" s="5">
        <v>75954204.952000007</v>
      </c>
    </row>
    <row r="5" spans="1:9" x14ac:dyDescent="0.35">
      <c r="A5" s="20">
        <v>202204</v>
      </c>
      <c r="B5" s="5">
        <v>15255725.6357</v>
      </c>
      <c r="D5" s="20" t="s">
        <v>3929</v>
      </c>
      <c r="E5" s="5">
        <v>48048820.256099999</v>
      </c>
      <c r="G5" s="20" t="s">
        <v>7</v>
      </c>
      <c r="H5" s="5">
        <v>1644265774.2253001</v>
      </c>
      <c r="I5" s="5">
        <v>104160340.2879</v>
      </c>
    </row>
    <row r="6" spans="1:9" x14ac:dyDescent="0.35">
      <c r="A6" s="20">
        <v>202205</v>
      </c>
      <c r="B6" s="5">
        <v>16742028.639900001</v>
      </c>
      <c r="D6" s="20" t="s">
        <v>3935</v>
      </c>
      <c r="E6" s="5">
        <v>529623510.23000002</v>
      </c>
      <c r="G6" s="20" t="s">
        <v>3</v>
      </c>
      <c r="H6" s="5">
        <v>3302463286.8199978</v>
      </c>
      <c r="I6" s="5">
        <v>170506060.6275</v>
      </c>
    </row>
    <row r="7" spans="1:9" x14ac:dyDescent="0.35">
      <c r="A7" s="20">
        <v>202206</v>
      </c>
      <c r="B7" s="5">
        <v>17459532.868299998</v>
      </c>
      <c r="G7" s="20" t="s">
        <v>8</v>
      </c>
      <c r="H7" s="5">
        <v>1124584718.9802999</v>
      </c>
      <c r="I7" s="5">
        <v>69332765.111000001</v>
      </c>
    </row>
    <row r="8" spans="1:9" x14ac:dyDescent="0.35">
      <c r="A8" s="20">
        <v>202207</v>
      </c>
      <c r="B8" s="5">
        <v>18006091.5825</v>
      </c>
      <c r="G8" s="20" t="s">
        <v>3935</v>
      </c>
      <c r="H8" s="5">
        <v>9561621563.2541847</v>
      </c>
      <c r="I8" s="5">
        <v>529623510.23000002</v>
      </c>
    </row>
    <row r="9" spans="1:9" x14ac:dyDescent="0.35">
      <c r="A9" s="20">
        <v>202208</v>
      </c>
      <c r="B9" s="5">
        <v>15799475.9814</v>
      </c>
    </row>
    <row r="10" spans="1:9" x14ac:dyDescent="0.35">
      <c r="A10" s="20">
        <v>202209</v>
      </c>
      <c r="B10" s="5">
        <v>15071250.1624</v>
      </c>
    </row>
    <row r="11" spans="1:9" x14ac:dyDescent="0.35">
      <c r="A11" s="20">
        <v>202210</v>
      </c>
      <c r="B11" s="5">
        <v>14509826.011600001</v>
      </c>
    </row>
    <row r="12" spans="1:9" x14ac:dyDescent="0.35">
      <c r="A12" s="20">
        <v>202211</v>
      </c>
      <c r="B12" s="5">
        <v>13740015.4867</v>
      </c>
    </row>
    <row r="13" spans="1:9" x14ac:dyDescent="0.35">
      <c r="A13" s="20">
        <v>202212</v>
      </c>
      <c r="B13" s="5">
        <v>13338840.917300001</v>
      </c>
    </row>
    <row r="14" spans="1:9" x14ac:dyDescent="0.35">
      <c r="A14" s="20">
        <v>202301</v>
      </c>
      <c r="B14" s="5">
        <v>9920396.6483999994</v>
      </c>
    </row>
    <row r="15" spans="1:9" x14ac:dyDescent="0.35">
      <c r="A15" s="20">
        <v>202302</v>
      </c>
      <c r="B15" s="5">
        <v>11278475.0404</v>
      </c>
    </row>
    <row r="16" spans="1:9" x14ac:dyDescent="0.35">
      <c r="A16" s="20">
        <v>202303</v>
      </c>
      <c r="B16" s="5">
        <v>13227993.450200001</v>
      </c>
    </row>
    <row r="17" spans="1:2" x14ac:dyDescent="0.35">
      <c r="A17" s="20">
        <v>202304</v>
      </c>
      <c r="B17" s="5">
        <v>15452669.1691</v>
      </c>
    </row>
    <row r="18" spans="1:2" x14ac:dyDescent="0.35">
      <c r="A18" s="20">
        <v>202305</v>
      </c>
      <c r="B18" s="5">
        <v>17000118.522999998</v>
      </c>
    </row>
    <row r="19" spans="1:2" x14ac:dyDescent="0.35">
      <c r="A19" s="20">
        <v>202306</v>
      </c>
      <c r="B19" s="5">
        <v>17621037.923599999</v>
      </c>
    </row>
    <row r="20" spans="1:2" x14ac:dyDescent="0.35">
      <c r="A20" s="20">
        <v>202307</v>
      </c>
      <c r="B20" s="5">
        <v>18174788.366099998</v>
      </c>
    </row>
    <row r="21" spans="1:2" x14ac:dyDescent="0.35">
      <c r="A21" s="20">
        <v>202308</v>
      </c>
      <c r="B21" s="5">
        <v>15948773.161699999</v>
      </c>
    </row>
    <row r="22" spans="1:2" x14ac:dyDescent="0.35">
      <c r="A22" s="20">
        <v>202309</v>
      </c>
      <c r="B22" s="5">
        <v>15291136.3825</v>
      </c>
    </row>
    <row r="23" spans="1:2" x14ac:dyDescent="0.35">
      <c r="A23" s="20">
        <v>202310</v>
      </c>
      <c r="B23" s="5">
        <v>14638787.260199999</v>
      </c>
    </row>
    <row r="24" spans="1:2" x14ac:dyDescent="0.35">
      <c r="A24" s="20">
        <v>202311</v>
      </c>
      <c r="B24" s="5">
        <v>13901799.9364</v>
      </c>
    </row>
    <row r="25" spans="1:2" x14ac:dyDescent="0.35">
      <c r="A25" s="20">
        <v>202312</v>
      </c>
      <c r="B25" s="5">
        <v>13564452.7436</v>
      </c>
    </row>
    <row r="26" spans="1:2" x14ac:dyDescent="0.35">
      <c r="A26" s="20">
        <v>202401</v>
      </c>
      <c r="B26" s="5">
        <v>10067538.8958</v>
      </c>
    </row>
    <row r="27" spans="1:2" x14ac:dyDescent="0.35">
      <c r="A27" s="20">
        <v>202402</v>
      </c>
      <c r="B27" s="5">
        <v>11418435.0394</v>
      </c>
    </row>
    <row r="28" spans="1:2" x14ac:dyDescent="0.35">
      <c r="A28" s="20">
        <v>202403</v>
      </c>
      <c r="B28" s="5">
        <v>13516399.0723</v>
      </c>
    </row>
    <row r="29" spans="1:2" x14ac:dyDescent="0.35">
      <c r="A29" s="20">
        <v>202404</v>
      </c>
      <c r="B29" s="5">
        <v>15697137.923699999</v>
      </c>
    </row>
    <row r="30" spans="1:2" x14ac:dyDescent="0.35">
      <c r="A30" s="20">
        <v>202405</v>
      </c>
      <c r="B30" s="5">
        <v>17347969.1699</v>
      </c>
    </row>
    <row r="31" spans="1:2" x14ac:dyDescent="0.35">
      <c r="A31" s="20">
        <v>202406</v>
      </c>
      <c r="B31" s="5">
        <v>18009203.045600001</v>
      </c>
    </row>
    <row r="32" spans="1:2" x14ac:dyDescent="0.35">
      <c r="A32" s="20">
        <v>202407</v>
      </c>
      <c r="B32" s="5">
        <v>18559298.9355</v>
      </c>
    </row>
    <row r="33" spans="1:2" x14ac:dyDescent="0.35">
      <c r="A33" s="20">
        <v>202408</v>
      </c>
      <c r="B33" s="5">
        <v>16298205.423900001</v>
      </c>
    </row>
    <row r="34" spans="1:2" x14ac:dyDescent="0.35">
      <c r="A34" s="20">
        <v>202409</v>
      </c>
      <c r="B34" s="5">
        <v>15708240.4068</v>
      </c>
    </row>
    <row r="35" spans="1:2" x14ac:dyDescent="0.35">
      <c r="A35" s="20">
        <v>202410</v>
      </c>
      <c r="B35" s="5">
        <v>14969594.6544</v>
      </c>
    </row>
    <row r="36" spans="1:2" x14ac:dyDescent="0.35">
      <c r="A36" s="20">
        <v>202411</v>
      </c>
      <c r="B36" s="5">
        <v>14188517.2852</v>
      </c>
    </row>
    <row r="37" spans="1:2" x14ac:dyDescent="0.35">
      <c r="A37" s="20">
        <v>202412</v>
      </c>
      <c r="B37" s="5">
        <v>13840958.9034</v>
      </c>
    </row>
    <row r="38" spans="1:2" x14ac:dyDescent="0.35">
      <c r="A38" s="20" t="s">
        <v>3935</v>
      </c>
      <c r="B38" s="5">
        <v>529623510.23000002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0A881-25B7-40F6-802C-B5F52E17CB76}">
  <sheetPr>
    <tabColor rgb="FFFFFF00"/>
  </sheetPr>
  <dimension ref="A1:H30"/>
  <sheetViews>
    <sheetView topLeftCell="A3" workbookViewId="0">
      <selection activeCell="L104" sqref="L104"/>
    </sheetView>
  </sheetViews>
  <sheetFormatPr defaultColWidth="9.1796875" defaultRowHeight="14.5" x14ac:dyDescent="0.35"/>
  <cols>
    <col min="1" max="1" width="16.26953125" style="33" bestFit="1" customWidth="1"/>
    <col min="2" max="2" width="12.26953125" style="33" bestFit="1" customWidth="1"/>
    <col min="3" max="3" width="11.26953125" style="33" bestFit="1" customWidth="1"/>
    <col min="4" max="6" width="12.26953125" style="33" bestFit="1" customWidth="1"/>
    <col min="7" max="16384" width="9.1796875" style="33"/>
  </cols>
  <sheetData>
    <row r="1" spans="1:8" ht="15" thickBot="1" x14ac:dyDescent="0.4">
      <c r="A1" s="30" t="s">
        <v>3980</v>
      </c>
      <c r="B1" s="31"/>
      <c r="C1" s="31"/>
      <c r="D1" s="31"/>
      <c r="E1" s="31"/>
      <c r="F1" s="32" t="s">
        <v>3981</v>
      </c>
    </row>
    <row r="2" spans="1:8" x14ac:dyDescent="0.35">
      <c r="A2" s="34" t="s">
        <v>3982</v>
      </c>
      <c r="B2" s="34" t="s">
        <v>3983</v>
      </c>
      <c r="C2" s="34" t="s">
        <v>3984</v>
      </c>
      <c r="D2" s="34" t="s">
        <v>3985</v>
      </c>
      <c r="E2" s="34" t="s">
        <v>3986</v>
      </c>
      <c r="F2" s="34" t="s">
        <v>3987</v>
      </c>
    </row>
    <row r="3" spans="1:8" x14ac:dyDescent="0.35">
      <c r="A3" s="33" t="str">
        <f>'[1]Flat Data'!C1</f>
        <v>total_sales</v>
      </c>
      <c r="B3" s="35">
        <f>AVERAGE('[1]Flat Data'!C:C)</f>
        <v>2656005.9897919623</v>
      </c>
      <c r="C3" s="35">
        <f>_xlfn.STDEV.S('[1]Flat Data'!C:C)</f>
        <v>660219.0805666236</v>
      </c>
      <c r="D3" s="35">
        <f>MIN('[1]Flat Data'!C:C)</f>
        <v>1286240.95987362</v>
      </c>
      <c r="E3" s="35">
        <f>MEDIAN('[1]Flat Data'!C:C)</f>
        <v>2531489.119177415</v>
      </c>
      <c r="F3" s="35">
        <f>MAX('[1]Flat Data'!C:C)</f>
        <v>5934473.6284353603</v>
      </c>
    </row>
    <row r="4" spans="1:8" x14ac:dyDescent="0.35">
      <c r="A4" s="36" t="str">
        <f>'[1]Flat Data'!D1</f>
        <v>soda_ppu</v>
      </c>
      <c r="B4" s="37">
        <f>AVERAGE('[1]Flat Data'!D:D)</f>
        <v>0.7250230749898825</v>
      </c>
      <c r="C4" s="37">
        <f>_xlfn.STDEV.S('[1]Flat Data'!D:D)</f>
        <v>4.1324884249716726E-2</v>
      </c>
      <c r="D4" s="37">
        <f>MIN('[1]Flat Data'!D:D)</f>
        <v>0.60061552331029699</v>
      </c>
      <c r="E4" s="37">
        <f>MEDIAN('[1]Flat Data'!D:D)</f>
        <v>0.72350690168742249</v>
      </c>
      <c r="F4" s="37">
        <f>MAX('[1]Flat Data'!D:D)</f>
        <v>0.862572295260151</v>
      </c>
    </row>
    <row r="5" spans="1:8" x14ac:dyDescent="0.35">
      <c r="A5" s="33" t="str">
        <f>'[1]Flat Data'!E1</f>
        <v>soda_units_sold</v>
      </c>
      <c r="B5" s="38">
        <f>AVERAGE('[1]Flat Data'!E:E)</f>
        <v>203580.38916666666</v>
      </c>
      <c r="C5" s="38">
        <f>_xlfn.STDEV.S('[1]Flat Data'!E:E)</f>
        <v>40947.525948669616</v>
      </c>
      <c r="D5" s="38">
        <f>MIN('[1]Flat Data'!E:E)</f>
        <v>69424</v>
      </c>
      <c r="E5" s="38">
        <f>MEDIAN('[1]Flat Data'!E:E)</f>
        <v>205126.5</v>
      </c>
      <c r="F5" s="38">
        <f>MAX('[1]Flat Data'!E:E)</f>
        <v>328920</v>
      </c>
    </row>
    <row r="6" spans="1:8" x14ac:dyDescent="0.35">
      <c r="A6" s="33" t="str">
        <f>'[1]Flat Data'!F1</f>
        <v>soda_sales</v>
      </c>
      <c r="B6" s="39">
        <f>AVERAGE('[1]Flat Data'!F:F)</f>
        <v>147117.64173061633</v>
      </c>
      <c r="C6" s="39">
        <f>_xlfn.STDEV.S('[1]Flat Data'!F:F)</f>
        <v>28176.006195368351</v>
      </c>
      <c r="D6" s="39">
        <f>MIN('[1]Flat Data'!F:F)</f>
        <v>48509.860380582402</v>
      </c>
      <c r="E6" s="39">
        <f>MEDIAN('[1]Flat Data'!F:F)</f>
        <v>149106.2714079195</v>
      </c>
      <c r="F6" s="39">
        <f>MAX('[1]Flat Data'!F:F)</f>
        <v>211795.79024140301</v>
      </c>
    </row>
    <row r="7" spans="1:8" x14ac:dyDescent="0.35">
      <c r="A7" s="40" t="str">
        <f>'[1]Flat Data'!G1</f>
        <v>soda_sales_shares</v>
      </c>
      <c r="B7" s="40">
        <f>AVERAGE('[1]Flat Data'!G:G)</f>
        <v>5.8517993517449129E-2</v>
      </c>
      <c r="C7" s="40">
        <f>_xlfn.STDEV.S('[1]Flat Data'!G:G)</f>
        <v>1.6646119610962604E-2</v>
      </c>
      <c r="D7" s="40">
        <f>MIN('[1]Flat Data'!G:G)</f>
        <v>1.1222856544451241E-2</v>
      </c>
      <c r="E7" s="40">
        <f>MEDIAN('[1]Flat Data'!G:G)</f>
        <v>5.8324079611768033E-2</v>
      </c>
      <c r="F7" s="40">
        <f>MAX('[1]Flat Data'!G:G)</f>
        <v>0.11159551432287422</v>
      </c>
    </row>
    <row r="8" spans="1:8" x14ac:dyDescent="0.35">
      <c r="A8" s="33" t="str">
        <f>'[1]Flat Data'!K1</f>
        <v>med_income_avg</v>
      </c>
      <c r="B8" s="39">
        <f>AVERAGE('[1]Flat Data'!K:K)</f>
        <v>70859.363333333022</v>
      </c>
      <c r="C8" s="39">
        <f>_xlfn.STDEV.S('[1]Flat Data'!K:K)</f>
        <v>36880.998309146897</v>
      </c>
      <c r="D8" s="39">
        <f>MIN('[1]Flat Data'!K:K)</f>
        <v>0</v>
      </c>
      <c r="E8" s="39">
        <f>MEDIAN('[1]Flat Data'!K:K)</f>
        <v>69087.833333333343</v>
      </c>
      <c r="F8" s="39">
        <f>MAX('[1]Flat Data'!K:K)</f>
        <v>176011.66666666666</v>
      </c>
    </row>
    <row r="9" spans="1:8" x14ac:dyDescent="0.35">
      <c r="A9" s="41" t="s">
        <v>3988</v>
      </c>
      <c r="B9" s="42"/>
      <c r="C9" s="42"/>
      <c r="D9" s="42"/>
      <c r="E9" s="42"/>
      <c r="F9" s="42"/>
    </row>
    <row r="11" spans="1:8" x14ac:dyDescent="0.35">
      <c r="A11" s="33" t="s">
        <v>3968</v>
      </c>
      <c r="B11" s="33" t="s">
        <v>3989</v>
      </c>
      <c r="C11" s="33" t="s">
        <v>3990</v>
      </c>
      <c r="D11" s="33" t="s">
        <v>3991</v>
      </c>
      <c r="E11" s="33" t="s">
        <v>3992</v>
      </c>
      <c r="F11" s="33" t="s">
        <v>3993</v>
      </c>
      <c r="G11" s="33" t="s">
        <v>3994</v>
      </c>
      <c r="H11" s="33" t="s">
        <v>3995</v>
      </c>
    </row>
    <row r="12" spans="1:8" x14ac:dyDescent="0.35">
      <c r="A12" s="33" t="s">
        <v>3926</v>
      </c>
      <c r="B12" s="33" t="s">
        <v>3996</v>
      </c>
    </row>
    <row r="13" spans="1:8" x14ac:dyDescent="0.35">
      <c r="B13" s="33" t="s">
        <v>3</v>
      </c>
    </row>
    <row r="14" spans="1:8" x14ac:dyDescent="0.35">
      <c r="A14" s="33" t="s">
        <v>3966</v>
      </c>
      <c r="B14" s="33" t="s">
        <v>3996</v>
      </c>
    </row>
    <row r="15" spans="1:8" x14ac:dyDescent="0.35">
      <c r="B15" s="33" t="s">
        <v>3</v>
      </c>
    </row>
    <row r="16" spans="1:8" x14ac:dyDescent="0.35">
      <c r="A16" s="33" t="s">
        <v>3928</v>
      </c>
      <c r="B16" s="33" t="s">
        <v>3996</v>
      </c>
    </row>
    <row r="17" spans="1:6" x14ac:dyDescent="0.35">
      <c r="B17" s="33" t="s">
        <v>3</v>
      </c>
    </row>
    <row r="18" spans="1:6" x14ac:dyDescent="0.35">
      <c r="A18" s="33" t="s">
        <v>3929</v>
      </c>
      <c r="B18" s="33" t="s">
        <v>3996</v>
      </c>
    </row>
    <row r="19" spans="1:6" x14ac:dyDescent="0.35">
      <c r="B19" s="33" t="s">
        <v>3</v>
      </c>
    </row>
    <row r="20" spans="1:6" x14ac:dyDescent="0.35">
      <c r="A20" s="33" t="s">
        <v>3930</v>
      </c>
      <c r="B20" s="35">
        <v>3600</v>
      </c>
      <c r="C20" s="33">
        <v>100</v>
      </c>
    </row>
    <row r="22" spans="1:6" ht="15" thickBot="1" x14ac:dyDescent="0.4">
      <c r="A22" s="30" t="s">
        <v>3997</v>
      </c>
      <c r="B22" s="31"/>
      <c r="C22" s="31"/>
      <c r="D22" s="31"/>
    </row>
    <row r="23" spans="1:6" x14ac:dyDescent="0.35">
      <c r="A23" s="43" t="s">
        <v>3926</v>
      </c>
      <c r="B23" s="43" t="s">
        <v>3966</v>
      </c>
      <c r="C23" s="43" t="s">
        <v>3928</v>
      </c>
      <c r="D23" s="43" t="s">
        <v>3929</v>
      </c>
    </row>
    <row r="24" spans="1:6" x14ac:dyDescent="0.35">
      <c r="A24" s="44" t="e">
        <f>COUNTIF('[1]Flat Data'!J:J,"High")</f>
        <v>#VALUE!</v>
      </c>
      <c r="B24" s="44" t="e">
        <f>COUNTIF('[1]Flat Data'!J:J,"Med")</f>
        <v>#VALUE!</v>
      </c>
      <c r="C24" s="44" t="e">
        <f>COUNTIF('[1]Flat Data'!J:J,"Low")</f>
        <v>#VALUE!</v>
      </c>
      <c r="D24" s="44" t="e">
        <f>COUNTIF('[1]Flat Data'!J:J,"No Data")</f>
        <v>#VALUE!</v>
      </c>
    </row>
    <row r="25" spans="1:6" x14ac:dyDescent="0.35">
      <c r="A25" s="45"/>
      <c r="B25" s="45"/>
      <c r="C25" s="45"/>
      <c r="D25" s="45"/>
    </row>
    <row r="26" spans="1:6" ht="15" thickBot="1" x14ac:dyDescent="0.4">
      <c r="A26" s="46" t="s">
        <v>3998</v>
      </c>
      <c r="B26" s="32"/>
      <c r="C26" s="32"/>
      <c r="D26" s="32"/>
      <c r="E26" s="31"/>
      <c r="F26" s="31"/>
    </row>
    <row r="27" spans="1:6" x14ac:dyDescent="0.35">
      <c r="A27" s="43" t="s">
        <v>3</v>
      </c>
      <c r="B27" s="43" t="s">
        <v>6</v>
      </c>
      <c r="C27" s="43" t="s">
        <v>4</v>
      </c>
      <c r="D27" s="43" t="s">
        <v>8</v>
      </c>
      <c r="E27" s="43" t="s">
        <v>7</v>
      </c>
      <c r="F27" s="43" t="s">
        <v>5</v>
      </c>
    </row>
    <row r="28" spans="1:6" x14ac:dyDescent="0.35">
      <c r="A28" s="47" t="e">
        <f>COUNTIF('[1]Flat Data'!I:I,"VA")/36</f>
        <v>#VALUE!</v>
      </c>
      <c r="B28" s="47" t="e">
        <f>COUNTIF('[1]Flat Data'!I:I,"MD")/36</f>
        <v>#VALUE!</v>
      </c>
      <c r="C28" s="47" t="e">
        <f>COUNTIF('[1]Flat Data'!I:I,"DC")/36</f>
        <v>#VALUE!</v>
      </c>
      <c r="D28" s="47" t="e">
        <f>COUNTIF('[1]Flat Data'!I:I,"WV")/36</f>
        <v>#VALUE!</v>
      </c>
      <c r="E28" s="47" t="e">
        <f>COUNTIF('[1]Flat Data'!I:I,"NC")/36</f>
        <v>#VALUE!</v>
      </c>
      <c r="F28" s="47" t="e">
        <f>COUNTIF('[1]Flat Data'!I:I,"GA")/36</f>
        <v>#VALUE!</v>
      </c>
    </row>
    <row r="29" spans="1:6" x14ac:dyDescent="0.35">
      <c r="C29" s="45"/>
      <c r="D29" s="45"/>
      <c r="E29" s="45"/>
      <c r="F29" s="45"/>
    </row>
    <row r="30" spans="1:6" x14ac:dyDescent="0.35">
      <c r="C30" s="45"/>
      <c r="D30" s="48"/>
      <c r="E30" s="45"/>
      <c r="F30" s="48"/>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6ACBF-3592-4AEF-93F4-E3220BC4CF0E}">
  <sheetPr>
    <tabColor rgb="FF7030A0"/>
  </sheetPr>
  <dimension ref="A1:T3601"/>
  <sheetViews>
    <sheetView tabSelected="1" workbookViewId="0">
      <selection activeCell="R1" sqref="R1:R1048576"/>
    </sheetView>
  </sheetViews>
  <sheetFormatPr defaultRowHeight="14.5" x14ac:dyDescent="0.35"/>
  <cols>
    <col min="1" max="1" width="13.81640625" bestFit="1" customWidth="1"/>
    <col min="2" max="2" width="10.54296875" bestFit="1" customWidth="1"/>
    <col min="3" max="3" width="14.26953125" bestFit="1" customWidth="1"/>
    <col min="4" max="4" width="11.81640625" style="2" bestFit="1" customWidth="1"/>
    <col min="5" max="5" width="17.81640625" bestFit="1" customWidth="1"/>
    <col min="6" max="6" width="13.1796875" style="2" bestFit="1" customWidth="1"/>
    <col min="7" max="7" width="6" bestFit="1" customWidth="1"/>
    <col min="8" max="8" width="7.81640625" bestFit="1" customWidth="1"/>
    <col min="9" max="9" width="16.54296875" customWidth="1"/>
    <col min="10" max="10" width="7.81640625" customWidth="1"/>
    <col min="12" max="12" width="9.1796875" style="29"/>
    <col min="20" max="20" width="16.26953125" bestFit="1" customWidth="1"/>
  </cols>
  <sheetData>
    <row r="1" spans="1:20" x14ac:dyDescent="0.35">
      <c r="A1" t="s">
        <v>9</v>
      </c>
      <c r="B1" t="s">
        <v>0</v>
      </c>
      <c r="C1" t="s">
        <v>3932</v>
      </c>
      <c r="D1" s="2" t="s">
        <v>3933</v>
      </c>
      <c r="E1" t="s">
        <v>3910</v>
      </c>
      <c r="F1" s="2" t="s">
        <v>3913</v>
      </c>
      <c r="G1" t="s">
        <v>1</v>
      </c>
      <c r="H1" t="s">
        <v>2</v>
      </c>
      <c r="I1" t="s">
        <v>4039</v>
      </c>
      <c r="J1" t="s">
        <v>4043</v>
      </c>
      <c r="K1" t="s">
        <v>3941</v>
      </c>
      <c r="L1" s="29" t="s">
        <v>3940</v>
      </c>
      <c r="M1" t="s">
        <v>3942</v>
      </c>
      <c r="N1" t="s">
        <v>3943</v>
      </c>
      <c r="O1" t="s">
        <v>3944</v>
      </c>
      <c r="P1" t="s">
        <v>3946</v>
      </c>
      <c r="Q1" t="s">
        <v>3945</v>
      </c>
    </row>
    <row r="2" spans="1:20" x14ac:dyDescent="0.35">
      <c r="A2">
        <v>202201</v>
      </c>
      <c r="B2">
        <v>2</v>
      </c>
      <c r="C2" s="2">
        <v>2267236.9314000001</v>
      </c>
      <c r="D2" s="2">
        <v>0.70709999999999995</v>
      </c>
      <c r="E2" s="3">
        <v>142774</v>
      </c>
      <c r="F2" s="2">
        <v>100953.2743</v>
      </c>
      <c r="G2" t="s">
        <v>132</v>
      </c>
      <c r="H2" t="s">
        <v>4</v>
      </c>
      <c r="I2">
        <f>HLOOKUP(G2,zip_tiers!$A$1:$EON$2,2,FALSE)</f>
        <v>102576</v>
      </c>
      <c r="J2" t="str">
        <f t="shared" ref="J2:J65" si="0">IF(I2="","No Data",IF(I2&gt;=100000,"High",IF(I2&gt;=40000,"Med","Low")))</f>
        <v>High</v>
      </c>
      <c r="K2">
        <f>dataset[[#This Row],[soda_sales]]/dataset[[#This Row],[soda_units_sold]]</f>
        <v>0.7070844432459692</v>
      </c>
      <c r="L2" s="29">
        <f>dataset[[#This Row],[implied_soda_ppu]]-dataset[[#This Row],[soda_ppu]]</f>
        <v>-1.5556754030754405E-5</v>
      </c>
      <c r="M2">
        <f>dataset[[#This Row],[soda_sales]]/dataset[[#This Row],[total_sales]]</f>
        <v>4.4527006816910922E-2</v>
      </c>
      <c r="N2">
        <f>LN(dataset[[#This Row],[soda_units_sold]])</f>
        <v>11.869018239481219</v>
      </c>
      <c r="O2">
        <f>LN(dataset[[#This Row],[soda_sales]])</f>
        <v>11.522413058083732</v>
      </c>
      <c r="P2">
        <f>LN(dataset[[#This Row],[soda_ppu]])</f>
        <v>-0.34658318037194202</v>
      </c>
      <c r="Q2">
        <f>IF(dataset[[#This Row],[state]]="VA",1,0)</f>
        <v>0</v>
      </c>
    </row>
    <row r="3" spans="1:20" x14ac:dyDescent="0.35">
      <c r="A3">
        <v>202202</v>
      </c>
      <c r="B3">
        <v>2</v>
      </c>
      <c r="C3" s="2">
        <v>2508276.2159000002</v>
      </c>
      <c r="D3" s="2">
        <v>0.69610000000000005</v>
      </c>
      <c r="E3" s="3">
        <v>159898</v>
      </c>
      <c r="F3" s="2">
        <v>111309.18459999999</v>
      </c>
      <c r="G3" t="s">
        <v>132</v>
      </c>
      <c r="H3" t="s">
        <v>4</v>
      </c>
      <c r="I3">
        <f>HLOOKUP(G3,zip_tiers!$A$1:$EON$2,2,FALSE)</f>
        <v>102576</v>
      </c>
      <c r="J3" t="str">
        <f t="shared" si="0"/>
        <v>High</v>
      </c>
      <c r="K3">
        <f>dataset[[#This Row],[soda_sales]]/dataset[[#This Row],[soda_units_sold]]</f>
        <v>0.69612618419242267</v>
      </c>
      <c r="L3" s="29">
        <f>dataset[[#This Row],[implied_soda_ppu]]-dataset[[#This Row],[soda_ppu]]</f>
        <v>2.6184192422618047E-5</v>
      </c>
      <c r="M3">
        <f>dataset[[#This Row],[soda_sales]]/dataset[[#This Row],[total_sales]]</f>
        <v>4.4376765164222912E-2</v>
      </c>
      <c r="N3">
        <f>LN(dataset[[#This Row],[soda_units_sold]])</f>
        <v>11.982291390926436</v>
      </c>
      <c r="O3">
        <f>LN(dataset[[#This Row],[soda_sales]])</f>
        <v>11.620067054973063</v>
      </c>
      <c r="P3">
        <f>LN(dataset[[#This Row],[soda_ppu]])</f>
        <v>-0.36226195080751616</v>
      </c>
      <c r="Q3">
        <f>IF(dataset[[#This Row],[state]]="VA",1,0)</f>
        <v>0</v>
      </c>
    </row>
    <row r="4" spans="1:20" x14ac:dyDescent="0.35">
      <c r="A4">
        <v>202203</v>
      </c>
      <c r="B4">
        <v>2</v>
      </c>
      <c r="C4" s="2">
        <v>2817658.0639999998</v>
      </c>
      <c r="D4" s="2">
        <v>0.72729999999999995</v>
      </c>
      <c r="E4" s="3">
        <v>185067</v>
      </c>
      <c r="F4" s="2">
        <v>134594.639</v>
      </c>
      <c r="G4" t="s">
        <v>132</v>
      </c>
      <c r="H4" t="s">
        <v>4</v>
      </c>
      <c r="I4">
        <f>HLOOKUP(G4,zip_tiers!$A$1:$EON$2,2,FALSE)</f>
        <v>102576</v>
      </c>
      <c r="J4" t="str">
        <f t="shared" si="0"/>
        <v>High</v>
      </c>
      <c r="K4">
        <f>dataset[[#This Row],[soda_sales]]/dataset[[#This Row],[soda_units_sold]]</f>
        <v>0.72727519763112813</v>
      </c>
      <c r="L4" s="29">
        <f>dataset[[#This Row],[implied_soda_ppu]]-dataset[[#This Row],[soda_ppu]]</f>
        <v>-2.4802368871812419E-5</v>
      </c>
      <c r="M4">
        <f>dataset[[#This Row],[soda_sales]]/dataset[[#This Row],[total_sales]]</f>
        <v>4.7768265681225684E-2</v>
      </c>
      <c r="N4">
        <f>LN(dataset[[#This Row],[soda_units_sold]])</f>
        <v>12.128473200657737</v>
      </c>
      <c r="O4">
        <f>LN(dataset[[#This Row],[soda_sales]])</f>
        <v>11.810022866276235</v>
      </c>
      <c r="P4">
        <f>LN(dataset[[#This Row],[soda_ppu]])</f>
        <v>-0.31841623182164214</v>
      </c>
      <c r="Q4">
        <f>IF(dataset[[#This Row],[state]]="VA",1,0)</f>
        <v>0</v>
      </c>
    </row>
    <row r="5" spans="1:20" x14ac:dyDescent="0.35">
      <c r="A5">
        <v>202204</v>
      </c>
      <c r="B5">
        <v>2</v>
      </c>
      <c r="C5" s="2">
        <v>2944587.7411000002</v>
      </c>
      <c r="D5" s="2">
        <v>0.73699999999999999</v>
      </c>
      <c r="E5" s="3">
        <v>210840</v>
      </c>
      <c r="F5" s="2">
        <v>155395.96299999999</v>
      </c>
      <c r="G5" t="s">
        <v>132</v>
      </c>
      <c r="H5" t="s">
        <v>4</v>
      </c>
      <c r="I5">
        <f>HLOOKUP(G5,zip_tiers!$A$1:$EON$2,2,FALSE)</f>
        <v>102576</v>
      </c>
      <c r="J5" t="str">
        <f t="shared" si="0"/>
        <v>High</v>
      </c>
      <c r="K5">
        <f>dataset[[#This Row],[soda_sales]]/dataset[[#This Row],[soda_units_sold]]</f>
        <v>0.73703264560804393</v>
      </c>
      <c r="L5" s="29">
        <f>dataset[[#This Row],[implied_soda_ppu]]-dataset[[#This Row],[soda_ppu]]</f>
        <v>3.2645608043946339E-5</v>
      </c>
      <c r="M5">
        <f>dataset[[#This Row],[soda_sales]]/dataset[[#This Row],[total_sales]]</f>
        <v>5.2773419121126007E-2</v>
      </c>
      <c r="N5">
        <f>LN(dataset[[#This Row],[soda_units_sold]])</f>
        <v>12.258854830969144</v>
      </c>
      <c r="O5">
        <f>LN(dataset[[#This Row],[soda_sales]])</f>
        <v>11.953731738457268</v>
      </c>
      <c r="P5">
        <f>LN(dataset[[#This Row],[soda_ppu]])</f>
        <v>-0.30516738679280048</v>
      </c>
      <c r="Q5">
        <f>IF(dataset[[#This Row],[state]]="VA",1,0)</f>
        <v>0</v>
      </c>
    </row>
    <row r="6" spans="1:20" x14ac:dyDescent="0.35">
      <c r="A6">
        <v>202205</v>
      </c>
      <c r="B6">
        <v>2</v>
      </c>
      <c r="C6" s="2">
        <v>3068859.7640999998</v>
      </c>
      <c r="D6" s="2">
        <v>0.72250000000000003</v>
      </c>
      <c r="E6" s="3">
        <v>232179</v>
      </c>
      <c r="F6" s="2">
        <v>167743.04699999999</v>
      </c>
      <c r="G6" t="s">
        <v>132</v>
      </c>
      <c r="H6" t="s">
        <v>4</v>
      </c>
      <c r="I6">
        <f>HLOOKUP(G6,zip_tiers!$A$1:$EON$2,2,FALSE)</f>
        <v>102576</v>
      </c>
      <c r="J6" t="str">
        <f t="shared" si="0"/>
        <v>High</v>
      </c>
      <c r="K6">
        <f>dataset[[#This Row],[soda_sales]]/dataset[[#This Row],[soda_units_sold]]</f>
        <v>0.72247294974997733</v>
      </c>
      <c r="L6" s="29">
        <f>dataset[[#This Row],[implied_soda_ppu]]-dataset[[#This Row],[soda_ppu]]</f>
        <v>-2.7050250022697675E-5</v>
      </c>
      <c r="M6">
        <f>dataset[[#This Row],[soda_sales]]/dataset[[#This Row],[total_sales]]</f>
        <v>5.4659730288846797E-2</v>
      </c>
      <c r="N6">
        <f>LN(dataset[[#This Row],[soda_units_sold]])</f>
        <v>12.355263904879564</v>
      </c>
      <c r="O6">
        <f>LN(dataset[[#This Row],[soda_sales]])</f>
        <v>12.030188605390709</v>
      </c>
      <c r="P6">
        <f>LN(dataset[[#This Row],[soda_ppu]])</f>
        <v>-0.32503785899554977</v>
      </c>
      <c r="Q6">
        <f>IF(dataset[[#This Row],[state]]="VA",1,0)</f>
        <v>0</v>
      </c>
    </row>
    <row r="7" spans="1:20" x14ac:dyDescent="0.35">
      <c r="A7">
        <v>202206</v>
      </c>
      <c r="B7">
        <v>2</v>
      </c>
      <c r="C7" s="2">
        <v>2997245.3568000002</v>
      </c>
      <c r="D7" s="2">
        <v>0.69399999999999995</v>
      </c>
      <c r="E7" s="3">
        <v>250867</v>
      </c>
      <c r="F7" s="2">
        <v>174091.20319999999</v>
      </c>
      <c r="G7" t="s">
        <v>132</v>
      </c>
      <c r="H7" t="s">
        <v>4</v>
      </c>
      <c r="I7">
        <f>HLOOKUP(G7,zip_tiers!$A$1:$EON$2,2,FALSE)</f>
        <v>102576</v>
      </c>
      <c r="J7" t="str">
        <f t="shared" si="0"/>
        <v>High</v>
      </c>
      <c r="K7">
        <f>dataset[[#This Row],[soda_sales]]/dataset[[#This Row],[soda_units_sold]]</f>
        <v>0.69395816588072556</v>
      </c>
      <c r="L7" s="29">
        <f>dataset[[#This Row],[implied_soda_ppu]]-dataset[[#This Row],[soda_ppu]]</f>
        <v>-4.1834119274386516E-5</v>
      </c>
      <c r="M7">
        <f>dataset[[#This Row],[soda_sales]]/dataset[[#This Row],[total_sales]]</f>
        <v>5.8083734387987487E-2</v>
      </c>
      <c r="N7">
        <f>LN(dataset[[#This Row],[soda_units_sold]])</f>
        <v>12.432678197199561</v>
      </c>
      <c r="O7">
        <f>LN(dataset[[#This Row],[soda_sales]])</f>
        <v>12.067334597196563</v>
      </c>
      <c r="P7">
        <f>LN(dataset[[#This Row],[soda_ppu]])</f>
        <v>-0.36528331847533263</v>
      </c>
      <c r="Q7">
        <f>IF(dataset[[#This Row],[state]]="VA",1,0)</f>
        <v>0</v>
      </c>
    </row>
    <row r="8" spans="1:20" x14ac:dyDescent="0.35">
      <c r="A8">
        <v>202207</v>
      </c>
      <c r="B8">
        <v>2</v>
      </c>
      <c r="C8" s="2">
        <v>2849718.7266000002</v>
      </c>
      <c r="D8" s="2">
        <v>0.7117</v>
      </c>
      <c r="E8" s="3">
        <v>256267</v>
      </c>
      <c r="F8" s="2">
        <v>182384.29019999999</v>
      </c>
      <c r="G8" t="s">
        <v>132</v>
      </c>
      <c r="H8" t="s">
        <v>4</v>
      </c>
      <c r="I8">
        <f>HLOOKUP(G8,zip_tiers!$A$1:$EON$2,2,FALSE)</f>
        <v>102576</v>
      </c>
      <c r="J8" t="str">
        <f t="shared" si="0"/>
        <v>High</v>
      </c>
      <c r="K8">
        <f>dataset[[#This Row],[soda_sales]]/dataset[[#This Row],[soda_units_sold]]</f>
        <v>0.71169635653439567</v>
      </c>
      <c r="L8" s="29">
        <f>dataset[[#This Row],[implied_soda_ppu]]-dataset[[#This Row],[soda_ppu]]</f>
        <v>-3.6434656043304869E-6</v>
      </c>
      <c r="M8">
        <f>dataset[[#This Row],[soda_sales]]/dataset[[#This Row],[total_sales]]</f>
        <v>6.4000804183787896E-2</v>
      </c>
      <c r="N8">
        <f>LN(dataset[[#This Row],[soda_units_sold]])</f>
        <v>12.453975148697673</v>
      </c>
      <c r="O8">
        <f>LN(dataset[[#This Row],[soda_sales]])</f>
        <v>12.11387122462364</v>
      </c>
      <c r="P8">
        <f>LN(dataset[[#This Row],[soda_ppu]])</f>
        <v>-0.34009880467691161</v>
      </c>
      <c r="Q8">
        <f>IF(dataset[[#This Row],[state]]="VA",1,0)</f>
        <v>0</v>
      </c>
    </row>
    <row r="9" spans="1:20" x14ac:dyDescent="0.35">
      <c r="A9">
        <v>202208</v>
      </c>
      <c r="B9">
        <v>2</v>
      </c>
      <c r="C9" s="2">
        <v>2668677.7500999998</v>
      </c>
      <c r="D9" s="2">
        <v>0.70809999999999995</v>
      </c>
      <c r="E9" s="3">
        <v>224536</v>
      </c>
      <c r="F9" s="2">
        <v>158994.89110000001</v>
      </c>
      <c r="G9" t="s">
        <v>132</v>
      </c>
      <c r="H9" t="s">
        <v>4</v>
      </c>
      <c r="I9">
        <f>HLOOKUP(G9,zip_tiers!$A$1:$EON$2,2,FALSE)</f>
        <v>102576</v>
      </c>
      <c r="J9" t="str">
        <f t="shared" si="0"/>
        <v>High</v>
      </c>
      <c r="K9">
        <f>dataset[[#This Row],[soda_sales]]/dataset[[#This Row],[soda_units_sold]]</f>
        <v>0.70810422872056156</v>
      </c>
      <c r="L9" s="29">
        <f>dataset[[#This Row],[implied_soda_ppu]]-dataset[[#This Row],[soda_ppu]]</f>
        <v>4.2287205616053924E-6</v>
      </c>
      <c r="M9">
        <f>dataset[[#This Row],[soda_sales]]/dataset[[#This Row],[total_sales]]</f>
        <v>5.9578152923874833E-2</v>
      </c>
      <c r="N9">
        <f>LN(dataset[[#This Row],[soda_units_sold]])</f>
        <v>12.321791329656181</v>
      </c>
      <c r="O9">
        <f>LN(dataset[[#This Row],[soda_sales]])</f>
        <v>11.976627349239601</v>
      </c>
      <c r="P9">
        <f>LN(dataset[[#This Row],[soda_ppu]])</f>
        <v>-0.34516995232440884</v>
      </c>
      <c r="Q9">
        <f>IF(dataset[[#This Row],[state]]="VA",1,0)</f>
        <v>0</v>
      </c>
      <c r="T9" s="2"/>
    </row>
    <row r="10" spans="1:20" x14ac:dyDescent="0.35">
      <c r="A10">
        <v>202209</v>
      </c>
      <c r="B10">
        <v>2</v>
      </c>
      <c r="C10" s="2">
        <v>2698850.9685999998</v>
      </c>
      <c r="D10" s="2">
        <v>0.69669999999999999</v>
      </c>
      <c r="E10" s="3">
        <v>219688</v>
      </c>
      <c r="F10" s="2">
        <v>153048.58609999999</v>
      </c>
      <c r="G10" t="s">
        <v>132</v>
      </c>
      <c r="H10" t="s">
        <v>4</v>
      </c>
      <c r="I10">
        <f>HLOOKUP(G10,zip_tiers!$A$1:$EON$2,2,FALSE)</f>
        <v>102576</v>
      </c>
      <c r="J10" t="str">
        <f t="shared" si="0"/>
        <v>High</v>
      </c>
      <c r="K10">
        <f>dataset[[#This Row],[soda_sales]]/dataset[[#This Row],[soda_units_sold]]</f>
        <v>0.69666338671206429</v>
      </c>
      <c r="L10" s="29">
        <f>dataset[[#This Row],[implied_soda_ppu]]-dataset[[#This Row],[soda_ppu]]</f>
        <v>-3.6613287935693961E-5</v>
      </c>
      <c r="M10">
        <f>dataset[[#This Row],[soda_sales]]/dataset[[#This Row],[total_sales]]</f>
        <v>5.6708794920748186E-2</v>
      </c>
      <c r="N10">
        <f>LN(dataset[[#This Row],[soda_units_sold]])</f>
        <v>12.299963636944701</v>
      </c>
      <c r="O10">
        <f>LN(dataset[[#This Row],[soda_sales]])</f>
        <v>11.938510706173421</v>
      </c>
      <c r="P10">
        <f>LN(dataset[[#This Row],[soda_ppu]])</f>
        <v>-0.36140037694606386</v>
      </c>
      <c r="Q10">
        <f>IF(dataset[[#This Row],[state]]="VA",1,0)</f>
        <v>0</v>
      </c>
    </row>
    <row r="11" spans="1:20" x14ac:dyDescent="0.35">
      <c r="A11">
        <v>202210</v>
      </c>
      <c r="B11">
        <v>2</v>
      </c>
      <c r="C11" s="2">
        <v>3295612.1154</v>
      </c>
      <c r="D11" s="2">
        <v>0.70440000000000003</v>
      </c>
      <c r="E11" s="3">
        <v>204975</v>
      </c>
      <c r="F11" s="2">
        <v>144374.9094</v>
      </c>
      <c r="G11" t="s">
        <v>132</v>
      </c>
      <c r="H11" t="s">
        <v>4</v>
      </c>
      <c r="I11">
        <f>HLOOKUP(G11,zip_tiers!$A$1:$EON$2,2,FALSE)</f>
        <v>102576</v>
      </c>
      <c r="J11" t="str">
        <f t="shared" si="0"/>
        <v>High</v>
      </c>
      <c r="K11">
        <f>dataset[[#This Row],[soda_sales]]/dataset[[#This Row],[soda_units_sold]]</f>
        <v>0.70435374753018665</v>
      </c>
      <c r="L11" s="29">
        <f>dataset[[#This Row],[implied_soda_ppu]]-dataset[[#This Row],[soda_ppu]]</f>
        <v>-4.6252469813379271E-5</v>
      </c>
      <c r="M11">
        <f>dataset[[#This Row],[soda_sales]]/dataset[[#This Row],[total_sales]]</f>
        <v>4.3808222674432275E-2</v>
      </c>
      <c r="N11">
        <f>LN(dataset[[#This Row],[soda_units_sold]])</f>
        <v>12.230643299464379</v>
      </c>
      <c r="O11">
        <f>LN(dataset[[#This Row],[soda_sales]])</f>
        <v>11.880168732725531</v>
      </c>
      <c r="P11">
        <f>LN(dataset[[#This Row],[soda_ppu]])</f>
        <v>-0.35040890236008593</v>
      </c>
      <c r="Q11">
        <f>IF(dataset[[#This Row],[state]]="VA",1,0)</f>
        <v>0</v>
      </c>
      <c r="T11" s="5"/>
    </row>
    <row r="12" spans="1:20" x14ac:dyDescent="0.35">
      <c r="A12">
        <v>202211</v>
      </c>
      <c r="B12">
        <v>2</v>
      </c>
      <c r="C12" s="2">
        <v>3678381.8037999999</v>
      </c>
      <c r="D12" s="2">
        <v>0.68149999999999999</v>
      </c>
      <c r="E12" s="3">
        <v>195505</v>
      </c>
      <c r="F12" s="2">
        <v>133237.72210000001</v>
      </c>
      <c r="G12" t="s">
        <v>132</v>
      </c>
      <c r="H12" t="s">
        <v>4</v>
      </c>
      <c r="I12">
        <f>HLOOKUP(G12,zip_tiers!$A$1:$EON$2,2,FALSE)</f>
        <v>102576</v>
      </c>
      <c r="J12" t="str">
        <f t="shared" si="0"/>
        <v>High</v>
      </c>
      <c r="K12">
        <f>dataset[[#This Row],[soda_sales]]/dataset[[#This Row],[soda_units_sold]]</f>
        <v>0.68150544538502855</v>
      </c>
      <c r="L12" s="29">
        <f>dataset[[#This Row],[implied_soda_ppu]]-dataset[[#This Row],[soda_ppu]]</f>
        <v>5.4453850285574035E-6</v>
      </c>
      <c r="M12">
        <f>dataset[[#This Row],[soda_sales]]/dataset[[#This Row],[total_sales]]</f>
        <v>3.6221830469680187E-2</v>
      </c>
      <c r="N12">
        <f>LN(dataset[[#This Row],[soda_units_sold]])</f>
        <v>12.183341233528081</v>
      </c>
      <c r="O12">
        <f>LN(dataset[[#This Row],[soda_sales]])</f>
        <v>11.799890195944123</v>
      </c>
      <c r="P12">
        <f>LN(dataset[[#This Row],[soda_ppu]])</f>
        <v>-0.38345902784554975</v>
      </c>
      <c r="Q12">
        <f>IF(dataset[[#This Row],[state]]="VA",1,0)</f>
        <v>0</v>
      </c>
    </row>
    <row r="13" spans="1:20" x14ac:dyDescent="0.35">
      <c r="A13">
        <v>202212</v>
      </c>
      <c r="B13">
        <v>2</v>
      </c>
      <c r="C13" s="2">
        <v>3888052.4912</v>
      </c>
      <c r="D13" s="2">
        <v>0.71779999999999999</v>
      </c>
      <c r="E13" s="3">
        <v>187306</v>
      </c>
      <c r="F13" s="2">
        <v>134449.8412</v>
      </c>
      <c r="G13" t="s">
        <v>132</v>
      </c>
      <c r="H13" t="s">
        <v>4</v>
      </c>
      <c r="I13">
        <f>HLOOKUP(G13,zip_tiers!$A$1:$EON$2,2,FALSE)</f>
        <v>102576</v>
      </c>
      <c r="J13" t="str">
        <f t="shared" si="0"/>
        <v>High</v>
      </c>
      <c r="K13">
        <f>dataset[[#This Row],[soda_sales]]/dataset[[#This Row],[soda_units_sold]]</f>
        <v>0.71780851227403286</v>
      </c>
      <c r="L13" s="29">
        <f>dataset[[#This Row],[implied_soda_ppu]]-dataset[[#This Row],[soda_ppu]]</f>
        <v>8.512274032868028E-6</v>
      </c>
      <c r="M13">
        <f>dataset[[#This Row],[soda_sales]]/dataset[[#This Row],[total_sales]]</f>
        <v>3.4580253611366157E-2</v>
      </c>
      <c r="N13">
        <f>LN(dataset[[#This Row],[soda_units_sold]])</f>
        <v>12.140498922088877</v>
      </c>
      <c r="O13">
        <f>LN(dataset[[#This Row],[soda_sales]])</f>
        <v>11.808946480588094</v>
      </c>
      <c r="P13">
        <f>LN(dataset[[#This Row],[soda_ppu]])</f>
        <v>-0.33156430026863015</v>
      </c>
      <c r="Q13">
        <f>IF(dataset[[#This Row],[state]]="VA",1,0)</f>
        <v>0</v>
      </c>
    </row>
    <row r="14" spans="1:20" x14ac:dyDescent="0.35">
      <c r="A14">
        <v>202301</v>
      </c>
      <c r="B14">
        <v>2</v>
      </c>
      <c r="C14" s="2">
        <v>2265730.1197000002</v>
      </c>
      <c r="D14" s="2">
        <v>0.74639999999999995</v>
      </c>
      <c r="E14" s="3">
        <v>137561</v>
      </c>
      <c r="F14" s="2">
        <v>102671.4436</v>
      </c>
      <c r="G14" t="s">
        <v>132</v>
      </c>
      <c r="H14" t="s">
        <v>4</v>
      </c>
      <c r="I14">
        <f>HLOOKUP(G14,zip_tiers!$A$1:$EON$2,2,FALSE)</f>
        <v>102576</v>
      </c>
      <c r="J14" t="str">
        <f t="shared" si="0"/>
        <v>High</v>
      </c>
      <c r="K14">
        <f>dataset[[#This Row],[soda_sales]]/dataset[[#This Row],[soda_units_sold]]</f>
        <v>0.74637029099817531</v>
      </c>
      <c r="L14" s="29">
        <f>dataset[[#This Row],[implied_soda_ppu]]-dataset[[#This Row],[soda_ppu]]</f>
        <v>-2.9709001824640424E-5</v>
      </c>
      <c r="M14">
        <f>dataset[[#This Row],[soda_sales]]/dataset[[#This Row],[total_sales]]</f>
        <v>4.5314948460673007E-2</v>
      </c>
      <c r="N14">
        <f>LN(dataset[[#This Row],[soda_units_sold]])</f>
        <v>11.831822734074883</v>
      </c>
      <c r="O14">
        <f>LN(dataset[[#This Row],[soda_sales]])</f>
        <v>11.539289300776611</v>
      </c>
      <c r="P14">
        <f>LN(dataset[[#This Row],[soda_ppu]])</f>
        <v>-0.29249362944900303</v>
      </c>
      <c r="Q14">
        <f>IF(dataset[[#This Row],[state]]="VA",1,0)</f>
        <v>0</v>
      </c>
    </row>
    <row r="15" spans="1:20" x14ac:dyDescent="0.35">
      <c r="A15">
        <v>202302</v>
      </c>
      <c r="B15">
        <v>2</v>
      </c>
      <c r="C15" s="2">
        <v>2510303.4053000002</v>
      </c>
      <c r="D15" s="2">
        <v>0.71850000000000003</v>
      </c>
      <c r="E15" s="3">
        <v>157802</v>
      </c>
      <c r="F15" s="2">
        <v>113379.38989999999</v>
      </c>
      <c r="G15" t="s">
        <v>132</v>
      </c>
      <c r="H15" t="s">
        <v>4</v>
      </c>
      <c r="I15">
        <f>HLOOKUP(G15,zip_tiers!$A$1:$EON$2,2,FALSE)</f>
        <v>102576</v>
      </c>
      <c r="J15" t="str">
        <f t="shared" si="0"/>
        <v>High</v>
      </c>
      <c r="K15">
        <f>dataset[[#This Row],[soda_sales]]/dataset[[#This Row],[soda_units_sold]]</f>
        <v>0.71849146335280922</v>
      </c>
      <c r="L15" s="29">
        <f>dataset[[#This Row],[implied_soda_ppu]]-dataset[[#This Row],[soda_ppu]]</f>
        <v>-8.5366471908043806E-6</v>
      </c>
      <c r="M15">
        <f>dataset[[#This Row],[soda_sales]]/dataset[[#This Row],[total_sales]]</f>
        <v>4.5165612117093988E-2</v>
      </c>
      <c r="N15">
        <f>LN(dataset[[#This Row],[soda_units_sold]])</f>
        <v>11.969096361584823</v>
      </c>
      <c r="O15">
        <f>LN(dataset[[#This Row],[soda_sales]])</f>
        <v>11.638494906844237</v>
      </c>
      <c r="P15">
        <f>LN(dataset[[#This Row],[soda_ppu]])</f>
        <v>-0.3305895734630574</v>
      </c>
      <c r="Q15">
        <f>IF(dataset[[#This Row],[state]]="VA",1,0)</f>
        <v>0</v>
      </c>
    </row>
    <row r="16" spans="1:20" x14ac:dyDescent="0.35">
      <c r="A16">
        <v>202303</v>
      </c>
      <c r="B16">
        <v>2</v>
      </c>
      <c r="C16" s="2">
        <v>2803470.1480999999</v>
      </c>
      <c r="D16" s="2">
        <v>0.70279999999999998</v>
      </c>
      <c r="E16" s="3">
        <v>183544</v>
      </c>
      <c r="F16" s="2">
        <v>128995.0643</v>
      </c>
      <c r="G16" t="s">
        <v>132</v>
      </c>
      <c r="H16" t="s">
        <v>4</v>
      </c>
      <c r="I16">
        <f>HLOOKUP(G16,zip_tiers!$A$1:$EON$2,2,FALSE)</f>
        <v>102576</v>
      </c>
      <c r="J16" t="str">
        <f t="shared" si="0"/>
        <v>High</v>
      </c>
      <c r="K16">
        <f>dataset[[#This Row],[soda_sales]]/dataset[[#This Row],[soda_units_sold]]</f>
        <v>0.70280185840997256</v>
      </c>
      <c r="L16" s="29">
        <f>dataset[[#This Row],[implied_soda_ppu]]-dataset[[#This Row],[soda_ppu]]</f>
        <v>1.8584099725771352E-6</v>
      </c>
      <c r="M16">
        <f>dataset[[#This Row],[soda_sales]]/dataset[[#This Row],[total_sales]]</f>
        <v>4.6012640579541755E-2</v>
      </c>
      <c r="N16">
        <f>LN(dataset[[#This Row],[soda_units_sold]])</f>
        <v>12.120209699749998</v>
      </c>
      <c r="O16">
        <f>LN(dataset[[#This Row],[soda_sales]])</f>
        <v>11.767529421371519</v>
      </c>
      <c r="P16">
        <f>LN(dataset[[#This Row],[soda_ppu]])</f>
        <v>-0.35268292266919493</v>
      </c>
      <c r="Q16">
        <f>IF(dataset[[#This Row],[state]]="VA",1,0)</f>
        <v>0</v>
      </c>
    </row>
    <row r="17" spans="1:17" x14ac:dyDescent="0.35">
      <c r="A17">
        <v>202304</v>
      </c>
      <c r="B17">
        <v>2</v>
      </c>
      <c r="C17" s="2">
        <v>2968539.7740000002</v>
      </c>
      <c r="D17" s="2">
        <v>0.70250000000000001</v>
      </c>
      <c r="E17" s="3">
        <v>220535</v>
      </c>
      <c r="F17" s="2">
        <v>154917.2084</v>
      </c>
      <c r="G17" t="s">
        <v>132</v>
      </c>
      <c r="H17" t="s">
        <v>4</v>
      </c>
      <c r="I17">
        <f>HLOOKUP(G17,zip_tiers!$A$1:$EON$2,2,FALSE)</f>
        <v>102576</v>
      </c>
      <c r="J17" t="str">
        <f t="shared" si="0"/>
        <v>High</v>
      </c>
      <c r="K17">
        <f>dataset[[#This Row],[soda_sales]]/dataset[[#This Row],[soda_units_sold]]</f>
        <v>0.7024608719704355</v>
      </c>
      <c r="L17" s="29">
        <f>dataset[[#This Row],[implied_soda_ppu]]-dataset[[#This Row],[soda_ppu]]</f>
        <v>-3.9128029564516886E-5</v>
      </c>
      <c r="M17">
        <f>dataset[[#This Row],[soda_sales]]/dataset[[#This Row],[total_sales]]</f>
        <v>5.2186334088175163E-2</v>
      </c>
      <c r="N17">
        <f>LN(dataset[[#This Row],[soda_units_sold]])</f>
        <v>12.30381169143147</v>
      </c>
      <c r="O17">
        <f>LN(dataset[[#This Row],[soda_sales]])</f>
        <v>11.950646113843302</v>
      </c>
      <c r="P17">
        <f>LN(dataset[[#This Row],[soda_ppu]])</f>
        <v>-0.35310987777423619</v>
      </c>
      <c r="Q17">
        <f>IF(dataset[[#This Row],[state]]="VA",1,0)</f>
        <v>0</v>
      </c>
    </row>
    <row r="18" spans="1:17" x14ac:dyDescent="0.35">
      <c r="A18">
        <v>202305</v>
      </c>
      <c r="B18">
        <v>2</v>
      </c>
      <c r="C18" s="2">
        <v>3155249.8391999998</v>
      </c>
      <c r="D18" s="2">
        <v>0.71530000000000005</v>
      </c>
      <c r="E18" s="3">
        <v>238566</v>
      </c>
      <c r="F18" s="2">
        <v>170638.4007</v>
      </c>
      <c r="G18" t="s">
        <v>132</v>
      </c>
      <c r="H18" t="s">
        <v>4</v>
      </c>
      <c r="I18">
        <f>HLOOKUP(G18,zip_tiers!$A$1:$EON$2,2,FALSE)</f>
        <v>102576</v>
      </c>
      <c r="J18" t="str">
        <f t="shared" si="0"/>
        <v>High</v>
      </c>
      <c r="K18">
        <f>dataset[[#This Row],[soda_sales]]/dataset[[#This Row],[soda_units_sold]]</f>
        <v>0.71526705691506753</v>
      </c>
      <c r="L18" s="29">
        <f>dataset[[#This Row],[implied_soda_ppu]]-dataset[[#This Row],[soda_ppu]]</f>
        <v>-3.2943084932512967E-5</v>
      </c>
      <c r="M18">
        <f>dataset[[#This Row],[soda_sales]]/dataset[[#This Row],[total_sales]]</f>
        <v>5.4080788969555781E-2</v>
      </c>
      <c r="N18">
        <f>LN(dataset[[#This Row],[soda_units_sold]])</f>
        <v>12.38240128058772</v>
      </c>
      <c r="O18">
        <f>LN(dataset[[#This Row],[soda_sales]])</f>
        <v>12.047301980738442</v>
      </c>
      <c r="P18">
        <f>LN(dataset[[#This Row],[soda_ppu]])</f>
        <v>-0.33505324386779883</v>
      </c>
      <c r="Q18">
        <f>IF(dataset[[#This Row],[state]]="VA",1,0)</f>
        <v>0</v>
      </c>
    </row>
    <row r="19" spans="1:17" x14ac:dyDescent="0.35">
      <c r="A19">
        <v>202306</v>
      </c>
      <c r="B19">
        <v>2</v>
      </c>
      <c r="C19" s="2">
        <v>2964772.0987</v>
      </c>
      <c r="D19" s="2">
        <v>0.69099999999999995</v>
      </c>
      <c r="E19" s="3">
        <v>251483</v>
      </c>
      <c r="F19" s="2">
        <v>173770.2984</v>
      </c>
      <c r="G19" t="s">
        <v>132</v>
      </c>
      <c r="H19" t="s">
        <v>4</v>
      </c>
      <c r="I19">
        <f>HLOOKUP(G19,zip_tiers!$A$1:$EON$2,2,FALSE)</f>
        <v>102576</v>
      </c>
      <c r="J19" t="str">
        <f t="shared" si="0"/>
        <v>High</v>
      </c>
      <c r="K19">
        <f>dataset[[#This Row],[soda_sales]]/dataset[[#This Row],[soda_units_sold]]</f>
        <v>0.69098228667544126</v>
      </c>
      <c r="L19" s="29">
        <f>dataset[[#This Row],[implied_soda_ppu]]-dataset[[#This Row],[soda_ppu]]</f>
        <v>-1.7713324558688015E-5</v>
      </c>
      <c r="M19">
        <f>dataset[[#This Row],[soda_sales]]/dataset[[#This Row],[total_sales]]</f>
        <v>5.8611688391224132E-2</v>
      </c>
      <c r="N19">
        <f>LN(dataset[[#This Row],[soda_units_sold]])</f>
        <v>12.435130671803925</v>
      </c>
      <c r="O19">
        <f>LN(dataset[[#This Row],[soda_sales]])</f>
        <v>12.065489581927233</v>
      </c>
      <c r="P19">
        <f>LN(dataset[[#This Row],[soda_ppu]])</f>
        <v>-0.36961545521446726</v>
      </c>
      <c r="Q19">
        <f>IF(dataset[[#This Row],[state]]="VA",1,0)</f>
        <v>0</v>
      </c>
    </row>
    <row r="20" spans="1:17" x14ac:dyDescent="0.35">
      <c r="A20">
        <v>202307</v>
      </c>
      <c r="B20">
        <v>2</v>
      </c>
      <c r="C20" s="2">
        <v>2829318.6521999999</v>
      </c>
      <c r="D20" s="2">
        <v>0.75670000000000004</v>
      </c>
      <c r="E20" s="3">
        <v>245368</v>
      </c>
      <c r="F20" s="2">
        <v>185667.65340000001</v>
      </c>
      <c r="G20" t="s">
        <v>132</v>
      </c>
      <c r="H20" t="s">
        <v>4</v>
      </c>
      <c r="I20">
        <f>HLOOKUP(G20,zip_tiers!$A$1:$EON$2,2,FALSE)</f>
        <v>102576</v>
      </c>
      <c r="J20" t="str">
        <f t="shared" si="0"/>
        <v>High</v>
      </c>
      <c r="K20">
        <f>dataset[[#This Row],[soda_sales]]/dataset[[#This Row],[soda_units_sold]]</f>
        <v>0.75669057660330608</v>
      </c>
      <c r="L20" s="29">
        <f>dataset[[#This Row],[implied_soda_ppu]]-dataset[[#This Row],[soda_ppu]]</f>
        <v>-9.4233966939638591E-6</v>
      </c>
      <c r="M20">
        <f>dataset[[#This Row],[soda_sales]]/dataset[[#This Row],[total_sales]]</f>
        <v>6.5622743926573981E-2</v>
      </c>
      <c r="N20">
        <f>LN(dataset[[#This Row],[soda_units_sold]])</f>
        <v>12.410514403408211</v>
      </c>
      <c r="O20">
        <f>LN(dataset[[#This Row],[soda_sales]])</f>
        <v>12.131713544769379</v>
      </c>
      <c r="P20">
        <f>LN(dataset[[#This Row],[soda_ppu]])</f>
        <v>-0.2787884052816611</v>
      </c>
      <c r="Q20">
        <f>IF(dataset[[#This Row],[state]]="VA",1,0)</f>
        <v>0</v>
      </c>
    </row>
    <row r="21" spans="1:17" x14ac:dyDescent="0.35">
      <c r="A21">
        <v>202308</v>
      </c>
      <c r="B21">
        <v>2</v>
      </c>
      <c r="C21" s="2">
        <v>2688008.6006999998</v>
      </c>
      <c r="D21" s="2">
        <v>0.70979999999999999</v>
      </c>
      <c r="E21" s="3">
        <v>221646</v>
      </c>
      <c r="F21" s="2">
        <v>157324.42670000001</v>
      </c>
      <c r="G21" t="s">
        <v>132</v>
      </c>
      <c r="H21" t="s">
        <v>4</v>
      </c>
      <c r="I21">
        <f>HLOOKUP(G21,zip_tiers!$A$1:$EON$2,2,FALSE)</f>
        <v>102576</v>
      </c>
      <c r="J21" t="str">
        <f t="shared" si="0"/>
        <v>High</v>
      </c>
      <c r="K21">
        <f>dataset[[#This Row],[soda_sales]]/dataset[[#This Row],[soda_units_sold]]</f>
        <v>0.70980043267191828</v>
      </c>
      <c r="L21" s="29">
        <f>dataset[[#This Row],[implied_soda_ppu]]-dataset[[#This Row],[soda_ppu]]</f>
        <v>4.3267191829343687E-7</v>
      </c>
      <c r="M21">
        <f>dataset[[#This Row],[soda_sales]]/dataset[[#This Row],[total_sales]]</f>
        <v>5.8528245281294952E-2</v>
      </c>
      <c r="N21">
        <f>LN(dataset[[#This Row],[soda_units_sold]])</f>
        <v>12.308836793540701</v>
      </c>
      <c r="O21">
        <f>LN(dataset[[#This Row],[soda_sales]])</f>
        <v>11.966065364339551</v>
      </c>
      <c r="P21">
        <f>LN(dataset[[#This Row],[soda_ppu]])</f>
        <v>-0.34277203876974099</v>
      </c>
      <c r="Q21">
        <f>IF(dataset[[#This Row],[state]]="VA",1,0)</f>
        <v>0</v>
      </c>
    </row>
    <row r="22" spans="1:17" x14ac:dyDescent="0.35">
      <c r="A22">
        <v>202309</v>
      </c>
      <c r="B22">
        <v>2</v>
      </c>
      <c r="C22" s="2">
        <v>2723023.1076000002</v>
      </c>
      <c r="D22" s="2">
        <v>0.71509999999999996</v>
      </c>
      <c r="E22" s="3">
        <v>217758</v>
      </c>
      <c r="F22" s="2">
        <v>155720.32709999999</v>
      </c>
      <c r="G22" t="s">
        <v>132</v>
      </c>
      <c r="H22" t="s">
        <v>4</v>
      </c>
      <c r="I22">
        <f>HLOOKUP(G22,zip_tiers!$A$1:$EON$2,2,FALSE)</f>
        <v>102576</v>
      </c>
      <c r="J22" t="str">
        <f t="shared" si="0"/>
        <v>High</v>
      </c>
      <c r="K22">
        <f>dataset[[#This Row],[soda_sales]]/dataset[[#This Row],[soda_units_sold]]</f>
        <v>0.71510726173091232</v>
      </c>
      <c r="L22" s="29">
        <f>dataset[[#This Row],[implied_soda_ppu]]-dataset[[#This Row],[soda_ppu]]</f>
        <v>7.261730912366815E-6</v>
      </c>
      <c r="M22">
        <f>dataset[[#This Row],[soda_sales]]/dataset[[#This Row],[total_sales]]</f>
        <v>5.7186561019398667E-2</v>
      </c>
      <c r="N22">
        <f>LN(dataset[[#This Row],[soda_units_sold]])</f>
        <v>12.291139633419897</v>
      </c>
      <c r="O22">
        <f>LN(dataset[[#This Row],[soda_sales]])</f>
        <v>11.955816902287303</v>
      </c>
      <c r="P22">
        <f>LN(dataset[[#This Row],[soda_ppu]])</f>
        <v>-0.33533288592778687</v>
      </c>
      <c r="Q22">
        <f>IF(dataset[[#This Row],[state]]="VA",1,0)</f>
        <v>0</v>
      </c>
    </row>
    <row r="23" spans="1:17" x14ac:dyDescent="0.35">
      <c r="A23">
        <v>202310</v>
      </c>
      <c r="B23">
        <v>2</v>
      </c>
      <c r="C23" s="2">
        <v>3299518.9271999998</v>
      </c>
      <c r="D23" s="2">
        <v>0.7107</v>
      </c>
      <c r="E23" s="3">
        <v>201696</v>
      </c>
      <c r="F23" s="2">
        <v>143342.52830000001</v>
      </c>
      <c r="G23" t="s">
        <v>132</v>
      </c>
      <c r="H23" t="s">
        <v>4</v>
      </c>
      <c r="I23">
        <f>HLOOKUP(G23,zip_tiers!$A$1:$EON$2,2,FALSE)</f>
        <v>102576</v>
      </c>
      <c r="J23" t="str">
        <f t="shared" si="0"/>
        <v>High</v>
      </c>
      <c r="K23">
        <f>dataset[[#This Row],[soda_sales]]/dataset[[#This Row],[soda_units_sold]]</f>
        <v>0.7106860240163414</v>
      </c>
      <c r="L23" s="29">
        <f>dataset[[#This Row],[implied_soda_ppu]]-dataset[[#This Row],[soda_ppu]]</f>
        <v>-1.3975983658598423E-5</v>
      </c>
      <c r="M23">
        <f>dataset[[#This Row],[soda_sales]]/dataset[[#This Row],[total_sales]]</f>
        <v>4.3443462960111492E-2</v>
      </c>
      <c r="N23">
        <f>LN(dataset[[#This Row],[soda_units_sold]])</f>
        <v>12.214516892312837</v>
      </c>
      <c r="O23">
        <f>LN(dataset[[#This Row],[soda_sales]])</f>
        <v>11.872992347874286</v>
      </c>
      <c r="P23">
        <f>LN(dataset[[#This Row],[soda_ppu]])</f>
        <v>-0.34150487914928757</v>
      </c>
      <c r="Q23">
        <f>IF(dataset[[#This Row],[state]]="VA",1,0)</f>
        <v>0</v>
      </c>
    </row>
    <row r="24" spans="1:17" x14ac:dyDescent="0.35">
      <c r="A24">
        <v>202311</v>
      </c>
      <c r="B24">
        <v>2</v>
      </c>
      <c r="C24" s="2">
        <v>3809428.9736000001</v>
      </c>
      <c r="D24" s="2">
        <v>0.72430000000000005</v>
      </c>
      <c r="E24" s="3">
        <v>194675</v>
      </c>
      <c r="F24" s="2">
        <v>140993.61230000001</v>
      </c>
      <c r="G24" t="s">
        <v>132</v>
      </c>
      <c r="H24" t="s">
        <v>4</v>
      </c>
      <c r="I24">
        <f>HLOOKUP(G24,zip_tiers!$A$1:$EON$2,2,FALSE)</f>
        <v>102576</v>
      </c>
      <c r="J24" t="str">
        <f t="shared" si="0"/>
        <v>High</v>
      </c>
      <c r="K24">
        <f>dataset[[#This Row],[soda_sales]]/dataset[[#This Row],[soda_units_sold]]</f>
        <v>0.72425125105945809</v>
      </c>
      <c r="L24" s="29">
        <f>dataset[[#This Row],[implied_soda_ppu]]-dataset[[#This Row],[soda_ppu]]</f>
        <v>-4.8748940541964991E-5</v>
      </c>
      <c r="M24">
        <f>dataset[[#This Row],[soda_sales]]/dataset[[#This Row],[total_sales]]</f>
        <v>3.7011744615035501E-2</v>
      </c>
      <c r="N24">
        <f>LN(dataset[[#This Row],[soda_units_sold]])</f>
        <v>12.179086780445187</v>
      </c>
      <c r="O24">
        <f>LN(dataset[[#This Row],[soda_sales]])</f>
        <v>11.856469865497221</v>
      </c>
      <c r="P24">
        <f>LN(dataset[[#This Row],[soda_ppu]])</f>
        <v>-0.32254960778085662</v>
      </c>
      <c r="Q24">
        <f>IF(dataset[[#This Row],[state]]="VA",1,0)</f>
        <v>0</v>
      </c>
    </row>
    <row r="25" spans="1:17" x14ac:dyDescent="0.35">
      <c r="A25">
        <v>202312</v>
      </c>
      <c r="B25">
        <v>2</v>
      </c>
      <c r="C25" s="2">
        <v>3907916.3453000002</v>
      </c>
      <c r="D25" s="2">
        <v>0.72299999999999998</v>
      </c>
      <c r="E25" s="3">
        <v>191116</v>
      </c>
      <c r="F25" s="2">
        <v>138169.6042</v>
      </c>
      <c r="G25" t="s">
        <v>132</v>
      </c>
      <c r="H25" t="s">
        <v>4</v>
      </c>
      <c r="I25">
        <f>HLOOKUP(G25,zip_tiers!$A$1:$EON$2,2,FALSE)</f>
        <v>102576</v>
      </c>
      <c r="J25" t="str">
        <f t="shared" si="0"/>
        <v>High</v>
      </c>
      <c r="K25">
        <f>dataset[[#This Row],[soda_sales]]/dataset[[#This Row],[soda_units_sold]]</f>
        <v>0.72296199271646544</v>
      </c>
      <c r="L25" s="29">
        <f>dataset[[#This Row],[implied_soda_ppu]]-dataset[[#This Row],[soda_ppu]]</f>
        <v>-3.8007283534535752E-5</v>
      </c>
      <c r="M25">
        <f>dataset[[#This Row],[soda_sales]]/dataset[[#This Row],[total_sales]]</f>
        <v>3.5356336213843161E-2</v>
      </c>
      <c r="N25">
        <f>LN(dataset[[#This Row],[soda_units_sold]])</f>
        <v>12.160635852521567</v>
      </c>
      <c r="O25">
        <f>LN(dataset[[#This Row],[soda_sales]])</f>
        <v>11.836237225459509</v>
      </c>
      <c r="P25">
        <f>LN(dataset[[#This Row],[soda_ppu]])</f>
        <v>-0.32434605682337242</v>
      </c>
      <c r="Q25">
        <f>IF(dataset[[#This Row],[state]]="VA",1,0)</f>
        <v>0</v>
      </c>
    </row>
    <row r="26" spans="1:17" x14ac:dyDescent="0.35">
      <c r="A26">
        <v>202401</v>
      </c>
      <c r="B26">
        <v>2</v>
      </c>
      <c r="C26" s="2">
        <v>2272253.2178000002</v>
      </c>
      <c r="D26" s="2">
        <v>0.73699999999999999</v>
      </c>
      <c r="E26" s="3">
        <v>138763</v>
      </c>
      <c r="F26" s="2">
        <v>102273.22229999999</v>
      </c>
      <c r="G26" t="s">
        <v>132</v>
      </c>
      <c r="H26" t="s">
        <v>4</v>
      </c>
      <c r="I26">
        <f>HLOOKUP(G26,zip_tiers!$A$1:$EON$2,2,FALSE)</f>
        <v>102576</v>
      </c>
      <c r="J26" t="str">
        <f t="shared" si="0"/>
        <v>High</v>
      </c>
      <c r="K26">
        <f>dataset[[#This Row],[soda_sales]]/dataset[[#This Row],[soda_units_sold]]</f>
        <v>0.73703524930997455</v>
      </c>
      <c r="L26" s="29">
        <f>dataset[[#This Row],[implied_soda_ppu]]-dataset[[#This Row],[soda_ppu]]</f>
        <v>3.5249309974560994E-5</v>
      </c>
      <c r="M26">
        <f>dataset[[#This Row],[soda_sales]]/dataset[[#This Row],[total_sales]]</f>
        <v>4.5009606103241048E-2</v>
      </c>
      <c r="N26">
        <f>LN(dataset[[#This Row],[soda_units_sold]])</f>
        <v>11.840522720913395</v>
      </c>
      <c r="O26">
        <f>LN(dataset[[#This Row],[soda_sales]])</f>
        <v>11.535403161077239</v>
      </c>
      <c r="P26">
        <f>LN(dataset[[#This Row],[soda_ppu]])</f>
        <v>-0.30516738679280048</v>
      </c>
      <c r="Q26">
        <f>IF(dataset[[#This Row],[state]]="VA",1,0)</f>
        <v>0</v>
      </c>
    </row>
    <row r="27" spans="1:17" x14ac:dyDescent="0.35">
      <c r="A27">
        <v>202402</v>
      </c>
      <c r="B27">
        <v>2</v>
      </c>
      <c r="C27" s="2">
        <v>2587275.0380000002</v>
      </c>
      <c r="D27" s="2">
        <v>0.72230000000000005</v>
      </c>
      <c r="E27" s="3">
        <v>153806</v>
      </c>
      <c r="F27" s="2">
        <v>111089.5408</v>
      </c>
      <c r="G27" t="s">
        <v>132</v>
      </c>
      <c r="H27" t="s">
        <v>4</v>
      </c>
      <c r="I27">
        <f>HLOOKUP(G27,zip_tiers!$A$1:$EON$2,2,FALSE)</f>
        <v>102576</v>
      </c>
      <c r="J27" t="str">
        <f t="shared" si="0"/>
        <v>High</v>
      </c>
      <c r="K27">
        <f>dataset[[#This Row],[soda_sales]]/dataset[[#This Row],[soda_units_sold]]</f>
        <v>0.7222705278077578</v>
      </c>
      <c r="L27" s="29">
        <f>dataset[[#This Row],[implied_soda_ppu]]-dataset[[#This Row],[soda_ppu]]</f>
        <v>-2.9472192242252504E-5</v>
      </c>
      <c r="M27">
        <f>dataset[[#This Row],[soda_sales]]/dataset[[#This Row],[total_sales]]</f>
        <v>4.293688887667458E-2</v>
      </c>
      <c r="N27">
        <f>LN(dataset[[#This Row],[soda_units_sold]])</f>
        <v>11.943447346996255</v>
      </c>
      <c r="O27">
        <f>LN(dataset[[#This Row],[soda_sales]])</f>
        <v>11.618091828981843</v>
      </c>
      <c r="P27">
        <f>LN(dataset[[#This Row],[soda_ppu]])</f>
        <v>-0.32531471392533584</v>
      </c>
      <c r="Q27">
        <f>IF(dataset[[#This Row],[state]]="VA",1,0)</f>
        <v>0</v>
      </c>
    </row>
    <row r="28" spans="1:17" x14ac:dyDescent="0.35">
      <c r="A28">
        <v>202403</v>
      </c>
      <c r="B28">
        <v>2</v>
      </c>
      <c r="C28" s="2">
        <v>2830380.0348999999</v>
      </c>
      <c r="D28" s="2">
        <v>0.72550000000000003</v>
      </c>
      <c r="E28" s="3">
        <v>182704</v>
      </c>
      <c r="F28" s="2">
        <v>132554.8149</v>
      </c>
      <c r="G28" t="s">
        <v>132</v>
      </c>
      <c r="H28" t="s">
        <v>4</v>
      </c>
      <c r="I28">
        <f>HLOOKUP(G28,zip_tiers!$A$1:$EON$2,2,FALSE)</f>
        <v>102576</v>
      </c>
      <c r="J28" t="str">
        <f t="shared" si="0"/>
        <v>High</v>
      </c>
      <c r="K28">
        <f>dataset[[#This Row],[soda_sales]]/dataset[[#This Row],[soda_units_sold]]</f>
        <v>0.72551676427445488</v>
      </c>
      <c r="L28" s="29">
        <f>dataset[[#This Row],[implied_soda_ppu]]-dataset[[#This Row],[soda_ppu]]</f>
        <v>1.6764274454850181E-5</v>
      </c>
      <c r="M28">
        <f>dataset[[#This Row],[soda_sales]]/dataset[[#This Row],[total_sales]]</f>
        <v>4.6832868118603474E-2</v>
      </c>
      <c r="N28">
        <f>LN(dataset[[#This Row],[soda_units_sold]])</f>
        <v>12.115622635941429</v>
      </c>
      <c r="O28">
        <f>LN(dataset[[#This Row],[soda_sales]])</f>
        <v>11.794751536217746</v>
      </c>
      <c r="P28">
        <f>LN(dataset[[#This Row],[soda_ppu]])</f>
        <v>-0.32089420665789448</v>
      </c>
      <c r="Q28">
        <f>IF(dataset[[#This Row],[state]]="VA",1,0)</f>
        <v>0</v>
      </c>
    </row>
    <row r="29" spans="1:17" x14ac:dyDescent="0.35">
      <c r="A29">
        <v>202404</v>
      </c>
      <c r="B29">
        <v>2</v>
      </c>
      <c r="C29" s="2">
        <v>3020800.1165</v>
      </c>
      <c r="D29" s="2">
        <v>0.74990000000000001</v>
      </c>
      <c r="E29" s="3">
        <v>208006</v>
      </c>
      <c r="F29" s="2">
        <v>155973.3107</v>
      </c>
      <c r="G29" t="s">
        <v>132</v>
      </c>
      <c r="H29" t="s">
        <v>4</v>
      </c>
      <c r="I29">
        <f>HLOOKUP(G29,zip_tiers!$A$1:$EON$2,2,FALSE)</f>
        <v>102576</v>
      </c>
      <c r="J29" t="str">
        <f t="shared" si="0"/>
        <v>High</v>
      </c>
      <c r="K29">
        <f>dataset[[#This Row],[soda_sales]]/dataset[[#This Row],[soda_units_sold]]</f>
        <v>0.74985005576762209</v>
      </c>
      <c r="L29" s="29">
        <f>dataset[[#This Row],[implied_soda_ppu]]-dataset[[#This Row],[soda_ppu]]</f>
        <v>-4.9944232377918674E-5</v>
      </c>
      <c r="M29">
        <f>dataset[[#This Row],[soda_sales]]/dataset[[#This Row],[total_sales]]</f>
        <v>5.1633111985150443E-2</v>
      </c>
      <c r="N29">
        <f>LN(dataset[[#This Row],[soda_units_sold]])</f>
        <v>12.245322204421258</v>
      </c>
      <c r="O29">
        <f>LN(dataset[[#This Row],[soda_sales]])</f>
        <v>11.957440186338513</v>
      </c>
      <c r="P29">
        <f>LN(dataset[[#This Row],[soda_ppu]])</f>
        <v>-0.28781541467479332</v>
      </c>
      <c r="Q29">
        <f>IF(dataset[[#This Row],[state]]="VA",1,0)</f>
        <v>0</v>
      </c>
    </row>
    <row r="30" spans="1:17" x14ac:dyDescent="0.35">
      <c r="A30">
        <v>202405</v>
      </c>
      <c r="B30">
        <v>2</v>
      </c>
      <c r="C30" s="2">
        <v>3205332.6195999999</v>
      </c>
      <c r="D30" s="2">
        <v>0.74819999999999998</v>
      </c>
      <c r="E30" s="3">
        <v>235605</v>
      </c>
      <c r="F30" s="2">
        <v>176288.34890000001</v>
      </c>
      <c r="G30" t="s">
        <v>132</v>
      </c>
      <c r="H30" t="s">
        <v>4</v>
      </c>
      <c r="I30">
        <f>HLOOKUP(G30,zip_tiers!$A$1:$EON$2,2,FALSE)</f>
        <v>102576</v>
      </c>
      <c r="J30" t="str">
        <f t="shared" si="0"/>
        <v>High</v>
      </c>
      <c r="K30">
        <f>dataset[[#This Row],[soda_sales]]/dataset[[#This Row],[soda_units_sold]]</f>
        <v>0.74823687485409907</v>
      </c>
      <c r="L30" s="29">
        <f>dataset[[#This Row],[implied_soda_ppu]]-dataset[[#This Row],[soda_ppu]]</f>
        <v>3.6874854099089305E-5</v>
      </c>
      <c r="M30">
        <f>dataset[[#This Row],[soda_sales]]/dataset[[#This Row],[total_sales]]</f>
        <v>5.4998457202859466E-2</v>
      </c>
      <c r="N30">
        <f>LN(dataset[[#This Row],[soda_units_sold]])</f>
        <v>12.369911952945243</v>
      </c>
      <c r="O30">
        <f>LN(dataset[[#This Row],[soda_sales]])</f>
        <v>12.079876279418244</v>
      </c>
      <c r="P30">
        <f>LN(dataset[[#This Row],[soda_ppu]])</f>
        <v>-0.29008495706809134</v>
      </c>
      <c r="Q30">
        <f>IF(dataset[[#This Row],[state]]="VA",1,0)</f>
        <v>0</v>
      </c>
    </row>
    <row r="31" spans="1:17" x14ac:dyDescent="0.35">
      <c r="A31">
        <v>202406</v>
      </c>
      <c r="B31">
        <v>2</v>
      </c>
      <c r="C31" s="2">
        <v>3081688.0186999999</v>
      </c>
      <c r="D31" s="2">
        <v>0.75349999999999995</v>
      </c>
      <c r="E31" s="3">
        <v>242923</v>
      </c>
      <c r="F31" s="2">
        <v>183045.88430000001</v>
      </c>
      <c r="G31" t="s">
        <v>132</v>
      </c>
      <c r="H31" t="s">
        <v>4</v>
      </c>
      <c r="I31">
        <f>HLOOKUP(G31,zip_tiers!$A$1:$EON$2,2,FALSE)</f>
        <v>102576</v>
      </c>
      <c r="J31" t="str">
        <f t="shared" si="0"/>
        <v>High</v>
      </c>
      <c r="K31">
        <f>dataset[[#This Row],[soda_sales]]/dataset[[#This Row],[soda_units_sold]]</f>
        <v>0.75351401184737554</v>
      </c>
      <c r="L31" s="29">
        <f>dataset[[#This Row],[implied_soda_ppu]]-dataset[[#This Row],[soda_ppu]]</f>
        <v>1.4011847375594577E-5</v>
      </c>
      <c r="M31">
        <f>dataset[[#This Row],[soda_sales]]/dataset[[#This Row],[total_sales]]</f>
        <v>5.939792840458176E-2</v>
      </c>
      <c r="N31">
        <f>LN(dataset[[#This Row],[soda_units_sold]])</f>
        <v>12.400499799680025</v>
      </c>
      <c r="O31">
        <f>LN(dataset[[#This Row],[soda_sales]])</f>
        <v>12.117492134274853</v>
      </c>
      <c r="P31">
        <f>LN(dataset[[#This Row],[soda_ppu]])</f>
        <v>-0.28302626091558697</v>
      </c>
      <c r="Q31">
        <f>IF(dataset[[#This Row],[state]]="VA",1,0)</f>
        <v>0</v>
      </c>
    </row>
    <row r="32" spans="1:17" x14ac:dyDescent="0.35">
      <c r="A32">
        <v>202407</v>
      </c>
      <c r="B32">
        <v>2</v>
      </c>
      <c r="C32" s="2">
        <v>2914269.9759999998</v>
      </c>
      <c r="D32" s="2">
        <v>0.74239999999999995</v>
      </c>
      <c r="E32" s="3">
        <v>255102</v>
      </c>
      <c r="F32" s="2">
        <v>189379.81479999999</v>
      </c>
      <c r="G32" t="s">
        <v>132</v>
      </c>
      <c r="H32" t="s">
        <v>4</v>
      </c>
      <c r="I32">
        <f>HLOOKUP(G32,zip_tiers!$A$1:$EON$2,2,FALSE)</f>
        <v>102576</v>
      </c>
      <c r="J32" t="str">
        <f t="shared" si="0"/>
        <v>High</v>
      </c>
      <c r="K32">
        <f>dataset[[#This Row],[soda_sales]]/dataset[[#This Row],[soda_units_sold]]</f>
        <v>0.74236899279503887</v>
      </c>
      <c r="L32" s="29">
        <f>dataset[[#This Row],[implied_soda_ppu]]-dataset[[#This Row],[soda_ppu]]</f>
        <v>-3.1007204961075452E-5</v>
      </c>
      <c r="M32">
        <f>dataset[[#This Row],[soda_sales]]/dataset[[#This Row],[total_sales]]</f>
        <v>6.4983620721349403E-2</v>
      </c>
      <c r="N32">
        <f>LN(dataset[[#This Row],[soda_units_sold]])</f>
        <v>12.449418744161891</v>
      </c>
      <c r="O32">
        <f>LN(dataset[[#This Row],[soda_sales]])</f>
        <v>12.151509879609037</v>
      </c>
      <c r="P32">
        <f>LN(dataset[[#This Row],[soda_ppu]])</f>
        <v>-0.29786709751014628</v>
      </c>
      <c r="Q32">
        <f>IF(dataset[[#This Row],[state]]="VA",1,0)</f>
        <v>0</v>
      </c>
    </row>
    <row r="33" spans="1:17" x14ac:dyDescent="0.35">
      <c r="A33">
        <v>202408</v>
      </c>
      <c r="B33">
        <v>2</v>
      </c>
      <c r="C33" s="2">
        <v>2747425.2373000002</v>
      </c>
      <c r="D33" s="2">
        <v>0.7369</v>
      </c>
      <c r="E33" s="3">
        <v>219692</v>
      </c>
      <c r="F33" s="2">
        <v>161896.74429999999</v>
      </c>
      <c r="G33" t="s">
        <v>132</v>
      </c>
      <c r="H33" t="s">
        <v>4</v>
      </c>
      <c r="I33">
        <f>HLOOKUP(G33,zip_tiers!$A$1:$EON$2,2,FALSE)</f>
        <v>102576</v>
      </c>
      <c r="J33" t="str">
        <f t="shared" si="0"/>
        <v>High</v>
      </c>
      <c r="K33">
        <f>dataset[[#This Row],[soda_sales]]/dataset[[#This Row],[soda_units_sold]]</f>
        <v>0.73692598865684678</v>
      </c>
      <c r="L33" s="29">
        <f>dataset[[#This Row],[implied_soda_ppu]]-dataset[[#This Row],[soda_ppu]]</f>
        <v>2.5988656846775982E-5</v>
      </c>
      <c r="M33">
        <f>dataset[[#This Row],[soda_sales]]/dataset[[#This Row],[total_sales]]</f>
        <v>5.8926715130236666E-2</v>
      </c>
      <c r="N33">
        <f>LN(dataset[[#This Row],[soda_units_sold]])</f>
        <v>12.29998184441887</v>
      </c>
      <c r="O33">
        <f>LN(dataset[[#This Row],[soda_sales]])</f>
        <v>11.994714030136786</v>
      </c>
      <c r="P33">
        <f>LN(dataset[[#This Row],[soda_ppu]])</f>
        <v>-0.30530308120918342</v>
      </c>
      <c r="Q33">
        <f>IF(dataset[[#This Row],[state]]="VA",1,0)</f>
        <v>0</v>
      </c>
    </row>
    <row r="34" spans="1:17" x14ac:dyDescent="0.35">
      <c r="A34">
        <v>202409</v>
      </c>
      <c r="B34">
        <v>2</v>
      </c>
      <c r="C34" s="2">
        <v>2784171.0976</v>
      </c>
      <c r="D34" s="2">
        <v>0.75690000000000002</v>
      </c>
      <c r="E34" s="3">
        <v>213555</v>
      </c>
      <c r="F34" s="2">
        <v>161645.10269999999</v>
      </c>
      <c r="G34" t="s">
        <v>132</v>
      </c>
      <c r="H34" t="s">
        <v>4</v>
      </c>
      <c r="I34">
        <f>HLOOKUP(G34,zip_tiers!$A$1:$EON$2,2,FALSE)</f>
        <v>102576</v>
      </c>
      <c r="J34" t="str">
        <f t="shared" si="0"/>
        <v>High</v>
      </c>
      <c r="K34">
        <f>dataset[[#This Row],[soda_sales]]/dataset[[#This Row],[soda_units_sold]]</f>
        <v>0.75692492659970489</v>
      </c>
      <c r="L34" s="29">
        <f>dataset[[#This Row],[implied_soda_ppu]]-dataset[[#This Row],[soda_ppu]]</f>
        <v>2.4926599704877539E-5</v>
      </c>
      <c r="M34">
        <f>dataset[[#This Row],[soda_sales]]/dataset[[#This Row],[total_sales]]</f>
        <v>5.8058609558636912E-2</v>
      </c>
      <c r="N34">
        <f>LN(dataset[[#This Row],[soda_units_sold]])</f>
        <v>12.271649689715955</v>
      </c>
      <c r="O34">
        <f>LN(dataset[[#This Row],[soda_sales]])</f>
        <v>11.993158486994068</v>
      </c>
      <c r="P34">
        <f>LN(dataset[[#This Row],[soda_ppu]])</f>
        <v>-0.27852413466701526</v>
      </c>
      <c r="Q34">
        <f>IF(dataset[[#This Row],[state]]="VA",1,0)</f>
        <v>0</v>
      </c>
    </row>
    <row r="35" spans="1:17" x14ac:dyDescent="0.35">
      <c r="A35">
        <v>202410</v>
      </c>
      <c r="B35">
        <v>2</v>
      </c>
      <c r="C35" s="2">
        <v>3382335.7974</v>
      </c>
      <c r="D35" s="2">
        <v>0.76449999999999996</v>
      </c>
      <c r="E35" s="3">
        <v>197151</v>
      </c>
      <c r="F35" s="2">
        <v>150720.9307</v>
      </c>
      <c r="G35" t="s">
        <v>132</v>
      </c>
      <c r="H35" t="s">
        <v>4</v>
      </c>
      <c r="I35">
        <f>HLOOKUP(G35,zip_tiers!$A$1:$EON$2,2,FALSE)</f>
        <v>102576</v>
      </c>
      <c r="J35" t="str">
        <f t="shared" si="0"/>
        <v>High</v>
      </c>
      <c r="K35">
        <f>dataset[[#This Row],[soda_sales]]/dataset[[#This Row],[soda_units_sold]]</f>
        <v>0.76449488310990055</v>
      </c>
      <c r="L35" s="29">
        <f>dataset[[#This Row],[implied_soda_ppu]]-dataset[[#This Row],[soda_ppu]]</f>
        <v>-5.1168900994102984E-6</v>
      </c>
      <c r="M35">
        <f>dataset[[#This Row],[soda_sales]]/dataset[[#This Row],[total_sales]]</f>
        <v>4.4561196678301163E-2</v>
      </c>
      <c r="N35">
        <f>LN(dataset[[#This Row],[soda_units_sold]])</f>
        <v>12.1917252115729</v>
      </c>
      <c r="O35">
        <f>LN(dataset[[#This Row],[soda_sales]])</f>
        <v>11.923185264817663</v>
      </c>
      <c r="P35">
        <f>LN(dataset[[#This Row],[soda_ppu]])</f>
        <v>-0.26853325361302011</v>
      </c>
      <c r="Q35">
        <f>IF(dataset[[#This Row],[state]]="VA",1,0)</f>
        <v>0</v>
      </c>
    </row>
    <row r="36" spans="1:17" x14ac:dyDescent="0.35">
      <c r="A36">
        <v>202411</v>
      </c>
      <c r="B36">
        <v>2</v>
      </c>
      <c r="C36" s="2">
        <v>3822796.3887</v>
      </c>
      <c r="D36" s="2">
        <v>0.74039999999999995</v>
      </c>
      <c r="E36" s="3">
        <v>187704</v>
      </c>
      <c r="F36" s="2">
        <v>138974.4198</v>
      </c>
      <c r="G36" t="s">
        <v>132</v>
      </c>
      <c r="H36" t="s">
        <v>4</v>
      </c>
      <c r="I36">
        <f>HLOOKUP(G36,zip_tiers!$A$1:$EON$2,2,FALSE)</f>
        <v>102576</v>
      </c>
      <c r="J36" t="str">
        <f t="shared" si="0"/>
        <v>High</v>
      </c>
      <c r="K36">
        <f>dataset[[#This Row],[soda_sales]]/dataset[[#This Row],[soda_units_sold]]</f>
        <v>0.74039135980053705</v>
      </c>
      <c r="L36" s="29">
        <f>dataset[[#This Row],[implied_soda_ppu]]-dataset[[#This Row],[soda_ppu]]</f>
        <v>-8.6401994628948486E-6</v>
      </c>
      <c r="M36">
        <f>dataset[[#This Row],[soda_sales]]/dataset[[#This Row],[total_sales]]</f>
        <v>3.6354125532503279E-2</v>
      </c>
      <c r="N36">
        <f>LN(dataset[[#This Row],[soda_units_sold]])</f>
        <v>12.142621532949557</v>
      </c>
      <c r="O36">
        <f>LN(dataset[[#This Row],[soda_sales]])</f>
        <v>11.842045164961364</v>
      </c>
      <c r="P36">
        <f>LN(dataset[[#This Row],[soda_ppu]])</f>
        <v>-0.3005646982827947</v>
      </c>
      <c r="Q36">
        <f>IF(dataset[[#This Row],[state]]="VA",1,0)</f>
        <v>0</v>
      </c>
    </row>
    <row r="37" spans="1:17" x14ac:dyDescent="0.35">
      <c r="A37">
        <v>202412</v>
      </c>
      <c r="B37">
        <v>2</v>
      </c>
      <c r="C37" s="2">
        <v>4055742.8468999998</v>
      </c>
      <c r="D37" s="2">
        <v>0.76939999999999997</v>
      </c>
      <c r="E37" s="3">
        <v>182064</v>
      </c>
      <c r="F37" s="2">
        <v>140081.36970000001</v>
      </c>
      <c r="G37" t="s">
        <v>132</v>
      </c>
      <c r="H37" t="s">
        <v>4</v>
      </c>
      <c r="I37">
        <f>HLOOKUP(G37,zip_tiers!$A$1:$EON$2,2,FALSE)</f>
        <v>102576</v>
      </c>
      <c r="J37" t="str">
        <f t="shared" si="0"/>
        <v>High</v>
      </c>
      <c r="K37">
        <f>dataset[[#This Row],[soda_sales]]/dataset[[#This Row],[soda_units_sold]]</f>
        <v>0.7694072946875824</v>
      </c>
      <c r="L37" s="29">
        <f>dataset[[#This Row],[implied_soda_ppu]]-dataset[[#This Row],[soda_ppu]]</f>
        <v>7.2946875824264623E-6</v>
      </c>
      <c r="M37">
        <f>dataset[[#This Row],[soda_sales]]/dataset[[#This Row],[total_sales]]</f>
        <v>3.4539016645759722E-2</v>
      </c>
      <c r="N37">
        <f>LN(dataset[[#This Row],[soda_units_sold]])</f>
        <v>12.11211355259679</v>
      </c>
      <c r="O37">
        <f>LN(dataset[[#This Row],[soda_sales]])</f>
        <v>11.849978744895939</v>
      </c>
      <c r="P37">
        <f>LN(dataset[[#This Row],[soda_ppu]])</f>
        <v>-0.26214428866394235</v>
      </c>
      <c r="Q37">
        <f>IF(dataset[[#This Row],[state]]="VA",1,0)</f>
        <v>0</v>
      </c>
    </row>
    <row r="38" spans="1:17" x14ac:dyDescent="0.35">
      <c r="A38">
        <v>202201</v>
      </c>
      <c r="B38">
        <v>17</v>
      </c>
      <c r="C38" s="2">
        <v>2379214.1176</v>
      </c>
      <c r="D38" s="2">
        <v>0.69730000000000003</v>
      </c>
      <c r="E38" s="3">
        <v>123796</v>
      </c>
      <c r="F38" s="2">
        <v>86318.643400000001</v>
      </c>
      <c r="G38" t="s">
        <v>2257</v>
      </c>
      <c r="H38" t="s">
        <v>3</v>
      </c>
      <c r="I38">
        <f>HLOOKUP(G38,zip_tiers!$A$1:$EON$2,2,FALSE)</f>
        <v>117573.33333333333</v>
      </c>
      <c r="J38" t="str">
        <f t="shared" si="0"/>
        <v>High</v>
      </c>
      <c r="K38">
        <f>dataset[[#This Row],[soda_sales]]/dataset[[#This Row],[soda_units_sold]]</f>
        <v>0.69726520566092609</v>
      </c>
      <c r="L38" s="29">
        <f>dataset[[#This Row],[implied_soda_ppu]]-dataset[[#This Row],[soda_ppu]]</f>
        <v>-3.479433907394025E-5</v>
      </c>
      <c r="M38">
        <f>dataset[[#This Row],[soda_sales]]/dataset[[#This Row],[total_sales]]</f>
        <v>3.6280317421398277E-2</v>
      </c>
      <c r="N38">
        <f>LN(dataset[[#This Row],[soda_units_sold]])</f>
        <v>11.726390328532942</v>
      </c>
      <c r="O38">
        <f>LN(dataset[[#This Row],[soda_sales]])</f>
        <v>11.365800883867834</v>
      </c>
      <c r="P38">
        <f>LN(dataset[[#This Row],[soda_ppu]])</f>
        <v>-0.36053954475517197</v>
      </c>
      <c r="Q38">
        <f>IF(dataset[[#This Row],[state]]="VA",1,0)</f>
        <v>1</v>
      </c>
    </row>
    <row r="39" spans="1:17" x14ac:dyDescent="0.35">
      <c r="A39">
        <v>202202</v>
      </c>
      <c r="B39">
        <v>17</v>
      </c>
      <c r="C39" s="2">
        <v>2709671.4967</v>
      </c>
      <c r="D39" s="2">
        <v>0.70660000000000001</v>
      </c>
      <c r="E39" s="3">
        <v>138911</v>
      </c>
      <c r="F39" s="2">
        <v>98158.811799999996</v>
      </c>
      <c r="G39" t="s">
        <v>2257</v>
      </c>
      <c r="H39" t="s">
        <v>3</v>
      </c>
      <c r="I39">
        <f>HLOOKUP(G39,zip_tiers!$A$1:$EON$2,2,FALSE)</f>
        <v>117573.33333333333</v>
      </c>
      <c r="J39" t="str">
        <f t="shared" si="0"/>
        <v>High</v>
      </c>
      <c r="K39">
        <f>dataset[[#This Row],[soda_sales]]/dataset[[#This Row],[soda_units_sold]]</f>
        <v>0.70663094931286941</v>
      </c>
      <c r="L39" s="29">
        <f>dataset[[#This Row],[implied_soda_ppu]]-dataset[[#This Row],[soda_ppu]]</f>
        <v>3.0949312869399392E-5</v>
      </c>
      <c r="M39">
        <f>dataset[[#This Row],[soda_sales]]/dataset[[#This Row],[total_sales]]</f>
        <v>3.6225354962601063E-2</v>
      </c>
      <c r="N39">
        <f>LN(dataset[[#This Row],[soda_units_sold]])</f>
        <v>11.841588719271289</v>
      </c>
      <c r="O39">
        <f>LN(dataset[[#This Row],[soda_sales]])</f>
        <v>11.494341974584554</v>
      </c>
      <c r="P39">
        <f>LN(dataset[[#This Row],[soda_ppu]])</f>
        <v>-0.3472905440570922</v>
      </c>
      <c r="Q39">
        <f>IF(dataset[[#This Row],[state]]="VA",1,0)</f>
        <v>1</v>
      </c>
    </row>
    <row r="40" spans="1:17" x14ac:dyDescent="0.35">
      <c r="A40">
        <v>202203</v>
      </c>
      <c r="B40">
        <v>17</v>
      </c>
      <c r="C40" s="2">
        <v>2993379.3923999998</v>
      </c>
      <c r="D40" s="2">
        <v>0.69720000000000004</v>
      </c>
      <c r="E40" s="3">
        <v>167458</v>
      </c>
      <c r="F40" s="2">
        <v>116746.0049</v>
      </c>
      <c r="G40" t="s">
        <v>2257</v>
      </c>
      <c r="H40" t="s">
        <v>3</v>
      </c>
      <c r="I40">
        <f>HLOOKUP(G40,zip_tiers!$A$1:$EON$2,2,FALSE)</f>
        <v>117573.33333333333</v>
      </c>
      <c r="J40" t="str">
        <f t="shared" si="0"/>
        <v>High</v>
      </c>
      <c r="K40">
        <f>dataset[[#This Row],[soda_sales]]/dataset[[#This Row],[soda_units_sold]]</f>
        <v>0.69716588577434346</v>
      </c>
      <c r="L40" s="29">
        <f>dataset[[#This Row],[implied_soda_ppu]]-dataset[[#This Row],[soda_ppu]]</f>
        <v>-3.4114225656578512E-5</v>
      </c>
      <c r="M40">
        <f>dataset[[#This Row],[soda_sales]]/dataset[[#This Row],[total_sales]]</f>
        <v>3.9001405968254708E-2</v>
      </c>
      <c r="N40">
        <f>LN(dataset[[#This Row],[soda_units_sold]])</f>
        <v>12.0284878525365</v>
      </c>
      <c r="O40">
        <f>LN(dataset[[#This Row],[soda_sales]])</f>
        <v>11.667755955673702</v>
      </c>
      <c r="P40">
        <f>LN(dataset[[#This Row],[soda_ppu]])</f>
        <v>-0.36068296533627114</v>
      </c>
      <c r="Q40">
        <f>IF(dataset[[#This Row],[state]]="VA",1,0)</f>
        <v>1</v>
      </c>
    </row>
    <row r="41" spans="1:17" x14ac:dyDescent="0.35">
      <c r="A41">
        <v>202204</v>
      </c>
      <c r="B41">
        <v>17</v>
      </c>
      <c r="C41" s="2">
        <v>3172039.4819</v>
      </c>
      <c r="D41" s="2">
        <v>0.70960000000000001</v>
      </c>
      <c r="E41" s="3">
        <v>190987</v>
      </c>
      <c r="F41" s="2">
        <v>135517.85810000001</v>
      </c>
      <c r="G41" t="s">
        <v>2257</v>
      </c>
      <c r="H41" t="s">
        <v>3</v>
      </c>
      <c r="I41">
        <f>HLOOKUP(G41,zip_tiers!$A$1:$EON$2,2,FALSE)</f>
        <v>117573.33333333333</v>
      </c>
      <c r="J41" t="str">
        <f t="shared" si="0"/>
        <v>High</v>
      </c>
      <c r="K41">
        <f>dataset[[#This Row],[soda_sales]]/dataset[[#This Row],[soda_units_sold]]</f>
        <v>0.70956587673506577</v>
      </c>
      <c r="L41" s="29">
        <f>dataset[[#This Row],[implied_soda_ppu]]-dataset[[#This Row],[soda_ppu]]</f>
        <v>-3.4123264934238229E-5</v>
      </c>
      <c r="M41">
        <f>dataset[[#This Row],[soda_sales]]/dataset[[#This Row],[total_sales]]</f>
        <v>4.2722626522551044E-2</v>
      </c>
      <c r="N41">
        <f>LN(dataset[[#This Row],[soda_units_sold]])</f>
        <v>12.159960641885162</v>
      </c>
      <c r="O41">
        <f>LN(dataset[[#This Row],[soda_sales]])</f>
        <v>11.816858704713756</v>
      </c>
      <c r="P41">
        <f>LN(dataset[[#This Row],[soda_ppu]])</f>
        <v>-0.3430538479867673</v>
      </c>
      <c r="Q41">
        <f>IF(dataset[[#This Row],[state]]="VA",1,0)</f>
        <v>1</v>
      </c>
    </row>
    <row r="42" spans="1:17" x14ac:dyDescent="0.35">
      <c r="A42">
        <v>202205</v>
      </c>
      <c r="B42">
        <v>17</v>
      </c>
      <c r="C42" s="2">
        <v>3354540.1952999998</v>
      </c>
      <c r="D42" s="2">
        <v>0.70230000000000004</v>
      </c>
      <c r="E42" s="3">
        <v>213290</v>
      </c>
      <c r="F42" s="2">
        <v>149790.41</v>
      </c>
      <c r="G42" t="s">
        <v>2257</v>
      </c>
      <c r="H42" t="s">
        <v>3</v>
      </c>
      <c r="I42">
        <f>HLOOKUP(G42,zip_tiers!$A$1:$EON$2,2,FALSE)</f>
        <v>117573.33333333333</v>
      </c>
      <c r="J42" t="str">
        <f t="shared" si="0"/>
        <v>High</v>
      </c>
      <c r="K42">
        <f>dataset[[#This Row],[soda_sales]]/dataset[[#This Row],[soda_units_sold]]</f>
        <v>0.70228519855595672</v>
      </c>
      <c r="L42" s="29">
        <f>dataset[[#This Row],[implied_soda_ppu]]-dataset[[#This Row],[soda_ppu]]</f>
        <v>-1.4801444043310852E-5</v>
      </c>
      <c r="M42">
        <f>dataset[[#This Row],[soda_sales]]/dataset[[#This Row],[total_sales]]</f>
        <v>4.4653037757564892E-2</v>
      </c>
      <c r="N42">
        <f>LN(dataset[[#This Row],[soda_units_sold]])</f>
        <v>12.270408021035069</v>
      </c>
      <c r="O42">
        <f>LN(dataset[[#This Row],[soda_sales]])</f>
        <v>11.916992329324383</v>
      </c>
      <c r="P42">
        <f>LN(dataset[[#This Row],[soda_ppu]])</f>
        <v>-0.35339461581716225</v>
      </c>
      <c r="Q42">
        <f>IF(dataset[[#This Row],[state]]="VA",1,0)</f>
        <v>1</v>
      </c>
    </row>
    <row r="43" spans="1:17" x14ac:dyDescent="0.35">
      <c r="A43">
        <v>202206</v>
      </c>
      <c r="B43">
        <v>17</v>
      </c>
      <c r="C43" s="2">
        <v>3196073.9589</v>
      </c>
      <c r="D43" s="2">
        <v>0.68669999999999998</v>
      </c>
      <c r="E43" s="3">
        <v>224673</v>
      </c>
      <c r="F43" s="2">
        <v>154285.9356</v>
      </c>
      <c r="G43" t="s">
        <v>2257</v>
      </c>
      <c r="H43" t="s">
        <v>3</v>
      </c>
      <c r="I43">
        <f>HLOOKUP(G43,zip_tiers!$A$1:$EON$2,2,FALSE)</f>
        <v>117573.33333333333</v>
      </c>
      <c r="J43" t="str">
        <f t="shared" si="0"/>
        <v>High</v>
      </c>
      <c r="K43">
        <f>dataset[[#This Row],[soda_sales]]/dataset[[#This Row],[soda_units_sold]]</f>
        <v>0.68671329265198755</v>
      </c>
      <c r="L43" s="29">
        <f>dataset[[#This Row],[implied_soda_ppu]]-dataset[[#This Row],[soda_ppu]]</f>
        <v>1.3292651987573123E-5</v>
      </c>
      <c r="M43">
        <f>dataset[[#This Row],[soda_sales]]/dataset[[#This Row],[total_sales]]</f>
        <v>4.8273581144880937E-2</v>
      </c>
      <c r="N43">
        <f>LN(dataset[[#This Row],[soda_units_sold]])</f>
        <v>12.322401290739986</v>
      </c>
      <c r="O43">
        <f>LN(dataset[[#This Row],[soda_sales]])</f>
        <v>11.946562884488504</v>
      </c>
      <c r="P43">
        <f>LN(dataset[[#This Row],[soda_ppu]])</f>
        <v>-0.37585776335550636</v>
      </c>
      <c r="Q43">
        <f>IF(dataset[[#This Row],[state]]="VA",1,0)</f>
        <v>1</v>
      </c>
    </row>
    <row r="44" spans="1:17" x14ac:dyDescent="0.35">
      <c r="A44">
        <v>202207</v>
      </c>
      <c r="B44">
        <v>17</v>
      </c>
      <c r="C44" s="2">
        <v>3051336.6952</v>
      </c>
      <c r="D44" s="2">
        <v>0.70079999999999998</v>
      </c>
      <c r="E44" s="3">
        <v>230341</v>
      </c>
      <c r="F44" s="2">
        <v>161425.4963</v>
      </c>
      <c r="G44" t="s">
        <v>2257</v>
      </c>
      <c r="H44" t="s">
        <v>3</v>
      </c>
      <c r="I44">
        <f>HLOOKUP(G44,zip_tiers!$A$1:$EON$2,2,FALSE)</f>
        <v>117573.33333333333</v>
      </c>
      <c r="J44" t="str">
        <f t="shared" si="0"/>
        <v>High</v>
      </c>
      <c r="K44">
        <f>dataset[[#This Row],[soda_sales]]/dataset[[#This Row],[soda_units_sold]]</f>
        <v>0.70081095549641614</v>
      </c>
      <c r="L44" s="29">
        <f>dataset[[#This Row],[implied_soda_ppu]]-dataset[[#This Row],[soda_ppu]]</f>
        <v>1.0955496416165111E-5</v>
      </c>
      <c r="M44">
        <f>dataset[[#This Row],[soda_sales]]/dataset[[#This Row],[total_sales]]</f>
        <v>5.2903206831922352E-2</v>
      </c>
      <c r="N44">
        <f>LN(dataset[[#This Row],[soda_units_sold]])</f>
        <v>12.347316098621828</v>
      </c>
      <c r="O44">
        <f>LN(dataset[[#This Row],[soda_sales]])</f>
        <v>11.991798991982741</v>
      </c>
      <c r="P44">
        <f>LN(dataset[[#This Row],[soda_ppu]])</f>
        <v>-0.35553273935995539</v>
      </c>
      <c r="Q44">
        <f>IF(dataset[[#This Row],[state]]="VA",1,0)</f>
        <v>1</v>
      </c>
    </row>
    <row r="45" spans="1:17" x14ac:dyDescent="0.35">
      <c r="A45">
        <v>202208</v>
      </c>
      <c r="B45">
        <v>17</v>
      </c>
      <c r="C45" s="2">
        <v>2871065.1872</v>
      </c>
      <c r="D45" s="2">
        <v>0.65610000000000002</v>
      </c>
      <c r="E45" s="3">
        <v>207763</v>
      </c>
      <c r="F45" s="2">
        <v>136307.65890000001</v>
      </c>
      <c r="G45" t="s">
        <v>2257</v>
      </c>
      <c r="H45" t="s">
        <v>3</v>
      </c>
      <c r="I45">
        <f>HLOOKUP(G45,zip_tiers!$A$1:$EON$2,2,FALSE)</f>
        <v>117573.33333333333</v>
      </c>
      <c r="J45" t="str">
        <f t="shared" si="0"/>
        <v>High</v>
      </c>
      <c r="K45">
        <f>dataset[[#This Row],[soda_sales]]/dataset[[#This Row],[soda_units_sold]]</f>
        <v>0.65607282769309261</v>
      </c>
      <c r="L45" s="29">
        <f>dataset[[#This Row],[implied_soda_ppu]]-dataset[[#This Row],[soda_ppu]]</f>
        <v>-2.7172306907408128E-5</v>
      </c>
      <c r="M45">
        <f>dataset[[#This Row],[soda_sales]]/dataset[[#This Row],[total_sales]]</f>
        <v>4.7476337182345119E-2</v>
      </c>
      <c r="N45">
        <f>LN(dataset[[#This Row],[soda_units_sold]])</f>
        <v>12.244153285970537</v>
      </c>
      <c r="O45">
        <f>LN(dataset[[#This Row],[soda_sales]])</f>
        <v>11.822669807595304</v>
      </c>
      <c r="P45">
        <f>LN(dataset[[#This Row],[soda_ppu]])</f>
        <v>-0.42144206263130518</v>
      </c>
      <c r="Q45">
        <f>IF(dataset[[#This Row],[state]]="VA",1,0)</f>
        <v>1</v>
      </c>
    </row>
    <row r="46" spans="1:17" x14ac:dyDescent="0.35">
      <c r="A46">
        <v>202209</v>
      </c>
      <c r="B46">
        <v>17</v>
      </c>
      <c r="C46" s="2">
        <v>2891853.2061000001</v>
      </c>
      <c r="D46" s="2">
        <v>0.7026</v>
      </c>
      <c r="E46" s="3">
        <v>193170</v>
      </c>
      <c r="F46" s="2">
        <v>135725.68710000001</v>
      </c>
      <c r="G46" t="s">
        <v>2257</v>
      </c>
      <c r="H46" t="s">
        <v>3</v>
      </c>
      <c r="I46">
        <f>HLOOKUP(G46,zip_tiers!$A$1:$EON$2,2,FALSE)</f>
        <v>117573.33333333333</v>
      </c>
      <c r="J46" t="str">
        <f t="shared" si="0"/>
        <v>High</v>
      </c>
      <c r="K46">
        <f>dataset[[#This Row],[soda_sales]]/dataset[[#This Row],[soda_units_sold]]</f>
        <v>0.7026230113371642</v>
      </c>
      <c r="L46" s="29">
        <f>dataset[[#This Row],[implied_soda_ppu]]-dataset[[#This Row],[soda_ppu]]</f>
        <v>2.3011337164202672E-5</v>
      </c>
      <c r="M46">
        <f>dataset[[#This Row],[soda_sales]]/dataset[[#This Row],[total_sales]]</f>
        <v>4.6933809369612459E-2</v>
      </c>
      <c r="N46">
        <f>LN(dataset[[#This Row],[soda_units_sold]])</f>
        <v>12.171325909200339</v>
      </c>
      <c r="O46">
        <f>LN(dataset[[#This Row],[soda_sales]])</f>
        <v>11.818391121203277</v>
      </c>
      <c r="P46">
        <f>LN(dataset[[#This Row],[soda_ppu]])</f>
        <v>-0.3529675391504104</v>
      </c>
      <c r="Q46">
        <f>IF(dataset[[#This Row],[state]]="VA",1,0)</f>
        <v>1</v>
      </c>
    </row>
    <row r="47" spans="1:17" x14ac:dyDescent="0.35">
      <c r="A47">
        <v>202210</v>
      </c>
      <c r="B47">
        <v>17</v>
      </c>
      <c r="C47" s="2">
        <v>3561940.6170999999</v>
      </c>
      <c r="D47" s="2">
        <v>0.6875</v>
      </c>
      <c r="E47" s="3">
        <v>189020</v>
      </c>
      <c r="F47" s="2">
        <v>129943.8055</v>
      </c>
      <c r="G47" t="s">
        <v>2257</v>
      </c>
      <c r="H47" t="s">
        <v>3</v>
      </c>
      <c r="I47">
        <f>HLOOKUP(G47,zip_tiers!$A$1:$EON$2,2,FALSE)</f>
        <v>117573.33333333333</v>
      </c>
      <c r="J47" t="str">
        <f t="shared" si="0"/>
        <v>High</v>
      </c>
      <c r="K47">
        <f>dataset[[#This Row],[soda_sales]]/dataset[[#This Row],[soda_units_sold]]</f>
        <v>0.68746061527880653</v>
      </c>
      <c r="L47" s="29">
        <f>dataset[[#This Row],[implied_soda_ppu]]-dataset[[#This Row],[soda_ppu]]</f>
        <v>-3.9384721193469474E-5</v>
      </c>
      <c r="M47">
        <f>dataset[[#This Row],[soda_sales]]/dataset[[#This Row],[total_sales]]</f>
        <v>3.648118244200136E-2</v>
      </c>
      <c r="N47">
        <f>LN(dataset[[#This Row],[soda_units_sold]])</f>
        <v>12.149608108549048</v>
      </c>
      <c r="O47">
        <f>LN(dataset[[#This Row],[soda_sales]])</f>
        <v>11.774857370599491</v>
      </c>
      <c r="P47">
        <f>LN(dataset[[#This Row],[soda_ppu]])</f>
        <v>-0.3746934494414107</v>
      </c>
      <c r="Q47">
        <f>IF(dataset[[#This Row],[state]]="VA",1,0)</f>
        <v>1</v>
      </c>
    </row>
    <row r="48" spans="1:17" x14ac:dyDescent="0.35">
      <c r="A48">
        <v>202211</v>
      </c>
      <c r="B48">
        <v>17</v>
      </c>
      <c r="C48" s="2">
        <v>3979871.3034000001</v>
      </c>
      <c r="D48" s="2">
        <v>0.71</v>
      </c>
      <c r="E48" s="3">
        <v>170349</v>
      </c>
      <c r="F48" s="2">
        <v>120955.97719999999</v>
      </c>
      <c r="G48" t="s">
        <v>2257</v>
      </c>
      <c r="H48" t="s">
        <v>3</v>
      </c>
      <c r="I48">
        <f>HLOOKUP(G48,zip_tiers!$A$1:$EON$2,2,FALSE)</f>
        <v>117573.33333333333</v>
      </c>
      <c r="J48" t="str">
        <f t="shared" si="0"/>
        <v>High</v>
      </c>
      <c r="K48">
        <f>dataset[[#This Row],[soda_sales]]/dataset[[#This Row],[soda_units_sold]]</f>
        <v>0.71004806133291065</v>
      </c>
      <c r="L48" s="29">
        <f>dataset[[#This Row],[implied_soda_ppu]]-dataset[[#This Row],[soda_ppu]]</f>
        <v>4.8061332910687149E-5</v>
      </c>
      <c r="M48">
        <f>dataset[[#This Row],[soda_sales]]/dataset[[#This Row],[total_sales]]</f>
        <v>3.0391931793540012E-2</v>
      </c>
      <c r="N48">
        <f>LN(dataset[[#This Row],[soda_units_sold]])</f>
        <v>12.045604552804786</v>
      </c>
      <c r="O48">
        <f>LN(dataset[[#This Row],[soda_sales]])</f>
        <v>11.703181933585192</v>
      </c>
      <c r="P48">
        <f>LN(dataset[[#This Row],[soda_ppu]])</f>
        <v>-0.34249030894677601</v>
      </c>
      <c r="Q48">
        <f>IF(dataset[[#This Row],[state]]="VA",1,0)</f>
        <v>1</v>
      </c>
    </row>
    <row r="49" spans="1:17" x14ac:dyDescent="0.35">
      <c r="A49">
        <v>202212</v>
      </c>
      <c r="B49">
        <v>17</v>
      </c>
      <c r="C49" s="2">
        <v>4166351.3262999998</v>
      </c>
      <c r="D49" s="2">
        <v>0.68830000000000002</v>
      </c>
      <c r="E49" s="3">
        <v>170253</v>
      </c>
      <c r="F49" s="2">
        <v>117187.019</v>
      </c>
      <c r="G49" t="s">
        <v>2257</v>
      </c>
      <c r="H49" t="s">
        <v>3</v>
      </c>
      <c r="I49">
        <f>HLOOKUP(G49,zip_tiers!$A$1:$EON$2,2,FALSE)</f>
        <v>117573.33333333333</v>
      </c>
      <c r="J49" t="str">
        <f t="shared" si="0"/>
        <v>High</v>
      </c>
      <c r="K49">
        <f>dataset[[#This Row],[soda_sales]]/dataset[[#This Row],[soda_units_sold]]</f>
        <v>0.68831103710360464</v>
      </c>
      <c r="L49" s="29">
        <f>dataset[[#This Row],[implied_soda_ppu]]-dataset[[#This Row],[soda_ppu]]</f>
        <v>1.1037103604616405E-5</v>
      </c>
      <c r="M49">
        <f>dataset[[#This Row],[soda_sales]]/dataset[[#This Row],[total_sales]]</f>
        <v>2.8127013259841904E-2</v>
      </c>
      <c r="N49">
        <f>LN(dataset[[#This Row],[soda_units_sold]])</f>
        <v>12.045040845001882</v>
      </c>
      <c r="O49">
        <f>LN(dataset[[#This Row],[soda_sales]])</f>
        <v>11.671526390605109</v>
      </c>
      <c r="P49">
        <f>LN(dataset[[#This Row],[soda_ppu]])</f>
        <v>-0.37353048957781854</v>
      </c>
      <c r="Q49">
        <f>IF(dataset[[#This Row],[state]]="VA",1,0)</f>
        <v>1</v>
      </c>
    </row>
    <row r="50" spans="1:17" x14ac:dyDescent="0.35">
      <c r="A50">
        <v>202301</v>
      </c>
      <c r="B50">
        <v>17</v>
      </c>
      <c r="C50" s="2">
        <v>2376399.4194</v>
      </c>
      <c r="D50" s="2">
        <v>0.71579999999999999</v>
      </c>
      <c r="E50" s="3">
        <v>121442</v>
      </c>
      <c r="F50" s="2">
        <v>86929.624299999996</v>
      </c>
      <c r="G50" t="s">
        <v>2257</v>
      </c>
      <c r="H50" t="s">
        <v>3</v>
      </c>
      <c r="I50">
        <f>HLOOKUP(G50,zip_tiers!$A$1:$EON$2,2,FALSE)</f>
        <v>117573.33333333333</v>
      </c>
      <c r="J50" t="str">
        <f t="shared" si="0"/>
        <v>High</v>
      </c>
      <c r="K50">
        <f>dataset[[#This Row],[soda_sales]]/dataset[[#This Row],[soda_units_sold]]</f>
        <v>0.71581186327629642</v>
      </c>
      <c r="L50" s="29">
        <f>dataset[[#This Row],[implied_soda_ppu]]-dataset[[#This Row],[soda_ppu]]</f>
        <v>1.1863276296431025E-5</v>
      </c>
      <c r="M50">
        <f>dataset[[#This Row],[soda_sales]]/dataset[[#This Row],[total_sales]]</f>
        <v>3.658039283730688E-2</v>
      </c>
      <c r="N50">
        <f>LN(dataset[[#This Row],[soda_units_sold]])</f>
        <v>11.707192061532051</v>
      </c>
      <c r="O50">
        <f>LN(dataset[[#This Row],[soda_sales]])</f>
        <v>11.372854154195601</v>
      </c>
      <c r="P50">
        <f>LN(dataset[[#This Row],[soda_ppu]])</f>
        <v>-0.33435448065021162</v>
      </c>
      <c r="Q50">
        <f>IF(dataset[[#This Row],[state]]="VA",1,0)</f>
        <v>1</v>
      </c>
    </row>
    <row r="51" spans="1:17" x14ac:dyDescent="0.35">
      <c r="A51">
        <v>202302</v>
      </c>
      <c r="B51">
        <v>17</v>
      </c>
      <c r="C51" s="2">
        <v>2739010.6444999999</v>
      </c>
      <c r="D51" s="2">
        <v>0.70709999999999995</v>
      </c>
      <c r="E51" s="3">
        <v>142546</v>
      </c>
      <c r="F51" s="2">
        <v>100795.7264</v>
      </c>
      <c r="G51" t="s">
        <v>2257</v>
      </c>
      <c r="H51" t="s">
        <v>3</v>
      </c>
      <c r="I51">
        <f>HLOOKUP(G51,zip_tiers!$A$1:$EON$2,2,FALSE)</f>
        <v>117573.33333333333</v>
      </c>
      <c r="J51" t="str">
        <f t="shared" si="0"/>
        <v>High</v>
      </c>
      <c r="K51">
        <f>dataset[[#This Row],[soda_sales]]/dataset[[#This Row],[soda_units_sold]]</f>
        <v>0.70711017075189764</v>
      </c>
      <c r="L51" s="29">
        <f>dataset[[#This Row],[implied_soda_ppu]]-dataset[[#This Row],[soda_ppu]]</f>
        <v>1.0170751897686792E-5</v>
      </c>
      <c r="M51">
        <f>dataset[[#This Row],[soda_sales]]/dataset[[#This Row],[total_sales]]</f>
        <v>3.6800049171915511E-2</v>
      </c>
      <c r="N51">
        <f>LN(dataset[[#This Row],[soda_units_sold]])</f>
        <v>11.86742003361741</v>
      </c>
      <c r="O51">
        <f>LN(dataset[[#This Row],[soda_sales]])</f>
        <v>11.520851236895238</v>
      </c>
      <c r="P51">
        <f>LN(dataset[[#This Row],[soda_ppu]])</f>
        <v>-0.34658318037194202</v>
      </c>
      <c r="Q51">
        <f>IF(dataset[[#This Row],[state]]="VA",1,0)</f>
        <v>1</v>
      </c>
    </row>
    <row r="52" spans="1:17" x14ac:dyDescent="0.35">
      <c r="A52">
        <v>202303</v>
      </c>
      <c r="B52">
        <v>17</v>
      </c>
      <c r="C52" s="2">
        <v>3076601.94</v>
      </c>
      <c r="D52" s="2">
        <v>0.72319999999999995</v>
      </c>
      <c r="E52" s="3">
        <v>164195</v>
      </c>
      <c r="F52" s="2">
        <v>118742.587</v>
      </c>
      <c r="G52" t="s">
        <v>2257</v>
      </c>
      <c r="H52" t="s">
        <v>3</v>
      </c>
      <c r="I52">
        <f>HLOOKUP(G52,zip_tiers!$A$1:$EON$2,2,FALSE)</f>
        <v>117573.33333333333</v>
      </c>
      <c r="J52" t="str">
        <f t="shared" si="0"/>
        <v>High</v>
      </c>
      <c r="K52">
        <f>dataset[[#This Row],[soda_sales]]/dataset[[#This Row],[soda_units_sold]]</f>
        <v>0.72318028563598158</v>
      </c>
      <c r="L52" s="29">
        <f>dataset[[#This Row],[implied_soda_ppu]]-dataset[[#This Row],[soda_ppu]]</f>
        <v>-1.9714364018375008E-5</v>
      </c>
      <c r="M52">
        <f>dataset[[#This Row],[soda_sales]]/dataset[[#This Row],[total_sales]]</f>
        <v>3.8595368954360082E-2</v>
      </c>
      <c r="N52">
        <f>LN(dataset[[#This Row],[soda_units_sold]])</f>
        <v>12.00881002486692</v>
      </c>
      <c r="O52">
        <f>LN(dataset[[#This Row],[soda_sales]])</f>
        <v>11.684713294685192</v>
      </c>
      <c r="P52">
        <f>LN(dataset[[#This Row],[soda_ppu]])</f>
        <v>-0.32406946990417035</v>
      </c>
      <c r="Q52">
        <f>IF(dataset[[#This Row],[state]]="VA",1,0)</f>
        <v>1</v>
      </c>
    </row>
    <row r="53" spans="1:17" x14ac:dyDescent="0.35">
      <c r="A53">
        <v>202304</v>
      </c>
      <c r="B53">
        <v>17</v>
      </c>
      <c r="C53" s="2">
        <v>3169512.3966000001</v>
      </c>
      <c r="D53" s="2">
        <v>0.71789999999999998</v>
      </c>
      <c r="E53" s="3">
        <v>186354</v>
      </c>
      <c r="F53" s="2">
        <v>133782.97010000001</v>
      </c>
      <c r="G53" t="s">
        <v>2257</v>
      </c>
      <c r="H53" t="s">
        <v>3</v>
      </c>
      <c r="I53">
        <f>HLOOKUP(G53,zip_tiers!$A$1:$EON$2,2,FALSE)</f>
        <v>117573.33333333333</v>
      </c>
      <c r="J53" t="str">
        <f t="shared" si="0"/>
        <v>High</v>
      </c>
      <c r="K53">
        <f>dataset[[#This Row],[soda_sales]]/dataset[[#This Row],[soda_units_sold]]</f>
        <v>0.71789696008671666</v>
      </c>
      <c r="L53" s="29">
        <f>dataset[[#This Row],[implied_soda_ppu]]-dataset[[#This Row],[soda_ppu]]</f>
        <v>-3.0399132833203169E-6</v>
      </c>
      <c r="M53">
        <f>dataset[[#This Row],[soda_sales]]/dataset[[#This Row],[total_sales]]</f>
        <v>4.2209322242598483E-2</v>
      </c>
      <c r="N53">
        <f>LN(dataset[[#This Row],[soda_units_sold]])</f>
        <v>12.135403369662278</v>
      </c>
      <c r="O53">
        <f>LN(dataset[[#This Row],[soda_sales]])</f>
        <v>11.803974139801344</v>
      </c>
      <c r="P53">
        <f>LN(dataset[[#This Row],[soda_ppu]])</f>
        <v>-0.33142499539969977</v>
      </c>
      <c r="Q53">
        <f>IF(dataset[[#This Row],[state]]="VA",1,0)</f>
        <v>1</v>
      </c>
    </row>
    <row r="54" spans="1:17" x14ac:dyDescent="0.35">
      <c r="A54">
        <v>202305</v>
      </c>
      <c r="B54">
        <v>17</v>
      </c>
      <c r="C54" s="2">
        <v>3343420.4150999999</v>
      </c>
      <c r="D54" s="2">
        <v>0.69189999999999996</v>
      </c>
      <c r="E54" s="3">
        <v>213840</v>
      </c>
      <c r="F54" s="2">
        <v>147954.81049999999</v>
      </c>
      <c r="G54" t="s">
        <v>2257</v>
      </c>
      <c r="H54" t="s">
        <v>3</v>
      </c>
      <c r="I54">
        <f>HLOOKUP(G54,zip_tiers!$A$1:$EON$2,2,FALSE)</f>
        <v>117573.33333333333</v>
      </c>
      <c r="J54" t="str">
        <f t="shared" si="0"/>
        <v>High</v>
      </c>
      <c r="K54">
        <f>dataset[[#This Row],[soda_sales]]/dataset[[#This Row],[soda_units_sold]]</f>
        <v>0.6918949237747849</v>
      </c>
      <c r="L54" s="29">
        <f>dataset[[#This Row],[implied_soda_ppu]]-dataset[[#This Row],[soda_ppu]]</f>
        <v>-5.0762252150615694E-6</v>
      </c>
      <c r="M54">
        <f>dataset[[#This Row],[soda_sales]]/dataset[[#This Row],[total_sales]]</f>
        <v>4.4252529485010857E-2</v>
      </c>
      <c r="N54">
        <f>LN(dataset[[#This Row],[soda_units_sold]])</f>
        <v>12.272983350812801</v>
      </c>
      <c r="O54">
        <f>LN(dataset[[#This Row],[soda_sales]])</f>
        <v>11.904662171662736</v>
      </c>
      <c r="P54">
        <f>LN(dataset[[#This Row],[soda_ppu]])</f>
        <v>-0.3683138424773717</v>
      </c>
      <c r="Q54">
        <f>IF(dataset[[#This Row],[state]]="VA",1,0)</f>
        <v>1</v>
      </c>
    </row>
    <row r="55" spans="1:17" x14ac:dyDescent="0.35">
      <c r="A55">
        <v>202306</v>
      </c>
      <c r="B55">
        <v>17</v>
      </c>
      <c r="C55" s="2">
        <v>3202065.3410999998</v>
      </c>
      <c r="D55" s="2">
        <v>0.73250000000000004</v>
      </c>
      <c r="E55" s="3">
        <v>216526</v>
      </c>
      <c r="F55" s="2">
        <v>158611.60209999999</v>
      </c>
      <c r="G55" t="s">
        <v>2257</v>
      </c>
      <c r="H55" t="s">
        <v>3</v>
      </c>
      <c r="I55">
        <f>HLOOKUP(G55,zip_tiers!$A$1:$EON$2,2,FALSE)</f>
        <v>117573.33333333333</v>
      </c>
      <c r="J55" t="str">
        <f t="shared" si="0"/>
        <v>High</v>
      </c>
      <c r="K55">
        <f>dataset[[#This Row],[soda_sales]]/dataset[[#This Row],[soda_units_sold]]</f>
        <v>0.73252912860349328</v>
      </c>
      <c r="L55" s="29">
        <f>dataset[[#This Row],[implied_soda_ppu]]-dataset[[#This Row],[soda_ppu]]</f>
        <v>2.9128603493244754E-5</v>
      </c>
      <c r="M55">
        <f>dataset[[#This Row],[soda_sales]]/dataset[[#This Row],[total_sales]]</f>
        <v>4.9534155366583628E-2</v>
      </c>
      <c r="N55">
        <f>LN(dataset[[#This Row],[soda_units_sold]])</f>
        <v>12.285465911592922</v>
      </c>
      <c r="O55">
        <f>LN(dataset[[#This Row],[soda_sales]])</f>
        <v>11.974213738722955</v>
      </c>
      <c r="P55">
        <f>LN(dataset[[#This Row],[soda_ppu]])</f>
        <v>-0.3112919380909146</v>
      </c>
      <c r="Q55">
        <f>IF(dataset[[#This Row],[state]]="VA",1,0)</f>
        <v>1</v>
      </c>
    </row>
    <row r="56" spans="1:17" x14ac:dyDescent="0.35">
      <c r="A56">
        <v>202307</v>
      </c>
      <c r="B56">
        <v>17</v>
      </c>
      <c r="C56" s="2">
        <v>3086810.1598</v>
      </c>
      <c r="D56" s="2">
        <v>0.70879999999999999</v>
      </c>
      <c r="E56" s="3">
        <v>229653</v>
      </c>
      <c r="F56" s="2">
        <v>162780.09899999999</v>
      </c>
      <c r="G56" t="s">
        <v>2257</v>
      </c>
      <c r="H56" t="s">
        <v>3</v>
      </c>
      <c r="I56">
        <f>HLOOKUP(G56,zip_tiers!$A$1:$EON$2,2,FALSE)</f>
        <v>117573.33333333333</v>
      </c>
      <c r="J56" t="str">
        <f t="shared" si="0"/>
        <v>High</v>
      </c>
      <c r="K56">
        <f>dataset[[#This Row],[soda_sales]]/dataset[[#This Row],[soda_units_sold]]</f>
        <v>0.70880893783229471</v>
      </c>
      <c r="L56" s="29">
        <f>dataset[[#This Row],[implied_soda_ppu]]-dataset[[#This Row],[soda_ppu]]</f>
        <v>8.937832294719783E-6</v>
      </c>
      <c r="M56">
        <f>dataset[[#This Row],[soda_sales]]/dataset[[#This Row],[total_sales]]</f>
        <v>5.2734081648398747E-2</v>
      </c>
      <c r="N56">
        <f>LN(dataset[[#This Row],[soda_units_sold]])</f>
        <v>12.344324753025898</v>
      </c>
      <c r="O56">
        <f>LN(dataset[[#This Row],[soda_sales]])</f>
        <v>12.00015548306367</v>
      </c>
      <c r="P56">
        <f>LN(dataset[[#This Row],[soda_ppu]])</f>
        <v>-0.3441818796912659</v>
      </c>
      <c r="Q56">
        <f>IF(dataset[[#This Row],[state]]="VA",1,0)</f>
        <v>1</v>
      </c>
    </row>
    <row r="57" spans="1:17" x14ac:dyDescent="0.35">
      <c r="A57">
        <v>202308</v>
      </c>
      <c r="B57">
        <v>17</v>
      </c>
      <c r="C57" s="2">
        <v>2917539.2425000002</v>
      </c>
      <c r="D57" s="2">
        <v>0.7208</v>
      </c>
      <c r="E57" s="3">
        <v>196654</v>
      </c>
      <c r="F57" s="2">
        <v>141739.11069999999</v>
      </c>
      <c r="G57" t="s">
        <v>2257</v>
      </c>
      <c r="H57" t="s">
        <v>3</v>
      </c>
      <c r="I57">
        <f>HLOOKUP(G57,zip_tiers!$A$1:$EON$2,2,FALSE)</f>
        <v>117573.33333333333</v>
      </c>
      <c r="J57" t="str">
        <f t="shared" si="0"/>
        <v>High</v>
      </c>
      <c r="K57">
        <f>dataset[[#This Row],[soda_sales]]/dataset[[#This Row],[soda_units_sold]]</f>
        <v>0.7207537639712388</v>
      </c>
      <c r="L57" s="29">
        <f>dataset[[#This Row],[implied_soda_ppu]]-dataset[[#This Row],[soda_ppu]]</f>
        <v>-4.6236028761192927E-5</v>
      </c>
      <c r="M57">
        <f>dataset[[#This Row],[soda_sales]]/dataset[[#This Row],[total_sales]]</f>
        <v>4.8581732384358832E-2</v>
      </c>
      <c r="N57">
        <f>LN(dataset[[#This Row],[soda_units_sold]])</f>
        <v>12.189201118359925</v>
      </c>
      <c r="O57">
        <f>LN(dataset[[#This Row],[soda_sales]])</f>
        <v>11.861743398180602</v>
      </c>
      <c r="P57">
        <f>LN(dataset[[#This Row],[soda_ppu]])</f>
        <v>-0.32739357268800889</v>
      </c>
      <c r="Q57">
        <f>IF(dataset[[#This Row],[state]]="VA",1,0)</f>
        <v>1</v>
      </c>
    </row>
    <row r="58" spans="1:17" x14ac:dyDescent="0.35">
      <c r="A58">
        <v>202309</v>
      </c>
      <c r="B58">
        <v>17</v>
      </c>
      <c r="C58" s="2">
        <v>2916758.7538000001</v>
      </c>
      <c r="D58" s="2">
        <v>0.71150000000000002</v>
      </c>
      <c r="E58" s="3">
        <v>190854</v>
      </c>
      <c r="F58" s="2">
        <v>135798.57149999999</v>
      </c>
      <c r="G58" t="s">
        <v>2257</v>
      </c>
      <c r="H58" t="s">
        <v>3</v>
      </c>
      <c r="I58">
        <f>HLOOKUP(G58,zip_tiers!$A$1:$EON$2,2,FALSE)</f>
        <v>117573.33333333333</v>
      </c>
      <c r="J58" t="str">
        <f t="shared" si="0"/>
        <v>High</v>
      </c>
      <c r="K58">
        <f>dataset[[#This Row],[soda_sales]]/dataset[[#This Row],[soda_units_sold]]</f>
        <v>0.71153117828287582</v>
      </c>
      <c r="L58" s="29">
        <f>dataset[[#This Row],[implied_soda_ppu]]-dataset[[#This Row],[soda_ppu]]</f>
        <v>3.1178282875798935E-5</v>
      </c>
      <c r="M58">
        <f>dataset[[#This Row],[soda_sales]]/dataset[[#This Row],[total_sales]]</f>
        <v>4.6558040264070323E-2</v>
      </c>
      <c r="N58">
        <f>LN(dataset[[#This Row],[soda_units_sold]])</f>
        <v>12.159264016821963</v>
      </c>
      <c r="O58">
        <f>LN(dataset[[#This Row],[soda_sales]])</f>
        <v>11.818927974905604</v>
      </c>
      <c r="P58">
        <f>LN(dataset[[#This Row],[soda_ppu]])</f>
        <v>-0.34037986145222998</v>
      </c>
      <c r="Q58">
        <f>IF(dataset[[#This Row],[state]]="VA",1,0)</f>
        <v>1</v>
      </c>
    </row>
    <row r="59" spans="1:17" x14ac:dyDescent="0.35">
      <c r="A59">
        <v>202310</v>
      </c>
      <c r="B59">
        <v>17</v>
      </c>
      <c r="C59" s="2">
        <v>3572256.1754000001</v>
      </c>
      <c r="D59" s="2">
        <v>0.72270000000000001</v>
      </c>
      <c r="E59" s="3">
        <v>183488</v>
      </c>
      <c r="F59" s="2">
        <v>132608.11259999999</v>
      </c>
      <c r="G59" t="s">
        <v>2257</v>
      </c>
      <c r="H59" t="s">
        <v>3</v>
      </c>
      <c r="I59">
        <f>HLOOKUP(G59,zip_tiers!$A$1:$EON$2,2,FALSE)</f>
        <v>117573.33333333333</v>
      </c>
      <c r="J59" t="str">
        <f t="shared" si="0"/>
        <v>High</v>
      </c>
      <c r="K59">
        <f>dataset[[#This Row],[soda_sales]]/dataset[[#This Row],[soda_units_sold]]</f>
        <v>0.72270727568015347</v>
      </c>
      <c r="L59" s="29">
        <f>dataset[[#This Row],[implied_soda_ppu]]-dataset[[#This Row],[soda_ppu]]</f>
        <v>7.2756801534623605E-6</v>
      </c>
      <c r="M59">
        <f>dataset[[#This Row],[soda_sales]]/dataset[[#This Row],[total_sales]]</f>
        <v>3.7121669356524049E-2</v>
      </c>
      <c r="N59">
        <f>LN(dataset[[#This Row],[soda_units_sold]])</f>
        <v>12.119904549243042</v>
      </c>
      <c r="O59">
        <f>LN(dataset[[#This Row],[soda_sales]])</f>
        <v>11.795153535857894</v>
      </c>
      <c r="P59">
        <f>LN(dataset[[#This Row],[soda_ppu]])</f>
        <v>-0.32476108069320164</v>
      </c>
      <c r="Q59">
        <f>IF(dataset[[#This Row],[state]]="VA",1,0)</f>
        <v>1</v>
      </c>
    </row>
    <row r="60" spans="1:17" x14ac:dyDescent="0.35">
      <c r="A60">
        <v>202311</v>
      </c>
      <c r="B60">
        <v>17</v>
      </c>
      <c r="C60" s="2">
        <v>4027064.9493999998</v>
      </c>
      <c r="D60" s="2">
        <v>0.71660000000000001</v>
      </c>
      <c r="E60" s="3">
        <v>167566</v>
      </c>
      <c r="F60" s="2">
        <v>120079.698</v>
      </c>
      <c r="G60" t="s">
        <v>2257</v>
      </c>
      <c r="H60" t="s">
        <v>3</v>
      </c>
      <c r="I60">
        <f>HLOOKUP(G60,zip_tiers!$A$1:$EON$2,2,FALSE)</f>
        <v>117573.33333333333</v>
      </c>
      <c r="J60" t="str">
        <f t="shared" si="0"/>
        <v>High</v>
      </c>
      <c r="K60">
        <f>dataset[[#This Row],[soda_sales]]/dataset[[#This Row],[soda_units_sold]]</f>
        <v>0.71661135313846491</v>
      </c>
      <c r="L60" s="29">
        <f>dataset[[#This Row],[implied_soda_ppu]]-dataset[[#This Row],[soda_ppu]]</f>
        <v>1.1353138464897938E-5</v>
      </c>
      <c r="M60">
        <f>dataset[[#This Row],[soda_sales]]/dataset[[#This Row],[total_sales]]</f>
        <v>2.98181676999997E-2</v>
      </c>
      <c r="N60">
        <f>LN(dataset[[#This Row],[soda_units_sold]])</f>
        <v>12.029132582488629</v>
      </c>
      <c r="O60">
        <f>LN(dataset[[#This Row],[soda_sales]])</f>
        <v>11.695910951314174</v>
      </c>
      <c r="P60">
        <f>LN(dataset[[#This Row],[soda_ppu]])</f>
        <v>-0.33323747411128357</v>
      </c>
      <c r="Q60">
        <f>IF(dataset[[#This Row],[state]]="VA",1,0)</f>
        <v>1</v>
      </c>
    </row>
    <row r="61" spans="1:17" x14ac:dyDescent="0.35">
      <c r="A61">
        <v>202312</v>
      </c>
      <c r="B61">
        <v>17</v>
      </c>
      <c r="C61" s="2">
        <v>4277422.9247000003</v>
      </c>
      <c r="D61" s="2">
        <v>0.7177</v>
      </c>
      <c r="E61" s="3">
        <v>169020</v>
      </c>
      <c r="F61" s="2">
        <v>121313.4262</v>
      </c>
      <c r="G61" t="s">
        <v>2257</v>
      </c>
      <c r="H61" t="s">
        <v>3</v>
      </c>
      <c r="I61">
        <f>HLOOKUP(G61,zip_tiers!$A$1:$EON$2,2,FALSE)</f>
        <v>117573.33333333333</v>
      </c>
      <c r="J61" t="str">
        <f t="shared" si="0"/>
        <v>High</v>
      </c>
      <c r="K61">
        <f>dataset[[#This Row],[soda_sales]]/dataset[[#This Row],[soda_units_sold]]</f>
        <v>0.71774598390722988</v>
      </c>
      <c r="L61" s="29">
        <f>dataset[[#This Row],[implied_soda_ppu]]-dataset[[#This Row],[soda_ppu]]</f>
        <v>4.5983907229873999E-5</v>
      </c>
      <c r="M61">
        <f>dataset[[#This Row],[soda_sales]]/dataset[[#This Row],[total_sales]]</f>
        <v>2.8361335396477866E-2</v>
      </c>
      <c r="N61">
        <f>LN(dataset[[#This Row],[soda_units_sold]])</f>
        <v>12.037772330098473</v>
      </c>
      <c r="O61">
        <f>LN(dataset[[#This Row],[soda_sales]])</f>
        <v>11.70613277470963</v>
      </c>
      <c r="P61">
        <f>LN(dataset[[#This Row],[soda_ppu]])</f>
        <v>-0.33170362454611085</v>
      </c>
      <c r="Q61">
        <f>IF(dataset[[#This Row],[state]]="VA",1,0)</f>
        <v>1</v>
      </c>
    </row>
    <row r="62" spans="1:17" x14ac:dyDescent="0.35">
      <c r="A62">
        <v>202401</v>
      </c>
      <c r="B62">
        <v>17</v>
      </c>
      <c r="C62" s="2">
        <v>2413900.3254999998</v>
      </c>
      <c r="D62" s="2">
        <v>0.71360000000000001</v>
      </c>
      <c r="E62" s="3">
        <v>123719</v>
      </c>
      <c r="F62" s="2">
        <v>88284.920400000003</v>
      </c>
      <c r="G62" t="s">
        <v>2257</v>
      </c>
      <c r="H62" t="s">
        <v>3</v>
      </c>
      <c r="I62">
        <f>HLOOKUP(G62,zip_tiers!$A$1:$EON$2,2,FALSE)</f>
        <v>117573.33333333333</v>
      </c>
      <c r="J62" t="str">
        <f t="shared" si="0"/>
        <v>High</v>
      </c>
      <c r="K62">
        <f>dataset[[#This Row],[soda_sales]]/dataset[[#This Row],[soda_units_sold]]</f>
        <v>0.71359225664610937</v>
      </c>
      <c r="L62" s="29">
        <f>dataset[[#This Row],[implied_soda_ppu]]-dataset[[#This Row],[soda_ppu]]</f>
        <v>-7.7433538906435118E-6</v>
      </c>
      <c r="M62">
        <f>dataset[[#This Row],[soda_sales]]/dataset[[#This Row],[total_sales]]</f>
        <v>3.6573556690545302E-2</v>
      </c>
      <c r="N62">
        <f>LN(dataset[[#This Row],[soda_units_sold]])</f>
        <v>11.725768143998801</v>
      </c>
      <c r="O62">
        <f>LN(dataset[[#This Row],[soda_sales]])</f>
        <v>11.388324595111074</v>
      </c>
      <c r="P62">
        <f>LN(dataset[[#This Row],[soda_ppu]])</f>
        <v>-0.33743269771633744</v>
      </c>
      <c r="Q62">
        <f>IF(dataset[[#This Row],[state]]="VA",1,0)</f>
        <v>1</v>
      </c>
    </row>
    <row r="63" spans="1:17" x14ac:dyDescent="0.35">
      <c r="A63">
        <v>202402</v>
      </c>
      <c r="B63">
        <v>17</v>
      </c>
      <c r="C63" s="2">
        <v>2767434.4361</v>
      </c>
      <c r="D63" s="2">
        <v>0.72350000000000003</v>
      </c>
      <c r="E63" s="3">
        <v>138571</v>
      </c>
      <c r="F63" s="2">
        <v>100249.7988</v>
      </c>
      <c r="G63" t="s">
        <v>2257</v>
      </c>
      <c r="H63" t="s">
        <v>3</v>
      </c>
      <c r="I63">
        <f>HLOOKUP(G63,zip_tiers!$A$1:$EON$2,2,FALSE)</f>
        <v>117573.33333333333</v>
      </c>
      <c r="J63" t="str">
        <f t="shared" si="0"/>
        <v>High</v>
      </c>
      <c r="K63">
        <f>dataset[[#This Row],[soda_sales]]/dataset[[#This Row],[soda_units_sold]]</f>
        <v>0.72345439377647558</v>
      </c>
      <c r="L63" s="29">
        <f>dataset[[#This Row],[implied_soda_ppu]]-dataset[[#This Row],[soda_ppu]]</f>
        <v>-4.5606223524452538E-5</v>
      </c>
      <c r="M63">
        <f>dataset[[#This Row],[soda_sales]]/dataset[[#This Row],[total_sales]]</f>
        <v>3.6224814395703187E-2</v>
      </c>
      <c r="N63">
        <f>LN(dataset[[#This Row],[soda_units_sold]])</f>
        <v>11.839138108635964</v>
      </c>
      <c r="O63">
        <f>LN(dataset[[#This Row],[soda_sales]])</f>
        <v>11.515420338184258</v>
      </c>
      <c r="P63">
        <f>LN(dataset[[#This Row],[soda_ppu]])</f>
        <v>-0.32365473291059843</v>
      </c>
      <c r="Q63">
        <f>IF(dataset[[#This Row],[state]]="VA",1,0)</f>
        <v>1</v>
      </c>
    </row>
    <row r="64" spans="1:17" x14ac:dyDescent="0.35">
      <c r="A64">
        <v>202403</v>
      </c>
      <c r="B64">
        <v>17</v>
      </c>
      <c r="C64" s="2">
        <v>3096545.82</v>
      </c>
      <c r="D64" s="2">
        <v>0.7208</v>
      </c>
      <c r="E64" s="3">
        <v>162913</v>
      </c>
      <c r="F64" s="2">
        <v>117435.6581</v>
      </c>
      <c r="G64" t="s">
        <v>2257</v>
      </c>
      <c r="H64" t="s">
        <v>3</v>
      </c>
      <c r="I64">
        <f>HLOOKUP(G64,zip_tiers!$A$1:$EON$2,2,FALSE)</f>
        <v>117573.33333333333</v>
      </c>
      <c r="J64" t="str">
        <f t="shared" si="0"/>
        <v>High</v>
      </c>
      <c r="K64">
        <f>dataset[[#This Row],[soda_sales]]/dataset[[#This Row],[soda_units_sold]]</f>
        <v>0.7208489076992014</v>
      </c>
      <c r="L64" s="29">
        <f>dataset[[#This Row],[implied_soda_ppu]]-dataset[[#This Row],[soda_ppu]]</f>
        <v>4.8907699201405919E-5</v>
      </c>
      <c r="M64">
        <f>dataset[[#This Row],[soda_sales]]/dataset[[#This Row],[total_sales]]</f>
        <v>3.7924728044230915E-2</v>
      </c>
      <c r="N64">
        <f>LN(dataset[[#This Row],[soda_units_sold]])</f>
        <v>12.000971594966469</v>
      </c>
      <c r="O64">
        <f>LN(dataset[[#This Row],[soda_sales]])</f>
        <v>11.673645871945544</v>
      </c>
      <c r="P64">
        <f>LN(dataset[[#This Row],[soda_ppu]])</f>
        <v>-0.32739357268800889</v>
      </c>
      <c r="Q64">
        <f>IF(dataset[[#This Row],[state]]="VA",1,0)</f>
        <v>1</v>
      </c>
    </row>
    <row r="65" spans="1:17" x14ac:dyDescent="0.35">
      <c r="A65">
        <v>202404</v>
      </c>
      <c r="B65">
        <v>17</v>
      </c>
      <c r="C65" s="2">
        <v>3212016.1264999998</v>
      </c>
      <c r="D65" s="2">
        <v>0.7258</v>
      </c>
      <c r="E65" s="3">
        <v>190022</v>
      </c>
      <c r="F65" s="2">
        <v>137913.3021</v>
      </c>
      <c r="G65" t="s">
        <v>2257</v>
      </c>
      <c r="H65" t="s">
        <v>3</v>
      </c>
      <c r="I65">
        <f>HLOOKUP(G65,zip_tiers!$A$1:$EON$2,2,FALSE)</f>
        <v>117573.33333333333</v>
      </c>
      <c r="J65" t="str">
        <f t="shared" si="0"/>
        <v>High</v>
      </c>
      <c r="K65">
        <f>dataset[[#This Row],[soda_sales]]/dataset[[#This Row],[soda_units_sold]]</f>
        <v>0.72577544757975387</v>
      </c>
      <c r="L65" s="29">
        <f>dataset[[#This Row],[implied_soda_ppu]]-dataset[[#This Row],[soda_ppu]]</f>
        <v>-2.4552420246126694E-5</v>
      </c>
      <c r="M65">
        <f>dataset[[#This Row],[soda_sales]]/dataset[[#This Row],[total_sales]]</f>
        <v>4.2936677983082976E-2</v>
      </c>
      <c r="N65">
        <f>LN(dataset[[#This Row],[soda_units_sold]])</f>
        <v>12.154895133913223</v>
      </c>
      <c r="O65">
        <f>LN(dataset[[#This Row],[soda_sales]])</f>
        <v>11.834380521058174</v>
      </c>
      <c r="P65">
        <f>LN(dataset[[#This Row],[soda_ppu]])</f>
        <v>-0.32048078420316711</v>
      </c>
      <c r="Q65">
        <f>IF(dataset[[#This Row],[state]]="VA",1,0)</f>
        <v>1</v>
      </c>
    </row>
    <row r="66" spans="1:17" x14ac:dyDescent="0.35">
      <c r="A66">
        <v>202405</v>
      </c>
      <c r="B66">
        <v>17</v>
      </c>
      <c r="C66" s="2">
        <v>3482617.8336</v>
      </c>
      <c r="D66" s="2">
        <v>0.73529999999999995</v>
      </c>
      <c r="E66" s="3">
        <v>213746</v>
      </c>
      <c r="F66" s="2">
        <v>157162.1433</v>
      </c>
      <c r="G66" t="s">
        <v>2257</v>
      </c>
      <c r="H66" t="s">
        <v>3</v>
      </c>
      <c r="I66">
        <f>HLOOKUP(G66,zip_tiers!$A$1:$EON$2,2,FALSE)</f>
        <v>117573.33333333333</v>
      </c>
      <c r="J66" t="str">
        <f t="shared" ref="J66:J129" si="1">IF(I66="","No Data",IF(I66&gt;=100000,"High",IF(I66&gt;=40000,"Med","Low")))</f>
        <v>High</v>
      </c>
      <c r="K66">
        <f>dataset[[#This Row],[soda_sales]]/dataset[[#This Row],[soda_units_sold]]</f>
        <v>0.73527524865962401</v>
      </c>
      <c r="L66" s="29">
        <f>dataset[[#This Row],[implied_soda_ppu]]-dataset[[#This Row],[soda_ppu]]</f>
        <v>-2.4751340375939179E-5</v>
      </c>
      <c r="M66">
        <f>dataset[[#This Row],[soda_sales]]/dataset[[#This Row],[total_sales]]</f>
        <v>4.5127588156160296E-2</v>
      </c>
      <c r="N66">
        <f>LN(dataset[[#This Row],[soda_units_sold]])</f>
        <v>12.272543673173615</v>
      </c>
      <c r="O66">
        <f>LN(dataset[[#This Row],[soda_sales]])</f>
        <v>11.965033311273473</v>
      </c>
      <c r="P66">
        <f>LN(dataset[[#This Row],[soda_ppu]])</f>
        <v>-0.30747669977996056</v>
      </c>
      <c r="Q66">
        <f>IF(dataset[[#This Row],[state]]="VA",1,0)</f>
        <v>1</v>
      </c>
    </row>
    <row r="67" spans="1:17" x14ac:dyDescent="0.35">
      <c r="A67">
        <v>202406</v>
      </c>
      <c r="B67">
        <v>17</v>
      </c>
      <c r="C67" s="2">
        <v>3261336.8492000001</v>
      </c>
      <c r="D67" s="2">
        <v>0.73780000000000001</v>
      </c>
      <c r="E67" s="3">
        <v>218311</v>
      </c>
      <c r="F67" s="2">
        <v>161067.48800000001</v>
      </c>
      <c r="G67" t="s">
        <v>2257</v>
      </c>
      <c r="H67" t="s">
        <v>3</v>
      </c>
      <c r="I67">
        <f>HLOOKUP(G67,zip_tiers!$A$1:$EON$2,2,FALSE)</f>
        <v>117573.33333333333</v>
      </c>
      <c r="J67" t="str">
        <f t="shared" si="1"/>
        <v>High</v>
      </c>
      <c r="K67">
        <f>dataset[[#This Row],[soda_sales]]/dataset[[#This Row],[soda_units_sold]]</f>
        <v>0.73778915400506617</v>
      </c>
      <c r="L67" s="29">
        <f>dataset[[#This Row],[implied_soda_ppu]]-dataset[[#This Row],[soda_ppu]]</f>
        <v>-1.0845994933839087E-5</v>
      </c>
      <c r="M67">
        <f>dataset[[#This Row],[soda_sales]]/dataset[[#This Row],[total_sales]]</f>
        <v>4.9386952482234264E-2</v>
      </c>
      <c r="N67">
        <f>LN(dataset[[#This Row],[soda_units_sold]])</f>
        <v>12.293675930640957</v>
      </c>
      <c r="O67">
        <f>LN(dataset[[#This Row],[soda_sales]])</f>
        <v>11.989578736259379</v>
      </c>
      <c r="P67">
        <f>LN(dataset[[#This Row],[soda_ppu]])</f>
        <v>-0.30408249381956176</v>
      </c>
      <c r="Q67">
        <f>IF(dataset[[#This Row],[state]]="VA",1,0)</f>
        <v>1</v>
      </c>
    </row>
    <row r="68" spans="1:17" x14ac:dyDescent="0.35">
      <c r="A68">
        <v>202407</v>
      </c>
      <c r="B68">
        <v>17</v>
      </c>
      <c r="C68" s="2">
        <v>3173328.2960000001</v>
      </c>
      <c r="D68" s="2">
        <v>0.73780000000000001</v>
      </c>
      <c r="E68" s="3">
        <v>226353</v>
      </c>
      <c r="F68" s="2">
        <v>167005.13260000001</v>
      </c>
      <c r="G68" t="s">
        <v>2257</v>
      </c>
      <c r="H68" t="s">
        <v>3</v>
      </c>
      <c r="I68">
        <f>HLOOKUP(G68,zip_tiers!$A$1:$EON$2,2,FALSE)</f>
        <v>117573.33333333333</v>
      </c>
      <c r="J68" t="str">
        <f t="shared" si="1"/>
        <v>High</v>
      </c>
      <c r="K68">
        <f>dataset[[#This Row],[soda_sales]]/dataset[[#This Row],[soda_units_sold]]</f>
        <v>0.7378083462556273</v>
      </c>
      <c r="L68" s="29">
        <f>dataset[[#This Row],[implied_soda_ppu]]-dataset[[#This Row],[soda_ppu]]</f>
        <v>8.3462556272895227E-6</v>
      </c>
      <c r="M68">
        <f>dataset[[#This Row],[soda_sales]]/dataset[[#This Row],[total_sales]]</f>
        <v>5.2627751377161643E-2</v>
      </c>
      <c r="N68">
        <f>LN(dataset[[#This Row],[soda_units_sold]])</f>
        <v>12.329851006586745</v>
      </c>
      <c r="O68">
        <f>LN(dataset[[#This Row],[soda_sales]])</f>
        <v>12.025779825058345</v>
      </c>
      <c r="P68">
        <f>LN(dataset[[#This Row],[soda_ppu]])</f>
        <v>-0.30408249381956176</v>
      </c>
      <c r="Q68">
        <f>IF(dataset[[#This Row],[state]]="VA",1,0)</f>
        <v>1</v>
      </c>
    </row>
    <row r="69" spans="1:17" x14ac:dyDescent="0.35">
      <c r="A69">
        <v>202408</v>
      </c>
      <c r="B69">
        <v>17</v>
      </c>
      <c r="C69" s="2">
        <v>2979288.5055</v>
      </c>
      <c r="D69" s="2">
        <v>0.74460000000000004</v>
      </c>
      <c r="E69" s="3">
        <v>194636</v>
      </c>
      <c r="F69" s="2">
        <v>144935.4026</v>
      </c>
      <c r="G69" t="s">
        <v>2257</v>
      </c>
      <c r="H69" t="s">
        <v>3</v>
      </c>
      <c r="I69">
        <f>HLOOKUP(G69,zip_tiers!$A$1:$EON$2,2,FALSE)</f>
        <v>117573.33333333333</v>
      </c>
      <c r="J69" t="str">
        <f t="shared" si="1"/>
        <v>High</v>
      </c>
      <c r="K69">
        <f>dataset[[#This Row],[soda_sales]]/dataset[[#This Row],[soda_units_sold]]</f>
        <v>0.74464848537783346</v>
      </c>
      <c r="L69" s="29">
        <f>dataset[[#This Row],[implied_soda_ppu]]-dataset[[#This Row],[soda_ppu]]</f>
        <v>4.8485377833418219E-5</v>
      </c>
      <c r="M69">
        <f>dataset[[#This Row],[soda_sales]]/dataset[[#This Row],[total_sales]]</f>
        <v>4.8647656087162386E-2</v>
      </c>
      <c r="N69">
        <f>LN(dataset[[#This Row],[soda_units_sold]])</f>
        <v>12.178886426485857</v>
      </c>
      <c r="O69">
        <f>LN(dataset[[#This Row],[soda_sales]])</f>
        <v>11.884043422828066</v>
      </c>
      <c r="P69">
        <f>LN(dataset[[#This Row],[soda_ppu]])</f>
        <v>-0.29490811754352048</v>
      </c>
      <c r="Q69">
        <f>IF(dataset[[#This Row],[state]]="VA",1,0)</f>
        <v>1</v>
      </c>
    </row>
    <row r="70" spans="1:17" x14ac:dyDescent="0.35">
      <c r="A70">
        <v>202409</v>
      </c>
      <c r="B70">
        <v>17</v>
      </c>
      <c r="C70" s="2">
        <v>2976870.9388000001</v>
      </c>
      <c r="D70" s="2">
        <v>0.73619999999999997</v>
      </c>
      <c r="E70" s="3">
        <v>188023</v>
      </c>
      <c r="F70" s="2">
        <v>138414.44570000001</v>
      </c>
      <c r="G70" t="s">
        <v>2257</v>
      </c>
      <c r="H70" t="s">
        <v>3</v>
      </c>
      <c r="I70">
        <f>HLOOKUP(G70,zip_tiers!$A$1:$EON$2,2,FALSE)</f>
        <v>117573.33333333333</v>
      </c>
      <c r="J70" t="str">
        <f t="shared" si="1"/>
        <v>High</v>
      </c>
      <c r="K70">
        <f>dataset[[#This Row],[soda_sales]]/dataset[[#This Row],[soda_units_sold]]</f>
        <v>0.73615698983634992</v>
      </c>
      <c r="L70" s="29">
        <f>dataset[[#This Row],[implied_soda_ppu]]-dataset[[#This Row],[soda_ppu]]</f>
        <v>-4.301016365004795E-5</v>
      </c>
      <c r="M70">
        <f>dataset[[#This Row],[soda_sales]]/dataset[[#This Row],[total_sales]]</f>
        <v>4.6496622979495361E-2</v>
      </c>
      <c r="N70">
        <f>LN(dataset[[#This Row],[soda_units_sold]])</f>
        <v>12.144319574754638</v>
      </c>
      <c r="O70">
        <f>LN(dataset[[#This Row],[soda_sales]])</f>
        <v>11.83800769316395</v>
      </c>
      <c r="P70">
        <f>LN(dataset[[#This Row],[soda_ppu]])</f>
        <v>-0.30625345803721632</v>
      </c>
      <c r="Q70">
        <f>IF(dataset[[#This Row],[state]]="VA",1,0)</f>
        <v>1</v>
      </c>
    </row>
    <row r="71" spans="1:17" x14ac:dyDescent="0.35">
      <c r="A71">
        <v>202410</v>
      </c>
      <c r="B71">
        <v>17</v>
      </c>
      <c r="C71" s="2">
        <v>3700327.8442000002</v>
      </c>
      <c r="D71" s="2">
        <v>0.72609999999999997</v>
      </c>
      <c r="E71" s="3">
        <v>182284</v>
      </c>
      <c r="F71" s="2">
        <v>132347.48980000001</v>
      </c>
      <c r="G71" t="s">
        <v>2257</v>
      </c>
      <c r="H71" t="s">
        <v>3</v>
      </c>
      <c r="I71">
        <f>HLOOKUP(G71,zip_tiers!$A$1:$EON$2,2,FALSE)</f>
        <v>117573.33333333333</v>
      </c>
      <c r="J71" t="str">
        <f t="shared" si="1"/>
        <v>High</v>
      </c>
      <c r="K71">
        <f>dataset[[#This Row],[soda_sales]]/dataset[[#This Row],[soda_units_sold]]</f>
        <v>0.72605105110706381</v>
      </c>
      <c r="L71" s="29">
        <f>dataset[[#This Row],[implied_soda_ppu]]-dataset[[#This Row],[soda_ppu]]</f>
        <v>-4.8948892936162558E-5</v>
      </c>
      <c r="M71">
        <f>dataset[[#This Row],[soda_sales]]/dataset[[#This Row],[total_sales]]</f>
        <v>3.576642269885498E-2</v>
      </c>
      <c r="N71">
        <f>LN(dataset[[#This Row],[soda_units_sold]])</f>
        <v>12.113321189398622</v>
      </c>
      <c r="O71">
        <f>LN(dataset[[#This Row],[soda_sales]])</f>
        <v>11.793186241098352</v>
      </c>
      <c r="P71">
        <f>LN(dataset[[#This Row],[soda_ppu]])</f>
        <v>-0.32006753259593601</v>
      </c>
      <c r="Q71">
        <f>IF(dataset[[#This Row],[state]]="VA",1,0)</f>
        <v>1</v>
      </c>
    </row>
    <row r="72" spans="1:17" x14ac:dyDescent="0.35">
      <c r="A72">
        <v>202411</v>
      </c>
      <c r="B72">
        <v>17</v>
      </c>
      <c r="C72" s="2">
        <v>4156897.9914000002</v>
      </c>
      <c r="D72" s="2">
        <v>0.73150000000000004</v>
      </c>
      <c r="E72" s="3">
        <v>170396</v>
      </c>
      <c r="F72" s="2">
        <v>124637.41899999999</v>
      </c>
      <c r="G72" t="s">
        <v>2257</v>
      </c>
      <c r="H72" t="s">
        <v>3</v>
      </c>
      <c r="I72">
        <f>HLOOKUP(G72,zip_tiers!$A$1:$EON$2,2,FALSE)</f>
        <v>117573.33333333333</v>
      </c>
      <c r="J72" t="str">
        <f t="shared" si="1"/>
        <v>High</v>
      </c>
      <c r="K72">
        <f>dataset[[#This Row],[soda_sales]]/dataset[[#This Row],[soda_units_sold]]</f>
        <v>0.73145742270945324</v>
      </c>
      <c r="L72" s="29">
        <f>dataset[[#This Row],[implied_soda_ppu]]-dataset[[#This Row],[soda_ppu]]</f>
        <v>-4.2577290546796931E-5</v>
      </c>
      <c r="M72">
        <f>dataset[[#This Row],[soda_sales]]/dataset[[#This Row],[total_sales]]</f>
        <v>2.9983275812362046E-2</v>
      </c>
      <c r="N72">
        <f>LN(dataset[[#This Row],[soda_units_sold]])</f>
        <v>12.045880418923426</v>
      </c>
      <c r="O72">
        <f>LN(dataset[[#This Row],[soda_sales]])</f>
        <v>11.733164153252172</v>
      </c>
      <c r="P72">
        <f>LN(dataset[[#This Row],[soda_ppu]])</f>
        <v>-0.31265805852195799</v>
      </c>
      <c r="Q72">
        <f>IF(dataset[[#This Row],[state]]="VA",1,0)</f>
        <v>1</v>
      </c>
    </row>
    <row r="73" spans="1:17" x14ac:dyDescent="0.35">
      <c r="A73">
        <v>202412</v>
      </c>
      <c r="B73">
        <v>17</v>
      </c>
      <c r="C73" s="2">
        <v>4348242.7171999998</v>
      </c>
      <c r="D73" s="2">
        <v>0.75080000000000002</v>
      </c>
      <c r="E73" s="3">
        <v>165765</v>
      </c>
      <c r="F73" s="2">
        <v>124454.63039999999</v>
      </c>
      <c r="G73" t="s">
        <v>2257</v>
      </c>
      <c r="H73" t="s">
        <v>3</v>
      </c>
      <c r="I73">
        <f>HLOOKUP(G73,zip_tiers!$A$1:$EON$2,2,FALSE)</f>
        <v>117573.33333333333</v>
      </c>
      <c r="J73" t="str">
        <f t="shared" si="1"/>
        <v>High</v>
      </c>
      <c r="K73">
        <f>dataset[[#This Row],[soda_sales]]/dataset[[#This Row],[soda_units_sold]]</f>
        <v>0.75078955388652613</v>
      </c>
      <c r="L73" s="29">
        <f>dataset[[#This Row],[implied_soda_ppu]]-dataset[[#This Row],[soda_ppu]]</f>
        <v>-1.0446113473894236E-5</v>
      </c>
      <c r="M73">
        <f>dataset[[#This Row],[soda_sales]]/dataset[[#This Row],[total_sales]]</f>
        <v>2.8621822307136779E-2</v>
      </c>
      <c r="N73">
        <f>LN(dataset[[#This Row],[soda_units_sold]])</f>
        <v>12.018326401690992</v>
      </c>
      <c r="O73">
        <f>LN(dataset[[#This Row],[soda_sales]])</f>
        <v>11.731696514013985</v>
      </c>
      <c r="P73">
        <f>LN(dataset[[#This Row],[soda_ppu]])</f>
        <v>-0.28661597426978325</v>
      </c>
      <c r="Q73">
        <f>IF(dataset[[#This Row],[state]]="VA",1,0)</f>
        <v>1</v>
      </c>
    </row>
    <row r="74" spans="1:17" x14ac:dyDescent="0.35">
      <c r="A74">
        <v>202201</v>
      </c>
      <c r="B74">
        <v>5</v>
      </c>
      <c r="C74" s="2">
        <v>1877559.7316000001</v>
      </c>
      <c r="D74" s="2">
        <v>0.69279999999999997</v>
      </c>
      <c r="E74" s="3">
        <v>142045</v>
      </c>
      <c r="F74" s="2">
        <v>98406.356199999995</v>
      </c>
      <c r="G74" t="s">
        <v>157</v>
      </c>
      <c r="H74" t="s">
        <v>4</v>
      </c>
      <c r="I74" t="str">
        <f>HLOOKUP(G74,zip_tiers!$A$1:$EON$2,2,FALSE)</f>
        <v/>
      </c>
      <c r="J74" t="str">
        <f t="shared" si="1"/>
        <v>No Data</v>
      </c>
      <c r="K74">
        <f>dataset[[#This Row],[soda_sales]]/dataset[[#This Row],[soda_units_sold]]</f>
        <v>0.69278296455348654</v>
      </c>
      <c r="L74" s="29">
        <f>dataset[[#This Row],[implied_soda_ppu]]-dataset[[#This Row],[soda_ppu]]</f>
        <v>-1.7035446513435915E-5</v>
      </c>
      <c r="M74">
        <f>dataset[[#This Row],[soda_sales]]/dataset[[#This Row],[total_sales]]</f>
        <v>5.2411837846639935E-2</v>
      </c>
      <c r="N74">
        <f>LN(dataset[[#This Row],[soda_units_sold]])</f>
        <v>11.863899187789203</v>
      </c>
      <c r="O74">
        <f>LN(dataset[[#This Row],[soda_sales]])</f>
        <v>11.4968606764826</v>
      </c>
      <c r="P74">
        <f>LN(dataset[[#This Row],[soda_ppu]])</f>
        <v>-0.36701392173391167</v>
      </c>
      <c r="Q74">
        <f>IF(dataset[[#This Row],[state]]="VA",1,0)</f>
        <v>0</v>
      </c>
    </row>
    <row r="75" spans="1:17" x14ac:dyDescent="0.35">
      <c r="A75">
        <v>202202</v>
      </c>
      <c r="B75">
        <v>5</v>
      </c>
      <c r="C75" s="2">
        <v>2126141.8280000002</v>
      </c>
      <c r="D75" s="2">
        <v>0.70299999999999996</v>
      </c>
      <c r="E75" s="3">
        <v>156978</v>
      </c>
      <c r="F75" s="2">
        <v>110354.598</v>
      </c>
      <c r="G75" t="s">
        <v>157</v>
      </c>
      <c r="H75" t="s">
        <v>4</v>
      </c>
      <c r="I75" t="str">
        <f>HLOOKUP(G75,zip_tiers!$A$1:$EON$2,2,FALSE)</f>
        <v/>
      </c>
      <c r="J75" t="str">
        <f t="shared" si="1"/>
        <v>No Data</v>
      </c>
      <c r="K75">
        <f>dataset[[#This Row],[soda_sales]]/dataset[[#This Row],[soda_units_sold]]</f>
        <v>0.70299403738103428</v>
      </c>
      <c r="L75" s="29">
        <f>dataset[[#This Row],[implied_soda_ppu]]-dataset[[#This Row],[soda_ppu]]</f>
        <v>-5.962618965682509E-6</v>
      </c>
      <c r="M75">
        <f>dataset[[#This Row],[soda_sales]]/dataset[[#This Row],[total_sales]]</f>
        <v>5.1903686079026706E-2</v>
      </c>
      <c r="N75">
        <f>LN(dataset[[#This Row],[soda_units_sold]])</f>
        <v>11.96386094712315</v>
      </c>
      <c r="O75">
        <f>LN(dataset[[#This Row],[soda_sales]])</f>
        <v>11.611454078238658</v>
      </c>
      <c r="P75">
        <f>LN(dataset[[#This Row],[soda_ppu]])</f>
        <v>-0.3523983871714722</v>
      </c>
      <c r="Q75">
        <f>IF(dataset[[#This Row],[state]]="VA",1,0)</f>
        <v>0</v>
      </c>
    </row>
    <row r="76" spans="1:17" x14ac:dyDescent="0.35">
      <c r="A76">
        <v>202203</v>
      </c>
      <c r="B76">
        <v>5</v>
      </c>
      <c r="C76" s="2">
        <v>2372091.0781999999</v>
      </c>
      <c r="D76" s="2">
        <v>0.70150000000000001</v>
      </c>
      <c r="E76" s="3">
        <v>192838</v>
      </c>
      <c r="F76" s="2">
        <v>135277.13800000001</v>
      </c>
      <c r="G76" t="s">
        <v>157</v>
      </c>
      <c r="H76" t="s">
        <v>4</v>
      </c>
      <c r="I76" t="str">
        <f>HLOOKUP(G76,zip_tiers!$A$1:$EON$2,2,FALSE)</f>
        <v/>
      </c>
      <c r="J76" t="str">
        <f t="shared" si="1"/>
        <v>No Data</v>
      </c>
      <c r="K76">
        <f>dataset[[#This Row],[soda_sales]]/dataset[[#This Row],[soda_units_sold]]</f>
        <v>0.70150664288158981</v>
      </c>
      <c r="L76" s="29">
        <f>dataset[[#This Row],[implied_soda_ppu]]-dataset[[#This Row],[soda_ppu]]</f>
        <v>6.6428815898023075E-6</v>
      </c>
      <c r="M76">
        <f>dataset[[#This Row],[soda_sales]]/dataset[[#This Row],[total_sales]]</f>
        <v>5.7028644154191406E-2</v>
      </c>
      <c r="N76">
        <f>LN(dataset[[#This Row],[soda_units_sold]])</f>
        <v>12.169605737173514</v>
      </c>
      <c r="O76">
        <f>LN(dataset[[#This Row],[soda_sales]])</f>
        <v>11.81508082722803</v>
      </c>
      <c r="P76">
        <f>LN(dataset[[#This Row],[soda_ppu]])</f>
        <v>-0.35453437943962141</v>
      </c>
      <c r="Q76">
        <f>IF(dataset[[#This Row],[state]]="VA",1,0)</f>
        <v>0</v>
      </c>
    </row>
    <row r="77" spans="1:17" x14ac:dyDescent="0.35">
      <c r="A77">
        <v>202204</v>
      </c>
      <c r="B77">
        <v>5</v>
      </c>
      <c r="C77" s="2">
        <v>2535190.1047999999</v>
      </c>
      <c r="D77" s="2">
        <v>0.7127</v>
      </c>
      <c r="E77" s="3">
        <v>218415</v>
      </c>
      <c r="F77" s="2">
        <v>155656.90169999999</v>
      </c>
      <c r="G77" t="s">
        <v>157</v>
      </c>
      <c r="H77" t="s">
        <v>4</v>
      </c>
      <c r="I77" t="str">
        <f>HLOOKUP(G77,zip_tiers!$A$1:$EON$2,2,FALSE)</f>
        <v/>
      </c>
      <c r="J77" t="str">
        <f t="shared" si="1"/>
        <v>No Data</v>
      </c>
      <c r="K77">
        <f>dataset[[#This Row],[soda_sales]]/dataset[[#This Row],[soda_units_sold]]</f>
        <v>0.71266580454639095</v>
      </c>
      <c r="L77" s="29">
        <f>dataset[[#This Row],[implied_soda_ppu]]-dataset[[#This Row],[soda_ppu]]</f>
        <v>-3.419545360905385E-5</v>
      </c>
      <c r="M77">
        <f>dataset[[#This Row],[soda_sales]]/dataset[[#This Row],[total_sales]]</f>
        <v>6.1398512642222423E-2</v>
      </c>
      <c r="N77">
        <f>LN(dataset[[#This Row],[soda_units_sold]])</f>
        <v>12.294152201813114</v>
      </c>
      <c r="O77">
        <f>LN(dataset[[#This Row],[soda_sales]])</f>
        <v>11.955409516036731</v>
      </c>
      <c r="P77">
        <f>LN(dataset[[#This Row],[soda_ppu]])</f>
        <v>-0.33869470447431199</v>
      </c>
      <c r="Q77">
        <f>IF(dataset[[#This Row],[state]]="VA",1,0)</f>
        <v>0</v>
      </c>
    </row>
    <row r="78" spans="1:17" x14ac:dyDescent="0.35">
      <c r="A78">
        <v>202205</v>
      </c>
      <c r="B78">
        <v>5</v>
      </c>
      <c r="C78" s="2">
        <v>2615638.9410999999</v>
      </c>
      <c r="D78" s="2">
        <v>0.70550000000000002</v>
      </c>
      <c r="E78" s="3">
        <v>235283</v>
      </c>
      <c r="F78" s="2">
        <v>165984.3561</v>
      </c>
      <c r="G78" t="s">
        <v>157</v>
      </c>
      <c r="H78" t="s">
        <v>4</v>
      </c>
      <c r="I78" t="str">
        <f>HLOOKUP(G78,zip_tiers!$A$1:$EON$2,2,FALSE)</f>
        <v/>
      </c>
      <c r="J78" t="str">
        <f t="shared" si="1"/>
        <v>No Data</v>
      </c>
      <c r="K78">
        <f>dataset[[#This Row],[soda_sales]]/dataset[[#This Row],[soda_units_sold]]</f>
        <v>0.70546684673350812</v>
      </c>
      <c r="L78" s="29">
        <f>dataset[[#This Row],[implied_soda_ppu]]-dataset[[#This Row],[soda_ppu]]</f>
        <v>-3.3153266491892097E-5</v>
      </c>
      <c r="M78">
        <f>dataset[[#This Row],[soda_sales]]/dataset[[#This Row],[total_sales]]</f>
        <v>6.3458435907134694E-2</v>
      </c>
      <c r="N78">
        <f>LN(dataset[[#This Row],[soda_units_sold]])</f>
        <v>12.368544323911632</v>
      </c>
      <c r="O78">
        <f>LN(dataset[[#This Row],[soda_sales]])</f>
        <v>12.019648822536332</v>
      </c>
      <c r="P78">
        <f>LN(dataset[[#This Row],[soda_ppu]])</f>
        <v>-0.34884850768926834</v>
      </c>
      <c r="Q78">
        <f>IF(dataset[[#This Row],[state]]="VA",1,0)</f>
        <v>0</v>
      </c>
    </row>
    <row r="79" spans="1:17" x14ac:dyDescent="0.35">
      <c r="A79">
        <v>202206</v>
      </c>
      <c r="B79">
        <v>5</v>
      </c>
      <c r="C79" s="2">
        <v>2477077.7494000001</v>
      </c>
      <c r="D79" s="2">
        <v>0.70169999999999999</v>
      </c>
      <c r="E79" s="3">
        <v>248339</v>
      </c>
      <c r="F79" s="2">
        <v>174269.465</v>
      </c>
      <c r="G79" t="s">
        <v>157</v>
      </c>
      <c r="H79" t="s">
        <v>4</v>
      </c>
      <c r="I79" t="str">
        <f>HLOOKUP(G79,zip_tiers!$A$1:$EON$2,2,FALSE)</f>
        <v/>
      </c>
      <c r="J79" t="str">
        <f t="shared" si="1"/>
        <v>No Data</v>
      </c>
      <c r="K79">
        <f>dataset[[#This Row],[soda_sales]]/dataset[[#This Row],[soda_units_sold]]</f>
        <v>0.70174022203520192</v>
      </c>
      <c r="L79" s="29">
        <f>dataset[[#This Row],[implied_soda_ppu]]-dataset[[#This Row],[soda_ppu]]</f>
        <v>4.0222035201931128E-5</v>
      </c>
      <c r="M79">
        <f>dataset[[#This Row],[soda_sales]]/dataset[[#This Row],[total_sales]]</f>
        <v>7.0352844210163246E-2</v>
      </c>
      <c r="N79">
        <f>LN(dataset[[#This Row],[soda_units_sold]])</f>
        <v>12.422550027225189</v>
      </c>
      <c r="O79">
        <f>LN(dataset[[#This Row],[soda_sales]])</f>
        <v>12.068358029701045</v>
      </c>
      <c r="P79">
        <f>LN(dataset[[#This Row],[soda_ppu]])</f>
        <v>-0.35424931672389404</v>
      </c>
      <c r="Q79">
        <f>IF(dataset[[#This Row],[state]]="VA",1,0)</f>
        <v>0</v>
      </c>
    </row>
    <row r="80" spans="1:17" x14ac:dyDescent="0.35">
      <c r="A80">
        <v>202207</v>
      </c>
      <c r="B80">
        <v>5</v>
      </c>
      <c r="C80" s="2">
        <v>2330424.3938000002</v>
      </c>
      <c r="D80" s="2">
        <v>0.71850000000000003</v>
      </c>
      <c r="E80" s="3">
        <v>247921</v>
      </c>
      <c r="F80" s="2">
        <v>178134.0007</v>
      </c>
      <c r="G80" t="s">
        <v>157</v>
      </c>
      <c r="H80" t="s">
        <v>4</v>
      </c>
      <c r="I80" t="str">
        <f>HLOOKUP(G80,zip_tiers!$A$1:$EON$2,2,FALSE)</f>
        <v/>
      </c>
      <c r="J80" t="str">
        <f t="shared" si="1"/>
        <v>No Data</v>
      </c>
      <c r="K80">
        <f>dataset[[#This Row],[soda_sales]]/dataset[[#This Row],[soda_units_sold]]</f>
        <v>0.71851114145231754</v>
      </c>
      <c r="L80" s="29">
        <f>dataset[[#This Row],[implied_soda_ppu]]-dataset[[#This Row],[soda_ppu]]</f>
        <v>1.1141452317509071E-5</v>
      </c>
      <c r="M80">
        <f>dataset[[#This Row],[soda_sales]]/dataset[[#This Row],[total_sales]]</f>
        <v>7.6438438069013653E-2</v>
      </c>
      <c r="N80">
        <f>LN(dataset[[#This Row],[soda_units_sold]])</f>
        <v>12.420865426012707</v>
      </c>
      <c r="O80">
        <f>LN(dataset[[#This Row],[soda_sales]])</f>
        <v>12.090291358974056</v>
      </c>
      <c r="P80">
        <f>LN(dataset[[#This Row],[soda_ppu]])</f>
        <v>-0.3305895734630574</v>
      </c>
      <c r="Q80">
        <f>IF(dataset[[#This Row],[state]]="VA",1,0)</f>
        <v>0</v>
      </c>
    </row>
    <row r="81" spans="1:17" x14ac:dyDescent="0.35">
      <c r="A81">
        <v>202208</v>
      </c>
      <c r="B81">
        <v>5</v>
      </c>
      <c r="C81" s="2">
        <v>2219309.4802999999</v>
      </c>
      <c r="D81" s="2">
        <v>0.70489999999999997</v>
      </c>
      <c r="E81" s="3">
        <v>221748</v>
      </c>
      <c r="F81" s="2">
        <v>156311.85509999999</v>
      </c>
      <c r="G81" t="s">
        <v>157</v>
      </c>
      <c r="H81" t="s">
        <v>4</v>
      </c>
      <c r="I81" t="str">
        <f>HLOOKUP(G81,zip_tiers!$A$1:$EON$2,2,FALSE)</f>
        <v/>
      </c>
      <c r="J81" t="str">
        <f t="shared" si="1"/>
        <v>No Data</v>
      </c>
      <c r="K81">
        <f>dataset[[#This Row],[soda_sales]]/dataset[[#This Row],[soda_units_sold]]</f>
        <v>0.70490762081281444</v>
      </c>
      <c r="L81" s="29">
        <f>dataset[[#This Row],[implied_soda_ppu]]-dataset[[#This Row],[soda_ppu]]</f>
        <v>7.6208128144683585E-6</v>
      </c>
      <c r="M81">
        <f>dataset[[#This Row],[soda_sales]]/dataset[[#This Row],[total_sales]]</f>
        <v>7.0432653258828151E-2</v>
      </c>
      <c r="N81">
        <f>LN(dataset[[#This Row],[soda_units_sold]])</f>
        <v>12.309296880965427</v>
      </c>
      <c r="O81">
        <f>LN(dataset[[#This Row],[soda_sales]])</f>
        <v>11.959608361901747</v>
      </c>
      <c r="P81">
        <f>LN(dataset[[#This Row],[soda_ppu]])</f>
        <v>-0.3496993302023072</v>
      </c>
      <c r="Q81">
        <f>IF(dataset[[#This Row],[state]]="VA",1,0)</f>
        <v>0</v>
      </c>
    </row>
    <row r="82" spans="1:17" x14ac:dyDescent="0.35">
      <c r="A82">
        <v>202209</v>
      </c>
      <c r="B82">
        <v>5</v>
      </c>
      <c r="C82" s="2">
        <v>2233508.5271000001</v>
      </c>
      <c r="D82" s="2">
        <v>0.67930000000000001</v>
      </c>
      <c r="E82" s="3">
        <v>221234</v>
      </c>
      <c r="F82" s="2">
        <v>150291.46419999999</v>
      </c>
      <c r="G82" t="s">
        <v>157</v>
      </c>
      <c r="H82" t="s">
        <v>4</v>
      </c>
      <c r="I82" t="str">
        <f>HLOOKUP(G82,zip_tiers!$A$1:$EON$2,2,FALSE)</f>
        <v/>
      </c>
      <c r="J82" t="str">
        <f t="shared" si="1"/>
        <v>No Data</v>
      </c>
      <c r="K82">
        <f>dataset[[#This Row],[soda_sales]]/dataset[[#This Row],[soda_units_sold]]</f>
        <v>0.67933258088720538</v>
      </c>
      <c r="L82" s="29">
        <f>dataset[[#This Row],[implied_soda_ppu]]-dataset[[#This Row],[soda_ppu]]</f>
        <v>3.2580887205369002E-5</v>
      </c>
      <c r="M82">
        <f>dataset[[#This Row],[soda_sales]]/dataset[[#This Row],[total_sales]]</f>
        <v>6.728940694716723E-2</v>
      </c>
      <c r="N82">
        <f>LN(dataset[[#This Row],[soda_units_sold]])</f>
        <v>12.30697624387104</v>
      </c>
      <c r="O82">
        <f>LN(dataset[[#This Row],[soda_sales]])</f>
        <v>11.92033178237852</v>
      </c>
      <c r="P82">
        <f>LN(dataset[[#This Row],[soda_ppu]])</f>
        <v>-0.38669242278488081</v>
      </c>
      <c r="Q82">
        <f>IF(dataset[[#This Row],[state]]="VA",1,0)</f>
        <v>0</v>
      </c>
    </row>
    <row r="83" spans="1:17" x14ac:dyDescent="0.35">
      <c r="A83">
        <v>202210</v>
      </c>
      <c r="B83">
        <v>5</v>
      </c>
      <c r="C83" s="2">
        <v>2815750.3582000001</v>
      </c>
      <c r="D83" s="2">
        <v>0.70499999999999996</v>
      </c>
      <c r="E83" s="3">
        <v>210625</v>
      </c>
      <c r="F83" s="2">
        <v>148496.03349999999</v>
      </c>
      <c r="G83" t="s">
        <v>157</v>
      </c>
      <c r="H83" t="s">
        <v>4</v>
      </c>
      <c r="I83" t="str">
        <f>HLOOKUP(G83,zip_tiers!$A$1:$EON$2,2,FALSE)</f>
        <v/>
      </c>
      <c r="J83" t="str">
        <f t="shared" si="1"/>
        <v>No Data</v>
      </c>
      <c r="K83">
        <f>dataset[[#This Row],[soda_sales]]/dataset[[#This Row],[soda_units_sold]]</f>
        <v>0.70502567833827889</v>
      </c>
      <c r="L83" s="29">
        <f>dataset[[#This Row],[implied_soda_ppu]]-dataset[[#This Row],[soda_ppu]]</f>
        <v>2.5678338278933843E-5</v>
      </c>
      <c r="M83">
        <f>dataset[[#This Row],[soda_sales]]/dataset[[#This Row],[total_sales]]</f>
        <v>5.2737641697372536E-2</v>
      </c>
      <c r="N83">
        <f>LN(dataset[[#This Row],[soda_units_sold]])</f>
        <v>12.257834580088764</v>
      </c>
      <c r="O83">
        <f>LN(dataset[[#This Row],[soda_sales]])</f>
        <v>11.908313526430451</v>
      </c>
      <c r="P83">
        <f>LN(dataset[[#This Row],[soda_ppu]])</f>
        <v>-0.34955747616986843</v>
      </c>
      <c r="Q83">
        <f>IF(dataset[[#This Row],[state]]="VA",1,0)</f>
        <v>0</v>
      </c>
    </row>
    <row r="84" spans="1:17" x14ac:dyDescent="0.35">
      <c r="A84">
        <v>202211</v>
      </c>
      <c r="B84">
        <v>5</v>
      </c>
      <c r="C84" s="2">
        <v>3153951.7519</v>
      </c>
      <c r="D84" s="2">
        <v>0.70340000000000003</v>
      </c>
      <c r="E84" s="3">
        <v>197972</v>
      </c>
      <c r="F84" s="2">
        <v>139244.5349</v>
      </c>
      <c r="G84" t="s">
        <v>157</v>
      </c>
      <c r="H84" t="s">
        <v>4</v>
      </c>
      <c r="I84" t="str">
        <f>HLOOKUP(G84,zip_tiers!$A$1:$EON$2,2,FALSE)</f>
        <v/>
      </c>
      <c r="J84" t="str">
        <f t="shared" si="1"/>
        <v>No Data</v>
      </c>
      <c r="K84">
        <f>dataset[[#This Row],[soda_sales]]/dataset[[#This Row],[soda_units_sold]]</f>
        <v>0.70335469106742365</v>
      </c>
      <c r="L84" s="29">
        <f>dataset[[#This Row],[implied_soda_ppu]]-dataset[[#This Row],[soda_ppu]]</f>
        <v>-4.5308932576371141E-5</v>
      </c>
      <c r="M84">
        <f>dataset[[#This Row],[soda_sales]]/dataset[[#This Row],[total_sales]]</f>
        <v>4.4149227969678503E-2</v>
      </c>
      <c r="N84">
        <f>LN(dataset[[#This Row],[soda_units_sold]])</f>
        <v>12.195880885535336</v>
      </c>
      <c r="O84">
        <f>LN(dataset[[#This Row],[soda_sales]])</f>
        <v>11.843986910340725</v>
      </c>
      <c r="P84">
        <f>LN(dataset[[#This Row],[soda_ppu]])</f>
        <v>-0.35182955894225493</v>
      </c>
      <c r="Q84">
        <f>IF(dataset[[#This Row],[state]]="VA",1,0)</f>
        <v>0</v>
      </c>
    </row>
    <row r="85" spans="1:17" x14ac:dyDescent="0.35">
      <c r="A85">
        <v>202212</v>
      </c>
      <c r="B85">
        <v>5</v>
      </c>
      <c r="C85" s="2">
        <v>3296948.6047999999</v>
      </c>
      <c r="D85" s="2">
        <v>0.68410000000000004</v>
      </c>
      <c r="E85" s="3">
        <v>196359</v>
      </c>
      <c r="F85" s="2">
        <v>134321.2303</v>
      </c>
      <c r="G85" t="s">
        <v>157</v>
      </c>
      <c r="H85" t="s">
        <v>4</v>
      </c>
      <c r="I85" t="str">
        <f>HLOOKUP(G85,zip_tiers!$A$1:$EON$2,2,FALSE)</f>
        <v/>
      </c>
      <c r="J85" t="str">
        <f t="shared" si="1"/>
        <v>No Data</v>
      </c>
      <c r="K85">
        <f>dataset[[#This Row],[soda_sales]]/dataset[[#This Row],[soda_units_sold]]</f>
        <v>0.68405945385747535</v>
      </c>
      <c r="L85" s="29">
        <f>dataset[[#This Row],[implied_soda_ppu]]-dataset[[#This Row],[soda_ppu]]</f>
        <v>-4.0546142524688911E-5</v>
      </c>
      <c r="M85">
        <f>dataset[[#This Row],[soda_sales]]/dataset[[#This Row],[total_sales]]</f>
        <v>4.0741074975946805E-2</v>
      </c>
      <c r="N85">
        <f>LN(dataset[[#This Row],[soda_units_sold]])</f>
        <v>12.18769989547212</v>
      </c>
      <c r="O85">
        <f>LN(dataset[[#This Row],[soda_sales]])</f>
        <v>11.807989451179397</v>
      </c>
      <c r="P85">
        <f>LN(dataset[[#This Row],[soda_ppu]])</f>
        <v>-0.37965117321518466</v>
      </c>
      <c r="Q85">
        <f>IF(dataset[[#This Row],[state]]="VA",1,0)</f>
        <v>0</v>
      </c>
    </row>
    <row r="86" spans="1:17" x14ac:dyDescent="0.35">
      <c r="A86">
        <v>202301</v>
      </c>
      <c r="B86">
        <v>5</v>
      </c>
      <c r="C86" s="2">
        <v>1884053.2243999999</v>
      </c>
      <c r="D86" s="2">
        <v>0.75190000000000001</v>
      </c>
      <c r="E86" s="3">
        <v>131758</v>
      </c>
      <c r="F86" s="2">
        <v>99070.297699999996</v>
      </c>
      <c r="G86" t="s">
        <v>157</v>
      </c>
      <c r="H86" t="s">
        <v>4</v>
      </c>
      <c r="I86" t="str">
        <f>HLOOKUP(G86,zip_tiers!$A$1:$EON$2,2,FALSE)</f>
        <v/>
      </c>
      <c r="J86" t="str">
        <f t="shared" si="1"/>
        <v>No Data</v>
      </c>
      <c r="K86">
        <f>dataset[[#This Row],[soda_sales]]/dataset[[#This Row],[soda_units_sold]]</f>
        <v>0.7519110619469026</v>
      </c>
      <c r="L86" s="29">
        <f>dataset[[#This Row],[implied_soda_ppu]]-dataset[[#This Row],[soda_ppu]]</f>
        <v>1.1061946902590769E-5</v>
      </c>
      <c r="M86">
        <f>dataset[[#This Row],[soda_sales]]/dataset[[#This Row],[total_sales]]</f>
        <v>5.2583598179159807E-2</v>
      </c>
      <c r="N86">
        <f>LN(dataset[[#This Row],[soda_units_sold]])</f>
        <v>11.788722185622778</v>
      </c>
      <c r="O86">
        <f>LN(dataset[[#This Row],[soda_sales]])</f>
        <v>11.503584954908559</v>
      </c>
      <c r="P86">
        <f>LN(dataset[[#This Row],[soda_ppu]])</f>
        <v>-0.28515194259815579</v>
      </c>
      <c r="Q86">
        <f>IF(dataset[[#This Row],[state]]="VA",1,0)</f>
        <v>0</v>
      </c>
    </row>
    <row r="87" spans="1:17" x14ac:dyDescent="0.35">
      <c r="A87">
        <v>202302</v>
      </c>
      <c r="B87">
        <v>5</v>
      </c>
      <c r="C87" s="2">
        <v>2159096.1093000001</v>
      </c>
      <c r="D87" s="2">
        <v>0.72489999999999999</v>
      </c>
      <c r="E87" s="3">
        <v>160490</v>
      </c>
      <c r="F87" s="2">
        <v>116345.6758</v>
      </c>
      <c r="G87" t="s">
        <v>157</v>
      </c>
      <c r="H87" t="s">
        <v>4</v>
      </c>
      <c r="I87" t="str">
        <f>HLOOKUP(G87,zip_tiers!$A$1:$EON$2,2,FALSE)</f>
        <v/>
      </c>
      <c r="J87" t="str">
        <f t="shared" si="1"/>
        <v>No Data</v>
      </c>
      <c r="K87">
        <f>dataset[[#This Row],[soda_sales]]/dataset[[#This Row],[soda_units_sold]]</f>
        <v>0.72494034394666329</v>
      </c>
      <c r="L87" s="29">
        <f>dataset[[#This Row],[implied_soda_ppu]]-dataset[[#This Row],[soda_ppu]]</f>
        <v>4.0343946663301544E-5</v>
      </c>
      <c r="M87">
        <f>dataset[[#This Row],[soda_sales]]/dataset[[#This Row],[total_sales]]</f>
        <v>5.3886288479173074E-2</v>
      </c>
      <c r="N87">
        <f>LN(dataset[[#This Row],[soda_units_sold]])</f>
        <v>11.985986914315202</v>
      </c>
      <c r="O87">
        <f>LN(dataset[[#This Row],[soda_sales]])</f>
        <v>11.664321002590709</v>
      </c>
      <c r="P87">
        <f>LN(dataset[[#This Row],[soda_ppu]])</f>
        <v>-0.32172156467530499</v>
      </c>
      <c r="Q87">
        <f>IF(dataset[[#This Row],[state]]="VA",1,0)</f>
        <v>0</v>
      </c>
    </row>
    <row r="88" spans="1:17" x14ac:dyDescent="0.35">
      <c r="A88">
        <v>202303</v>
      </c>
      <c r="B88">
        <v>5</v>
      </c>
      <c r="C88" s="2">
        <v>2413856.3004000001</v>
      </c>
      <c r="D88" s="2">
        <v>0.71160000000000001</v>
      </c>
      <c r="E88" s="3">
        <v>189210</v>
      </c>
      <c r="F88" s="2">
        <v>134642.88889999999</v>
      </c>
      <c r="G88" t="s">
        <v>157</v>
      </c>
      <c r="H88" t="s">
        <v>4</v>
      </c>
      <c r="I88" t="str">
        <f>HLOOKUP(G88,zip_tiers!$A$1:$EON$2,2,FALSE)</f>
        <v/>
      </c>
      <c r="J88" t="str">
        <f t="shared" si="1"/>
        <v>No Data</v>
      </c>
      <c r="K88">
        <f>dataset[[#This Row],[soda_sales]]/dataset[[#This Row],[soda_units_sold]]</f>
        <v>0.71160556471645253</v>
      </c>
      <c r="L88" s="29">
        <f>dataset[[#This Row],[implied_soda_ppu]]-dataset[[#This Row],[soda_ppu]]</f>
        <v>5.5647164525218784E-6</v>
      </c>
      <c r="M88">
        <f>dataset[[#This Row],[soda_sales]]/dataset[[#This Row],[total_sales]]</f>
        <v>5.5779165013960574E-2</v>
      </c>
      <c r="N88">
        <f>LN(dataset[[#This Row],[soda_units_sold]])</f>
        <v>12.150612788325807</v>
      </c>
      <c r="O88">
        <f>LN(dataset[[#This Row],[soda_sales]])</f>
        <v>11.810381285111031</v>
      </c>
      <c r="P88">
        <f>LN(dataset[[#This Row],[soda_ppu]])</f>
        <v>-0.34023932319045697</v>
      </c>
      <c r="Q88">
        <f>IF(dataset[[#This Row],[state]]="VA",1,0)</f>
        <v>0</v>
      </c>
    </row>
    <row r="89" spans="1:17" x14ac:dyDescent="0.35">
      <c r="A89">
        <v>202304</v>
      </c>
      <c r="B89">
        <v>5</v>
      </c>
      <c r="C89" s="2">
        <v>2511231.2697999999</v>
      </c>
      <c r="D89" s="2">
        <v>0.69340000000000002</v>
      </c>
      <c r="E89" s="3">
        <v>223987</v>
      </c>
      <c r="F89" s="2">
        <v>155315.75719999999</v>
      </c>
      <c r="G89" t="s">
        <v>157</v>
      </c>
      <c r="H89" t="s">
        <v>4</v>
      </c>
      <c r="I89" t="str">
        <f>HLOOKUP(G89,zip_tiers!$A$1:$EON$2,2,FALSE)</f>
        <v/>
      </c>
      <c r="J89" t="str">
        <f t="shared" si="1"/>
        <v>No Data</v>
      </c>
      <c r="K89">
        <f>dataset[[#This Row],[soda_sales]]/dataset[[#This Row],[soda_units_sold]]</f>
        <v>0.69341415885743363</v>
      </c>
      <c r="L89" s="29">
        <f>dataset[[#This Row],[implied_soda_ppu]]-dataset[[#This Row],[soda_ppu]]</f>
        <v>1.415885743361045E-5</v>
      </c>
      <c r="M89">
        <f>dataset[[#This Row],[soda_sales]]/dataset[[#This Row],[total_sales]]</f>
        <v>6.1848448236457999E-2</v>
      </c>
      <c r="N89">
        <f>LN(dataset[[#This Row],[soda_units_sold]])</f>
        <v>12.319343293438754</v>
      </c>
      <c r="O89">
        <f>LN(dataset[[#This Row],[soda_sales]])</f>
        <v>11.953215466964647</v>
      </c>
      <c r="P89">
        <f>LN(dataset[[#This Row],[soda_ppu]])</f>
        <v>-0.36614824573121396</v>
      </c>
      <c r="Q89">
        <f>IF(dataset[[#This Row],[state]]="VA",1,0)</f>
        <v>0</v>
      </c>
    </row>
    <row r="90" spans="1:17" x14ac:dyDescent="0.35">
      <c r="A90">
        <v>202305</v>
      </c>
      <c r="B90">
        <v>5</v>
      </c>
      <c r="C90" s="2">
        <v>2640623.4970999998</v>
      </c>
      <c r="D90" s="2">
        <v>0.68640000000000001</v>
      </c>
      <c r="E90" s="3">
        <v>243453</v>
      </c>
      <c r="F90" s="2">
        <v>167101.4099</v>
      </c>
      <c r="G90" t="s">
        <v>157</v>
      </c>
      <c r="H90" t="s">
        <v>4</v>
      </c>
      <c r="I90" t="str">
        <f>HLOOKUP(G90,zip_tiers!$A$1:$EON$2,2,FALSE)</f>
        <v/>
      </c>
      <c r="J90" t="str">
        <f t="shared" si="1"/>
        <v>No Data</v>
      </c>
      <c r="K90">
        <f>dataset[[#This Row],[soda_sales]]/dataset[[#This Row],[soda_units_sold]]</f>
        <v>0.68638057407384589</v>
      </c>
      <c r="L90" s="29">
        <f>dataset[[#This Row],[implied_soda_ppu]]-dataset[[#This Row],[soda_ppu]]</f>
        <v>-1.9425926154115203E-5</v>
      </c>
      <c r="M90">
        <f>dataset[[#This Row],[soda_sales]]/dataset[[#This Row],[total_sales]]</f>
        <v>6.3281043315533261E-2</v>
      </c>
      <c r="N90">
        <f>LN(dataset[[#This Row],[soda_units_sold]])</f>
        <v>12.402679184393824</v>
      </c>
      <c r="O90">
        <f>LN(dataset[[#This Row],[soda_sales]])</f>
        <v>12.026356152010488</v>
      </c>
      <c r="P90">
        <f>LN(dataset[[#This Row],[soda_ppu]])</f>
        <v>-0.37629473080838449</v>
      </c>
      <c r="Q90">
        <f>IF(dataset[[#This Row],[state]]="VA",1,0)</f>
        <v>0</v>
      </c>
    </row>
    <row r="91" spans="1:17" x14ac:dyDescent="0.35">
      <c r="A91">
        <v>202306</v>
      </c>
      <c r="B91">
        <v>5</v>
      </c>
      <c r="C91" s="2">
        <v>2482973.3119000001</v>
      </c>
      <c r="D91" s="2">
        <v>0.7359</v>
      </c>
      <c r="E91" s="3">
        <v>234476</v>
      </c>
      <c r="F91" s="2">
        <v>172545.1825</v>
      </c>
      <c r="G91" t="s">
        <v>157</v>
      </c>
      <c r="H91" t="s">
        <v>4</v>
      </c>
      <c r="I91" t="str">
        <f>HLOOKUP(G91,zip_tiers!$A$1:$EON$2,2,FALSE)</f>
        <v/>
      </c>
      <c r="J91" t="str">
        <f t="shared" si="1"/>
        <v>No Data</v>
      </c>
      <c r="K91">
        <f>dataset[[#This Row],[soda_sales]]/dataset[[#This Row],[soda_units_sold]]</f>
        <v>0.73587566531329429</v>
      </c>
      <c r="L91" s="29">
        <f>dataset[[#This Row],[implied_soda_ppu]]-dataset[[#This Row],[soda_ppu]]</f>
        <v>-2.4334686705707043E-5</v>
      </c>
      <c r="M91">
        <f>dataset[[#This Row],[soda_sales]]/dataset[[#This Row],[total_sales]]</f>
        <v>6.9491356058098919E-2</v>
      </c>
      <c r="N91">
        <f>LN(dataset[[#This Row],[soda_units_sold]])</f>
        <v>12.365108516215043</v>
      </c>
      <c r="O91">
        <f>LN(dataset[[#This Row],[soda_sales]])</f>
        <v>12.058414408692755</v>
      </c>
      <c r="P91">
        <f>LN(dataset[[#This Row],[soda_ppu]])</f>
        <v>-0.30666103904958375</v>
      </c>
      <c r="Q91">
        <f>IF(dataset[[#This Row],[state]]="VA",1,0)</f>
        <v>0</v>
      </c>
    </row>
    <row r="92" spans="1:17" x14ac:dyDescent="0.35">
      <c r="A92">
        <v>202307</v>
      </c>
      <c r="B92">
        <v>5</v>
      </c>
      <c r="C92" s="2">
        <v>2432853.1217</v>
      </c>
      <c r="D92" s="2">
        <v>0.72399999999999998</v>
      </c>
      <c r="E92" s="3">
        <v>254239</v>
      </c>
      <c r="F92" s="2">
        <v>184063.94409999999</v>
      </c>
      <c r="G92" t="s">
        <v>157</v>
      </c>
      <c r="H92" t="s">
        <v>4</v>
      </c>
      <c r="I92" t="str">
        <f>HLOOKUP(G92,zip_tiers!$A$1:$EON$2,2,FALSE)</f>
        <v/>
      </c>
      <c r="J92" t="str">
        <f t="shared" si="1"/>
        <v>No Data</v>
      </c>
      <c r="K92">
        <f>dataset[[#This Row],[soda_sales]]/dataset[[#This Row],[soda_units_sold]]</f>
        <v>0.7239799719948552</v>
      </c>
      <c r="L92" s="29">
        <f>dataset[[#This Row],[implied_soda_ppu]]-dataset[[#This Row],[soda_ppu]]</f>
        <v>-2.002800514477876E-5</v>
      </c>
      <c r="M92">
        <f>dataset[[#This Row],[soda_sales]]/dataset[[#This Row],[total_sales]]</f>
        <v>7.5657647581857307E-2</v>
      </c>
      <c r="N92">
        <f>LN(dataset[[#This Row],[soda_units_sold]])</f>
        <v>12.44603004847143</v>
      </c>
      <c r="O92">
        <f>LN(dataset[[#This Row],[soda_sales]])</f>
        <v>12.123038498501849</v>
      </c>
      <c r="P92">
        <f>LN(dataset[[#This Row],[soda_ppu]])</f>
        <v>-0.32296388659642072</v>
      </c>
      <c r="Q92">
        <f>IF(dataset[[#This Row],[state]]="VA",1,0)</f>
        <v>0</v>
      </c>
    </row>
    <row r="93" spans="1:17" x14ac:dyDescent="0.35">
      <c r="A93">
        <v>202308</v>
      </c>
      <c r="B93">
        <v>5</v>
      </c>
      <c r="C93" s="2">
        <v>2283942.6584999999</v>
      </c>
      <c r="D93" s="2">
        <v>0.71789999999999998</v>
      </c>
      <c r="E93" s="3">
        <v>219654</v>
      </c>
      <c r="F93" s="2">
        <v>157684.94560000001</v>
      </c>
      <c r="G93" t="s">
        <v>157</v>
      </c>
      <c r="H93" t="s">
        <v>4</v>
      </c>
      <c r="I93" t="str">
        <f>HLOOKUP(G93,zip_tiers!$A$1:$EON$2,2,FALSE)</f>
        <v/>
      </c>
      <c r="J93" t="str">
        <f t="shared" si="1"/>
        <v>No Data</v>
      </c>
      <c r="K93">
        <f>dataset[[#This Row],[soda_sales]]/dataset[[#This Row],[soda_units_sold]]</f>
        <v>0.71787878026350538</v>
      </c>
      <c r="L93" s="29">
        <f>dataset[[#This Row],[implied_soda_ppu]]-dataset[[#This Row],[soda_ppu]]</f>
        <v>-2.1219736494604291E-5</v>
      </c>
      <c r="M93">
        <f>dataset[[#This Row],[soda_sales]]/dataset[[#This Row],[total_sales]]</f>
        <v>6.904067622413998E-2</v>
      </c>
      <c r="N93">
        <f>LN(dataset[[#This Row],[soda_units_sold]])</f>
        <v>12.299808860028005</v>
      </c>
      <c r="O93">
        <f>LN(dataset[[#This Row],[soda_sales]])</f>
        <v>11.968354306124183</v>
      </c>
      <c r="P93">
        <f>LN(dataset[[#This Row],[soda_ppu]])</f>
        <v>-0.33142499539969977</v>
      </c>
      <c r="Q93">
        <f>IF(dataset[[#This Row],[state]]="VA",1,0)</f>
        <v>0</v>
      </c>
    </row>
    <row r="94" spans="1:17" x14ac:dyDescent="0.35">
      <c r="A94">
        <v>202309</v>
      </c>
      <c r="B94">
        <v>5</v>
      </c>
      <c r="C94" s="2">
        <v>2290277.1294</v>
      </c>
      <c r="D94" s="2">
        <v>0.69840000000000002</v>
      </c>
      <c r="E94" s="3">
        <v>222704</v>
      </c>
      <c r="F94" s="2">
        <v>155545.40890000001</v>
      </c>
      <c r="G94" t="s">
        <v>157</v>
      </c>
      <c r="H94" t="s">
        <v>4</v>
      </c>
      <c r="I94" t="str">
        <f>HLOOKUP(G94,zip_tiers!$A$1:$EON$2,2,FALSE)</f>
        <v/>
      </c>
      <c r="J94" t="str">
        <f t="shared" si="1"/>
        <v>No Data</v>
      </c>
      <c r="K94">
        <f>dataset[[#This Row],[soda_sales]]/dataset[[#This Row],[soda_units_sold]]</f>
        <v>0.69844012186579496</v>
      </c>
      <c r="L94" s="29">
        <f>dataset[[#This Row],[implied_soda_ppu]]-dataset[[#This Row],[soda_ppu]]</f>
        <v>4.0121865794939815E-5</v>
      </c>
      <c r="M94">
        <f>dataset[[#This Row],[soda_sales]]/dataset[[#This Row],[total_sales]]</f>
        <v>6.7915540396087062E-2</v>
      </c>
      <c r="N94">
        <f>LN(dataset[[#This Row],[soda_units_sold]])</f>
        <v>12.313598814467182</v>
      </c>
      <c r="O94">
        <f>LN(dataset[[#This Row],[soda_sales]])</f>
        <v>11.954692986621797</v>
      </c>
      <c r="P94">
        <f>LN(dataset[[#This Row],[soda_ppu]])</f>
        <v>-0.35896327445674459</v>
      </c>
      <c r="Q94">
        <f>IF(dataset[[#This Row],[state]]="VA",1,0)</f>
        <v>0</v>
      </c>
    </row>
    <row r="95" spans="1:17" x14ac:dyDescent="0.35">
      <c r="A95">
        <v>202310</v>
      </c>
      <c r="B95">
        <v>5</v>
      </c>
      <c r="C95" s="2">
        <v>2747243.7006000001</v>
      </c>
      <c r="D95" s="2">
        <v>0.7077</v>
      </c>
      <c r="E95" s="3">
        <v>204068</v>
      </c>
      <c r="F95" s="2">
        <v>144415.24780000001</v>
      </c>
      <c r="G95" t="s">
        <v>157</v>
      </c>
      <c r="H95" t="s">
        <v>4</v>
      </c>
      <c r="I95" t="str">
        <f>HLOOKUP(G95,zip_tiers!$A$1:$EON$2,2,FALSE)</f>
        <v/>
      </c>
      <c r="J95" t="str">
        <f t="shared" si="1"/>
        <v>No Data</v>
      </c>
      <c r="K95">
        <f>dataset[[#This Row],[soda_sales]]/dataset[[#This Row],[soda_units_sold]]</f>
        <v>0.7076819873767568</v>
      </c>
      <c r="L95" s="29">
        <f>dataset[[#This Row],[implied_soda_ppu]]-dataset[[#This Row],[soda_ppu]]</f>
        <v>-1.8012623243190973E-5</v>
      </c>
      <c r="M95">
        <f>dataset[[#This Row],[soda_sales]]/dataset[[#This Row],[total_sales]]</f>
        <v>5.2567323302428401E-2</v>
      </c>
      <c r="N95">
        <f>LN(dataset[[#This Row],[soda_units_sold]])</f>
        <v>12.226208550616473</v>
      </c>
      <c r="O95">
        <f>LN(dataset[[#This Row],[soda_sales]])</f>
        <v>11.880448094049015</v>
      </c>
      <c r="P95">
        <f>LN(dataset[[#This Row],[soda_ppu]])</f>
        <v>-0.34573500390039802</v>
      </c>
      <c r="Q95">
        <f>IF(dataset[[#This Row],[state]]="VA",1,0)</f>
        <v>0</v>
      </c>
    </row>
    <row r="96" spans="1:17" x14ac:dyDescent="0.35">
      <c r="A96">
        <v>202311</v>
      </c>
      <c r="B96">
        <v>5</v>
      </c>
      <c r="C96" s="2">
        <v>3115755.8346000002</v>
      </c>
      <c r="D96" s="2">
        <v>0.70620000000000005</v>
      </c>
      <c r="E96" s="3">
        <v>191792</v>
      </c>
      <c r="F96" s="2">
        <v>135441.83290000001</v>
      </c>
      <c r="G96" t="s">
        <v>157</v>
      </c>
      <c r="H96" t="s">
        <v>4</v>
      </c>
      <c r="I96" t="str">
        <f>HLOOKUP(G96,zip_tiers!$A$1:$EON$2,2,FALSE)</f>
        <v/>
      </c>
      <c r="J96" t="str">
        <f t="shared" si="1"/>
        <v>No Data</v>
      </c>
      <c r="K96">
        <f>dataset[[#This Row],[soda_sales]]/dataset[[#This Row],[soda_units_sold]]</f>
        <v>0.70619125354550771</v>
      </c>
      <c r="L96" s="29">
        <f>dataset[[#This Row],[implied_soda_ppu]]-dataset[[#This Row],[soda_ppu]]</f>
        <v>-8.746454492336575E-6</v>
      </c>
      <c r="M96">
        <f>dataset[[#This Row],[soda_sales]]/dataset[[#This Row],[total_sales]]</f>
        <v>4.3469976496854731E-2</v>
      </c>
      <c r="N96">
        <f>LN(dataset[[#This Row],[soda_units_sold]])</f>
        <v>12.164166730446881</v>
      </c>
      <c r="O96">
        <f>LN(dataset[[#This Row],[soda_sales]])</f>
        <v>11.816297549645158</v>
      </c>
      <c r="P96">
        <f>LN(dataset[[#This Row],[soda_ppu]])</f>
        <v>-0.34785679548785092</v>
      </c>
      <c r="Q96">
        <f>IF(dataset[[#This Row],[state]]="VA",1,0)</f>
        <v>0</v>
      </c>
    </row>
    <row r="97" spans="1:17" x14ac:dyDescent="0.35">
      <c r="A97">
        <v>202312</v>
      </c>
      <c r="B97">
        <v>5</v>
      </c>
      <c r="C97" s="2">
        <v>3354058.0817</v>
      </c>
      <c r="D97" s="2">
        <v>0.7208</v>
      </c>
      <c r="E97" s="3">
        <v>189870</v>
      </c>
      <c r="F97" s="2">
        <v>136855.14929999999</v>
      </c>
      <c r="G97" t="s">
        <v>157</v>
      </c>
      <c r="H97" t="s">
        <v>4</v>
      </c>
      <c r="I97" t="str">
        <f>HLOOKUP(G97,zip_tiers!$A$1:$EON$2,2,FALSE)</f>
        <v/>
      </c>
      <c r="J97" t="str">
        <f t="shared" si="1"/>
        <v>No Data</v>
      </c>
      <c r="K97">
        <f>dataset[[#This Row],[soda_sales]]/dataset[[#This Row],[soda_units_sold]]</f>
        <v>0.72078342708168741</v>
      </c>
      <c r="L97" s="29">
        <f>dataset[[#This Row],[implied_soda_ppu]]-dataset[[#This Row],[soda_ppu]]</f>
        <v>-1.6572918312585116E-5</v>
      </c>
      <c r="M97">
        <f>dataset[[#This Row],[soda_sales]]/dataset[[#This Row],[total_sales]]</f>
        <v>4.08028561123292E-2</v>
      </c>
      <c r="N97">
        <f>LN(dataset[[#This Row],[soda_units_sold]])</f>
        <v>12.154094906437461</v>
      </c>
      <c r="O97">
        <f>LN(dataset[[#This Row],[soda_sales]])</f>
        <v>11.826678341090128</v>
      </c>
      <c r="P97">
        <f>LN(dataset[[#This Row],[soda_ppu]])</f>
        <v>-0.32739357268800889</v>
      </c>
      <c r="Q97">
        <f>IF(dataset[[#This Row],[state]]="VA",1,0)</f>
        <v>0</v>
      </c>
    </row>
    <row r="98" spans="1:17" x14ac:dyDescent="0.35">
      <c r="A98">
        <v>202401</v>
      </c>
      <c r="B98">
        <v>5</v>
      </c>
      <c r="C98" s="2">
        <v>1955606.8244</v>
      </c>
      <c r="D98" s="2">
        <v>0.71719999999999995</v>
      </c>
      <c r="E98" s="3">
        <v>142385</v>
      </c>
      <c r="F98" s="2">
        <v>102111.53260000001</v>
      </c>
      <c r="G98" t="s">
        <v>157</v>
      </c>
      <c r="H98" t="s">
        <v>4</v>
      </c>
      <c r="I98" t="str">
        <f>HLOOKUP(G98,zip_tiers!$A$1:$EON$2,2,FALSE)</f>
        <v/>
      </c>
      <c r="J98" t="str">
        <f t="shared" si="1"/>
        <v>No Data</v>
      </c>
      <c r="K98">
        <f>dataset[[#This Row],[soda_sales]]/dataset[[#This Row],[soda_units_sold]]</f>
        <v>0.71715091196404124</v>
      </c>
      <c r="L98" s="29">
        <f>dataset[[#This Row],[implied_soda_ppu]]-dataset[[#This Row],[soda_ppu]]</f>
        <v>-4.9088035958710918E-5</v>
      </c>
      <c r="M98">
        <f>dataset[[#This Row],[soda_sales]]/dataset[[#This Row],[total_sales]]</f>
        <v>5.2214755709562868E-2</v>
      </c>
      <c r="N98">
        <f>LN(dataset[[#This Row],[soda_units_sold]])</f>
        <v>11.866289935333022</v>
      </c>
      <c r="O98">
        <f>LN(dataset[[#This Row],[soda_sales]])</f>
        <v>11.533820951740637</v>
      </c>
      <c r="P98">
        <f>LN(dataset[[#This Row],[soda_ppu]])</f>
        <v>-0.33240053725115931</v>
      </c>
      <c r="Q98">
        <f>IF(dataset[[#This Row],[state]]="VA",1,0)</f>
        <v>0</v>
      </c>
    </row>
    <row r="99" spans="1:17" x14ac:dyDescent="0.35">
      <c r="A99">
        <v>202402</v>
      </c>
      <c r="B99">
        <v>5</v>
      </c>
      <c r="C99" s="2">
        <v>2158167.9001000002</v>
      </c>
      <c r="D99" s="2">
        <v>0.71430000000000005</v>
      </c>
      <c r="E99" s="3">
        <v>155460</v>
      </c>
      <c r="F99" s="2">
        <v>111038.1741</v>
      </c>
      <c r="G99" t="s">
        <v>157</v>
      </c>
      <c r="H99" t="s">
        <v>4</v>
      </c>
      <c r="I99" t="str">
        <f>HLOOKUP(G99,zip_tiers!$A$1:$EON$2,2,FALSE)</f>
        <v/>
      </c>
      <c r="J99" t="str">
        <f t="shared" si="1"/>
        <v>No Data</v>
      </c>
      <c r="K99">
        <f>dataset[[#This Row],[soda_sales]]/dataset[[#This Row],[soda_units_sold]]</f>
        <v>0.71425559050559628</v>
      </c>
      <c r="L99" s="29">
        <f>dataset[[#This Row],[implied_soda_ppu]]-dataset[[#This Row],[soda_ppu]]</f>
        <v>-4.4409494403763183E-5</v>
      </c>
      <c r="M99">
        <f>dataset[[#This Row],[soda_sales]]/dataset[[#This Row],[total_sales]]</f>
        <v>5.1450201856331465E-2</v>
      </c>
      <c r="N99">
        <f>LN(dataset[[#This Row],[soda_units_sold]])</f>
        <v>11.954143742784211</v>
      </c>
      <c r="O99">
        <f>LN(dataset[[#This Row],[soda_sales]])</f>
        <v>11.617629331981515</v>
      </c>
      <c r="P99">
        <f>LN(dataset[[#This Row],[soda_ppu]])</f>
        <v>-0.33645223682121023</v>
      </c>
      <c r="Q99">
        <f>IF(dataset[[#This Row],[state]]="VA",1,0)</f>
        <v>0</v>
      </c>
    </row>
    <row r="100" spans="1:17" x14ac:dyDescent="0.35">
      <c r="A100">
        <v>202403</v>
      </c>
      <c r="B100">
        <v>5</v>
      </c>
      <c r="C100" s="2">
        <v>2432593.7831999999</v>
      </c>
      <c r="D100" s="2">
        <v>0.74750000000000005</v>
      </c>
      <c r="E100" s="3">
        <v>178094</v>
      </c>
      <c r="F100" s="2">
        <v>133118.14550000001</v>
      </c>
      <c r="G100" t="s">
        <v>157</v>
      </c>
      <c r="H100" t="s">
        <v>4</v>
      </c>
      <c r="I100" t="str">
        <f>HLOOKUP(G100,zip_tiers!$A$1:$EON$2,2,FALSE)</f>
        <v/>
      </c>
      <c r="J100" t="str">
        <f t="shared" si="1"/>
        <v>No Data</v>
      </c>
      <c r="K100">
        <f>dataset[[#This Row],[soda_sales]]/dataset[[#This Row],[soda_units_sold]]</f>
        <v>0.74746002391995248</v>
      </c>
      <c r="L100" s="29">
        <f>dataset[[#This Row],[implied_soda_ppu]]-dataset[[#This Row],[soda_ppu]]</f>
        <v>-3.9976080047576801E-5</v>
      </c>
      <c r="M100">
        <f>dataset[[#This Row],[soda_sales]]/dataset[[#This Row],[total_sales]]</f>
        <v>5.4722718778343386E-2</v>
      </c>
      <c r="N100">
        <f>LN(dataset[[#This Row],[soda_units_sold]])</f>
        <v>12.090066779771469</v>
      </c>
      <c r="O100">
        <f>LN(dataset[[#This Row],[soda_sales]])</f>
        <v>11.798992324918334</v>
      </c>
      <c r="P100">
        <f>LN(dataset[[#This Row],[soda_ppu]])</f>
        <v>-0.29102097371729546</v>
      </c>
      <c r="Q100">
        <f>IF(dataset[[#This Row],[state]]="VA",1,0)</f>
        <v>0</v>
      </c>
    </row>
    <row r="101" spans="1:17" x14ac:dyDescent="0.35">
      <c r="A101">
        <v>202404</v>
      </c>
      <c r="B101">
        <v>5</v>
      </c>
      <c r="C101" s="2">
        <v>2625316.5978000001</v>
      </c>
      <c r="D101" s="2">
        <v>0.71250000000000002</v>
      </c>
      <c r="E101" s="3">
        <v>220830</v>
      </c>
      <c r="F101" s="2">
        <v>157345.7242</v>
      </c>
      <c r="G101" t="s">
        <v>157</v>
      </c>
      <c r="H101" t="s">
        <v>4</v>
      </c>
      <c r="I101" t="str">
        <f>HLOOKUP(G101,zip_tiers!$A$1:$EON$2,2,FALSE)</f>
        <v/>
      </c>
      <c r="J101" t="str">
        <f t="shared" si="1"/>
        <v>No Data</v>
      </c>
      <c r="K101">
        <f>dataset[[#This Row],[soda_sales]]/dataset[[#This Row],[soda_units_sold]]</f>
        <v>0.71251969478784583</v>
      </c>
      <c r="L101" s="29">
        <f>dataset[[#This Row],[implied_soda_ppu]]-dataset[[#This Row],[soda_ppu]]</f>
        <v>1.9694787845803141E-5</v>
      </c>
      <c r="M101">
        <f>dataset[[#This Row],[soda_sales]]/dataset[[#This Row],[total_sales]]</f>
        <v>5.9933999705732557E-2</v>
      </c>
      <c r="N101">
        <f>LN(dataset[[#This Row],[soda_units_sold]])</f>
        <v>12.305148453720861</v>
      </c>
      <c r="O101">
        <f>LN(dataset[[#This Row],[soda_sales]])</f>
        <v>11.966200728307005</v>
      </c>
      <c r="P101">
        <f>LN(dataset[[#This Row],[soda_ppu]])</f>
        <v>-0.33897536683933144</v>
      </c>
      <c r="Q101">
        <f>IF(dataset[[#This Row],[state]]="VA",1,0)</f>
        <v>0</v>
      </c>
    </row>
    <row r="102" spans="1:17" x14ac:dyDescent="0.35">
      <c r="A102">
        <v>202405</v>
      </c>
      <c r="B102">
        <v>5</v>
      </c>
      <c r="C102" s="2">
        <v>2701306.0715000001</v>
      </c>
      <c r="D102" s="2">
        <v>0.71089999999999998</v>
      </c>
      <c r="E102" s="3">
        <v>244809</v>
      </c>
      <c r="F102" s="2">
        <v>174028.9566</v>
      </c>
      <c r="G102" t="s">
        <v>157</v>
      </c>
      <c r="H102" t="s">
        <v>4</v>
      </c>
      <c r="I102" t="str">
        <f>HLOOKUP(G102,zip_tiers!$A$1:$EON$2,2,FALSE)</f>
        <v/>
      </c>
      <c r="J102" t="str">
        <f t="shared" si="1"/>
        <v>No Data</v>
      </c>
      <c r="K102">
        <f>dataset[[#This Row],[soda_sales]]/dataset[[#This Row],[soda_units_sold]]</f>
        <v>0.71087646532602966</v>
      </c>
      <c r="L102" s="29">
        <f>dataset[[#This Row],[implied_soda_ppu]]-dataset[[#This Row],[soda_ppu]]</f>
        <v>-2.3534673970315723E-5</v>
      </c>
      <c r="M102">
        <f>dataset[[#This Row],[soda_sales]]/dataset[[#This Row],[total_sales]]</f>
        <v>6.4424005275109011E-2</v>
      </c>
      <c r="N102">
        <f>LN(dataset[[#This Row],[soda_units_sold]])</f>
        <v>12.408233593650385</v>
      </c>
      <c r="O102">
        <f>LN(dataset[[#This Row],[soda_sales]])</f>
        <v>12.066976981592232</v>
      </c>
      <c r="P102">
        <f>LN(dataset[[#This Row],[soda_ppu]])</f>
        <v>-0.34122350604669965</v>
      </c>
      <c r="Q102">
        <f>IF(dataset[[#This Row],[state]]="VA",1,0)</f>
        <v>0</v>
      </c>
    </row>
    <row r="103" spans="1:17" x14ac:dyDescent="0.35">
      <c r="A103">
        <v>202406</v>
      </c>
      <c r="B103">
        <v>5</v>
      </c>
      <c r="C103" s="2">
        <v>2523562.6384999999</v>
      </c>
      <c r="D103" s="2">
        <v>0.74660000000000004</v>
      </c>
      <c r="E103" s="3">
        <v>237691</v>
      </c>
      <c r="F103" s="2">
        <v>177459.67</v>
      </c>
      <c r="G103" t="s">
        <v>157</v>
      </c>
      <c r="H103" t="s">
        <v>4</v>
      </c>
      <c r="I103" t="str">
        <f>HLOOKUP(G103,zip_tiers!$A$1:$EON$2,2,FALSE)</f>
        <v/>
      </c>
      <c r="J103" t="str">
        <f t="shared" si="1"/>
        <v>No Data</v>
      </c>
      <c r="K103">
        <f>dataset[[#This Row],[soda_sales]]/dataset[[#This Row],[soda_units_sold]]</f>
        <v>0.74659818840427283</v>
      </c>
      <c r="L103" s="29">
        <f>dataset[[#This Row],[implied_soda_ppu]]-dataset[[#This Row],[soda_ppu]]</f>
        <v>-1.8115957272080152E-6</v>
      </c>
      <c r="M103">
        <f>dataset[[#This Row],[soda_sales]]/dataset[[#This Row],[total_sales]]</f>
        <v>7.0321087851214048E-2</v>
      </c>
      <c r="N103">
        <f>LN(dataset[[#This Row],[soda_units_sold]])</f>
        <v>12.378726789779135</v>
      </c>
      <c r="O103">
        <f>LN(dataset[[#This Row],[soda_sales]])</f>
        <v>12.086498650813612</v>
      </c>
      <c r="P103">
        <f>LN(dataset[[#This Row],[soda_ppu]])</f>
        <v>-0.29222571250165352</v>
      </c>
      <c r="Q103">
        <f>IF(dataset[[#This Row],[state]]="VA",1,0)</f>
        <v>0</v>
      </c>
    </row>
    <row r="104" spans="1:17" x14ac:dyDescent="0.35">
      <c r="A104">
        <v>202407</v>
      </c>
      <c r="B104">
        <v>5</v>
      </c>
      <c r="C104" s="2">
        <v>2466034.8064000001</v>
      </c>
      <c r="D104" s="2">
        <v>0.74780000000000002</v>
      </c>
      <c r="E104" s="3">
        <v>250267</v>
      </c>
      <c r="F104" s="2">
        <v>187142.63649999999</v>
      </c>
      <c r="G104" t="s">
        <v>157</v>
      </c>
      <c r="H104" t="s">
        <v>4</v>
      </c>
      <c r="I104" t="str">
        <f>HLOOKUP(G104,zip_tiers!$A$1:$EON$2,2,FALSE)</f>
        <v/>
      </c>
      <c r="J104" t="str">
        <f t="shared" si="1"/>
        <v>No Data</v>
      </c>
      <c r="K104">
        <f>dataset[[#This Row],[soda_sales]]/dataset[[#This Row],[soda_units_sold]]</f>
        <v>0.74777192558347683</v>
      </c>
      <c r="L104" s="29">
        <f>dataset[[#This Row],[implied_soda_ppu]]-dataset[[#This Row],[soda_ppu]]</f>
        <v>-2.8074416523193868E-5</v>
      </c>
      <c r="M104">
        <f>dataset[[#This Row],[soda_sales]]/dataset[[#This Row],[total_sales]]</f>
        <v>7.5888075875618743E-2</v>
      </c>
      <c r="N104">
        <f>LN(dataset[[#This Row],[soda_units_sold]])</f>
        <v>12.43028362693812</v>
      </c>
      <c r="O104">
        <f>LN(dataset[[#This Row],[soda_sales]])</f>
        <v>12.139626367113692</v>
      </c>
      <c r="P104">
        <f>LN(dataset[[#This Row],[soda_ppu]])</f>
        <v>-0.29061971643912365</v>
      </c>
      <c r="Q104">
        <f>IF(dataset[[#This Row],[state]]="VA",1,0)</f>
        <v>0</v>
      </c>
    </row>
    <row r="105" spans="1:17" x14ac:dyDescent="0.35">
      <c r="A105">
        <v>202408</v>
      </c>
      <c r="B105">
        <v>5</v>
      </c>
      <c r="C105" s="2">
        <v>2360886.0721999998</v>
      </c>
      <c r="D105" s="2">
        <v>0.75139999999999996</v>
      </c>
      <c r="E105" s="3">
        <v>219948</v>
      </c>
      <c r="F105" s="2">
        <v>165268.26459999999</v>
      </c>
      <c r="G105" t="s">
        <v>157</v>
      </c>
      <c r="H105" t="s">
        <v>4</v>
      </c>
      <c r="I105" t="str">
        <f>HLOOKUP(G105,zip_tiers!$A$1:$EON$2,2,FALSE)</f>
        <v/>
      </c>
      <c r="J105" t="str">
        <f t="shared" si="1"/>
        <v>No Data</v>
      </c>
      <c r="K105">
        <f>dataset[[#This Row],[soda_sales]]/dataset[[#This Row],[soda_units_sold]]</f>
        <v>0.75139698746976558</v>
      </c>
      <c r="L105" s="29">
        <f>dataset[[#This Row],[implied_soda_ppu]]-dataset[[#This Row],[soda_ppu]]</f>
        <v>-3.0125302343808613E-6</v>
      </c>
      <c r="M105">
        <f>dataset[[#This Row],[soda_sales]]/dataset[[#This Row],[total_sales]]</f>
        <v>7.0002642883141827E-2</v>
      </c>
      <c r="N105">
        <f>LN(dataset[[#This Row],[soda_units_sold]])</f>
        <v>12.301146433759849</v>
      </c>
      <c r="O105">
        <f>LN(dataset[[#This Row],[soda_sales]])</f>
        <v>12.015325278686447</v>
      </c>
      <c r="P105">
        <f>LN(dataset[[#This Row],[soda_ppu]])</f>
        <v>-0.28581714584226858</v>
      </c>
      <c r="Q105">
        <f>IF(dataset[[#This Row],[state]]="VA",1,0)</f>
        <v>0</v>
      </c>
    </row>
    <row r="106" spans="1:17" x14ac:dyDescent="0.35">
      <c r="A106">
        <v>202409</v>
      </c>
      <c r="B106">
        <v>5</v>
      </c>
      <c r="C106" s="2">
        <v>2358914.6197000002</v>
      </c>
      <c r="D106" s="2">
        <v>0.77449999999999997</v>
      </c>
      <c r="E106" s="3">
        <v>202997</v>
      </c>
      <c r="F106" s="2">
        <v>157219.10370000001</v>
      </c>
      <c r="G106" t="s">
        <v>157</v>
      </c>
      <c r="H106" t="s">
        <v>4</v>
      </c>
      <c r="I106" t="str">
        <f>HLOOKUP(G106,zip_tiers!$A$1:$EON$2,2,FALSE)</f>
        <v/>
      </c>
      <c r="J106" t="str">
        <f t="shared" si="1"/>
        <v>No Data</v>
      </c>
      <c r="K106">
        <f>dataset[[#This Row],[soda_sales]]/dataset[[#This Row],[soda_units_sold]]</f>
        <v>0.77448978901166032</v>
      </c>
      <c r="L106" s="29">
        <f>dataset[[#This Row],[implied_soda_ppu]]-dataset[[#This Row],[soda_ppu]]</f>
        <v>-1.0210988339642846E-5</v>
      </c>
      <c r="M106">
        <f>dataset[[#This Row],[soda_sales]]/dataset[[#This Row],[total_sales]]</f>
        <v>6.6648916576724032E-2</v>
      </c>
      <c r="N106">
        <f>LN(dataset[[#This Row],[soda_units_sold]])</f>
        <v>12.220946479589601</v>
      </c>
      <c r="O106">
        <f>LN(dataset[[#This Row],[soda_sales]])</f>
        <v>11.965395676402862</v>
      </c>
      <c r="P106">
        <f>LN(dataset[[#This Row],[soda_ppu]])</f>
        <v>-0.25553761912521378</v>
      </c>
      <c r="Q106">
        <f>IF(dataset[[#This Row],[state]]="VA",1,0)</f>
        <v>0</v>
      </c>
    </row>
    <row r="107" spans="1:17" x14ac:dyDescent="0.35">
      <c r="A107">
        <v>202410</v>
      </c>
      <c r="B107">
        <v>5</v>
      </c>
      <c r="C107" s="2">
        <v>2874681.9117999999</v>
      </c>
      <c r="D107" s="2">
        <v>0.77139999999999997</v>
      </c>
      <c r="E107" s="3">
        <v>195905</v>
      </c>
      <c r="F107" s="2">
        <v>151116.23120000001</v>
      </c>
      <c r="G107" t="s">
        <v>157</v>
      </c>
      <c r="H107" t="s">
        <v>4</v>
      </c>
      <c r="I107" t="str">
        <f>HLOOKUP(G107,zip_tiers!$A$1:$EON$2,2,FALSE)</f>
        <v/>
      </c>
      <c r="J107" t="str">
        <f t="shared" si="1"/>
        <v>No Data</v>
      </c>
      <c r="K107">
        <f>dataset[[#This Row],[soda_sales]]/dataset[[#This Row],[soda_units_sold]]</f>
        <v>0.77137506036088921</v>
      </c>
      <c r="L107" s="29">
        <f>dataset[[#This Row],[implied_soda_ppu]]-dataset[[#This Row],[soda_ppu]]</f>
        <v>-2.493963911076591E-5</v>
      </c>
      <c r="M107">
        <f>dataset[[#This Row],[soda_sales]]/dataset[[#This Row],[total_sales]]</f>
        <v>5.2567983462691231E-2</v>
      </c>
      <c r="N107">
        <f>LN(dataset[[#This Row],[soda_units_sold]])</f>
        <v>12.185385126833056</v>
      </c>
      <c r="O107">
        <f>LN(dataset[[#This Row],[soda_sales]])</f>
        <v>11.925804562743178</v>
      </c>
      <c r="P107">
        <f>LN(dataset[[#This Row],[soda_ppu]])</f>
        <v>-0.25954823320800968</v>
      </c>
      <c r="Q107">
        <f>IF(dataset[[#This Row],[state]]="VA",1,0)</f>
        <v>0</v>
      </c>
    </row>
    <row r="108" spans="1:17" x14ac:dyDescent="0.35">
      <c r="A108">
        <v>202411</v>
      </c>
      <c r="B108">
        <v>5</v>
      </c>
      <c r="C108" s="2">
        <v>3283952.4049</v>
      </c>
      <c r="D108" s="2">
        <v>0.77510000000000001</v>
      </c>
      <c r="E108" s="3">
        <v>182489</v>
      </c>
      <c r="F108" s="2">
        <v>141455.73920000001</v>
      </c>
      <c r="G108" t="s">
        <v>157</v>
      </c>
      <c r="H108" t="s">
        <v>4</v>
      </c>
      <c r="I108" t="str">
        <f>HLOOKUP(G108,zip_tiers!$A$1:$EON$2,2,FALSE)</f>
        <v/>
      </c>
      <c r="J108" t="str">
        <f t="shared" si="1"/>
        <v>No Data</v>
      </c>
      <c r="K108">
        <f>dataset[[#This Row],[soda_sales]]/dataset[[#This Row],[soda_units_sold]]</f>
        <v>0.77514666199058579</v>
      </c>
      <c r="L108" s="29">
        <f>dataset[[#This Row],[implied_soda_ppu]]-dataset[[#This Row],[soda_ppu]]</f>
        <v>4.6661990585783464E-5</v>
      </c>
      <c r="M108">
        <f>dataset[[#This Row],[soda_sales]]/dataset[[#This Row],[total_sales]]</f>
        <v>4.3074844504120482E-2</v>
      </c>
      <c r="N108">
        <f>LN(dataset[[#This Row],[soda_units_sold]])</f>
        <v>12.114445176215531</v>
      </c>
      <c r="O108">
        <f>LN(dataset[[#This Row],[soda_sales]])</f>
        <v>11.859742149961045</v>
      </c>
      <c r="P108">
        <f>LN(dataset[[#This Row],[soda_ppu]])</f>
        <v>-0.2547632256946713</v>
      </c>
      <c r="Q108">
        <f>IF(dataset[[#This Row],[state]]="VA",1,0)</f>
        <v>0</v>
      </c>
    </row>
    <row r="109" spans="1:17" x14ac:dyDescent="0.35">
      <c r="A109">
        <v>202412</v>
      </c>
      <c r="B109">
        <v>5</v>
      </c>
      <c r="C109" s="2">
        <v>3318117.1502</v>
      </c>
      <c r="D109" s="2">
        <v>0.72940000000000005</v>
      </c>
      <c r="E109" s="3">
        <v>182722</v>
      </c>
      <c r="F109" s="2">
        <v>133270.01079999999</v>
      </c>
      <c r="G109" t="s">
        <v>157</v>
      </c>
      <c r="H109" t="s">
        <v>4</v>
      </c>
      <c r="I109" t="str">
        <f>HLOOKUP(G109,zip_tiers!$A$1:$EON$2,2,FALSE)</f>
        <v/>
      </c>
      <c r="J109" t="str">
        <f t="shared" si="1"/>
        <v>No Data</v>
      </c>
      <c r="K109">
        <f>dataset[[#This Row],[soda_sales]]/dataset[[#This Row],[soda_units_sold]]</f>
        <v>0.72935941375422764</v>
      </c>
      <c r="L109" s="29">
        <f>dataset[[#This Row],[implied_soda_ppu]]-dataset[[#This Row],[soda_ppu]]</f>
        <v>-4.0586245772411544E-5</v>
      </c>
      <c r="M109">
        <f>dataset[[#This Row],[soda_sales]]/dataset[[#This Row],[total_sales]]</f>
        <v>4.016434766083142E-2</v>
      </c>
      <c r="N109">
        <f>LN(dataset[[#This Row],[soda_units_sold]])</f>
        <v>12.11572115109916</v>
      </c>
      <c r="O109">
        <f>LN(dataset[[#This Row],[soda_sales]])</f>
        <v>11.800132505612263</v>
      </c>
      <c r="P109">
        <f>LN(dataset[[#This Row],[soda_ppu]])</f>
        <v>-0.31553300060755712</v>
      </c>
      <c r="Q109">
        <f>IF(dataset[[#This Row],[state]]="VA",1,0)</f>
        <v>0</v>
      </c>
    </row>
    <row r="110" spans="1:17" x14ac:dyDescent="0.35">
      <c r="A110">
        <v>202201</v>
      </c>
      <c r="B110">
        <v>14</v>
      </c>
      <c r="C110" s="2">
        <v>2466696.9372</v>
      </c>
      <c r="D110" s="2">
        <v>0.72460000000000002</v>
      </c>
      <c r="E110" s="3">
        <v>133827</v>
      </c>
      <c r="F110" s="2">
        <v>96968.045199999993</v>
      </c>
      <c r="G110" t="s">
        <v>924</v>
      </c>
      <c r="H110" t="s">
        <v>6</v>
      </c>
      <c r="I110">
        <f>HLOOKUP(G110,zip_tiers!$A$1:$EON$2,2,FALSE)</f>
        <v>117833.33333333333</v>
      </c>
      <c r="J110" t="str">
        <f t="shared" si="1"/>
        <v>High</v>
      </c>
      <c r="K110">
        <f>dataset[[#This Row],[soda_sales]]/dataset[[#This Row],[soda_units_sold]]</f>
        <v>0.72457759047128001</v>
      </c>
      <c r="L110" s="29">
        <f>dataset[[#This Row],[implied_soda_ppu]]-dataset[[#This Row],[soda_ppu]]</f>
        <v>-2.2409528720013228E-5</v>
      </c>
      <c r="M110">
        <f>dataset[[#This Row],[soda_sales]]/dataset[[#This Row],[total_sales]]</f>
        <v>3.9310887258841971E-2</v>
      </c>
      <c r="N110">
        <f>LN(dataset[[#This Row],[soda_units_sold]])</f>
        <v>11.804303200040623</v>
      </c>
      <c r="O110">
        <f>LN(dataset[[#This Row],[soda_sales]])</f>
        <v>11.482136772283397</v>
      </c>
      <c r="P110">
        <f>LN(dataset[[#This Row],[soda_ppu]])</f>
        <v>-0.32213550052116019</v>
      </c>
      <c r="Q110">
        <f>IF(dataset[[#This Row],[state]]="VA",1,0)</f>
        <v>0</v>
      </c>
    </row>
    <row r="111" spans="1:17" x14ac:dyDescent="0.35">
      <c r="A111">
        <v>202202</v>
      </c>
      <c r="B111">
        <v>14</v>
      </c>
      <c r="C111" s="2">
        <v>2811060.3489999999</v>
      </c>
      <c r="D111" s="2">
        <v>0.73599999999999999</v>
      </c>
      <c r="E111" s="3">
        <v>147116</v>
      </c>
      <c r="F111" s="2">
        <v>108281.0975</v>
      </c>
      <c r="G111" t="s">
        <v>924</v>
      </c>
      <c r="H111" t="s">
        <v>6</v>
      </c>
      <c r="I111">
        <f>HLOOKUP(G111,zip_tiers!$A$1:$EON$2,2,FALSE)</f>
        <v>117833.33333333333</v>
      </c>
      <c r="J111" t="str">
        <f t="shared" si="1"/>
        <v>High</v>
      </c>
      <c r="K111">
        <f>dataset[[#This Row],[soda_sales]]/dataset[[#This Row],[soda_units_sold]]</f>
        <v>0.73602529636477343</v>
      </c>
      <c r="L111" s="29">
        <f>dataset[[#This Row],[implied_soda_ppu]]-dataset[[#This Row],[soda_ppu]]</f>
        <v>2.529636477344166E-5</v>
      </c>
      <c r="M111">
        <f>dataset[[#This Row],[soda_sales]]/dataset[[#This Row],[total_sales]]</f>
        <v>3.851966306540508E-2</v>
      </c>
      <c r="N111">
        <f>LN(dataset[[#This Row],[soda_units_sold]])</f>
        <v>11.898976670219078</v>
      </c>
      <c r="O111">
        <f>LN(dataset[[#This Row],[soda_sales]])</f>
        <v>11.592485879436014</v>
      </c>
      <c r="P111">
        <f>LN(dataset[[#This Row],[soda_ppu]])</f>
        <v>-0.30652516025326082</v>
      </c>
      <c r="Q111">
        <f>IF(dataset[[#This Row],[state]]="VA",1,0)</f>
        <v>0</v>
      </c>
    </row>
    <row r="112" spans="1:17" x14ac:dyDescent="0.35">
      <c r="A112">
        <v>202203</v>
      </c>
      <c r="B112">
        <v>14</v>
      </c>
      <c r="C112" s="2">
        <v>3050868.7122</v>
      </c>
      <c r="D112" s="2">
        <v>0.7238</v>
      </c>
      <c r="E112" s="3">
        <v>172678</v>
      </c>
      <c r="F112" s="2">
        <v>124991.46030000001</v>
      </c>
      <c r="G112" t="s">
        <v>924</v>
      </c>
      <c r="H112" t="s">
        <v>6</v>
      </c>
      <c r="I112">
        <f>HLOOKUP(G112,zip_tiers!$A$1:$EON$2,2,FALSE)</f>
        <v>117833.33333333333</v>
      </c>
      <c r="J112" t="str">
        <f t="shared" si="1"/>
        <v>High</v>
      </c>
      <c r="K112">
        <f>dataset[[#This Row],[soda_sales]]/dataset[[#This Row],[soda_units_sold]]</f>
        <v>0.7238412554002247</v>
      </c>
      <c r="L112" s="29">
        <f>dataset[[#This Row],[implied_soda_ppu]]-dataset[[#This Row],[soda_ppu]]</f>
        <v>4.125540022470453E-5</v>
      </c>
      <c r="M112">
        <f>dataset[[#This Row],[soda_sales]]/dataset[[#This Row],[total_sales]]</f>
        <v>4.0969137675500922E-2</v>
      </c>
      <c r="N112">
        <f>LN(dataset[[#This Row],[soda_units_sold]])</f>
        <v>12.05918386748513</v>
      </c>
      <c r="O112">
        <f>LN(dataset[[#This Row],[soda_sales]])</f>
        <v>11.736000696350684</v>
      </c>
      <c r="P112">
        <f>LN(dataset[[#This Row],[soda_ppu]])</f>
        <v>-0.32324016785249499</v>
      </c>
      <c r="Q112">
        <f>IF(dataset[[#This Row],[state]]="VA",1,0)</f>
        <v>0</v>
      </c>
    </row>
    <row r="113" spans="1:17" x14ac:dyDescent="0.35">
      <c r="A113">
        <v>202204</v>
      </c>
      <c r="B113">
        <v>14</v>
      </c>
      <c r="C113" s="2">
        <v>3297164.4112</v>
      </c>
      <c r="D113" s="2">
        <v>0.70989999999999998</v>
      </c>
      <c r="E113" s="3">
        <v>209161</v>
      </c>
      <c r="F113" s="2">
        <v>148492.71429999999</v>
      </c>
      <c r="G113" t="s">
        <v>924</v>
      </c>
      <c r="H113" t="s">
        <v>6</v>
      </c>
      <c r="I113">
        <f>HLOOKUP(G113,zip_tiers!$A$1:$EON$2,2,FALSE)</f>
        <v>117833.33333333333</v>
      </c>
      <c r="J113" t="str">
        <f t="shared" si="1"/>
        <v>High</v>
      </c>
      <c r="K113">
        <f>dataset[[#This Row],[soda_sales]]/dataset[[#This Row],[soda_units_sold]]</f>
        <v>0.70994456088850211</v>
      </c>
      <c r="L113" s="29">
        <f>dataset[[#This Row],[implied_soda_ppu]]-dataset[[#This Row],[soda_ppu]]</f>
        <v>4.4560888502132023E-5</v>
      </c>
      <c r="M113">
        <f>dataset[[#This Row],[soda_sales]]/dataset[[#This Row],[total_sales]]</f>
        <v>4.5036490687449887E-2</v>
      </c>
      <c r="N113">
        <f>LN(dataset[[#This Row],[soda_units_sold]])</f>
        <v>12.250859569319514</v>
      </c>
      <c r="O113">
        <f>LN(dataset[[#This Row],[soda_sales]])</f>
        <v>11.908291174068452</v>
      </c>
      <c r="P113">
        <f>LN(dataset[[#This Row],[soda_ppu]])</f>
        <v>-0.34263116393679688</v>
      </c>
      <c r="Q113">
        <f>IF(dataset[[#This Row],[state]]="VA",1,0)</f>
        <v>0</v>
      </c>
    </row>
    <row r="114" spans="1:17" x14ac:dyDescent="0.35">
      <c r="A114">
        <v>202205</v>
      </c>
      <c r="B114">
        <v>14</v>
      </c>
      <c r="C114" s="2">
        <v>3395847.6104000001</v>
      </c>
      <c r="D114" s="2">
        <v>0.74299999999999999</v>
      </c>
      <c r="E114" s="3">
        <v>217837</v>
      </c>
      <c r="F114" s="2">
        <v>161858.44190000001</v>
      </c>
      <c r="G114" t="s">
        <v>924</v>
      </c>
      <c r="H114" t="s">
        <v>6</v>
      </c>
      <c r="I114">
        <f>HLOOKUP(G114,zip_tiers!$A$1:$EON$2,2,FALSE)</f>
        <v>117833.33333333333</v>
      </c>
      <c r="J114" t="str">
        <f t="shared" si="1"/>
        <v>High</v>
      </c>
      <c r="K114">
        <f>dataset[[#This Row],[soda_sales]]/dataset[[#This Row],[soda_units_sold]]</f>
        <v>0.74302548189701478</v>
      </c>
      <c r="L114" s="29">
        <f>dataset[[#This Row],[implied_soda_ppu]]-dataset[[#This Row],[soda_ppu]]</f>
        <v>2.5481897014789645E-5</v>
      </c>
      <c r="M114">
        <f>dataset[[#This Row],[soda_sales]]/dataset[[#This Row],[total_sales]]</f>
        <v>4.7663635259809121E-2</v>
      </c>
      <c r="N114">
        <f>LN(dataset[[#This Row],[soda_units_sold]])</f>
        <v>12.291502355677345</v>
      </c>
      <c r="O114">
        <f>LN(dataset[[#This Row],[soda_sales]])</f>
        <v>11.99447741678317</v>
      </c>
      <c r="P114">
        <f>LN(dataset[[#This Row],[soda_ppu]])</f>
        <v>-0.29705923426437791</v>
      </c>
      <c r="Q114">
        <f>IF(dataset[[#This Row],[state]]="VA",1,0)</f>
        <v>0</v>
      </c>
    </row>
    <row r="115" spans="1:17" x14ac:dyDescent="0.35">
      <c r="A115">
        <v>202206</v>
      </c>
      <c r="B115">
        <v>14</v>
      </c>
      <c r="C115" s="2">
        <v>3264788.8070999999</v>
      </c>
      <c r="D115" s="2">
        <v>0.72929999999999995</v>
      </c>
      <c r="E115" s="3">
        <v>231672</v>
      </c>
      <c r="F115" s="2">
        <v>168968.02290000001</v>
      </c>
      <c r="G115" t="s">
        <v>924</v>
      </c>
      <c r="H115" t="s">
        <v>6</v>
      </c>
      <c r="I115">
        <f>HLOOKUP(G115,zip_tiers!$A$1:$EON$2,2,FALSE)</f>
        <v>117833.33333333333</v>
      </c>
      <c r="J115" t="str">
        <f t="shared" si="1"/>
        <v>High</v>
      </c>
      <c r="K115">
        <f>dataset[[#This Row],[soda_sales]]/dataset[[#This Row],[soda_units_sold]]</f>
        <v>0.72934158163265306</v>
      </c>
      <c r="L115" s="29">
        <f>dataset[[#This Row],[implied_soda_ppu]]-dataset[[#This Row],[soda_ppu]]</f>
        <v>4.1581632653109324E-5</v>
      </c>
      <c r="M115">
        <f>dataset[[#This Row],[soda_sales]]/dataset[[#This Row],[total_sales]]</f>
        <v>5.1754656390802969E-2</v>
      </c>
      <c r="N115">
        <f>LN(dataset[[#This Row],[soda_units_sold]])</f>
        <v>12.353077857196562</v>
      </c>
      <c r="O115">
        <f>LN(dataset[[#This Row],[soda_sales]])</f>
        <v>12.03746476239259</v>
      </c>
      <c r="P115">
        <f>LN(dataset[[#This Row],[soda_ppu]])</f>
        <v>-0.31567010899194975</v>
      </c>
      <c r="Q115">
        <f>IF(dataset[[#This Row],[state]]="VA",1,0)</f>
        <v>0</v>
      </c>
    </row>
    <row r="116" spans="1:17" x14ac:dyDescent="0.35">
      <c r="A116">
        <v>202207</v>
      </c>
      <c r="B116">
        <v>14</v>
      </c>
      <c r="C116" s="2">
        <v>3065602.8322999999</v>
      </c>
      <c r="D116" s="2">
        <v>0.72719999999999996</v>
      </c>
      <c r="E116" s="3">
        <v>237924</v>
      </c>
      <c r="F116" s="2">
        <v>173027.5245</v>
      </c>
      <c r="G116" t="s">
        <v>924</v>
      </c>
      <c r="H116" t="s">
        <v>6</v>
      </c>
      <c r="I116">
        <f>HLOOKUP(G116,zip_tiers!$A$1:$EON$2,2,FALSE)</f>
        <v>117833.33333333333</v>
      </c>
      <c r="J116" t="str">
        <f t="shared" si="1"/>
        <v>High</v>
      </c>
      <c r="K116">
        <f>dataset[[#This Row],[soda_sales]]/dataset[[#This Row],[soda_units_sold]]</f>
        <v>0.72723863292479951</v>
      </c>
      <c r="L116" s="29">
        <f>dataset[[#This Row],[implied_soda_ppu]]-dataset[[#This Row],[soda_ppu]]</f>
        <v>3.8632924799553159E-5</v>
      </c>
      <c r="M116">
        <f>dataset[[#This Row],[soda_sales]]/dataset[[#This Row],[total_sales]]</f>
        <v>5.6441598590964349E-2</v>
      </c>
      <c r="N116">
        <f>LN(dataset[[#This Row],[soda_units_sold]])</f>
        <v>12.379706573926562</v>
      </c>
      <c r="O116">
        <f>LN(dataset[[#This Row],[soda_sales]])</f>
        <v>12.061205961980738</v>
      </c>
      <c r="P116">
        <f>LN(dataset[[#This Row],[soda_ppu]])</f>
        <v>-0.31855373611886806</v>
      </c>
      <c r="Q116">
        <f>IF(dataset[[#This Row],[state]]="VA",1,0)</f>
        <v>0</v>
      </c>
    </row>
    <row r="117" spans="1:17" x14ac:dyDescent="0.35">
      <c r="A117">
        <v>202208</v>
      </c>
      <c r="B117">
        <v>14</v>
      </c>
      <c r="C117" s="2">
        <v>2953270.3845000002</v>
      </c>
      <c r="D117" s="2">
        <v>0.73970000000000002</v>
      </c>
      <c r="E117" s="3">
        <v>204886</v>
      </c>
      <c r="F117" s="2">
        <v>151553.86679999999</v>
      </c>
      <c r="G117" t="s">
        <v>924</v>
      </c>
      <c r="H117" t="s">
        <v>6</v>
      </c>
      <c r="I117">
        <f>HLOOKUP(G117,zip_tiers!$A$1:$EON$2,2,FALSE)</f>
        <v>117833.33333333333</v>
      </c>
      <c r="J117" t="str">
        <f t="shared" si="1"/>
        <v>High</v>
      </c>
      <c r="K117">
        <f>dataset[[#This Row],[soda_sales]]/dataset[[#This Row],[soda_units_sold]]</f>
        <v>0.73969849965346579</v>
      </c>
      <c r="L117" s="29">
        <f>dataset[[#This Row],[implied_soda_ppu]]-dataset[[#This Row],[soda_ppu]]</f>
        <v>-1.5003465342333655E-6</v>
      </c>
      <c r="M117">
        <f>dataset[[#This Row],[soda_sales]]/dataset[[#This Row],[total_sales]]</f>
        <v>5.1317301522887354E-2</v>
      </c>
      <c r="N117">
        <f>LN(dataset[[#This Row],[soda_units_sold]])</f>
        <v>12.230209005879974</v>
      </c>
      <c r="O117">
        <f>LN(dataset[[#This Row],[soda_sales]])</f>
        <v>11.928696397171993</v>
      </c>
      <c r="P117">
        <f>LN(dataset[[#This Row],[soda_ppu]])</f>
        <v>-0.30151058038831502</v>
      </c>
      <c r="Q117">
        <f>IF(dataset[[#This Row],[state]]="VA",1,0)</f>
        <v>0</v>
      </c>
    </row>
    <row r="118" spans="1:17" x14ac:dyDescent="0.35">
      <c r="A118">
        <v>202209</v>
      </c>
      <c r="B118">
        <v>14</v>
      </c>
      <c r="C118" s="2">
        <v>2896670.4704999998</v>
      </c>
      <c r="D118" s="2">
        <v>0.73299999999999998</v>
      </c>
      <c r="E118" s="3">
        <v>192838</v>
      </c>
      <c r="F118" s="2">
        <v>141345.26519999999</v>
      </c>
      <c r="G118" t="s">
        <v>924</v>
      </c>
      <c r="H118" t="s">
        <v>6</v>
      </c>
      <c r="I118">
        <f>HLOOKUP(G118,zip_tiers!$A$1:$EON$2,2,FALSE)</f>
        <v>117833.33333333333</v>
      </c>
      <c r="J118" t="str">
        <f t="shared" si="1"/>
        <v>High</v>
      </c>
      <c r="K118">
        <f>dataset[[#This Row],[soda_sales]]/dataset[[#This Row],[soda_units_sold]]</f>
        <v>0.73297412958026942</v>
      </c>
      <c r="L118" s="29">
        <f>dataset[[#This Row],[implied_soda_ppu]]-dataset[[#This Row],[soda_ppu]]</f>
        <v>-2.5870419730567029E-5</v>
      </c>
      <c r="M118">
        <f>dataset[[#This Row],[soda_sales]]/dataset[[#This Row],[total_sales]]</f>
        <v>4.8795769708524048E-2</v>
      </c>
      <c r="N118">
        <f>LN(dataset[[#This Row],[soda_units_sold]])</f>
        <v>12.169605737173514</v>
      </c>
      <c r="O118">
        <f>LN(dataset[[#This Row],[soda_sales]])</f>
        <v>11.85896086556742</v>
      </c>
      <c r="P118">
        <f>LN(dataset[[#This Row],[soda_ppu]])</f>
        <v>-0.31060957709548559</v>
      </c>
      <c r="Q118">
        <f>IF(dataset[[#This Row],[state]]="VA",1,0)</f>
        <v>0</v>
      </c>
    </row>
    <row r="119" spans="1:17" x14ac:dyDescent="0.35">
      <c r="A119">
        <v>202210</v>
      </c>
      <c r="B119">
        <v>14</v>
      </c>
      <c r="C119" s="2">
        <v>3608572.8865999999</v>
      </c>
      <c r="D119" s="2">
        <v>0.70720000000000005</v>
      </c>
      <c r="E119" s="3">
        <v>196772</v>
      </c>
      <c r="F119" s="2">
        <v>139154.397</v>
      </c>
      <c r="G119" t="s">
        <v>924</v>
      </c>
      <c r="H119" t="s">
        <v>6</v>
      </c>
      <c r="I119">
        <f>HLOOKUP(G119,zip_tiers!$A$1:$EON$2,2,FALSE)</f>
        <v>117833.33333333333</v>
      </c>
      <c r="J119" t="str">
        <f t="shared" si="1"/>
        <v>High</v>
      </c>
      <c r="K119">
        <f>dataset[[#This Row],[soda_sales]]/dataset[[#This Row],[soda_units_sold]]</f>
        <v>0.70718596649929866</v>
      </c>
      <c r="L119" s="29">
        <f>dataset[[#This Row],[implied_soda_ppu]]-dataset[[#This Row],[soda_ppu]]</f>
        <v>-1.4033500701393642E-5</v>
      </c>
      <c r="M119">
        <f>dataset[[#This Row],[soda_sales]]/dataset[[#This Row],[total_sales]]</f>
        <v>3.8562168860918136E-2</v>
      </c>
      <c r="N119">
        <f>LN(dataset[[#This Row],[soda_units_sold]])</f>
        <v>12.189800977055276</v>
      </c>
      <c r="O119">
        <f>LN(dataset[[#This Row],[soda_sales]])</f>
        <v>11.84333936544869</v>
      </c>
      <c r="P119">
        <f>LN(dataset[[#This Row],[soda_ppu]])</f>
        <v>-0.34644176765870333</v>
      </c>
      <c r="Q119">
        <f>IF(dataset[[#This Row],[state]]="VA",1,0)</f>
        <v>0</v>
      </c>
    </row>
    <row r="120" spans="1:17" x14ac:dyDescent="0.35">
      <c r="A120">
        <v>202211</v>
      </c>
      <c r="B120">
        <v>14</v>
      </c>
      <c r="C120" s="2">
        <v>4085370.7341999998</v>
      </c>
      <c r="D120" s="2">
        <v>0.73499999999999999</v>
      </c>
      <c r="E120" s="3">
        <v>180311</v>
      </c>
      <c r="F120" s="2">
        <v>132524.299</v>
      </c>
      <c r="G120" t="s">
        <v>924</v>
      </c>
      <c r="H120" t="s">
        <v>6</v>
      </c>
      <c r="I120">
        <f>HLOOKUP(G120,zip_tiers!$A$1:$EON$2,2,FALSE)</f>
        <v>117833.33333333333</v>
      </c>
      <c r="J120" t="str">
        <f t="shared" si="1"/>
        <v>High</v>
      </c>
      <c r="K120">
        <f>dataset[[#This Row],[soda_sales]]/dataset[[#This Row],[soda_units_sold]]</f>
        <v>0.73497622995823886</v>
      </c>
      <c r="L120" s="29">
        <f>dataset[[#This Row],[implied_soda_ppu]]-dataset[[#This Row],[soda_ppu]]</f>
        <v>-2.3770041761128624E-5</v>
      </c>
      <c r="M120">
        <f>dataset[[#This Row],[soda_sales]]/dataset[[#This Row],[total_sales]]</f>
        <v>3.2438744883198707E-2</v>
      </c>
      <c r="N120">
        <f>LN(dataset[[#This Row],[soda_units_sold]])</f>
        <v>12.102438416759139</v>
      </c>
      <c r="O120">
        <f>LN(dataset[[#This Row],[soda_sales]])</f>
        <v>11.794521296274011</v>
      </c>
      <c r="P120">
        <f>LN(dataset[[#This Row],[soda_ppu]])</f>
        <v>-0.3078847797693004</v>
      </c>
      <c r="Q120">
        <f>IF(dataset[[#This Row],[state]]="VA",1,0)</f>
        <v>0</v>
      </c>
    </row>
    <row r="121" spans="1:17" x14ac:dyDescent="0.35">
      <c r="A121">
        <v>202212</v>
      </c>
      <c r="B121">
        <v>14</v>
      </c>
      <c r="C121" s="2">
        <v>4279302.0871000001</v>
      </c>
      <c r="D121" s="2">
        <v>0.73960000000000004</v>
      </c>
      <c r="E121" s="3">
        <v>175611</v>
      </c>
      <c r="F121" s="2">
        <v>129874.72440000001</v>
      </c>
      <c r="G121" t="s">
        <v>924</v>
      </c>
      <c r="H121" t="s">
        <v>6</v>
      </c>
      <c r="I121">
        <f>HLOOKUP(G121,zip_tiers!$A$1:$EON$2,2,FALSE)</f>
        <v>117833.33333333333</v>
      </c>
      <c r="J121" t="str">
        <f t="shared" si="1"/>
        <v>High</v>
      </c>
      <c r="K121">
        <f>dataset[[#This Row],[soda_sales]]/dataset[[#This Row],[soda_units_sold]]</f>
        <v>0.73955916428925295</v>
      </c>
      <c r="L121" s="29">
        <f>dataset[[#This Row],[implied_soda_ppu]]-dataset[[#This Row],[soda_ppu]]</f>
        <v>-4.0835710747089138E-5</v>
      </c>
      <c r="M121">
        <f>dataset[[#This Row],[soda_sales]]/dataset[[#This Row],[total_sales]]</f>
        <v>3.0349510681077808E-2</v>
      </c>
      <c r="N121">
        <f>LN(dataset[[#This Row],[soda_units_sold]])</f>
        <v>12.076026600590222</v>
      </c>
      <c r="O121">
        <f>LN(dataset[[#This Row],[soda_sales]])</f>
        <v>11.774325606358854</v>
      </c>
      <c r="P121">
        <f>LN(dataset[[#This Row],[soda_ppu]])</f>
        <v>-0.30164577946916721</v>
      </c>
      <c r="Q121">
        <f>IF(dataset[[#This Row],[state]]="VA",1,0)</f>
        <v>0</v>
      </c>
    </row>
    <row r="122" spans="1:17" x14ac:dyDescent="0.35">
      <c r="A122">
        <v>202301</v>
      </c>
      <c r="B122">
        <v>14</v>
      </c>
      <c r="C122" s="2">
        <v>2433371.3448999999</v>
      </c>
      <c r="D122" s="2">
        <v>0.74939999999999996</v>
      </c>
      <c r="E122" s="3">
        <v>127318</v>
      </c>
      <c r="F122" s="2">
        <v>95415.043799999999</v>
      </c>
      <c r="G122" t="s">
        <v>924</v>
      </c>
      <c r="H122" t="s">
        <v>6</v>
      </c>
      <c r="I122">
        <f>HLOOKUP(G122,zip_tiers!$A$1:$EON$2,2,FALSE)</f>
        <v>117833.33333333333</v>
      </c>
      <c r="J122" t="str">
        <f t="shared" si="1"/>
        <v>High</v>
      </c>
      <c r="K122">
        <f>dataset[[#This Row],[soda_sales]]/dataset[[#This Row],[soda_units_sold]]</f>
        <v>0.74942304937243753</v>
      </c>
      <c r="L122" s="29">
        <f>dataset[[#This Row],[implied_soda_ppu]]-dataset[[#This Row],[soda_ppu]]</f>
        <v>2.3049372437577986E-5</v>
      </c>
      <c r="M122">
        <f>dataset[[#This Row],[soda_sales]]/dataset[[#This Row],[total_sales]]</f>
        <v>3.9211049312295208E-2</v>
      </c>
      <c r="N122">
        <f>LN(dataset[[#This Row],[soda_units_sold]])</f>
        <v>11.754443172821503</v>
      </c>
      <c r="O122">
        <f>LN(dataset[[#This Row],[soda_sales]])</f>
        <v>11.465991536828229</v>
      </c>
      <c r="P122">
        <f>LN(dataset[[#This Row],[soda_ppu]])</f>
        <v>-0.2884823926225501</v>
      </c>
      <c r="Q122">
        <f>IF(dataset[[#This Row],[state]]="VA",1,0)</f>
        <v>0</v>
      </c>
    </row>
    <row r="123" spans="1:17" x14ac:dyDescent="0.35">
      <c r="A123">
        <v>202302</v>
      </c>
      <c r="B123">
        <v>14</v>
      </c>
      <c r="C123" s="2">
        <v>2796187.7456999999</v>
      </c>
      <c r="D123" s="2">
        <v>0.74939999999999996</v>
      </c>
      <c r="E123" s="3">
        <v>145831</v>
      </c>
      <c r="F123" s="2">
        <v>109291.9719</v>
      </c>
      <c r="G123" t="s">
        <v>924</v>
      </c>
      <c r="H123" t="s">
        <v>6</v>
      </c>
      <c r="I123">
        <f>HLOOKUP(G123,zip_tiers!$A$1:$EON$2,2,FALSE)</f>
        <v>117833.33333333333</v>
      </c>
      <c r="J123" t="str">
        <f t="shared" si="1"/>
        <v>High</v>
      </c>
      <c r="K123">
        <f>dataset[[#This Row],[soda_sales]]/dataset[[#This Row],[soda_units_sold]]</f>
        <v>0.74944265553963152</v>
      </c>
      <c r="L123" s="29">
        <f>dataset[[#This Row],[implied_soda_ppu]]-dataset[[#This Row],[soda_ppu]]</f>
        <v>4.265553963156421E-5</v>
      </c>
      <c r="M123">
        <f>dataset[[#This Row],[soda_sales]]/dataset[[#This Row],[total_sales]]</f>
        <v>3.9086063540643895E-2</v>
      </c>
      <c r="N123">
        <f>LN(dataset[[#This Row],[soda_units_sold]])</f>
        <v>11.890203695983695</v>
      </c>
      <c r="O123">
        <f>LN(dataset[[#This Row],[soda_sales]])</f>
        <v>11.6017782213298</v>
      </c>
      <c r="P123">
        <f>LN(dataset[[#This Row],[soda_ppu]])</f>
        <v>-0.2884823926225501</v>
      </c>
      <c r="Q123">
        <f>IF(dataset[[#This Row],[state]]="VA",1,0)</f>
        <v>0</v>
      </c>
    </row>
    <row r="124" spans="1:17" x14ac:dyDescent="0.35">
      <c r="A124">
        <v>202303</v>
      </c>
      <c r="B124">
        <v>14</v>
      </c>
      <c r="C124" s="2">
        <v>3077164.3883000002</v>
      </c>
      <c r="D124" s="2">
        <v>0.75380000000000003</v>
      </c>
      <c r="E124" s="3">
        <v>171077</v>
      </c>
      <c r="F124" s="2">
        <v>128951.03999999999</v>
      </c>
      <c r="G124" t="s">
        <v>924</v>
      </c>
      <c r="H124" t="s">
        <v>6</v>
      </c>
      <c r="I124">
        <f>HLOOKUP(G124,zip_tiers!$A$1:$EON$2,2,FALSE)</f>
        <v>117833.33333333333</v>
      </c>
      <c r="J124" t="str">
        <f t="shared" si="1"/>
        <v>High</v>
      </c>
      <c r="K124">
        <f>dataset[[#This Row],[soda_sales]]/dataset[[#This Row],[soda_units_sold]]</f>
        <v>0.75376023661859859</v>
      </c>
      <c r="L124" s="29">
        <f>dataset[[#This Row],[implied_soda_ppu]]-dataset[[#This Row],[soda_ppu]]</f>
        <v>-3.9763381401436426E-5</v>
      </c>
      <c r="M124">
        <f>dataset[[#This Row],[soda_sales]]/dataset[[#This Row],[total_sales]]</f>
        <v>4.190580148733615E-2</v>
      </c>
      <c r="N124">
        <f>LN(dataset[[#This Row],[soda_units_sold]])</f>
        <v>12.04986902653126</v>
      </c>
      <c r="O124">
        <f>LN(dataset[[#This Row],[soda_sales]])</f>
        <v>11.767188076418496</v>
      </c>
      <c r="P124">
        <f>LN(dataset[[#This Row],[soda_ppu]])</f>
        <v>-0.28262819814910195</v>
      </c>
      <c r="Q124">
        <f>IF(dataset[[#This Row],[state]]="VA",1,0)</f>
        <v>0</v>
      </c>
    </row>
    <row r="125" spans="1:17" x14ac:dyDescent="0.35">
      <c r="A125">
        <v>202304</v>
      </c>
      <c r="B125">
        <v>14</v>
      </c>
      <c r="C125" s="2">
        <v>3251144.0720000002</v>
      </c>
      <c r="D125" s="2">
        <v>0.74580000000000002</v>
      </c>
      <c r="E125" s="3">
        <v>197408</v>
      </c>
      <c r="F125" s="2">
        <v>147225.08489999999</v>
      </c>
      <c r="G125" t="s">
        <v>924</v>
      </c>
      <c r="H125" t="s">
        <v>6</v>
      </c>
      <c r="I125">
        <f>HLOOKUP(G125,zip_tiers!$A$1:$EON$2,2,FALSE)</f>
        <v>117833.33333333333</v>
      </c>
      <c r="J125" t="str">
        <f t="shared" si="1"/>
        <v>High</v>
      </c>
      <c r="K125">
        <f>dataset[[#This Row],[soda_sales]]/dataset[[#This Row],[soda_units_sold]]</f>
        <v>0.74579087423002099</v>
      </c>
      <c r="L125" s="29">
        <f>dataset[[#This Row],[implied_soda_ppu]]-dataset[[#This Row],[soda_ppu]]</f>
        <v>-9.1257699790237012E-6</v>
      </c>
      <c r="M125">
        <f>dataset[[#This Row],[soda_sales]]/dataset[[#This Row],[total_sales]]</f>
        <v>4.5284085121897355E-2</v>
      </c>
      <c r="N125">
        <f>LN(dataset[[#This Row],[soda_units_sold]])</f>
        <v>12.193027932009365</v>
      </c>
      <c r="O125">
        <f>LN(dataset[[#This Row],[soda_sales]])</f>
        <v>11.899717884480969</v>
      </c>
      <c r="P125">
        <f>LN(dataset[[#This Row],[soda_ppu]])</f>
        <v>-0.29329781123741661</v>
      </c>
      <c r="Q125">
        <f>IF(dataset[[#This Row],[state]]="VA",1,0)</f>
        <v>0</v>
      </c>
    </row>
    <row r="126" spans="1:17" x14ac:dyDescent="0.35">
      <c r="A126">
        <v>202305</v>
      </c>
      <c r="B126">
        <v>14</v>
      </c>
      <c r="C126" s="2">
        <v>3403911.1208000001</v>
      </c>
      <c r="D126" s="2">
        <v>0.73670000000000002</v>
      </c>
      <c r="E126" s="3">
        <v>221397</v>
      </c>
      <c r="F126" s="2">
        <v>163094.01500000001</v>
      </c>
      <c r="G126" t="s">
        <v>924</v>
      </c>
      <c r="H126" t="s">
        <v>6</v>
      </c>
      <c r="I126">
        <f>HLOOKUP(G126,zip_tiers!$A$1:$EON$2,2,FALSE)</f>
        <v>117833.33333333333</v>
      </c>
      <c r="J126" t="str">
        <f t="shared" si="1"/>
        <v>High</v>
      </c>
      <c r="K126">
        <f>dataset[[#This Row],[soda_sales]]/dataset[[#This Row],[soda_units_sold]]</f>
        <v>0.73665864939452663</v>
      </c>
      <c r="L126" s="29">
        <f>dataset[[#This Row],[implied_soda_ppu]]-dataset[[#This Row],[soda_ppu]]</f>
        <v>-4.1350605473389201E-5</v>
      </c>
      <c r="M126">
        <f>dataset[[#This Row],[soda_sales]]/dataset[[#This Row],[total_sales]]</f>
        <v>4.7913711378477192E-2</v>
      </c>
      <c r="N126">
        <f>LN(dataset[[#This Row],[soda_units_sold]])</f>
        <v>12.307712749029369</v>
      </c>
      <c r="O126">
        <f>LN(dataset[[#This Row],[soda_sales]])</f>
        <v>12.002082092656847</v>
      </c>
      <c r="P126">
        <f>LN(dataset[[#This Row],[soda_ppu]])</f>
        <v>-0.30557452529336909</v>
      </c>
      <c r="Q126">
        <f>IF(dataset[[#This Row],[state]]="VA",1,0)</f>
        <v>0</v>
      </c>
    </row>
    <row r="127" spans="1:17" x14ac:dyDescent="0.35">
      <c r="A127">
        <v>202306</v>
      </c>
      <c r="B127">
        <v>14</v>
      </c>
      <c r="C127" s="2">
        <v>3268886.3849999998</v>
      </c>
      <c r="D127" s="2">
        <v>0.75380000000000003</v>
      </c>
      <c r="E127" s="3">
        <v>225655</v>
      </c>
      <c r="F127" s="2">
        <v>170091.6312</v>
      </c>
      <c r="G127" t="s">
        <v>924</v>
      </c>
      <c r="H127" t="s">
        <v>6</v>
      </c>
      <c r="I127">
        <f>HLOOKUP(G127,zip_tiers!$A$1:$EON$2,2,FALSE)</f>
        <v>117833.33333333333</v>
      </c>
      <c r="J127" t="str">
        <f t="shared" si="1"/>
        <v>High</v>
      </c>
      <c r="K127">
        <f>dataset[[#This Row],[soda_sales]]/dataset[[#This Row],[soda_units_sold]]</f>
        <v>0.75376850147348828</v>
      </c>
      <c r="L127" s="29">
        <f>dataset[[#This Row],[implied_soda_ppu]]-dataset[[#This Row],[soda_ppu]]</f>
        <v>-3.1498526511741787E-5</v>
      </c>
      <c r="M127">
        <f>dataset[[#This Row],[soda_sales]]/dataset[[#This Row],[total_sales]]</f>
        <v>5.2033509632057773E-2</v>
      </c>
      <c r="N127">
        <f>LN(dataset[[#This Row],[soda_units_sold]])</f>
        <v>12.326762563219274</v>
      </c>
      <c r="O127">
        <f>LN(dataset[[#This Row],[soda_sales]])</f>
        <v>12.044092577879095</v>
      </c>
      <c r="P127">
        <f>LN(dataset[[#This Row],[soda_ppu]])</f>
        <v>-0.28262819814910195</v>
      </c>
      <c r="Q127">
        <f>IF(dataset[[#This Row],[state]]="VA",1,0)</f>
        <v>0</v>
      </c>
    </row>
    <row r="128" spans="1:17" x14ac:dyDescent="0.35">
      <c r="A128">
        <v>202307</v>
      </c>
      <c r="B128">
        <v>14</v>
      </c>
      <c r="C128" s="2">
        <v>3074276.5405000001</v>
      </c>
      <c r="D128" s="2">
        <v>0.75549999999999995</v>
      </c>
      <c r="E128" s="3">
        <v>229286</v>
      </c>
      <c r="F128" s="2">
        <v>173229.3627</v>
      </c>
      <c r="G128" t="s">
        <v>924</v>
      </c>
      <c r="H128" t="s">
        <v>6</v>
      </c>
      <c r="I128">
        <f>HLOOKUP(G128,zip_tiers!$A$1:$EON$2,2,FALSE)</f>
        <v>117833.33333333333</v>
      </c>
      <c r="J128" t="str">
        <f t="shared" si="1"/>
        <v>High</v>
      </c>
      <c r="K128">
        <f>dataset[[#This Row],[soda_sales]]/dataset[[#This Row],[soda_units_sold]]</f>
        <v>0.75551652826600835</v>
      </c>
      <c r="L128" s="29">
        <f>dataset[[#This Row],[implied_soda_ppu]]-dataset[[#This Row],[soda_ppu]]</f>
        <v>1.652826600839763E-5</v>
      </c>
      <c r="M128">
        <f>dataset[[#This Row],[soda_sales]]/dataset[[#This Row],[total_sales]]</f>
        <v>5.6348009171558126E-2</v>
      </c>
      <c r="N128">
        <f>LN(dataset[[#This Row],[soda_units_sold]])</f>
        <v>12.342725411596083</v>
      </c>
      <c r="O128">
        <f>LN(dataset[[#This Row],[soda_sales]])</f>
        <v>12.062371791342246</v>
      </c>
      <c r="P128">
        <f>LN(dataset[[#This Row],[soda_ppu]])</f>
        <v>-0.28037549726934285</v>
      </c>
      <c r="Q128">
        <f>IF(dataset[[#This Row],[state]]="VA",1,0)</f>
        <v>0</v>
      </c>
    </row>
    <row r="129" spans="1:17" x14ac:dyDescent="0.35">
      <c r="A129">
        <v>202308</v>
      </c>
      <c r="B129">
        <v>14</v>
      </c>
      <c r="C129" s="2">
        <v>2928520.8988999999</v>
      </c>
      <c r="D129" s="2">
        <v>0.73170000000000002</v>
      </c>
      <c r="E129" s="3">
        <v>205676</v>
      </c>
      <c r="F129" s="2">
        <v>150485.75339999999</v>
      </c>
      <c r="G129" t="s">
        <v>924</v>
      </c>
      <c r="H129" t="s">
        <v>6</v>
      </c>
      <c r="I129">
        <f>HLOOKUP(G129,zip_tiers!$A$1:$EON$2,2,FALSE)</f>
        <v>117833.33333333333</v>
      </c>
      <c r="J129" t="str">
        <f t="shared" si="1"/>
        <v>High</v>
      </c>
      <c r="K129">
        <f>dataset[[#This Row],[soda_sales]]/dataset[[#This Row],[soda_units_sold]]</f>
        <v>0.73166413874248815</v>
      </c>
      <c r="L129" s="29">
        <f>dataset[[#This Row],[implied_soda_ppu]]-dataset[[#This Row],[soda_ppu]]</f>
        <v>-3.5861257511871081E-5</v>
      </c>
      <c r="M129">
        <f>dataset[[#This Row],[soda_sales]]/dataset[[#This Row],[total_sales]]</f>
        <v>5.138626583014138E-2</v>
      </c>
      <c r="N129">
        <f>LN(dataset[[#This Row],[soda_units_sold]])</f>
        <v>12.234057394064937</v>
      </c>
      <c r="O129">
        <f>LN(dataset[[#This Row],[soda_sales]])</f>
        <v>11.921623696896336</v>
      </c>
      <c r="P129">
        <f>LN(dataset[[#This Row],[soda_ppu]])</f>
        <v>-0.31238468509215273</v>
      </c>
      <c r="Q129">
        <f>IF(dataset[[#This Row],[state]]="VA",1,0)</f>
        <v>0</v>
      </c>
    </row>
    <row r="130" spans="1:17" x14ac:dyDescent="0.35">
      <c r="A130">
        <v>202309</v>
      </c>
      <c r="B130">
        <v>14</v>
      </c>
      <c r="C130" s="2">
        <v>2928717.1195</v>
      </c>
      <c r="D130" s="2">
        <v>0.72240000000000004</v>
      </c>
      <c r="E130" s="3">
        <v>197813</v>
      </c>
      <c r="F130" s="2">
        <v>142894.86189999999</v>
      </c>
      <c r="G130" t="s">
        <v>924</v>
      </c>
      <c r="H130" t="s">
        <v>6</v>
      </c>
      <c r="I130">
        <f>HLOOKUP(G130,zip_tiers!$A$1:$EON$2,2,FALSE)</f>
        <v>117833.33333333333</v>
      </c>
      <c r="J130" t="str">
        <f t="shared" ref="J130:J193" si="2">IF(I130="","No Data",IF(I130&gt;=100000,"High",IF(I130&gt;=40000,"Med","Low")))</f>
        <v>High</v>
      </c>
      <c r="K130">
        <f>dataset[[#This Row],[soda_sales]]/dataset[[#This Row],[soda_units_sold]]</f>
        <v>0.72237346332141972</v>
      </c>
      <c r="L130" s="29">
        <f>dataset[[#This Row],[implied_soda_ppu]]-dataset[[#This Row],[soda_ppu]]</f>
        <v>-2.6536678580324491E-5</v>
      </c>
      <c r="M130">
        <f>dataset[[#This Row],[soda_sales]]/dataset[[#This Row],[total_sales]]</f>
        <v>4.8790940220404574E-2</v>
      </c>
      <c r="N130">
        <f>LN(dataset[[#This Row],[soda_units_sold]])</f>
        <v>12.195077418963567</v>
      </c>
      <c r="O130">
        <f>LN(dataset[[#This Row],[soda_sales]])</f>
        <v>11.869864407358303</v>
      </c>
      <c r="P130">
        <f>LN(dataset[[#This Row],[soda_ppu]])</f>
        <v>-0.32517627687936135</v>
      </c>
      <c r="Q130">
        <f>IF(dataset[[#This Row],[state]]="VA",1,0)</f>
        <v>0</v>
      </c>
    </row>
    <row r="131" spans="1:17" x14ac:dyDescent="0.35">
      <c r="A131">
        <v>202310</v>
      </c>
      <c r="B131">
        <v>14</v>
      </c>
      <c r="C131" s="2">
        <v>3601258.5236</v>
      </c>
      <c r="D131" s="2">
        <v>0.75449999999999995</v>
      </c>
      <c r="E131" s="3">
        <v>183842</v>
      </c>
      <c r="F131" s="2">
        <v>138708.39309999999</v>
      </c>
      <c r="G131" t="s">
        <v>924</v>
      </c>
      <c r="H131" t="s">
        <v>6</v>
      </c>
      <c r="I131">
        <f>HLOOKUP(G131,zip_tiers!$A$1:$EON$2,2,FALSE)</f>
        <v>117833.33333333333</v>
      </c>
      <c r="J131" t="str">
        <f t="shared" si="2"/>
        <v>High</v>
      </c>
      <c r="K131">
        <f>dataset[[#This Row],[soda_sales]]/dataset[[#This Row],[soda_units_sold]]</f>
        <v>0.75449784652038154</v>
      </c>
      <c r="L131" s="29">
        <f>dataset[[#This Row],[implied_soda_ppu]]-dataset[[#This Row],[soda_ppu]]</f>
        <v>-2.1534796184052851E-6</v>
      </c>
      <c r="M131">
        <f>dataset[[#This Row],[soda_sales]]/dataset[[#This Row],[total_sales]]</f>
        <v>3.8516644165090395E-2</v>
      </c>
      <c r="N131">
        <f>LN(dataset[[#This Row],[soda_units_sold]])</f>
        <v>12.121831972048646</v>
      </c>
      <c r="O131">
        <f>LN(dataset[[#This Row],[soda_sales]])</f>
        <v>11.840129117089267</v>
      </c>
      <c r="P131">
        <f>LN(dataset[[#This Row],[soda_ppu]])</f>
        <v>-0.28170000077423352</v>
      </c>
      <c r="Q131">
        <f>IF(dataset[[#This Row],[state]]="VA",1,0)</f>
        <v>0</v>
      </c>
    </row>
    <row r="132" spans="1:17" x14ac:dyDescent="0.35">
      <c r="A132">
        <v>202311</v>
      </c>
      <c r="B132">
        <v>14</v>
      </c>
      <c r="C132" s="2">
        <v>4122265.4068</v>
      </c>
      <c r="D132" s="2">
        <v>0.76229999999999998</v>
      </c>
      <c r="E132" s="3">
        <v>178103</v>
      </c>
      <c r="F132" s="2">
        <v>135760.57889999999</v>
      </c>
      <c r="G132" t="s">
        <v>924</v>
      </c>
      <c r="H132" t="s">
        <v>6</v>
      </c>
      <c r="I132">
        <f>HLOOKUP(G132,zip_tiers!$A$1:$EON$2,2,FALSE)</f>
        <v>117833.33333333333</v>
      </c>
      <c r="J132" t="str">
        <f t="shared" si="2"/>
        <v>High</v>
      </c>
      <c r="K132">
        <f>dataset[[#This Row],[soda_sales]]/dataset[[#This Row],[soda_units_sold]]</f>
        <v>0.76225879912185646</v>
      </c>
      <c r="L132" s="29">
        <f>dataset[[#This Row],[implied_soda_ppu]]-dataset[[#This Row],[soda_ppu]]</f>
        <v>-4.1200878143521358E-5</v>
      </c>
      <c r="M132">
        <f>dataset[[#This Row],[soda_sales]]/dataset[[#This Row],[total_sales]]</f>
        <v>3.2933488143692125E-2</v>
      </c>
      <c r="N132">
        <f>LN(dataset[[#This Row],[soda_units_sold]])</f>
        <v>12.090117313605285</v>
      </c>
      <c r="O132">
        <f>LN(dataset[[#This Row],[soda_sales]])</f>
        <v>11.818648164041621</v>
      </c>
      <c r="P132">
        <f>LN(dataset[[#This Row],[soda_ppu]])</f>
        <v>-0.27141509998790897</v>
      </c>
      <c r="Q132">
        <f>IF(dataset[[#This Row],[state]]="VA",1,0)</f>
        <v>0</v>
      </c>
    </row>
    <row r="133" spans="1:17" x14ac:dyDescent="0.35">
      <c r="A133">
        <v>202312</v>
      </c>
      <c r="B133">
        <v>14</v>
      </c>
      <c r="C133" s="2">
        <v>4297929.3216000004</v>
      </c>
      <c r="D133" s="2">
        <v>0.75029999999999997</v>
      </c>
      <c r="E133" s="3">
        <v>175134</v>
      </c>
      <c r="F133" s="2">
        <v>131404.12229999999</v>
      </c>
      <c r="G133" t="s">
        <v>924</v>
      </c>
      <c r="H133" t="s">
        <v>6</v>
      </c>
      <c r="I133">
        <f>HLOOKUP(G133,zip_tiers!$A$1:$EON$2,2,FALSE)</f>
        <v>117833.33333333333</v>
      </c>
      <c r="J133" t="str">
        <f t="shared" si="2"/>
        <v>High</v>
      </c>
      <c r="K133">
        <f>dataset[[#This Row],[soda_sales]]/dataset[[#This Row],[soda_units_sold]]</f>
        <v>0.75030617869745442</v>
      </c>
      <c r="L133" s="29">
        <f>dataset[[#This Row],[implied_soda_ppu]]-dataset[[#This Row],[soda_ppu]]</f>
        <v>6.1786974544508766E-6</v>
      </c>
      <c r="M133">
        <f>dataset[[#This Row],[soda_sales]]/dataset[[#This Row],[total_sales]]</f>
        <v>3.0573821128143136E-2</v>
      </c>
      <c r="N133">
        <f>LN(dataset[[#This Row],[soda_units_sold]])</f>
        <v>12.073306674181747</v>
      </c>
      <c r="O133">
        <f>LN(dataset[[#This Row],[soda_sales]])</f>
        <v>11.786032756686671</v>
      </c>
      <c r="P133">
        <f>LN(dataset[[#This Row],[soda_ppu]])</f>
        <v>-0.28728215243045402</v>
      </c>
      <c r="Q133">
        <f>IF(dataset[[#This Row],[state]]="VA",1,0)</f>
        <v>0</v>
      </c>
    </row>
    <row r="134" spans="1:17" x14ac:dyDescent="0.35">
      <c r="A134">
        <v>202401</v>
      </c>
      <c r="B134">
        <v>14</v>
      </c>
      <c r="C134" s="2">
        <v>2476429.0781999999</v>
      </c>
      <c r="D134" s="2">
        <v>0.76370000000000005</v>
      </c>
      <c r="E134" s="3">
        <v>126250</v>
      </c>
      <c r="F134" s="2">
        <v>96412.079500000007</v>
      </c>
      <c r="G134" t="s">
        <v>924</v>
      </c>
      <c r="H134" t="s">
        <v>6</v>
      </c>
      <c r="I134">
        <f>HLOOKUP(G134,zip_tiers!$A$1:$EON$2,2,FALSE)</f>
        <v>117833.33333333333</v>
      </c>
      <c r="J134" t="str">
        <f t="shared" si="2"/>
        <v>High</v>
      </c>
      <c r="K134">
        <f>dataset[[#This Row],[soda_sales]]/dataset[[#This Row],[soda_units_sold]]</f>
        <v>0.76366003564356444</v>
      </c>
      <c r="L134" s="29">
        <f>dataset[[#This Row],[implied_soda_ppu]]-dataset[[#This Row],[soda_ppu]]</f>
        <v>-3.9964356435606696E-5</v>
      </c>
      <c r="M134">
        <f>dataset[[#This Row],[soda_sales]]/dataset[[#This Row],[total_sales]]</f>
        <v>3.8931896071127313E-2</v>
      </c>
      <c r="N134">
        <f>LN(dataset[[#This Row],[soda_units_sold]])</f>
        <v>11.746019347137606</v>
      </c>
      <c r="O134">
        <f>LN(dataset[[#This Row],[soda_sales]])</f>
        <v>11.476386778765091</v>
      </c>
      <c r="P134">
        <f>LN(dataset[[#This Row],[soda_ppu]])</f>
        <v>-0.26958023708779855</v>
      </c>
      <c r="Q134">
        <f>IF(dataset[[#This Row],[state]]="VA",1,0)</f>
        <v>0</v>
      </c>
    </row>
    <row r="135" spans="1:17" x14ac:dyDescent="0.35">
      <c r="A135">
        <v>202402</v>
      </c>
      <c r="B135">
        <v>14</v>
      </c>
      <c r="C135" s="2">
        <v>2794989.9709000001</v>
      </c>
      <c r="D135" s="2">
        <v>0.747</v>
      </c>
      <c r="E135" s="3">
        <v>143855</v>
      </c>
      <c r="F135" s="2">
        <v>107463.5349</v>
      </c>
      <c r="G135" t="s">
        <v>924</v>
      </c>
      <c r="H135" t="s">
        <v>6</v>
      </c>
      <c r="I135">
        <f>HLOOKUP(G135,zip_tiers!$A$1:$EON$2,2,FALSE)</f>
        <v>117833.33333333333</v>
      </c>
      <c r="J135" t="str">
        <f t="shared" si="2"/>
        <v>High</v>
      </c>
      <c r="K135">
        <f>dataset[[#This Row],[soda_sales]]/dataset[[#This Row],[soda_units_sold]]</f>
        <v>0.7470267623648813</v>
      </c>
      <c r="L135" s="29">
        <f>dataset[[#This Row],[implied_soda_ppu]]-dataset[[#This Row],[soda_ppu]]</f>
        <v>2.6762364881305345E-5</v>
      </c>
      <c r="M135">
        <f>dataset[[#This Row],[soda_sales]]/dataset[[#This Row],[total_sales]]</f>
        <v>3.8448629876620358E-2</v>
      </c>
      <c r="N135">
        <f>LN(dataset[[#This Row],[soda_units_sold]])</f>
        <v>11.876561126804553</v>
      </c>
      <c r="O135">
        <f>LN(dataset[[#This Row],[soda_sales]])</f>
        <v>11.584906858772491</v>
      </c>
      <c r="P135">
        <f>LN(dataset[[#This Row],[soda_ppu]])</f>
        <v>-0.29169009384931976</v>
      </c>
      <c r="Q135">
        <f>IF(dataset[[#This Row],[state]]="VA",1,0)</f>
        <v>0</v>
      </c>
    </row>
    <row r="136" spans="1:17" x14ac:dyDescent="0.35">
      <c r="A136">
        <v>202403</v>
      </c>
      <c r="B136">
        <v>14</v>
      </c>
      <c r="C136" s="2">
        <v>3140133.9078000002</v>
      </c>
      <c r="D136" s="2">
        <v>0.75219999999999998</v>
      </c>
      <c r="E136" s="3">
        <v>168780</v>
      </c>
      <c r="F136" s="2">
        <v>126954.58779999999</v>
      </c>
      <c r="G136" t="s">
        <v>924</v>
      </c>
      <c r="H136" t="s">
        <v>6</v>
      </c>
      <c r="I136">
        <f>HLOOKUP(G136,zip_tiers!$A$1:$EON$2,2,FALSE)</f>
        <v>117833.33333333333</v>
      </c>
      <c r="J136" t="str">
        <f t="shared" si="2"/>
        <v>High</v>
      </c>
      <c r="K136">
        <f>dataset[[#This Row],[soda_sales]]/dataset[[#This Row],[soda_units_sold]]</f>
        <v>0.75218976063514631</v>
      </c>
      <c r="L136" s="29">
        <f>dataset[[#This Row],[implied_soda_ppu]]-dataset[[#This Row],[soda_ppu]]</f>
        <v>-1.0239364853670274E-5</v>
      </c>
      <c r="M136">
        <f>dataset[[#This Row],[soda_sales]]/dataset[[#This Row],[total_sales]]</f>
        <v>4.0429673232930778E-2</v>
      </c>
      <c r="N136">
        <f>LN(dataset[[#This Row],[soda_units_sold]])</f>
        <v>12.036351370711957</v>
      </c>
      <c r="O136">
        <f>LN(dataset[[#This Row],[soda_sales]])</f>
        <v>11.751584725117098</v>
      </c>
      <c r="P136">
        <f>LN(dataset[[#This Row],[soda_ppu]])</f>
        <v>-0.28475303294590104</v>
      </c>
      <c r="Q136">
        <f>IF(dataset[[#This Row],[state]]="VA",1,0)</f>
        <v>0</v>
      </c>
    </row>
    <row r="137" spans="1:17" x14ac:dyDescent="0.35">
      <c r="A137">
        <v>202404</v>
      </c>
      <c r="B137">
        <v>14</v>
      </c>
      <c r="C137" s="2">
        <v>3231571.0175000001</v>
      </c>
      <c r="D137" s="2">
        <v>0.79159999999999997</v>
      </c>
      <c r="E137" s="3">
        <v>186506</v>
      </c>
      <c r="F137" s="2">
        <v>147643.0533</v>
      </c>
      <c r="G137" t="s">
        <v>924</v>
      </c>
      <c r="H137" t="s">
        <v>6</v>
      </c>
      <c r="I137">
        <f>HLOOKUP(G137,zip_tiers!$A$1:$EON$2,2,FALSE)</f>
        <v>117833.33333333333</v>
      </c>
      <c r="J137" t="str">
        <f t="shared" si="2"/>
        <v>High</v>
      </c>
      <c r="K137">
        <f>dataset[[#This Row],[soda_sales]]/dataset[[#This Row],[soda_units_sold]]</f>
        <v>0.79162629245171734</v>
      </c>
      <c r="L137" s="29">
        <f>dataset[[#This Row],[implied_soda_ppu]]-dataset[[#This Row],[soda_ppu]]</f>
        <v>2.6292451717369048E-5</v>
      </c>
      <c r="M137">
        <f>dataset[[#This Row],[soda_sales]]/dataset[[#This Row],[total_sales]]</f>
        <v>4.5687701894980864E-2</v>
      </c>
      <c r="N137">
        <f>LN(dataset[[#This Row],[soda_units_sold]])</f>
        <v>12.136218689130283</v>
      </c>
      <c r="O137">
        <f>LN(dataset[[#This Row],[soda_sales]])</f>
        <v>11.902552837639927</v>
      </c>
      <c r="P137">
        <f>LN(dataset[[#This Row],[soda_ppu]])</f>
        <v>-0.23369906525372644</v>
      </c>
      <c r="Q137">
        <f>IF(dataset[[#This Row],[state]]="VA",1,0)</f>
        <v>0</v>
      </c>
    </row>
    <row r="138" spans="1:17" x14ac:dyDescent="0.35">
      <c r="A138">
        <v>202405</v>
      </c>
      <c r="B138">
        <v>14</v>
      </c>
      <c r="C138" s="2">
        <v>3518016.7579000001</v>
      </c>
      <c r="D138" s="2">
        <v>0.78039999999999998</v>
      </c>
      <c r="E138" s="3">
        <v>216757</v>
      </c>
      <c r="F138" s="2">
        <v>169156.59419999999</v>
      </c>
      <c r="G138" t="s">
        <v>924</v>
      </c>
      <c r="H138" t="s">
        <v>6</v>
      </c>
      <c r="I138">
        <f>HLOOKUP(G138,zip_tiers!$A$1:$EON$2,2,FALSE)</f>
        <v>117833.33333333333</v>
      </c>
      <c r="J138" t="str">
        <f t="shared" si="2"/>
        <v>High</v>
      </c>
      <c r="K138">
        <f>dataset[[#This Row],[soda_sales]]/dataset[[#This Row],[soda_units_sold]]</f>
        <v>0.78039737678598609</v>
      </c>
      <c r="L138" s="29">
        <f>dataset[[#This Row],[implied_soda_ppu]]-dataset[[#This Row],[soda_ppu]]</f>
        <v>-2.6232140138970905E-6</v>
      </c>
      <c r="M138">
        <f>dataset[[#This Row],[soda_sales]]/dataset[[#This Row],[total_sales]]</f>
        <v>4.8082941566479111E-2</v>
      </c>
      <c r="N138">
        <f>LN(dataset[[#This Row],[soda_units_sold]])</f>
        <v>12.286532189392357</v>
      </c>
      <c r="O138">
        <f>LN(dataset[[#This Row],[soda_sales]])</f>
        <v>12.038580157782418</v>
      </c>
      <c r="P138">
        <f>LN(dataset[[#This Row],[soda_ppu]])</f>
        <v>-0.24794867023318093</v>
      </c>
      <c r="Q138">
        <f>IF(dataset[[#This Row],[state]]="VA",1,0)</f>
        <v>0</v>
      </c>
    </row>
    <row r="139" spans="1:17" x14ac:dyDescent="0.35">
      <c r="A139">
        <v>202406</v>
      </c>
      <c r="B139">
        <v>14</v>
      </c>
      <c r="C139" s="2">
        <v>3325687.5624000002</v>
      </c>
      <c r="D139" s="2">
        <v>0.80300000000000005</v>
      </c>
      <c r="E139" s="3">
        <v>221926</v>
      </c>
      <c r="F139" s="2">
        <v>178196.435</v>
      </c>
      <c r="G139" t="s">
        <v>924</v>
      </c>
      <c r="H139" t="s">
        <v>6</v>
      </c>
      <c r="I139">
        <f>HLOOKUP(G139,zip_tiers!$A$1:$EON$2,2,FALSE)</f>
        <v>117833.33333333333</v>
      </c>
      <c r="J139" t="str">
        <f t="shared" si="2"/>
        <v>High</v>
      </c>
      <c r="K139">
        <f>dataset[[#This Row],[soda_sales]]/dataset[[#This Row],[soda_units_sold]]</f>
        <v>0.80295429557600284</v>
      </c>
      <c r="L139" s="29">
        <f>dataset[[#This Row],[implied_soda_ppu]]-dataset[[#This Row],[soda_ppu]]</f>
        <v>-4.5704423997205978E-5</v>
      </c>
      <c r="M139">
        <f>dataset[[#This Row],[soda_sales]]/dataset[[#This Row],[total_sales]]</f>
        <v>5.3581832825992708E-2</v>
      </c>
      <c r="N139">
        <f>LN(dataset[[#This Row],[soda_units_sold]])</f>
        <v>12.310099271953179</v>
      </c>
      <c r="O139">
        <f>LN(dataset[[#This Row],[soda_sales]])</f>
        <v>12.090641788207058</v>
      </c>
      <c r="P139">
        <f>LN(dataset[[#This Row],[soda_ppu]])</f>
        <v>-0.21940056503537533</v>
      </c>
      <c r="Q139">
        <f>IF(dataset[[#This Row],[state]]="VA",1,0)</f>
        <v>0</v>
      </c>
    </row>
    <row r="140" spans="1:17" x14ac:dyDescent="0.35">
      <c r="A140">
        <v>202407</v>
      </c>
      <c r="B140">
        <v>14</v>
      </c>
      <c r="C140" s="2">
        <v>3155565.9292000001</v>
      </c>
      <c r="D140" s="2">
        <v>0.77380000000000004</v>
      </c>
      <c r="E140" s="3">
        <v>230953</v>
      </c>
      <c r="F140" s="2">
        <v>178716.07670000001</v>
      </c>
      <c r="G140" t="s">
        <v>924</v>
      </c>
      <c r="H140" t="s">
        <v>6</v>
      </c>
      <c r="I140">
        <f>HLOOKUP(G140,zip_tiers!$A$1:$EON$2,2,FALSE)</f>
        <v>117833.33333333333</v>
      </c>
      <c r="J140" t="str">
        <f t="shared" si="2"/>
        <v>High</v>
      </c>
      <c r="K140">
        <f>dataset[[#This Row],[soda_sales]]/dataset[[#This Row],[soda_units_sold]]</f>
        <v>0.7738201136161903</v>
      </c>
      <c r="L140" s="29">
        <f>dataset[[#This Row],[implied_soda_ppu]]-dataset[[#This Row],[soda_ppu]]</f>
        <v>2.0113616190253758E-5</v>
      </c>
      <c r="M140">
        <f>dataset[[#This Row],[soda_sales]]/dataset[[#This Row],[total_sales]]</f>
        <v>5.663519023521342E-2</v>
      </c>
      <c r="N140">
        <f>LN(dataset[[#This Row],[soda_units_sold]])</f>
        <v>12.349969505599022</v>
      </c>
      <c r="O140">
        <f>LN(dataset[[#This Row],[soda_sales]])</f>
        <v>12.093553661846318</v>
      </c>
      <c r="P140">
        <f>LN(dataset[[#This Row],[soda_ppu]])</f>
        <v>-0.2564418367157244</v>
      </c>
      <c r="Q140">
        <f>IF(dataset[[#This Row],[state]]="VA",1,0)</f>
        <v>0</v>
      </c>
    </row>
    <row r="141" spans="1:17" x14ac:dyDescent="0.35">
      <c r="A141">
        <v>202408</v>
      </c>
      <c r="B141">
        <v>14</v>
      </c>
      <c r="C141" s="2">
        <v>2991229.4352000002</v>
      </c>
      <c r="D141" s="2">
        <v>0.77700000000000002</v>
      </c>
      <c r="E141" s="3">
        <v>200708</v>
      </c>
      <c r="F141" s="2">
        <v>155949.84729999999</v>
      </c>
      <c r="G141" t="s">
        <v>924</v>
      </c>
      <c r="H141" t="s">
        <v>6</v>
      </c>
      <c r="I141">
        <f>HLOOKUP(G141,zip_tiers!$A$1:$EON$2,2,FALSE)</f>
        <v>117833.33333333333</v>
      </c>
      <c r="J141" t="str">
        <f t="shared" si="2"/>
        <v>High</v>
      </c>
      <c r="K141">
        <f>dataset[[#This Row],[soda_sales]]/dataset[[#This Row],[soda_units_sold]]</f>
        <v>0.77699866123921313</v>
      </c>
      <c r="L141" s="29">
        <f>dataset[[#This Row],[implied_soda_ppu]]-dataset[[#This Row],[soda_ppu]]</f>
        <v>-1.3387607868953211E-6</v>
      </c>
      <c r="M141">
        <f>dataset[[#This Row],[soda_sales]]/dataset[[#This Row],[total_sales]]</f>
        <v>5.2135702285094974E-2</v>
      </c>
      <c r="N141">
        <f>LN(dataset[[#This Row],[soda_units_sold]])</f>
        <v>12.209606394478312</v>
      </c>
      <c r="O141">
        <f>LN(dataset[[#This Row],[soda_sales]])</f>
        <v>11.957289742875483</v>
      </c>
      <c r="P141">
        <f>LN(dataset[[#This Row],[soda_ppu]])</f>
        <v>-0.25231492861448956</v>
      </c>
      <c r="Q141">
        <f>IF(dataset[[#This Row],[state]]="VA",1,0)</f>
        <v>0</v>
      </c>
    </row>
    <row r="142" spans="1:17" x14ac:dyDescent="0.35">
      <c r="A142">
        <v>202409</v>
      </c>
      <c r="B142">
        <v>14</v>
      </c>
      <c r="C142" s="2">
        <v>2997108.0482999999</v>
      </c>
      <c r="D142" s="2">
        <v>0.75939999999999996</v>
      </c>
      <c r="E142" s="3">
        <v>192927</v>
      </c>
      <c r="F142" s="2">
        <v>146506.51190000001</v>
      </c>
      <c r="G142" t="s">
        <v>924</v>
      </c>
      <c r="H142" t="s">
        <v>6</v>
      </c>
      <c r="I142">
        <f>HLOOKUP(G142,zip_tiers!$A$1:$EON$2,2,FALSE)</f>
        <v>117833.33333333333</v>
      </c>
      <c r="J142" t="str">
        <f t="shared" si="2"/>
        <v>High</v>
      </c>
      <c r="K142">
        <f>dataset[[#This Row],[soda_sales]]/dataset[[#This Row],[soda_units_sold]]</f>
        <v>0.75938832770944453</v>
      </c>
      <c r="L142" s="29">
        <f>dataset[[#This Row],[implied_soda_ppu]]-dataset[[#This Row],[soda_ppu]]</f>
        <v>-1.1672290555431175E-5</v>
      </c>
      <c r="M142">
        <f>dataset[[#This Row],[soda_sales]]/dataset[[#This Row],[total_sales]]</f>
        <v>4.8882626031150421E-2</v>
      </c>
      <c r="N142">
        <f>LN(dataset[[#This Row],[soda_units_sold]])</f>
        <v>12.17006715799489</v>
      </c>
      <c r="O142">
        <f>LN(dataset[[#This Row],[soda_sales]])</f>
        <v>11.894825156280746</v>
      </c>
      <c r="P142">
        <f>LN(dataset[[#This Row],[soda_ppu]])</f>
        <v>-0.27522663118443513</v>
      </c>
      <c r="Q142">
        <f>IF(dataset[[#This Row],[state]]="VA",1,0)</f>
        <v>0</v>
      </c>
    </row>
    <row r="143" spans="1:17" x14ac:dyDescent="0.35">
      <c r="A143">
        <v>202410</v>
      </c>
      <c r="B143">
        <v>14</v>
      </c>
      <c r="C143" s="2">
        <v>3656861.0125000002</v>
      </c>
      <c r="D143" s="2">
        <v>0.80120000000000002</v>
      </c>
      <c r="E143" s="3">
        <v>178947</v>
      </c>
      <c r="F143" s="2">
        <v>143374.18100000001</v>
      </c>
      <c r="G143" t="s">
        <v>924</v>
      </c>
      <c r="H143" t="s">
        <v>6</v>
      </c>
      <c r="I143">
        <f>HLOOKUP(G143,zip_tiers!$A$1:$EON$2,2,FALSE)</f>
        <v>117833.33333333333</v>
      </c>
      <c r="J143" t="str">
        <f t="shared" si="2"/>
        <v>High</v>
      </c>
      <c r="K143">
        <f>dataset[[#This Row],[soda_sales]]/dataset[[#This Row],[soda_units_sold]]</f>
        <v>0.80121030808004612</v>
      </c>
      <c r="L143" s="29">
        <f>dataset[[#This Row],[implied_soda_ppu]]-dataset[[#This Row],[soda_ppu]]</f>
        <v>1.0308080046095291E-5</v>
      </c>
      <c r="M143">
        <f>dataset[[#This Row],[soda_sales]]/dataset[[#This Row],[total_sales]]</f>
        <v>3.9206899171150819E-2</v>
      </c>
      <c r="N143">
        <f>LN(dataset[[#This Row],[soda_units_sold]])</f>
        <v>12.0948449515943</v>
      </c>
      <c r="O143">
        <f>LN(dataset[[#This Row],[soda_sales]])</f>
        <v>11.873213142122419</v>
      </c>
      <c r="P143">
        <f>LN(dataset[[#This Row],[soda_ppu]])</f>
        <v>-0.22164467519047384</v>
      </c>
      <c r="Q143">
        <f>IF(dataset[[#This Row],[state]]="VA",1,0)</f>
        <v>0</v>
      </c>
    </row>
    <row r="144" spans="1:17" x14ac:dyDescent="0.35">
      <c r="A144">
        <v>202411</v>
      </c>
      <c r="B144">
        <v>14</v>
      </c>
      <c r="C144" s="2">
        <v>4223409.2511999998</v>
      </c>
      <c r="D144" s="2">
        <v>0.77969999999999995</v>
      </c>
      <c r="E144" s="3">
        <v>175382</v>
      </c>
      <c r="F144" s="2">
        <v>136743.1017</v>
      </c>
      <c r="G144" t="s">
        <v>924</v>
      </c>
      <c r="H144" t="s">
        <v>6</v>
      </c>
      <c r="I144">
        <f>HLOOKUP(G144,zip_tiers!$A$1:$EON$2,2,FALSE)</f>
        <v>117833.33333333333</v>
      </c>
      <c r="J144" t="str">
        <f t="shared" si="2"/>
        <v>High</v>
      </c>
      <c r="K144">
        <f>dataset[[#This Row],[soda_sales]]/dataset[[#This Row],[soda_units_sold]]</f>
        <v>0.77968720678290815</v>
      </c>
      <c r="L144" s="29">
        <f>dataset[[#This Row],[implied_soda_ppu]]-dataset[[#This Row],[soda_ppu]]</f>
        <v>-1.2793217091799924E-5</v>
      </c>
      <c r="M144">
        <f>dataset[[#This Row],[soda_sales]]/dataset[[#This Row],[total_sales]]</f>
        <v>3.2377421548988441E-2</v>
      </c>
      <c r="N144">
        <f>LN(dataset[[#This Row],[soda_units_sold]])</f>
        <v>12.074721731077195</v>
      </c>
      <c r="O144">
        <f>LN(dataset[[#This Row],[soda_sales]])</f>
        <v>11.825859274404909</v>
      </c>
      <c r="P144">
        <f>LN(dataset[[#This Row],[soda_ppu]])</f>
        <v>-0.24884604866658286</v>
      </c>
      <c r="Q144">
        <f>IF(dataset[[#This Row],[state]]="VA",1,0)</f>
        <v>0</v>
      </c>
    </row>
    <row r="145" spans="1:17" x14ac:dyDescent="0.35">
      <c r="A145">
        <v>202412</v>
      </c>
      <c r="B145">
        <v>14</v>
      </c>
      <c r="C145" s="2">
        <v>4411229.2956999997</v>
      </c>
      <c r="D145" s="2">
        <v>0.81320000000000003</v>
      </c>
      <c r="E145" s="3">
        <v>169693</v>
      </c>
      <c r="F145" s="2">
        <v>137998.2016</v>
      </c>
      <c r="G145" t="s">
        <v>924</v>
      </c>
      <c r="H145" t="s">
        <v>6</v>
      </c>
      <c r="I145">
        <f>HLOOKUP(G145,zip_tiers!$A$1:$EON$2,2,FALSE)</f>
        <v>117833.33333333333</v>
      </c>
      <c r="J145" t="str">
        <f t="shared" si="2"/>
        <v>High</v>
      </c>
      <c r="K145">
        <f>dataset[[#This Row],[soda_sales]]/dataset[[#This Row],[soda_units_sold]]</f>
        <v>0.81322271160271786</v>
      </c>
      <c r="L145" s="29">
        <f>dataset[[#This Row],[implied_soda_ppu]]-dataset[[#This Row],[soda_ppu]]</f>
        <v>2.2711602717828683E-5</v>
      </c>
      <c r="M145">
        <f>dataset[[#This Row],[soda_sales]]/dataset[[#This Row],[total_sales]]</f>
        <v>3.1283388903523689E-2</v>
      </c>
      <c r="N145">
        <f>LN(dataset[[#This Row],[soda_units_sold]])</f>
        <v>12.041746201108138</v>
      </c>
      <c r="O145">
        <f>LN(dataset[[#This Row],[soda_sales]])</f>
        <v>11.834995932170369</v>
      </c>
      <c r="P145">
        <f>LN(dataset[[#This Row],[soda_ppu]])</f>
        <v>-0.20677819722794544</v>
      </c>
      <c r="Q145">
        <f>IF(dataset[[#This Row],[state]]="VA",1,0)</f>
        <v>0</v>
      </c>
    </row>
    <row r="146" spans="1:17" x14ac:dyDescent="0.35">
      <c r="A146">
        <v>202201</v>
      </c>
      <c r="B146">
        <v>52</v>
      </c>
      <c r="C146" s="2">
        <v>2659094.5586999999</v>
      </c>
      <c r="D146" s="2">
        <v>0.74929999999999997</v>
      </c>
      <c r="E146" s="3">
        <v>119293</v>
      </c>
      <c r="F146" s="2">
        <v>89382.819600000003</v>
      </c>
      <c r="G146" t="s">
        <v>956</v>
      </c>
      <c r="H146" t="s">
        <v>6</v>
      </c>
      <c r="I146">
        <f>HLOOKUP(G146,zip_tiers!$A$1:$EON$2,2,FALSE)</f>
        <v>130716.66666666667</v>
      </c>
      <c r="J146" t="str">
        <f t="shared" si="2"/>
        <v>High</v>
      </c>
      <c r="K146">
        <f>dataset[[#This Row],[soda_sales]]/dataset[[#This Row],[soda_units_sold]]</f>
        <v>0.74927128666392828</v>
      </c>
      <c r="L146" s="29">
        <f>dataset[[#This Row],[implied_soda_ppu]]-dataset[[#This Row],[soda_ppu]]</f>
        <v>-2.8713336071684026E-5</v>
      </c>
      <c r="M146">
        <f>dataset[[#This Row],[soda_sales]]/dataset[[#This Row],[total_sales]]</f>
        <v>3.361400568007563E-2</v>
      </c>
      <c r="N146">
        <f>LN(dataset[[#This Row],[soda_units_sold]])</f>
        <v>11.689337930756816</v>
      </c>
      <c r="O146">
        <f>LN(dataset[[#This Row],[soda_sales]])</f>
        <v>11.400683768197077</v>
      </c>
      <c r="P146">
        <f>LN(dataset[[#This Row],[soda_ppu]])</f>
        <v>-0.28861584161187204</v>
      </c>
      <c r="Q146">
        <f>IF(dataset[[#This Row],[state]]="VA",1,0)</f>
        <v>0</v>
      </c>
    </row>
    <row r="147" spans="1:17" x14ac:dyDescent="0.35">
      <c r="A147">
        <v>202202</v>
      </c>
      <c r="B147">
        <v>52</v>
      </c>
      <c r="C147" s="2">
        <v>3015362.2581000002</v>
      </c>
      <c r="D147" s="2">
        <v>0.72140000000000004</v>
      </c>
      <c r="E147" s="3">
        <v>138608</v>
      </c>
      <c r="F147" s="2">
        <v>99997.479900000006</v>
      </c>
      <c r="G147" t="s">
        <v>956</v>
      </c>
      <c r="H147" t="s">
        <v>6</v>
      </c>
      <c r="I147">
        <f>HLOOKUP(G147,zip_tiers!$A$1:$EON$2,2,FALSE)</f>
        <v>130716.66666666667</v>
      </c>
      <c r="J147" t="str">
        <f t="shared" si="2"/>
        <v>High</v>
      </c>
      <c r="K147">
        <f>dataset[[#This Row],[soda_sales]]/dataset[[#This Row],[soda_units_sold]]</f>
        <v>0.7214408973508023</v>
      </c>
      <c r="L147" s="29">
        <f>dataset[[#This Row],[implied_soda_ppu]]-dataset[[#This Row],[soda_ppu]]</f>
        <v>4.0897350802260313E-5</v>
      </c>
      <c r="M147">
        <f>dataset[[#This Row],[soda_sales]]/dataset[[#This Row],[total_sales]]</f>
        <v>3.3162675440200372E-2</v>
      </c>
      <c r="N147">
        <f>LN(dataset[[#This Row],[soda_units_sold]])</f>
        <v>11.839405084129922</v>
      </c>
      <c r="O147">
        <f>LN(dataset[[#This Row],[soda_sales]])</f>
        <v>11.512900263652678</v>
      </c>
      <c r="P147">
        <f>LN(dataset[[#This Row],[soda_ppu]])</f>
        <v>-0.32656151051269838</v>
      </c>
      <c r="Q147">
        <f>IF(dataset[[#This Row],[state]]="VA",1,0)</f>
        <v>0</v>
      </c>
    </row>
    <row r="148" spans="1:17" x14ac:dyDescent="0.35">
      <c r="A148">
        <v>202203</v>
      </c>
      <c r="B148">
        <v>52</v>
      </c>
      <c r="C148" s="2">
        <v>3389808.4484999999</v>
      </c>
      <c r="D148" s="2">
        <v>0.76239999999999997</v>
      </c>
      <c r="E148" s="3">
        <v>157463</v>
      </c>
      <c r="F148" s="2">
        <v>120050.696</v>
      </c>
      <c r="G148" t="s">
        <v>956</v>
      </c>
      <c r="H148" t="s">
        <v>6</v>
      </c>
      <c r="I148">
        <f>HLOOKUP(G148,zip_tiers!$A$1:$EON$2,2,FALSE)</f>
        <v>130716.66666666667</v>
      </c>
      <c r="J148" t="str">
        <f t="shared" si="2"/>
        <v>High</v>
      </c>
      <c r="K148">
        <f>dataset[[#This Row],[soda_sales]]/dataset[[#This Row],[soda_units_sold]]</f>
        <v>0.76240574611178502</v>
      </c>
      <c r="L148" s="29">
        <f>dataset[[#This Row],[implied_soda_ppu]]-dataset[[#This Row],[soda_ppu]]</f>
        <v>5.746111785054353E-6</v>
      </c>
      <c r="M148">
        <f>dataset[[#This Row],[soda_sales]]/dataset[[#This Row],[total_sales]]</f>
        <v>3.5415185791138962E-2</v>
      </c>
      <c r="N148">
        <f>LN(dataset[[#This Row],[soda_units_sold]])</f>
        <v>11.96694578901473</v>
      </c>
      <c r="O148">
        <f>LN(dataset[[#This Row],[soda_sales]])</f>
        <v>11.695669399216934</v>
      </c>
      <c r="P148">
        <f>LN(dataset[[#This Row],[soda_ppu]])</f>
        <v>-0.27128392664214473</v>
      </c>
      <c r="Q148">
        <f>IF(dataset[[#This Row],[state]]="VA",1,0)</f>
        <v>0</v>
      </c>
    </row>
    <row r="149" spans="1:17" x14ac:dyDescent="0.35">
      <c r="A149">
        <v>202204</v>
      </c>
      <c r="B149">
        <v>52</v>
      </c>
      <c r="C149" s="2">
        <v>3553748.0062000002</v>
      </c>
      <c r="D149" s="2">
        <v>0.73699999999999999</v>
      </c>
      <c r="E149" s="3">
        <v>187493</v>
      </c>
      <c r="F149" s="2">
        <v>138189.74830000001</v>
      </c>
      <c r="G149" t="s">
        <v>956</v>
      </c>
      <c r="H149" t="s">
        <v>6</v>
      </c>
      <c r="I149">
        <f>HLOOKUP(G149,zip_tiers!$A$1:$EON$2,2,FALSE)</f>
        <v>130716.66666666667</v>
      </c>
      <c r="J149" t="str">
        <f t="shared" si="2"/>
        <v>High</v>
      </c>
      <c r="K149">
        <f>dataset[[#This Row],[soda_sales]]/dataset[[#This Row],[soda_units_sold]]</f>
        <v>0.73703950707493082</v>
      </c>
      <c r="L149" s="29">
        <f>dataset[[#This Row],[implied_soda_ppu]]-dataset[[#This Row],[soda_ppu]]</f>
        <v>3.9507074930833497E-5</v>
      </c>
      <c r="M149">
        <f>dataset[[#This Row],[soda_sales]]/dataset[[#This Row],[total_sales]]</f>
        <v>3.8885635126325521E-2</v>
      </c>
      <c r="N149">
        <f>LN(dataset[[#This Row],[soda_units_sold]])</f>
        <v>12.141496790362362</v>
      </c>
      <c r="O149">
        <f>LN(dataset[[#This Row],[soda_sales]])</f>
        <v>11.836383007390561</v>
      </c>
      <c r="P149">
        <f>LN(dataset[[#This Row],[soda_ppu]])</f>
        <v>-0.30516738679280048</v>
      </c>
      <c r="Q149">
        <f>IF(dataset[[#This Row],[state]]="VA",1,0)</f>
        <v>0</v>
      </c>
    </row>
    <row r="150" spans="1:17" x14ac:dyDescent="0.35">
      <c r="A150">
        <v>202205</v>
      </c>
      <c r="B150">
        <v>52</v>
      </c>
      <c r="C150" s="2">
        <v>3688600.8355</v>
      </c>
      <c r="D150" s="2">
        <v>0.74439999999999995</v>
      </c>
      <c r="E150" s="3">
        <v>201833</v>
      </c>
      <c r="F150" s="2">
        <v>150235.8351</v>
      </c>
      <c r="G150" t="s">
        <v>956</v>
      </c>
      <c r="H150" t="s">
        <v>6</v>
      </c>
      <c r="I150">
        <f>HLOOKUP(G150,zip_tiers!$A$1:$EON$2,2,FALSE)</f>
        <v>130716.66666666667</v>
      </c>
      <c r="J150" t="str">
        <f t="shared" si="2"/>
        <v>High</v>
      </c>
      <c r="K150">
        <f>dataset[[#This Row],[soda_sales]]/dataset[[#This Row],[soda_units_sold]]</f>
        <v>0.74435714229090388</v>
      </c>
      <c r="L150" s="29">
        <f>dataset[[#This Row],[implied_soda_ppu]]-dataset[[#This Row],[soda_ppu]]</f>
        <v>-4.2857709096066898E-5</v>
      </c>
      <c r="M150">
        <f>dataset[[#This Row],[soda_sales]]/dataset[[#This Row],[total_sales]]</f>
        <v>4.0729762259470698E-2</v>
      </c>
      <c r="N150">
        <f>LN(dataset[[#This Row],[soda_units_sold]])</f>
        <v>12.215195901778147</v>
      </c>
      <c r="O150">
        <f>LN(dataset[[#This Row],[soda_sales]])</f>
        <v>11.91996157241247</v>
      </c>
      <c r="P150">
        <f>LN(dataset[[#This Row],[soda_ppu]])</f>
        <v>-0.29517675421404144</v>
      </c>
      <c r="Q150">
        <f>IF(dataset[[#This Row],[state]]="VA",1,0)</f>
        <v>0</v>
      </c>
    </row>
    <row r="151" spans="1:17" x14ac:dyDescent="0.35">
      <c r="A151">
        <v>202206</v>
      </c>
      <c r="B151">
        <v>52</v>
      </c>
      <c r="C151" s="2">
        <v>3504939.4180000001</v>
      </c>
      <c r="D151" s="2">
        <v>0.76329999999999998</v>
      </c>
      <c r="E151" s="3">
        <v>210448</v>
      </c>
      <c r="F151" s="2">
        <v>160645.2115</v>
      </c>
      <c r="G151" t="s">
        <v>956</v>
      </c>
      <c r="H151" t="s">
        <v>6</v>
      </c>
      <c r="I151">
        <f>HLOOKUP(G151,zip_tiers!$A$1:$EON$2,2,FALSE)</f>
        <v>130716.66666666667</v>
      </c>
      <c r="J151" t="str">
        <f t="shared" si="2"/>
        <v>High</v>
      </c>
      <c r="K151">
        <f>dataset[[#This Row],[soda_sales]]/dataset[[#This Row],[soda_units_sold]]</f>
        <v>0.76334872034896983</v>
      </c>
      <c r="L151" s="29">
        <f>dataset[[#This Row],[implied_soda_ppu]]-dataset[[#This Row],[soda_ppu]]</f>
        <v>4.872034896985511E-5</v>
      </c>
      <c r="M151">
        <f>dataset[[#This Row],[soda_sales]]/dataset[[#This Row],[total_sales]]</f>
        <v>4.5833948134734924E-2</v>
      </c>
      <c r="N151">
        <f>LN(dataset[[#This Row],[soda_units_sold]])</f>
        <v>12.256993870708559</v>
      </c>
      <c r="O151">
        <f>LN(dataset[[#This Row],[soda_sales]])</f>
        <v>11.986953557065842</v>
      </c>
      <c r="P151">
        <f>LN(dataset[[#This Row],[soda_ppu]])</f>
        <v>-0.27010414017771239</v>
      </c>
      <c r="Q151">
        <f>IF(dataset[[#This Row],[state]]="VA",1,0)</f>
        <v>0</v>
      </c>
    </row>
    <row r="152" spans="1:17" x14ac:dyDescent="0.35">
      <c r="A152">
        <v>202207</v>
      </c>
      <c r="B152">
        <v>52</v>
      </c>
      <c r="C152" s="2">
        <v>3389938.5701000001</v>
      </c>
      <c r="D152" s="2">
        <v>0.75209999999999999</v>
      </c>
      <c r="E152" s="3">
        <v>214776</v>
      </c>
      <c r="F152" s="2">
        <v>161539.39110000001</v>
      </c>
      <c r="G152" t="s">
        <v>956</v>
      </c>
      <c r="H152" t="s">
        <v>6</v>
      </c>
      <c r="I152">
        <f>HLOOKUP(G152,zip_tiers!$A$1:$EON$2,2,FALSE)</f>
        <v>130716.66666666667</v>
      </c>
      <c r="J152" t="str">
        <f t="shared" si="2"/>
        <v>High</v>
      </c>
      <c r="K152">
        <f>dataset[[#This Row],[soda_sales]]/dataset[[#This Row],[soda_units_sold]]</f>
        <v>0.75212961923119903</v>
      </c>
      <c r="L152" s="29">
        <f>dataset[[#This Row],[implied_soda_ppu]]-dataset[[#This Row],[soda_ppu]]</f>
        <v>2.9619231199040641E-5</v>
      </c>
      <c r="M152">
        <f>dataset[[#This Row],[soda_sales]]/dataset[[#This Row],[total_sales]]</f>
        <v>4.7652601296322233E-2</v>
      </c>
      <c r="N152">
        <f>LN(dataset[[#This Row],[soda_units_sold]])</f>
        <v>12.277350903530804</v>
      </c>
      <c r="O152">
        <f>LN(dataset[[#This Row],[soda_sales]])</f>
        <v>11.99250429964413</v>
      </c>
      <c r="P152">
        <f>LN(dataset[[#This Row],[soda_ppu]])</f>
        <v>-0.28488598514977964</v>
      </c>
      <c r="Q152">
        <f>IF(dataset[[#This Row],[state]]="VA",1,0)</f>
        <v>0</v>
      </c>
    </row>
    <row r="153" spans="1:17" x14ac:dyDescent="0.35">
      <c r="A153">
        <v>202208</v>
      </c>
      <c r="B153">
        <v>52</v>
      </c>
      <c r="C153" s="2">
        <v>3223261.7884</v>
      </c>
      <c r="D153" s="2">
        <v>0.72950000000000004</v>
      </c>
      <c r="E153" s="3">
        <v>193042</v>
      </c>
      <c r="F153" s="2">
        <v>140820.5987</v>
      </c>
      <c r="G153" t="s">
        <v>956</v>
      </c>
      <c r="H153" t="s">
        <v>6</v>
      </c>
      <c r="I153">
        <f>HLOOKUP(G153,zip_tiers!$A$1:$EON$2,2,FALSE)</f>
        <v>130716.66666666667</v>
      </c>
      <c r="J153" t="str">
        <f t="shared" si="2"/>
        <v>High</v>
      </c>
      <c r="K153">
        <f>dataset[[#This Row],[soda_sales]]/dataset[[#This Row],[soda_units_sold]]</f>
        <v>0.72948166046767027</v>
      </c>
      <c r="L153" s="29">
        <f>dataset[[#This Row],[implied_soda_ppu]]-dataset[[#This Row],[soda_ppu]]</f>
        <v>-1.8339532329769703E-5</v>
      </c>
      <c r="M153">
        <f>dataset[[#This Row],[soda_sales]]/dataset[[#This Row],[total_sales]]</f>
        <v>4.3688849353406743E-2</v>
      </c>
      <c r="N153">
        <f>LN(dataset[[#This Row],[soda_units_sold]])</f>
        <v>12.170663060792281</v>
      </c>
      <c r="O153">
        <f>LN(dataset[[#This Row],[soda_sales]])</f>
        <v>11.855242009590858</v>
      </c>
      <c r="P153">
        <f>LN(dataset[[#This Row],[soda_ppu]])</f>
        <v>-0.31539591101929665</v>
      </c>
      <c r="Q153">
        <f>IF(dataset[[#This Row],[state]]="VA",1,0)</f>
        <v>0</v>
      </c>
    </row>
    <row r="154" spans="1:17" x14ac:dyDescent="0.35">
      <c r="A154">
        <v>202209</v>
      </c>
      <c r="B154">
        <v>52</v>
      </c>
      <c r="C154" s="2">
        <v>3244546.2552</v>
      </c>
      <c r="D154" s="2">
        <v>0.75080000000000002</v>
      </c>
      <c r="E154" s="3">
        <v>188991</v>
      </c>
      <c r="F154" s="2">
        <v>141890.17679999999</v>
      </c>
      <c r="G154" t="s">
        <v>956</v>
      </c>
      <c r="H154" t="s">
        <v>6</v>
      </c>
      <c r="I154">
        <f>HLOOKUP(G154,zip_tiers!$A$1:$EON$2,2,FALSE)</f>
        <v>130716.66666666667</v>
      </c>
      <c r="J154" t="str">
        <f t="shared" si="2"/>
        <v>High</v>
      </c>
      <c r="K154">
        <f>dataset[[#This Row],[soda_sales]]/dataset[[#This Row],[soda_units_sold]]</f>
        <v>0.75077742749654741</v>
      </c>
      <c r="L154" s="29">
        <f>dataset[[#This Row],[implied_soda_ppu]]-dataset[[#This Row],[soda_ppu]]</f>
        <v>-2.2572503452611414E-5</v>
      </c>
      <c r="M154">
        <f>dataset[[#This Row],[soda_sales]]/dataset[[#This Row],[total_sales]]</f>
        <v>4.373190136296997E-2</v>
      </c>
      <c r="N154">
        <f>LN(dataset[[#This Row],[soda_units_sold]])</f>
        <v>12.149454673860337</v>
      </c>
      <c r="O154">
        <f>LN(dataset[[#This Row],[soda_sales]])</f>
        <v>11.862808634536243</v>
      </c>
      <c r="P154">
        <f>LN(dataset[[#This Row],[soda_ppu]])</f>
        <v>-0.28661597426978325</v>
      </c>
      <c r="Q154">
        <f>IF(dataset[[#This Row],[state]]="VA",1,0)</f>
        <v>0</v>
      </c>
    </row>
    <row r="155" spans="1:17" x14ac:dyDescent="0.35">
      <c r="A155">
        <v>202210</v>
      </c>
      <c r="B155">
        <v>52</v>
      </c>
      <c r="C155" s="2">
        <v>3893621.4328999999</v>
      </c>
      <c r="D155" s="2">
        <v>0.78169999999999995</v>
      </c>
      <c r="E155" s="3">
        <v>170654</v>
      </c>
      <c r="F155" s="2">
        <v>133402.96460000001</v>
      </c>
      <c r="G155" t="s">
        <v>956</v>
      </c>
      <c r="H155" t="s">
        <v>6</v>
      </c>
      <c r="I155">
        <f>HLOOKUP(G155,zip_tiers!$A$1:$EON$2,2,FALSE)</f>
        <v>130716.66666666667</v>
      </c>
      <c r="J155" t="str">
        <f t="shared" si="2"/>
        <v>High</v>
      </c>
      <c r="K155">
        <f>dataset[[#This Row],[soda_sales]]/dataset[[#This Row],[soda_units_sold]]</f>
        <v>0.78171601368851595</v>
      </c>
      <c r="L155" s="29">
        <f>dataset[[#This Row],[implied_soda_ppu]]-dataset[[#This Row],[soda_ppu]]</f>
        <v>1.6013688516003377E-5</v>
      </c>
      <c r="M155">
        <f>dataset[[#This Row],[soda_sales]]/dataset[[#This Row],[total_sales]]</f>
        <v>3.4261924765664857E-2</v>
      </c>
      <c r="N155">
        <f>LN(dataset[[#This Row],[soda_units_sold]])</f>
        <v>12.047393393849188</v>
      </c>
      <c r="O155">
        <f>LN(dataset[[#This Row],[soda_sales]])</f>
        <v>11.801129635605031</v>
      </c>
      <c r="P155">
        <f>LN(dataset[[#This Row],[soda_ppu]])</f>
        <v>-0.24628424375585237</v>
      </c>
      <c r="Q155">
        <f>IF(dataset[[#This Row],[state]]="VA",1,0)</f>
        <v>0</v>
      </c>
    </row>
    <row r="156" spans="1:17" x14ac:dyDescent="0.35">
      <c r="A156">
        <v>202211</v>
      </c>
      <c r="B156">
        <v>52</v>
      </c>
      <c r="C156" s="2">
        <v>4462550.3601000002</v>
      </c>
      <c r="D156" s="2">
        <v>0.74070000000000003</v>
      </c>
      <c r="E156" s="3">
        <v>171955</v>
      </c>
      <c r="F156" s="2">
        <v>127369.28389999999</v>
      </c>
      <c r="G156" t="s">
        <v>956</v>
      </c>
      <c r="H156" t="s">
        <v>6</v>
      </c>
      <c r="I156">
        <f>HLOOKUP(G156,zip_tiers!$A$1:$EON$2,2,FALSE)</f>
        <v>130716.66666666667</v>
      </c>
      <c r="J156" t="str">
        <f t="shared" si="2"/>
        <v>High</v>
      </c>
      <c r="K156">
        <f>dataset[[#This Row],[soda_sales]]/dataset[[#This Row],[soda_units_sold]]</f>
        <v>0.74071288360326826</v>
      </c>
      <c r="L156" s="29">
        <f>dataset[[#This Row],[implied_soda_ppu]]-dataset[[#This Row],[soda_ppu]]</f>
        <v>1.2883603268232235E-5</v>
      </c>
      <c r="M156">
        <f>dataset[[#This Row],[soda_sales]]/dataset[[#This Row],[total_sales]]</f>
        <v>2.8541814348767552E-2</v>
      </c>
      <c r="N156">
        <f>LN(dataset[[#This Row],[soda_units_sold]])</f>
        <v>12.054988093658062</v>
      </c>
      <c r="O156">
        <f>LN(dataset[[#This Row],[soda_sales]])</f>
        <v>11.754845893364969</v>
      </c>
      <c r="P156">
        <f>LN(dataset[[#This Row],[soda_ppu]])</f>
        <v>-0.30015959396289349</v>
      </c>
      <c r="Q156">
        <f>IF(dataset[[#This Row],[state]]="VA",1,0)</f>
        <v>0</v>
      </c>
    </row>
    <row r="157" spans="1:17" x14ac:dyDescent="0.35">
      <c r="A157">
        <v>202212</v>
      </c>
      <c r="B157">
        <v>52</v>
      </c>
      <c r="C157" s="2">
        <v>4678979.2659999998</v>
      </c>
      <c r="D157" s="2">
        <v>0.75049999999999994</v>
      </c>
      <c r="E157" s="3">
        <v>164218</v>
      </c>
      <c r="F157" s="2">
        <v>123242.6854</v>
      </c>
      <c r="G157" t="s">
        <v>956</v>
      </c>
      <c r="H157" t="s">
        <v>6</v>
      </c>
      <c r="I157">
        <f>HLOOKUP(G157,zip_tiers!$A$1:$EON$2,2,FALSE)</f>
        <v>130716.66666666667</v>
      </c>
      <c r="J157" t="str">
        <f t="shared" si="2"/>
        <v>High</v>
      </c>
      <c r="K157">
        <f>dataset[[#This Row],[soda_sales]]/dataset[[#This Row],[soda_units_sold]]</f>
        <v>0.75048219683591322</v>
      </c>
      <c r="L157" s="29">
        <f>dataset[[#This Row],[implied_soda_ppu]]-dataset[[#This Row],[soda_ppu]]</f>
        <v>-1.7803164086727108E-5</v>
      </c>
      <c r="M157">
        <f>dataset[[#This Row],[soda_sales]]/dataset[[#This Row],[total_sales]]</f>
        <v>2.6339651961176269E-2</v>
      </c>
      <c r="N157">
        <f>LN(dataset[[#This Row],[soda_units_sold]])</f>
        <v>12.00895009240406</v>
      </c>
      <c r="O157">
        <f>LN(dataset[[#This Row],[soda_sales]])</f>
        <v>11.721910742476451</v>
      </c>
      <c r="P157">
        <f>LN(dataset[[#This Row],[soda_ppu]])</f>
        <v>-0.28701562790862051</v>
      </c>
      <c r="Q157">
        <f>IF(dataset[[#This Row],[state]]="VA",1,0)</f>
        <v>0</v>
      </c>
    </row>
    <row r="158" spans="1:17" x14ac:dyDescent="0.35">
      <c r="A158">
        <v>202301</v>
      </c>
      <c r="B158">
        <v>52</v>
      </c>
      <c r="C158" s="2">
        <v>2668471.5953000002</v>
      </c>
      <c r="D158" s="2">
        <v>0.79820000000000002</v>
      </c>
      <c r="E158" s="3">
        <v>111839</v>
      </c>
      <c r="F158" s="2">
        <v>89265.225000000006</v>
      </c>
      <c r="G158" t="s">
        <v>956</v>
      </c>
      <c r="H158" t="s">
        <v>6</v>
      </c>
      <c r="I158">
        <f>HLOOKUP(G158,zip_tiers!$A$1:$EON$2,2,FALSE)</f>
        <v>130716.66666666667</v>
      </c>
      <c r="J158" t="str">
        <f t="shared" si="2"/>
        <v>High</v>
      </c>
      <c r="K158">
        <f>dataset[[#This Row],[soda_sales]]/dataset[[#This Row],[soda_units_sold]]</f>
        <v>0.79815829004193528</v>
      </c>
      <c r="L158" s="29">
        <f>dataset[[#This Row],[implied_soda_ppu]]-dataset[[#This Row],[soda_ppu]]</f>
        <v>-4.1709958064739538E-5</v>
      </c>
      <c r="M158">
        <f>dataset[[#This Row],[soda_sales]]/dataset[[#This Row],[total_sales]]</f>
        <v>3.3451817571235741E-2</v>
      </c>
      <c r="N158">
        <f>LN(dataset[[#This Row],[soda_units_sold]])</f>
        <v>11.624815616082884</v>
      </c>
      <c r="O158">
        <f>LN(dataset[[#This Row],[soda_sales]])</f>
        <v>11.399367273328661</v>
      </c>
      <c r="P158">
        <f>LN(dataset[[#This Row],[soda_ppu]])</f>
        <v>-0.22539608636750352</v>
      </c>
      <c r="Q158">
        <f>IF(dataset[[#This Row],[state]]="VA",1,0)</f>
        <v>0</v>
      </c>
    </row>
    <row r="159" spans="1:17" x14ac:dyDescent="0.35">
      <c r="A159">
        <v>202302</v>
      </c>
      <c r="B159">
        <v>52</v>
      </c>
      <c r="C159" s="2">
        <v>3052785.2448999998</v>
      </c>
      <c r="D159" s="2">
        <v>0.76639999999999997</v>
      </c>
      <c r="E159" s="3">
        <v>135689</v>
      </c>
      <c r="F159" s="2">
        <v>103989.9745</v>
      </c>
      <c r="G159" t="s">
        <v>956</v>
      </c>
      <c r="H159" t="s">
        <v>6</v>
      </c>
      <c r="I159">
        <f>HLOOKUP(G159,zip_tiers!$A$1:$EON$2,2,FALSE)</f>
        <v>130716.66666666667</v>
      </c>
      <c r="J159" t="str">
        <f t="shared" si="2"/>
        <v>High</v>
      </c>
      <c r="K159">
        <f>dataset[[#This Row],[soda_sales]]/dataset[[#This Row],[soda_units_sold]]</f>
        <v>0.76638470694013516</v>
      </c>
      <c r="L159" s="29">
        <f>dataset[[#This Row],[implied_soda_ppu]]-dataset[[#This Row],[soda_ppu]]</f>
        <v>-1.5293059864807113E-5</v>
      </c>
      <c r="M159">
        <f>dataset[[#This Row],[soda_sales]]/dataset[[#This Row],[total_sales]]</f>
        <v>3.4063966560938484E-2</v>
      </c>
      <c r="N159">
        <f>LN(dataset[[#This Row],[soda_units_sold]])</f>
        <v>11.818120781372993</v>
      </c>
      <c r="O159">
        <f>LN(dataset[[#This Row],[soda_sales]])</f>
        <v>11.552049774438363</v>
      </c>
      <c r="P159">
        <f>LN(dataset[[#This Row],[soda_ppu]])</f>
        <v>-0.26605105232548631</v>
      </c>
      <c r="Q159">
        <f>IF(dataset[[#This Row],[state]]="VA",1,0)</f>
        <v>0</v>
      </c>
    </row>
    <row r="160" spans="1:17" x14ac:dyDescent="0.35">
      <c r="A160">
        <v>202303</v>
      </c>
      <c r="B160">
        <v>52</v>
      </c>
      <c r="C160" s="2">
        <v>3426234.1145000001</v>
      </c>
      <c r="D160" s="2">
        <v>0.75609999999999999</v>
      </c>
      <c r="E160" s="3">
        <v>162916</v>
      </c>
      <c r="F160" s="2">
        <v>123174.842</v>
      </c>
      <c r="G160" t="s">
        <v>956</v>
      </c>
      <c r="H160" t="s">
        <v>6</v>
      </c>
      <c r="I160">
        <f>HLOOKUP(G160,zip_tiers!$A$1:$EON$2,2,FALSE)</f>
        <v>130716.66666666667</v>
      </c>
      <c r="J160" t="str">
        <f t="shared" si="2"/>
        <v>High</v>
      </c>
      <c r="K160">
        <f>dataset[[#This Row],[soda_sales]]/dataset[[#This Row],[soda_units_sold]]</f>
        <v>0.75606350511920251</v>
      </c>
      <c r="L160" s="29">
        <f>dataset[[#This Row],[implied_soda_ppu]]-dataset[[#This Row],[soda_ppu]]</f>
        <v>-3.6494880797488527E-5</v>
      </c>
      <c r="M160">
        <f>dataset[[#This Row],[soda_sales]]/dataset[[#This Row],[total_sales]]</f>
        <v>3.5950503638591917E-2</v>
      </c>
      <c r="N160">
        <f>LN(dataset[[#This Row],[soda_units_sold]])</f>
        <v>12.00099000953362</v>
      </c>
      <c r="O160">
        <f>LN(dataset[[#This Row],[soda_sales]])</f>
        <v>11.721360104683514</v>
      </c>
      <c r="P160">
        <f>LN(dataset[[#This Row],[soda_ppu]])</f>
        <v>-0.27958163641791284</v>
      </c>
      <c r="Q160">
        <f>IF(dataset[[#This Row],[state]]="VA",1,0)</f>
        <v>0</v>
      </c>
    </row>
    <row r="161" spans="1:17" x14ac:dyDescent="0.35">
      <c r="A161">
        <v>202304</v>
      </c>
      <c r="B161">
        <v>52</v>
      </c>
      <c r="C161" s="2">
        <v>3613652.3610999999</v>
      </c>
      <c r="D161" s="2">
        <v>0.76049999999999995</v>
      </c>
      <c r="E161" s="3">
        <v>187913</v>
      </c>
      <c r="F161" s="2">
        <v>142904.71400000001</v>
      </c>
      <c r="G161" t="s">
        <v>956</v>
      </c>
      <c r="H161" t="s">
        <v>6</v>
      </c>
      <c r="I161">
        <f>HLOOKUP(G161,zip_tiers!$A$1:$EON$2,2,FALSE)</f>
        <v>130716.66666666667</v>
      </c>
      <c r="J161" t="str">
        <f t="shared" si="2"/>
        <v>High</v>
      </c>
      <c r="K161">
        <f>dataset[[#This Row],[soda_sales]]/dataset[[#This Row],[soda_units_sold]]</f>
        <v>0.76048338326778886</v>
      </c>
      <c r="L161" s="29">
        <f>dataset[[#This Row],[implied_soda_ppu]]-dataset[[#This Row],[soda_ppu]]</f>
        <v>-1.6616732211094387E-5</v>
      </c>
      <c r="M161">
        <f>dataset[[#This Row],[soda_sales]]/dataset[[#This Row],[total_sales]]</f>
        <v>3.9545783523155409E-2</v>
      </c>
      <c r="N161">
        <f>LN(dataset[[#This Row],[soda_units_sold]])</f>
        <v>12.143734368745427</v>
      </c>
      <c r="O161">
        <f>LN(dataset[[#This Row],[soda_sales]])</f>
        <v>11.869933351477432</v>
      </c>
      <c r="P161">
        <f>LN(dataset[[#This Row],[soda_ppu]])</f>
        <v>-0.27377916728278956</v>
      </c>
      <c r="Q161">
        <f>IF(dataset[[#This Row],[state]]="VA",1,0)</f>
        <v>0</v>
      </c>
    </row>
    <row r="162" spans="1:17" x14ac:dyDescent="0.35">
      <c r="A162">
        <v>202305</v>
      </c>
      <c r="B162">
        <v>52</v>
      </c>
      <c r="C162" s="2">
        <v>3834369.9452999998</v>
      </c>
      <c r="D162" s="2">
        <v>0.73770000000000002</v>
      </c>
      <c r="E162" s="3">
        <v>211966</v>
      </c>
      <c r="F162" s="2">
        <v>156361.03159999999</v>
      </c>
      <c r="G162" t="s">
        <v>956</v>
      </c>
      <c r="H162" t="s">
        <v>6</v>
      </c>
      <c r="I162">
        <f>HLOOKUP(G162,zip_tiers!$A$1:$EON$2,2,FALSE)</f>
        <v>130716.66666666667</v>
      </c>
      <c r="J162" t="str">
        <f t="shared" si="2"/>
        <v>High</v>
      </c>
      <c r="K162">
        <f>dataset[[#This Row],[soda_sales]]/dataset[[#This Row],[soda_units_sold]]</f>
        <v>0.73767034146985833</v>
      </c>
      <c r="L162" s="29">
        <f>dataset[[#This Row],[implied_soda_ppu]]-dataset[[#This Row],[soda_ppu]]</f>
        <v>-2.9658530141696282E-5</v>
      </c>
      <c r="M162">
        <f>dataset[[#This Row],[soda_sales]]/dataset[[#This Row],[total_sales]]</f>
        <v>4.0778806904550352E-2</v>
      </c>
      <c r="N162">
        <f>LN(dataset[[#This Row],[soda_units_sold]])</f>
        <v>12.264181163433836</v>
      </c>
      <c r="O162">
        <f>LN(dataset[[#This Row],[soda_sales]])</f>
        <v>11.959922917480419</v>
      </c>
      <c r="P162">
        <f>LN(dataset[[#This Row],[soda_ppu]])</f>
        <v>-0.30421804109188044</v>
      </c>
      <c r="Q162">
        <f>IF(dataset[[#This Row],[state]]="VA",1,0)</f>
        <v>0</v>
      </c>
    </row>
    <row r="163" spans="1:17" x14ac:dyDescent="0.35">
      <c r="A163">
        <v>202306</v>
      </c>
      <c r="B163">
        <v>52</v>
      </c>
      <c r="C163" s="2">
        <v>3599499.5994000002</v>
      </c>
      <c r="D163" s="2">
        <v>0.76400000000000001</v>
      </c>
      <c r="E163" s="3">
        <v>207602</v>
      </c>
      <c r="F163" s="2">
        <v>158614.25210000001</v>
      </c>
      <c r="G163" t="s">
        <v>956</v>
      </c>
      <c r="H163" t="s">
        <v>6</v>
      </c>
      <c r="I163">
        <f>HLOOKUP(G163,zip_tiers!$A$1:$EON$2,2,FALSE)</f>
        <v>130716.66666666667</v>
      </c>
      <c r="J163" t="str">
        <f t="shared" si="2"/>
        <v>High</v>
      </c>
      <c r="K163">
        <f>dataset[[#This Row],[soda_sales]]/dataset[[#This Row],[soda_units_sold]]</f>
        <v>0.76403046261596719</v>
      </c>
      <c r="L163" s="29">
        <f>dataset[[#This Row],[implied_soda_ppu]]-dataset[[#This Row],[soda_ppu]]</f>
        <v>3.0462615967175033E-5</v>
      </c>
      <c r="M163">
        <f>dataset[[#This Row],[soda_sales]]/dataset[[#This Row],[total_sales]]</f>
        <v>4.4065639603471381E-2</v>
      </c>
      <c r="N163">
        <f>LN(dataset[[#This Row],[soda_units_sold]])</f>
        <v>12.243378064138833</v>
      </c>
      <c r="O163">
        <f>LN(dataset[[#This Row],[soda_sales]])</f>
        <v>11.974230446062316</v>
      </c>
      <c r="P163">
        <f>LN(dataset[[#This Row],[soda_ppu]])</f>
        <v>-0.26918748981561652</v>
      </c>
      <c r="Q163">
        <f>IF(dataset[[#This Row],[state]]="VA",1,0)</f>
        <v>0</v>
      </c>
    </row>
    <row r="164" spans="1:17" x14ac:dyDescent="0.35">
      <c r="A164">
        <v>202307</v>
      </c>
      <c r="B164">
        <v>52</v>
      </c>
      <c r="C164" s="2">
        <v>3419888.3146000002</v>
      </c>
      <c r="D164" s="2">
        <v>0.76339999999999997</v>
      </c>
      <c r="E164" s="3">
        <v>216924</v>
      </c>
      <c r="F164" s="2">
        <v>165592.70499999999</v>
      </c>
      <c r="G164" t="s">
        <v>956</v>
      </c>
      <c r="H164" t="s">
        <v>6</v>
      </c>
      <c r="I164">
        <f>HLOOKUP(G164,zip_tiers!$A$1:$EON$2,2,FALSE)</f>
        <v>130716.66666666667</v>
      </c>
      <c r="J164" t="str">
        <f t="shared" si="2"/>
        <v>High</v>
      </c>
      <c r="K164">
        <f>dataset[[#This Row],[soda_sales]]/dataset[[#This Row],[soda_units_sold]]</f>
        <v>0.76336737751470551</v>
      </c>
      <c r="L164" s="29">
        <f>dataset[[#This Row],[implied_soda_ppu]]-dataset[[#This Row],[soda_ppu]]</f>
        <v>-3.262248529445344E-5</v>
      </c>
      <c r="M164">
        <f>dataset[[#This Row],[soda_sales]]/dataset[[#This Row],[total_sales]]</f>
        <v>4.8420500837135727E-2</v>
      </c>
      <c r="N164">
        <f>LN(dataset[[#This Row],[soda_units_sold]])</f>
        <v>12.287302340762855</v>
      </c>
      <c r="O164">
        <f>LN(dataset[[#This Row],[soda_sales]])</f>
        <v>12.017286468030614</v>
      </c>
      <c r="P164">
        <f>LN(dataset[[#This Row],[soda_ppu]])</f>
        <v>-0.26997313867100775</v>
      </c>
      <c r="Q164">
        <f>IF(dataset[[#This Row],[state]]="VA",1,0)</f>
        <v>0</v>
      </c>
    </row>
    <row r="165" spans="1:17" x14ac:dyDescent="0.35">
      <c r="A165">
        <v>202308</v>
      </c>
      <c r="B165">
        <v>52</v>
      </c>
      <c r="C165" s="2">
        <v>3245349.0117000001</v>
      </c>
      <c r="D165" s="2">
        <v>0.78769999999999996</v>
      </c>
      <c r="E165" s="3">
        <v>188724</v>
      </c>
      <c r="F165" s="2">
        <v>148653.8167</v>
      </c>
      <c r="G165" t="s">
        <v>956</v>
      </c>
      <c r="H165" t="s">
        <v>6</v>
      </c>
      <c r="I165">
        <f>HLOOKUP(G165,zip_tiers!$A$1:$EON$2,2,FALSE)</f>
        <v>130716.66666666667</v>
      </c>
      <c r="J165" t="str">
        <f t="shared" si="2"/>
        <v>High</v>
      </c>
      <c r="K165">
        <f>dataset[[#This Row],[soda_sales]]/dataset[[#This Row],[soda_units_sold]]</f>
        <v>0.78767839119560834</v>
      </c>
      <c r="L165" s="29">
        <f>dataset[[#This Row],[implied_soda_ppu]]-dataset[[#This Row],[soda_ppu]]</f>
        <v>-2.1608804391615166E-5</v>
      </c>
      <c r="M165">
        <f>dataset[[#This Row],[soda_sales]]/dataset[[#This Row],[total_sales]]</f>
        <v>4.5805186488134038E-2</v>
      </c>
      <c r="N165">
        <f>LN(dataset[[#This Row],[soda_units_sold]])</f>
        <v>12.148040909278725</v>
      </c>
      <c r="O165">
        <f>LN(dataset[[#This Row],[soda_sales]])</f>
        <v>11.90937550384503</v>
      </c>
      <c r="P165">
        <f>LN(dataset[[#This Row],[soda_ppu]])</f>
        <v>-0.23863797227285846</v>
      </c>
      <c r="Q165">
        <f>IF(dataset[[#This Row],[state]]="VA",1,0)</f>
        <v>0</v>
      </c>
    </row>
    <row r="166" spans="1:17" x14ac:dyDescent="0.35">
      <c r="A166">
        <v>202309</v>
      </c>
      <c r="B166">
        <v>52</v>
      </c>
      <c r="C166" s="2">
        <v>3235889.9679</v>
      </c>
      <c r="D166" s="2">
        <v>0.76880000000000004</v>
      </c>
      <c r="E166" s="3">
        <v>178935</v>
      </c>
      <c r="F166" s="2">
        <v>137565.54860000001</v>
      </c>
      <c r="G166" t="s">
        <v>956</v>
      </c>
      <c r="H166" t="s">
        <v>6</v>
      </c>
      <c r="I166">
        <f>HLOOKUP(G166,zip_tiers!$A$1:$EON$2,2,FALSE)</f>
        <v>130716.66666666667</v>
      </c>
      <c r="J166" t="str">
        <f t="shared" si="2"/>
        <v>High</v>
      </c>
      <c r="K166">
        <f>dataset[[#This Row],[soda_sales]]/dataset[[#This Row],[soda_units_sold]]</f>
        <v>0.7688017917120743</v>
      </c>
      <c r="L166" s="29">
        <f>dataset[[#This Row],[implied_soda_ppu]]-dataset[[#This Row],[soda_ppu]]</f>
        <v>1.7917120742616532E-6</v>
      </c>
      <c r="M166">
        <f>dataset[[#This Row],[soda_sales]]/dataset[[#This Row],[total_sales]]</f>
        <v>4.2512430881349192E-2</v>
      </c>
      <c r="N166">
        <f>LN(dataset[[#This Row],[soda_units_sold]])</f>
        <v>12.094777890384156</v>
      </c>
      <c r="O166">
        <f>LN(dataset[[#This Row],[soda_sales]])</f>
        <v>11.83185579958618</v>
      </c>
      <c r="P166">
        <f>LN(dataset[[#This Row],[soda_ppu]])</f>
        <v>-0.26292442132605426</v>
      </c>
      <c r="Q166">
        <f>IF(dataset[[#This Row],[state]]="VA",1,0)</f>
        <v>0</v>
      </c>
    </row>
    <row r="167" spans="1:17" x14ac:dyDescent="0.35">
      <c r="A167">
        <v>202310</v>
      </c>
      <c r="B167">
        <v>52</v>
      </c>
      <c r="C167" s="2">
        <v>3993264.8487999998</v>
      </c>
      <c r="D167" s="2">
        <v>0.77080000000000004</v>
      </c>
      <c r="E167" s="3">
        <v>173788</v>
      </c>
      <c r="F167" s="2">
        <v>133959.23209999999</v>
      </c>
      <c r="G167" t="s">
        <v>956</v>
      </c>
      <c r="H167" t="s">
        <v>6</v>
      </c>
      <c r="I167">
        <f>HLOOKUP(G167,zip_tiers!$A$1:$EON$2,2,FALSE)</f>
        <v>130716.66666666667</v>
      </c>
      <c r="J167" t="str">
        <f t="shared" si="2"/>
        <v>High</v>
      </c>
      <c r="K167">
        <f>dataset[[#This Row],[soda_sales]]/dataset[[#This Row],[soda_units_sold]]</f>
        <v>0.77081980401408612</v>
      </c>
      <c r="L167" s="29">
        <f>dataset[[#This Row],[implied_soda_ppu]]-dataset[[#This Row],[soda_ppu]]</f>
        <v>1.9804014086077792E-5</v>
      </c>
      <c r="M167">
        <f>dataset[[#This Row],[soda_sales]]/dataset[[#This Row],[total_sales]]</f>
        <v>3.3546292863659059E-2</v>
      </c>
      <c r="N167">
        <f>LN(dataset[[#This Row],[soda_units_sold]])</f>
        <v>12.065591444550551</v>
      </c>
      <c r="O167">
        <f>LN(dataset[[#This Row],[soda_sales]])</f>
        <v>11.805290794583559</v>
      </c>
      <c r="P167">
        <f>LN(dataset[[#This Row],[soda_ppu]])</f>
        <v>-0.26032634244192565</v>
      </c>
      <c r="Q167">
        <f>IF(dataset[[#This Row],[state]]="VA",1,0)</f>
        <v>0</v>
      </c>
    </row>
    <row r="168" spans="1:17" x14ac:dyDescent="0.35">
      <c r="A168">
        <v>202311</v>
      </c>
      <c r="B168">
        <v>52</v>
      </c>
      <c r="C168" s="2">
        <v>4576214.8213999998</v>
      </c>
      <c r="D168" s="2">
        <v>0.80130000000000001</v>
      </c>
      <c r="E168" s="3">
        <v>164746</v>
      </c>
      <c r="F168" s="2">
        <v>132007.32680000001</v>
      </c>
      <c r="G168" t="s">
        <v>956</v>
      </c>
      <c r="H168" t="s">
        <v>6</v>
      </c>
      <c r="I168">
        <f>HLOOKUP(G168,zip_tiers!$A$1:$EON$2,2,FALSE)</f>
        <v>130716.66666666667</v>
      </c>
      <c r="J168" t="str">
        <f t="shared" si="2"/>
        <v>High</v>
      </c>
      <c r="K168">
        <f>dataset[[#This Row],[soda_sales]]/dataset[[#This Row],[soda_units_sold]]</f>
        <v>0.80127788717176751</v>
      </c>
      <c r="L168" s="29">
        <f>dataset[[#This Row],[implied_soda_ppu]]-dataset[[#This Row],[soda_ppu]]</f>
        <v>-2.2112828232501158E-5</v>
      </c>
      <c r="M168">
        <f>dataset[[#This Row],[soda_sales]]/dataset[[#This Row],[total_sales]]</f>
        <v>2.8846400781424648E-2</v>
      </c>
      <c r="N168">
        <f>LN(dataset[[#This Row],[soda_units_sold]])</f>
        <v>12.012160172859083</v>
      </c>
      <c r="O168">
        <f>LN(dataset[[#This Row],[soda_sales]])</f>
        <v>11.79061270608871</v>
      </c>
      <c r="P168">
        <f>LN(dataset[[#This Row],[soda_ppu]])</f>
        <v>-0.22151987019811217</v>
      </c>
      <c r="Q168">
        <f>IF(dataset[[#This Row],[state]]="VA",1,0)</f>
        <v>0</v>
      </c>
    </row>
    <row r="169" spans="1:17" x14ac:dyDescent="0.35">
      <c r="A169">
        <v>202312</v>
      </c>
      <c r="B169">
        <v>52</v>
      </c>
      <c r="C169" s="2">
        <v>4676193.4517000001</v>
      </c>
      <c r="D169" s="2">
        <v>0.77610000000000001</v>
      </c>
      <c r="E169" s="3">
        <v>161053</v>
      </c>
      <c r="F169" s="2">
        <v>124985.5796</v>
      </c>
      <c r="G169" t="s">
        <v>956</v>
      </c>
      <c r="H169" t="s">
        <v>6</v>
      </c>
      <c r="I169">
        <f>HLOOKUP(G169,zip_tiers!$A$1:$EON$2,2,FALSE)</f>
        <v>130716.66666666667</v>
      </c>
      <c r="J169" t="str">
        <f t="shared" si="2"/>
        <v>High</v>
      </c>
      <c r="K169">
        <f>dataset[[#This Row],[soda_sales]]/dataset[[#This Row],[soda_units_sold]]</f>
        <v>0.77605247713485626</v>
      </c>
      <c r="L169" s="29">
        <f>dataset[[#This Row],[implied_soda_ppu]]-dataset[[#This Row],[soda_ppu]]</f>
        <v>-4.7522865143756476E-5</v>
      </c>
      <c r="M169">
        <f>dataset[[#This Row],[soda_sales]]/dataset[[#This Row],[total_sales]]</f>
        <v>2.6728060096521945E-2</v>
      </c>
      <c r="N169">
        <f>LN(dataset[[#This Row],[soda_units_sold]])</f>
        <v>11.989488782341207</v>
      </c>
      <c r="O169">
        <f>LN(dataset[[#This Row],[soda_sales]])</f>
        <v>11.735953646429593</v>
      </c>
      <c r="P169">
        <f>LN(dataset[[#This Row],[soda_ppu]])</f>
        <v>-0.25347390112204388</v>
      </c>
      <c r="Q169">
        <f>IF(dataset[[#This Row],[state]]="VA",1,0)</f>
        <v>0</v>
      </c>
    </row>
    <row r="170" spans="1:17" x14ac:dyDescent="0.35">
      <c r="A170">
        <v>202401</v>
      </c>
      <c r="B170">
        <v>52</v>
      </c>
      <c r="C170" s="2">
        <v>2763326.0926999999</v>
      </c>
      <c r="D170" s="2">
        <v>0.79320000000000002</v>
      </c>
      <c r="E170" s="3">
        <v>117741</v>
      </c>
      <c r="F170" s="2">
        <v>93389.594200000007</v>
      </c>
      <c r="G170" t="s">
        <v>956</v>
      </c>
      <c r="H170" t="s">
        <v>6</v>
      </c>
      <c r="I170">
        <f>HLOOKUP(G170,zip_tiers!$A$1:$EON$2,2,FALSE)</f>
        <v>130716.66666666667</v>
      </c>
      <c r="J170" t="str">
        <f t="shared" si="2"/>
        <v>High</v>
      </c>
      <c r="K170">
        <f>dataset[[#This Row],[soda_sales]]/dataset[[#This Row],[soda_units_sold]]</f>
        <v>0.79317819790896971</v>
      </c>
      <c r="L170" s="29">
        <f>dataset[[#This Row],[implied_soda_ppu]]-dataset[[#This Row],[soda_ppu]]</f>
        <v>-2.1802091030309612E-5</v>
      </c>
      <c r="M170">
        <f>dataset[[#This Row],[soda_sales]]/dataset[[#This Row],[total_sales]]</f>
        <v>3.379608163029018E-2</v>
      </c>
      <c r="N170">
        <f>LN(dataset[[#This Row],[soda_units_sold]])</f>
        <v>11.676242575836485</v>
      </c>
      <c r="O170">
        <f>LN(dataset[[#This Row],[soda_sales]])</f>
        <v>11.444535206875349</v>
      </c>
      <c r="P170">
        <f>LN(dataset[[#This Row],[soda_ppu]])</f>
        <v>-0.23167988233649611</v>
      </c>
      <c r="Q170">
        <f>IF(dataset[[#This Row],[state]]="VA",1,0)</f>
        <v>0</v>
      </c>
    </row>
    <row r="171" spans="1:17" x14ac:dyDescent="0.35">
      <c r="A171">
        <v>202402</v>
      </c>
      <c r="B171">
        <v>52</v>
      </c>
      <c r="C171" s="2">
        <v>3080468.2423</v>
      </c>
      <c r="D171" s="2">
        <v>0.79269999999999996</v>
      </c>
      <c r="E171" s="3">
        <v>132107</v>
      </c>
      <c r="F171" s="2">
        <v>104721.7647</v>
      </c>
      <c r="G171" t="s">
        <v>956</v>
      </c>
      <c r="H171" t="s">
        <v>6</v>
      </c>
      <c r="I171">
        <f>HLOOKUP(G171,zip_tiers!$A$1:$EON$2,2,FALSE)</f>
        <v>130716.66666666667</v>
      </c>
      <c r="J171" t="str">
        <f t="shared" si="2"/>
        <v>High</v>
      </c>
      <c r="K171">
        <f>dataset[[#This Row],[soda_sales]]/dataset[[#This Row],[soda_units_sold]]</f>
        <v>0.79270413149946639</v>
      </c>
      <c r="L171" s="29">
        <f>dataset[[#This Row],[implied_soda_ppu]]-dataset[[#This Row],[soda_ppu]]</f>
        <v>4.1314994664309879E-6</v>
      </c>
      <c r="M171">
        <f>dataset[[#This Row],[soda_sales]]/dataset[[#This Row],[total_sales]]</f>
        <v>3.3995404744640564E-2</v>
      </c>
      <c r="N171">
        <f>LN(dataset[[#This Row],[soda_units_sold]])</f>
        <v>11.791367479265459</v>
      </c>
      <c r="O171">
        <f>LN(dataset[[#This Row],[soda_sales]])</f>
        <v>11.559062252046074</v>
      </c>
      <c r="P171">
        <f>LN(dataset[[#This Row],[soda_ppu]])</f>
        <v>-0.23231043913902694</v>
      </c>
      <c r="Q171">
        <f>IF(dataset[[#This Row],[state]]="VA",1,0)</f>
        <v>0</v>
      </c>
    </row>
    <row r="172" spans="1:17" x14ac:dyDescent="0.35">
      <c r="A172">
        <v>202403</v>
      </c>
      <c r="B172">
        <v>52</v>
      </c>
      <c r="C172" s="2">
        <v>3480396.1165</v>
      </c>
      <c r="D172" s="2">
        <v>0.81210000000000004</v>
      </c>
      <c r="E172" s="3">
        <v>155235</v>
      </c>
      <c r="F172" s="2">
        <v>126062.7328</v>
      </c>
      <c r="G172" t="s">
        <v>956</v>
      </c>
      <c r="H172" t="s">
        <v>6</v>
      </c>
      <c r="I172">
        <f>HLOOKUP(G172,zip_tiers!$A$1:$EON$2,2,FALSE)</f>
        <v>130716.66666666667</v>
      </c>
      <c r="J172" t="str">
        <f t="shared" si="2"/>
        <v>High</v>
      </c>
      <c r="K172">
        <f>dataset[[#This Row],[soda_sales]]/dataset[[#This Row],[soda_units_sold]]</f>
        <v>0.81207674042580602</v>
      </c>
      <c r="L172" s="29">
        <f>dataset[[#This Row],[implied_soda_ppu]]-dataset[[#This Row],[soda_ppu]]</f>
        <v>-2.3259574194023358E-5</v>
      </c>
      <c r="M172">
        <f>dataset[[#This Row],[soda_sales]]/dataset[[#This Row],[total_sales]]</f>
        <v>3.6220800328547888E-2</v>
      </c>
      <c r="N172">
        <f>LN(dataset[[#This Row],[soda_units_sold]])</f>
        <v>11.952695376770382</v>
      </c>
      <c r="O172">
        <f>LN(dataset[[#This Row],[soda_sales]])</f>
        <v>11.744534941397887</v>
      </c>
      <c r="P172">
        <f>LN(dataset[[#This Row],[soda_ppu]])</f>
        <v>-0.2081317936937718</v>
      </c>
      <c r="Q172">
        <f>IF(dataset[[#This Row],[state]]="VA",1,0)</f>
        <v>0</v>
      </c>
    </row>
    <row r="173" spans="1:17" x14ac:dyDescent="0.35">
      <c r="A173">
        <v>202404</v>
      </c>
      <c r="B173">
        <v>52</v>
      </c>
      <c r="C173" s="2">
        <v>3671605.5063</v>
      </c>
      <c r="D173" s="2">
        <v>0.79449999999999998</v>
      </c>
      <c r="E173" s="3">
        <v>181670</v>
      </c>
      <c r="F173" s="2">
        <v>144328.12830000001</v>
      </c>
      <c r="G173" t="s">
        <v>956</v>
      </c>
      <c r="H173" t="s">
        <v>6</v>
      </c>
      <c r="I173">
        <f>HLOOKUP(G173,zip_tiers!$A$1:$EON$2,2,FALSE)</f>
        <v>130716.66666666667</v>
      </c>
      <c r="J173" t="str">
        <f t="shared" si="2"/>
        <v>High</v>
      </c>
      <c r="K173">
        <f>dataset[[#This Row],[soda_sales]]/dataset[[#This Row],[soda_units_sold]]</f>
        <v>0.79445218418010688</v>
      </c>
      <c r="L173" s="29">
        <f>dataset[[#This Row],[implied_soda_ppu]]-dataset[[#This Row],[soda_ppu]]</f>
        <v>-4.7815819893104461E-5</v>
      </c>
      <c r="M173">
        <f>dataset[[#This Row],[soda_sales]]/dataset[[#This Row],[total_sales]]</f>
        <v>3.9309268943069076E-2</v>
      </c>
      <c r="N173">
        <f>LN(dataset[[#This Row],[soda_units_sold]])</f>
        <v>12.10994713343279</v>
      </c>
      <c r="O173">
        <f>LN(dataset[[#This Row],[soda_sales]])</f>
        <v>11.879844655079642</v>
      </c>
      <c r="P173">
        <f>LN(dataset[[#This Row],[soda_ppu]])</f>
        <v>-0.23004229300536641</v>
      </c>
      <c r="Q173">
        <f>IF(dataset[[#This Row],[state]]="VA",1,0)</f>
        <v>0</v>
      </c>
    </row>
    <row r="174" spans="1:17" x14ac:dyDescent="0.35">
      <c r="A174">
        <v>202405</v>
      </c>
      <c r="B174">
        <v>52</v>
      </c>
      <c r="C174" s="2">
        <v>3878414.9482999998</v>
      </c>
      <c r="D174" s="2">
        <v>0.82499999999999996</v>
      </c>
      <c r="E174" s="3">
        <v>197312</v>
      </c>
      <c r="F174" s="2">
        <v>162780.951</v>
      </c>
      <c r="G174" t="s">
        <v>956</v>
      </c>
      <c r="H174" t="s">
        <v>6</v>
      </c>
      <c r="I174">
        <f>HLOOKUP(G174,zip_tiers!$A$1:$EON$2,2,FALSE)</f>
        <v>130716.66666666667</v>
      </c>
      <c r="J174" t="str">
        <f t="shared" si="2"/>
        <v>High</v>
      </c>
      <c r="K174">
        <f>dataset[[#This Row],[soda_sales]]/dataset[[#This Row],[soda_units_sold]]</f>
        <v>0.82499265630068119</v>
      </c>
      <c r="L174" s="29">
        <f>dataset[[#This Row],[implied_soda_ppu]]-dataset[[#This Row],[soda_ppu]]</f>
        <v>-7.3436993187625532E-6</v>
      </c>
      <c r="M174">
        <f>dataset[[#This Row],[soda_sales]]/dataset[[#This Row],[total_sales]]</f>
        <v>4.1970999279319174E-2</v>
      </c>
      <c r="N174">
        <f>LN(dataset[[#This Row],[soda_units_sold]])</f>
        <v>12.192541511245823</v>
      </c>
      <c r="O174">
        <f>LN(dataset[[#This Row],[soda_sales]])</f>
        <v>12.000160717105029</v>
      </c>
      <c r="P174">
        <f>LN(dataset[[#This Row],[soda_ppu]])</f>
        <v>-0.19237189264745613</v>
      </c>
      <c r="Q174">
        <f>IF(dataset[[#This Row],[state]]="VA",1,0)</f>
        <v>0</v>
      </c>
    </row>
    <row r="175" spans="1:17" x14ac:dyDescent="0.35">
      <c r="A175">
        <v>202406</v>
      </c>
      <c r="B175">
        <v>52</v>
      </c>
      <c r="C175" s="2">
        <v>3689279.1291</v>
      </c>
      <c r="D175" s="2">
        <v>0.80930000000000002</v>
      </c>
      <c r="E175" s="3">
        <v>204175</v>
      </c>
      <c r="F175" s="2">
        <v>165241.29560000001</v>
      </c>
      <c r="G175" t="s">
        <v>956</v>
      </c>
      <c r="H175" t="s">
        <v>6</v>
      </c>
      <c r="I175">
        <f>HLOOKUP(G175,zip_tiers!$A$1:$EON$2,2,FALSE)</f>
        <v>130716.66666666667</v>
      </c>
      <c r="J175" t="str">
        <f t="shared" si="2"/>
        <v>High</v>
      </c>
      <c r="K175">
        <f>dataset[[#This Row],[soda_sales]]/dataset[[#This Row],[soda_units_sold]]</f>
        <v>0.80931208815966704</v>
      </c>
      <c r="L175" s="29">
        <f>dataset[[#This Row],[implied_soda_ppu]]-dataset[[#This Row],[soda_ppu]]</f>
        <v>1.2088159667023035E-5</v>
      </c>
      <c r="M175">
        <f>dataset[[#This Row],[soda_sales]]/dataset[[#This Row],[total_sales]]</f>
        <v>4.4789588919044637E-2</v>
      </c>
      <c r="N175">
        <f>LN(dataset[[#This Row],[soda_units_sold]])</f>
        <v>12.226732748226476</v>
      </c>
      <c r="O175">
        <f>LN(dataset[[#This Row],[soda_sales]])</f>
        <v>12.015162082196497</v>
      </c>
      <c r="P175">
        <f>LN(dataset[[#This Row],[soda_ppu]])</f>
        <v>-0.21158560248048083</v>
      </c>
      <c r="Q175">
        <f>IF(dataset[[#This Row],[state]]="VA",1,0)</f>
        <v>0</v>
      </c>
    </row>
    <row r="176" spans="1:17" x14ac:dyDescent="0.35">
      <c r="A176">
        <v>202407</v>
      </c>
      <c r="B176">
        <v>52</v>
      </c>
      <c r="C176" s="2">
        <v>3510230.4534</v>
      </c>
      <c r="D176" s="2">
        <v>0.8165</v>
      </c>
      <c r="E176" s="3">
        <v>210802</v>
      </c>
      <c r="F176" s="2">
        <v>172121.6219</v>
      </c>
      <c r="G176" t="s">
        <v>956</v>
      </c>
      <c r="H176" t="s">
        <v>6</v>
      </c>
      <c r="I176">
        <f>HLOOKUP(G176,zip_tiers!$A$1:$EON$2,2,FALSE)</f>
        <v>130716.66666666667</v>
      </c>
      <c r="J176" t="str">
        <f t="shared" si="2"/>
        <v>High</v>
      </c>
      <c r="K176">
        <f>dataset[[#This Row],[soda_sales]]/dataset[[#This Row],[soda_units_sold]]</f>
        <v>0.81650848616237037</v>
      </c>
      <c r="L176" s="29">
        <f>dataset[[#This Row],[implied_soda_ppu]]-dataset[[#This Row],[soda_ppu]]</f>
        <v>8.4861623703691436E-6</v>
      </c>
      <c r="M176">
        <f>dataset[[#This Row],[soda_sales]]/dataset[[#This Row],[total_sales]]</f>
        <v>4.9034279710405748E-2</v>
      </c>
      <c r="N176">
        <f>LN(dataset[[#This Row],[soda_units_sold]])</f>
        <v>12.258674583270372</v>
      </c>
      <c r="O176">
        <f>LN(dataset[[#This Row],[soda_sales]])</f>
        <v>12.055956609985062</v>
      </c>
      <c r="P176">
        <f>LN(dataset[[#This Row],[soda_ppu]])</f>
        <v>-0.20272836657161725</v>
      </c>
      <c r="Q176">
        <f>IF(dataset[[#This Row],[state]]="VA",1,0)</f>
        <v>0</v>
      </c>
    </row>
    <row r="177" spans="1:17" x14ac:dyDescent="0.35">
      <c r="A177">
        <v>202408</v>
      </c>
      <c r="B177">
        <v>52</v>
      </c>
      <c r="C177" s="2">
        <v>3314880.9308000002</v>
      </c>
      <c r="D177" s="2">
        <v>0.82499999999999996</v>
      </c>
      <c r="E177" s="3">
        <v>182791</v>
      </c>
      <c r="F177" s="2">
        <v>150794.62659999999</v>
      </c>
      <c r="G177" t="s">
        <v>956</v>
      </c>
      <c r="H177" t="s">
        <v>6</v>
      </c>
      <c r="I177">
        <f>HLOOKUP(G177,zip_tiers!$A$1:$EON$2,2,FALSE)</f>
        <v>130716.66666666667</v>
      </c>
      <c r="J177" t="str">
        <f t="shared" si="2"/>
        <v>High</v>
      </c>
      <c r="K177">
        <f>dataset[[#This Row],[soda_sales]]/dataset[[#This Row],[soda_units_sold]]</f>
        <v>0.82495651645868773</v>
      </c>
      <c r="L177" s="29">
        <f>dataset[[#This Row],[implied_soda_ppu]]-dataset[[#This Row],[soda_ppu]]</f>
        <v>-4.3483541312228091E-5</v>
      </c>
      <c r="M177">
        <f>dataset[[#This Row],[soda_sales]]/dataset[[#This Row],[total_sales]]</f>
        <v>4.549020907475184E-2</v>
      </c>
      <c r="N177">
        <f>LN(dataset[[#This Row],[soda_units_sold]])</f>
        <v>12.11609870265448</v>
      </c>
      <c r="O177">
        <f>LN(dataset[[#This Row],[soda_sales]])</f>
        <v>11.923674101295141</v>
      </c>
      <c r="P177">
        <f>LN(dataset[[#This Row],[soda_ppu]])</f>
        <v>-0.19237189264745613</v>
      </c>
      <c r="Q177">
        <f>IF(dataset[[#This Row],[state]]="VA",1,0)</f>
        <v>0</v>
      </c>
    </row>
    <row r="178" spans="1:17" x14ac:dyDescent="0.35">
      <c r="A178">
        <v>202409</v>
      </c>
      <c r="B178">
        <v>52</v>
      </c>
      <c r="C178" s="2">
        <v>3364453.3887999998</v>
      </c>
      <c r="D178" s="2">
        <v>0.80300000000000005</v>
      </c>
      <c r="E178" s="3">
        <v>182740</v>
      </c>
      <c r="F178" s="2">
        <v>146732.07339999999</v>
      </c>
      <c r="G178" t="s">
        <v>956</v>
      </c>
      <c r="H178" t="s">
        <v>6</v>
      </c>
      <c r="I178">
        <f>HLOOKUP(G178,zip_tiers!$A$1:$EON$2,2,FALSE)</f>
        <v>130716.66666666667</v>
      </c>
      <c r="J178" t="str">
        <f t="shared" si="2"/>
        <v>High</v>
      </c>
      <c r="K178">
        <f>dataset[[#This Row],[soda_sales]]/dataset[[#This Row],[soda_units_sold]]</f>
        <v>0.80295541972200934</v>
      </c>
      <c r="L178" s="29">
        <f>dataset[[#This Row],[implied_soda_ppu]]-dataset[[#This Row],[soda_ppu]]</f>
        <v>-4.4580277990702299E-5</v>
      </c>
      <c r="M178">
        <f>dataset[[#This Row],[soda_sales]]/dataset[[#This Row],[total_sales]]</f>
        <v>4.361245541057561E-2</v>
      </c>
      <c r="N178">
        <f>LN(dataset[[#This Row],[soda_units_sold]])</f>
        <v>12.115819656552612</v>
      </c>
      <c r="O178">
        <f>LN(dataset[[#This Row],[soda_sales]])</f>
        <v>11.896363572817956</v>
      </c>
      <c r="P178">
        <f>LN(dataset[[#This Row],[soda_ppu]])</f>
        <v>-0.21940056503537533</v>
      </c>
      <c r="Q178">
        <f>IF(dataset[[#This Row],[state]]="VA",1,0)</f>
        <v>0</v>
      </c>
    </row>
    <row r="179" spans="1:17" x14ac:dyDescent="0.35">
      <c r="A179">
        <v>202410</v>
      </c>
      <c r="B179">
        <v>52</v>
      </c>
      <c r="C179" s="2">
        <v>4048052.8347999998</v>
      </c>
      <c r="D179" s="2">
        <v>0.81159999999999999</v>
      </c>
      <c r="E179" s="3">
        <v>166847</v>
      </c>
      <c r="F179" s="2">
        <v>135420.93220000001</v>
      </c>
      <c r="G179" t="s">
        <v>956</v>
      </c>
      <c r="H179" t="s">
        <v>6</v>
      </c>
      <c r="I179">
        <f>HLOOKUP(G179,zip_tiers!$A$1:$EON$2,2,FALSE)</f>
        <v>130716.66666666667</v>
      </c>
      <c r="J179" t="str">
        <f t="shared" si="2"/>
        <v>High</v>
      </c>
      <c r="K179">
        <f>dataset[[#This Row],[soda_sales]]/dataset[[#This Row],[soda_units_sold]]</f>
        <v>0.81164739072323755</v>
      </c>
      <c r="L179" s="29">
        <f>dataset[[#This Row],[implied_soda_ppu]]-dataset[[#This Row],[soda_ppu]]</f>
        <v>4.7390723237561438E-5</v>
      </c>
      <c r="M179">
        <f>dataset[[#This Row],[soda_sales]]/dataset[[#This Row],[total_sales]]</f>
        <v>3.3453350963165152E-2</v>
      </c>
      <c r="N179">
        <f>LN(dataset[[#This Row],[soda_units_sold]])</f>
        <v>12.024832503796118</v>
      </c>
      <c r="O179">
        <f>LN(dataset[[#This Row],[soda_sales]])</f>
        <v>11.816143222784959</v>
      </c>
      <c r="P179">
        <f>LN(dataset[[#This Row],[soda_ppu]])</f>
        <v>-0.20874767103047739</v>
      </c>
      <c r="Q179">
        <f>IF(dataset[[#This Row],[state]]="VA",1,0)</f>
        <v>0</v>
      </c>
    </row>
    <row r="180" spans="1:17" x14ac:dyDescent="0.35">
      <c r="A180">
        <v>202411</v>
      </c>
      <c r="B180">
        <v>52</v>
      </c>
      <c r="C180" s="2">
        <v>4697848.2547000004</v>
      </c>
      <c r="D180" s="2">
        <v>0.8296</v>
      </c>
      <c r="E180" s="3">
        <v>162476</v>
      </c>
      <c r="F180" s="2">
        <v>134796.96479999999</v>
      </c>
      <c r="G180" t="s">
        <v>956</v>
      </c>
      <c r="H180" t="s">
        <v>6</v>
      </c>
      <c r="I180">
        <f>HLOOKUP(G180,zip_tiers!$A$1:$EON$2,2,FALSE)</f>
        <v>130716.66666666667</v>
      </c>
      <c r="J180" t="str">
        <f t="shared" si="2"/>
        <v>High</v>
      </c>
      <c r="K180">
        <f>dataset[[#This Row],[soda_sales]]/dataset[[#This Row],[soda_units_sold]]</f>
        <v>0.82964231517270237</v>
      </c>
      <c r="L180" s="29">
        <f>dataset[[#This Row],[implied_soda_ppu]]-dataset[[#This Row],[soda_ppu]]</f>
        <v>4.2315172702367398E-5</v>
      </c>
      <c r="M180">
        <f>dataset[[#This Row],[soda_sales]]/dataset[[#This Row],[total_sales]]</f>
        <v>2.8693341609138029E-2</v>
      </c>
      <c r="N180">
        <f>LN(dataset[[#This Row],[soda_units_sold]])</f>
        <v>11.998285577536654</v>
      </c>
      <c r="O180">
        <f>LN(dataset[[#This Row],[soda_sales]])</f>
        <v>11.811524960886373</v>
      </c>
      <c r="P180">
        <f>LN(dataset[[#This Row],[soda_ppu]])</f>
        <v>-0.18681162206681948</v>
      </c>
      <c r="Q180">
        <f>IF(dataset[[#This Row],[state]]="VA",1,0)</f>
        <v>0</v>
      </c>
    </row>
    <row r="181" spans="1:17" x14ac:dyDescent="0.35">
      <c r="A181">
        <v>202412</v>
      </c>
      <c r="B181">
        <v>52</v>
      </c>
      <c r="C181" s="2">
        <v>4865186.3662999999</v>
      </c>
      <c r="D181" s="2">
        <v>0.82399999999999995</v>
      </c>
      <c r="E181" s="3">
        <v>156612</v>
      </c>
      <c r="F181" s="2">
        <v>129049.4531</v>
      </c>
      <c r="G181" t="s">
        <v>956</v>
      </c>
      <c r="H181" t="s">
        <v>6</v>
      </c>
      <c r="I181">
        <f>HLOOKUP(G181,zip_tiers!$A$1:$EON$2,2,FALSE)</f>
        <v>130716.66666666667</v>
      </c>
      <c r="J181" t="str">
        <f t="shared" si="2"/>
        <v>High</v>
      </c>
      <c r="K181">
        <f>dataset[[#This Row],[soda_sales]]/dataset[[#This Row],[soda_units_sold]]</f>
        <v>0.82400743940438792</v>
      </c>
      <c r="L181" s="29">
        <f>dataset[[#This Row],[implied_soda_ppu]]-dataset[[#This Row],[soda_ppu]]</f>
        <v>7.4394043879655314E-6</v>
      </c>
      <c r="M181">
        <f>dataset[[#This Row],[soda_sales]]/dataset[[#This Row],[total_sales]]</f>
        <v>2.6525079078962968E-2</v>
      </c>
      <c r="N181">
        <f>LN(dataset[[#This Row],[soda_units_sold]])</f>
        <v>11.961526687955528</v>
      </c>
      <c r="O181">
        <f>LN(dataset[[#This Row],[soda_sales]])</f>
        <v>11.76795096724549</v>
      </c>
      <c r="P181">
        <f>LN(dataset[[#This Row],[soda_ppu]])</f>
        <v>-0.1935847490726654</v>
      </c>
      <c r="Q181">
        <f>IF(dataset[[#This Row],[state]]="VA",1,0)</f>
        <v>0</v>
      </c>
    </row>
    <row r="182" spans="1:17" x14ac:dyDescent="0.35">
      <c r="A182">
        <v>202201</v>
      </c>
      <c r="B182">
        <v>25</v>
      </c>
      <c r="C182" s="2">
        <v>1945290.6564</v>
      </c>
      <c r="D182" s="2">
        <v>0.71240000000000003</v>
      </c>
      <c r="E182" s="3">
        <v>145662</v>
      </c>
      <c r="F182" s="2">
        <v>103767.5824</v>
      </c>
      <c r="G182" t="s">
        <v>965</v>
      </c>
      <c r="H182" t="s">
        <v>6</v>
      </c>
      <c r="I182">
        <f>HLOOKUP(G182,zip_tiers!$A$1:$EON$2,2,FALSE)</f>
        <v>82411.666666666672</v>
      </c>
      <c r="J182" t="str">
        <f t="shared" si="2"/>
        <v>Med</v>
      </c>
      <c r="K182">
        <f>dataset[[#This Row],[soda_sales]]/dataset[[#This Row],[soda_units_sold]]</f>
        <v>0.71238608834150297</v>
      </c>
      <c r="L182" s="29">
        <f>dataset[[#This Row],[implied_soda_ppu]]-dataset[[#This Row],[soda_ppu]]</f>
        <v>-1.3911658497067769E-5</v>
      </c>
      <c r="M182">
        <f>dataset[[#This Row],[soda_sales]]/dataset[[#This Row],[total_sales]]</f>
        <v>5.3342970655107499E-2</v>
      </c>
      <c r="N182">
        <f>LN(dataset[[#This Row],[soda_units_sold]])</f>
        <v>11.889044148283162</v>
      </c>
      <c r="O182">
        <f>LN(dataset[[#This Row],[soda_sales]])</f>
        <v>11.549908892650373</v>
      </c>
      <c r="P182">
        <f>LN(dataset[[#This Row],[soda_ppu]])</f>
        <v>-0.33911572756663044</v>
      </c>
      <c r="Q182">
        <f>IF(dataset[[#This Row],[state]]="VA",1,0)</f>
        <v>0</v>
      </c>
    </row>
    <row r="183" spans="1:17" x14ac:dyDescent="0.35">
      <c r="A183">
        <v>202202</v>
      </c>
      <c r="B183">
        <v>25</v>
      </c>
      <c r="C183" s="2">
        <v>2231723.0989000001</v>
      </c>
      <c r="D183" s="2">
        <v>0.71809999999999996</v>
      </c>
      <c r="E183" s="3">
        <v>167262</v>
      </c>
      <c r="F183" s="2">
        <v>120114.4687</v>
      </c>
      <c r="G183" t="s">
        <v>965</v>
      </c>
      <c r="H183" t="s">
        <v>6</v>
      </c>
      <c r="I183">
        <f>HLOOKUP(G183,zip_tiers!$A$1:$EON$2,2,FALSE)</f>
        <v>82411.666666666672</v>
      </c>
      <c r="J183" t="str">
        <f t="shared" si="2"/>
        <v>Med</v>
      </c>
      <c r="K183">
        <f>dataset[[#This Row],[soda_sales]]/dataset[[#This Row],[soda_units_sold]]</f>
        <v>0.71812168155349088</v>
      </c>
      <c r="L183" s="29">
        <f>dataset[[#This Row],[implied_soda_ppu]]-dataset[[#This Row],[soda_ppu]]</f>
        <v>2.1681553490915384E-5</v>
      </c>
      <c r="M183">
        <f>dataset[[#This Row],[soda_sales]]/dataset[[#This Row],[total_sales]]</f>
        <v>5.3821403183577539E-2</v>
      </c>
      <c r="N183">
        <f>LN(dataset[[#This Row],[soda_units_sold]])</f>
        <v>12.02731672429557</v>
      </c>
      <c r="O183">
        <f>LN(dataset[[#This Row],[soda_sales]])</f>
        <v>11.696200472918472</v>
      </c>
      <c r="P183">
        <f>LN(dataset[[#This Row],[soda_ppu]])</f>
        <v>-0.33114644386586528</v>
      </c>
      <c r="Q183">
        <f>IF(dataset[[#This Row],[state]]="VA",1,0)</f>
        <v>0</v>
      </c>
    </row>
    <row r="184" spans="1:17" x14ac:dyDescent="0.35">
      <c r="A184">
        <v>202203</v>
      </c>
      <c r="B184">
        <v>25</v>
      </c>
      <c r="C184" s="2">
        <v>2471673.0405999999</v>
      </c>
      <c r="D184" s="2">
        <v>0.70750000000000002</v>
      </c>
      <c r="E184" s="3">
        <v>196941</v>
      </c>
      <c r="F184" s="2">
        <v>139343.788</v>
      </c>
      <c r="G184" t="s">
        <v>965</v>
      </c>
      <c r="H184" t="s">
        <v>6</v>
      </c>
      <c r="I184">
        <f>HLOOKUP(G184,zip_tiers!$A$1:$EON$2,2,FALSE)</f>
        <v>82411.666666666672</v>
      </c>
      <c r="J184" t="str">
        <f t="shared" si="2"/>
        <v>Med</v>
      </c>
      <c r="K184">
        <f>dataset[[#This Row],[soda_sales]]/dataset[[#This Row],[soda_units_sold]]</f>
        <v>0.70754077617154376</v>
      </c>
      <c r="L184" s="29">
        <f>dataset[[#This Row],[implied_soda_ppu]]-dataset[[#This Row],[soda_ppu]]</f>
        <v>4.07761715437438E-5</v>
      </c>
      <c r="M184">
        <f>dataset[[#This Row],[soda_sales]]/dataset[[#This Row],[total_sales]]</f>
        <v>5.6376302897317772E-2</v>
      </c>
      <c r="N184">
        <f>LN(dataset[[#This Row],[soda_units_sold]])</f>
        <v>12.190659470477538</v>
      </c>
      <c r="O184">
        <f>LN(dataset[[#This Row],[soda_sales]])</f>
        <v>11.844699453516736</v>
      </c>
      <c r="P184">
        <f>LN(dataset[[#This Row],[soda_ppu]])</f>
        <v>-0.34601764946474434</v>
      </c>
      <c r="Q184">
        <f>IF(dataset[[#This Row],[state]]="VA",1,0)</f>
        <v>0</v>
      </c>
    </row>
    <row r="185" spans="1:17" x14ac:dyDescent="0.35">
      <c r="A185">
        <v>202204</v>
      </c>
      <c r="B185">
        <v>25</v>
      </c>
      <c r="C185" s="2">
        <v>2577446.66</v>
      </c>
      <c r="D185" s="2">
        <v>0.7319</v>
      </c>
      <c r="E185" s="3">
        <v>221781</v>
      </c>
      <c r="F185" s="2">
        <v>162320.21189999999</v>
      </c>
      <c r="G185" t="s">
        <v>965</v>
      </c>
      <c r="H185" t="s">
        <v>6</v>
      </c>
      <c r="I185">
        <f>HLOOKUP(G185,zip_tiers!$A$1:$EON$2,2,FALSE)</f>
        <v>82411.666666666672</v>
      </c>
      <c r="J185" t="str">
        <f t="shared" si="2"/>
        <v>Med</v>
      </c>
      <c r="K185">
        <f>dataset[[#This Row],[soda_sales]]/dataset[[#This Row],[soda_units_sold]]</f>
        <v>0.73189412934381215</v>
      </c>
      <c r="L185" s="29">
        <f>dataset[[#This Row],[implied_soda_ppu]]-dataset[[#This Row],[soda_ppu]]</f>
        <v>-5.8706561878452135E-6</v>
      </c>
      <c r="M185">
        <f>dataset[[#This Row],[soda_sales]]/dataset[[#This Row],[total_sales]]</f>
        <v>6.2977137187389939E-2</v>
      </c>
      <c r="N185">
        <f>LN(dataset[[#This Row],[soda_units_sold]])</f>
        <v>12.309445687469898</v>
      </c>
      <c r="O185">
        <f>LN(dataset[[#This Row],[soda_sales]])</f>
        <v>11.997326279944877</v>
      </c>
      <c r="P185">
        <f>LN(dataset[[#This Row],[soda_ppu]])</f>
        <v>-0.31211138637495561</v>
      </c>
      <c r="Q185">
        <f>IF(dataset[[#This Row],[state]]="VA",1,0)</f>
        <v>0</v>
      </c>
    </row>
    <row r="186" spans="1:17" x14ac:dyDescent="0.35">
      <c r="A186">
        <v>202205</v>
      </c>
      <c r="B186">
        <v>25</v>
      </c>
      <c r="C186" s="2">
        <v>2746784.6677000001</v>
      </c>
      <c r="D186" s="2">
        <v>0.73609999999999998</v>
      </c>
      <c r="E186" s="3">
        <v>244493</v>
      </c>
      <c r="F186" s="2">
        <v>179974.1189</v>
      </c>
      <c r="G186" t="s">
        <v>965</v>
      </c>
      <c r="H186" t="s">
        <v>6</v>
      </c>
      <c r="I186">
        <f>HLOOKUP(G186,zip_tiers!$A$1:$EON$2,2,FALSE)</f>
        <v>82411.666666666672</v>
      </c>
      <c r="J186" t="str">
        <f t="shared" si="2"/>
        <v>Med</v>
      </c>
      <c r="K186">
        <f>dataset[[#This Row],[soda_sales]]/dataset[[#This Row],[soda_units_sold]]</f>
        <v>0.73611154061670481</v>
      </c>
      <c r="L186" s="29">
        <f>dataset[[#This Row],[implied_soda_ppu]]-dataset[[#This Row],[soda_ppu]]</f>
        <v>1.154061670483042E-5</v>
      </c>
      <c r="M186">
        <f>dataset[[#This Row],[soda_sales]]/dataset[[#This Row],[total_sales]]</f>
        <v>6.5521742936878999E-2</v>
      </c>
      <c r="N186">
        <f>LN(dataset[[#This Row],[soda_units_sold]])</f>
        <v>12.406941957630371</v>
      </c>
      <c r="O186">
        <f>LN(dataset[[#This Row],[soda_sales]])</f>
        <v>12.100568335645564</v>
      </c>
      <c r="P186">
        <f>LN(dataset[[#This Row],[soda_ppu]])</f>
        <v>-0.30638929991747682</v>
      </c>
      <c r="Q186">
        <f>IF(dataset[[#This Row],[state]]="VA",1,0)</f>
        <v>0</v>
      </c>
    </row>
    <row r="187" spans="1:17" x14ac:dyDescent="0.35">
      <c r="A187">
        <v>202206</v>
      </c>
      <c r="B187">
        <v>25</v>
      </c>
      <c r="C187" s="2">
        <v>2554140.0677</v>
      </c>
      <c r="D187" s="2">
        <v>0.71970000000000001</v>
      </c>
      <c r="E187" s="3">
        <v>248121</v>
      </c>
      <c r="F187" s="2">
        <v>178578.1649</v>
      </c>
      <c r="G187" t="s">
        <v>965</v>
      </c>
      <c r="H187" t="s">
        <v>6</v>
      </c>
      <c r="I187">
        <f>HLOOKUP(G187,zip_tiers!$A$1:$EON$2,2,FALSE)</f>
        <v>82411.666666666672</v>
      </c>
      <c r="J187" t="str">
        <f t="shared" si="2"/>
        <v>Med</v>
      </c>
      <c r="K187">
        <f>dataset[[#This Row],[soda_sales]]/dataset[[#This Row],[soda_units_sold]]</f>
        <v>0.71972209083471372</v>
      </c>
      <c r="L187" s="29">
        <f>dataset[[#This Row],[implied_soda_ppu]]-dataset[[#This Row],[soda_ppu]]</f>
        <v>2.20908347137172E-5</v>
      </c>
      <c r="M187">
        <f>dataset[[#This Row],[soda_sales]]/dataset[[#This Row],[total_sales]]</f>
        <v>6.9917138514963839E-2</v>
      </c>
      <c r="N187">
        <f>LN(dataset[[#This Row],[soda_units_sold]])</f>
        <v>12.421671809386847</v>
      </c>
      <c r="O187">
        <f>LN(dataset[[#This Row],[soda_sales]])</f>
        <v>12.09278168295166</v>
      </c>
      <c r="P187">
        <f>LN(dataset[[#This Row],[soda_ppu]])</f>
        <v>-0.32892082046837845</v>
      </c>
      <c r="Q187">
        <f>IF(dataset[[#This Row],[state]]="VA",1,0)</f>
        <v>0</v>
      </c>
    </row>
    <row r="188" spans="1:17" x14ac:dyDescent="0.35">
      <c r="A188">
        <v>202207</v>
      </c>
      <c r="B188">
        <v>25</v>
      </c>
      <c r="C188" s="2">
        <v>2451951.4350000001</v>
      </c>
      <c r="D188" s="2">
        <v>0.72719999999999996</v>
      </c>
      <c r="E188" s="3">
        <v>258181</v>
      </c>
      <c r="F188" s="2">
        <v>187746.27069999999</v>
      </c>
      <c r="G188" t="s">
        <v>965</v>
      </c>
      <c r="H188" t="s">
        <v>6</v>
      </c>
      <c r="I188">
        <f>HLOOKUP(G188,zip_tiers!$A$1:$EON$2,2,FALSE)</f>
        <v>82411.666666666672</v>
      </c>
      <c r="J188" t="str">
        <f t="shared" si="2"/>
        <v>Med</v>
      </c>
      <c r="K188">
        <f>dataset[[#This Row],[soda_sales]]/dataset[[#This Row],[soda_units_sold]]</f>
        <v>0.72718856422432321</v>
      </c>
      <c r="L188" s="29">
        <f>dataset[[#This Row],[implied_soda_ppu]]-dataset[[#This Row],[soda_ppu]]</f>
        <v>-1.1435775676749138E-5</v>
      </c>
      <c r="M188">
        <f>dataset[[#This Row],[soda_sales]]/dataset[[#This Row],[total_sales]]</f>
        <v>7.6570142466953053E-2</v>
      </c>
      <c r="N188">
        <f>LN(dataset[[#This Row],[soda_units_sold]])</f>
        <v>12.461416168319913</v>
      </c>
      <c r="O188">
        <f>LN(dataset[[#This Row],[soda_sales]])</f>
        <v>12.142846706313261</v>
      </c>
      <c r="P188">
        <f>LN(dataset[[#This Row],[soda_ppu]])</f>
        <v>-0.31855373611886806</v>
      </c>
      <c r="Q188">
        <f>IF(dataset[[#This Row],[state]]="VA",1,0)</f>
        <v>0</v>
      </c>
    </row>
    <row r="189" spans="1:17" x14ac:dyDescent="0.35">
      <c r="A189">
        <v>202208</v>
      </c>
      <c r="B189">
        <v>25</v>
      </c>
      <c r="C189" s="2">
        <v>2345862.4301</v>
      </c>
      <c r="D189" s="2">
        <v>0.71260000000000001</v>
      </c>
      <c r="E189" s="3">
        <v>233112</v>
      </c>
      <c r="F189" s="2">
        <v>166112.1563</v>
      </c>
      <c r="G189" t="s">
        <v>965</v>
      </c>
      <c r="H189" t="s">
        <v>6</v>
      </c>
      <c r="I189">
        <f>HLOOKUP(G189,zip_tiers!$A$1:$EON$2,2,FALSE)</f>
        <v>82411.666666666672</v>
      </c>
      <c r="J189" t="str">
        <f t="shared" si="2"/>
        <v>Med</v>
      </c>
      <c r="K189">
        <f>dataset[[#This Row],[soda_sales]]/dataset[[#This Row],[soda_units_sold]]</f>
        <v>0.71258517922715259</v>
      </c>
      <c r="L189" s="29">
        <f>dataset[[#This Row],[implied_soda_ppu]]-dataset[[#This Row],[soda_ppu]]</f>
        <v>-1.4820772847423669E-5</v>
      </c>
      <c r="M189">
        <f>dataset[[#This Row],[soda_sales]]/dataset[[#This Row],[total_sales]]</f>
        <v>7.0810698090645899E-2</v>
      </c>
      <c r="N189">
        <f>LN(dataset[[#This Row],[soda_units_sold]])</f>
        <v>12.359274303750276</v>
      </c>
      <c r="O189">
        <f>LN(dataset[[#This Row],[soda_sales]])</f>
        <v>12.020418479557932</v>
      </c>
      <c r="P189">
        <f>LN(dataset[[#This Row],[soda_ppu]])</f>
        <v>-0.33883502581040137</v>
      </c>
      <c r="Q189">
        <f>IF(dataset[[#This Row],[state]]="VA",1,0)</f>
        <v>0</v>
      </c>
    </row>
    <row r="190" spans="1:17" x14ac:dyDescent="0.35">
      <c r="A190">
        <v>202209</v>
      </c>
      <c r="B190">
        <v>25</v>
      </c>
      <c r="C190" s="2">
        <v>2339434.6823</v>
      </c>
      <c r="D190" s="2">
        <v>0.71709999999999996</v>
      </c>
      <c r="E190" s="3">
        <v>224798</v>
      </c>
      <c r="F190" s="2">
        <v>161197.99890000001</v>
      </c>
      <c r="G190" t="s">
        <v>965</v>
      </c>
      <c r="H190" t="s">
        <v>6</v>
      </c>
      <c r="I190">
        <f>HLOOKUP(G190,zip_tiers!$A$1:$EON$2,2,FALSE)</f>
        <v>82411.666666666672</v>
      </c>
      <c r="J190" t="str">
        <f t="shared" si="2"/>
        <v>Med</v>
      </c>
      <c r="K190">
        <f>dataset[[#This Row],[soda_sales]]/dataset[[#This Row],[soda_units_sold]]</f>
        <v>0.71707932855274514</v>
      </c>
      <c r="L190" s="29">
        <f>dataset[[#This Row],[implied_soda_ppu]]-dataset[[#This Row],[soda_ppu]]</f>
        <v>-2.06714472548164E-5</v>
      </c>
      <c r="M190">
        <f>dataset[[#This Row],[soda_sales]]/dataset[[#This Row],[total_sales]]</f>
        <v>6.8904680314271161E-2</v>
      </c>
      <c r="N190">
        <f>LN(dataset[[#This Row],[soda_units_sold]])</f>
        <v>12.322957500164943</v>
      </c>
      <c r="O190">
        <f>LN(dataset[[#This Row],[soda_sales]])</f>
        <v>11.990388695205901</v>
      </c>
      <c r="P190">
        <f>LN(dataset[[#This Row],[soda_ppu]])</f>
        <v>-0.33253997809360791</v>
      </c>
      <c r="Q190">
        <f>IF(dataset[[#This Row],[state]]="VA",1,0)</f>
        <v>0</v>
      </c>
    </row>
    <row r="191" spans="1:17" x14ac:dyDescent="0.35">
      <c r="A191">
        <v>202210</v>
      </c>
      <c r="B191">
        <v>25</v>
      </c>
      <c r="C191" s="2">
        <v>2857484.8535000002</v>
      </c>
      <c r="D191" s="2">
        <v>0.73970000000000002</v>
      </c>
      <c r="E191" s="3">
        <v>206918</v>
      </c>
      <c r="F191" s="2">
        <v>153050.10980000001</v>
      </c>
      <c r="G191" t="s">
        <v>965</v>
      </c>
      <c r="H191" t="s">
        <v>6</v>
      </c>
      <c r="I191">
        <f>HLOOKUP(G191,zip_tiers!$A$1:$EON$2,2,FALSE)</f>
        <v>82411.666666666672</v>
      </c>
      <c r="J191" t="str">
        <f t="shared" si="2"/>
        <v>Med</v>
      </c>
      <c r="K191">
        <f>dataset[[#This Row],[soda_sales]]/dataset[[#This Row],[soda_units_sold]]</f>
        <v>0.73966551870789399</v>
      </c>
      <c r="L191" s="29">
        <f>dataset[[#This Row],[implied_soda_ppu]]-dataset[[#This Row],[soda_ppu]]</f>
        <v>-3.4481292106036676E-5</v>
      </c>
      <c r="M191">
        <f>dataset[[#This Row],[soda_sales]]/dataset[[#This Row],[total_sales]]</f>
        <v>5.356112723136084E-2</v>
      </c>
      <c r="N191">
        <f>LN(dataset[[#This Row],[soda_units_sold]])</f>
        <v>12.240077858499504</v>
      </c>
      <c r="O191">
        <f>LN(dataset[[#This Row],[soda_sales]])</f>
        <v>11.938520661785912</v>
      </c>
      <c r="P191">
        <f>LN(dataset[[#This Row],[soda_ppu]])</f>
        <v>-0.30151058038831502</v>
      </c>
      <c r="Q191">
        <f>IF(dataset[[#This Row],[state]]="VA",1,0)</f>
        <v>0</v>
      </c>
    </row>
    <row r="192" spans="1:17" x14ac:dyDescent="0.35">
      <c r="A192">
        <v>202211</v>
      </c>
      <c r="B192">
        <v>25</v>
      </c>
      <c r="C192" s="2">
        <v>3265221.2954000002</v>
      </c>
      <c r="D192" s="2">
        <v>0.7157</v>
      </c>
      <c r="E192" s="3">
        <v>200732</v>
      </c>
      <c r="F192" s="2">
        <v>143662.46249999999</v>
      </c>
      <c r="G192" t="s">
        <v>965</v>
      </c>
      <c r="H192" t="s">
        <v>6</v>
      </c>
      <c r="I192">
        <f>HLOOKUP(G192,zip_tiers!$A$1:$EON$2,2,FALSE)</f>
        <v>82411.666666666672</v>
      </c>
      <c r="J192" t="str">
        <f t="shared" si="2"/>
        <v>Med</v>
      </c>
      <c r="K192">
        <f>dataset[[#This Row],[soda_sales]]/dataset[[#This Row],[soda_units_sold]]</f>
        <v>0.71569287657174741</v>
      </c>
      <c r="L192" s="29">
        <f>dataset[[#This Row],[implied_soda_ppu]]-dataset[[#This Row],[soda_ppu]]</f>
        <v>-7.1234282525978188E-6</v>
      </c>
      <c r="M192">
        <f>dataset[[#This Row],[soda_sales]]/dataset[[#This Row],[total_sales]]</f>
        <v>4.3997772127233686E-2</v>
      </c>
      <c r="N192">
        <f>LN(dataset[[#This Row],[soda_units_sold]])</f>
        <v>12.209725964028076</v>
      </c>
      <c r="O192">
        <f>LN(dataset[[#This Row],[soda_sales]])</f>
        <v>11.875221816648528</v>
      </c>
      <c r="P192">
        <f>LN(dataset[[#This Row],[soda_ppu]])</f>
        <v>-0.33449419423758525</v>
      </c>
      <c r="Q192">
        <f>IF(dataset[[#This Row],[state]]="VA",1,0)</f>
        <v>0</v>
      </c>
    </row>
    <row r="193" spans="1:17" x14ac:dyDescent="0.35">
      <c r="A193">
        <v>202212</v>
      </c>
      <c r="B193">
        <v>25</v>
      </c>
      <c r="C193" s="2">
        <v>3387407.9607000002</v>
      </c>
      <c r="D193" s="2">
        <v>0.72240000000000004</v>
      </c>
      <c r="E193" s="3">
        <v>199685</v>
      </c>
      <c r="F193" s="2">
        <v>144255.31830000001</v>
      </c>
      <c r="G193" t="s">
        <v>965</v>
      </c>
      <c r="H193" t="s">
        <v>6</v>
      </c>
      <c r="I193">
        <f>HLOOKUP(G193,zip_tiers!$A$1:$EON$2,2,FALSE)</f>
        <v>82411.666666666672</v>
      </c>
      <c r="J193" t="str">
        <f t="shared" si="2"/>
        <v>Med</v>
      </c>
      <c r="K193">
        <f>dataset[[#This Row],[soda_sales]]/dataset[[#This Row],[soda_units_sold]]</f>
        <v>0.7224143941708191</v>
      </c>
      <c r="L193" s="29">
        <f>dataset[[#This Row],[implied_soda_ppu]]-dataset[[#This Row],[soda_ppu]]</f>
        <v>1.4394170819054253E-5</v>
      </c>
      <c r="M193">
        <f>dataset[[#This Row],[soda_sales]]/dataset[[#This Row],[total_sales]]</f>
        <v>4.2585752874652272E-2</v>
      </c>
      <c r="N193">
        <f>LN(dataset[[#This Row],[soda_units_sold]])</f>
        <v>12.204496403913804</v>
      </c>
      <c r="O193">
        <f>LN(dataset[[#This Row],[soda_sales]])</f>
        <v>11.879340052321565</v>
      </c>
      <c r="P193">
        <f>LN(dataset[[#This Row],[soda_ppu]])</f>
        <v>-0.32517627687936135</v>
      </c>
      <c r="Q193">
        <f>IF(dataset[[#This Row],[state]]="VA",1,0)</f>
        <v>0</v>
      </c>
    </row>
    <row r="194" spans="1:17" x14ac:dyDescent="0.35">
      <c r="A194">
        <v>202301</v>
      </c>
      <c r="B194">
        <v>25</v>
      </c>
      <c r="C194" s="2">
        <v>1931041.0330000001</v>
      </c>
      <c r="D194" s="2">
        <v>0.73370000000000002</v>
      </c>
      <c r="E194" s="3">
        <v>142651</v>
      </c>
      <c r="F194" s="2">
        <v>104664.9247</v>
      </c>
      <c r="G194" t="s">
        <v>965</v>
      </c>
      <c r="H194" t="s">
        <v>6</v>
      </c>
      <c r="I194">
        <f>HLOOKUP(G194,zip_tiers!$A$1:$EON$2,2,FALSE)</f>
        <v>82411.666666666672</v>
      </c>
      <c r="J194" t="str">
        <f t="shared" ref="J194:J257" si="3">IF(I194="","No Data",IF(I194&gt;=100000,"High",IF(I194&gt;=40000,"Med","Low")))</f>
        <v>Med</v>
      </c>
      <c r="K194">
        <f>dataset[[#This Row],[soda_sales]]/dataset[[#This Row],[soda_units_sold]]</f>
        <v>0.73371322107801562</v>
      </c>
      <c r="L194" s="29">
        <f>dataset[[#This Row],[implied_soda_ppu]]-dataset[[#This Row],[soda_ppu]]</f>
        <v>1.3221078015601684E-5</v>
      </c>
      <c r="M194">
        <f>dataset[[#This Row],[soda_sales]]/dataset[[#This Row],[total_sales]]</f>
        <v>5.4201295006867933E-2</v>
      </c>
      <c r="N194">
        <f>LN(dataset[[#This Row],[soda_units_sold]])</f>
        <v>11.868156366781815</v>
      </c>
      <c r="O194">
        <f>LN(dataset[[#This Row],[soda_sales]])</f>
        <v>11.558519333090153</v>
      </c>
      <c r="P194">
        <f>LN(dataset[[#This Row],[soda_ppu]])</f>
        <v>-0.30965505326218845</v>
      </c>
      <c r="Q194">
        <f>IF(dataset[[#This Row],[state]]="VA",1,0)</f>
        <v>0</v>
      </c>
    </row>
    <row r="195" spans="1:17" x14ac:dyDescent="0.35">
      <c r="A195">
        <v>202302</v>
      </c>
      <c r="B195">
        <v>25</v>
      </c>
      <c r="C195" s="2">
        <v>2219290.625</v>
      </c>
      <c r="D195" s="2">
        <v>0.72629999999999995</v>
      </c>
      <c r="E195" s="3">
        <v>164131</v>
      </c>
      <c r="F195" s="2">
        <v>119209.6287</v>
      </c>
      <c r="G195" t="s">
        <v>965</v>
      </c>
      <c r="H195" t="s">
        <v>6</v>
      </c>
      <c r="I195">
        <f>HLOOKUP(G195,zip_tiers!$A$1:$EON$2,2,FALSE)</f>
        <v>82411.666666666672</v>
      </c>
      <c r="J195" t="str">
        <f t="shared" si="3"/>
        <v>Med</v>
      </c>
      <c r="K195">
        <f>dataset[[#This Row],[soda_sales]]/dataset[[#This Row],[soda_units_sold]]</f>
        <v>0.72630781936380084</v>
      </c>
      <c r="L195" s="29">
        <f>dataset[[#This Row],[implied_soda_ppu]]-dataset[[#This Row],[soda_ppu]]</f>
        <v>7.8193638008983157E-6</v>
      </c>
      <c r="M195">
        <f>dataset[[#This Row],[soda_sales]]/dataset[[#This Row],[total_sales]]</f>
        <v>5.3715195007413688E-2</v>
      </c>
      <c r="N195">
        <f>LN(dataset[[#This Row],[soda_units_sold]])</f>
        <v>12.008420168438793</v>
      </c>
      <c r="O195">
        <f>LN(dataset[[#This Row],[soda_sales]])</f>
        <v>11.688638808035609</v>
      </c>
      <c r="P195">
        <f>LN(dataset[[#This Row],[soda_ppu]])</f>
        <v>-0.31979212637001464</v>
      </c>
      <c r="Q195">
        <f>IF(dataset[[#This Row],[state]]="VA",1,0)</f>
        <v>0</v>
      </c>
    </row>
    <row r="196" spans="1:17" x14ac:dyDescent="0.35">
      <c r="A196">
        <v>202303</v>
      </c>
      <c r="B196">
        <v>25</v>
      </c>
      <c r="C196" s="2">
        <v>2474281.6801</v>
      </c>
      <c r="D196" s="2">
        <v>0.74299999999999999</v>
      </c>
      <c r="E196" s="3">
        <v>186953</v>
      </c>
      <c r="F196" s="2">
        <v>138897.48009999999</v>
      </c>
      <c r="G196" t="s">
        <v>965</v>
      </c>
      <c r="H196" t="s">
        <v>6</v>
      </c>
      <c r="I196">
        <f>HLOOKUP(G196,zip_tiers!$A$1:$EON$2,2,FALSE)</f>
        <v>82411.666666666672</v>
      </c>
      <c r="J196" t="str">
        <f t="shared" si="3"/>
        <v>Med</v>
      </c>
      <c r="K196">
        <f>dataset[[#This Row],[soda_sales]]/dataset[[#This Row],[soda_units_sold]]</f>
        <v>0.74295400501730369</v>
      </c>
      <c r="L196" s="29">
        <f>dataset[[#This Row],[implied_soda_ppu]]-dataset[[#This Row],[soda_ppu]]</f>
        <v>-4.5994982696306863E-5</v>
      </c>
      <c r="M196">
        <f>dataset[[#This Row],[soda_sales]]/dataset[[#This Row],[total_sales]]</f>
        <v>5.6136486487014019E-2</v>
      </c>
      <c r="N196">
        <f>LN(dataset[[#This Row],[soda_units_sold]])</f>
        <v>12.138612527347917</v>
      </c>
      <c r="O196">
        <f>LN(dataset[[#This Row],[soda_sales]])</f>
        <v>11.841491386749217</v>
      </c>
      <c r="P196">
        <f>LN(dataset[[#This Row],[soda_ppu]])</f>
        <v>-0.29705923426437791</v>
      </c>
      <c r="Q196">
        <f>IF(dataset[[#This Row],[state]]="VA",1,0)</f>
        <v>0</v>
      </c>
    </row>
    <row r="197" spans="1:17" x14ac:dyDescent="0.35">
      <c r="A197">
        <v>202304</v>
      </c>
      <c r="B197">
        <v>25</v>
      </c>
      <c r="C197" s="2">
        <v>2564145.7502000001</v>
      </c>
      <c r="D197" s="2">
        <v>0.72950000000000004</v>
      </c>
      <c r="E197" s="3">
        <v>223306</v>
      </c>
      <c r="F197" s="2">
        <v>162896.8389</v>
      </c>
      <c r="G197" t="s">
        <v>965</v>
      </c>
      <c r="H197" t="s">
        <v>6</v>
      </c>
      <c r="I197">
        <f>HLOOKUP(G197,zip_tiers!$A$1:$EON$2,2,FALSE)</f>
        <v>82411.666666666672</v>
      </c>
      <c r="J197" t="str">
        <f t="shared" si="3"/>
        <v>Med</v>
      </c>
      <c r="K197">
        <f>dataset[[#This Row],[soda_sales]]/dataset[[#This Row],[soda_units_sold]]</f>
        <v>0.72947811030603749</v>
      </c>
      <c r="L197" s="29">
        <f>dataset[[#This Row],[implied_soda_ppu]]-dataset[[#This Row],[soda_ppu]]</f>
        <v>-2.1889693962551249E-5</v>
      </c>
      <c r="M197">
        <f>dataset[[#This Row],[soda_sales]]/dataset[[#This Row],[total_sales]]</f>
        <v>6.3528697183962438E-2</v>
      </c>
      <c r="N197">
        <f>LN(dataset[[#This Row],[soda_units_sold]])</f>
        <v>12.316298307149308</v>
      </c>
      <c r="O197">
        <f>LN(dataset[[#This Row],[soda_sales]])</f>
        <v>12.000872389245316</v>
      </c>
      <c r="P197">
        <f>LN(dataset[[#This Row],[soda_ppu]])</f>
        <v>-0.31539591101929665</v>
      </c>
      <c r="Q197">
        <f>IF(dataset[[#This Row],[state]]="VA",1,0)</f>
        <v>0</v>
      </c>
    </row>
    <row r="198" spans="1:17" x14ac:dyDescent="0.35">
      <c r="A198">
        <v>202305</v>
      </c>
      <c r="B198">
        <v>25</v>
      </c>
      <c r="C198" s="2">
        <v>2720183.4785000002</v>
      </c>
      <c r="D198" s="2">
        <v>0.75109999999999999</v>
      </c>
      <c r="E198" s="3">
        <v>241348</v>
      </c>
      <c r="F198" s="2">
        <v>181279.39449999999</v>
      </c>
      <c r="G198" t="s">
        <v>965</v>
      </c>
      <c r="H198" t="s">
        <v>6</v>
      </c>
      <c r="I198">
        <f>HLOOKUP(G198,zip_tiers!$A$1:$EON$2,2,FALSE)</f>
        <v>82411.666666666672</v>
      </c>
      <c r="J198" t="str">
        <f t="shared" si="3"/>
        <v>Med</v>
      </c>
      <c r="K198">
        <f>dataset[[#This Row],[soda_sales]]/dataset[[#This Row],[soda_units_sold]]</f>
        <v>0.75111206432205779</v>
      </c>
      <c r="L198" s="29">
        <f>dataset[[#This Row],[implied_soda_ppu]]-dataset[[#This Row],[soda_ppu]]</f>
        <v>1.2064322057803167E-5</v>
      </c>
      <c r="M198">
        <f>dataset[[#This Row],[soda_sales]]/dataset[[#This Row],[total_sales]]</f>
        <v>6.6642340832083688E-2</v>
      </c>
      <c r="N198">
        <f>LN(dataset[[#This Row],[soda_units_sold]])</f>
        <v>12.393995154333773</v>
      </c>
      <c r="O198">
        <f>LN(dataset[[#This Row],[soda_sales]])</f>
        <v>12.10779473611945</v>
      </c>
      <c r="P198">
        <f>LN(dataset[[#This Row],[soda_ppu]])</f>
        <v>-0.28621648029017099</v>
      </c>
      <c r="Q198">
        <f>IF(dataset[[#This Row],[state]]="VA",1,0)</f>
        <v>0</v>
      </c>
    </row>
    <row r="199" spans="1:17" x14ac:dyDescent="0.35">
      <c r="A199">
        <v>202306</v>
      </c>
      <c r="B199">
        <v>25</v>
      </c>
      <c r="C199" s="2">
        <v>2622283.0325000002</v>
      </c>
      <c r="D199" s="2">
        <v>0.75239999999999996</v>
      </c>
      <c r="E199" s="3">
        <v>248304</v>
      </c>
      <c r="F199" s="2">
        <v>186828.54740000001</v>
      </c>
      <c r="G199" t="s">
        <v>965</v>
      </c>
      <c r="H199" t="s">
        <v>6</v>
      </c>
      <c r="I199">
        <f>HLOOKUP(G199,zip_tiers!$A$1:$EON$2,2,FALSE)</f>
        <v>82411.666666666672</v>
      </c>
      <c r="J199" t="str">
        <f t="shared" si="3"/>
        <v>Med</v>
      </c>
      <c r="K199">
        <f>dataset[[#This Row],[soda_sales]]/dataset[[#This Row],[soda_units_sold]]</f>
        <v>0.75241859736452099</v>
      </c>
      <c r="L199" s="29">
        <f>dataset[[#This Row],[implied_soda_ppu]]-dataset[[#This Row],[soda_ppu]]</f>
        <v>1.8597364521033555E-5</v>
      </c>
      <c r="M199">
        <f>dataset[[#This Row],[soda_sales]]/dataset[[#This Row],[total_sales]]</f>
        <v>7.1246522623411745E-2</v>
      </c>
      <c r="N199">
        <f>LN(dataset[[#This Row],[soda_units_sold]])</f>
        <v>12.422409080911406</v>
      </c>
      <c r="O199">
        <f>LN(dataset[[#This Row],[soda_sales]])</f>
        <v>12.137946616441054</v>
      </c>
      <c r="P199">
        <f>LN(dataset[[#This Row],[soda_ppu]])</f>
        <v>-0.28448718155526176</v>
      </c>
      <c r="Q199">
        <f>IF(dataset[[#This Row],[state]]="VA",1,0)</f>
        <v>0</v>
      </c>
    </row>
    <row r="200" spans="1:17" x14ac:dyDescent="0.35">
      <c r="A200">
        <v>202307</v>
      </c>
      <c r="B200">
        <v>25</v>
      </c>
      <c r="C200" s="2">
        <v>2465660.3684</v>
      </c>
      <c r="D200" s="2">
        <v>0.75109999999999999</v>
      </c>
      <c r="E200" s="3">
        <v>259626</v>
      </c>
      <c r="F200" s="2">
        <v>195002.31570000001</v>
      </c>
      <c r="G200" t="s">
        <v>965</v>
      </c>
      <c r="H200" t="s">
        <v>6</v>
      </c>
      <c r="I200">
        <f>HLOOKUP(G200,zip_tiers!$A$1:$EON$2,2,FALSE)</f>
        <v>82411.666666666672</v>
      </c>
      <c r="J200" t="str">
        <f t="shared" si="3"/>
        <v>Med</v>
      </c>
      <c r="K200">
        <f>dataset[[#This Row],[soda_sales]]/dataset[[#This Row],[soda_units_sold]]</f>
        <v>0.75108931963670822</v>
      </c>
      <c r="L200" s="29">
        <f>dataset[[#This Row],[implied_soda_ppu]]-dataset[[#This Row],[soda_ppu]]</f>
        <v>-1.0680363291770689E-5</v>
      </c>
      <c r="M200">
        <f>dataset[[#This Row],[soda_sales]]/dataset[[#This Row],[total_sales]]</f>
        <v>7.9087257190470078E-2</v>
      </c>
      <c r="N200">
        <f>LN(dataset[[#This Row],[soda_units_sold]])</f>
        <v>12.466997412880191</v>
      </c>
      <c r="O200">
        <f>LN(dataset[[#This Row],[soda_sales]])</f>
        <v>12.180766712859988</v>
      </c>
      <c r="P200">
        <f>LN(dataset[[#This Row],[soda_ppu]])</f>
        <v>-0.28621648029017099</v>
      </c>
      <c r="Q200">
        <f>IF(dataset[[#This Row],[state]]="VA",1,0)</f>
        <v>0</v>
      </c>
    </row>
    <row r="201" spans="1:17" x14ac:dyDescent="0.35">
      <c r="A201">
        <v>202308</v>
      </c>
      <c r="B201">
        <v>25</v>
      </c>
      <c r="C201" s="2">
        <v>2372564.5521999998</v>
      </c>
      <c r="D201" s="2">
        <v>0.74919999999999998</v>
      </c>
      <c r="E201" s="3">
        <v>226269</v>
      </c>
      <c r="F201" s="2">
        <v>169515.71849999999</v>
      </c>
      <c r="G201" t="s">
        <v>965</v>
      </c>
      <c r="H201" t="s">
        <v>6</v>
      </c>
      <c r="I201">
        <f>HLOOKUP(G201,zip_tiers!$A$1:$EON$2,2,FALSE)</f>
        <v>82411.666666666672</v>
      </c>
      <c r="J201" t="str">
        <f t="shared" si="3"/>
        <v>Med</v>
      </c>
      <c r="K201">
        <f>dataset[[#This Row],[soda_sales]]/dataset[[#This Row],[soda_units_sold]]</f>
        <v>0.74917783037004626</v>
      </c>
      <c r="L201" s="29">
        <f>dataset[[#This Row],[implied_soda_ppu]]-dataset[[#This Row],[soda_ppu]]</f>
        <v>-2.216962995371663E-5</v>
      </c>
      <c r="M201">
        <f>dataset[[#This Row],[soda_sales]]/dataset[[#This Row],[total_sales]]</f>
        <v>7.144830615580669E-2</v>
      </c>
      <c r="N201">
        <f>LN(dataset[[#This Row],[soda_units_sold]])</f>
        <v>12.329479835936779</v>
      </c>
      <c r="O201">
        <f>LN(dataset[[#This Row],[soda_sales]])</f>
        <v>12.040700936016338</v>
      </c>
      <c r="P201">
        <f>LN(dataset[[#This Row],[soda_ppu]])</f>
        <v>-0.28874930841220364</v>
      </c>
      <c r="Q201">
        <f>IF(dataset[[#This Row],[state]]="VA",1,0)</f>
        <v>0</v>
      </c>
    </row>
    <row r="202" spans="1:17" x14ac:dyDescent="0.35">
      <c r="A202">
        <v>202309</v>
      </c>
      <c r="B202">
        <v>25</v>
      </c>
      <c r="C202" s="2">
        <v>2370044.5343999998</v>
      </c>
      <c r="D202" s="2">
        <v>0.71760000000000002</v>
      </c>
      <c r="E202" s="3">
        <v>226981</v>
      </c>
      <c r="F202" s="2">
        <v>162892.2211</v>
      </c>
      <c r="G202" t="s">
        <v>965</v>
      </c>
      <c r="H202" t="s">
        <v>6</v>
      </c>
      <c r="I202">
        <f>HLOOKUP(G202,zip_tiers!$A$1:$EON$2,2,FALSE)</f>
        <v>82411.666666666672</v>
      </c>
      <c r="J202" t="str">
        <f t="shared" si="3"/>
        <v>Med</v>
      </c>
      <c r="K202">
        <f>dataset[[#This Row],[soda_sales]]/dataset[[#This Row],[soda_units_sold]]</f>
        <v>0.71764694445790611</v>
      </c>
      <c r="L202" s="29">
        <f>dataset[[#This Row],[implied_soda_ppu]]-dataset[[#This Row],[soda_ppu]]</f>
        <v>4.6944457906095138E-5</v>
      </c>
      <c r="M202">
        <f>dataset[[#This Row],[soda_sales]]/dataset[[#This Row],[total_sales]]</f>
        <v>6.872960348875376E-2</v>
      </c>
      <c r="N202">
        <f>LN(dataset[[#This Row],[soda_units_sold]])</f>
        <v>12.332621592519933</v>
      </c>
      <c r="O202">
        <f>LN(dataset[[#This Row],[soda_sales]])</f>
        <v>12.000844040840981</v>
      </c>
      <c r="P202">
        <f>LN(dataset[[#This Row],[soda_ppu]])</f>
        <v>-0.33184296823755066</v>
      </c>
      <c r="Q202">
        <f>IF(dataset[[#This Row],[state]]="VA",1,0)</f>
        <v>0</v>
      </c>
    </row>
    <row r="203" spans="1:17" x14ac:dyDescent="0.35">
      <c r="A203">
        <v>202310</v>
      </c>
      <c r="B203">
        <v>25</v>
      </c>
      <c r="C203" s="2">
        <v>2878751.5076000001</v>
      </c>
      <c r="D203" s="2">
        <v>0.7621</v>
      </c>
      <c r="E203" s="3">
        <v>203611</v>
      </c>
      <c r="F203" s="2">
        <v>155167.4853</v>
      </c>
      <c r="G203" t="s">
        <v>965</v>
      </c>
      <c r="H203" t="s">
        <v>6</v>
      </c>
      <c r="I203">
        <f>HLOOKUP(G203,zip_tiers!$A$1:$EON$2,2,FALSE)</f>
        <v>82411.666666666672</v>
      </c>
      <c r="J203" t="str">
        <f t="shared" si="3"/>
        <v>Med</v>
      </c>
      <c r="K203">
        <f>dataset[[#This Row],[soda_sales]]/dataset[[#This Row],[soda_units_sold]]</f>
        <v>0.76207810629091743</v>
      </c>
      <c r="L203" s="29">
        <f>dataset[[#This Row],[implied_soda_ppu]]-dataset[[#This Row],[soda_ppu]]</f>
        <v>-2.1893709082565493E-5</v>
      </c>
      <c r="M203">
        <f>dataset[[#This Row],[soda_sales]]/dataset[[#This Row],[total_sales]]</f>
        <v>5.3900965363058481E-2</v>
      </c>
      <c r="N203">
        <f>LN(dataset[[#This Row],[soda_units_sold]])</f>
        <v>12.223966589703982</v>
      </c>
      <c r="O203">
        <f>LN(dataset[[#This Row],[soda_sales]])</f>
        <v>11.952260362849671</v>
      </c>
      <c r="P203">
        <f>LN(dataset[[#This Row],[soda_ppu]])</f>
        <v>-0.27167749831006527</v>
      </c>
      <c r="Q203">
        <f>IF(dataset[[#This Row],[state]]="VA",1,0)</f>
        <v>0</v>
      </c>
    </row>
    <row r="204" spans="1:17" x14ac:dyDescent="0.35">
      <c r="A204">
        <v>202311</v>
      </c>
      <c r="B204">
        <v>25</v>
      </c>
      <c r="C204" s="2">
        <v>3319283.2530999999</v>
      </c>
      <c r="D204" s="2">
        <v>0.75729999999999997</v>
      </c>
      <c r="E204" s="3">
        <v>198633</v>
      </c>
      <c r="F204" s="2">
        <v>150414.8904</v>
      </c>
      <c r="G204" t="s">
        <v>965</v>
      </c>
      <c r="H204" t="s">
        <v>6</v>
      </c>
      <c r="I204">
        <f>HLOOKUP(G204,zip_tiers!$A$1:$EON$2,2,FALSE)</f>
        <v>82411.666666666672</v>
      </c>
      <c r="J204" t="str">
        <f t="shared" si="3"/>
        <v>Med</v>
      </c>
      <c r="K204">
        <f>dataset[[#This Row],[soda_sales]]/dataset[[#This Row],[soda_units_sold]]</f>
        <v>0.75725025751008146</v>
      </c>
      <c r="L204" s="29">
        <f>dataset[[#This Row],[implied_soda_ppu]]-dataset[[#This Row],[soda_ppu]]</f>
        <v>-4.9742489918513932E-5</v>
      </c>
      <c r="M204">
        <f>dataset[[#This Row],[soda_sales]]/dataset[[#This Row],[total_sales]]</f>
        <v>4.5315472929139761E-2</v>
      </c>
      <c r="N204">
        <f>LN(dataset[[#This Row],[soda_units_sold]])</f>
        <v>12.199214179931637</v>
      </c>
      <c r="O204">
        <f>LN(dataset[[#This Row],[soda_sales]])</f>
        <v>11.921152690916323</v>
      </c>
      <c r="P204">
        <f>LN(dataset[[#This Row],[soda_ppu]])</f>
        <v>-0.27799580286236009</v>
      </c>
      <c r="Q204">
        <f>IF(dataset[[#This Row],[state]]="VA",1,0)</f>
        <v>0</v>
      </c>
    </row>
    <row r="205" spans="1:17" x14ac:dyDescent="0.35">
      <c r="A205">
        <v>202312</v>
      </c>
      <c r="B205">
        <v>25</v>
      </c>
      <c r="C205" s="2">
        <v>3463461.5515999999</v>
      </c>
      <c r="D205" s="2">
        <v>0.77410000000000001</v>
      </c>
      <c r="E205" s="3">
        <v>185164</v>
      </c>
      <c r="F205" s="2">
        <v>143337.33040000001</v>
      </c>
      <c r="G205" t="s">
        <v>965</v>
      </c>
      <c r="H205" t="s">
        <v>6</v>
      </c>
      <c r="I205">
        <f>HLOOKUP(G205,zip_tiers!$A$1:$EON$2,2,FALSE)</f>
        <v>82411.666666666672</v>
      </c>
      <c r="J205" t="str">
        <f t="shared" si="3"/>
        <v>Med</v>
      </c>
      <c r="K205">
        <f>dataset[[#This Row],[soda_sales]]/dataset[[#This Row],[soda_units_sold]]</f>
        <v>0.77411014236028608</v>
      </c>
      <c r="L205" s="29">
        <f>dataset[[#This Row],[implied_soda_ppu]]-dataset[[#This Row],[soda_ppu]]</f>
        <v>1.0142360286069518E-5</v>
      </c>
      <c r="M205">
        <f>dataset[[#This Row],[soda_sales]]/dataset[[#This Row],[total_sales]]</f>
        <v>4.1385569975154801E-2</v>
      </c>
      <c r="N205">
        <f>LN(dataset[[#This Row],[soda_units_sold]])</f>
        <v>12.128997197849866</v>
      </c>
      <c r="O205">
        <f>LN(dataset[[#This Row],[soda_sales]])</f>
        <v>11.872956085124441</v>
      </c>
      <c r="P205">
        <f>LN(dataset[[#This Row],[soda_ppu]])</f>
        <v>-0.25605421477146928</v>
      </c>
      <c r="Q205">
        <f>IF(dataset[[#This Row],[state]]="VA",1,0)</f>
        <v>0</v>
      </c>
    </row>
    <row r="206" spans="1:17" x14ac:dyDescent="0.35">
      <c r="A206">
        <v>202401</v>
      </c>
      <c r="B206">
        <v>25</v>
      </c>
      <c r="C206" s="2">
        <v>2024834.7146999999</v>
      </c>
      <c r="D206" s="2">
        <v>0.75109999999999999</v>
      </c>
      <c r="E206" s="3">
        <v>142554</v>
      </c>
      <c r="F206" s="2">
        <v>107066.3447</v>
      </c>
      <c r="G206" t="s">
        <v>965</v>
      </c>
      <c r="H206" t="s">
        <v>6</v>
      </c>
      <c r="I206">
        <f>HLOOKUP(G206,zip_tiers!$A$1:$EON$2,2,FALSE)</f>
        <v>82411.666666666672</v>
      </c>
      <c r="J206" t="str">
        <f t="shared" si="3"/>
        <v>Med</v>
      </c>
      <c r="K206">
        <f>dataset[[#This Row],[soda_sales]]/dataset[[#This Row],[soda_units_sold]]</f>
        <v>0.7510581583119379</v>
      </c>
      <c r="L206" s="29">
        <f>dataset[[#This Row],[implied_soda_ppu]]-dataset[[#This Row],[soda_ppu]]</f>
        <v>-4.1841688062094207E-5</v>
      </c>
      <c r="M206">
        <f>dataset[[#This Row],[soda_sales]]/dataset[[#This Row],[total_sales]]</f>
        <v>5.2876584899850941E-2</v>
      </c>
      <c r="N206">
        <f>LN(dataset[[#This Row],[soda_units_sold]])</f>
        <v>11.867476154276844</v>
      </c>
      <c r="O206">
        <f>LN(dataset[[#This Row],[soda_sales]])</f>
        <v>11.581203965221466</v>
      </c>
      <c r="P206">
        <f>LN(dataset[[#This Row],[soda_ppu]])</f>
        <v>-0.28621648029017099</v>
      </c>
      <c r="Q206">
        <f>IF(dataset[[#This Row],[state]]="VA",1,0)</f>
        <v>0</v>
      </c>
    </row>
    <row r="207" spans="1:17" x14ac:dyDescent="0.35">
      <c r="A207">
        <v>202402</v>
      </c>
      <c r="B207">
        <v>25</v>
      </c>
      <c r="C207" s="2">
        <v>2283520.9985000002</v>
      </c>
      <c r="D207" s="2">
        <v>0.77700000000000002</v>
      </c>
      <c r="E207" s="3">
        <v>158968</v>
      </c>
      <c r="F207" s="2">
        <v>123525.75629999999</v>
      </c>
      <c r="G207" t="s">
        <v>965</v>
      </c>
      <c r="H207" t="s">
        <v>6</v>
      </c>
      <c r="I207">
        <f>HLOOKUP(G207,zip_tiers!$A$1:$EON$2,2,FALSE)</f>
        <v>82411.666666666672</v>
      </c>
      <c r="J207" t="str">
        <f t="shared" si="3"/>
        <v>Med</v>
      </c>
      <c r="K207">
        <f>dataset[[#This Row],[soda_sales]]/dataset[[#This Row],[soda_units_sold]]</f>
        <v>0.77704793606260381</v>
      </c>
      <c r="L207" s="29">
        <f>dataset[[#This Row],[implied_soda_ppu]]-dataset[[#This Row],[soda_ppu]]</f>
        <v>4.7936062603781693E-5</v>
      </c>
      <c r="M207">
        <f>dataset[[#This Row],[soda_sales]]/dataset[[#This Row],[total_sales]]</f>
        <v>5.4094425398821214E-2</v>
      </c>
      <c r="N207">
        <f>LN(dataset[[#This Row],[soda_units_sold]])</f>
        <v>11.976458203085652</v>
      </c>
      <c r="O207">
        <f>LN(dataset[[#This Row],[soda_sales]])</f>
        <v>11.724204966342445</v>
      </c>
      <c r="P207">
        <f>LN(dataset[[#This Row],[soda_ppu]])</f>
        <v>-0.25231492861448956</v>
      </c>
      <c r="Q207">
        <f>IF(dataset[[#This Row],[state]]="VA",1,0)</f>
        <v>0</v>
      </c>
    </row>
    <row r="208" spans="1:17" x14ac:dyDescent="0.35">
      <c r="A208">
        <v>202403</v>
      </c>
      <c r="B208">
        <v>25</v>
      </c>
      <c r="C208" s="2">
        <v>2550181.5282999999</v>
      </c>
      <c r="D208" s="2">
        <v>0.7712</v>
      </c>
      <c r="E208" s="3">
        <v>187301</v>
      </c>
      <c r="F208" s="2">
        <v>144438.0857</v>
      </c>
      <c r="G208" t="s">
        <v>965</v>
      </c>
      <c r="H208" t="s">
        <v>6</v>
      </c>
      <c r="I208">
        <f>HLOOKUP(G208,zip_tiers!$A$1:$EON$2,2,FALSE)</f>
        <v>82411.666666666672</v>
      </c>
      <c r="J208" t="str">
        <f t="shared" si="3"/>
        <v>Med</v>
      </c>
      <c r="K208">
        <f>dataset[[#This Row],[soda_sales]]/dataset[[#This Row],[soda_units_sold]]</f>
        <v>0.77115490947725851</v>
      </c>
      <c r="L208" s="29">
        <f>dataset[[#This Row],[implied_soda_ppu]]-dataset[[#This Row],[soda_ppu]]</f>
        <v>-4.5090522741486616E-5</v>
      </c>
      <c r="M208">
        <f>dataset[[#This Row],[soda_sales]]/dataset[[#This Row],[total_sales]]</f>
        <v>5.6638354602264414E-2</v>
      </c>
      <c r="N208">
        <f>LN(dataset[[#This Row],[soda_units_sold]])</f>
        <v>12.140472227446224</v>
      </c>
      <c r="O208">
        <f>LN(dataset[[#This Row],[soda_sales]])</f>
        <v>11.880606222049623</v>
      </c>
      <c r="P208">
        <f>LN(dataset[[#This Row],[soda_ppu]])</f>
        <v>-0.25980753568580117</v>
      </c>
      <c r="Q208">
        <f>IF(dataset[[#This Row],[state]]="VA",1,0)</f>
        <v>0</v>
      </c>
    </row>
    <row r="209" spans="1:17" x14ac:dyDescent="0.35">
      <c r="A209">
        <v>202404</v>
      </c>
      <c r="B209">
        <v>25</v>
      </c>
      <c r="C209" s="2">
        <v>2705239.9504999998</v>
      </c>
      <c r="D209" s="2">
        <v>0.78439999999999999</v>
      </c>
      <c r="E209" s="3">
        <v>215327</v>
      </c>
      <c r="F209" s="2">
        <v>168906.45019999999</v>
      </c>
      <c r="G209" t="s">
        <v>965</v>
      </c>
      <c r="H209" t="s">
        <v>6</v>
      </c>
      <c r="I209">
        <f>HLOOKUP(G209,zip_tiers!$A$1:$EON$2,2,FALSE)</f>
        <v>82411.666666666672</v>
      </c>
      <c r="J209" t="str">
        <f t="shared" si="3"/>
        <v>Med</v>
      </c>
      <c r="K209">
        <f>dataset[[#This Row],[soda_sales]]/dataset[[#This Row],[soda_units_sold]]</f>
        <v>0.78441835069452504</v>
      </c>
      <c r="L209" s="29">
        <f>dataset[[#This Row],[implied_soda_ppu]]-dataset[[#This Row],[soda_ppu]]</f>
        <v>1.8350694525048894E-5</v>
      </c>
      <c r="M209">
        <f>dataset[[#This Row],[soda_sales]]/dataset[[#This Row],[total_sales]]</f>
        <v>6.2436772075904624E-2</v>
      </c>
      <c r="N209">
        <f>LN(dataset[[#This Row],[soda_units_sold]])</f>
        <v>12.279913081899389</v>
      </c>
      <c r="O209">
        <f>LN(dataset[[#This Row],[soda_sales]])</f>
        <v>12.037100291527912</v>
      </c>
      <c r="P209">
        <f>LN(dataset[[#This Row],[soda_ppu]])</f>
        <v>-0.24283618465994586</v>
      </c>
      <c r="Q209">
        <f>IF(dataset[[#This Row],[state]]="VA",1,0)</f>
        <v>0</v>
      </c>
    </row>
    <row r="210" spans="1:17" x14ac:dyDescent="0.35">
      <c r="A210">
        <v>202405</v>
      </c>
      <c r="B210">
        <v>25</v>
      </c>
      <c r="C210" s="2">
        <v>2798916.5732999998</v>
      </c>
      <c r="D210" s="2">
        <v>0.7923</v>
      </c>
      <c r="E210" s="3">
        <v>232645</v>
      </c>
      <c r="F210" s="2">
        <v>184317.35159999999</v>
      </c>
      <c r="G210" t="s">
        <v>965</v>
      </c>
      <c r="H210" t="s">
        <v>6</v>
      </c>
      <c r="I210">
        <f>HLOOKUP(G210,zip_tiers!$A$1:$EON$2,2,FALSE)</f>
        <v>82411.666666666672</v>
      </c>
      <c r="J210" t="str">
        <f t="shared" si="3"/>
        <v>Med</v>
      </c>
      <c r="K210">
        <f>dataset[[#This Row],[soda_sales]]/dataset[[#This Row],[soda_units_sold]]</f>
        <v>0.79226869952072898</v>
      </c>
      <c r="L210" s="29">
        <f>dataset[[#This Row],[implied_soda_ppu]]-dataset[[#This Row],[soda_ppu]]</f>
        <v>-3.130047927102364E-5</v>
      </c>
      <c r="M210">
        <f>dataset[[#This Row],[soda_sales]]/dataset[[#This Row],[total_sales]]</f>
        <v>6.5853106647864382E-2</v>
      </c>
      <c r="N210">
        <f>LN(dataset[[#This Row],[soda_units_sold]])</f>
        <v>12.357268965530995</v>
      </c>
      <c r="O210">
        <f>LN(dataset[[#This Row],[soda_sales]])</f>
        <v>12.124414287896853</v>
      </c>
      <c r="P210">
        <f>LN(dataset[[#This Row],[soda_ppu]])</f>
        <v>-0.23281517101094082</v>
      </c>
      <c r="Q210">
        <f>IF(dataset[[#This Row],[state]]="VA",1,0)</f>
        <v>0</v>
      </c>
    </row>
    <row r="211" spans="1:17" x14ac:dyDescent="0.35">
      <c r="A211">
        <v>202406</v>
      </c>
      <c r="B211">
        <v>25</v>
      </c>
      <c r="C211" s="2">
        <v>2680252.6567000002</v>
      </c>
      <c r="D211" s="2">
        <v>0.77980000000000005</v>
      </c>
      <c r="E211" s="3">
        <v>242150</v>
      </c>
      <c r="F211" s="2">
        <v>188832.2065</v>
      </c>
      <c r="G211" t="s">
        <v>965</v>
      </c>
      <c r="H211" t="s">
        <v>6</v>
      </c>
      <c r="I211">
        <f>HLOOKUP(G211,zip_tiers!$A$1:$EON$2,2,FALSE)</f>
        <v>82411.666666666672</v>
      </c>
      <c r="J211" t="str">
        <f t="shared" si="3"/>
        <v>Med</v>
      </c>
      <c r="K211">
        <f>dataset[[#This Row],[soda_sales]]/dataset[[#This Row],[soda_units_sold]]</f>
        <v>0.77981501755110472</v>
      </c>
      <c r="L211" s="29">
        <f>dataset[[#This Row],[implied_soda_ppu]]-dataset[[#This Row],[soda_ppu]]</f>
        <v>1.5017551104667959E-5</v>
      </c>
      <c r="M211">
        <f>dataset[[#This Row],[soda_sales]]/dataset[[#This Row],[total_sales]]</f>
        <v>7.0453136583211284E-2</v>
      </c>
      <c r="N211">
        <f>LN(dataset[[#This Row],[soda_units_sold]])</f>
        <v>12.397312647831376</v>
      </c>
      <c r="O211">
        <f>LN(dataset[[#This Row],[soda_sales]])</f>
        <v>12.148614103420947</v>
      </c>
      <c r="P211">
        <f>LN(dataset[[#This Row],[soda_ppu]])</f>
        <v>-0.24871780243364003</v>
      </c>
      <c r="Q211">
        <f>IF(dataset[[#This Row],[state]]="VA",1,0)</f>
        <v>0</v>
      </c>
    </row>
    <row r="212" spans="1:17" x14ac:dyDescent="0.35">
      <c r="A212">
        <v>202407</v>
      </c>
      <c r="B212">
        <v>25</v>
      </c>
      <c r="C212" s="2">
        <v>2574662.088</v>
      </c>
      <c r="D212" s="2">
        <v>0.80300000000000005</v>
      </c>
      <c r="E212" s="3">
        <v>251518</v>
      </c>
      <c r="F212" s="2">
        <v>201979.9129</v>
      </c>
      <c r="G212" t="s">
        <v>965</v>
      </c>
      <c r="H212" t="s">
        <v>6</v>
      </c>
      <c r="I212">
        <f>HLOOKUP(G212,zip_tiers!$A$1:$EON$2,2,FALSE)</f>
        <v>82411.666666666672</v>
      </c>
      <c r="J212" t="str">
        <f t="shared" si="3"/>
        <v>Med</v>
      </c>
      <c r="K212">
        <f>dataset[[#This Row],[soda_sales]]/dataset[[#This Row],[soda_units_sold]]</f>
        <v>0.80304357103666535</v>
      </c>
      <c r="L212" s="29">
        <f>dataset[[#This Row],[implied_soda_ppu]]-dataset[[#This Row],[soda_ppu]]</f>
        <v>4.3571036665301932E-5</v>
      </c>
      <c r="M212">
        <f>dataset[[#This Row],[soda_sales]]/dataset[[#This Row],[total_sales]]</f>
        <v>7.8449095841116062E-2</v>
      </c>
      <c r="N212">
        <f>LN(dataset[[#This Row],[soda_units_sold]])</f>
        <v>12.435269836537421</v>
      </c>
      <c r="O212">
        <f>LN(dataset[[#This Row],[soda_sales]])</f>
        <v>12.21592353034964</v>
      </c>
      <c r="P212">
        <f>LN(dataset[[#This Row],[soda_ppu]])</f>
        <v>-0.21940056503537533</v>
      </c>
      <c r="Q212">
        <f>IF(dataset[[#This Row],[state]]="VA",1,0)</f>
        <v>0</v>
      </c>
    </row>
    <row r="213" spans="1:17" x14ac:dyDescent="0.35">
      <c r="A213">
        <v>202408</v>
      </c>
      <c r="B213">
        <v>25</v>
      </c>
      <c r="C213" s="2">
        <v>2454850.3912999998</v>
      </c>
      <c r="D213" s="2">
        <v>0.80089999999999995</v>
      </c>
      <c r="E213" s="3">
        <v>217818</v>
      </c>
      <c r="F213" s="2">
        <v>174449.96220000001</v>
      </c>
      <c r="G213" t="s">
        <v>965</v>
      </c>
      <c r="H213" t="s">
        <v>6</v>
      </c>
      <c r="I213">
        <f>HLOOKUP(G213,zip_tiers!$A$1:$EON$2,2,FALSE)</f>
        <v>82411.666666666672</v>
      </c>
      <c r="J213" t="str">
        <f t="shared" si="3"/>
        <v>Med</v>
      </c>
      <c r="K213">
        <f>dataset[[#This Row],[soda_sales]]/dataset[[#This Row],[soda_units_sold]]</f>
        <v>0.80089782387130548</v>
      </c>
      <c r="L213" s="29">
        <f>dataset[[#This Row],[implied_soda_ppu]]-dataset[[#This Row],[soda_ppu]]</f>
        <v>-2.1761286944643743E-6</v>
      </c>
      <c r="M213">
        <f>dataset[[#This Row],[soda_sales]]/dataset[[#This Row],[total_sales]]</f>
        <v>7.1063378370531838E-2</v>
      </c>
      <c r="N213">
        <f>LN(dataset[[#This Row],[soda_units_sold]])</f>
        <v>12.291415130694217</v>
      </c>
      <c r="O213">
        <f>LN(dataset[[#This Row],[soda_sales]])</f>
        <v>12.069393229933899</v>
      </c>
      <c r="P213">
        <f>LN(dataset[[#This Row],[soda_ppu]])</f>
        <v>-0.22201918365250053</v>
      </c>
      <c r="Q213">
        <f>IF(dataset[[#This Row],[state]]="VA",1,0)</f>
        <v>0</v>
      </c>
    </row>
    <row r="214" spans="1:17" x14ac:dyDescent="0.35">
      <c r="A214">
        <v>202409</v>
      </c>
      <c r="B214">
        <v>25</v>
      </c>
      <c r="C214" s="2">
        <v>2399931.5136000002</v>
      </c>
      <c r="D214" s="2">
        <v>0.77449999999999997</v>
      </c>
      <c r="E214" s="3">
        <v>210335</v>
      </c>
      <c r="F214" s="2">
        <v>162908.37590000001</v>
      </c>
      <c r="G214" t="s">
        <v>965</v>
      </c>
      <c r="H214" t="s">
        <v>6</v>
      </c>
      <c r="I214">
        <f>HLOOKUP(G214,zip_tiers!$A$1:$EON$2,2,FALSE)</f>
        <v>82411.666666666672</v>
      </c>
      <c r="J214" t="str">
        <f t="shared" si="3"/>
        <v>Med</v>
      </c>
      <c r="K214">
        <f>dataset[[#This Row],[soda_sales]]/dataset[[#This Row],[soda_units_sold]]</f>
        <v>0.77451862932940319</v>
      </c>
      <c r="L214" s="29">
        <f>dataset[[#This Row],[implied_soda_ppu]]-dataset[[#This Row],[soda_ppu]]</f>
        <v>1.8629329403219153E-5</v>
      </c>
      <c r="M214">
        <f>dataset[[#This Row],[soda_sales]]/dataset[[#This Row],[total_sales]]</f>
        <v>6.7880426994198037E-2</v>
      </c>
      <c r="N214">
        <f>LN(dataset[[#This Row],[soda_units_sold]])</f>
        <v>12.256456776754115</v>
      </c>
      <c r="O214">
        <f>LN(dataset[[#This Row],[soda_sales]])</f>
        <v>12.000943210702314</v>
      </c>
      <c r="P214">
        <f>LN(dataset[[#This Row],[soda_ppu]])</f>
        <v>-0.25553761912521378</v>
      </c>
      <c r="Q214">
        <f>IF(dataset[[#This Row],[state]]="VA",1,0)</f>
        <v>0</v>
      </c>
    </row>
    <row r="215" spans="1:17" x14ac:dyDescent="0.35">
      <c r="A215">
        <v>202410</v>
      </c>
      <c r="B215">
        <v>25</v>
      </c>
      <c r="C215" s="2">
        <v>2971446.3947000001</v>
      </c>
      <c r="D215" s="2">
        <v>0.80959999999999999</v>
      </c>
      <c r="E215" s="3">
        <v>197420</v>
      </c>
      <c r="F215" s="2">
        <v>159838.9492</v>
      </c>
      <c r="G215" t="s">
        <v>965</v>
      </c>
      <c r="H215" t="s">
        <v>6</v>
      </c>
      <c r="I215">
        <f>HLOOKUP(G215,zip_tiers!$A$1:$EON$2,2,FALSE)</f>
        <v>82411.666666666672</v>
      </c>
      <c r="J215" t="str">
        <f t="shared" si="3"/>
        <v>Med</v>
      </c>
      <c r="K215">
        <f>dataset[[#This Row],[soda_sales]]/dataset[[#This Row],[soda_units_sold]]</f>
        <v>0.80963909026441094</v>
      </c>
      <c r="L215" s="29">
        <f>dataset[[#This Row],[implied_soda_ppu]]-dataset[[#This Row],[soda_ppu]]</f>
        <v>3.9090264410956976E-5</v>
      </c>
      <c r="M215">
        <f>dataset[[#This Row],[soda_sales]]/dataset[[#This Row],[total_sales]]</f>
        <v>5.3791631403849537E-2</v>
      </c>
      <c r="N215">
        <f>LN(dataset[[#This Row],[soda_units_sold]])</f>
        <v>12.193088717971879</v>
      </c>
      <c r="O215">
        <f>LN(dataset[[#This Row],[soda_sales]])</f>
        <v>11.981922019786698</v>
      </c>
      <c r="P215">
        <f>LN(dataset[[#This Row],[soda_ppu]])</f>
        <v>-0.21121498044893597</v>
      </c>
      <c r="Q215">
        <f>IF(dataset[[#This Row],[state]]="VA",1,0)</f>
        <v>0</v>
      </c>
    </row>
    <row r="216" spans="1:17" x14ac:dyDescent="0.35">
      <c r="A216">
        <v>202411</v>
      </c>
      <c r="B216">
        <v>25</v>
      </c>
      <c r="C216" s="2">
        <v>3336652.5433999998</v>
      </c>
      <c r="D216" s="2">
        <v>0.79059999999999997</v>
      </c>
      <c r="E216" s="3">
        <v>190630</v>
      </c>
      <c r="F216" s="2">
        <v>150715.60370000001</v>
      </c>
      <c r="G216" t="s">
        <v>965</v>
      </c>
      <c r="H216" t="s">
        <v>6</v>
      </c>
      <c r="I216">
        <f>HLOOKUP(G216,zip_tiers!$A$1:$EON$2,2,FALSE)</f>
        <v>82411.666666666672</v>
      </c>
      <c r="J216" t="str">
        <f t="shared" si="3"/>
        <v>Med</v>
      </c>
      <c r="K216">
        <f>dataset[[#This Row],[soda_sales]]/dataset[[#This Row],[soda_units_sold]]</f>
        <v>0.79061849499029535</v>
      </c>
      <c r="L216" s="29">
        <f>dataset[[#This Row],[implied_soda_ppu]]-dataset[[#This Row],[soda_ppu]]</f>
        <v>1.8494990295381264E-5</v>
      </c>
      <c r="M216">
        <f>dataset[[#This Row],[soda_sales]]/dataset[[#This Row],[total_sales]]</f>
        <v>4.5169702790336996E-2</v>
      </c>
      <c r="N216">
        <f>LN(dataset[[#This Row],[soda_units_sold]])</f>
        <v>12.158089655508022</v>
      </c>
      <c r="O216">
        <f>LN(dataset[[#This Row],[soda_sales]])</f>
        <v>11.923149920727663</v>
      </c>
      <c r="P216">
        <f>LN(dataset[[#This Row],[soda_ppu]])</f>
        <v>-0.23496312811955194</v>
      </c>
      <c r="Q216">
        <f>IF(dataset[[#This Row],[state]]="VA",1,0)</f>
        <v>0</v>
      </c>
    </row>
    <row r="217" spans="1:17" x14ac:dyDescent="0.35">
      <c r="A217">
        <v>202412</v>
      </c>
      <c r="B217">
        <v>25</v>
      </c>
      <c r="C217" s="2">
        <v>3536127.9693999998</v>
      </c>
      <c r="D217" s="2">
        <v>0.79120000000000001</v>
      </c>
      <c r="E217" s="3">
        <v>183730</v>
      </c>
      <c r="F217" s="2">
        <v>145365.93229999999</v>
      </c>
      <c r="G217" t="s">
        <v>965</v>
      </c>
      <c r="H217" t="s">
        <v>6</v>
      </c>
      <c r="I217">
        <f>HLOOKUP(G217,zip_tiers!$A$1:$EON$2,2,FALSE)</f>
        <v>82411.666666666672</v>
      </c>
      <c r="J217" t="str">
        <f t="shared" si="3"/>
        <v>Med</v>
      </c>
      <c r="K217">
        <f>dataset[[#This Row],[soda_sales]]/dataset[[#This Row],[soda_units_sold]]</f>
        <v>0.7911932308278451</v>
      </c>
      <c r="L217" s="29">
        <f>dataset[[#This Row],[implied_soda_ppu]]-dataset[[#This Row],[soda_ppu]]</f>
        <v>-6.769172154919012E-6</v>
      </c>
      <c r="M217">
        <f>dataset[[#This Row],[soda_sales]]/dataset[[#This Row],[total_sales]]</f>
        <v>4.1108787226573497E-2</v>
      </c>
      <c r="N217">
        <f>LN(dataset[[#This Row],[soda_units_sold]])</f>
        <v>12.121222567613781</v>
      </c>
      <c r="O217">
        <f>LN(dataset[[#This Row],[soda_sales]])</f>
        <v>11.887009513327012</v>
      </c>
      <c r="P217">
        <f>LN(dataset[[#This Row],[soda_ppu]])</f>
        <v>-0.23420449867363469</v>
      </c>
      <c r="Q217">
        <f>IF(dataset[[#This Row],[state]]="VA",1,0)</f>
        <v>0</v>
      </c>
    </row>
    <row r="218" spans="1:17" x14ac:dyDescent="0.35">
      <c r="A218">
        <v>202201</v>
      </c>
      <c r="B218">
        <v>100</v>
      </c>
      <c r="C218" s="2">
        <v>2998267.7315000002</v>
      </c>
      <c r="D218" s="2">
        <v>0.69620000000000004</v>
      </c>
      <c r="E218" s="3">
        <v>101664</v>
      </c>
      <c r="F218" s="2">
        <v>70783.356199999995</v>
      </c>
      <c r="G218" t="s">
        <v>971</v>
      </c>
      <c r="H218" t="s">
        <v>6</v>
      </c>
      <c r="I218">
        <f>HLOOKUP(G218,zip_tiers!$A$1:$EON$2,2,FALSE)</f>
        <v>156214.66666666666</v>
      </c>
      <c r="J218" t="str">
        <f t="shared" si="3"/>
        <v>High</v>
      </c>
      <c r="K218">
        <f>dataset[[#This Row],[soda_sales]]/dataset[[#This Row],[soda_units_sold]]</f>
        <v>0.69624799535725523</v>
      </c>
      <c r="L218" s="29">
        <f>dataset[[#This Row],[implied_soda_ppu]]-dataset[[#This Row],[soda_ppu]]</f>
        <v>4.7995357255192772E-5</v>
      </c>
      <c r="M218">
        <f>dataset[[#This Row],[soda_sales]]/dataset[[#This Row],[total_sales]]</f>
        <v>2.3608083913369493E-2</v>
      </c>
      <c r="N218">
        <f>LN(dataset[[#This Row],[soda_units_sold]])</f>
        <v>11.529428537069244</v>
      </c>
      <c r="O218">
        <f>LN(dataset[[#This Row],[soda_sales]])</f>
        <v>11.167379170124821</v>
      </c>
      <c r="P218">
        <f>LN(dataset[[#This Row],[soda_ppu]])</f>
        <v>-0.36211830360479846</v>
      </c>
      <c r="Q218">
        <f>IF(dataset[[#This Row],[state]]="VA",1,0)</f>
        <v>0</v>
      </c>
    </row>
    <row r="219" spans="1:17" x14ac:dyDescent="0.35">
      <c r="A219">
        <v>202202</v>
      </c>
      <c r="B219">
        <v>100</v>
      </c>
      <c r="C219" s="2">
        <v>3347414.7651</v>
      </c>
      <c r="D219" s="2">
        <v>0.72140000000000004</v>
      </c>
      <c r="E219" s="3">
        <v>109401</v>
      </c>
      <c r="F219" s="2">
        <v>78923.894899999999</v>
      </c>
      <c r="G219" t="s">
        <v>971</v>
      </c>
      <c r="H219" t="s">
        <v>6</v>
      </c>
      <c r="I219">
        <f>HLOOKUP(G219,zip_tiers!$A$1:$EON$2,2,FALSE)</f>
        <v>156214.66666666666</v>
      </c>
      <c r="J219" t="str">
        <f t="shared" si="3"/>
        <v>High</v>
      </c>
      <c r="K219">
        <f>dataset[[#This Row],[soda_sales]]/dataset[[#This Row],[soda_units_sold]]</f>
        <v>0.72141840476778096</v>
      </c>
      <c r="L219" s="29">
        <f>dataset[[#This Row],[implied_soda_ppu]]-dataset[[#This Row],[soda_ppu]]</f>
        <v>1.8404767780921816E-5</v>
      </c>
      <c r="M219">
        <f>dataset[[#This Row],[soda_sales]]/dataset[[#This Row],[total_sales]]</f>
        <v>2.3577566700982825E-2</v>
      </c>
      <c r="N219">
        <f>LN(dataset[[#This Row],[soda_units_sold]])</f>
        <v>11.602775309696066</v>
      </c>
      <c r="O219">
        <f>LN(dataset[[#This Row],[soda_sales]])</f>
        <v>11.276239311427627</v>
      </c>
      <c r="P219">
        <f>LN(dataset[[#This Row],[soda_ppu]])</f>
        <v>-0.32656151051269838</v>
      </c>
      <c r="Q219">
        <f>IF(dataset[[#This Row],[state]]="VA",1,0)</f>
        <v>0</v>
      </c>
    </row>
    <row r="220" spans="1:17" x14ac:dyDescent="0.35">
      <c r="A220">
        <v>202203</v>
      </c>
      <c r="B220">
        <v>100</v>
      </c>
      <c r="C220" s="2">
        <v>3692944.8453000002</v>
      </c>
      <c r="D220" s="2">
        <v>0.71479999999999999</v>
      </c>
      <c r="E220" s="3">
        <v>126916</v>
      </c>
      <c r="F220" s="2">
        <v>90725.806500000006</v>
      </c>
      <c r="G220" t="s">
        <v>971</v>
      </c>
      <c r="H220" t="s">
        <v>6</v>
      </c>
      <c r="I220">
        <f>HLOOKUP(G220,zip_tiers!$A$1:$EON$2,2,FALSE)</f>
        <v>156214.66666666666</v>
      </c>
      <c r="J220" t="str">
        <f t="shared" si="3"/>
        <v>High</v>
      </c>
      <c r="K220">
        <f>dataset[[#This Row],[soda_sales]]/dataset[[#This Row],[soda_units_sold]]</f>
        <v>0.71484924280626561</v>
      </c>
      <c r="L220" s="29">
        <f>dataset[[#This Row],[implied_soda_ppu]]-dataset[[#This Row],[soda_ppu]]</f>
        <v>4.9242806265614725E-5</v>
      </c>
      <c r="M220">
        <f>dataset[[#This Row],[soda_sales]]/dataset[[#This Row],[total_sales]]</f>
        <v>2.4567333198996046E-2</v>
      </c>
      <c r="N220">
        <f>LN(dataset[[#This Row],[soda_units_sold]])</f>
        <v>11.751280729284957</v>
      </c>
      <c r="O220">
        <f>LN(dataset[[#This Row],[soda_sales]])</f>
        <v>11.415597121543</v>
      </c>
      <c r="P220">
        <f>LN(dataset[[#This Row],[soda_ppu]])</f>
        <v>-0.33575249569686411</v>
      </c>
      <c r="Q220">
        <f>IF(dataset[[#This Row],[state]]="VA",1,0)</f>
        <v>0</v>
      </c>
    </row>
    <row r="221" spans="1:17" x14ac:dyDescent="0.35">
      <c r="A221">
        <v>202204</v>
      </c>
      <c r="B221">
        <v>100</v>
      </c>
      <c r="C221" s="2">
        <v>3926277.318</v>
      </c>
      <c r="D221" s="2">
        <v>0.70709999999999995</v>
      </c>
      <c r="E221" s="3">
        <v>152082</v>
      </c>
      <c r="F221" s="2">
        <v>107540.0246</v>
      </c>
      <c r="G221" t="s">
        <v>971</v>
      </c>
      <c r="H221" t="s">
        <v>6</v>
      </c>
      <c r="I221">
        <f>HLOOKUP(G221,zip_tiers!$A$1:$EON$2,2,FALSE)</f>
        <v>156214.66666666666</v>
      </c>
      <c r="J221" t="str">
        <f t="shared" si="3"/>
        <v>High</v>
      </c>
      <c r="K221">
        <f>dataset[[#This Row],[soda_sales]]/dataset[[#This Row],[soda_units_sold]]</f>
        <v>0.70711868991728144</v>
      </c>
      <c r="L221" s="29">
        <f>dataset[[#This Row],[implied_soda_ppu]]-dataset[[#This Row],[soda_ppu]]</f>
        <v>1.8689917281489166E-5</v>
      </c>
      <c r="M221">
        <f>dataset[[#This Row],[soda_sales]]/dataset[[#This Row],[total_sales]]</f>
        <v>2.7389818876772474E-2</v>
      </c>
      <c r="N221">
        <f>LN(dataset[[#This Row],[soda_units_sold]])</f>
        <v>11.932175128049009</v>
      </c>
      <c r="O221">
        <f>LN(dataset[[#This Row],[soda_sales]])</f>
        <v>11.585618379115735</v>
      </c>
      <c r="P221">
        <f>LN(dataset[[#This Row],[soda_ppu]])</f>
        <v>-0.34658318037194202</v>
      </c>
      <c r="Q221">
        <f>IF(dataset[[#This Row],[state]]="VA",1,0)</f>
        <v>0</v>
      </c>
    </row>
    <row r="222" spans="1:17" x14ac:dyDescent="0.35">
      <c r="A222">
        <v>202205</v>
      </c>
      <c r="B222">
        <v>100</v>
      </c>
      <c r="C222" s="2">
        <v>4155823.0035000001</v>
      </c>
      <c r="D222" s="2">
        <v>0.70950000000000002</v>
      </c>
      <c r="E222" s="3">
        <v>168814</v>
      </c>
      <c r="F222" s="2">
        <v>119766.71309999999</v>
      </c>
      <c r="G222" t="s">
        <v>971</v>
      </c>
      <c r="H222" t="s">
        <v>6</v>
      </c>
      <c r="I222">
        <f>HLOOKUP(G222,zip_tiers!$A$1:$EON$2,2,FALSE)</f>
        <v>156214.66666666666</v>
      </c>
      <c r="J222" t="str">
        <f t="shared" si="3"/>
        <v>High</v>
      </c>
      <c r="K222">
        <f>dataset[[#This Row],[soda_sales]]/dataset[[#This Row],[soda_units_sold]]</f>
        <v>0.70945960109943484</v>
      </c>
      <c r="L222" s="29">
        <f>dataset[[#This Row],[implied_soda_ppu]]-dataset[[#This Row],[soda_ppu]]</f>
        <v>-4.0398900565175033E-5</v>
      </c>
      <c r="M222">
        <f>dataset[[#This Row],[soda_sales]]/dataset[[#This Row],[total_sales]]</f>
        <v>2.8819012022199563E-2</v>
      </c>
      <c r="N222">
        <f>LN(dataset[[#This Row],[soda_units_sold]])</f>
        <v>12.036552796093421</v>
      </c>
      <c r="O222">
        <f>LN(dataset[[#This Row],[soda_sales]])</f>
        <v>11.693301072131728</v>
      </c>
      <c r="P222">
        <f>LN(dataset[[#This Row],[soda_ppu]])</f>
        <v>-0.34319478238203965</v>
      </c>
      <c r="Q222">
        <f>IF(dataset[[#This Row],[state]]="VA",1,0)</f>
        <v>0</v>
      </c>
    </row>
    <row r="223" spans="1:17" x14ac:dyDescent="0.35">
      <c r="A223">
        <v>202206</v>
      </c>
      <c r="B223">
        <v>100</v>
      </c>
      <c r="C223" s="2">
        <v>3997580.8209000002</v>
      </c>
      <c r="D223" s="2">
        <v>0.72260000000000002</v>
      </c>
      <c r="E223" s="3">
        <v>176558</v>
      </c>
      <c r="F223" s="2">
        <v>127586.2077</v>
      </c>
      <c r="G223" t="s">
        <v>971</v>
      </c>
      <c r="H223" t="s">
        <v>6</v>
      </c>
      <c r="I223">
        <f>HLOOKUP(G223,zip_tiers!$A$1:$EON$2,2,FALSE)</f>
        <v>156214.66666666666</v>
      </c>
      <c r="J223" t="str">
        <f t="shared" si="3"/>
        <v>High</v>
      </c>
      <c r="K223">
        <f>dataset[[#This Row],[soda_sales]]/dataset[[#This Row],[soda_units_sold]]</f>
        <v>0.72263056729233455</v>
      </c>
      <c r="L223" s="29">
        <f>dataset[[#This Row],[implied_soda_ppu]]-dataset[[#This Row],[soda_ppu]]</f>
        <v>3.0567292334526819E-5</v>
      </c>
      <c r="M223">
        <f>dataset[[#This Row],[soda_sales]]/dataset[[#This Row],[total_sales]]</f>
        <v>3.1915854467021311E-2</v>
      </c>
      <c r="N223">
        <f>LN(dataset[[#This Row],[soda_units_sold]])</f>
        <v>12.081404713272441</v>
      </c>
      <c r="O223">
        <f>LN(dataset[[#This Row],[soda_sales]])</f>
        <v>11.756547553925277</v>
      </c>
      <c r="P223">
        <f>LN(dataset[[#This Row],[soda_ppu]])</f>
        <v>-0.32489946026859717</v>
      </c>
      <c r="Q223">
        <f>IF(dataset[[#This Row],[state]]="VA",1,0)</f>
        <v>0</v>
      </c>
    </row>
    <row r="224" spans="1:17" x14ac:dyDescent="0.35">
      <c r="A224">
        <v>202207</v>
      </c>
      <c r="B224">
        <v>100</v>
      </c>
      <c r="C224" s="2">
        <v>3738994.5718999999</v>
      </c>
      <c r="D224" s="2">
        <v>0.69830000000000003</v>
      </c>
      <c r="E224" s="3">
        <v>176327</v>
      </c>
      <c r="F224" s="2">
        <v>123136.73729999999</v>
      </c>
      <c r="G224" t="s">
        <v>971</v>
      </c>
      <c r="H224" t="s">
        <v>6</v>
      </c>
      <c r="I224">
        <f>HLOOKUP(G224,zip_tiers!$A$1:$EON$2,2,FALSE)</f>
        <v>156214.66666666666</v>
      </c>
      <c r="J224" t="str">
        <f t="shared" si="3"/>
        <v>High</v>
      </c>
      <c r="K224">
        <f>dataset[[#This Row],[soda_sales]]/dataset[[#This Row],[soda_units_sold]]</f>
        <v>0.69834306317240125</v>
      </c>
      <c r="L224" s="29">
        <f>dataset[[#This Row],[implied_soda_ppu]]-dataset[[#This Row],[soda_ppu]]</f>
        <v>4.3063172401214267E-5</v>
      </c>
      <c r="M224">
        <f>dataset[[#This Row],[soda_sales]]/dataset[[#This Row],[total_sales]]</f>
        <v>3.2933114753741694E-2</v>
      </c>
      <c r="N224">
        <f>LN(dataset[[#This Row],[soda_units_sold]])</f>
        <v>12.080095504703106</v>
      </c>
      <c r="O224">
        <f>LN(dataset[[#This Row],[soda_sales]])</f>
        <v>11.721050702255807</v>
      </c>
      <c r="P224">
        <f>LN(dataset[[#This Row],[soda_ppu]])</f>
        <v>-0.35910646913014738</v>
      </c>
      <c r="Q224">
        <f>IF(dataset[[#This Row],[state]]="VA",1,0)</f>
        <v>0</v>
      </c>
    </row>
    <row r="225" spans="1:17" x14ac:dyDescent="0.35">
      <c r="A225">
        <v>202208</v>
      </c>
      <c r="B225">
        <v>100</v>
      </c>
      <c r="C225" s="2">
        <v>3597710.4972000001</v>
      </c>
      <c r="D225" s="2">
        <v>0.71040000000000003</v>
      </c>
      <c r="E225" s="3">
        <v>159785</v>
      </c>
      <c r="F225" s="2">
        <v>113515.7977</v>
      </c>
      <c r="G225" t="s">
        <v>971</v>
      </c>
      <c r="H225" t="s">
        <v>6</v>
      </c>
      <c r="I225">
        <f>HLOOKUP(G225,zip_tiers!$A$1:$EON$2,2,FALSE)</f>
        <v>156214.66666666666</v>
      </c>
      <c r="J225" t="str">
        <f t="shared" si="3"/>
        <v>High</v>
      </c>
      <c r="K225">
        <f>dataset[[#This Row],[soda_sales]]/dataset[[#This Row],[soda_units_sold]]</f>
        <v>0.71042837375222956</v>
      </c>
      <c r="L225" s="29">
        <f>dataset[[#This Row],[implied_soda_ppu]]-dataset[[#This Row],[soda_ppu]]</f>
        <v>2.8373752229526872E-5</v>
      </c>
      <c r="M225">
        <f>dataset[[#This Row],[soda_sales]]/dataset[[#This Row],[total_sales]]</f>
        <v>3.1552232395671148E-2</v>
      </c>
      <c r="N225">
        <f>LN(dataset[[#This Row],[soda_units_sold]])</f>
        <v>11.981584440574331</v>
      </c>
      <c r="O225">
        <f>LN(dataset[[#This Row],[soda_sales]])</f>
        <v>11.639697293002154</v>
      </c>
      <c r="P225">
        <f>LN(dataset[[#This Row],[soda_ppu]])</f>
        <v>-0.3419270873041767</v>
      </c>
      <c r="Q225">
        <f>IF(dataset[[#This Row],[state]]="VA",1,0)</f>
        <v>0</v>
      </c>
    </row>
    <row r="226" spans="1:17" x14ac:dyDescent="0.35">
      <c r="A226">
        <v>202209</v>
      </c>
      <c r="B226">
        <v>100</v>
      </c>
      <c r="C226" s="2">
        <v>3575896.8454999998</v>
      </c>
      <c r="D226" s="2">
        <v>0.70909999999999995</v>
      </c>
      <c r="E226" s="3">
        <v>152902</v>
      </c>
      <c r="F226" s="2">
        <v>108429.3639</v>
      </c>
      <c r="G226" t="s">
        <v>971</v>
      </c>
      <c r="H226" t="s">
        <v>6</v>
      </c>
      <c r="I226">
        <f>HLOOKUP(G226,zip_tiers!$A$1:$EON$2,2,FALSE)</f>
        <v>156214.66666666666</v>
      </c>
      <c r="J226" t="str">
        <f t="shared" si="3"/>
        <v>High</v>
      </c>
      <c r="K226">
        <f>dataset[[#This Row],[soda_sales]]/dataset[[#This Row],[soda_units_sold]]</f>
        <v>0.70914287517494867</v>
      </c>
      <c r="L226" s="29">
        <f>dataset[[#This Row],[implied_soda_ppu]]-dataset[[#This Row],[soda_ppu]]</f>
        <v>4.2875174948719952E-5</v>
      </c>
      <c r="M226">
        <f>dataset[[#This Row],[soda_sales]]/dataset[[#This Row],[total_sales]]</f>
        <v>3.0322285173424477E-2</v>
      </c>
      <c r="N226">
        <f>LN(dataset[[#This Row],[soda_units_sold]])</f>
        <v>11.937552472276341</v>
      </c>
      <c r="O226">
        <f>LN(dataset[[#This Row],[soda_sales]])</f>
        <v>11.593854215991398</v>
      </c>
      <c r="P226">
        <f>LN(dataset[[#This Row],[soda_ppu]])</f>
        <v>-0.3437587186721861</v>
      </c>
      <c r="Q226">
        <f>IF(dataset[[#This Row],[state]]="VA",1,0)</f>
        <v>0</v>
      </c>
    </row>
    <row r="227" spans="1:17" x14ac:dyDescent="0.35">
      <c r="A227">
        <v>202210</v>
      </c>
      <c r="B227">
        <v>100</v>
      </c>
      <c r="C227" s="2">
        <v>4418233.8491000002</v>
      </c>
      <c r="D227" s="2">
        <v>0.73599999999999999</v>
      </c>
      <c r="E227" s="3">
        <v>144189</v>
      </c>
      <c r="F227" s="2">
        <v>106127.1838</v>
      </c>
      <c r="G227" t="s">
        <v>971</v>
      </c>
      <c r="H227" t="s">
        <v>6</v>
      </c>
      <c r="I227">
        <f>HLOOKUP(G227,zip_tiers!$A$1:$EON$2,2,FALSE)</f>
        <v>156214.66666666666</v>
      </c>
      <c r="J227" t="str">
        <f t="shared" si="3"/>
        <v>High</v>
      </c>
      <c r="K227">
        <f>dataset[[#This Row],[soda_sales]]/dataset[[#This Row],[soda_units_sold]]</f>
        <v>0.73602829480750953</v>
      </c>
      <c r="L227" s="29">
        <f>dataset[[#This Row],[implied_soda_ppu]]-dataset[[#This Row],[soda_ppu]]</f>
        <v>2.8294807509543496E-5</v>
      </c>
      <c r="M227">
        <f>dataset[[#This Row],[soda_sales]]/dataset[[#This Row],[total_sales]]</f>
        <v>2.4020273128281391E-2</v>
      </c>
      <c r="N227">
        <f>LN(dataset[[#This Row],[soda_units_sold]])</f>
        <v>11.878880217982934</v>
      </c>
      <c r="O227">
        <f>LN(dataset[[#This Row],[soda_sales]])</f>
        <v>11.572393501022662</v>
      </c>
      <c r="P227">
        <f>LN(dataset[[#This Row],[soda_ppu]])</f>
        <v>-0.30652516025326082</v>
      </c>
      <c r="Q227">
        <f>IF(dataset[[#This Row],[state]]="VA",1,0)</f>
        <v>0</v>
      </c>
    </row>
    <row r="228" spans="1:17" x14ac:dyDescent="0.35">
      <c r="A228">
        <v>202211</v>
      </c>
      <c r="B228">
        <v>100</v>
      </c>
      <c r="C228" s="2">
        <v>5020547.8509</v>
      </c>
      <c r="D228" s="2">
        <v>0.72789999999999999</v>
      </c>
      <c r="E228" s="3">
        <v>136194</v>
      </c>
      <c r="F228" s="2">
        <v>99130.093500000003</v>
      </c>
      <c r="G228" t="s">
        <v>971</v>
      </c>
      <c r="H228" t="s">
        <v>6</v>
      </c>
      <c r="I228">
        <f>HLOOKUP(G228,zip_tiers!$A$1:$EON$2,2,FALSE)</f>
        <v>156214.66666666666</v>
      </c>
      <c r="J228" t="str">
        <f t="shared" si="3"/>
        <v>High</v>
      </c>
      <c r="K228">
        <f>dataset[[#This Row],[soda_sales]]/dataset[[#This Row],[soda_units_sold]]</f>
        <v>0.72785947618837832</v>
      </c>
      <c r="L228" s="29">
        <f>dataset[[#This Row],[implied_soda_ppu]]-dataset[[#This Row],[soda_ppu]]</f>
        <v>-4.0523811621673289E-5</v>
      </c>
      <c r="M228">
        <f>dataset[[#This Row],[soda_sales]]/dataset[[#This Row],[total_sales]]</f>
        <v>1.9744875747420596E-2</v>
      </c>
      <c r="N228">
        <f>LN(dataset[[#This Row],[soda_units_sold]])</f>
        <v>11.821835618863757</v>
      </c>
      <c r="O228">
        <f>LN(dataset[[#This Row],[soda_sales]])</f>
        <v>11.504188342232389</v>
      </c>
      <c r="P228">
        <f>LN(dataset[[#This Row],[soda_ppu]])</f>
        <v>-0.31759160285792482</v>
      </c>
      <c r="Q228">
        <f>IF(dataset[[#This Row],[state]]="VA",1,0)</f>
        <v>0</v>
      </c>
    </row>
    <row r="229" spans="1:17" x14ac:dyDescent="0.35">
      <c r="A229">
        <v>202212</v>
      </c>
      <c r="B229">
        <v>100</v>
      </c>
      <c r="C229" s="2">
        <v>5229425.1612</v>
      </c>
      <c r="D229" s="2">
        <v>0.70809999999999995</v>
      </c>
      <c r="E229" s="3">
        <v>136495</v>
      </c>
      <c r="F229" s="2">
        <v>96648.467300000004</v>
      </c>
      <c r="G229" t="s">
        <v>971</v>
      </c>
      <c r="H229" t="s">
        <v>6</v>
      </c>
      <c r="I229">
        <f>HLOOKUP(G229,zip_tiers!$A$1:$EON$2,2,FALSE)</f>
        <v>156214.66666666666</v>
      </c>
      <c r="J229" t="str">
        <f t="shared" si="3"/>
        <v>High</v>
      </c>
      <c r="K229">
        <f>dataset[[#This Row],[soda_sales]]/dataset[[#This Row],[soda_units_sold]]</f>
        <v>0.70807331623869008</v>
      </c>
      <c r="L229" s="29">
        <f>dataset[[#This Row],[implied_soda_ppu]]-dataset[[#This Row],[soda_ppu]]</f>
        <v>-2.668376130987582E-5</v>
      </c>
      <c r="M229">
        <f>dataset[[#This Row],[soda_sales]]/dataset[[#This Row],[total_sales]]</f>
        <v>1.8481661811911659E-2</v>
      </c>
      <c r="N229">
        <f>LN(dataset[[#This Row],[soda_units_sold]])</f>
        <v>11.824043262899625</v>
      </c>
      <c r="O229">
        <f>LN(dataset[[#This Row],[soda_sales]])</f>
        <v>11.478835626259311</v>
      </c>
      <c r="P229">
        <f>LN(dataset[[#This Row],[soda_ppu]])</f>
        <v>-0.34516995232440884</v>
      </c>
      <c r="Q229">
        <f>IF(dataset[[#This Row],[state]]="VA",1,0)</f>
        <v>0</v>
      </c>
    </row>
    <row r="230" spans="1:17" x14ac:dyDescent="0.35">
      <c r="A230">
        <v>202301</v>
      </c>
      <c r="B230">
        <v>100</v>
      </c>
      <c r="C230" s="2">
        <v>2994814.2198999999</v>
      </c>
      <c r="D230" s="2">
        <v>0.74239999999999995</v>
      </c>
      <c r="E230" s="3">
        <v>94167</v>
      </c>
      <c r="F230" s="2">
        <v>69909.5573</v>
      </c>
      <c r="G230" t="s">
        <v>971</v>
      </c>
      <c r="H230" t="s">
        <v>6</v>
      </c>
      <c r="I230">
        <f>HLOOKUP(G230,zip_tiers!$A$1:$EON$2,2,FALSE)</f>
        <v>156214.66666666666</v>
      </c>
      <c r="J230" t="str">
        <f t="shared" si="3"/>
        <v>High</v>
      </c>
      <c r="K230">
        <f>dataset[[#This Row],[soda_sales]]/dataset[[#This Row],[soda_units_sold]]</f>
        <v>0.74239975044336126</v>
      </c>
      <c r="L230" s="29">
        <f>dataset[[#This Row],[implied_soda_ppu]]-dataset[[#This Row],[soda_ppu]]</f>
        <v>-2.4955663868730937E-7</v>
      </c>
      <c r="M230">
        <f>dataset[[#This Row],[soda_sales]]/dataset[[#This Row],[total_sales]]</f>
        <v>2.3343537250312092E-2</v>
      </c>
      <c r="N230">
        <f>LN(dataset[[#This Row],[soda_units_sold]])</f>
        <v>11.452825080717266</v>
      </c>
      <c r="O230">
        <f>LN(dataset[[#This Row],[soda_sales]])</f>
        <v>11.154957647058573</v>
      </c>
      <c r="P230">
        <f>LN(dataset[[#This Row],[soda_ppu]])</f>
        <v>-0.29786709751014628</v>
      </c>
      <c r="Q230">
        <f>IF(dataset[[#This Row],[state]]="VA",1,0)</f>
        <v>0</v>
      </c>
    </row>
    <row r="231" spans="1:17" x14ac:dyDescent="0.35">
      <c r="A231">
        <v>202302</v>
      </c>
      <c r="B231">
        <v>100</v>
      </c>
      <c r="C231" s="2">
        <v>3414243.8845000002</v>
      </c>
      <c r="D231" s="2">
        <v>0.749</v>
      </c>
      <c r="E231" s="3">
        <v>110221</v>
      </c>
      <c r="F231" s="2">
        <v>82557.620699999999</v>
      </c>
      <c r="G231" t="s">
        <v>971</v>
      </c>
      <c r="H231" t="s">
        <v>6</v>
      </c>
      <c r="I231">
        <f>HLOOKUP(G231,zip_tiers!$A$1:$EON$2,2,FALSE)</f>
        <v>156214.66666666666</v>
      </c>
      <c r="J231" t="str">
        <f t="shared" si="3"/>
        <v>High</v>
      </c>
      <c r="K231">
        <f>dataset[[#This Row],[soda_sales]]/dataset[[#This Row],[soda_units_sold]]</f>
        <v>0.74901897732736955</v>
      </c>
      <c r="L231" s="29">
        <f>dataset[[#This Row],[implied_soda_ppu]]-dataset[[#This Row],[soda_ppu]]</f>
        <v>1.8977327369551489E-5</v>
      </c>
      <c r="M231">
        <f>dataset[[#This Row],[soda_sales]]/dataset[[#This Row],[total_sales]]</f>
        <v>2.4180352515177798E-2</v>
      </c>
      <c r="N231">
        <f>LN(dataset[[#This Row],[soda_units_sold]])</f>
        <v>11.610242720159633</v>
      </c>
      <c r="O231">
        <f>LN(dataset[[#This Row],[soda_sales]])</f>
        <v>11.321251761259415</v>
      </c>
      <c r="P231">
        <f>LN(dataset[[#This Row],[soda_ppu]])</f>
        <v>-0.28901629546491758</v>
      </c>
      <c r="Q231">
        <f>IF(dataset[[#This Row],[state]]="VA",1,0)</f>
        <v>0</v>
      </c>
    </row>
    <row r="232" spans="1:17" x14ac:dyDescent="0.35">
      <c r="A232">
        <v>202303</v>
      </c>
      <c r="B232">
        <v>100</v>
      </c>
      <c r="C232" s="2">
        <v>3774689.7648999998</v>
      </c>
      <c r="D232" s="2">
        <v>0.73470000000000002</v>
      </c>
      <c r="E232" s="3">
        <v>127622</v>
      </c>
      <c r="F232" s="2">
        <v>93765.937699999995</v>
      </c>
      <c r="G232" t="s">
        <v>971</v>
      </c>
      <c r="H232" t="s">
        <v>6</v>
      </c>
      <c r="I232">
        <f>HLOOKUP(G232,zip_tiers!$A$1:$EON$2,2,FALSE)</f>
        <v>156214.66666666666</v>
      </c>
      <c r="J232" t="str">
        <f t="shared" si="3"/>
        <v>High</v>
      </c>
      <c r="K232">
        <f>dataset[[#This Row],[soda_sales]]/dataset[[#This Row],[soda_units_sold]]</f>
        <v>0.73471609675447802</v>
      </c>
      <c r="L232" s="29">
        <f>dataset[[#This Row],[implied_soda_ppu]]-dataset[[#This Row],[soda_ppu]]</f>
        <v>1.6096754478001074E-5</v>
      </c>
      <c r="M232">
        <f>dataset[[#This Row],[soda_sales]]/dataset[[#This Row],[total_sales]]</f>
        <v>2.4840700438989342E-2</v>
      </c>
      <c r="N232">
        <f>LN(dataset[[#This Row],[soda_units_sold]])</f>
        <v>11.75682804882438</v>
      </c>
      <c r="O232">
        <f>LN(dataset[[#This Row],[soda_sales]])</f>
        <v>11.448556931517265</v>
      </c>
      <c r="P232">
        <f>LN(dataset[[#This Row],[soda_ppu]])</f>
        <v>-0.30829302635590528</v>
      </c>
      <c r="Q232">
        <f>IF(dataset[[#This Row],[state]]="VA",1,0)</f>
        <v>0</v>
      </c>
    </row>
    <row r="233" spans="1:17" x14ac:dyDescent="0.35">
      <c r="A233">
        <v>202304</v>
      </c>
      <c r="B233">
        <v>100</v>
      </c>
      <c r="C233" s="2">
        <v>4064206.4378999998</v>
      </c>
      <c r="D233" s="2">
        <v>0.73819999999999997</v>
      </c>
      <c r="E233" s="3">
        <v>150610</v>
      </c>
      <c r="F233" s="2">
        <v>111185.11440000001</v>
      </c>
      <c r="G233" t="s">
        <v>971</v>
      </c>
      <c r="H233" t="s">
        <v>6</v>
      </c>
      <c r="I233">
        <f>HLOOKUP(G233,zip_tiers!$A$1:$EON$2,2,FALSE)</f>
        <v>156214.66666666666</v>
      </c>
      <c r="J233" t="str">
        <f t="shared" si="3"/>
        <v>High</v>
      </c>
      <c r="K233">
        <f>dataset[[#This Row],[soda_sales]]/dataset[[#This Row],[soda_units_sold]]</f>
        <v>0.73823195272558262</v>
      </c>
      <c r="L233" s="29">
        <f>dataset[[#This Row],[implied_soda_ppu]]-dataset[[#This Row],[soda_ppu]]</f>
        <v>3.1952725582651276E-5</v>
      </c>
      <c r="M233">
        <f>dataset[[#This Row],[soda_sales]]/dataset[[#This Row],[total_sales]]</f>
        <v>2.7357152275328325E-2</v>
      </c>
      <c r="N233">
        <f>LN(dataset[[#This Row],[soda_units_sold]])</f>
        <v>11.922448993205894</v>
      </c>
      <c r="O233">
        <f>LN(dataset[[#This Row],[soda_sales]])</f>
        <v>11.618951788528774</v>
      </c>
      <c r="P233">
        <f>LN(dataset[[#This Row],[soda_ppu]])</f>
        <v>-0.30354048838623893</v>
      </c>
      <c r="Q233">
        <f>IF(dataset[[#This Row],[state]]="VA",1,0)</f>
        <v>0</v>
      </c>
    </row>
    <row r="234" spans="1:17" x14ac:dyDescent="0.35">
      <c r="A234">
        <v>202305</v>
      </c>
      <c r="B234">
        <v>100</v>
      </c>
      <c r="C234" s="2">
        <v>4187837.0139000001</v>
      </c>
      <c r="D234" s="2">
        <v>0.73570000000000002</v>
      </c>
      <c r="E234" s="3">
        <v>169892</v>
      </c>
      <c r="F234" s="2">
        <v>124995.3907</v>
      </c>
      <c r="G234" t="s">
        <v>971</v>
      </c>
      <c r="H234" t="s">
        <v>6</v>
      </c>
      <c r="I234">
        <f>HLOOKUP(G234,zip_tiers!$A$1:$EON$2,2,FALSE)</f>
        <v>156214.66666666666</v>
      </c>
      <c r="J234" t="str">
        <f t="shared" si="3"/>
        <v>High</v>
      </c>
      <c r="K234">
        <f>dataset[[#This Row],[soda_sales]]/dataset[[#This Row],[soda_units_sold]]</f>
        <v>0.73573441186165334</v>
      </c>
      <c r="L234" s="29">
        <f>dataset[[#This Row],[implied_soda_ppu]]-dataset[[#This Row],[soda_ppu]]</f>
        <v>3.4411861653316222E-5</v>
      </c>
      <c r="M234">
        <f>dataset[[#This Row],[soda_sales]]/dataset[[#This Row],[total_sales]]</f>
        <v>2.9847243406351136E-2</v>
      </c>
      <c r="N234">
        <f>LN(dataset[[#This Row],[soda_units_sold]])</f>
        <v>12.042918220029936</v>
      </c>
      <c r="O234">
        <f>LN(dataset[[#This Row],[soda_sales]])</f>
        <v>11.736032141204561</v>
      </c>
      <c r="P234">
        <f>LN(dataset[[#This Row],[soda_ppu]])</f>
        <v>-0.30693285204391829</v>
      </c>
      <c r="Q234">
        <f>IF(dataset[[#This Row],[state]]="VA",1,0)</f>
        <v>0</v>
      </c>
    </row>
    <row r="235" spans="1:17" x14ac:dyDescent="0.35">
      <c r="A235">
        <v>202306</v>
      </c>
      <c r="B235">
        <v>100</v>
      </c>
      <c r="C235" s="2">
        <v>3978352.2752</v>
      </c>
      <c r="D235" s="2">
        <v>0.72399999999999998</v>
      </c>
      <c r="E235" s="3">
        <v>173464</v>
      </c>
      <c r="F235" s="2">
        <v>125591.4235</v>
      </c>
      <c r="G235" t="s">
        <v>971</v>
      </c>
      <c r="H235" t="s">
        <v>6</v>
      </c>
      <c r="I235">
        <f>HLOOKUP(G235,zip_tiers!$A$1:$EON$2,2,FALSE)</f>
        <v>156214.66666666666</v>
      </c>
      <c r="J235" t="str">
        <f t="shared" si="3"/>
        <v>High</v>
      </c>
      <c r="K235">
        <f>dataset[[#This Row],[soda_sales]]/dataset[[#This Row],[soda_units_sold]]</f>
        <v>0.72402010503620351</v>
      </c>
      <c r="L235" s="29">
        <f>dataset[[#This Row],[implied_soda_ppu]]-dataset[[#This Row],[soda_ppu]]</f>
        <v>2.0105036203532656E-5</v>
      </c>
      <c r="M235">
        <f>dataset[[#This Row],[soda_sales]]/dataset[[#This Row],[total_sales]]</f>
        <v>3.1568703526558932E-2</v>
      </c>
      <c r="N235">
        <f>LN(dataset[[#This Row],[soda_units_sold]])</f>
        <v>12.063725364044053</v>
      </c>
      <c r="O235">
        <f>LN(dataset[[#This Row],[soda_sales]])</f>
        <v>11.740789246449092</v>
      </c>
      <c r="P235">
        <f>LN(dataset[[#This Row],[soda_ppu]])</f>
        <v>-0.32296388659642072</v>
      </c>
      <c r="Q235">
        <f>IF(dataset[[#This Row],[state]]="VA",1,0)</f>
        <v>0</v>
      </c>
    </row>
    <row r="236" spans="1:17" x14ac:dyDescent="0.35">
      <c r="A236">
        <v>202307</v>
      </c>
      <c r="B236">
        <v>100</v>
      </c>
      <c r="C236" s="2">
        <v>3820845.395</v>
      </c>
      <c r="D236" s="2">
        <v>0.73240000000000005</v>
      </c>
      <c r="E236" s="3">
        <v>178186</v>
      </c>
      <c r="F236" s="2">
        <v>130504.0071</v>
      </c>
      <c r="G236" t="s">
        <v>971</v>
      </c>
      <c r="H236" t="s">
        <v>6</v>
      </c>
      <c r="I236">
        <f>HLOOKUP(G236,zip_tiers!$A$1:$EON$2,2,FALSE)</f>
        <v>156214.66666666666</v>
      </c>
      <c r="J236" t="str">
        <f t="shared" si="3"/>
        <v>High</v>
      </c>
      <c r="K236">
        <f>dataset[[#This Row],[soda_sales]]/dataset[[#This Row],[soda_units_sold]]</f>
        <v>0.73240325895412661</v>
      </c>
      <c r="L236" s="29">
        <f>dataset[[#This Row],[implied_soda_ppu]]-dataset[[#This Row],[soda_ppu]]</f>
        <v>3.2589541265615196E-6</v>
      </c>
      <c r="M236">
        <f>dataset[[#This Row],[soda_sales]]/dataset[[#This Row],[total_sales]]</f>
        <v>3.4155793707533667E-2</v>
      </c>
      <c r="N236">
        <f>LN(dataset[[#This Row],[soda_units_sold]])</f>
        <v>12.090583227520682</v>
      </c>
      <c r="O236">
        <f>LN(dataset[[#This Row],[soda_sales]])</f>
        <v>11.7791592110206</v>
      </c>
      <c r="P236">
        <f>LN(dataset[[#This Row],[soda_ppu]])</f>
        <v>-0.31142846618178133</v>
      </c>
      <c r="Q236">
        <f>IF(dataset[[#This Row],[state]]="VA",1,0)</f>
        <v>0</v>
      </c>
    </row>
    <row r="237" spans="1:17" x14ac:dyDescent="0.35">
      <c r="A237">
        <v>202308</v>
      </c>
      <c r="B237">
        <v>100</v>
      </c>
      <c r="C237" s="2">
        <v>3615869.7895999998</v>
      </c>
      <c r="D237" s="2">
        <v>0.71020000000000005</v>
      </c>
      <c r="E237" s="3">
        <v>156452</v>
      </c>
      <c r="F237" s="2">
        <v>111107.27680000001</v>
      </c>
      <c r="G237" t="s">
        <v>971</v>
      </c>
      <c r="H237" t="s">
        <v>6</v>
      </c>
      <c r="I237">
        <f>HLOOKUP(G237,zip_tiers!$A$1:$EON$2,2,FALSE)</f>
        <v>156214.66666666666</v>
      </c>
      <c r="J237" t="str">
        <f t="shared" si="3"/>
        <v>High</v>
      </c>
      <c r="K237">
        <f>dataset[[#This Row],[soda_sales]]/dataset[[#This Row],[soda_units_sold]]</f>
        <v>0.71016846572750747</v>
      </c>
      <c r="L237" s="29">
        <f>dataset[[#This Row],[implied_soda_ppu]]-dataset[[#This Row],[soda_ppu]]</f>
        <v>-3.1534272492583781E-5</v>
      </c>
      <c r="M237">
        <f>dataset[[#This Row],[soda_sales]]/dataset[[#This Row],[total_sales]]</f>
        <v>3.0727676400175648E-2</v>
      </c>
      <c r="N237">
        <f>LN(dataset[[#This Row],[soda_units_sold]])</f>
        <v>11.960504532652262</v>
      </c>
      <c r="O237">
        <f>LN(dataset[[#This Row],[soda_sales]])</f>
        <v>11.618251471232613</v>
      </c>
      <c r="P237">
        <f>LN(dataset[[#This Row],[soda_ppu]])</f>
        <v>-0.34220865847314946</v>
      </c>
      <c r="Q237">
        <f>IF(dataset[[#This Row],[state]]="VA",1,0)</f>
        <v>0</v>
      </c>
    </row>
    <row r="238" spans="1:17" x14ac:dyDescent="0.35">
      <c r="A238">
        <v>202309</v>
      </c>
      <c r="B238">
        <v>100</v>
      </c>
      <c r="C238" s="2">
        <v>3653404.1076000002</v>
      </c>
      <c r="D238" s="2">
        <v>0.74099999999999999</v>
      </c>
      <c r="E238" s="3">
        <v>150274</v>
      </c>
      <c r="F238" s="2">
        <v>111359.8545</v>
      </c>
      <c r="G238" t="s">
        <v>971</v>
      </c>
      <c r="H238" t="s">
        <v>6</v>
      </c>
      <c r="I238">
        <f>HLOOKUP(G238,zip_tiers!$A$1:$EON$2,2,FALSE)</f>
        <v>156214.66666666666</v>
      </c>
      <c r="J238" t="str">
        <f t="shared" si="3"/>
        <v>High</v>
      </c>
      <c r="K238">
        <f>dataset[[#This Row],[soda_sales]]/dataset[[#This Row],[soda_units_sold]]</f>
        <v>0.74104538709291035</v>
      </c>
      <c r="L238" s="29">
        <f>dataset[[#This Row],[implied_soda_ppu]]-dataset[[#This Row],[soda_ppu]]</f>
        <v>4.5387092910353921E-5</v>
      </c>
      <c r="M238">
        <f>dataset[[#This Row],[soda_sales]]/dataset[[#This Row],[total_sales]]</f>
        <v>3.0481121502092656E-2</v>
      </c>
      <c r="N238">
        <f>LN(dataset[[#This Row],[soda_units_sold]])</f>
        <v>11.92021557341841</v>
      </c>
      <c r="O238">
        <f>LN(dataset[[#This Row],[soda_sales]])</f>
        <v>11.620522168994118</v>
      </c>
      <c r="P238">
        <f>LN(dataset[[#This Row],[soda_ppu]])</f>
        <v>-0.2997546536860502</v>
      </c>
      <c r="Q238">
        <f>IF(dataset[[#This Row],[state]]="VA",1,0)</f>
        <v>0</v>
      </c>
    </row>
    <row r="239" spans="1:17" x14ac:dyDescent="0.35">
      <c r="A239">
        <v>202310</v>
      </c>
      <c r="B239">
        <v>100</v>
      </c>
      <c r="C239" s="2">
        <v>4430321.5116999997</v>
      </c>
      <c r="D239" s="2">
        <v>0.73660000000000003</v>
      </c>
      <c r="E239" s="3">
        <v>145623</v>
      </c>
      <c r="F239" s="2">
        <v>107266.8827</v>
      </c>
      <c r="G239" t="s">
        <v>971</v>
      </c>
      <c r="H239" t="s">
        <v>6</v>
      </c>
      <c r="I239">
        <f>HLOOKUP(G239,zip_tiers!$A$1:$EON$2,2,FALSE)</f>
        <v>156214.66666666666</v>
      </c>
      <c r="J239" t="str">
        <f t="shared" si="3"/>
        <v>High</v>
      </c>
      <c r="K239">
        <f>dataset[[#This Row],[soda_sales]]/dataset[[#This Row],[soda_units_sold]]</f>
        <v>0.7366067358865015</v>
      </c>
      <c r="L239" s="29">
        <f>dataset[[#This Row],[implied_soda_ppu]]-dataset[[#This Row],[soda_ppu]]</f>
        <v>6.735886501463284E-6</v>
      </c>
      <c r="M239">
        <f>dataset[[#This Row],[soda_sales]]/dataset[[#This Row],[total_sales]]</f>
        <v>2.4211986063927816E-2</v>
      </c>
      <c r="N239">
        <f>LN(dataset[[#This Row],[soda_units_sold]])</f>
        <v>11.888776369302212</v>
      </c>
      <c r="O239">
        <f>LN(dataset[[#This Row],[soda_sales]])</f>
        <v>11.583075238854123</v>
      </c>
      <c r="P239">
        <f>LN(dataset[[#This Row],[soda_ppu]])</f>
        <v>-0.30571027497117209</v>
      </c>
      <c r="Q239">
        <f>IF(dataset[[#This Row],[state]]="VA",1,0)</f>
        <v>0</v>
      </c>
    </row>
    <row r="240" spans="1:17" x14ac:dyDescent="0.35">
      <c r="A240">
        <v>202311</v>
      </c>
      <c r="B240">
        <v>100</v>
      </c>
      <c r="C240" s="2">
        <v>5096847.1152999997</v>
      </c>
      <c r="D240" s="2">
        <v>0.74919999999999998</v>
      </c>
      <c r="E240" s="3">
        <v>135375</v>
      </c>
      <c r="F240" s="2">
        <v>101419.87089999999</v>
      </c>
      <c r="G240" t="s">
        <v>971</v>
      </c>
      <c r="H240" t="s">
        <v>6</v>
      </c>
      <c r="I240">
        <f>HLOOKUP(G240,zip_tiers!$A$1:$EON$2,2,FALSE)</f>
        <v>156214.66666666666</v>
      </c>
      <c r="J240" t="str">
        <f t="shared" si="3"/>
        <v>High</v>
      </c>
      <c r="K240">
        <f>dataset[[#This Row],[soda_sales]]/dataset[[#This Row],[soda_units_sold]]</f>
        <v>0.74917725503231758</v>
      </c>
      <c r="L240" s="29">
        <f>dataset[[#This Row],[implied_soda_ppu]]-dataset[[#This Row],[soda_ppu]]</f>
        <v>-2.2744967682397643E-5</v>
      </c>
      <c r="M240">
        <f>dataset[[#This Row],[soda_sales]]/dataset[[#This Row],[total_sales]]</f>
        <v>1.9898550732579789E-2</v>
      </c>
      <c r="N240">
        <f>LN(dataset[[#This Row],[soda_units_sold]])</f>
        <v>11.815803984303292</v>
      </c>
      <c r="O240">
        <f>LN(dataset[[#This Row],[soda_sales]])</f>
        <v>11.527024316423727</v>
      </c>
      <c r="P240">
        <f>LN(dataset[[#This Row],[soda_ppu]])</f>
        <v>-0.28874930841220364</v>
      </c>
      <c r="Q240">
        <f>IF(dataset[[#This Row],[state]]="VA",1,0)</f>
        <v>0</v>
      </c>
    </row>
    <row r="241" spans="1:17" x14ac:dyDescent="0.35">
      <c r="A241">
        <v>202312</v>
      </c>
      <c r="B241">
        <v>100</v>
      </c>
      <c r="C241" s="2">
        <v>5271724.1778999995</v>
      </c>
      <c r="D241" s="2">
        <v>0.73270000000000002</v>
      </c>
      <c r="E241" s="3">
        <v>133334</v>
      </c>
      <c r="F241" s="2">
        <v>97691.295100000003</v>
      </c>
      <c r="G241" t="s">
        <v>971</v>
      </c>
      <c r="H241" t="s">
        <v>6</v>
      </c>
      <c r="I241">
        <f>HLOOKUP(G241,zip_tiers!$A$1:$EON$2,2,FALSE)</f>
        <v>156214.66666666666</v>
      </c>
      <c r="J241" t="str">
        <f t="shared" si="3"/>
        <v>High</v>
      </c>
      <c r="K241">
        <f>dataset[[#This Row],[soda_sales]]/dataset[[#This Row],[soda_units_sold]]</f>
        <v>0.7326810498447508</v>
      </c>
      <c r="L241" s="29">
        <f>dataset[[#This Row],[implied_soda_ppu]]-dataset[[#This Row],[soda_ppu]]</f>
        <v>-1.8950155249219947E-5</v>
      </c>
      <c r="M241">
        <f>dataset[[#This Row],[soda_sales]]/dataset[[#This Row],[total_sales]]</f>
        <v>1.853118482744966E-2</v>
      </c>
      <c r="N241">
        <f>LN(dataset[[#This Row],[soda_units_sold]])</f>
        <v>11.80061253740951</v>
      </c>
      <c r="O241">
        <f>LN(dataset[[#This Row],[soda_sales]])</f>
        <v>11.489567735801408</v>
      </c>
      <c r="P241">
        <f>LN(dataset[[#This Row],[soda_ppu]])</f>
        <v>-0.31101893781621887</v>
      </c>
      <c r="Q241">
        <f>IF(dataset[[#This Row],[state]]="VA",1,0)</f>
        <v>0</v>
      </c>
    </row>
    <row r="242" spans="1:17" x14ac:dyDescent="0.35">
      <c r="A242">
        <v>202401</v>
      </c>
      <c r="B242">
        <v>100</v>
      </c>
      <c r="C242" s="2">
        <v>3000318.9728000001</v>
      </c>
      <c r="D242" s="2">
        <v>0.79969999999999997</v>
      </c>
      <c r="E242" s="3">
        <v>92845</v>
      </c>
      <c r="F242" s="2">
        <v>74250.045800000007</v>
      </c>
      <c r="G242" t="s">
        <v>971</v>
      </c>
      <c r="H242" t="s">
        <v>6</v>
      </c>
      <c r="I242">
        <f>HLOOKUP(G242,zip_tiers!$A$1:$EON$2,2,FALSE)</f>
        <v>156214.66666666666</v>
      </c>
      <c r="J242" t="str">
        <f t="shared" si="3"/>
        <v>High</v>
      </c>
      <c r="K242">
        <f>dataset[[#This Row],[soda_sales]]/dataset[[#This Row],[soda_units_sold]]</f>
        <v>0.79972045667510372</v>
      </c>
      <c r="L242" s="29">
        <f>dataset[[#This Row],[implied_soda_ppu]]-dataset[[#This Row],[soda_ppu]]</f>
        <v>2.0456675103752708E-5</v>
      </c>
      <c r="M242">
        <f>dataset[[#This Row],[soda_sales]]/dataset[[#This Row],[total_sales]]</f>
        <v>2.4747384019208906E-2</v>
      </c>
      <c r="N242">
        <f>LN(dataset[[#This Row],[soda_units_sold]])</f>
        <v>11.438686715034695</v>
      </c>
      <c r="O242">
        <f>LN(dataset[[#This Row],[soda_sales]])</f>
        <v>11.215193673499773</v>
      </c>
      <c r="P242">
        <f>LN(dataset[[#This Row],[soda_ppu]])</f>
        <v>-0.22351862164429287</v>
      </c>
      <c r="Q242">
        <f>IF(dataset[[#This Row],[state]]="VA",1,0)</f>
        <v>0</v>
      </c>
    </row>
    <row r="243" spans="1:17" x14ac:dyDescent="0.35">
      <c r="A243">
        <v>202402</v>
      </c>
      <c r="B243">
        <v>100</v>
      </c>
      <c r="C243" s="2">
        <v>3447458.4863</v>
      </c>
      <c r="D243" s="2">
        <v>0.76949999999999996</v>
      </c>
      <c r="E243" s="3">
        <v>106390</v>
      </c>
      <c r="F243" s="2">
        <v>81869.542199999996</v>
      </c>
      <c r="G243" t="s">
        <v>971</v>
      </c>
      <c r="H243" t="s">
        <v>6</v>
      </c>
      <c r="I243">
        <f>HLOOKUP(G243,zip_tiers!$A$1:$EON$2,2,FALSE)</f>
        <v>156214.66666666666</v>
      </c>
      <c r="J243" t="str">
        <f t="shared" si="3"/>
        <v>High</v>
      </c>
      <c r="K243">
        <f>dataset[[#This Row],[soda_sales]]/dataset[[#This Row],[soda_units_sold]]</f>
        <v>0.7695229081680609</v>
      </c>
      <c r="L243" s="29">
        <f>dataset[[#This Row],[implied_soda_ppu]]-dataset[[#This Row],[soda_ppu]]</f>
        <v>2.2908168060942202E-5</v>
      </c>
      <c r="M243">
        <f>dataset[[#This Row],[soda_sales]]/dataset[[#This Row],[total_sales]]</f>
        <v>2.37477963912676E-2</v>
      </c>
      <c r="N243">
        <f>LN(dataset[[#This Row],[soda_units_sold]])</f>
        <v>11.574866866510412</v>
      </c>
      <c r="O243">
        <f>LN(dataset[[#This Row],[soda_sales]])</f>
        <v>11.312882310562994</v>
      </c>
      <c r="P243">
        <f>LN(dataset[[#This Row],[soda_ppu]])</f>
        <v>-0.26201432570320321</v>
      </c>
      <c r="Q243">
        <f>IF(dataset[[#This Row],[state]]="VA",1,0)</f>
        <v>0</v>
      </c>
    </row>
    <row r="244" spans="1:17" x14ac:dyDescent="0.35">
      <c r="A244">
        <v>202403</v>
      </c>
      <c r="B244">
        <v>100</v>
      </c>
      <c r="C244" s="2">
        <v>3862241.5594000001</v>
      </c>
      <c r="D244" s="2">
        <v>0.80900000000000005</v>
      </c>
      <c r="E244" s="3">
        <v>124411</v>
      </c>
      <c r="F244" s="2">
        <v>100651.8357</v>
      </c>
      <c r="G244" t="s">
        <v>971</v>
      </c>
      <c r="H244" t="s">
        <v>6</v>
      </c>
      <c r="I244">
        <f>HLOOKUP(G244,zip_tiers!$A$1:$EON$2,2,FALSE)</f>
        <v>156214.66666666666</v>
      </c>
      <c r="J244" t="str">
        <f t="shared" si="3"/>
        <v>High</v>
      </c>
      <c r="K244">
        <f>dataset[[#This Row],[soda_sales]]/dataset[[#This Row],[soda_units_sold]]</f>
        <v>0.80902681997572556</v>
      </c>
      <c r="L244" s="29">
        <f>dataset[[#This Row],[implied_soda_ppu]]-dataset[[#This Row],[soda_ppu]]</f>
        <v>2.6819975725511647E-5</v>
      </c>
      <c r="M244">
        <f>dataset[[#This Row],[soda_sales]]/dataset[[#This Row],[total_sales]]</f>
        <v>2.6060471400353395E-2</v>
      </c>
      <c r="N244">
        <f>LN(dataset[[#This Row],[soda_units_sold]])</f>
        <v>11.731345879815304</v>
      </c>
      <c r="O244">
        <f>LN(dataset[[#This Row],[soda_sales]])</f>
        <v>11.519422669351693</v>
      </c>
      <c r="P244">
        <f>LN(dataset[[#This Row],[soda_ppu]])</f>
        <v>-0.21195636192364531</v>
      </c>
      <c r="Q244">
        <f>IF(dataset[[#This Row],[state]]="VA",1,0)</f>
        <v>0</v>
      </c>
    </row>
    <row r="245" spans="1:17" x14ac:dyDescent="0.35">
      <c r="A245">
        <v>202404</v>
      </c>
      <c r="B245">
        <v>100</v>
      </c>
      <c r="C245" s="2">
        <v>4037438.5732</v>
      </c>
      <c r="D245" s="2">
        <v>0.75819999999999999</v>
      </c>
      <c r="E245" s="3">
        <v>145606</v>
      </c>
      <c r="F245" s="2">
        <v>110396.34020000001</v>
      </c>
      <c r="G245" t="s">
        <v>971</v>
      </c>
      <c r="H245" t="s">
        <v>6</v>
      </c>
      <c r="I245">
        <f>HLOOKUP(G245,zip_tiers!$A$1:$EON$2,2,FALSE)</f>
        <v>156214.66666666666</v>
      </c>
      <c r="J245" t="str">
        <f t="shared" si="3"/>
        <v>High</v>
      </c>
      <c r="K245">
        <f>dataset[[#This Row],[soda_sales]]/dataset[[#This Row],[soda_units_sold]]</f>
        <v>0.75818537834979327</v>
      </c>
      <c r="L245" s="29">
        <f>dataset[[#This Row],[implied_soda_ppu]]-dataset[[#This Row],[soda_ppu]]</f>
        <v>-1.4621650206714243E-5</v>
      </c>
      <c r="M245">
        <f>dataset[[#This Row],[soda_sales]]/dataset[[#This Row],[total_sales]]</f>
        <v>2.7343162799502826E-2</v>
      </c>
      <c r="N245">
        <f>LN(dataset[[#This Row],[soda_units_sold]])</f>
        <v>11.888659622686873</v>
      </c>
      <c r="O245">
        <f>LN(dataset[[#This Row],[soda_sales]])</f>
        <v>11.611832261913328</v>
      </c>
      <c r="P245">
        <f>LN(dataset[[#This Row],[soda_ppu]])</f>
        <v>-0.27680807589990258</v>
      </c>
      <c r="Q245">
        <f>IF(dataset[[#This Row],[state]]="VA",1,0)</f>
        <v>0</v>
      </c>
    </row>
    <row r="246" spans="1:17" x14ac:dyDescent="0.35">
      <c r="A246">
        <v>202405</v>
      </c>
      <c r="B246">
        <v>100</v>
      </c>
      <c r="C246" s="2">
        <v>4280836.6602999996</v>
      </c>
      <c r="D246" s="2">
        <v>0.76259999999999994</v>
      </c>
      <c r="E246" s="3">
        <v>164055</v>
      </c>
      <c r="F246" s="2">
        <v>125111.68489999999</v>
      </c>
      <c r="G246" t="s">
        <v>971</v>
      </c>
      <c r="H246" t="s">
        <v>6</v>
      </c>
      <c r="I246">
        <f>HLOOKUP(G246,zip_tiers!$A$1:$EON$2,2,FALSE)</f>
        <v>156214.66666666666</v>
      </c>
      <c r="J246" t="str">
        <f t="shared" si="3"/>
        <v>High</v>
      </c>
      <c r="K246">
        <f>dataset[[#This Row],[soda_sales]]/dataset[[#This Row],[soda_units_sold]]</f>
        <v>0.76262037060741816</v>
      </c>
      <c r="L246" s="29">
        <f>dataset[[#This Row],[implied_soda_ppu]]-dataset[[#This Row],[soda_ppu]]</f>
        <v>2.0370607418218611E-5</v>
      </c>
      <c r="M246">
        <f>dataset[[#This Row],[soda_sales]]/dataset[[#This Row],[total_sales]]</f>
        <v>2.9225988942832546E-2</v>
      </c>
      <c r="N246">
        <f>LN(dataset[[#This Row],[soda_units_sold]])</f>
        <v>12.007957016437436</v>
      </c>
      <c r="O246">
        <f>LN(dataset[[#This Row],[soda_sales]])</f>
        <v>11.736962096569496</v>
      </c>
      <c r="P246">
        <f>LN(dataset[[#This Row],[soda_ppu]])</f>
        <v>-0.27102163155867376</v>
      </c>
      <c r="Q246">
        <f>IF(dataset[[#This Row],[state]]="VA",1,0)</f>
        <v>0</v>
      </c>
    </row>
    <row r="247" spans="1:17" x14ac:dyDescent="0.35">
      <c r="A247">
        <v>202406</v>
      </c>
      <c r="B247">
        <v>100</v>
      </c>
      <c r="C247" s="2">
        <v>4003798.4942000001</v>
      </c>
      <c r="D247" s="2">
        <v>0.79379999999999995</v>
      </c>
      <c r="E247" s="3">
        <v>159195</v>
      </c>
      <c r="F247" s="2">
        <v>126368.7791</v>
      </c>
      <c r="G247" t="s">
        <v>971</v>
      </c>
      <c r="H247" t="s">
        <v>6</v>
      </c>
      <c r="I247">
        <f>HLOOKUP(G247,zip_tiers!$A$1:$EON$2,2,FALSE)</f>
        <v>156214.66666666666</v>
      </c>
      <c r="J247" t="str">
        <f t="shared" si="3"/>
        <v>High</v>
      </c>
      <c r="K247">
        <f>dataset[[#This Row],[soda_sales]]/dataset[[#This Row],[soda_units_sold]]</f>
        <v>0.79379866892804418</v>
      </c>
      <c r="L247" s="29">
        <f>dataset[[#This Row],[implied_soda_ppu]]-dataset[[#This Row],[soda_ppu]]</f>
        <v>-1.3310719557679818E-6</v>
      </c>
      <c r="M247">
        <f>dataset[[#This Row],[soda_sales]]/dataset[[#This Row],[total_sales]]</f>
        <v>3.1562222545180756E-2</v>
      </c>
      <c r="N247">
        <f>LN(dataset[[#This Row],[soda_units_sold]])</f>
        <v>11.977885144864032</v>
      </c>
      <c r="O247">
        <f>LN(dataset[[#This Row],[soda_sales]])</f>
        <v>11.746959729394035</v>
      </c>
      <c r="P247">
        <f>LN(dataset[[#This Row],[soda_ppu]])</f>
        <v>-0.23092373863317212</v>
      </c>
      <c r="Q247">
        <f>IF(dataset[[#This Row],[state]]="VA",1,0)</f>
        <v>0</v>
      </c>
    </row>
    <row r="248" spans="1:17" x14ac:dyDescent="0.35">
      <c r="A248">
        <v>202407</v>
      </c>
      <c r="B248">
        <v>100</v>
      </c>
      <c r="C248" s="2">
        <v>3927330.2075</v>
      </c>
      <c r="D248" s="2">
        <v>0.76239999999999997</v>
      </c>
      <c r="E248" s="3">
        <v>176297</v>
      </c>
      <c r="F248" s="2">
        <v>134405.6151</v>
      </c>
      <c r="G248" t="s">
        <v>971</v>
      </c>
      <c r="H248" t="s">
        <v>6</v>
      </c>
      <c r="I248">
        <f>HLOOKUP(G248,zip_tiers!$A$1:$EON$2,2,FALSE)</f>
        <v>156214.66666666666</v>
      </c>
      <c r="J248" t="str">
        <f t="shared" si="3"/>
        <v>High</v>
      </c>
      <c r="K248">
        <f>dataset[[#This Row],[soda_sales]]/dataset[[#This Row],[soda_units_sold]]</f>
        <v>0.76238174841318906</v>
      </c>
      <c r="L248" s="29">
        <f>dataset[[#This Row],[implied_soda_ppu]]-dataset[[#This Row],[soda_ppu]]</f>
        <v>-1.8251586810902332E-5</v>
      </c>
      <c r="M248">
        <f>dataset[[#This Row],[soda_sales]]/dataset[[#This Row],[total_sales]]</f>
        <v>3.4223151097233014E-2</v>
      </c>
      <c r="N248">
        <f>LN(dataset[[#This Row],[soda_units_sold]])</f>
        <v>12.079925351791946</v>
      </c>
      <c r="O248">
        <f>LN(dataset[[#This Row],[soda_sales]])</f>
        <v>11.808617485216324</v>
      </c>
      <c r="P248">
        <f>LN(dataset[[#This Row],[soda_ppu]])</f>
        <v>-0.27128392664214473</v>
      </c>
      <c r="Q248">
        <f>IF(dataset[[#This Row],[state]]="VA",1,0)</f>
        <v>0</v>
      </c>
    </row>
    <row r="249" spans="1:17" x14ac:dyDescent="0.35">
      <c r="A249">
        <v>202408</v>
      </c>
      <c r="B249">
        <v>100</v>
      </c>
      <c r="C249" s="2">
        <v>3698307.5709000002</v>
      </c>
      <c r="D249" s="2">
        <v>0.77859999999999996</v>
      </c>
      <c r="E249" s="3">
        <v>150573</v>
      </c>
      <c r="F249" s="2">
        <v>117239.58199999999</v>
      </c>
      <c r="G249" t="s">
        <v>971</v>
      </c>
      <c r="H249" t="s">
        <v>6</v>
      </c>
      <c r="I249">
        <f>HLOOKUP(G249,zip_tiers!$A$1:$EON$2,2,FALSE)</f>
        <v>156214.66666666666</v>
      </c>
      <c r="J249" t="str">
        <f t="shared" si="3"/>
        <v>High</v>
      </c>
      <c r="K249">
        <f>dataset[[#This Row],[soda_sales]]/dataset[[#This Row],[soda_units_sold]]</f>
        <v>0.77862287395482588</v>
      </c>
      <c r="L249" s="29">
        <f>dataset[[#This Row],[implied_soda_ppu]]-dataset[[#This Row],[soda_ppu]]</f>
        <v>2.2873954825919363E-5</v>
      </c>
      <c r="M249">
        <f>dataset[[#This Row],[soda_sales]]/dataset[[#This Row],[total_sales]]</f>
        <v>3.1700873913920902E-2</v>
      </c>
      <c r="N249">
        <f>LN(dataset[[#This Row],[soda_units_sold]])</f>
        <v>11.922203295406311</v>
      </c>
      <c r="O249">
        <f>LN(dataset[[#This Row],[soda_sales]])</f>
        <v>11.67197482948241</v>
      </c>
      <c r="P249">
        <f>LN(dataset[[#This Row],[soda_ppu]])</f>
        <v>-0.25025784380578175</v>
      </c>
      <c r="Q249">
        <f>IF(dataset[[#This Row],[state]]="VA",1,0)</f>
        <v>0</v>
      </c>
    </row>
    <row r="250" spans="1:17" x14ac:dyDescent="0.35">
      <c r="A250">
        <v>202409</v>
      </c>
      <c r="B250">
        <v>100</v>
      </c>
      <c r="C250" s="2">
        <v>3704452.1206999999</v>
      </c>
      <c r="D250" s="2">
        <v>0.78380000000000005</v>
      </c>
      <c r="E250" s="3">
        <v>143817</v>
      </c>
      <c r="F250" s="2">
        <v>112724.57309999999</v>
      </c>
      <c r="G250" t="s">
        <v>971</v>
      </c>
      <c r="H250" t="s">
        <v>6</v>
      </c>
      <c r="I250">
        <f>HLOOKUP(G250,zip_tiers!$A$1:$EON$2,2,FALSE)</f>
        <v>156214.66666666666</v>
      </c>
      <c r="J250" t="str">
        <f t="shared" si="3"/>
        <v>High</v>
      </c>
      <c r="K250">
        <f>dataset[[#This Row],[soda_sales]]/dataset[[#This Row],[soda_units_sold]]</f>
        <v>0.78380562172761215</v>
      </c>
      <c r="L250" s="29">
        <f>dataset[[#This Row],[implied_soda_ppu]]-dataset[[#This Row],[soda_ppu]]</f>
        <v>5.6217276120928972E-6</v>
      </c>
      <c r="M250">
        <f>dataset[[#This Row],[soda_sales]]/dataset[[#This Row],[total_sales]]</f>
        <v>3.0429485772028107E-2</v>
      </c>
      <c r="N250">
        <f>LN(dataset[[#This Row],[soda_units_sold]])</f>
        <v>11.876296937031332</v>
      </c>
      <c r="O250">
        <f>LN(dataset[[#This Row],[soda_sales]])</f>
        <v>11.632702716189632</v>
      </c>
      <c r="P250">
        <f>LN(dataset[[#This Row],[soda_ppu]])</f>
        <v>-0.2436013932166059</v>
      </c>
      <c r="Q250">
        <f>IF(dataset[[#This Row],[state]]="VA",1,0)</f>
        <v>0</v>
      </c>
    </row>
    <row r="251" spans="1:17" x14ac:dyDescent="0.35">
      <c r="A251">
        <v>202410</v>
      </c>
      <c r="B251">
        <v>100</v>
      </c>
      <c r="C251" s="2">
        <v>4532447.2525000004</v>
      </c>
      <c r="D251" s="2">
        <v>0.77669999999999995</v>
      </c>
      <c r="E251" s="3">
        <v>139428</v>
      </c>
      <c r="F251" s="2">
        <v>108299.4273</v>
      </c>
      <c r="G251" t="s">
        <v>971</v>
      </c>
      <c r="H251" t="s">
        <v>6</v>
      </c>
      <c r="I251">
        <f>HLOOKUP(G251,zip_tiers!$A$1:$EON$2,2,FALSE)</f>
        <v>156214.66666666666</v>
      </c>
      <c r="J251" t="str">
        <f t="shared" si="3"/>
        <v>High</v>
      </c>
      <c r="K251">
        <f>dataset[[#This Row],[soda_sales]]/dataset[[#This Row],[soda_units_sold]]</f>
        <v>0.77674087916343915</v>
      </c>
      <c r="L251" s="29">
        <f>dataset[[#This Row],[implied_soda_ppu]]-dataset[[#This Row],[soda_ppu]]</f>
        <v>4.0879163439200283E-5</v>
      </c>
      <c r="M251">
        <f>dataset[[#This Row],[soda_sales]]/dataset[[#This Row],[total_sales]]</f>
        <v>2.3894249897837061E-2</v>
      </c>
      <c r="N251">
        <f>LN(dataset[[#This Row],[soda_units_sold]])</f>
        <v>11.845303617970862</v>
      </c>
      <c r="O251">
        <f>LN(dataset[[#This Row],[soda_sales]])</f>
        <v>11.592655144886457</v>
      </c>
      <c r="P251">
        <f>LN(dataset[[#This Row],[soda_ppu]])</f>
        <v>-0.25270110355653547</v>
      </c>
      <c r="Q251">
        <f>IF(dataset[[#This Row],[state]]="VA",1,0)</f>
        <v>0</v>
      </c>
    </row>
    <row r="252" spans="1:17" x14ac:dyDescent="0.35">
      <c r="A252">
        <v>202411</v>
      </c>
      <c r="B252">
        <v>100</v>
      </c>
      <c r="C252" s="2">
        <v>5197731.6937999995</v>
      </c>
      <c r="D252" s="2">
        <v>0.77939999999999998</v>
      </c>
      <c r="E252" s="3">
        <v>131897</v>
      </c>
      <c r="F252" s="2">
        <v>102806.68030000001</v>
      </c>
      <c r="G252" t="s">
        <v>971</v>
      </c>
      <c r="H252" t="s">
        <v>6</v>
      </c>
      <c r="I252">
        <f>HLOOKUP(G252,zip_tiers!$A$1:$EON$2,2,FALSE)</f>
        <v>156214.66666666666</v>
      </c>
      <c r="J252" t="str">
        <f t="shared" si="3"/>
        <v>High</v>
      </c>
      <c r="K252">
        <f>dataset[[#This Row],[soda_sales]]/dataset[[#This Row],[soda_units_sold]]</f>
        <v>0.77944669173673398</v>
      </c>
      <c r="L252" s="29">
        <f>dataset[[#This Row],[implied_soda_ppu]]-dataset[[#This Row],[soda_ppu]]</f>
        <v>4.6691736733994738E-5</v>
      </c>
      <c r="M252">
        <f>dataset[[#This Row],[soda_sales]]/dataset[[#This Row],[total_sales]]</f>
        <v>1.9779143356443485E-2</v>
      </c>
      <c r="N252">
        <f>LN(dataset[[#This Row],[soda_units_sold]])</f>
        <v>11.789776593943333</v>
      </c>
      <c r="O252">
        <f>LN(dataset[[#This Row],[soda_sales]])</f>
        <v>11.540605613354904</v>
      </c>
      <c r="P252">
        <f>LN(dataset[[#This Row],[soda_ppu]])</f>
        <v>-0.24923088607752822</v>
      </c>
      <c r="Q252">
        <f>IF(dataset[[#This Row],[state]]="VA",1,0)</f>
        <v>0</v>
      </c>
    </row>
    <row r="253" spans="1:17" x14ac:dyDescent="0.35">
      <c r="A253">
        <v>202412</v>
      </c>
      <c r="B253">
        <v>100</v>
      </c>
      <c r="C253" s="2">
        <v>5298265.1184</v>
      </c>
      <c r="D253" s="2">
        <v>0.77229999999999999</v>
      </c>
      <c r="E253" s="3">
        <v>126276</v>
      </c>
      <c r="F253" s="2">
        <v>97529.1486</v>
      </c>
      <c r="G253" t="s">
        <v>971</v>
      </c>
      <c r="H253" t="s">
        <v>6</v>
      </c>
      <c r="I253">
        <f>HLOOKUP(G253,zip_tiers!$A$1:$EON$2,2,FALSE)</f>
        <v>156214.66666666666</v>
      </c>
      <c r="J253" t="str">
        <f t="shared" si="3"/>
        <v>High</v>
      </c>
      <c r="K253">
        <f>dataset[[#This Row],[soda_sales]]/dataset[[#This Row],[soda_units_sold]]</f>
        <v>0.77234904970065577</v>
      </c>
      <c r="L253" s="29">
        <f>dataset[[#This Row],[implied_soda_ppu]]-dataset[[#This Row],[soda_ppu]]</f>
        <v>4.904970065577885E-5</v>
      </c>
      <c r="M253">
        <f>dataset[[#This Row],[soda_sales]]/dataset[[#This Row],[total_sales]]</f>
        <v>1.840775167352373E-2</v>
      </c>
      <c r="N253">
        <f>LN(dataset[[#This Row],[soda_units_sold]])</f>
        <v>11.746225266528812</v>
      </c>
      <c r="O253">
        <f>LN(dataset[[#This Row],[soda_sales]])</f>
        <v>11.487906572306303</v>
      </c>
      <c r="P253">
        <f>LN(dataset[[#This Row],[soda_ppu]])</f>
        <v>-0.25838220340691886</v>
      </c>
      <c r="Q253">
        <f>IF(dataset[[#This Row],[state]]="VA",1,0)</f>
        <v>0</v>
      </c>
    </row>
    <row r="254" spans="1:17" x14ac:dyDescent="0.35">
      <c r="A254">
        <v>202201</v>
      </c>
      <c r="B254">
        <v>22</v>
      </c>
      <c r="C254" s="2">
        <v>2507621.9882999999</v>
      </c>
      <c r="D254" s="2">
        <v>0.69610000000000005</v>
      </c>
      <c r="E254" s="3">
        <v>139822</v>
      </c>
      <c r="F254" s="2">
        <v>97330.3514</v>
      </c>
      <c r="G254" t="s">
        <v>973</v>
      </c>
      <c r="H254" t="s">
        <v>6</v>
      </c>
      <c r="I254">
        <f>HLOOKUP(G254,zip_tiers!$A$1:$EON$2,2,FALSE)</f>
        <v>119910</v>
      </c>
      <c r="J254" t="str">
        <f t="shared" si="3"/>
        <v>High</v>
      </c>
      <c r="K254">
        <f>dataset[[#This Row],[soda_sales]]/dataset[[#This Row],[soda_units_sold]]</f>
        <v>0.69610183948162663</v>
      </c>
      <c r="L254" s="29">
        <f>dataset[[#This Row],[implied_soda_ppu]]-dataset[[#This Row],[soda_ppu]]</f>
        <v>1.8394816265754343E-6</v>
      </c>
      <c r="M254">
        <f>dataset[[#This Row],[soda_sales]]/dataset[[#This Row],[total_sales]]</f>
        <v>3.8813805212317296E-2</v>
      </c>
      <c r="N254">
        <f>LN(dataset[[#This Row],[soda_units_sold]])</f>
        <v>11.848125464068952</v>
      </c>
      <c r="O254">
        <f>LN(dataset[[#This Row],[soda_sales]])</f>
        <v>11.485866155811639</v>
      </c>
      <c r="P254">
        <f>LN(dataset[[#This Row],[soda_ppu]])</f>
        <v>-0.36226195080751616</v>
      </c>
      <c r="Q254">
        <f>IF(dataset[[#This Row],[state]]="VA",1,0)</f>
        <v>0</v>
      </c>
    </row>
    <row r="255" spans="1:17" x14ac:dyDescent="0.35">
      <c r="A255">
        <v>202202</v>
      </c>
      <c r="B255">
        <v>22</v>
      </c>
      <c r="C255" s="2">
        <v>2851829.9081999999</v>
      </c>
      <c r="D255" s="2">
        <v>0.70620000000000005</v>
      </c>
      <c r="E255" s="3">
        <v>156531</v>
      </c>
      <c r="F255" s="2">
        <v>110544.48639999999</v>
      </c>
      <c r="G255" t="s">
        <v>973</v>
      </c>
      <c r="H255" t="s">
        <v>6</v>
      </c>
      <c r="I255">
        <f>HLOOKUP(G255,zip_tiers!$A$1:$EON$2,2,FALSE)</f>
        <v>119910</v>
      </c>
      <c r="J255" t="str">
        <f t="shared" si="3"/>
        <v>High</v>
      </c>
      <c r="K255">
        <f>dataset[[#This Row],[soda_sales]]/dataset[[#This Row],[soda_units_sold]]</f>
        <v>0.70621465652171134</v>
      </c>
      <c r="L255" s="29">
        <f>dataset[[#This Row],[implied_soda_ppu]]-dataset[[#This Row],[soda_ppu]]</f>
        <v>1.4656521711287063E-5</v>
      </c>
      <c r="M255">
        <f>dataset[[#This Row],[soda_sales]]/dataset[[#This Row],[total_sales]]</f>
        <v>3.8762650634298443E-2</v>
      </c>
      <c r="N255">
        <f>LN(dataset[[#This Row],[soda_units_sold]])</f>
        <v>11.961009352413578</v>
      </c>
      <c r="O255">
        <f>LN(dataset[[#This Row],[soda_sales]])</f>
        <v>11.613173310776791</v>
      </c>
      <c r="P255">
        <f>LN(dataset[[#This Row],[soda_ppu]])</f>
        <v>-0.34785679548785092</v>
      </c>
      <c r="Q255">
        <f>IF(dataset[[#This Row],[state]]="VA",1,0)</f>
        <v>0</v>
      </c>
    </row>
    <row r="256" spans="1:17" x14ac:dyDescent="0.35">
      <c r="A256">
        <v>202203</v>
      </c>
      <c r="B256">
        <v>22</v>
      </c>
      <c r="C256" s="2">
        <v>3231600.0005000001</v>
      </c>
      <c r="D256" s="2">
        <v>0.66810000000000003</v>
      </c>
      <c r="E256" s="3">
        <v>197641</v>
      </c>
      <c r="F256" s="2">
        <v>132042.8806</v>
      </c>
      <c r="G256" t="s">
        <v>973</v>
      </c>
      <c r="H256" t="s">
        <v>6</v>
      </c>
      <c r="I256">
        <f>HLOOKUP(G256,zip_tiers!$A$1:$EON$2,2,FALSE)</f>
        <v>119910</v>
      </c>
      <c r="J256" t="str">
        <f t="shared" si="3"/>
        <v>High</v>
      </c>
      <c r="K256">
        <f>dataset[[#This Row],[soda_sales]]/dataset[[#This Row],[soda_units_sold]]</f>
        <v>0.66809457855404497</v>
      </c>
      <c r="L256" s="29">
        <f>dataset[[#This Row],[implied_soda_ppu]]-dataset[[#This Row],[soda_ppu]]</f>
        <v>-5.4214459550561145E-6</v>
      </c>
      <c r="M256">
        <f>dataset[[#This Row],[soda_sales]]/dataset[[#This Row],[total_sales]]</f>
        <v>4.0859908583850121E-2</v>
      </c>
      <c r="N256">
        <f>LN(dataset[[#This Row],[soda_units_sold]])</f>
        <v>12.194207532651399</v>
      </c>
      <c r="O256">
        <f>LN(dataset[[#This Row],[soda_sales]])</f>
        <v>11.790882001845489</v>
      </c>
      <c r="P256">
        <f>LN(dataset[[#This Row],[soda_ppu]])</f>
        <v>-0.40331741605070537</v>
      </c>
      <c r="Q256">
        <f>IF(dataset[[#This Row],[state]]="VA",1,0)</f>
        <v>0</v>
      </c>
    </row>
    <row r="257" spans="1:17" x14ac:dyDescent="0.35">
      <c r="A257">
        <v>202204</v>
      </c>
      <c r="B257">
        <v>22</v>
      </c>
      <c r="C257" s="2">
        <v>3347786.5457000001</v>
      </c>
      <c r="D257" s="2">
        <v>0.68459999999999999</v>
      </c>
      <c r="E257" s="3">
        <v>219089</v>
      </c>
      <c r="F257" s="2">
        <v>149993.84950000001</v>
      </c>
      <c r="G257" t="s">
        <v>973</v>
      </c>
      <c r="H257" t="s">
        <v>6</v>
      </c>
      <c r="I257">
        <f>HLOOKUP(G257,zip_tiers!$A$1:$EON$2,2,FALSE)</f>
        <v>119910</v>
      </c>
      <c r="J257" t="str">
        <f t="shared" si="3"/>
        <v>High</v>
      </c>
      <c r="K257">
        <f>dataset[[#This Row],[soda_sales]]/dataset[[#This Row],[soda_units_sold]]</f>
        <v>0.68462519569672609</v>
      </c>
      <c r="L257" s="29">
        <f>dataset[[#This Row],[implied_soda_ppu]]-dataset[[#This Row],[soda_ppu]]</f>
        <v>2.5195696726099115E-5</v>
      </c>
      <c r="M257">
        <f>dataset[[#This Row],[soda_sales]]/dataset[[#This Row],[total_sales]]</f>
        <v>4.4803886822669954E-2</v>
      </c>
      <c r="N257">
        <f>LN(dataset[[#This Row],[soda_units_sold]])</f>
        <v>12.297233318937558</v>
      </c>
      <c r="O257">
        <f>LN(dataset[[#This Row],[soda_sales]])</f>
        <v>11.9183495689044</v>
      </c>
      <c r="P257">
        <f>LN(dataset[[#This Row],[soda_ppu]])</f>
        <v>-0.37892055288605214</v>
      </c>
      <c r="Q257">
        <f>IF(dataset[[#This Row],[state]]="VA",1,0)</f>
        <v>0</v>
      </c>
    </row>
    <row r="258" spans="1:17" x14ac:dyDescent="0.35">
      <c r="A258">
        <v>202205</v>
      </c>
      <c r="B258">
        <v>22</v>
      </c>
      <c r="C258" s="2">
        <v>3563809.2152</v>
      </c>
      <c r="D258" s="2">
        <v>0.66600000000000004</v>
      </c>
      <c r="E258" s="3">
        <v>246928</v>
      </c>
      <c r="F258" s="2">
        <v>164452.99479999999</v>
      </c>
      <c r="G258" t="s">
        <v>973</v>
      </c>
      <c r="H258" t="s">
        <v>6</v>
      </c>
      <c r="I258">
        <f>HLOOKUP(G258,zip_tiers!$A$1:$EON$2,2,FALSE)</f>
        <v>119910</v>
      </c>
      <c r="J258" t="str">
        <f t="shared" ref="J258:J321" si="4">IF(I258="","No Data",IF(I258&gt;=100000,"High",IF(I258&gt;=40000,"Med","Low")))</f>
        <v>High</v>
      </c>
      <c r="K258">
        <f>dataset[[#This Row],[soda_sales]]/dataset[[#This Row],[soda_units_sold]]</f>
        <v>0.66599573478908825</v>
      </c>
      <c r="L258" s="29">
        <f>dataset[[#This Row],[implied_soda_ppu]]-dataset[[#This Row],[soda_ppu]]</f>
        <v>-4.2652109117913284E-6</v>
      </c>
      <c r="M258">
        <f>dataset[[#This Row],[soda_sales]]/dataset[[#This Row],[total_sales]]</f>
        <v>4.6145285807834953E-2</v>
      </c>
      <c r="N258">
        <f>LN(dataset[[#This Row],[soda_units_sold]])</f>
        <v>12.416852075140612</v>
      </c>
      <c r="O258">
        <f>LN(dataset[[#This Row],[soda_sales]])</f>
        <v>12.01038006245777</v>
      </c>
      <c r="P258">
        <f>LN(dataset[[#This Row],[soda_ppu]])</f>
        <v>-0.40646560844174784</v>
      </c>
      <c r="Q258">
        <f>IF(dataset[[#This Row],[state]]="VA",1,0)</f>
        <v>0</v>
      </c>
    </row>
    <row r="259" spans="1:17" x14ac:dyDescent="0.35">
      <c r="A259">
        <v>202206</v>
      </c>
      <c r="B259">
        <v>22</v>
      </c>
      <c r="C259" s="2">
        <v>3355514.1224000002</v>
      </c>
      <c r="D259" s="2">
        <v>0.67349999999999999</v>
      </c>
      <c r="E259" s="3">
        <v>248952</v>
      </c>
      <c r="F259" s="2">
        <v>167679.85070000001</v>
      </c>
      <c r="G259" t="s">
        <v>973</v>
      </c>
      <c r="H259" t="s">
        <v>6</v>
      </c>
      <c r="I259">
        <f>HLOOKUP(G259,zip_tiers!$A$1:$EON$2,2,FALSE)</f>
        <v>119910</v>
      </c>
      <c r="J259" t="str">
        <f t="shared" si="4"/>
        <v>High</v>
      </c>
      <c r="K259">
        <f>dataset[[#This Row],[soda_sales]]/dataset[[#This Row],[soda_units_sold]]</f>
        <v>0.6735428946142229</v>
      </c>
      <c r="L259" s="29">
        <f>dataset[[#This Row],[implied_soda_ppu]]-dataset[[#This Row],[soda_ppu]]</f>
        <v>4.2894614222910299E-5</v>
      </c>
      <c r="M259">
        <f>dataset[[#This Row],[soda_sales]]/dataset[[#This Row],[total_sales]]</f>
        <v>4.9971433462502775E-2</v>
      </c>
      <c r="N259">
        <f>LN(dataset[[#This Row],[soda_units_sold]])</f>
        <v>12.425015385779774</v>
      </c>
      <c r="O259">
        <f>LN(dataset[[#This Row],[soda_sales]])</f>
        <v>12.029811789727967</v>
      </c>
      <c r="P259">
        <f>LN(dataset[[#This Row],[soda_ppu]])</f>
        <v>-0.39526728313171838</v>
      </c>
      <c r="Q259">
        <f>IF(dataset[[#This Row],[state]]="VA",1,0)</f>
        <v>0</v>
      </c>
    </row>
    <row r="260" spans="1:17" x14ac:dyDescent="0.35">
      <c r="A260">
        <v>202207</v>
      </c>
      <c r="B260">
        <v>22</v>
      </c>
      <c r="C260" s="2">
        <v>3211209.8317</v>
      </c>
      <c r="D260" s="2">
        <v>0.67479999999999996</v>
      </c>
      <c r="E260" s="3">
        <v>259751</v>
      </c>
      <c r="F260" s="2">
        <v>175287.98060000001</v>
      </c>
      <c r="G260" t="s">
        <v>973</v>
      </c>
      <c r="H260" t="s">
        <v>6</v>
      </c>
      <c r="I260">
        <f>HLOOKUP(G260,zip_tiers!$A$1:$EON$2,2,FALSE)</f>
        <v>119910</v>
      </c>
      <c r="J260" t="str">
        <f t="shared" si="4"/>
        <v>High</v>
      </c>
      <c r="K260">
        <f>dataset[[#This Row],[soda_sales]]/dataset[[#This Row],[soda_units_sold]]</f>
        <v>0.67483082105554937</v>
      </c>
      <c r="L260" s="29">
        <f>dataset[[#This Row],[implied_soda_ppu]]-dataset[[#This Row],[soda_ppu]]</f>
        <v>3.0821055549412613E-5</v>
      </c>
      <c r="M260">
        <f>dataset[[#This Row],[soda_sales]]/dataset[[#This Row],[total_sales]]</f>
        <v>5.458627426635753E-2</v>
      </c>
      <c r="N260">
        <f>LN(dataset[[#This Row],[soda_units_sold]])</f>
        <v>12.467478758809694</v>
      </c>
      <c r="O260">
        <f>LN(dataset[[#This Row],[soda_sales]])</f>
        <v>12.074185503812506</v>
      </c>
      <c r="P260">
        <f>LN(dataset[[#This Row],[soda_ppu]])</f>
        <v>-0.39333892831032391</v>
      </c>
      <c r="Q260">
        <f>IF(dataset[[#This Row],[state]]="VA",1,0)</f>
        <v>0</v>
      </c>
    </row>
    <row r="261" spans="1:17" x14ac:dyDescent="0.35">
      <c r="A261">
        <v>202208</v>
      </c>
      <c r="B261">
        <v>22</v>
      </c>
      <c r="C261" s="2">
        <v>3061682.6159999999</v>
      </c>
      <c r="D261" s="2">
        <v>0.67049999999999998</v>
      </c>
      <c r="E261" s="3">
        <v>232827</v>
      </c>
      <c r="F261" s="2">
        <v>156103.32550000001</v>
      </c>
      <c r="G261" t="s">
        <v>973</v>
      </c>
      <c r="H261" t="s">
        <v>6</v>
      </c>
      <c r="I261">
        <f>HLOOKUP(G261,zip_tiers!$A$1:$EON$2,2,FALSE)</f>
        <v>119910</v>
      </c>
      <c r="J261" t="str">
        <f t="shared" si="4"/>
        <v>High</v>
      </c>
      <c r="K261">
        <f>dataset[[#This Row],[soda_sales]]/dataset[[#This Row],[soda_units_sold]]</f>
        <v>0.67046917024228292</v>
      </c>
      <c r="L261" s="29">
        <f>dataset[[#This Row],[implied_soda_ppu]]-dataset[[#This Row],[soda_ppu]]</f>
        <v>-3.0829757717065753E-5</v>
      </c>
      <c r="M261">
        <f>dataset[[#This Row],[soda_sales]]/dataset[[#This Row],[total_sales]]</f>
        <v>5.0986122690909255E-2</v>
      </c>
      <c r="N261">
        <f>LN(dataset[[#This Row],[soda_units_sold]])</f>
        <v>12.358050967495775</v>
      </c>
      <c r="O261">
        <f>LN(dataset[[#This Row],[soda_sales]])</f>
        <v>11.958273409928109</v>
      </c>
      <c r="P261">
        <f>LN(dataset[[#This Row],[soda_ppu]])</f>
        <v>-0.39973157626040384</v>
      </c>
      <c r="Q261">
        <f>IF(dataset[[#This Row],[state]]="VA",1,0)</f>
        <v>0</v>
      </c>
    </row>
    <row r="262" spans="1:17" x14ac:dyDescent="0.35">
      <c r="A262">
        <v>202209</v>
      </c>
      <c r="B262">
        <v>22</v>
      </c>
      <c r="C262" s="2">
        <v>3026706.4747000001</v>
      </c>
      <c r="D262" s="2">
        <v>0.66300000000000003</v>
      </c>
      <c r="E262" s="3">
        <v>219723</v>
      </c>
      <c r="F262" s="2">
        <v>145676.06159999999</v>
      </c>
      <c r="G262" t="s">
        <v>973</v>
      </c>
      <c r="H262" t="s">
        <v>6</v>
      </c>
      <c r="I262">
        <f>HLOOKUP(G262,zip_tiers!$A$1:$EON$2,2,FALSE)</f>
        <v>119910</v>
      </c>
      <c r="J262" t="str">
        <f t="shared" si="4"/>
        <v>High</v>
      </c>
      <c r="K262">
        <f>dataset[[#This Row],[soda_sales]]/dataset[[#This Row],[soda_units_sold]]</f>
        <v>0.66299869198945938</v>
      </c>
      <c r="L262" s="29">
        <f>dataset[[#This Row],[implied_soda_ppu]]-dataset[[#This Row],[soda_ppu]]</f>
        <v>-1.3080105406571008E-6</v>
      </c>
      <c r="M262">
        <f>dataset[[#This Row],[soda_sales]]/dataset[[#This Row],[total_sales]]</f>
        <v>4.8130224327233136E-2</v>
      </c>
      <c r="N262">
        <f>LN(dataset[[#This Row],[soda_units_sold]])</f>
        <v>12.300122941104471</v>
      </c>
      <c r="O262">
        <f>LN(dataset[[#This Row],[soda_sales]])</f>
        <v>11.889140679439672</v>
      </c>
      <c r="P262">
        <f>LN(dataset[[#This Row],[soda_ppu]])</f>
        <v>-0.41098028879627452</v>
      </c>
      <c r="Q262">
        <f>IF(dataset[[#This Row],[state]]="VA",1,0)</f>
        <v>0</v>
      </c>
    </row>
    <row r="263" spans="1:17" x14ac:dyDescent="0.35">
      <c r="A263">
        <v>202210</v>
      </c>
      <c r="B263">
        <v>22</v>
      </c>
      <c r="C263" s="2">
        <v>3645278.8950999998</v>
      </c>
      <c r="D263" s="2">
        <v>0.69379999999999997</v>
      </c>
      <c r="E263" s="3">
        <v>204508</v>
      </c>
      <c r="F263" s="2">
        <v>141895.79399999999</v>
      </c>
      <c r="G263" t="s">
        <v>973</v>
      </c>
      <c r="H263" t="s">
        <v>6</v>
      </c>
      <c r="I263">
        <f>HLOOKUP(G263,zip_tiers!$A$1:$EON$2,2,FALSE)</f>
        <v>119910</v>
      </c>
      <c r="J263" t="str">
        <f t="shared" si="4"/>
        <v>High</v>
      </c>
      <c r="K263">
        <f>dataset[[#This Row],[soda_sales]]/dataset[[#This Row],[soda_units_sold]]</f>
        <v>0.69383982044712189</v>
      </c>
      <c r="L263" s="29">
        <f>dataset[[#This Row],[implied_soda_ppu]]-dataset[[#This Row],[soda_ppu]]</f>
        <v>3.9820447121918789E-5</v>
      </c>
      <c r="M263">
        <f>dataset[[#This Row],[soda_sales]]/dataset[[#This Row],[total_sales]]</f>
        <v>3.8925908849042234E-2</v>
      </c>
      <c r="N263">
        <f>LN(dataset[[#This Row],[soda_units_sold]])</f>
        <v>12.228362373504234</v>
      </c>
      <c r="O263">
        <f>LN(dataset[[#This Row],[soda_sales]])</f>
        <v>11.862848222116877</v>
      </c>
      <c r="P263">
        <f>LN(dataset[[#This Row],[soda_ppu]])</f>
        <v>-0.36557154444648776</v>
      </c>
      <c r="Q263">
        <f>IF(dataset[[#This Row],[state]]="VA",1,0)</f>
        <v>0</v>
      </c>
    </row>
    <row r="264" spans="1:17" x14ac:dyDescent="0.35">
      <c r="A264">
        <v>202211</v>
      </c>
      <c r="B264">
        <v>22</v>
      </c>
      <c r="C264" s="2">
        <v>4237001.5312999999</v>
      </c>
      <c r="D264" s="2">
        <v>0.68479999999999996</v>
      </c>
      <c r="E264" s="3">
        <v>196385</v>
      </c>
      <c r="F264" s="2">
        <v>134491.6274</v>
      </c>
      <c r="G264" t="s">
        <v>973</v>
      </c>
      <c r="H264" t="s">
        <v>6</v>
      </c>
      <c r="I264">
        <f>HLOOKUP(G264,zip_tiers!$A$1:$EON$2,2,FALSE)</f>
        <v>119910</v>
      </c>
      <c r="J264" t="str">
        <f t="shared" si="4"/>
        <v>High</v>
      </c>
      <c r="K264">
        <f>dataset[[#This Row],[soda_sales]]/dataset[[#This Row],[soda_units_sold]]</f>
        <v>0.684836557781908</v>
      </c>
      <c r="L264" s="29">
        <f>dataset[[#This Row],[implied_soda_ppu]]-dataset[[#This Row],[soda_ppu]]</f>
        <v>3.655778190803094E-5</v>
      </c>
      <c r="M264">
        <f>dataset[[#This Row],[soda_sales]]/dataset[[#This Row],[total_sales]]</f>
        <v>3.174217106283065E-2</v>
      </c>
      <c r="N264">
        <f>LN(dataset[[#This Row],[soda_units_sold]])</f>
        <v>12.187832297240385</v>
      </c>
      <c r="O264">
        <f>LN(dataset[[#This Row],[soda_sales]])</f>
        <v>11.809257226272305</v>
      </c>
      <c r="P264">
        <f>LN(dataset[[#This Row],[soda_ppu]])</f>
        <v>-0.37862845415460478</v>
      </c>
      <c r="Q264">
        <f>IF(dataset[[#This Row],[state]]="VA",1,0)</f>
        <v>0</v>
      </c>
    </row>
    <row r="265" spans="1:17" x14ac:dyDescent="0.35">
      <c r="A265">
        <v>202212</v>
      </c>
      <c r="B265">
        <v>22</v>
      </c>
      <c r="C265" s="2">
        <v>4363761.9274000004</v>
      </c>
      <c r="D265" s="2">
        <v>0.67169999999999996</v>
      </c>
      <c r="E265" s="3">
        <v>193911</v>
      </c>
      <c r="F265" s="2">
        <v>130256.00109999999</v>
      </c>
      <c r="G265" t="s">
        <v>973</v>
      </c>
      <c r="H265" t="s">
        <v>6</v>
      </c>
      <c r="I265">
        <f>HLOOKUP(G265,zip_tiers!$A$1:$EON$2,2,FALSE)</f>
        <v>119910</v>
      </c>
      <c r="J265" t="str">
        <f t="shared" si="4"/>
        <v>High</v>
      </c>
      <c r="K265">
        <f>dataset[[#This Row],[soda_sales]]/dataset[[#This Row],[soda_units_sold]]</f>
        <v>0.67173085126681831</v>
      </c>
      <c r="L265" s="29">
        <f>dataset[[#This Row],[implied_soda_ppu]]-dataset[[#This Row],[soda_ppu]]</f>
        <v>3.0851266818343603E-5</v>
      </c>
      <c r="M265">
        <f>dataset[[#This Row],[soda_sales]]/dataset[[#This Row],[total_sales]]</f>
        <v>2.9849474665912541E-2</v>
      </c>
      <c r="N265">
        <f>LN(dataset[[#This Row],[soda_units_sold]])</f>
        <v>12.175154569894978</v>
      </c>
      <c r="O265">
        <f>LN(dataset[[#This Row],[soda_sales]])</f>
        <v>11.777257032258667</v>
      </c>
      <c r="P265">
        <f>LN(dataset[[#This Row],[soda_ppu]])</f>
        <v>-0.39794346670931829</v>
      </c>
      <c r="Q265">
        <f>IF(dataset[[#This Row],[state]]="VA",1,0)</f>
        <v>0</v>
      </c>
    </row>
    <row r="266" spans="1:17" x14ac:dyDescent="0.35">
      <c r="A266">
        <v>202301</v>
      </c>
      <c r="B266">
        <v>22</v>
      </c>
      <c r="C266" s="2">
        <v>2554786.1020999998</v>
      </c>
      <c r="D266" s="2">
        <v>0.6754</v>
      </c>
      <c r="E266" s="3">
        <v>141181</v>
      </c>
      <c r="F266" s="2">
        <v>95352.361999999994</v>
      </c>
      <c r="G266" t="s">
        <v>973</v>
      </c>
      <c r="H266" t="s">
        <v>6</v>
      </c>
      <c r="I266">
        <f>HLOOKUP(G266,zip_tiers!$A$1:$EON$2,2,FALSE)</f>
        <v>119910</v>
      </c>
      <c r="J266" t="str">
        <f t="shared" si="4"/>
        <v>High</v>
      </c>
      <c r="K266">
        <f>dataset[[#This Row],[soda_sales]]/dataset[[#This Row],[soda_units_sold]]</f>
        <v>0.67539089537543995</v>
      </c>
      <c r="L266" s="29">
        <f>dataset[[#This Row],[implied_soda_ppu]]-dataset[[#This Row],[soda_ppu]]</f>
        <v>-9.1046245600523434E-6</v>
      </c>
      <c r="M266">
        <f>dataset[[#This Row],[soda_sales]]/dataset[[#This Row],[total_sales]]</f>
        <v>3.7323031435634334E-2</v>
      </c>
      <c r="N266">
        <f>LN(dataset[[#This Row],[soda_units_sold]])</f>
        <v>11.857798034080632</v>
      </c>
      <c r="O266">
        <f>LN(dataset[[#This Row],[soda_sales]])</f>
        <v>11.465334382614772</v>
      </c>
      <c r="P266">
        <f>LN(dataset[[#This Row],[soda_ppu]])</f>
        <v>-0.3924501710306697</v>
      </c>
      <c r="Q266">
        <f>IF(dataset[[#This Row],[state]]="VA",1,0)</f>
        <v>0</v>
      </c>
    </row>
    <row r="267" spans="1:17" x14ac:dyDescent="0.35">
      <c r="A267">
        <v>202302</v>
      </c>
      <c r="B267">
        <v>22</v>
      </c>
      <c r="C267" s="2">
        <v>2904504.4393000002</v>
      </c>
      <c r="D267" s="2">
        <v>0.6956</v>
      </c>
      <c r="E267" s="3">
        <v>161053</v>
      </c>
      <c r="F267" s="2">
        <v>112026.0641</v>
      </c>
      <c r="G267" t="s">
        <v>973</v>
      </c>
      <c r="H267" t="s">
        <v>6</v>
      </c>
      <c r="I267">
        <f>HLOOKUP(G267,zip_tiers!$A$1:$EON$2,2,FALSE)</f>
        <v>119910</v>
      </c>
      <c r="J267" t="str">
        <f t="shared" si="4"/>
        <v>High</v>
      </c>
      <c r="K267">
        <f>dataset[[#This Row],[soda_sales]]/dataset[[#This Row],[soda_units_sold]]</f>
        <v>0.6955850813086375</v>
      </c>
      <c r="L267" s="29">
        <f>dataset[[#This Row],[implied_soda_ppu]]-dataset[[#This Row],[soda_ppu]]</f>
        <v>-1.4918691362497682E-5</v>
      </c>
      <c r="M267">
        <f>dataset[[#This Row],[soda_sales]]/dataset[[#This Row],[total_sales]]</f>
        <v>3.8569768592606739E-2</v>
      </c>
      <c r="N267">
        <f>LN(dataset[[#This Row],[soda_units_sold]])</f>
        <v>11.989488782341207</v>
      </c>
      <c r="O267">
        <f>LN(dataset[[#This Row],[soda_sales]])</f>
        <v>11.626486838381826</v>
      </c>
      <c r="P267">
        <f>LN(dataset[[#This Row],[soda_ppu]])</f>
        <v>-0.36298049650200909</v>
      </c>
      <c r="Q267">
        <f>IF(dataset[[#This Row],[state]]="VA",1,0)</f>
        <v>0</v>
      </c>
    </row>
    <row r="268" spans="1:17" x14ac:dyDescent="0.35">
      <c r="A268">
        <v>202303</v>
      </c>
      <c r="B268">
        <v>22</v>
      </c>
      <c r="C268" s="2">
        <v>3192132.4487000001</v>
      </c>
      <c r="D268" s="2">
        <v>0.70099999999999996</v>
      </c>
      <c r="E268" s="3">
        <v>182441</v>
      </c>
      <c r="F268" s="2">
        <v>127890.0794</v>
      </c>
      <c r="G268" t="s">
        <v>973</v>
      </c>
      <c r="H268" t="s">
        <v>6</v>
      </c>
      <c r="I268">
        <f>HLOOKUP(G268,zip_tiers!$A$1:$EON$2,2,FALSE)</f>
        <v>119910</v>
      </c>
      <c r="J268" t="str">
        <f t="shared" si="4"/>
        <v>High</v>
      </c>
      <c r="K268">
        <f>dataset[[#This Row],[soda_sales]]/dataset[[#This Row],[soda_units_sold]]</f>
        <v>0.70099418113253054</v>
      </c>
      <c r="L268" s="29">
        <f>dataset[[#This Row],[implied_soda_ppu]]-dataset[[#This Row],[soda_ppu]]</f>
        <v>-5.8188674694203968E-6</v>
      </c>
      <c r="M268">
        <f>dataset[[#This Row],[soda_sales]]/dataset[[#This Row],[total_sales]]</f>
        <v>4.0064151928308422E-2</v>
      </c>
      <c r="N268">
        <f>LN(dataset[[#This Row],[soda_units_sold]])</f>
        <v>12.114182112064725</v>
      </c>
      <c r="O268">
        <f>LN(dataset[[#This Row],[soda_sales]])</f>
        <v>11.758926419273212</v>
      </c>
      <c r="P268">
        <f>LN(dataset[[#This Row],[soda_ppu]])</f>
        <v>-0.35524739194754701</v>
      </c>
      <c r="Q268">
        <f>IF(dataset[[#This Row],[state]]="VA",1,0)</f>
        <v>0</v>
      </c>
    </row>
    <row r="269" spans="1:17" x14ac:dyDescent="0.35">
      <c r="A269">
        <v>202304</v>
      </c>
      <c r="B269">
        <v>22</v>
      </c>
      <c r="C269" s="2">
        <v>3353896.0502999998</v>
      </c>
      <c r="D269" s="2">
        <v>0.69479999999999997</v>
      </c>
      <c r="E269" s="3">
        <v>214511</v>
      </c>
      <c r="F269" s="2">
        <v>149043.2341</v>
      </c>
      <c r="G269" t="s">
        <v>973</v>
      </c>
      <c r="H269" t="s">
        <v>6</v>
      </c>
      <c r="I269">
        <f>HLOOKUP(G269,zip_tiers!$A$1:$EON$2,2,FALSE)</f>
        <v>119910</v>
      </c>
      <c r="J269" t="str">
        <f t="shared" si="4"/>
        <v>High</v>
      </c>
      <c r="K269">
        <f>dataset[[#This Row],[soda_sales]]/dataset[[#This Row],[soda_units_sold]]</f>
        <v>0.69480462120823638</v>
      </c>
      <c r="L269" s="29">
        <f>dataset[[#This Row],[implied_soda_ppu]]-dataset[[#This Row],[soda_ppu]]</f>
        <v>4.6212082364105456E-6</v>
      </c>
      <c r="M269">
        <f>dataset[[#This Row],[soda_sales]]/dataset[[#This Row],[total_sales]]</f>
        <v>4.4438835272389662E-2</v>
      </c>
      <c r="N269">
        <f>LN(dataset[[#This Row],[soda_units_sold]])</f>
        <v>12.276116298086611</v>
      </c>
      <c r="O269">
        <f>LN(dataset[[#This Row],[soda_sales]])</f>
        <v>11.911991704583786</v>
      </c>
      <c r="P269">
        <f>LN(dataset[[#This Row],[soda_ppu]])</f>
        <v>-0.3641312446151872</v>
      </c>
      <c r="Q269">
        <f>IF(dataset[[#This Row],[state]]="VA",1,0)</f>
        <v>0</v>
      </c>
    </row>
    <row r="270" spans="1:17" x14ac:dyDescent="0.35">
      <c r="A270">
        <v>202305</v>
      </c>
      <c r="B270">
        <v>22</v>
      </c>
      <c r="C270" s="2">
        <v>3530950.4021000001</v>
      </c>
      <c r="D270" s="2">
        <v>0.67910000000000004</v>
      </c>
      <c r="E270" s="3">
        <v>243169</v>
      </c>
      <c r="F270" s="2">
        <v>165147.0226</v>
      </c>
      <c r="G270" t="s">
        <v>973</v>
      </c>
      <c r="H270" t="s">
        <v>6</v>
      </c>
      <c r="I270">
        <f>HLOOKUP(G270,zip_tiers!$A$1:$EON$2,2,FALSE)</f>
        <v>119910</v>
      </c>
      <c r="J270" t="str">
        <f t="shared" si="4"/>
        <v>High</v>
      </c>
      <c r="K270">
        <f>dataset[[#This Row],[soda_sales]]/dataset[[#This Row],[soda_units_sold]]</f>
        <v>0.67914504973907031</v>
      </c>
      <c r="L270" s="29">
        <f>dataset[[#This Row],[implied_soda_ppu]]-dataset[[#This Row],[soda_ppu]]</f>
        <v>4.5049739070268657E-5</v>
      </c>
      <c r="M270">
        <f>dataset[[#This Row],[soda_sales]]/dataset[[#This Row],[total_sales]]</f>
        <v>4.6771266597735367E-2</v>
      </c>
      <c r="N270">
        <f>LN(dataset[[#This Row],[soda_units_sold]])</f>
        <v>12.401511953844263</v>
      </c>
      <c r="O270">
        <f>LN(dataset[[#This Row],[soda_sales]])</f>
        <v>12.014591402197444</v>
      </c>
      <c r="P270">
        <f>LN(dataset[[#This Row],[soda_ppu]])</f>
        <v>-0.3869868868623913</v>
      </c>
      <c r="Q270">
        <f>IF(dataset[[#This Row],[state]]="VA",1,0)</f>
        <v>0</v>
      </c>
    </row>
    <row r="271" spans="1:17" x14ac:dyDescent="0.35">
      <c r="A271">
        <v>202306</v>
      </c>
      <c r="B271">
        <v>22</v>
      </c>
      <c r="C271" s="2">
        <v>3421419.8481000001</v>
      </c>
      <c r="D271" s="2">
        <v>0.69899999999999995</v>
      </c>
      <c r="E271" s="3">
        <v>250166</v>
      </c>
      <c r="F271" s="2">
        <v>174857.2537</v>
      </c>
      <c r="G271" t="s">
        <v>973</v>
      </c>
      <c r="H271" t="s">
        <v>6</v>
      </c>
      <c r="I271">
        <f>HLOOKUP(G271,zip_tiers!$A$1:$EON$2,2,FALSE)</f>
        <v>119910</v>
      </c>
      <c r="J271" t="str">
        <f t="shared" si="4"/>
        <v>High</v>
      </c>
      <c r="K271">
        <f>dataset[[#This Row],[soda_sales]]/dataset[[#This Row],[soda_units_sold]]</f>
        <v>0.69896490210500228</v>
      </c>
      <c r="L271" s="29">
        <f>dataset[[#This Row],[implied_soda_ppu]]-dataset[[#This Row],[soda_ppu]]</f>
        <v>-3.509789499767102E-5</v>
      </c>
      <c r="M271">
        <f>dataset[[#This Row],[soda_sales]]/dataset[[#This Row],[total_sales]]</f>
        <v>5.1106634515229871E-2</v>
      </c>
      <c r="N271">
        <f>LN(dataset[[#This Row],[soda_units_sold]])</f>
        <v>12.42987997649392</v>
      </c>
      <c r="O271">
        <f>LN(dataset[[#This Row],[soda_sales]])</f>
        <v>12.071725226904123</v>
      </c>
      <c r="P271">
        <f>LN(dataset[[#This Row],[soda_ppu]])</f>
        <v>-0.35810453674832687</v>
      </c>
      <c r="Q271">
        <f>IF(dataset[[#This Row],[state]]="VA",1,0)</f>
        <v>0</v>
      </c>
    </row>
    <row r="272" spans="1:17" x14ac:dyDescent="0.35">
      <c r="A272">
        <v>202307</v>
      </c>
      <c r="B272">
        <v>22</v>
      </c>
      <c r="C272" s="2">
        <v>3246816.3</v>
      </c>
      <c r="D272" s="2">
        <v>0.69289999999999996</v>
      </c>
      <c r="E272" s="3">
        <v>253694</v>
      </c>
      <c r="F272" s="2">
        <v>175779.08189999999</v>
      </c>
      <c r="G272" t="s">
        <v>973</v>
      </c>
      <c r="H272" t="s">
        <v>6</v>
      </c>
      <c r="I272">
        <f>HLOOKUP(G272,zip_tiers!$A$1:$EON$2,2,FALSE)</f>
        <v>119910</v>
      </c>
      <c r="J272" t="str">
        <f t="shared" si="4"/>
        <v>High</v>
      </c>
      <c r="K272">
        <f>dataset[[#This Row],[soda_sales]]/dataset[[#This Row],[soda_units_sold]]</f>
        <v>0.69287835699701206</v>
      </c>
      <c r="L272" s="29">
        <f>dataset[[#This Row],[implied_soda_ppu]]-dataset[[#This Row],[soda_ppu]]</f>
        <v>-2.1643002987903337E-5</v>
      </c>
      <c r="M272">
        <f>dataset[[#This Row],[soda_sales]]/dataset[[#This Row],[total_sales]]</f>
        <v>5.4138905825993296E-2</v>
      </c>
      <c r="N272">
        <f>LN(dataset[[#This Row],[soda_units_sold]])</f>
        <v>12.443884095327416</v>
      </c>
      <c r="O272">
        <f>LN(dataset[[#This Row],[soda_sales]])</f>
        <v>12.076983269098966</v>
      </c>
      <c r="P272">
        <f>LN(dataset[[#This Row],[soda_ppu]])</f>
        <v>-0.36686959034880151</v>
      </c>
      <c r="Q272">
        <f>IF(dataset[[#This Row],[state]]="VA",1,0)</f>
        <v>0</v>
      </c>
    </row>
    <row r="273" spans="1:17" x14ac:dyDescent="0.35">
      <c r="A273">
        <v>202308</v>
      </c>
      <c r="B273">
        <v>22</v>
      </c>
      <c r="C273" s="2">
        <v>3114046.6518999999</v>
      </c>
      <c r="D273" s="2">
        <v>0.69969999999999999</v>
      </c>
      <c r="E273" s="3">
        <v>228139</v>
      </c>
      <c r="F273" s="2">
        <v>159625.47229999999</v>
      </c>
      <c r="G273" t="s">
        <v>973</v>
      </c>
      <c r="H273" t="s">
        <v>6</v>
      </c>
      <c r="I273">
        <f>HLOOKUP(G273,zip_tiers!$A$1:$EON$2,2,FALSE)</f>
        <v>119910</v>
      </c>
      <c r="J273" t="str">
        <f t="shared" si="4"/>
        <v>High</v>
      </c>
      <c r="K273">
        <f>dataset[[#This Row],[soda_sales]]/dataset[[#This Row],[soda_units_sold]]</f>
        <v>0.69968515817111498</v>
      </c>
      <c r="L273" s="29">
        <f>dataset[[#This Row],[implied_soda_ppu]]-dataset[[#This Row],[soda_ppu]]</f>
        <v>-1.4841828885003849E-5</v>
      </c>
      <c r="M273">
        <f>dataset[[#This Row],[soda_sales]]/dataset[[#This Row],[total_sales]]</f>
        <v>5.1259820466275398E-2</v>
      </c>
      <c r="N273">
        <f>LN(dataset[[#This Row],[soda_units_sold]])</f>
        <v>12.337710371298854</v>
      </c>
      <c r="O273">
        <f>LN(dataset[[#This Row],[soda_sales]])</f>
        <v>11.980585552140173</v>
      </c>
      <c r="P273">
        <f>LN(dataset[[#This Row],[soda_ppu]])</f>
        <v>-0.357103607230286</v>
      </c>
      <c r="Q273">
        <f>IF(dataset[[#This Row],[state]]="VA",1,0)</f>
        <v>0</v>
      </c>
    </row>
    <row r="274" spans="1:17" x14ac:dyDescent="0.35">
      <c r="A274">
        <v>202309</v>
      </c>
      <c r="B274">
        <v>22</v>
      </c>
      <c r="C274" s="2">
        <v>3117967.2884</v>
      </c>
      <c r="D274" s="2">
        <v>0.6875</v>
      </c>
      <c r="E274" s="3">
        <v>221979</v>
      </c>
      <c r="F274" s="2">
        <v>152607.18919999999</v>
      </c>
      <c r="G274" t="s">
        <v>973</v>
      </c>
      <c r="H274" t="s">
        <v>6</v>
      </c>
      <c r="I274">
        <f>HLOOKUP(G274,zip_tiers!$A$1:$EON$2,2,FALSE)</f>
        <v>119910</v>
      </c>
      <c r="J274" t="str">
        <f t="shared" si="4"/>
        <v>High</v>
      </c>
      <c r="K274">
        <f>dataset[[#This Row],[soda_sales]]/dataset[[#This Row],[soda_units_sold]]</f>
        <v>0.68748480351744978</v>
      </c>
      <c r="L274" s="29">
        <f>dataset[[#This Row],[implied_soda_ppu]]-dataset[[#This Row],[soda_ppu]]</f>
        <v>-1.5196482550217105E-5</v>
      </c>
      <c r="M274">
        <f>dataset[[#This Row],[soda_sales]]/dataset[[#This Row],[total_sales]]</f>
        <v>4.8944448444906911E-2</v>
      </c>
      <c r="N274">
        <f>LN(dataset[[#This Row],[soda_units_sold]])</f>
        <v>12.310338061785471</v>
      </c>
      <c r="O274">
        <f>LN(dataset[[#This Row],[soda_sales]])</f>
        <v>11.935622508125146</v>
      </c>
      <c r="P274">
        <f>LN(dataset[[#This Row],[soda_ppu]])</f>
        <v>-0.3746934494414107</v>
      </c>
      <c r="Q274">
        <f>IF(dataset[[#This Row],[state]]="VA",1,0)</f>
        <v>0</v>
      </c>
    </row>
    <row r="275" spans="1:17" x14ac:dyDescent="0.35">
      <c r="A275">
        <v>202310</v>
      </c>
      <c r="B275">
        <v>22</v>
      </c>
      <c r="C275" s="2">
        <v>3805778.7577999998</v>
      </c>
      <c r="D275" s="2">
        <v>0.69989999999999997</v>
      </c>
      <c r="E275" s="3">
        <v>209476</v>
      </c>
      <c r="F275" s="2">
        <v>146612.47810000001</v>
      </c>
      <c r="G275" t="s">
        <v>973</v>
      </c>
      <c r="H275" t="s">
        <v>6</v>
      </c>
      <c r="I275">
        <f>HLOOKUP(G275,zip_tiers!$A$1:$EON$2,2,FALSE)</f>
        <v>119910</v>
      </c>
      <c r="J275" t="str">
        <f t="shared" si="4"/>
        <v>High</v>
      </c>
      <c r="K275">
        <f>dataset[[#This Row],[soda_sales]]/dataset[[#This Row],[soda_units_sold]]</f>
        <v>0.69990107745040009</v>
      </c>
      <c r="L275" s="29">
        <f>dataset[[#This Row],[implied_soda_ppu]]-dataset[[#This Row],[soda_ppu]]</f>
        <v>1.0774504001220819E-6</v>
      </c>
      <c r="M275">
        <f>dataset[[#This Row],[soda_sales]]/dataset[[#This Row],[total_sales]]</f>
        <v>3.8523647177207965E-2</v>
      </c>
      <c r="N275">
        <f>LN(dataset[[#This Row],[soda_units_sold]])</f>
        <v>12.252364453309452</v>
      </c>
      <c r="O275">
        <f>LN(dataset[[#This Row],[soda_sales]])</f>
        <v>11.895548181456402</v>
      </c>
      <c r="P275">
        <f>LN(dataset[[#This Row],[soda_ppu]])</f>
        <v>-0.35681781128664314</v>
      </c>
      <c r="Q275">
        <f>IF(dataset[[#This Row],[state]]="VA",1,0)</f>
        <v>0</v>
      </c>
    </row>
    <row r="276" spans="1:17" x14ac:dyDescent="0.35">
      <c r="A276">
        <v>202311</v>
      </c>
      <c r="B276">
        <v>22</v>
      </c>
      <c r="C276" s="2">
        <v>4339135.3682000004</v>
      </c>
      <c r="D276" s="2">
        <v>0.71009999999999995</v>
      </c>
      <c r="E276" s="3">
        <v>195472</v>
      </c>
      <c r="F276" s="2">
        <v>138800.65650000001</v>
      </c>
      <c r="G276" t="s">
        <v>973</v>
      </c>
      <c r="H276" t="s">
        <v>6</v>
      </c>
      <c r="I276">
        <f>HLOOKUP(G276,zip_tiers!$A$1:$EON$2,2,FALSE)</f>
        <v>119910</v>
      </c>
      <c r="J276" t="str">
        <f t="shared" si="4"/>
        <v>High</v>
      </c>
      <c r="K276">
        <f>dataset[[#This Row],[soda_sales]]/dataset[[#This Row],[soda_units_sold]]</f>
        <v>0.71007948197184256</v>
      </c>
      <c r="L276" s="29">
        <f>dataset[[#This Row],[implied_soda_ppu]]-dataset[[#This Row],[soda_ppu]]</f>
        <v>-2.0518028157390233E-5</v>
      </c>
      <c r="M276">
        <f>dataset[[#This Row],[soda_sales]]/dataset[[#This Row],[total_sales]]</f>
        <v>3.1988090880321757E-2</v>
      </c>
      <c r="N276">
        <f>LN(dataset[[#This Row],[soda_units_sold]])</f>
        <v>12.183172425643841</v>
      </c>
      <c r="O276">
        <f>LN(dataset[[#This Row],[soda_sales]])</f>
        <v>11.840794056870745</v>
      </c>
      <c r="P276">
        <f>LN(dataset[[#This Row],[soda_ppu]])</f>
        <v>-0.3423494737940892</v>
      </c>
      <c r="Q276">
        <f>IF(dataset[[#This Row],[state]]="VA",1,0)</f>
        <v>0</v>
      </c>
    </row>
    <row r="277" spans="1:17" x14ac:dyDescent="0.35">
      <c r="A277">
        <v>202312</v>
      </c>
      <c r="B277">
        <v>22</v>
      </c>
      <c r="C277" s="2">
        <v>4520055.7411000002</v>
      </c>
      <c r="D277" s="2">
        <v>0.70950000000000002</v>
      </c>
      <c r="E277" s="3">
        <v>189583</v>
      </c>
      <c r="F277" s="2">
        <v>134509.10990000001</v>
      </c>
      <c r="G277" t="s">
        <v>973</v>
      </c>
      <c r="H277" t="s">
        <v>6</v>
      </c>
      <c r="I277">
        <f>HLOOKUP(G277,zip_tiers!$A$1:$EON$2,2,FALSE)</f>
        <v>119910</v>
      </c>
      <c r="J277" t="str">
        <f t="shared" si="4"/>
        <v>High</v>
      </c>
      <c r="K277">
        <f>dataset[[#This Row],[soda_sales]]/dataset[[#This Row],[soda_units_sold]]</f>
        <v>0.7094998491425919</v>
      </c>
      <c r="L277" s="29">
        <f>dataset[[#This Row],[implied_soda_ppu]]-dataset[[#This Row],[soda_ppu]]</f>
        <v>-1.508574081210412E-7</v>
      </c>
      <c r="M277">
        <f>dataset[[#This Row],[soda_sales]]/dataset[[#This Row],[total_sales]]</f>
        <v>2.9758285650536224E-2</v>
      </c>
      <c r="N277">
        <f>LN(dataset[[#This Row],[soda_units_sold]])</f>
        <v>12.152582202335884</v>
      </c>
      <c r="O277">
        <f>LN(dataset[[#This Row],[soda_sales]])</f>
        <v>11.809387207328863</v>
      </c>
      <c r="P277">
        <f>LN(dataset[[#This Row],[soda_ppu]])</f>
        <v>-0.34319478238203965</v>
      </c>
      <c r="Q277">
        <f>IF(dataset[[#This Row],[state]]="VA",1,0)</f>
        <v>0</v>
      </c>
    </row>
    <row r="278" spans="1:17" x14ac:dyDescent="0.35">
      <c r="A278">
        <v>202401</v>
      </c>
      <c r="B278">
        <v>22</v>
      </c>
      <c r="C278" s="2">
        <v>2601205.855</v>
      </c>
      <c r="D278" s="2">
        <v>0.72550000000000003</v>
      </c>
      <c r="E278" s="3">
        <v>138549</v>
      </c>
      <c r="F278" s="2">
        <v>100515.4066</v>
      </c>
      <c r="G278" t="s">
        <v>973</v>
      </c>
      <c r="H278" t="s">
        <v>6</v>
      </c>
      <c r="I278">
        <f>HLOOKUP(G278,zip_tiers!$A$1:$EON$2,2,FALSE)</f>
        <v>119910</v>
      </c>
      <c r="J278" t="str">
        <f t="shared" si="4"/>
        <v>High</v>
      </c>
      <c r="K278">
        <f>dataset[[#This Row],[soda_sales]]/dataset[[#This Row],[soda_units_sold]]</f>
        <v>0.72548633768558413</v>
      </c>
      <c r="L278" s="29">
        <f>dataset[[#This Row],[implied_soda_ppu]]-dataset[[#This Row],[soda_ppu]]</f>
        <v>-1.3662314415907595E-5</v>
      </c>
      <c r="M278">
        <f>dataset[[#This Row],[soda_sales]]/dataset[[#This Row],[total_sales]]</f>
        <v>3.8641850050733492E-2</v>
      </c>
      <c r="N278">
        <f>LN(dataset[[#This Row],[soda_units_sold]])</f>
        <v>11.838979332654107</v>
      </c>
      <c r="O278">
        <f>LN(dataset[[#This Row],[soda_sales]])</f>
        <v>11.518066294234588</v>
      </c>
      <c r="P278">
        <f>LN(dataset[[#This Row],[soda_ppu]])</f>
        <v>-0.32089420665789448</v>
      </c>
      <c r="Q278">
        <f>IF(dataset[[#This Row],[state]]="VA",1,0)</f>
        <v>0</v>
      </c>
    </row>
    <row r="279" spans="1:17" x14ac:dyDescent="0.35">
      <c r="A279">
        <v>202402</v>
      </c>
      <c r="B279">
        <v>22</v>
      </c>
      <c r="C279" s="2">
        <v>2890068.9460999998</v>
      </c>
      <c r="D279" s="2">
        <v>0.70809999999999995</v>
      </c>
      <c r="E279" s="3">
        <v>156933</v>
      </c>
      <c r="F279" s="2">
        <v>111121.3441</v>
      </c>
      <c r="G279" t="s">
        <v>973</v>
      </c>
      <c r="H279" t="s">
        <v>6</v>
      </c>
      <c r="I279">
        <f>HLOOKUP(G279,zip_tiers!$A$1:$EON$2,2,FALSE)</f>
        <v>119910</v>
      </c>
      <c r="J279" t="str">
        <f t="shared" si="4"/>
        <v>High</v>
      </c>
      <c r="K279">
        <f>dataset[[#This Row],[soda_sales]]/dataset[[#This Row],[soda_units_sold]]</f>
        <v>0.7080814366640541</v>
      </c>
      <c r="L279" s="29">
        <f>dataset[[#This Row],[implied_soda_ppu]]-dataset[[#This Row],[soda_ppu]]</f>
        <v>-1.8563335945853687E-5</v>
      </c>
      <c r="M279">
        <f>dataset[[#This Row],[soda_sales]]/dataset[[#This Row],[total_sales]]</f>
        <v>3.8449374797771718E-2</v>
      </c>
      <c r="N279">
        <f>LN(dataset[[#This Row],[soda_units_sold]])</f>
        <v>11.963574241653713</v>
      </c>
      <c r="O279">
        <f>LN(dataset[[#This Row],[soda_sales]])</f>
        <v>11.618378073287396</v>
      </c>
      <c r="P279">
        <f>LN(dataset[[#This Row],[soda_ppu]])</f>
        <v>-0.34516995232440884</v>
      </c>
      <c r="Q279">
        <f>IF(dataset[[#This Row],[state]]="VA",1,0)</f>
        <v>0</v>
      </c>
    </row>
    <row r="280" spans="1:17" x14ac:dyDescent="0.35">
      <c r="A280">
        <v>202403</v>
      </c>
      <c r="B280">
        <v>22</v>
      </c>
      <c r="C280" s="2">
        <v>3317856.0751999998</v>
      </c>
      <c r="D280" s="2">
        <v>0.70469999999999999</v>
      </c>
      <c r="E280" s="3">
        <v>193139</v>
      </c>
      <c r="F280" s="2">
        <v>136104.9283</v>
      </c>
      <c r="G280" t="s">
        <v>973</v>
      </c>
      <c r="H280" t="s">
        <v>6</v>
      </c>
      <c r="I280">
        <f>HLOOKUP(G280,zip_tiers!$A$1:$EON$2,2,FALSE)</f>
        <v>119910</v>
      </c>
      <c r="J280" t="str">
        <f t="shared" si="4"/>
        <v>High</v>
      </c>
      <c r="K280">
        <f>dataset[[#This Row],[soda_sales]]/dataset[[#This Row],[soda_units_sold]]</f>
        <v>0.704699352797726</v>
      </c>
      <c r="L280" s="29">
        <f>dataset[[#This Row],[implied_soda_ppu]]-dataset[[#This Row],[soda_ppu]]</f>
        <v>-6.4720227399561736E-7</v>
      </c>
      <c r="M280">
        <f>dataset[[#This Row],[soda_sales]]/dataset[[#This Row],[total_sales]]</f>
        <v>4.1021950685969887E-2</v>
      </c>
      <c r="N280">
        <f>LN(dataset[[#This Row],[soda_units_sold]])</f>
        <v>12.171165415916121</v>
      </c>
      <c r="O280">
        <f>LN(dataset[[#This Row],[soda_sales]])</f>
        <v>11.821181398858316</v>
      </c>
      <c r="P280">
        <f>LN(dataset[[#This Row],[soda_ppu]])</f>
        <v>-0.34998309864916027</v>
      </c>
      <c r="Q280">
        <f>IF(dataset[[#This Row],[state]]="VA",1,0)</f>
        <v>0</v>
      </c>
    </row>
    <row r="281" spans="1:17" x14ac:dyDescent="0.35">
      <c r="A281">
        <v>202404</v>
      </c>
      <c r="B281">
        <v>22</v>
      </c>
      <c r="C281" s="2">
        <v>3468450.6279000002</v>
      </c>
      <c r="D281" s="2">
        <v>0.72760000000000002</v>
      </c>
      <c r="E281" s="3">
        <v>213295</v>
      </c>
      <c r="F281" s="2">
        <v>155193.1808</v>
      </c>
      <c r="G281" t="s">
        <v>973</v>
      </c>
      <c r="H281" t="s">
        <v>6</v>
      </c>
      <c r="I281">
        <f>HLOOKUP(G281,zip_tiers!$A$1:$EON$2,2,FALSE)</f>
        <v>119910</v>
      </c>
      <c r="J281" t="str">
        <f t="shared" si="4"/>
        <v>High</v>
      </c>
      <c r="K281">
        <f>dataset[[#This Row],[soda_sales]]/dataset[[#This Row],[soda_units_sold]]</f>
        <v>0.72759877540495554</v>
      </c>
      <c r="L281" s="29">
        <f>dataset[[#This Row],[implied_soda_ppu]]-dataset[[#This Row],[soda_ppu]]</f>
        <v>-1.2245950444800258E-6</v>
      </c>
      <c r="M281">
        <f>dataset[[#This Row],[soda_sales]]/dataset[[#This Row],[total_sales]]</f>
        <v>4.4744238119359618E-2</v>
      </c>
      <c r="N281">
        <f>LN(dataset[[#This Row],[soda_units_sold]])</f>
        <v>12.270431463022012</v>
      </c>
      <c r="O281">
        <f>LN(dataset[[#This Row],[soda_sales]])</f>
        <v>11.952425947621617</v>
      </c>
      <c r="P281">
        <f>LN(dataset[[#This Row],[soda_ppu]])</f>
        <v>-0.31800383233816981</v>
      </c>
      <c r="Q281">
        <f>IF(dataset[[#This Row],[state]]="VA",1,0)</f>
        <v>0</v>
      </c>
    </row>
    <row r="282" spans="1:17" x14ac:dyDescent="0.35">
      <c r="A282">
        <v>202405</v>
      </c>
      <c r="B282">
        <v>22</v>
      </c>
      <c r="C282" s="2">
        <v>3673476.7156000002</v>
      </c>
      <c r="D282" s="2">
        <v>0.70340000000000003</v>
      </c>
      <c r="E282" s="3">
        <v>241398</v>
      </c>
      <c r="F282" s="2">
        <v>169808.508</v>
      </c>
      <c r="G282" t="s">
        <v>973</v>
      </c>
      <c r="H282" t="s">
        <v>6</v>
      </c>
      <c r="I282">
        <f>HLOOKUP(G282,zip_tiers!$A$1:$EON$2,2,FALSE)</f>
        <v>119910</v>
      </c>
      <c r="J282" t="str">
        <f t="shared" si="4"/>
        <v>High</v>
      </c>
      <c r="K282">
        <f>dataset[[#This Row],[soda_sales]]/dataset[[#This Row],[soda_units_sold]]</f>
        <v>0.7034379240921631</v>
      </c>
      <c r="L282" s="29">
        <f>dataset[[#This Row],[implied_soda_ppu]]-dataset[[#This Row],[soda_ppu]]</f>
        <v>3.7924092163077461E-5</v>
      </c>
      <c r="M282">
        <f>dataset[[#This Row],[soda_sales]]/dataset[[#This Row],[total_sales]]</f>
        <v>4.6225557189155796E-2</v>
      </c>
      <c r="N282">
        <f>LN(dataset[[#This Row],[soda_units_sold]])</f>
        <v>12.394202302607106</v>
      </c>
      <c r="O282">
        <f>LN(dataset[[#This Row],[soda_sales]])</f>
        <v>12.042426657611188</v>
      </c>
      <c r="P282">
        <f>LN(dataset[[#This Row],[soda_ppu]])</f>
        <v>-0.35182955894225493</v>
      </c>
      <c r="Q282">
        <f>IF(dataset[[#This Row],[state]]="VA",1,0)</f>
        <v>0</v>
      </c>
    </row>
    <row r="283" spans="1:17" x14ac:dyDescent="0.35">
      <c r="A283">
        <v>202406</v>
      </c>
      <c r="B283">
        <v>22</v>
      </c>
      <c r="C283" s="2">
        <v>3533467.0992000001</v>
      </c>
      <c r="D283" s="2">
        <v>0.75229999999999997</v>
      </c>
      <c r="E283" s="3">
        <v>243409</v>
      </c>
      <c r="F283" s="2">
        <v>183107.70120000001</v>
      </c>
      <c r="G283" t="s">
        <v>973</v>
      </c>
      <c r="H283" t="s">
        <v>6</v>
      </c>
      <c r="I283">
        <f>HLOOKUP(G283,zip_tiers!$A$1:$EON$2,2,FALSE)</f>
        <v>119910</v>
      </c>
      <c r="J283" t="str">
        <f t="shared" si="4"/>
        <v>High</v>
      </c>
      <c r="K283">
        <f>dataset[[#This Row],[soda_sales]]/dataset[[#This Row],[soda_units_sold]]</f>
        <v>0.75226347916469816</v>
      </c>
      <c r="L283" s="29">
        <f>dataset[[#This Row],[implied_soda_ppu]]-dataset[[#This Row],[soda_ppu]]</f>
        <v>-3.6520835301812049E-5</v>
      </c>
      <c r="M283">
        <f>dataset[[#This Row],[soda_sales]]/dataset[[#This Row],[total_sales]]</f>
        <v>5.1820972449823227E-2</v>
      </c>
      <c r="N283">
        <f>LN(dataset[[#This Row],[soda_units_sold]])</f>
        <v>12.402498435022874</v>
      </c>
      <c r="O283">
        <f>LN(dataset[[#This Row],[soda_sales]])</f>
        <v>12.117829789854563</v>
      </c>
      <c r="P283">
        <f>LN(dataset[[#This Row],[soda_ppu]])</f>
        <v>-0.2846200984159612</v>
      </c>
      <c r="Q283">
        <f>IF(dataset[[#This Row],[state]]="VA",1,0)</f>
        <v>0</v>
      </c>
    </row>
    <row r="284" spans="1:17" x14ac:dyDescent="0.35">
      <c r="A284">
        <v>202407</v>
      </c>
      <c r="B284">
        <v>22</v>
      </c>
      <c r="C284" s="2">
        <v>3255286.4739000001</v>
      </c>
      <c r="D284" s="2">
        <v>0.7601</v>
      </c>
      <c r="E284" s="3">
        <v>243321</v>
      </c>
      <c r="F284" s="2">
        <v>184956.96789999999</v>
      </c>
      <c r="G284" t="s">
        <v>973</v>
      </c>
      <c r="H284" t="s">
        <v>6</v>
      </c>
      <c r="I284">
        <f>HLOOKUP(G284,zip_tiers!$A$1:$EON$2,2,FALSE)</f>
        <v>119910</v>
      </c>
      <c r="J284" t="str">
        <f t="shared" si="4"/>
        <v>High</v>
      </c>
      <c r="K284">
        <f>dataset[[#This Row],[soda_sales]]/dataset[[#This Row],[soda_units_sold]]</f>
        <v>0.76013565577981346</v>
      </c>
      <c r="L284" s="29">
        <f>dataset[[#This Row],[implied_soda_ppu]]-dataset[[#This Row],[soda_ppu]]</f>
        <v>3.5655779813459354E-5</v>
      </c>
      <c r="M284">
        <f>dataset[[#This Row],[soda_sales]]/dataset[[#This Row],[total_sales]]</f>
        <v>5.681741664917498E-2</v>
      </c>
      <c r="N284">
        <f>LN(dataset[[#This Row],[soda_units_sold]])</f>
        <v>12.402136838240432</v>
      </c>
      <c r="O284">
        <f>LN(dataset[[#This Row],[soda_sales]])</f>
        <v>12.127878471057556</v>
      </c>
      <c r="P284">
        <f>LN(dataset[[#This Row],[soda_ppu]])</f>
        <v>-0.27430527541014232</v>
      </c>
      <c r="Q284">
        <f>IF(dataset[[#This Row],[state]]="VA",1,0)</f>
        <v>0</v>
      </c>
    </row>
    <row r="285" spans="1:17" x14ac:dyDescent="0.35">
      <c r="A285">
        <v>202408</v>
      </c>
      <c r="B285">
        <v>22</v>
      </c>
      <c r="C285" s="2">
        <v>3191234.9133000001</v>
      </c>
      <c r="D285" s="2">
        <v>0.7248</v>
      </c>
      <c r="E285" s="3">
        <v>222338</v>
      </c>
      <c r="F285" s="2">
        <v>161158.58910000001</v>
      </c>
      <c r="G285" t="s">
        <v>973</v>
      </c>
      <c r="H285" t="s">
        <v>6</v>
      </c>
      <c r="I285">
        <f>HLOOKUP(G285,zip_tiers!$A$1:$EON$2,2,FALSE)</f>
        <v>119910</v>
      </c>
      <c r="J285" t="str">
        <f t="shared" si="4"/>
        <v>High</v>
      </c>
      <c r="K285">
        <f>dataset[[#This Row],[soda_sales]]/dataset[[#This Row],[soda_units_sold]]</f>
        <v>0.72483601138806686</v>
      </c>
      <c r="L285" s="29">
        <f>dataset[[#This Row],[implied_soda_ppu]]-dataset[[#This Row],[soda_ppu]]</f>
        <v>3.6011388066858885E-5</v>
      </c>
      <c r="M285">
        <f>dataset[[#This Row],[soda_sales]]/dataset[[#This Row],[total_sales]]</f>
        <v>5.0500384170511829E-2</v>
      </c>
      <c r="N285">
        <f>LN(dataset[[#This Row],[soda_units_sold]])</f>
        <v>12.311954025514622</v>
      </c>
      <c r="O285">
        <f>LN(dataset[[#This Row],[soda_sales]])</f>
        <v>11.990144184613202</v>
      </c>
      <c r="P285">
        <f>LN(dataset[[#This Row],[soda_ppu]])</f>
        <v>-0.3218595242533675</v>
      </c>
      <c r="Q285">
        <f>IF(dataset[[#This Row],[state]]="VA",1,0)</f>
        <v>0</v>
      </c>
    </row>
    <row r="286" spans="1:17" x14ac:dyDescent="0.35">
      <c r="A286">
        <v>202409</v>
      </c>
      <c r="B286">
        <v>22</v>
      </c>
      <c r="C286" s="2">
        <v>3181024.3054</v>
      </c>
      <c r="D286" s="2">
        <v>0.75139999999999996</v>
      </c>
      <c r="E286" s="3">
        <v>209065</v>
      </c>
      <c r="F286" s="2">
        <v>157083.08350000001</v>
      </c>
      <c r="G286" t="s">
        <v>973</v>
      </c>
      <c r="H286" t="s">
        <v>6</v>
      </c>
      <c r="I286">
        <f>HLOOKUP(G286,zip_tiers!$A$1:$EON$2,2,FALSE)</f>
        <v>119910</v>
      </c>
      <c r="J286" t="str">
        <f t="shared" si="4"/>
        <v>High</v>
      </c>
      <c r="K286">
        <f>dataset[[#This Row],[soda_sales]]/dataset[[#This Row],[soda_units_sold]]</f>
        <v>0.75136002439432714</v>
      </c>
      <c r="L286" s="29">
        <f>dataset[[#This Row],[implied_soda_ppu]]-dataset[[#This Row],[soda_ppu]]</f>
        <v>-3.9975605672815107E-5</v>
      </c>
      <c r="M286">
        <f>dataset[[#This Row],[soda_sales]]/dataset[[#This Row],[total_sales]]</f>
        <v>4.9381289930209286E-2</v>
      </c>
      <c r="N286">
        <f>LN(dataset[[#This Row],[soda_units_sold]])</f>
        <v>12.250400487379673</v>
      </c>
      <c r="O286">
        <f>LN(dataset[[#This Row],[soda_sales]])</f>
        <v>11.964530138624054</v>
      </c>
      <c r="P286">
        <f>LN(dataset[[#This Row],[soda_ppu]])</f>
        <v>-0.28581714584226858</v>
      </c>
      <c r="Q286">
        <f>IF(dataset[[#This Row],[state]]="VA",1,0)</f>
        <v>0</v>
      </c>
    </row>
    <row r="287" spans="1:17" x14ac:dyDescent="0.35">
      <c r="A287">
        <v>202410</v>
      </c>
      <c r="B287">
        <v>22</v>
      </c>
      <c r="C287" s="2">
        <v>3895684.6335</v>
      </c>
      <c r="D287" s="2">
        <v>0.76519999999999999</v>
      </c>
      <c r="E287" s="3">
        <v>198935</v>
      </c>
      <c r="F287" s="2">
        <v>152232.26860000001</v>
      </c>
      <c r="G287" t="s">
        <v>973</v>
      </c>
      <c r="H287" t="s">
        <v>6</v>
      </c>
      <c r="I287">
        <f>HLOOKUP(G287,zip_tiers!$A$1:$EON$2,2,FALSE)</f>
        <v>119910</v>
      </c>
      <c r="J287" t="str">
        <f t="shared" si="4"/>
        <v>High</v>
      </c>
      <c r="K287">
        <f>dataset[[#This Row],[soda_sales]]/dataset[[#This Row],[soda_units_sold]]</f>
        <v>0.76523622590293316</v>
      </c>
      <c r="L287" s="29">
        <f>dataset[[#This Row],[implied_soda_ppu]]-dataset[[#This Row],[soda_ppu]]</f>
        <v>3.6225902933173515E-5</v>
      </c>
      <c r="M287">
        <f>dataset[[#This Row],[soda_sales]]/dataset[[#This Row],[total_sales]]</f>
        <v>3.9077154061936979E-2</v>
      </c>
      <c r="N287">
        <f>LN(dataset[[#This Row],[soda_units_sold]])</f>
        <v>12.200733417184569</v>
      </c>
      <c r="O287">
        <f>LN(dataset[[#This Row],[soda_sales]])</f>
        <v>11.933162716392498</v>
      </c>
      <c r="P287">
        <f>LN(dataset[[#This Row],[soda_ppu]])</f>
        <v>-0.26761804141603923</v>
      </c>
      <c r="Q287">
        <f>IF(dataset[[#This Row],[state]]="VA",1,0)</f>
        <v>0</v>
      </c>
    </row>
    <row r="288" spans="1:17" x14ac:dyDescent="0.35">
      <c r="A288">
        <v>202411</v>
      </c>
      <c r="B288">
        <v>22</v>
      </c>
      <c r="C288" s="2">
        <v>4392112.5021000002</v>
      </c>
      <c r="D288" s="2">
        <v>0.75449999999999995</v>
      </c>
      <c r="E288" s="3">
        <v>193694</v>
      </c>
      <c r="F288" s="2">
        <v>146138.51319999999</v>
      </c>
      <c r="G288" t="s">
        <v>973</v>
      </c>
      <c r="H288" t="s">
        <v>6</v>
      </c>
      <c r="I288">
        <f>HLOOKUP(G288,zip_tiers!$A$1:$EON$2,2,FALSE)</f>
        <v>119910</v>
      </c>
      <c r="J288" t="str">
        <f t="shared" si="4"/>
        <v>High</v>
      </c>
      <c r="K288">
        <f>dataset[[#This Row],[soda_sales]]/dataset[[#This Row],[soda_units_sold]]</f>
        <v>0.75448136338761129</v>
      </c>
      <c r="L288" s="29">
        <f>dataset[[#This Row],[implied_soda_ppu]]-dataset[[#This Row],[soda_ppu]]</f>
        <v>-1.8636612388656104E-5</v>
      </c>
      <c r="M288">
        <f>dataset[[#This Row],[soda_sales]]/dataset[[#This Row],[total_sales]]</f>
        <v>3.3272943971750908E-2</v>
      </c>
      <c r="N288">
        <f>LN(dataset[[#This Row],[soda_units_sold]])</f>
        <v>12.174034873179655</v>
      </c>
      <c r="O288">
        <f>LN(dataset[[#This Row],[soda_sales]])</f>
        <v>11.892310171487516</v>
      </c>
      <c r="P288">
        <f>LN(dataset[[#This Row],[soda_ppu]])</f>
        <v>-0.28170000077423352</v>
      </c>
      <c r="Q288">
        <f>IF(dataset[[#This Row],[state]]="VA",1,0)</f>
        <v>0</v>
      </c>
    </row>
    <row r="289" spans="1:17" x14ac:dyDescent="0.35">
      <c r="A289">
        <v>202412</v>
      </c>
      <c r="B289">
        <v>22</v>
      </c>
      <c r="C289" s="2">
        <v>4578177.6626000004</v>
      </c>
      <c r="D289" s="2">
        <v>0.74619999999999997</v>
      </c>
      <c r="E289" s="3">
        <v>185679</v>
      </c>
      <c r="F289" s="2">
        <v>138560.3413</v>
      </c>
      <c r="G289" t="s">
        <v>973</v>
      </c>
      <c r="H289" t="s">
        <v>6</v>
      </c>
      <c r="I289">
        <f>HLOOKUP(G289,zip_tiers!$A$1:$EON$2,2,FALSE)</f>
        <v>119910</v>
      </c>
      <c r="J289" t="str">
        <f t="shared" si="4"/>
        <v>High</v>
      </c>
      <c r="K289">
        <f>dataset[[#This Row],[soda_sales]]/dataset[[#This Row],[soda_units_sold]]</f>
        <v>0.74623593028829327</v>
      </c>
      <c r="L289" s="29">
        <f>dataset[[#This Row],[implied_soda_ppu]]-dataset[[#This Row],[soda_ppu]]</f>
        <v>3.5930288293295476E-5</v>
      </c>
      <c r="M289">
        <f>dataset[[#This Row],[soda_sales]]/dataset[[#This Row],[total_sales]]</f>
        <v>3.0265391933547194E-2</v>
      </c>
      <c r="N289">
        <f>LN(dataset[[#This Row],[soda_units_sold]])</f>
        <v>12.131774655324165</v>
      </c>
      <c r="O289">
        <f>LN(dataset[[#This Row],[soda_sales]])</f>
        <v>11.839061186986068</v>
      </c>
      <c r="P289">
        <f>LN(dataset[[#This Row],[soda_ppu]])</f>
        <v>-0.29276161819507962</v>
      </c>
      <c r="Q289">
        <f>IF(dataset[[#This Row],[state]]="VA",1,0)</f>
        <v>0</v>
      </c>
    </row>
    <row r="290" spans="1:17" x14ac:dyDescent="0.35">
      <c r="A290">
        <v>202201</v>
      </c>
      <c r="B290">
        <v>81</v>
      </c>
      <c r="C290" s="2">
        <v>2837392.1951000001</v>
      </c>
      <c r="D290" s="2">
        <v>0.70730000000000004</v>
      </c>
      <c r="E290" s="3">
        <v>82702</v>
      </c>
      <c r="F290" s="2">
        <v>58498.474999999999</v>
      </c>
      <c r="G290" t="s">
        <v>1004</v>
      </c>
      <c r="H290" t="s">
        <v>6</v>
      </c>
      <c r="I290">
        <f>HLOOKUP(G290,zip_tiers!$A$1:$EON$2,2,FALSE)</f>
        <v>159532</v>
      </c>
      <c r="J290" t="str">
        <f t="shared" si="4"/>
        <v>High</v>
      </c>
      <c r="K290">
        <f>dataset[[#This Row],[soda_sales]]/dataset[[#This Row],[soda_units_sold]]</f>
        <v>0.70734051171676615</v>
      </c>
      <c r="L290" s="29">
        <f>dataset[[#This Row],[implied_soda_ppu]]-dataset[[#This Row],[soda_ppu]]</f>
        <v>4.0511716766111761E-5</v>
      </c>
      <c r="M290">
        <f>dataset[[#This Row],[soda_sales]]/dataset[[#This Row],[total_sales]]</f>
        <v>2.061698594259307E-2</v>
      </c>
      <c r="N290">
        <f>LN(dataset[[#This Row],[soda_units_sold]])</f>
        <v>11.322999064516216</v>
      </c>
      <c r="O290">
        <f>LN(dataset[[#This Row],[soda_sales]])</f>
        <v>10.976755964504093</v>
      </c>
      <c r="P290">
        <f>LN(dataset[[#This Row],[soda_ppu]])</f>
        <v>-0.34630037494019272</v>
      </c>
      <c r="Q290">
        <f>IF(dataset[[#This Row],[state]]="VA",1,0)</f>
        <v>0</v>
      </c>
    </row>
    <row r="291" spans="1:17" x14ac:dyDescent="0.35">
      <c r="A291">
        <v>202202</v>
      </c>
      <c r="B291">
        <v>81</v>
      </c>
      <c r="C291" s="2">
        <v>3273545.8966000001</v>
      </c>
      <c r="D291" s="2">
        <v>0.73570000000000002</v>
      </c>
      <c r="E291" s="3">
        <v>92127</v>
      </c>
      <c r="F291" s="2">
        <v>67776.588799999998</v>
      </c>
      <c r="G291" t="s">
        <v>1004</v>
      </c>
      <c r="H291" t="s">
        <v>6</v>
      </c>
      <c r="I291">
        <f>HLOOKUP(G291,zip_tiers!$A$1:$EON$2,2,FALSE)</f>
        <v>159532</v>
      </c>
      <c r="J291" t="str">
        <f t="shared" si="4"/>
        <v>High</v>
      </c>
      <c r="K291">
        <f>dataset[[#This Row],[soda_sales]]/dataset[[#This Row],[soda_units_sold]]</f>
        <v>0.73568648496097777</v>
      </c>
      <c r="L291" s="29">
        <f>dataset[[#This Row],[implied_soda_ppu]]-dataset[[#This Row],[soda_ppu]]</f>
        <v>-1.3515039022249375E-5</v>
      </c>
      <c r="M291">
        <f>dataset[[#This Row],[soda_sales]]/dataset[[#This Row],[total_sales]]</f>
        <v>2.0704334364272922E-2</v>
      </c>
      <c r="N291">
        <f>LN(dataset[[#This Row],[soda_units_sold]])</f>
        <v>11.430923338889636</v>
      </c>
      <c r="O291">
        <f>LN(dataset[[#This Row],[soda_sales]])</f>
        <v>11.123972116364325</v>
      </c>
      <c r="P291">
        <f>LN(dataset[[#This Row],[soda_ppu]])</f>
        <v>-0.30693285204391829</v>
      </c>
      <c r="Q291">
        <f>IF(dataset[[#This Row],[state]]="VA",1,0)</f>
        <v>0</v>
      </c>
    </row>
    <row r="292" spans="1:17" x14ac:dyDescent="0.35">
      <c r="A292">
        <v>202203</v>
      </c>
      <c r="B292">
        <v>81</v>
      </c>
      <c r="C292" s="2">
        <v>3675555.6257000002</v>
      </c>
      <c r="D292" s="2">
        <v>0.74560000000000004</v>
      </c>
      <c r="E292" s="3">
        <v>109555</v>
      </c>
      <c r="F292" s="2">
        <v>81689.4948</v>
      </c>
      <c r="G292" t="s">
        <v>1004</v>
      </c>
      <c r="H292" t="s">
        <v>6</v>
      </c>
      <c r="I292">
        <f>HLOOKUP(G292,zip_tiers!$A$1:$EON$2,2,FALSE)</f>
        <v>159532</v>
      </c>
      <c r="J292" t="str">
        <f t="shared" si="4"/>
        <v>High</v>
      </c>
      <c r="K292">
        <f>dataset[[#This Row],[soda_sales]]/dataset[[#This Row],[soda_units_sold]]</f>
        <v>0.74564825703984305</v>
      </c>
      <c r="L292" s="29">
        <f>dataset[[#This Row],[implied_soda_ppu]]-dataset[[#This Row],[soda_ppu]]</f>
        <v>4.8257039843013771E-5</v>
      </c>
      <c r="M292">
        <f>dataset[[#This Row],[soda_sales]]/dataset[[#This Row],[total_sales]]</f>
        <v>2.2225073735468892E-2</v>
      </c>
      <c r="N292">
        <f>LN(dataset[[#This Row],[soda_units_sold]])</f>
        <v>11.60418198524178</v>
      </c>
      <c r="O292">
        <f>LN(dataset[[#This Row],[soda_sales]])</f>
        <v>11.310680689961302</v>
      </c>
      <c r="P292">
        <f>LN(dataset[[#This Row],[soda_ppu]])</f>
        <v>-0.29356601561075557</v>
      </c>
      <c r="Q292">
        <f>IF(dataset[[#This Row],[state]]="VA",1,0)</f>
        <v>0</v>
      </c>
    </row>
    <row r="293" spans="1:17" x14ac:dyDescent="0.35">
      <c r="A293">
        <v>202204</v>
      </c>
      <c r="B293">
        <v>81</v>
      </c>
      <c r="C293" s="2">
        <v>3831699.3706999999</v>
      </c>
      <c r="D293" s="2">
        <v>0.74670000000000003</v>
      </c>
      <c r="E293" s="3">
        <v>125528</v>
      </c>
      <c r="F293" s="2">
        <v>93732.418999999994</v>
      </c>
      <c r="G293" t="s">
        <v>1004</v>
      </c>
      <c r="H293" t="s">
        <v>6</v>
      </c>
      <c r="I293">
        <f>HLOOKUP(G293,zip_tiers!$A$1:$EON$2,2,FALSE)</f>
        <v>159532</v>
      </c>
      <c r="J293" t="str">
        <f t="shared" si="4"/>
        <v>High</v>
      </c>
      <c r="K293">
        <f>dataset[[#This Row],[soda_sales]]/dataset[[#This Row],[soda_units_sold]]</f>
        <v>0.74670526894398059</v>
      </c>
      <c r="L293" s="29">
        <f>dataset[[#This Row],[implied_soda_ppu]]-dataset[[#This Row],[soda_ppu]]</f>
        <v>5.2689439805631011E-6</v>
      </c>
      <c r="M293">
        <f>dataset[[#This Row],[soda_sales]]/dataset[[#This Row],[total_sales]]</f>
        <v>2.4462362500760684E-2</v>
      </c>
      <c r="N293">
        <f>LN(dataset[[#This Row],[soda_units_sold]])</f>
        <v>11.740284120238904</v>
      </c>
      <c r="O293">
        <f>LN(dataset[[#This Row],[soda_sales]])</f>
        <v>11.448199395579916</v>
      </c>
      <c r="P293">
        <f>LN(dataset[[#This Row],[soda_ppu]])</f>
        <v>-0.29209178094048099</v>
      </c>
      <c r="Q293">
        <f>IF(dataset[[#This Row],[state]]="VA",1,0)</f>
        <v>0</v>
      </c>
    </row>
    <row r="294" spans="1:17" x14ac:dyDescent="0.35">
      <c r="A294">
        <v>202205</v>
      </c>
      <c r="B294">
        <v>81</v>
      </c>
      <c r="C294" s="2">
        <v>4054520.5693999999</v>
      </c>
      <c r="D294" s="2">
        <v>0.71819999999999995</v>
      </c>
      <c r="E294" s="3">
        <v>141797</v>
      </c>
      <c r="F294" s="2">
        <v>101841.0414</v>
      </c>
      <c r="G294" t="s">
        <v>1004</v>
      </c>
      <c r="H294" t="s">
        <v>6</v>
      </c>
      <c r="I294">
        <f>HLOOKUP(G294,zip_tiers!$A$1:$EON$2,2,FALSE)</f>
        <v>159532</v>
      </c>
      <c r="J294" t="str">
        <f t="shared" si="4"/>
        <v>High</v>
      </c>
      <c r="K294">
        <f>dataset[[#This Row],[soda_sales]]/dataset[[#This Row],[soda_units_sold]]</f>
        <v>0.71821717948898778</v>
      </c>
      <c r="L294" s="29">
        <f>dataset[[#This Row],[implied_soda_ppu]]-dataset[[#This Row],[soda_ppu]]</f>
        <v>1.7179488987828506E-5</v>
      </c>
      <c r="M294">
        <f>dataset[[#This Row],[soda_sales]]/dataset[[#This Row],[total_sales]]</f>
        <v>2.5117899800190371E-2</v>
      </c>
      <c r="N294">
        <f>LN(dataset[[#This Row],[soda_units_sold]])</f>
        <v>11.862151736297827</v>
      </c>
      <c r="O294">
        <f>LN(dataset[[#This Row],[soda_sales]])</f>
        <v>11.531168459023467</v>
      </c>
      <c r="P294">
        <f>LN(dataset[[#This Row],[soda_ppu]])</f>
        <v>-0.33100719719015465</v>
      </c>
      <c r="Q294">
        <f>IF(dataset[[#This Row],[state]]="VA",1,0)</f>
        <v>0</v>
      </c>
    </row>
    <row r="295" spans="1:17" x14ac:dyDescent="0.35">
      <c r="A295">
        <v>202206</v>
      </c>
      <c r="B295">
        <v>81</v>
      </c>
      <c r="C295" s="2">
        <v>3862362.3706</v>
      </c>
      <c r="D295" s="2">
        <v>0.7329</v>
      </c>
      <c r="E295" s="3">
        <v>146537</v>
      </c>
      <c r="F295" s="2">
        <v>107393.17140000001</v>
      </c>
      <c r="G295" t="s">
        <v>1004</v>
      </c>
      <c r="H295" t="s">
        <v>6</v>
      </c>
      <c r="I295">
        <f>HLOOKUP(G295,zip_tiers!$A$1:$EON$2,2,FALSE)</f>
        <v>159532</v>
      </c>
      <c r="J295" t="str">
        <f t="shared" si="4"/>
        <v>High</v>
      </c>
      <c r="K295">
        <f>dataset[[#This Row],[soda_sales]]/dataset[[#This Row],[soda_units_sold]]</f>
        <v>0.73287409596211195</v>
      </c>
      <c r="L295" s="29">
        <f>dataset[[#This Row],[implied_soda_ppu]]-dataset[[#This Row],[soda_ppu]]</f>
        <v>-2.5904037888047071E-5</v>
      </c>
      <c r="M295">
        <f>dataset[[#This Row],[soda_sales]]/dataset[[#This Row],[total_sales]]</f>
        <v>2.7805048075620356E-2</v>
      </c>
      <c r="N295">
        <f>LN(dataset[[#This Row],[soda_units_sold]])</f>
        <v>11.895033235278383</v>
      </c>
      <c r="O295">
        <f>LN(dataset[[#This Row],[soda_sales]])</f>
        <v>11.584251878029956</v>
      </c>
      <c r="P295">
        <f>LN(dataset[[#This Row],[soda_ppu]])</f>
        <v>-0.31074601205033259</v>
      </c>
      <c r="Q295">
        <f>IF(dataset[[#This Row],[state]]="VA",1,0)</f>
        <v>0</v>
      </c>
    </row>
    <row r="296" spans="1:17" x14ac:dyDescent="0.35">
      <c r="A296">
        <v>202207</v>
      </c>
      <c r="B296">
        <v>81</v>
      </c>
      <c r="C296" s="2">
        <v>3698347.55</v>
      </c>
      <c r="D296" s="2">
        <v>0.74919999999999998</v>
      </c>
      <c r="E296" s="3">
        <v>151365</v>
      </c>
      <c r="F296" s="2">
        <v>113407.0379</v>
      </c>
      <c r="G296" t="s">
        <v>1004</v>
      </c>
      <c r="H296" t="s">
        <v>6</v>
      </c>
      <c r="I296">
        <f>HLOOKUP(G296,zip_tiers!$A$1:$EON$2,2,FALSE)</f>
        <v>159532</v>
      </c>
      <c r="J296" t="str">
        <f t="shared" si="4"/>
        <v>High</v>
      </c>
      <c r="K296">
        <f>dataset[[#This Row],[soda_sales]]/dataset[[#This Row],[soda_units_sold]]</f>
        <v>0.74922893601559137</v>
      </c>
      <c r="L296" s="29">
        <f>dataset[[#This Row],[implied_soda_ppu]]-dataset[[#This Row],[soda_ppu]]</f>
        <v>2.8936015591396469E-5</v>
      </c>
      <c r="M296">
        <f>dataset[[#This Row],[soda_sales]]/dataset[[#This Row],[total_sales]]</f>
        <v>3.0664245684535518E-2</v>
      </c>
      <c r="N296">
        <f>LN(dataset[[#This Row],[soda_units_sold]])</f>
        <v>11.92744941756674</v>
      </c>
      <c r="O296">
        <f>LN(dataset[[#This Row],[soda_sales]])</f>
        <v>11.638738730960213</v>
      </c>
      <c r="P296">
        <f>LN(dataset[[#This Row],[soda_ppu]])</f>
        <v>-0.28874930841220364</v>
      </c>
      <c r="Q296">
        <f>IF(dataset[[#This Row],[state]]="VA",1,0)</f>
        <v>0</v>
      </c>
    </row>
    <row r="297" spans="1:17" x14ac:dyDescent="0.35">
      <c r="A297">
        <v>202208</v>
      </c>
      <c r="B297">
        <v>81</v>
      </c>
      <c r="C297" s="2">
        <v>3478185.2297999999</v>
      </c>
      <c r="D297" s="2">
        <v>0.72640000000000005</v>
      </c>
      <c r="E297" s="3">
        <v>130294</v>
      </c>
      <c r="F297" s="2">
        <v>94649.520399999994</v>
      </c>
      <c r="G297" t="s">
        <v>1004</v>
      </c>
      <c r="H297" t="s">
        <v>6</v>
      </c>
      <c r="I297">
        <f>HLOOKUP(G297,zip_tiers!$A$1:$EON$2,2,FALSE)</f>
        <v>159532</v>
      </c>
      <c r="J297" t="str">
        <f t="shared" si="4"/>
        <v>High</v>
      </c>
      <c r="K297">
        <f>dataset[[#This Row],[soda_sales]]/dataset[[#This Row],[soda_units_sold]]</f>
        <v>0.72643038359402579</v>
      </c>
      <c r="L297" s="29">
        <f>dataset[[#This Row],[implied_soda_ppu]]-dataset[[#This Row],[soda_ppu]]</f>
        <v>3.0383594025740202E-5</v>
      </c>
      <c r="M297">
        <f>dataset[[#This Row],[soda_sales]]/dataset[[#This Row],[total_sales]]</f>
        <v>2.7212328886073289E-2</v>
      </c>
      <c r="N297">
        <f>LN(dataset[[#This Row],[soda_units_sold]])</f>
        <v>11.777548714470212</v>
      </c>
      <c r="O297">
        <f>LN(dataset[[#This Row],[soda_sales]])</f>
        <v>11.457936089535355</v>
      </c>
      <c r="P297">
        <f>LN(dataset[[#This Row],[soda_ppu]])</f>
        <v>-0.31965445169505347</v>
      </c>
      <c r="Q297">
        <f>IF(dataset[[#This Row],[state]]="VA",1,0)</f>
        <v>0</v>
      </c>
    </row>
    <row r="298" spans="1:17" x14ac:dyDescent="0.35">
      <c r="A298">
        <v>202209</v>
      </c>
      <c r="B298">
        <v>81</v>
      </c>
      <c r="C298" s="2">
        <v>3473139.2179</v>
      </c>
      <c r="D298" s="2">
        <v>0.73329999999999995</v>
      </c>
      <c r="E298" s="3">
        <v>126822</v>
      </c>
      <c r="F298" s="2">
        <v>93004.611600000004</v>
      </c>
      <c r="G298" t="s">
        <v>1004</v>
      </c>
      <c r="H298" t="s">
        <v>6</v>
      </c>
      <c r="I298">
        <f>HLOOKUP(G298,zip_tiers!$A$1:$EON$2,2,FALSE)</f>
        <v>159532</v>
      </c>
      <c r="J298" t="str">
        <f t="shared" si="4"/>
        <v>High</v>
      </c>
      <c r="K298">
        <f>dataset[[#This Row],[soda_sales]]/dataset[[#This Row],[soda_units_sold]]</f>
        <v>0.73334761792118086</v>
      </c>
      <c r="L298" s="29">
        <f>dataset[[#This Row],[implied_soda_ppu]]-dataset[[#This Row],[soda_ppu]]</f>
        <v>4.7617921180909129E-5</v>
      </c>
      <c r="M298">
        <f>dataset[[#This Row],[soda_sales]]/dataset[[#This Row],[total_sales]]</f>
        <v>2.6778256143799022E-2</v>
      </c>
      <c r="N298">
        <f>LN(dataset[[#This Row],[soda_units_sold]])</f>
        <v>11.750539807512892</v>
      </c>
      <c r="O298">
        <f>LN(dataset[[#This Row],[soda_sales]])</f>
        <v>11.440404358002768</v>
      </c>
      <c r="P298">
        <f>LN(dataset[[#This Row],[soda_ppu]])</f>
        <v>-0.3102003838823833</v>
      </c>
      <c r="Q298">
        <f>IF(dataset[[#This Row],[state]]="VA",1,0)</f>
        <v>0</v>
      </c>
    </row>
    <row r="299" spans="1:17" x14ac:dyDescent="0.35">
      <c r="A299">
        <v>202210</v>
      </c>
      <c r="B299">
        <v>81</v>
      </c>
      <c r="C299" s="2">
        <v>4334220.4135999996</v>
      </c>
      <c r="D299" s="2">
        <v>0.72070000000000001</v>
      </c>
      <c r="E299" s="3">
        <v>123495</v>
      </c>
      <c r="F299" s="2">
        <v>88997.73</v>
      </c>
      <c r="G299" t="s">
        <v>1004</v>
      </c>
      <c r="H299" t="s">
        <v>6</v>
      </c>
      <c r="I299">
        <f>HLOOKUP(G299,zip_tiers!$A$1:$EON$2,2,FALSE)</f>
        <v>159532</v>
      </c>
      <c r="J299" t="str">
        <f t="shared" si="4"/>
        <v>High</v>
      </c>
      <c r="K299">
        <f>dataset[[#This Row],[soda_sales]]/dataset[[#This Row],[soda_units_sold]]</f>
        <v>0.72065856917284099</v>
      </c>
      <c r="L299" s="29">
        <f>dataset[[#This Row],[implied_soda_ppu]]-dataset[[#This Row],[soda_ppu]]</f>
        <v>-4.1430827159016914E-5</v>
      </c>
      <c r="M299">
        <f>dataset[[#This Row],[soda_sales]]/dataset[[#This Row],[total_sales]]</f>
        <v>2.0533734214517846E-2</v>
      </c>
      <c r="N299">
        <f>LN(dataset[[#This Row],[soda_units_sold]])</f>
        <v>11.723955948400636</v>
      </c>
      <c r="O299">
        <f>LN(dataset[[#This Row],[soda_sales]])</f>
        <v>11.396366142771026</v>
      </c>
      <c r="P299">
        <f>LN(dataset[[#This Row],[soda_ppu]])</f>
        <v>-0.32753231705174168</v>
      </c>
      <c r="Q299">
        <f>IF(dataset[[#This Row],[state]]="VA",1,0)</f>
        <v>0</v>
      </c>
    </row>
    <row r="300" spans="1:17" x14ac:dyDescent="0.35">
      <c r="A300">
        <v>202211</v>
      </c>
      <c r="B300">
        <v>81</v>
      </c>
      <c r="C300" s="2">
        <v>4870709.5292999996</v>
      </c>
      <c r="D300" s="2">
        <v>0.72189999999999999</v>
      </c>
      <c r="E300" s="3">
        <v>114465</v>
      </c>
      <c r="F300" s="2">
        <v>82630.241599999994</v>
      </c>
      <c r="G300" t="s">
        <v>1004</v>
      </c>
      <c r="H300" t="s">
        <v>6</v>
      </c>
      <c r="I300">
        <f>HLOOKUP(G300,zip_tiers!$A$1:$EON$2,2,FALSE)</f>
        <v>159532</v>
      </c>
      <c r="J300" t="str">
        <f t="shared" si="4"/>
        <v>High</v>
      </c>
      <c r="K300">
        <f>dataset[[#This Row],[soda_sales]]/dataset[[#This Row],[soda_units_sold]]</f>
        <v>0.72188216135936745</v>
      </c>
      <c r="L300" s="29">
        <f>dataset[[#This Row],[implied_soda_ppu]]-dataset[[#This Row],[soda_ppu]]</f>
        <v>-1.783864063253926E-5</v>
      </c>
      <c r="M300">
        <f>dataset[[#This Row],[soda_sales]]/dataset[[#This Row],[total_sales]]</f>
        <v>1.6964723743621662E-2</v>
      </c>
      <c r="N300">
        <f>LN(dataset[[#This Row],[soda_units_sold]])</f>
        <v>11.648024378391844</v>
      </c>
      <c r="O300">
        <f>LN(dataset[[#This Row],[soda_sales]])</f>
        <v>11.322131013568482</v>
      </c>
      <c r="P300">
        <f>LN(dataset[[#This Row],[soda_ppu]])</f>
        <v>-0.32586865383702174</v>
      </c>
      <c r="Q300">
        <f>IF(dataset[[#This Row],[state]]="VA",1,0)</f>
        <v>0</v>
      </c>
    </row>
    <row r="301" spans="1:17" x14ac:dyDescent="0.35">
      <c r="A301">
        <v>202212</v>
      </c>
      <c r="B301">
        <v>81</v>
      </c>
      <c r="C301" s="2">
        <v>5192524.1878000004</v>
      </c>
      <c r="D301" s="2">
        <v>0.73380000000000001</v>
      </c>
      <c r="E301" s="3">
        <v>113312</v>
      </c>
      <c r="F301" s="2">
        <v>83149.804699999993</v>
      </c>
      <c r="G301" t="s">
        <v>1004</v>
      </c>
      <c r="H301" t="s">
        <v>6</v>
      </c>
      <c r="I301">
        <f>HLOOKUP(G301,zip_tiers!$A$1:$EON$2,2,FALSE)</f>
        <v>159532</v>
      </c>
      <c r="J301" t="str">
        <f t="shared" si="4"/>
        <v>High</v>
      </c>
      <c r="K301">
        <f>dataset[[#This Row],[soda_sales]]/dataset[[#This Row],[soda_units_sold]]</f>
        <v>0.73381287683563956</v>
      </c>
      <c r="L301" s="29">
        <f>dataset[[#This Row],[implied_soda_ppu]]-dataset[[#This Row],[soda_ppu]]</f>
        <v>1.2876835639552553E-5</v>
      </c>
      <c r="M301">
        <f>dataset[[#This Row],[soda_sales]]/dataset[[#This Row],[total_sales]]</f>
        <v>1.6013368776473511E-2</v>
      </c>
      <c r="N301">
        <f>LN(dataset[[#This Row],[soda_units_sold]])</f>
        <v>11.637900354911631</v>
      </c>
      <c r="O301">
        <f>LN(dataset[[#This Row],[soda_sales]])</f>
        <v>11.328399135851027</v>
      </c>
      <c r="P301">
        <f>LN(dataset[[#This Row],[soda_ppu]])</f>
        <v>-0.30951876706095538</v>
      </c>
      <c r="Q301">
        <f>IF(dataset[[#This Row],[state]]="VA",1,0)</f>
        <v>0</v>
      </c>
    </row>
    <row r="302" spans="1:17" x14ac:dyDescent="0.35">
      <c r="A302">
        <v>202301</v>
      </c>
      <c r="B302">
        <v>81</v>
      </c>
      <c r="C302" s="2">
        <v>2906611.0717000002</v>
      </c>
      <c r="D302" s="2">
        <v>0.77869999999999995</v>
      </c>
      <c r="E302" s="3">
        <v>80135</v>
      </c>
      <c r="F302" s="2">
        <v>62397.8122</v>
      </c>
      <c r="G302" t="s">
        <v>1004</v>
      </c>
      <c r="H302" t="s">
        <v>6</v>
      </c>
      <c r="I302">
        <f>HLOOKUP(G302,zip_tiers!$A$1:$EON$2,2,FALSE)</f>
        <v>159532</v>
      </c>
      <c r="J302" t="str">
        <f t="shared" si="4"/>
        <v>High</v>
      </c>
      <c r="K302">
        <f>dataset[[#This Row],[soda_sales]]/dataset[[#This Row],[soda_units_sold]]</f>
        <v>0.7786586660011231</v>
      </c>
      <c r="L302" s="29">
        <f>dataset[[#This Row],[implied_soda_ppu]]-dataset[[#This Row],[soda_ppu]]</f>
        <v>-4.1333998876846856E-5</v>
      </c>
      <c r="M302">
        <f>dataset[[#This Row],[soda_sales]]/dataset[[#This Row],[total_sales]]</f>
        <v>2.1467547828304789E-2</v>
      </c>
      <c r="N302">
        <f>LN(dataset[[#This Row],[soda_units_sold]])</f>
        <v>11.291467991427675</v>
      </c>
      <c r="O302">
        <f>LN(dataset[[#This Row],[soda_sales]])</f>
        <v>11.041285492845436</v>
      </c>
      <c r="P302">
        <f>LN(dataset[[#This Row],[soda_ppu]])</f>
        <v>-0.25012941639919672</v>
      </c>
      <c r="Q302">
        <f>IF(dataset[[#This Row],[state]]="VA",1,0)</f>
        <v>0</v>
      </c>
    </row>
    <row r="303" spans="1:17" x14ac:dyDescent="0.35">
      <c r="A303">
        <v>202302</v>
      </c>
      <c r="B303">
        <v>81</v>
      </c>
      <c r="C303" s="2">
        <v>3297699.3783</v>
      </c>
      <c r="D303" s="2">
        <v>0.76190000000000002</v>
      </c>
      <c r="E303" s="3">
        <v>91872</v>
      </c>
      <c r="F303" s="2">
        <v>70000.593299999993</v>
      </c>
      <c r="G303" t="s">
        <v>1004</v>
      </c>
      <c r="H303" t="s">
        <v>6</v>
      </c>
      <c r="I303">
        <f>HLOOKUP(G303,zip_tiers!$A$1:$EON$2,2,FALSE)</f>
        <v>159532</v>
      </c>
      <c r="J303" t="str">
        <f t="shared" si="4"/>
        <v>High</v>
      </c>
      <c r="K303">
        <f>dataset[[#This Row],[soda_sales]]/dataset[[#This Row],[soda_units_sold]]</f>
        <v>0.76193609913793092</v>
      </c>
      <c r="L303" s="29">
        <f>dataset[[#This Row],[implied_soda_ppu]]-dataset[[#This Row],[soda_ppu]]</f>
        <v>3.6099137930900582E-5</v>
      </c>
      <c r="M303">
        <f>dataset[[#This Row],[soda_sales]]/dataset[[#This Row],[total_sales]]</f>
        <v>2.1227099644263531E-2</v>
      </c>
      <c r="N303">
        <f>LN(dataset[[#This Row],[soda_units_sold]])</f>
        <v>11.42815158292079</v>
      </c>
      <c r="O303">
        <f>LN(dataset[[#This Row],[soda_sales]])</f>
        <v>11.156258996709862</v>
      </c>
      <c r="P303">
        <f>LN(dataset[[#This Row],[soda_ppu]])</f>
        <v>-0.27193996550317306</v>
      </c>
      <c r="Q303">
        <f>IF(dataset[[#This Row],[state]]="VA",1,0)</f>
        <v>0</v>
      </c>
    </row>
    <row r="304" spans="1:17" x14ac:dyDescent="0.35">
      <c r="A304">
        <v>202303</v>
      </c>
      <c r="B304">
        <v>81</v>
      </c>
      <c r="C304" s="2">
        <v>3612821.5822000001</v>
      </c>
      <c r="D304" s="2">
        <v>0.78069999999999995</v>
      </c>
      <c r="E304" s="3">
        <v>104219</v>
      </c>
      <c r="F304" s="2">
        <v>81359.599000000002</v>
      </c>
      <c r="G304" t="s">
        <v>1004</v>
      </c>
      <c r="H304" t="s">
        <v>6</v>
      </c>
      <c r="I304">
        <f>HLOOKUP(G304,zip_tiers!$A$1:$EON$2,2,FALSE)</f>
        <v>159532</v>
      </c>
      <c r="J304" t="str">
        <f t="shared" si="4"/>
        <v>High</v>
      </c>
      <c r="K304">
        <f>dataset[[#This Row],[soda_sales]]/dataset[[#This Row],[soda_units_sold]]</f>
        <v>0.78065994684270623</v>
      </c>
      <c r="L304" s="29">
        <f>dataset[[#This Row],[implied_soda_ppu]]-dataset[[#This Row],[soda_ppu]]</f>
        <v>-4.0053157293717945E-5</v>
      </c>
      <c r="M304">
        <f>dataset[[#This Row],[soda_sales]]/dataset[[#This Row],[total_sales]]</f>
        <v>2.2519683618158828E-2</v>
      </c>
      <c r="N304">
        <f>LN(dataset[[#This Row],[soda_units_sold]])</f>
        <v>11.554249733329858</v>
      </c>
      <c r="O304">
        <f>LN(dataset[[#This Row],[soda_sales]])</f>
        <v>11.306634101998398</v>
      </c>
      <c r="P304">
        <f>LN(dataset[[#This Row],[soda_ppu]])</f>
        <v>-0.24756432585589186</v>
      </c>
      <c r="Q304">
        <f>IF(dataset[[#This Row],[state]]="VA",1,0)</f>
        <v>0</v>
      </c>
    </row>
    <row r="305" spans="1:17" x14ac:dyDescent="0.35">
      <c r="A305">
        <v>202304</v>
      </c>
      <c r="B305">
        <v>81</v>
      </c>
      <c r="C305" s="2">
        <v>3882298.531</v>
      </c>
      <c r="D305" s="2">
        <v>0.72889999999999999</v>
      </c>
      <c r="E305" s="3">
        <v>127172</v>
      </c>
      <c r="F305" s="2">
        <v>92697.563699999999</v>
      </c>
      <c r="G305" t="s">
        <v>1004</v>
      </c>
      <c r="H305" t="s">
        <v>6</v>
      </c>
      <c r="I305">
        <f>HLOOKUP(G305,zip_tiers!$A$1:$EON$2,2,FALSE)</f>
        <v>159532</v>
      </c>
      <c r="J305" t="str">
        <f t="shared" si="4"/>
        <v>High</v>
      </c>
      <c r="K305">
        <f>dataset[[#This Row],[soda_sales]]/dataset[[#This Row],[soda_units_sold]]</f>
        <v>0.7289148845657849</v>
      </c>
      <c r="L305" s="29">
        <f>dataset[[#This Row],[implied_soda_ppu]]-dataset[[#This Row],[soda_ppu]]</f>
        <v>1.4884565784911707E-5</v>
      </c>
      <c r="M305">
        <f>dataset[[#This Row],[soda_sales]]/dataset[[#This Row],[total_sales]]</f>
        <v>2.3876979825176663E-2</v>
      </c>
      <c r="N305">
        <f>LN(dataset[[#This Row],[soda_units_sold]])</f>
        <v>11.753295779870758</v>
      </c>
      <c r="O305">
        <f>LN(dataset[[#This Row],[soda_sales]])</f>
        <v>11.437097469655182</v>
      </c>
      <c r="P305">
        <f>LN(dataset[[#This Row],[soda_ppu]])</f>
        <v>-0.31621873059396982</v>
      </c>
      <c r="Q305">
        <f>IF(dataset[[#This Row],[state]]="VA",1,0)</f>
        <v>0</v>
      </c>
    </row>
    <row r="306" spans="1:17" x14ac:dyDescent="0.35">
      <c r="A306">
        <v>202305</v>
      </c>
      <c r="B306">
        <v>81</v>
      </c>
      <c r="C306" s="2">
        <v>4095480.5024000001</v>
      </c>
      <c r="D306" s="2">
        <v>0.73070000000000002</v>
      </c>
      <c r="E306" s="3">
        <v>142877</v>
      </c>
      <c r="F306" s="2">
        <v>104402.0036</v>
      </c>
      <c r="G306" t="s">
        <v>1004</v>
      </c>
      <c r="H306" t="s">
        <v>6</v>
      </c>
      <c r="I306">
        <f>HLOOKUP(G306,zip_tiers!$A$1:$EON$2,2,FALSE)</f>
        <v>159532</v>
      </c>
      <c r="J306" t="str">
        <f t="shared" si="4"/>
        <v>High</v>
      </c>
      <c r="K306">
        <f>dataset[[#This Row],[soda_sales]]/dataset[[#This Row],[soda_units_sold]]</f>
        <v>0.73071245616859259</v>
      </c>
      <c r="L306" s="29">
        <f>dataset[[#This Row],[implied_soda_ppu]]-dataset[[#This Row],[soda_ppu]]</f>
        <v>1.2456168592578365E-5</v>
      </c>
      <c r="M306">
        <f>dataset[[#This Row],[soda_sales]]/dataset[[#This Row],[total_sales]]</f>
        <v>2.5492003572918778E-2</v>
      </c>
      <c r="N306">
        <f>LN(dataset[[#This Row],[soda_units_sold]])</f>
        <v>11.869739399249356</v>
      </c>
      <c r="O306">
        <f>LN(dataset[[#This Row],[soda_sales]])</f>
        <v>11.556004145817401</v>
      </c>
      <c r="P306">
        <f>LN(dataset[[#This Row],[soda_ppu]])</f>
        <v>-0.31375230018496492</v>
      </c>
      <c r="Q306">
        <f>IF(dataset[[#This Row],[state]]="VA",1,0)</f>
        <v>0</v>
      </c>
    </row>
    <row r="307" spans="1:17" x14ac:dyDescent="0.35">
      <c r="A307">
        <v>202306</v>
      </c>
      <c r="B307">
        <v>81</v>
      </c>
      <c r="C307" s="2">
        <v>3937681.4717000001</v>
      </c>
      <c r="D307" s="2">
        <v>0.73699999999999999</v>
      </c>
      <c r="E307" s="3">
        <v>147343</v>
      </c>
      <c r="F307" s="2">
        <v>108596.47719999999</v>
      </c>
      <c r="G307" t="s">
        <v>1004</v>
      </c>
      <c r="H307" t="s">
        <v>6</v>
      </c>
      <c r="I307">
        <f>HLOOKUP(G307,zip_tiers!$A$1:$EON$2,2,FALSE)</f>
        <v>159532</v>
      </c>
      <c r="J307" t="str">
        <f t="shared" si="4"/>
        <v>High</v>
      </c>
      <c r="K307">
        <f>dataset[[#This Row],[soda_sales]]/dataset[[#This Row],[soda_units_sold]]</f>
        <v>0.73703180470059648</v>
      </c>
      <c r="L307" s="29">
        <f>dataset[[#This Row],[implied_soda_ppu]]-dataset[[#This Row],[soda_ppu]]</f>
        <v>3.1804700596493873E-5</v>
      </c>
      <c r="M307">
        <f>dataset[[#This Row],[soda_sales]]/dataset[[#This Row],[total_sales]]</f>
        <v>2.7578786649067391E-2</v>
      </c>
      <c r="N307">
        <f>LN(dataset[[#This Row],[soda_units_sold]])</f>
        <v>11.900518481099155</v>
      </c>
      <c r="O307">
        <f>LN(dataset[[#This Row],[soda_sales]])</f>
        <v>11.59539424765013</v>
      </c>
      <c r="P307">
        <f>LN(dataset[[#This Row],[soda_ppu]])</f>
        <v>-0.30516738679280048</v>
      </c>
      <c r="Q307">
        <f>IF(dataset[[#This Row],[state]]="VA",1,0)</f>
        <v>0</v>
      </c>
    </row>
    <row r="308" spans="1:17" x14ac:dyDescent="0.35">
      <c r="A308">
        <v>202307</v>
      </c>
      <c r="B308">
        <v>81</v>
      </c>
      <c r="C308" s="2">
        <v>3783892.2019000002</v>
      </c>
      <c r="D308" s="2">
        <v>0.73950000000000005</v>
      </c>
      <c r="E308" s="3">
        <v>153657</v>
      </c>
      <c r="F308" s="2">
        <v>113622.414</v>
      </c>
      <c r="G308" t="s">
        <v>1004</v>
      </c>
      <c r="H308" t="s">
        <v>6</v>
      </c>
      <c r="I308">
        <f>HLOOKUP(G308,zip_tiers!$A$1:$EON$2,2,FALSE)</f>
        <v>159532</v>
      </c>
      <c r="J308" t="str">
        <f t="shared" si="4"/>
        <v>High</v>
      </c>
      <c r="K308">
        <f>dataset[[#This Row],[soda_sales]]/dataset[[#This Row],[soda_units_sold]]</f>
        <v>0.73945485073898365</v>
      </c>
      <c r="L308" s="29">
        <f>dataset[[#This Row],[implied_soda_ppu]]-dataset[[#This Row],[soda_ppu]]</f>
        <v>-4.5149261016397269E-5</v>
      </c>
      <c r="M308">
        <f>dataset[[#This Row],[soda_sales]]/dataset[[#This Row],[total_sales]]</f>
        <v>3.0027920442064114E-2</v>
      </c>
      <c r="N308">
        <f>LN(dataset[[#This Row],[soda_units_sold]])</f>
        <v>11.942478124607453</v>
      </c>
      <c r="O308">
        <f>LN(dataset[[#This Row],[soda_sales]])</f>
        <v>11.640636072144881</v>
      </c>
      <c r="P308">
        <f>LN(dataset[[#This Row],[soda_ppu]])</f>
        <v>-0.30178099683128251</v>
      </c>
      <c r="Q308">
        <f>IF(dataset[[#This Row],[state]]="VA",1,0)</f>
        <v>0</v>
      </c>
    </row>
    <row r="309" spans="1:17" x14ac:dyDescent="0.35">
      <c r="A309">
        <v>202308</v>
      </c>
      <c r="B309">
        <v>81</v>
      </c>
      <c r="C309" s="2">
        <v>3467343.5857000002</v>
      </c>
      <c r="D309" s="2">
        <v>0.74050000000000005</v>
      </c>
      <c r="E309" s="3">
        <v>130023</v>
      </c>
      <c r="F309" s="2">
        <v>96277.116699999999</v>
      </c>
      <c r="G309" t="s">
        <v>1004</v>
      </c>
      <c r="H309" t="s">
        <v>6</v>
      </c>
      <c r="I309">
        <f>HLOOKUP(G309,zip_tiers!$A$1:$EON$2,2,FALSE)</f>
        <v>159532</v>
      </c>
      <c r="J309" t="str">
        <f t="shared" si="4"/>
        <v>High</v>
      </c>
      <c r="K309">
        <f>dataset[[#This Row],[soda_sales]]/dataset[[#This Row],[soda_units_sold]]</f>
        <v>0.74046220053375167</v>
      </c>
      <c r="L309" s="29">
        <f>dataset[[#This Row],[implied_soda_ppu]]-dataset[[#This Row],[soda_ppu]]</f>
        <v>-3.7799466248378266E-5</v>
      </c>
      <c r="M309">
        <f>dataset[[#This Row],[soda_sales]]/dataset[[#This Row],[total_sales]]</f>
        <v>2.7766823310232527E-2</v>
      </c>
      <c r="N309">
        <f>LN(dataset[[#This Row],[soda_units_sold]])</f>
        <v>11.7754666368656</v>
      </c>
      <c r="O309">
        <f>LN(dataset[[#This Row],[soda_sales]])</f>
        <v>11.474985944419089</v>
      </c>
      <c r="P309">
        <f>LN(dataset[[#This Row],[soda_ppu]])</f>
        <v>-0.30042964527428351</v>
      </c>
      <c r="Q309">
        <f>IF(dataset[[#This Row],[state]]="VA",1,0)</f>
        <v>0</v>
      </c>
    </row>
    <row r="310" spans="1:17" x14ac:dyDescent="0.35">
      <c r="A310">
        <v>202309</v>
      </c>
      <c r="B310">
        <v>81</v>
      </c>
      <c r="C310" s="2">
        <v>3509656.6053999998</v>
      </c>
      <c r="D310" s="2">
        <v>0.72699999999999998</v>
      </c>
      <c r="E310" s="3">
        <v>128060</v>
      </c>
      <c r="F310" s="2">
        <v>93102.820699999997</v>
      </c>
      <c r="G310" t="s">
        <v>1004</v>
      </c>
      <c r="H310" t="s">
        <v>6</v>
      </c>
      <c r="I310">
        <f>HLOOKUP(G310,zip_tiers!$A$1:$EON$2,2,FALSE)</f>
        <v>159532</v>
      </c>
      <c r="J310" t="str">
        <f t="shared" si="4"/>
        <v>High</v>
      </c>
      <c r="K310">
        <f>dataset[[#This Row],[soda_sales]]/dataset[[#This Row],[soda_units_sold]]</f>
        <v>0.72702499375292828</v>
      </c>
      <c r="L310" s="29">
        <f>dataset[[#This Row],[implied_soda_ppu]]-dataset[[#This Row],[soda_ppu]]</f>
        <v>2.4993752928303969E-5</v>
      </c>
      <c r="M310">
        <f>dataset[[#This Row],[soda_sales]]/dataset[[#This Row],[total_sales]]</f>
        <v>2.6527615424469415E-2</v>
      </c>
      <c r="N310">
        <f>LN(dataset[[#This Row],[soda_units_sold]])</f>
        <v>11.760254183072794</v>
      </c>
      <c r="O310">
        <f>LN(dataset[[#This Row],[soda_sales]])</f>
        <v>11.441459760335736</v>
      </c>
      <c r="P310">
        <f>LN(dataset[[#This Row],[soda_ppu]])</f>
        <v>-0.31882880144861769</v>
      </c>
      <c r="Q310">
        <f>IF(dataset[[#This Row],[state]]="VA",1,0)</f>
        <v>0</v>
      </c>
    </row>
    <row r="311" spans="1:17" x14ac:dyDescent="0.35">
      <c r="A311">
        <v>202310</v>
      </c>
      <c r="B311">
        <v>81</v>
      </c>
      <c r="C311" s="2">
        <v>4302782.8498999998</v>
      </c>
      <c r="D311" s="2">
        <v>0.75470000000000004</v>
      </c>
      <c r="E311" s="3">
        <v>121310</v>
      </c>
      <c r="F311" s="2">
        <v>91555.210600000006</v>
      </c>
      <c r="G311" t="s">
        <v>1004</v>
      </c>
      <c r="H311" t="s">
        <v>6</v>
      </c>
      <c r="I311">
        <f>HLOOKUP(G311,zip_tiers!$A$1:$EON$2,2,FALSE)</f>
        <v>159532</v>
      </c>
      <c r="J311" t="str">
        <f t="shared" si="4"/>
        <v>High</v>
      </c>
      <c r="K311">
        <f>dataset[[#This Row],[soda_sales]]/dataset[[#This Row],[soda_units_sold]]</f>
        <v>0.75472105020196201</v>
      </c>
      <c r="L311" s="29">
        <f>dataset[[#This Row],[implied_soda_ppu]]-dataset[[#This Row],[soda_ppu]]</f>
        <v>2.1050201961969606E-5</v>
      </c>
      <c r="M311">
        <f>dataset[[#This Row],[soda_sales]]/dataset[[#This Row],[total_sales]]</f>
        <v>2.1278138775264438E-2</v>
      </c>
      <c r="N311">
        <f>LN(dataset[[#This Row],[soda_units_sold]])</f>
        <v>11.706104531764964</v>
      </c>
      <c r="O311">
        <f>LN(dataset[[#This Row],[soda_sales]])</f>
        <v>11.424697463829846</v>
      </c>
      <c r="P311">
        <f>LN(dataset[[#This Row],[soda_ppu]])</f>
        <v>-0.28143495969131427</v>
      </c>
      <c r="Q311">
        <f>IF(dataset[[#This Row],[state]]="VA",1,0)</f>
        <v>0</v>
      </c>
    </row>
    <row r="312" spans="1:17" x14ac:dyDescent="0.35">
      <c r="A312">
        <v>202311</v>
      </c>
      <c r="B312">
        <v>81</v>
      </c>
      <c r="C312" s="2">
        <v>4929469.9124999996</v>
      </c>
      <c r="D312" s="2">
        <v>0.76600000000000001</v>
      </c>
      <c r="E312" s="3">
        <v>112816</v>
      </c>
      <c r="F312" s="2">
        <v>86421.268400000001</v>
      </c>
      <c r="G312" t="s">
        <v>1004</v>
      </c>
      <c r="H312" t="s">
        <v>6</v>
      </c>
      <c r="I312">
        <f>HLOOKUP(G312,zip_tiers!$A$1:$EON$2,2,FALSE)</f>
        <v>159532</v>
      </c>
      <c r="J312" t="str">
        <f t="shared" si="4"/>
        <v>High</v>
      </c>
      <c r="K312">
        <f>dataset[[#This Row],[soda_sales]]/dataset[[#This Row],[soda_units_sold]]</f>
        <v>0.76603733867536516</v>
      </c>
      <c r="L312" s="29">
        <f>dataset[[#This Row],[implied_soda_ppu]]-dataset[[#This Row],[soda_ppu]]</f>
        <v>3.7338675365150564E-5</v>
      </c>
      <c r="M312">
        <f>dataset[[#This Row],[soda_sales]]/dataset[[#This Row],[total_sales]]</f>
        <v>1.7531554088778507E-2</v>
      </c>
      <c r="N312">
        <f>LN(dataset[[#This Row],[soda_units_sold]])</f>
        <v>11.633513451958821</v>
      </c>
      <c r="O312">
        <f>LN(dataset[[#This Row],[soda_sales]])</f>
        <v>11.366989086536281</v>
      </c>
      <c r="P312">
        <f>LN(dataset[[#This Row],[soda_ppu]])</f>
        <v>-0.26657310924154576</v>
      </c>
      <c r="Q312">
        <f>IF(dataset[[#This Row],[state]]="VA",1,0)</f>
        <v>0</v>
      </c>
    </row>
    <row r="313" spans="1:17" x14ac:dyDescent="0.35">
      <c r="A313">
        <v>202312</v>
      </c>
      <c r="B313">
        <v>81</v>
      </c>
      <c r="C313" s="2">
        <v>5226838.2028999999</v>
      </c>
      <c r="D313" s="2">
        <v>0.75939999999999996</v>
      </c>
      <c r="E313" s="3">
        <v>112287</v>
      </c>
      <c r="F313" s="2">
        <v>85273.675300000003</v>
      </c>
      <c r="G313" t="s">
        <v>1004</v>
      </c>
      <c r="H313" t="s">
        <v>6</v>
      </c>
      <c r="I313">
        <f>HLOOKUP(G313,zip_tiers!$A$1:$EON$2,2,FALSE)</f>
        <v>159532</v>
      </c>
      <c r="J313" t="str">
        <f t="shared" si="4"/>
        <v>High</v>
      </c>
      <c r="K313">
        <f>dataset[[#This Row],[soda_sales]]/dataset[[#This Row],[soda_units_sold]]</f>
        <v>0.7594260715844221</v>
      </c>
      <c r="L313" s="29">
        <f>dataset[[#This Row],[implied_soda_ppu]]-dataset[[#This Row],[soda_ppu]]</f>
        <v>2.6071584422138194E-5</v>
      </c>
      <c r="M313">
        <f>dataset[[#This Row],[soda_sales]]/dataset[[#This Row],[total_sales]]</f>
        <v>1.6314581012415445E-2</v>
      </c>
      <c r="N313">
        <f>LN(dataset[[#This Row],[soda_units_sold]])</f>
        <v>11.628813372672155</v>
      </c>
      <c r="O313">
        <f>LN(dataset[[#This Row],[soda_sales]])</f>
        <v>11.353621072718809</v>
      </c>
      <c r="P313">
        <f>LN(dataset[[#This Row],[soda_ppu]])</f>
        <v>-0.27522663118443513</v>
      </c>
      <c r="Q313">
        <f>IF(dataset[[#This Row],[state]]="VA",1,0)</f>
        <v>0</v>
      </c>
    </row>
    <row r="314" spans="1:17" x14ac:dyDescent="0.35">
      <c r="A314">
        <v>202401</v>
      </c>
      <c r="B314">
        <v>81</v>
      </c>
      <c r="C314" s="2">
        <v>3013970.8229</v>
      </c>
      <c r="D314" s="2">
        <v>0.75919999999999999</v>
      </c>
      <c r="E314" s="3">
        <v>81797</v>
      </c>
      <c r="F314" s="2">
        <v>62097.284800000001</v>
      </c>
      <c r="G314" t="s">
        <v>1004</v>
      </c>
      <c r="H314" t="s">
        <v>6</v>
      </c>
      <c r="I314">
        <f>HLOOKUP(G314,zip_tiers!$A$1:$EON$2,2,FALSE)</f>
        <v>159532</v>
      </c>
      <c r="J314" t="str">
        <f t="shared" si="4"/>
        <v>High</v>
      </c>
      <c r="K314">
        <f>dataset[[#This Row],[soda_sales]]/dataset[[#This Row],[soda_units_sold]]</f>
        <v>0.75916335317921202</v>
      </c>
      <c r="L314" s="29">
        <f>dataset[[#This Row],[implied_soda_ppu]]-dataset[[#This Row],[soda_ppu]]</f>
        <v>-3.6646820787966661E-5</v>
      </c>
      <c r="M314">
        <f>dataset[[#This Row],[soda_sales]]/dataset[[#This Row],[total_sales]]</f>
        <v>2.0603147292663861E-2</v>
      </c>
      <c r="N314">
        <f>LN(dataset[[#This Row],[soda_units_sold]])</f>
        <v>11.311995847101675</v>
      </c>
      <c r="O314">
        <f>LN(dataset[[#This Row],[soda_sales]])</f>
        <v>11.036457543938315</v>
      </c>
      <c r="P314">
        <f>LN(dataset[[#This Row],[soda_ppu]])</f>
        <v>-0.27549003168641895</v>
      </c>
      <c r="Q314">
        <f>IF(dataset[[#This Row],[state]]="VA",1,0)</f>
        <v>0</v>
      </c>
    </row>
    <row r="315" spans="1:17" x14ac:dyDescent="0.35">
      <c r="A315">
        <v>202402</v>
      </c>
      <c r="B315">
        <v>81</v>
      </c>
      <c r="C315" s="2">
        <v>3344091.733</v>
      </c>
      <c r="D315" s="2">
        <v>0.7772</v>
      </c>
      <c r="E315" s="3">
        <v>90113</v>
      </c>
      <c r="F315" s="2">
        <v>70038.919399999999</v>
      </c>
      <c r="G315" t="s">
        <v>1004</v>
      </c>
      <c r="H315" t="s">
        <v>6</v>
      </c>
      <c r="I315">
        <f>HLOOKUP(G315,zip_tiers!$A$1:$EON$2,2,FALSE)</f>
        <v>159532</v>
      </c>
      <c r="J315" t="str">
        <f t="shared" si="4"/>
        <v>High</v>
      </c>
      <c r="K315">
        <f>dataset[[#This Row],[soda_sales]]/dataset[[#This Row],[soda_units_sold]]</f>
        <v>0.77723435464361412</v>
      </c>
      <c r="L315" s="29">
        <f>dataset[[#This Row],[implied_soda_ppu]]-dataset[[#This Row],[soda_ppu]]</f>
        <v>3.4354643614120661E-5</v>
      </c>
      <c r="M315">
        <f>dataset[[#This Row],[soda_sales]]/dataset[[#This Row],[total_sales]]</f>
        <v>2.0944078390208443E-2</v>
      </c>
      <c r="N315">
        <f>LN(dataset[[#This Row],[soda_units_sold]])</f>
        <v>11.408819717317222</v>
      </c>
      <c r="O315">
        <f>LN(dataset[[#This Row],[soda_sales]])</f>
        <v>11.1568063579541</v>
      </c>
      <c r="P315">
        <f>LN(dataset[[#This Row],[soda_ppu]])</f>
        <v>-0.25205756147885205</v>
      </c>
      <c r="Q315">
        <f>IF(dataset[[#This Row],[state]]="VA",1,0)</f>
        <v>0</v>
      </c>
    </row>
    <row r="316" spans="1:17" x14ac:dyDescent="0.35">
      <c r="A316">
        <v>202403</v>
      </c>
      <c r="B316">
        <v>81</v>
      </c>
      <c r="C316" s="2">
        <v>3773036.4410999999</v>
      </c>
      <c r="D316" s="2">
        <v>0.78300000000000003</v>
      </c>
      <c r="E316" s="3">
        <v>108743</v>
      </c>
      <c r="F316" s="2">
        <v>85147.020900000003</v>
      </c>
      <c r="G316" t="s">
        <v>1004</v>
      </c>
      <c r="H316" t="s">
        <v>6</v>
      </c>
      <c r="I316">
        <f>HLOOKUP(G316,zip_tiers!$A$1:$EON$2,2,FALSE)</f>
        <v>159532</v>
      </c>
      <c r="J316" t="str">
        <f t="shared" si="4"/>
        <v>High</v>
      </c>
      <c r="K316">
        <f>dataset[[#This Row],[soda_sales]]/dataset[[#This Row],[soda_units_sold]]</f>
        <v>0.7830115124651702</v>
      </c>
      <c r="L316" s="29">
        <f>dataset[[#This Row],[implied_soda_ppu]]-dataset[[#This Row],[soda_ppu]]</f>
        <v>1.151246517017146E-5</v>
      </c>
      <c r="M316">
        <f>dataset[[#This Row],[soda_sales]]/dataset[[#This Row],[total_sales]]</f>
        <v>2.2567240531389102E-2</v>
      </c>
      <c r="N316">
        <f>LN(dataset[[#This Row],[soda_units_sold]])</f>
        <v>11.596742579063141</v>
      </c>
      <c r="O316">
        <f>LN(dataset[[#This Row],[soda_sales]])</f>
        <v>11.35213469898437</v>
      </c>
      <c r="P316">
        <f>LN(dataset[[#This Row],[soda_ppu]])</f>
        <v>-0.24462258299133391</v>
      </c>
      <c r="Q316">
        <f>IF(dataset[[#This Row],[state]]="VA",1,0)</f>
        <v>0</v>
      </c>
    </row>
    <row r="317" spans="1:17" x14ac:dyDescent="0.35">
      <c r="A317">
        <v>202404</v>
      </c>
      <c r="B317">
        <v>81</v>
      </c>
      <c r="C317" s="2">
        <v>3970034.6083999998</v>
      </c>
      <c r="D317" s="2">
        <v>0.78400000000000003</v>
      </c>
      <c r="E317" s="3">
        <v>123498</v>
      </c>
      <c r="F317" s="2">
        <v>96818.600699999995</v>
      </c>
      <c r="G317" t="s">
        <v>1004</v>
      </c>
      <c r="H317" t="s">
        <v>6</v>
      </c>
      <c r="I317">
        <f>HLOOKUP(G317,zip_tiers!$A$1:$EON$2,2,FALSE)</f>
        <v>159532</v>
      </c>
      <c r="J317" t="str">
        <f t="shared" si="4"/>
        <v>High</v>
      </c>
      <c r="K317">
        <f>dataset[[#This Row],[soda_sales]]/dataset[[#This Row],[soda_units_sold]]</f>
        <v>0.78396897682553557</v>
      </c>
      <c r="L317" s="29">
        <f>dataset[[#This Row],[implied_soda_ppu]]-dataset[[#This Row],[soda_ppu]]</f>
        <v>-3.1023174464461789E-5</v>
      </c>
      <c r="M317">
        <f>dataset[[#This Row],[soda_sales]]/dataset[[#This Row],[total_sales]]</f>
        <v>2.4387344255172565E-2</v>
      </c>
      <c r="N317">
        <f>LN(dataset[[#This Row],[soda_units_sold]])</f>
        <v>11.723980240587055</v>
      </c>
      <c r="O317">
        <f>LN(dataset[[#This Row],[soda_sales]])</f>
        <v>11.480594410796806</v>
      </c>
      <c r="P317">
        <f>LN(dataset[[#This Row],[soda_ppu]])</f>
        <v>-0.24334625863172918</v>
      </c>
      <c r="Q317">
        <f>IF(dataset[[#This Row],[state]]="VA",1,0)</f>
        <v>0</v>
      </c>
    </row>
    <row r="318" spans="1:17" x14ac:dyDescent="0.35">
      <c r="A318">
        <v>202405</v>
      </c>
      <c r="B318">
        <v>81</v>
      </c>
      <c r="C318" s="2">
        <v>4258128.6239</v>
      </c>
      <c r="D318" s="2">
        <v>0.80820000000000003</v>
      </c>
      <c r="E318" s="3">
        <v>137710</v>
      </c>
      <c r="F318" s="2">
        <v>111296.66800000001</v>
      </c>
      <c r="G318" t="s">
        <v>1004</v>
      </c>
      <c r="H318" t="s">
        <v>6</v>
      </c>
      <c r="I318">
        <f>HLOOKUP(G318,zip_tiers!$A$1:$EON$2,2,FALSE)</f>
        <v>159532</v>
      </c>
      <c r="J318" t="str">
        <f t="shared" si="4"/>
        <v>High</v>
      </c>
      <c r="K318">
        <f>dataset[[#This Row],[soda_sales]]/dataset[[#This Row],[soda_units_sold]]</f>
        <v>0.80819597705322788</v>
      </c>
      <c r="L318" s="29">
        <f>dataset[[#This Row],[implied_soda_ppu]]-dataset[[#This Row],[soda_ppu]]</f>
        <v>-4.0229467721530909E-6</v>
      </c>
      <c r="M318">
        <f>dataset[[#This Row],[soda_sales]]/dataset[[#This Row],[total_sales]]</f>
        <v>2.6137460333000441E-2</v>
      </c>
      <c r="N318">
        <f>LN(dataset[[#This Row],[soda_units_sold]])</f>
        <v>11.832905303721171</v>
      </c>
      <c r="O318">
        <f>LN(dataset[[#This Row],[soda_sales]])</f>
        <v>11.619954599708594</v>
      </c>
      <c r="P318">
        <f>LN(dataset[[#This Row],[soda_ppu]])</f>
        <v>-0.21294572633776371</v>
      </c>
      <c r="Q318">
        <f>IF(dataset[[#This Row],[state]]="VA",1,0)</f>
        <v>0</v>
      </c>
    </row>
    <row r="319" spans="1:17" x14ac:dyDescent="0.35">
      <c r="A319">
        <v>202406</v>
      </c>
      <c r="B319">
        <v>81</v>
      </c>
      <c r="C319" s="2">
        <v>4012545.1183000002</v>
      </c>
      <c r="D319" s="2">
        <v>0.79569999999999996</v>
      </c>
      <c r="E319" s="3">
        <v>142703</v>
      </c>
      <c r="F319" s="2">
        <v>113554.9904</v>
      </c>
      <c r="G319" t="s">
        <v>1004</v>
      </c>
      <c r="H319" t="s">
        <v>6</v>
      </c>
      <c r="I319">
        <f>HLOOKUP(G319,zip_tiers!$A$1:$EON$2,2,FALSE)</f>
        <v>159532</v>
      </c>
      <c r="J319" t="str">
        <f t="shared" si="4"/>
        <v>High</v>
      </c>
      <c r="K319">
        <f>dataset[[#This Row],[soda_sales]]/dataset[[#This Row],[soda_units_sold]]</f>
        <v>0.79574354007974601</v>
      </c>
      <c r="L319" s="29">
        <f>dataset[[#This Row],[implied_soda_ppu]]-dataset[[#This Row],[soda_ppu]]</f>
        <v>4.3540079746051674E-5</v>
      </c>
      <c r="M319">
        <f>dataset[[#This Row],[soda_sales]]/dataset[[#This Row],[total_sales]]</f>
        <v>2.8299990916515843E-2</v>
      </c>
      <c r="N319">
        <f>LN(dataset[[#This Row],[soda_units_sold]])</f>
        <v>11.868520826369384</v>
      </c>
      <c r="O319">
        <f>LN(dataset[[#This Row],[soda_sales]])</f>
        <v>11.640042495489158</v>
      </c>
      <c r="P319">
        <f>LN(dataset[[#This Row],[soda_ppu]])</f>
        <v>-0.22853304859864795</v>
      </c>
      <c r="Q319">
        <f>IF(dataset[[#This Row],[state]]="VA",1,0)</f>
        <v>0</v>
      </c>
    </row>
    <row r="320" spans="1:17" x14ac:dyDescent="0.35">
      <c r="A320">
        <v>202407</v>
      </c>
      <c r="B320">
        <v>81</v>
      </c>
      <c r="C320" s="2">
        <v>3847490.9221000001</v>
      </c>
      <c r="D320" s="2">
        <v>0.76839999999999997</v>
      </c>
      <c r="E320" s="3">
        <v>152052</v>
      </c>
      <c r="F320" s="2">
        <v>116838.4464</v>
      </c>
      <c r="G320" t="s">
        <v>1004</v>
      </c>
      <c r="H320" t="s">
        <v>6</v>
      </c>
      <c r="I320">
        <f>HLOOKUP(G320,zip_tiers!$A$1:$EON$2,2,FALSE)</f>
        <v>159532</v>
      </c>
      <c r="J320" t="str">
        <f t="shared" si="4"/>
        <v>High</v>
      </c>
      <c r="K320">
        <f>dataset[[#This Row],[soda_sales]]/dataset[[#This Row],[soda_units_sold]]</f>
        <v>0.76841111198800416</v>
      </c>
      <c r="L320" s="29">
        <f>dataset[[#This Row],[implied_soda_ppu]]-dataset[[#This Row],[soda_ppu]]</f>
        <v>1.1111988004186557E-5</v>
      </c>
      <c r="M320">
        <f>dataset[[#This Row],[soda_sales]]/dataset[[#This Row],[total_sales]]</f>
        <v>3.0367439135172376E-2</v>
      </c>
      <c r="N320">
        <f>LN(dataset[[#This Row],[soda_units_sold]])</f>
        <v>11.931977846586909</v>
      </c>
      <c r="O320">
        <f>LN(dataset[[#This Row],[soda_sales]])</f>
        <v>11.668547459597114</v>
      </c>
      <c r="P320">
        <f>LN(dataset[[#This Row],[soda_ppu]])</f>
        <v>-0.26344484808773549</v>
      </c>
      <c r="Q320">
        <f>IF(dataset[[#This Row],[state]]="VA",1,0)</f>
        <v>0</v>
      </c>
    </row>
    <row r="321" spans="1:17" x14ac:dyDescent="0.35">
      <c r="A321">
        <v>202408</v>
      </c>
      <c r="B321">
        <v>81</v>
      </c>
      <c r="C321" s="2">
        <v>3656084.7691000002</v>
      </c>
      <c r="D321" s="2">
        <v>0.78190000000000004</v>
      </c>
      <c r="E321" s="3">
        <v>131453</v>
      </c>
      <c r="F321" s="2">
        <v>102781.9659</v>
      </c>
      <c r="G321" t="s">
        <v>1004</v>
      </c>
      <c r="H321" t="s">
        <v>6</v>
      </c>
      <c r="I321">
        <f>HLOOKUP(G321,zip_tiers!$A$1:$EON$2,2,FALSE)</f>
        <v>159532</v>
      </c>
      <c r="J321" t="str">
        <f t="shared" si="4"/>
        <v>High</v>
      </c>
      <c r="K321">
        <f>dataset[[#This Row],[soda_sales]]/dataset[[#This Row],[soda_units_sold]]</f>
        <v>0.78189136725673813</v>
      </c>
      <c r="L321" s="29">
        <f>dataset[[#This Row],[implied_soda_ppu]]-dataset[[#This Row],[soda_ppu]]</f>
        <v>-8.6327432619048849E-6</v>
      </c>
      <c r="M321">
        <f>dataset[[#This Row],[soda_sales]]/dataset[[#This Row],[total_sales]]</f>
        <v>2.8112577358347549E-2</v>
      </c>
      <c r="N321">
        <f>LN(dataset[[#This Row],[soda_units_sold]])</f>
        <v>11.786404652263519</v>
      </c>
      <c r="O321">
        <f>LN(dataset[[#This Row],[soda_sales]])</f>
        <v>11.54036518762541</v>
      </c>
      <c r="P321">
        <f>LN(dataset[[#This Row],[soda_ppu]])</f>
        <v>-0.24602842385166868</v>
      </c>
      <c r="Q321">
        <f>IF(dataset[[#This Row],[state]]="VA",1,0)</f>
        <v>0</v>
      </c>
    </row>
    <row r="322" spans="1:17" x14ac:dyDescent="0.35">
      <c r="A322">
        <v>202409</v>
      </c>
      <c r="B322">
        <v>81</v>
      </c>
      <c r="C322" s="2">
        <v>3634323.4249</v>
      </c>
      <c r="D322" s="2">
        <v>0.7913</v>
      </c>
      <c r="E322" s="3">
        <v>122012</v>
      </c>
      <c r="F322" s="2">
        <v>96553.235000000001</v>
      </c>
      <c r="G322" t="s">
        <v>1004</v>
      </c>
      <c r="H322" t="s">
        <v>6</v>
      </c>
      <c r="I322">
        <f>HLOOKUP(G322,zip_tiers!$A$1:$EON$2,2,FALSE)</f>
        <v>159532</v>
      </c>
      <c r="J322" t="str">
        <f t="shared" ref="J322:J385" si="5">IF(I322="","No Data",IF(I322&gt;=100000,"High",IF(I322&gt;=40000,"Med","Low")))</f>
        <v>High</v>
      </c>
      <c r="K322">
        <f>dataset[[#This Row],[soda_sales]]/dataset[[#This Row],[soda_units_sold]]</f>
        <v>0.79134212208635213</v>
      </c>
      <c r="L322" s="29">
        <f>dataset[[#This Row],[implied_soda_ppu]]-dataset[[#This Row],[soda_ppu]]</f>
        <v>4.2122086352125443E-5</v>
      </c>
      <c r="M322">
        <f>dataset[[#This Row],[soda_sales]]/dataset[[#This Row],[total_sales]]</f>
        <v>2.6567045282343497E-2</v>
      </c>
      <c r="N322">
        <f>LN(dataset[[#This Row],[soda_units_sold]])</f>
        <v>11.71187467953404</v>
      </c>
      <c r="O322">
        <f>LN(dataset[[#This Row],[soda_sales]])</f>
        <v>11.477849793250812</v>
      </c>
      <c r="P322">
        <f>LN(dataset[[#This Row],[soda_ppu]])</f>
        <v>-0.23407811636698939</v>
      </c>
      <c r="Q322">
        <f>IF(dataset[[#This Row],[state]]="VA",1,0)</f>
        <v>0</v>
      </c>
    </row>
    <row r="323" spans="1:17" x14ac:dyDescent="0.35">
      <c r="A323">
        <v>202410</v>
      </c>
      <c r="B323">
        <v>81</v>
      </c>
      <c r="C323" s="2">
        <v>4405923.0016000001</v>
      </c>
      <c r="D323" s="2">
        <v>0.78739999999999999</v>
      </c>
      <c r="E323" s="3">
        <v>115433</v>
      </c>
      <c r="F323" s="2">
        <v>90888.422000000006</v>
      </c>
      <c r="G323" t="s">
        <v>1004</v>
      </c>
      <c r="H323" t="s">
        <v>6</v>
      </c>
      <c r="I323">
        <f>HLOOKUP(G323,zip_tiers!$A$1:$EON$2,2,FALSE)</f>
        <v>159532</v>
      </c>
      <c r="J323" t="str">
        <f t="shared" si="5"/>
        <v>High</v>
      </c>
      <c r="K323">
        <f>dataset[[#This Row],[soda_sales]]/dataset[[#This Row],[soda_units_sold]]</f>
        <v>0.7873694870617588</v>
      </c>
      <c r="L323" s="29">
        <f>dataset[[#This Row],[implied_soda_ppu]]-dataset[[#This Row],[soda_ppu]]</f>
        <v>-3.0512938241189502E-5</v>
      </c>
      <c r="M323">
        <f>dataset[[#This Row],[soda_sales]]/dataset[[#This Row],[total_sales]]</f>
        <v>2.0628690507526821E-2</v>
      </c>
      <c r="N323">
        <f>LN(dataset[[#This Row],[soda_units_sold]])</f>
        <v>11.656445554048585</v>
      </c>
      <c r="O323">
        <f>LN(dataset[[#This Row],[soda_sales]])</f>
        <v>11.417387901316156</v>
      </c>
      <c r="P323">
        <f>LN(dataset[[#This Row],[soda_ppu]])</f>
        <v>-0.23901890047249993</v>
      </c>
      <c r="Q323">
        <f>IF(dataset[[#This Row],[state]]="VA",1,0)</f>
        <v>0</v>
      </c>
    </row>
    <row r="324" spans="1:17" x14ac:dyDescent="0.35">
      <c r="A324">
        <v>202411</v>
      </c>
      <c r="B324">
        <v>81</v>
      </c>
      <c r="C324" s="2">
        <v>5013539.5685999999</v>
      </c>
      <c r="D324" s="2">
        <v>0.79500000000000004</v>
      </c>
      <c r="E324" s="3">
        <v>111041</v>
      </c>
      <c r="F324" s="2">
        <v>88272.855100000001</v>
      </c>
      <c r="G324" t="s">
        <v>1004</v>
      </c>
      <c r="H324" t="s">
        <v>6</v>
      </c>
      <c r="I324">
        <f>HLOOKUP(G324,zip_tiers!$A$1:$EON$2,2,FALSE)</f>
        <v>159532</v>
      </c>
      <c r="J324" t="str">
        <f t="shared" si="5"/>
        <v>High</v>
      </c>
      <c r="K324">
        <f>dataset[[#This Row],[soda_sales]]/dataset[[#This Row],[soda_units_sold]]</f>
        <v>0.79495731396511204</v>
      </c>
      <c r="L324" s="29">
        <f>dataset[[#This Row],[implied_soda_ppu]]-dataset[[#This Row],[soda_ppu]]</f>
        <v>-4.2686034887995383E-5</v>
      </c>
      <c r="M324">
        <f>dataset[[#This Row],[soda_sales]]/dataset[[#This Row],[total_sales]]</f>
        <v>1.7606893072681911E-2</v>
      </c>
      <c r="N324">
        <f>LN(dataset[[#This Row],[soda_units_sold]])</f>
        <v>11.617654781463768</v>
      </c>
      <c r="O324">
        <f>LN(dataset[[#This Row],[soda_sales]])</f>
        <v>11.388187922568791</v>
      </c>
      <c r="P324">
        <f>LN(dataset[[#This Row],[soda_ppu]])</f>
        <v>-0.22941316432780509</v>
      </c>
      <c r="Q324">
        <f>IF(dataset[[#This Row],[state]]="VA",1,0)</f>
        <v>0</v>
      </c>
    </row>
    <row r="325" spans="1:17" x14ac:dyDescent="0.35">
      <c r="A325">
        <v>202412</v>
      </c>
      <c r="B325">
        <v>81</v>
      </c>
      <c r="C325" s="2">
        <v>5266813.2648999998</v>
      </c>
      <c r="D325" s="2">
        <v>0.80189999999999995</v>
      </c>
      <c r="E325" s="3">
        <v>104094</v>
      </c>
      <c r="F325" s="2">
        <v>83476.359400000001</v>
      </c>
      <c r="G325" t="s">
        <v>1004</v>
      </c>
      <c r="H325" t="s">
        <v>6</v>
      </c>
      <c r="I325">
        <f>HLOOKUP(G325,zip_tiers!$A$1:$EON$2,2,FALSE)</f>
        <v>159532</v>
      </c>
      <c r="J325" t="str">
        <f t="shared" si="5"/>
        <v>High</v>
      </c>
      <c r="K325">
        <f>dataset[[#This Row],[soda_sales]]/dataset[[#This Row],[soda_units_sold]]</f>
        <v>0.80193247833688786</v>
      </c>
      <c r="L325" s="29">
        <f>dataset[[#This Row],[implied_soda_ppu]]-dataset[[#This Row],[soda_ppu]]</f>
        <v>3.247833688790891E-5</v>
      </c>
      <c r="M325">
        <f>dataset[[#This Row],[soda_sales]]/dataset[[#This Row],[total_sales]]</f>
        <v>1.5849500485676505E-2</v>
      </c>
      <c r="N325">
        <f>LN(dataset[[#This Row],[soda_units_sold]])</f>
        <v>11.553049616054382</v>
      </c>
      <c r="O325">
        <f>LN(dataset[[#This Row],[soda_sales]])</f>
        <v>11.332318749794558</v>
      </c>
      <c r="P325">
        <f>LN(dataset[[#This Row],[soda_ppu]])</f>
        <v>-0.2207713671691541</v>
      </c>
      <c r="Q325">
        <f>IF(dataset[[#This Row],[state]]="VA",1,0)</f>
        <v>0</v>
      </c>
    </row>
    <row r="326" spans="1:17" x14ac:dyDescent="0.35">
      <c r="A326">
        <v>202201</v>
      </c>
      <c r="B326">
        <v>88</v>
      </c>
      <c r="C326" s="2">
        <v>2435666.8332000002</v>
      </c>
      <c r="D326" s="2">
        <v>0.70620000000000005</v>
      </c>
      <c r="E326" s="3">
        <v>142756</v>
      </c>
      <c r="F326" s="2">
        <v>100812.63559999999</v>
      </c>
      <c r="G326" t="s">
        <v>1021</v>
      </c>
      <c r="H326" t="s">
        <v>6</v>
      </c>
      <c r="I326">
        <f>HLOOKUP(G326,zip_tiers!$A$1:$EON$2,2,FALSE)</f>
        <v>114162</v>
      </c>
      <c r="J326" t="str">
        <f t="shared" si="5"/>
        <v>High</v>
      </c>
      <c r="K326">
        <f>dataset[[#This Row],[soda_sales]]/dataset[[#This Row],[soda_units_sold]]</f>
        <v>0.70618843060887104</v>
      </c>
      <c r="L326" s="29">
        <f>dataset[[#This Row],[implied_soda_ppu]]-dataset[[#This Row],[soda_ppu]]</f>
        <v>-1.1569391129007123E-5</v>
      </c>
      <c r="M326">
        <f>dataset[[#This Row],[soda_sales]]/dataset[[#This Row],[total_sales]]</f>
        <v>4.1390158221086208E-2</v>
      </c>
      <c r="N326">
        <f>LN(dataset[[#This Row],[soda_units_sold]])</f>
        <v>11.8688921581586</v>
      </c>
      <c r="O326">
        <f>LN(dataset[[#This Row],[soda_sales]])</f>
        <v>11.521018979937956</v>
      </c>
      <c r="P326">
        <f>LN(dataset[[#This Row],[soda_ppu]])</f>
        <v>-0.34785679548785092</v>
      </c>
      <c r="Q326">
        <f>IF(dataset[[#This Row],[state]]="VA",1,0)</f>
        <v>0</v>
      </c>
    </row>
    <row r="327" spans="1:17" x14ac:dyDescent="0.35">
      <c r="A327">
        <v>202202</v>
      </c>
      <c r="B327">
        <v>88</v>
      </c>
      <c r="C327" s="2">
        <v>2779719.1672999999</v>
      </c>
      <c r="D327" s="2">
        <v>0.70689999999999997</v>
      </c>
      <c r="E327" s="3">
        <v>160638</v>
      </c>
      <c r="F327" s="2">
        <v>113558.22040000001</v>
      </c>
      <c r="G327" t="s">
        <v>1021</v>
      </c>
      <c r="H327" t="s">
        <v>6</v>
      </c>
      <c r="I327">
        <f>HLOOKUP(G327,zip_tiers!$A$1:$EON$2,2,FALSE)</f>
        <v>114162</v>
      </c>
      <c r="J327" t="str">
        <f t="shared" si="5"/>
        <v>High</v>
      </c>
      <c r="K327">
        <f>dataset[[#This Row],[soda_sales]]/dataset[[#This Row],[soda_units_sold]]</f>
        <v>0.70692003386496349</v>
      </c>
      <c r="L327" s="29">
        <f>dataset[[#This Row],[implied_soda_ppu]]-dataset[[#This Row],[soda_ppu]]</f>
        <v>2.0033864963520109E-5</v>
      </c>
      <c r="M327">
        <f>dataset[[#This Row],[soda_sales]]/dataset[[#This Row],[total_sales]]</f>
        <v>4.0852407587023083E-2</v>
      </c>
      <c r="N327">
        <f>LN(dataset[[#This Row],[soda_units_sold]])</f>
        <v>11.986908665208794</v>
      </c>
      <c r="O327">
        <f>LN(dataset[[#This Row],[soda_sales]])</f>
        <v>11.640070939453196</v>
      </c>
      <c r="P327">
        <f>LN(dataset[[#This Row],[soda_ppu]])</f>
        <v>-0.34686606580522872</v>
      </c>
      <c r="Q327">
        <f>IF(dataset[[#This Row],[state]]="VA",1,0)</f>
        <v>0</v>
      </c>
    </row>
    <row r="328" spans="1:17" x14ac:dyDescent="0.35">
      <c r="A328">
        <v>202203</v>
      </c>
      <c r="B328">
        <v>88</v>
      </c>
      <c r="C328" s="2">
        <v>3040907.1063000001</v>
      </c>
      <c r="D328" s="2">
        <v>0.71140000000000003</v>
      </c>
      <c r="E328" s="3">
        <v>189736</v>
      </c>
      <c r="F328" s="2">
        <v>134984.25719999999</v>
      </c>
      <c r="G328" t="s">
        <v>1021</v>
      </c>
      <c r="H328" t="s">
        <v>6</v>
      </c>
      <c r="I328">
        <f>HLOOKUP(G328,zip_tiers!$A$1:$EON$2,2,FALSE)</f>
        <v>114162</v>
      </c>
      <c r="J328" t="str">
        <f t="shared" si="5"/>
        <v>High</v>
      </c>
      <c r="K328">
        <f>dataset[[#This Row],[soda_sales]]/dataset[[#This Row],[soda_units_sold]]</f>
        <v>0.71143197495467381</v>
      </c>
      <c r="L328" s="29">
        <f>dataset[[#This Row],[implied_soda_ppu]]-dataset[[#This Row],[soda_ppu]]</f>
        <v>3.1974954673774647E-5</v>
      </c>
      <c r="M328">
        <f>dataset[[#This Row],[soda_sales]]/dataset[[#This Row],[total_sales]]</f>
        <v>4.4389470799797312E-2</v>
      </c>
      <c r="N328">
        <f>LN(dataset[[#This Row],[soda_units_sold]])</f>
        <v>12.153388911244731</v>
      </c>
      <c r="O328">
        <f>LN(dataset[[#This Row],[soda_sales]])</f>
        <v>11.812913437287369</v>
      </c>
      <c r="P328">
        <f>LN(dataset[[#This Row],[soda_ppu]])</f>
        <v>-0.34052041946778216</v>
      </c>
      <c r="Q328">
        <f>IF(dataset[[#This Row],[state]]="VA",1,0)</f>
        <v>0</v>
      </c>
    </row>
    <row r="329" spans="1:17" x14ac:dyDescent="0.35">
      <c r="A329">
        <v>202204</v>
      </c>
      <c r="B329">
        <v>88</v>
      </c>
      <c r="C329" s="2">
        <v>3238857.2960999999</v>
      </c>
      <c r="D329" s="2">
        <v>0.68969999999999998</v>
      </c>
      <c r="E329" s="3">
        <v>226899</v>
      </c>
      <c r="F329" s="2">
        <v>156490.38070000001</v>
      </c>
      <c r="G329" t="s">
        <v>1021</v>
      </c>
      <c r="H329" t="s">
        <v>6</v>
      </c>
      <c r="I329">
        <f>HLOOKUP(G329,zip_tiers!$A$1:$EON$2,2,FALSE)</f>
        <v>114162</v>
      </c>
      <c r="J329" t="str">
        <f t="shared" si="5"/>
        <v>High</v>
      </c>
      <c r="K329">
        <f>dataset[[#This Row],[soda_sales]]/dataset[[#This Row],[soda_units_sold]]</f>
        <v>0.68969180428296295</v>
      </c>
      <c r="L329" s="29">
        <f>dataset[[#This Row],[implied_soda_ppu]]-dataset[[#This Row],[soda_ppu]]</f>
        <v>-8.1957170370294818E-6</v>
      </c>
      <c r="M329">
        <f>dataset[[#This Row],[soda_sales]]/dataset[[#This Row],[total_sales]]</f>
        <v>4.8316540802348568E-2</v>
      </c>
      <c r="N329">
        <f>LN(dataset[[#This Row],[soda_units_sold]])</f>
        <v>12.332260263530367</v>
      </c>
      <c r="O329">
        <f>LN(dataset[[#This Row],[soda_sales]])</f>
        <v>11.960749821897565</v>
      </c>
      <c r="P329">
        <f>LN(dataset[[#This Row],[soda_ppu]])</f>
        <v>-0.3714985585448915</v>
      </c>
      <c r="Q329">
        <f>IF(dataset[[#This Row],[state]]="VA",1,0)</f>
        <v>0</v>
      </c>
    </row>
    <row r="330" spans="1:17" x14ac:dyDescent="0.35">
      <c r="A330">
        <v>202205</v>
      </c>
      <c r="B330">
        <v>88</v>
      </c>
      <c r="C330" s="2">
        <v>3386764.9605</v>
      </c>
      <c r="D330" s="2">
        <v>0.7228</v>
      </c>
      <c r="E330" s="3">
        <v>235632</v>
      </c>
      <c r="F330" s="2">
        <v>170310.2844</v>
      </c>
      <c r="G330" t="s">
        <v>1021</v>
      </c>
      <c r="H330" t="s">
        <v>6</v>
      </c>
      <c r="I330">
        <f>HLOOKUP(G330,zip_tiers!$A$1:$EON$2,2,FALSE)</f>
        <v>114162</v>
      </c>
      <c r="J330" t="str">
        <f t="shared" si="5"/>
        <v>High</v>
      </c>
      <c r="K330">
        <f>dataset[[#This Row],[soda_sales]]/dataset[[#This Row],[soda_units_sold]]</f>
        <v>0.72278079547769403</v>
      </c>
      <c r="L330" s="29">
        <f>dataset[[#This Row],[implied_soda_ppu]]-dataset[[#This Row],[soda_ppu]]</f>
        <v>-1.9204522305971139E-5</v>
      </c>
      <c r="M330">
        <f>dataset[[#This Row],[soda_sales]]/dataset[[#This Row],[total_sales]]</f>
        <v>5.0287010284544957E-2</v>
      </c>
      <c r="N330">
        <f>LN(dataset[[#This Row],[soda_units_sold]])</f>
        <v>12.370026544965944</v>
      </c>
      <c r="O330">
        <f>LN(dataset[[#This Row],[soda_sales]])</f>
        <v>12.045377254727558</v>
      </c>
      <c r="P330">
        <f>LN(dataset[[#This Row],[soda_ppu]])</f>
        <v>-0.32462272026406364</v>
      </c>
      <c r="Q330">
        <f>IF(dataset[[#This Row],[state]]="VA",1,0)</f>
        <v>0</v>
      </c>
    </row>
    <row r="331" spans="1:17" x14ac:dyDescent="0.35">
      <c r="A331">
        <v>202206</v>
      </c>
      <c r="B331">
        <v>88</v>
      </c>
      <c r="C331" s="2">
        <v>3238337.1787</v>
      </c>
      <c r="D331" s="2">
        <v>0.7258</v>
      </c>
      <c r="E331" s="3">
        <v>246696</v>
      </c>
      <c r="F331" s="2">
        <v>179048.9926</v>
      </c>
      <c r="G331" t="s">
        <v>1021</v>
      </c>
      <c r="H331" t="s">
        <v>6</v>
      </c>
      <c r="I331">
        <f>HLOOKUP(G331,zip_tiers!$A$1:$EON$2,2,FALSE)</f>
        <v>114162</v>
      </c>
      <c r="J331" t="str">
        <f t="shared" si="5"/>
        <v>High</v>
      </c>
      <c r="K331">
        <f>dataset[[#This Row],[soda_sales]]/dataset[[#This Row],[soda_units_sold]]</f>
        <v>0.72578798440185488</v>
      </c>
      <c r="L331" s="29">
        <f>dataset[[#This Row],[implied_soda_ppu]]-dataset[[#This Row],[soda_ppu]]</f>
        <v>-1.2015598145120876E-5</v>
      </c>
      <c r="M331">
        <f>dataset[[#This Row],[soda_sales]]/dataset[[#This Row],[total_sales]]</f>
        <v>5.5290410701419775E-2</v>
      </c>
      <c r="N331">
        <f>LN(dataset[[#This Row],[soda_units_sold]])</f>
        <v>12.415912088360868</v>
      </c>
      <c r="O331">
        <f>LN(dataset[[#This Row],[soda_sales]])</f>
        <v>12.095414749049398</v>
      </c>
      <c r="P331">
        <f>LN(dataset[[#This Row],[soda_ppu]])</f>
        <v>-0.32048078420316711</v>
      </c>
      <c r="Q331">
        <f>IF(dataset[[#This Row],[state]]="VA",1,0)</f>
        <v>0</v>
      </c>
    </row>
    <row r="332" spans="1:17" x14ac:dyDescent="0.35">
      <c r="A332">
        <v>202207</v>
      </c>
      <c r="B332">
        <v>88</v>
      </c>
      <c r="C332" s="2">
        <v>3076934.9904</v>
      </c>
      <c r="D332" s="2">
        <v>0.70669999999999999</v>
      </c>
      <c r="E332" s="3">
        <v>259065</v>
      </c>
      <c r="F332" s="2">
        <v>183073.42540000001</v>
      </c>
      <c r="G332" t="s">
        <v>1021</v>
      </c>
      <c r="H332" t="s">
        <v>6</v>
      </c>
      <c r="I332">
        <f>HLOOKUP(G332,zip_tiers!$A$1:$EON$2,2,FALSE)</f>
        <v>114162</v>
      </c>
      <c r="J332" t="str">
        <f t="shared" si="5"/>
        <v>High</v>
      </c>
      <c r="K332">
        <f>dataset[[#This Row],[soda_sales]]/dataset[[#This Row],[soda_units_sold]]</f>
        <v>0.70666985273965999</v>
      </c>
      <c r="L332" s="29">
        <f>dataset[[#This Row],[implied_soda_ppu]]-dataset[[#This Row],[soda_ppu]]</f>
        <v>-3.0147260340007698E-5</v>
      </c>
      <c r="M332">
        <f>dataset[[#This Row],[soda_sales]]/dataset[[#This Row],[total_sales]]</f>
        <v>5.9498632883433315E-2</v>
      </c>
      <c r="N332">
        <f>LN(dataset[[#This Row],[soda_units_sold]])</f>
        <v>12.46483427444613</v>
      </c>
      <c r="O332">
        <f>LN(dataset[[#This Row],[soda_sales]])</f>
        <v>12.117642583045635</v>
      </c>
      <c r="P332">
        <f>LN(dataset[[#This Row],[soda_ppu]])</f>
        <v>-0.34714903128532842</v>
      </c>
      <c r="Q332">
        <f>IF(dataset[[#This Row],[state]]="VA",1,0)</f>
        <v>0</v>
      </c>
    </row>
    <row r="333" spans="1:17" x14ac:dyDescent="0.35">
      <c r="A333">
        <v>202208</v>
      </c>
      <c r="B333">
        <v>88</v>
      </c>
      <c r="C333" s="2">
        <v>2942702.1557</v>
      </c>
      <c r="D333" s="2">
        <v>0.70879999999999999</v>
      </c>
      <c r="E333" s="3">
        <v>227921</v>
      </c>
      <c r="F333" s="2">
        <v>161546.2371</v>
      </c>
      <c r="G333" t="s">
        <v>1021</v>
      </c>
      <c r="H333" t="s">
        <v>6</v>
      </c>
      <c r="I333">
        <f>HLOOKUP(G333,zip_tiers!$A$1:$EON$2,2,FALSE)</f>
        <v>114162</v>
      </c>
      <c r="J333" t="str">
        <f t="shared" si="5"/>
        <v>High</v>
      </c>
      <c r="K333">
        <f>dataset[[#This Row],[soda_sales]]/dataset[[#This Row],[soda_units_sold]]</f>
        <v>0.70878171427819292</v>
      </c>
      <c r="L333" s="29">
        <f>dataset[[#This Row],[implied_soda_ppu]]-dataset[[#This Row],[soda_ppu]]</f>
        <v>-1.8285721807065336E-5</v>
      </c>
      <c r="M333">
        <f>dataset[[#This Row],[soda_sales]]/dataset[[#This Row],[total_sales]]</f>
        <v>5.4897243605536397E-2</v>
      </c>
      <c r="N333">
        <f>LN(dataset[[#This Row],[soda_units_sold]])</f>
        <v>12.336754356666553</v>
      </c>
      <c r="O333">
        <f>LN(dataset[[#This Row],[soda_sales]])</f>
        <v>11.992546678502261</v>
      </c>
      <c r="P333">
        <f>LN(dataset[[#This Row],[soda_ppu]])</f>
        <v>-0.3441818796912659</v>
      </c>
      <c r="Q333">
        <f>IF(dataset[[#This Row],[state]]="VA",1,0)</f>
        <v>0</v>
      </c>
    </row>
    <row r="334" spans="1:17" x14ac:dyDescent="0.35">
      <c r="A334">
        <v>202209</v>
      </c>
      <c r="B334">
        <v>88</v>
      </c>
      <c r="C334" s="2">
        <v>2953069.4400999998</v>
      </c>
      <c r="D334" s="2">
        <v>0.70830000000000004</v>
      </c>
      <c r="E334" s="3">
        <v>219502</v>
      </c>
      <c r="F334" s="2">
        <v>155469.1465</v>
      </c>
      <c r="G334" t="s">
        <v>1021</v>
      </c>
      <c r="H334" t="s">
        <v>6</v>
      </c>
      <c r="I334">
        <f>HLOOKUP(G334,zip_tiers!$A$1:$EON$2,2,FALSE)</f>
        <v>114162</v>
      </c>
      <c r="J334" t="str">
        <f t="shared" si="5"/>
        <v>High</v>
      </c>
      <c r="K334">
        <f>dataset[[#This Row],[soda_sales]]/dataset[[#This Row],[soda_units_sold]]</f>
        <v>0.70828122978378327</v>
      </c>
      <c r="L334" s="29">
        <f>dataset[[#This Row],[implied_soda_ppu]]-dataset[[#This Row],[soda_ppu]]</f>
        <v>-1.8770216216767999E-5</v>
      </c>
      <c r="M334">
        <f>dataset[[#This Row],[soda_sales]]/dataset[[#This Row],[total_sales]]</f>
        <v>5.2646627400246761E-2</v>
      </c>
      <c r="N334">
        <f>LN(dataset[[#This Row],[soda_units_sold]])</f>
        <v>12.299116623073164</v>
      </c>
      <c r="O334">
        <f>LN(dataset[[#This Row],[soda_sales]])</f>
        <v>11.95420257612361</v>
      </c>
      <c r="P334">
        <f>LN(dataset[[#This Row],[soda_ppu]])</f>
        <v>-0.34488754622256007</v>
      </c>
      <c r="Q334">
        <f>IF(dataset[[#This Row],[state]]="VA",1,0)</f>
        <v>0</v>
      </c>
    </row>
    <row r="335" spans="1:17" x14ac:dyDescent="0.35">
      <c r="A335">
        <v>202210</v>
      </c>
      <c r="B335">
        <v>88</v>
      </c>
      <c r="C335" s="2">
        <v>3582525.6916</v>
      </c>
      <c r="D335" s="2">
        <v>0.74339999999999995</v>
      </c>
      <c r="E335" s="3">
        <v>197919</v>
      </c>
      <c r="F335" s="2">
        <v>147138.2934</v>
      </c>
      <c r="G335" t="s">
        <v>1021</v>
      </c>
      <c r="H335" t="s">
        <v>6</v>
      </c>
      <c r="I335">
        <f>HLOOKUP(G335,zip_tiers!$A$1:$EON$2,2,FALSE)</f>
        <v>114162</v>
      </c>
      <c r="J335" t="str">
        <f t="shared" si="5"/>
        <v>High</v>
      </c>
      <c r="K335">
        <f>dataset[[#This Row],[soda_sales]]/dataset[[#This Row],[soda_units_sold]]</f>
        <v>0.74342682309429609</v>
      </c>
      <c r="L335" s="29">
        <f>dataset[[#This Row],[implied_soda_ppu]]-dataset[[#This Row],[soda_ppu]]</f>
        <v>2.6823094296135608E-5</v>
      </c>
      <c r="M335">
        <f>dataset[[#This Row],[soda_sales]]/dataset[[#This Row],[total_sales]]</f>
        <v>4.1071106271476934E-2</v>
      </c>
      <c r="N335">
        <f>LN(dataset[[#This Row],[soda_units_sold]])</f>
        <v>12.195613135067067</v>
      </c>
      <c r="O335">
        <f>LN(dataset[[#This Row],[soda_sales]])</f>
        <v>11.899128194941353</v>
      </c>
      <c r="P335">
        <f>LN(dataset[[#This Row],[soda_ppu]])</f>
        <v>-0.29652102111898537</v>
      </c>
      <c r="Q335">
        <f>IF(dataset[[#This Row],[state]]="VA",1,0)</f>
        <v>0</v>
      </c>
    </row>
    <row r="336" spans="1:17" x14ac:dyDescent="0.35">
      <c r="A336">
        <v>202211</v>
      </c>
      <c r="B336">
        <v>88</v>
      </c>
      <c r="C336" s="2">
        <v>4102642.44</v>
      </c>
      <c r="D336" s="2">
        <v>0.69799999999999995</v>
      </c>
      <c r="E336" s="3">
        <v>199317</v>
      </c>
      <c r="F336" s="2">
        <v>139113.7856</v>
      </c>
      <c r="G336" t="s">
        <v>1021</v>
      </c>
      <c r="H336" t="s">
        <v>6</v>
      </c>
      <c r="I336">
        <f>HLOOKUP(G336,zip_tiers!$A$1:$EON$2,2,FALSE)</f>
        <v>114162</v>
      </c>
      <c r="J336" t="str">
        <f t="shared" si="5"/>
        <v>High</v>
      </c>
      <c r="K336">
        <f>dataset[[#This Row],[soda_sales]]/dataset[[#This Row],[soda_units_sold]]</f>
        <v>0.69795243556746289</v>
      </c>
      <c r="L336" s="29">
        <f>dataset[[#This Row],[implied_soda_ppu]]-dataset[[#This Row],[soda_ppu]]</f>
        <v>-4.7564432537061663E-5</v>
      </c>
      <c r="M336">
        <f>dataset[[#This Row],[soda_sales]]/dataset[[#This Row],[total_sales]]</f>
        <v>3.3908337768767394E-2</v>
      </c>
      <c r="N336">
        <f>LN(dataset[[#This Row],[soda_units_sold]])</f>
        <v>12.202651801108079</v>
      </c>
      <c r="O336">
        <f>LN(dataset[[#This Row],[soda_sales]])</f>
        <v>11.843047478680258</v>
      </c>
      <c r="P336">
        <f>LN(dataset[[#This Row],[soda_ppu]])</f>
        <v>-0.35953617621976464</v>
      </c>
      <c r="Q336">
        <f>IF(dataset[[#This Row],[state]]="VA",1,0)</f>
        <v>0</v>
      </c>
    </row>
    <row r="337" spans="1:17" x14ac:dyDescent="0.35">
      <c r="A337">
        <v>202212</v>
      </c>
      <c r="B337">
        <v>88</v>
      </c>
      <c r="C337" s="2">
        <v>4216069.3653999995</v>
      </c>
      <c r="D337" s="2">
        <v>0.71579999999999999</v>
      </c>
      <c r="E337" s="3">
        <v>187935</v>
      </c>
      <c r="F337" s="2">
        <v>134517.0336</v>
      </c>
      <c r="G337" t="s">
        <v>1021</v>
      </c>
      <c r="H337" t="s">
        <v>6</v>
      </c>
      <c r="I337">
        <f>HLOOKUP(G337,zip_tiers!$A$1:$EON$2,2,FALSE)</f>
        <v>114162</v>
      </c>
      <c r="J337" t="str">
        <f t="shared" si="5"/>
        <v>High</v>
      </c>
      <c r="K337">
        <f>dataset[[#This Row],[soda_sales]]/dataset[[#This Row],[soda_units_sold]]</f>
        <v>0.71576360763029767</v>
      </c>
      <c r="L337" s="29">
        <f>dataset[[#This Row],[implied_soda_ppu]]-dataset[[#This Row],[soda_ppu]]</f>
        <v>-3.6392369702320515E-5</v>
      </c>
      <c r="M337">
        <f>dataset[[#This Row],[soda_sales]]/dataset[[#This Row],[total_sales]]</f>
        <v>3.190579232494143E-2</v>
      </c>
      <c r="N337">
        <f>LN(dataset[[#This Row],[soda_units_sold]])</f>
        <v>12.143851437347763</v>
      </c>
      <c r="O337">
        <f>LN(dataset[[#This Row],[soda_sales]])</f>
        <v>11.809446113871545</v>
      </c>
      <c r="P337">
        <f>LN(dataset[[#This Row],[soda_ppu]])</f>
        <v>-0.33435448065021162</v>
      </c>
      <c r="Q337">
        <f>IF(dataset[[#This Row],[state]]="VA",1,0)</f>
        <v>0</v>
      </c>
    </row>
    <row r="338" spans="1:17" x14ac:dyDescent="0.35">
      <c r="A338">
        <v>202301</v>
      </c>
      <c r="B338">
        <v>88</v>
      </c>
      <c r="C338" s="2">
        <v>2491051.6342000002</v>
      </c>
      <c r="D338" s="2">
        <v>0.74909999999999999</v>
      </c>
      <c r="E338" s="3">
        <v>136775</v>
      </c>
      <c r="F338" s="2">
        <v>102463.4662</v>
      </c>
      <c r="G338" t="s">
        <v>1021</v>
      </c>
      <c r="H338" t="s">
        <v>6</v>
      </c>
      <c r="I338">
        <f>HLOOKUP(G338,zip_tiers!$A$1:$EON$2,2,FALSE)</f>
        <v>114162</v>
      </c>
      <c r="J338" t="str">
        <f t="shared" si="5"/>
        <v>High</v>
      </c>
      <c r="K338">
        <f>dataset[[#This Row],[soda_sales]]/dataset[[#This Row],[soda_units_sold]]</f>
        <v>0.74913884993602631</v>
      </c>
      <c r="L338" s="29">
        <f>dataset[[#This Row],[implied_soda_ppu]]-dataset[[#This Row],[soda_ppu]]</f>
        <v>3.8849936026319476E-5</v>
      </c>
      <c r="M338">
        <f>dataset[[#This Row],[soda_sales]]/dataset[[#This Row],[total_sales]]</f>
        <v>4.1132614351812133E-2</v>
      </c>
      <c r="N338">
        <f>LN(dataset[[#This Row],[soda_units_sold]])</f>
        <v>11.826092518932027</v>
      </c>
      <c r="O338">
        <f>LN(dataset[[#This Row],[soda_sales]])</f>
        <v>11.537261586708214</v>
      </c>
      <c r="P338">
        <f>LN(dataset[[#This Row],[soda_ppu]])</f>
        <v>-0.28888279302829983</v>
      </c>
      <c r="Q338">
        <f>IF(dataset[[#This Row],[state]]="VA",1,0)</f>
        <v>0</v>
      </c>
    </row>
    <row r="339" spans="1:17" x14ac:dyDescent="0.35">
      <c r="A339">
        <v>202302</v>
      </c>
      <c r="B339">
        <v>88</v>
      </c>
      <c r="C339" s="2">
        <v>2792460.1693000002</v>
      </c>
      <c r="D339" s="2">
        <v>0.75560000000000005</v>
      </c>
      <c r="E339" s="3">
        <v>153990</v>
      </c>
      <c r="F339" s="2">
        <v>116353.63430000001</v>
      </c>
      <c r="G339" t="s">
        <v>1021</v>
      </c>
      <c r="H339" t="s">
        <v>6</v>
      </c>
      <c r="I339">
        <f>HLOOKUP(G339,zip_tiers!$A$1:$EON$2,2,FALSE)</f>
        <v>114162</v>
      </c>
      <c r="J339" t="str">
        <f t="shared" si="5"/>
        <v>High</v>
      </c>
      <c r="K339">
        <f>dataset[[#This Row],[soda_sales]]/dataset[[#This Row],[soda_units_sold]]</f>
        <v>0.75559214429508414</v>
      </c>
      <c r="L339" s="29">
        <f>dataset[[#This Row],[implied_soda_ppu]]-dataset[[#This Row],[soda_ppu]]</f>
        <v>-7.8557049159044823E-6</v>
      </c>
      <c r="M339">
        <f>dataset[[#This Row],[soda_sales]]/dataset[[#This Row],[total_sales]]</f>
        <v>4.1667070341478478E-2</v>
      </c>
      <c r="N339">
        <f>LN(dataset[[#This Row],[soda_units_sold]])</f>
        <v>11.944642944222458</v>
      </c>
      <c r="O339">
        <f>LN(dataset[[#This Row],[soda_sales]])</f>
        <v>11.664389404168691</v>
      </c>
      <c r="P339">
        <f>LN(dataset[[#This Row],[soda_ppu]])</f>
        <v>-0.28024314335478251</v>
      </c>
      <c r="Q339">
        <f>IF(dataset[[#This Row],[state]]="VA",1,0)</f>
        <v>0</v>
      </c>
    </row>
    <row r="340" spans="1:17" x14ac:dyDescent="0.35">
      <c r="A340">
        <v>202303</v>
      </c>
      <c r="B340">
        <v>88</v>
      </c>
      <c r="C340" s="2">
        <v>3083011.5216999999</v>
      </c>
      <c r="D340" s="2">
        <v>0.74390000000000001</v>
      </c>
      <c r="E340" s="3">
        <v>180209</v>
      </c>
      <c r="F340" s="2">
        <v>134050.31109999999</v>
      </c>
      <c r="G340" t="s">
        <v>1021</v>
      </c>
      <c r="H340" t="s">
        <v>6</v>
      </c>
      <c r="I340">
        <f>HLOOKUP(G340,zip_tiers!$A$1:$EON$2,2,FALSE)</f>
        <v>114162</v>
      </c>
      <c r="J340" t="str">
        <f t="shared" si="5"/>
        <v>High</v>
      </c>
      <c r="K340">
        <f>dataset[[#This Row],[soda_sales]]/dataset[[#This Row],[soda_units_sold]]</f>
        <v>0.74386024615862689</v>
      </c>
      <c r="L340" s="29">
        <f>dataset[[#This Row],[implied_soda_ppu]]-dataset[[#This Row],[soda_ppu]]</f>
        <v>-3.9753841373113552E-5</v>
      </c>
      <c r="M340">
        <f>dataset[[#This Row],[soda_sales]]/dataset[[#This Row],[total_sales]]</f>
        <v>4.348031467170238E-2</v>
      </c>
      <c r="N340">
        <f>LN(dataset[[#This Row],[soda_units_sold]])</f>
        <v>12.101872567415294</v>
      </c>
      <c r="O340">
        <f>LN(dataset[[#This Row],[soda_sales]])</f>
        <v>11.805970464437243</v>
      </c>
      <c r="P340">
        <f>LN(dataset[[#This Row],[soda_ppu]])</f>
        <v>-0.29584866178484137</v>
      </c>
      <c r="Q340">
        <f>IF(dataset[[#This Row],[state]]="VA",1,0)</f>
        <v>0</v>
      </c>
    </row>
    <row r="341" spans="1:17" x14ac:dyDescent="0.35">
      <c r="A341">
        <v>202304</v>
      </c>
      <c r="B341">
        <v>88</v>
      </c>
      <c r="C341" s="2">
        <v>3276756.7407</v>
      </c>
      <c r="D341" s="2">
        <v>0.72389999999999999</v>
      </c>
      <c r="E341" s="3">
        <v>216964</v>
      </c>
      <c r="F341" s="2">
        <v>157054.40150000001</v>
      </c>
      <c r="G341" t="s">
        <v>1021</v>
      </c>
      <c r="H341" t="s">
        <v>6</v>
      </c>
      <c r="I341">
        <f>HLOOKUP(G341,zip_tiers!$A$1:$EON$2,2,FALSE)</f>
        <v>114162</v>
      </c>
      <c r="J341" t="str">
        <f t="shared" si="5"/>
        <v>High</v>
      </c>
      <c r="K341">
        <f>dataset[[#This Row],[soda_sales]]/dataset[[#This Row],[soda_units_sold]]</f>
        <v>0.72387309184933912</v>
      </c>
      <c r="L341" s="29">
        <f>dataset[[#This Row],[implied_soda_ppu]]-dataset[[#This Row],[soda_ppu]]</f>
        <v>-2.6908150660864827E-5</v>
      </c>
      <c r="M341">
        <f>dataset[[#This Row],[soda_sales]]/dataset[[#This Row],[total_sales]]</f>
        <v>4.792983243133548E-2</v>
      </c>
      <c r="N341">
        <f>LN(dataset[[#This Row],[soda_units_sold]])</f>
        <v>12.287486720142388</v>
      </c>
      <c r="O341">
        <f>LN(dataset[[#This Row],[soda_sales]])</f>
        <v>11.964347530680405</v>
      </c>
      <c r="P341">
        <f>LN(dataset[[#This Row],[soda_ppu]])</f>
        <v>-0.32310201768304131</v>
      </c>
      <c r="Q341">
        <f>IF(dataset[[#This Row],[state]]="VA",1,0)</f>
        <v>0</v>
      </c>
    </row>
    <row r="342" spans="1:17" x14ac:dyDescent="0.35">
      <c r="A342">
        <v>202305</v>
      </c>
      <c r="B342">
        <v>88</v>
      </c>
      <c r="C342" s="2">
        <v>3402964.3150999998</v>
      </c>
      <c r="D342" s="2">
        <v>0.70799999999999996</v>
      </c>
      <c r="E342" s="3">
        <v>238185</v>
      </c>
      <c r="F342" s="2">
        <v>168628.1292</v>
      </c>
      <c r="G342" t="s">
        <v>1021</v>
      </c>
      <c r="H342" t="s">
        <v>6</v>
      </c>
      <c r="I342">
        <f>HLOOKUP(G342,zip_tiers!$A$1:$EON$2,2,FALSE)</f>
        <v>114162</v>
      </c>
      <c r="J342" t="str">
        <f t="shared" si="5"/>
        <v>High</v>
      </c>
      <c r="K342">
        <f>dataset[[#This Row],[soda_sales]]/dataset[[#This Row],[soda_units_sold]]</f>
        <v>0.70797123748346868</v>
      </c>
      <c r="L342" s="29">
        <f>dataset[[#This Row],[implied_soda_ppu]]-dataset[[#This Row],[soda_ppu]]</f>
        <v>-2.8762516531277704E-5</v>
      </c>
      <c r="M342">
        <f>dataset[[#This Row],[soda_sales]]/dataset[[#This Row],[total_sales]]</f>
        <v>4.9553305173299964E-2</v>
      </c>
      <c r="N342">
        <f>LN(dataset[[#This Row],[soda_units_sold]])</f>
        <v>12.380802961628307</v>
      </c>
      <c r="O342">
        <f>LN(dataset[[#This Row],[soda_sales]])</f>
        <v>12.035451150491323</v>
      </c>
      <c r="P342">
        <f>LN(dataset[[#This Row],[soda_ppu]])</f>
        <v>-0.34531118528841737</v>
      </c>
      <c r="Q342">
        <f>IF(dataset[[#This Row],[state]]="VA",1,0)</f>
        <v>0</v>
      </c>
    </row>
    <row r="343" spans="1:17" x14ac:dyDescent="0.35">
      <c r="A343">
        <v>202306</v>
      </c>
      <c r="B343">
        <v>88</v>
      </c>
      <c r="C343" s="2">
        <v>3304004.8643999998</v>
      </c>
      <c r="D343" s="2">
        <v>0.72199999999999998</v>
      </c>
      <c r="E343" s="3">
        <v>251289</v>
      </c>
      <c r="F343" s="2">
        <v>181437.83110000001</v>
      </c>
      <c r="G343" t="s">
        <v>1021</v>
      </c>
      <c r="H343" t="s">
        <v>6</v>
      </c>
      <c r="I343">
        <f>HLOOKUP(G343,zip_tiers!$A$1:$EON$2,2,FALSE)</f>
        <v>114162</v>
      </c>
      <c r="J343" t="str">
        <f t="shared" si="5"/>
        <v>High</v>
      </c>
      <c r="K343">
        <f>dataset[[#This Row],[soda_sales]]/dataset[[#This Row],[soda_units_sold]]</f>
        <v>0.72202854522084137</v>
      </c>
      <c r="L343" s="29">
        <f>dataset[[#This Row],[implied_soda_ppu]]-dataset[[#This Row],[soda_ppu]]</f>
        <v>2.8545220841391661E-5</v>
      </c>
      <c r="M343">
        <f>dataset[[#This Row],[soda_sales]]/dataset[[#This Row],[total_sales]]</f>
        <v>5.4914516941229966E-2</v>
      </c>
      <c r="N343">
        <f>LN(dataset[[#This Row],[soda_units_sold]])</f>
        <v>12.43435895019004</v>
      </c>
      <c r="O343">
        <f>LN(dataset[[#This Row],[soda_sales]])</f>
        <v>12.108668345636143</v>
      </c>
      <c r="P343">
        <f>LN(dataset[[#This Row],[soda_ppu]])</f>
        <v>-0.32573014008931084</v>
      </c>
      <c r="Q343">
        <f>IF(dataset[[#This Row],[state]]="VA",1,0)</f>
        <v>0</v>
      </c>
    </row>
    <row r="344" spans="1:17" x14ac:dyDescent="0.35">
      <c r="A344">
        <v>202307</v>
      </c>
      <c r="B344">
        <v>88</v>
      </c>
      <c r="C344" s="2">
        <v>3162180.0975000001</v>
      </c>
      <c r="D344" s="2">
        <v>0.73319999999999996</v>
      </c>
      <c r="E344" s="3">
        <v>256056</v>
      </c>
      <c r="F344" s="2">
        <v>187736.66709999999</v>
      </c>
      <c r="G344" t="s">
        <v>1021</v>
      </c>
      <c r="H344" t="s">
        <v>6</v>
      </c>
      <c r="I344">
        <f>HLOOKUP(G344,zip_tiers!$A$1:$EON$2,2,FALSE)</f>
        <v>114162</v>
      </c>
      <c r="J344" t="str">
        <f t="shared" si="5"/>
        <v>High</v>
      </c>
      <c r="K344">
        <f>dataset[[#This Row],[soda_sales]]/dataset[[#This Row],[soda_units_sold]]</f>
        <v>0.73318597142812503</v>
      </c>
      <c r="L344" s="29">
        <f>dataset[[#This Row],[implied_soda_ppu]]-dataset[[#This Row],[soda_ppu]]</f>
        <v>-1.4028571874935558E-5</v>
      </c>
      <c r="M344">
        <f>dataset[[#This Row],[soda_sales]]/dataset[[#This Row],[total_sales]]</f>
        <v>5.9369378502009872E-2</v>
      </c>
      <c r="N344">
        <f>LN(dataset[[#This Row],[soda_units_sold]])</f>
        <v>12.453151449539407</v>
      </c>
      <c r="O344">
        <f>LN(dataset[[#This Row],[soda_sales]])</f>
        <v>12.142795552990245</v>
      </c>
      <c r="P344">
        <f>LN(dataset[[#This Row],[soda_ppu]])</f>
        <v>-0.31033676301658714</v>
      </c>
      <c r="Q344">
        <f>IF(dataset[[#This Row],[state]]="VA",1,0)</f>
        <v>0</v>
      </c>
    </row>
    <row r="345" spans="1:17" x14ac:dyDescent="0.35">
      <c r="A345">
        <v>202308</v>
      </c>
      <c r="B345">
        <v>88</v>
      </c>
      <c r="C345" s="2">
        <v>3004963.5362</v>
      </c>
      <c r="D345" s="2">
        <v>0.74639999999999995</v>
      </c>
      <c r="E345" s="3">
        <v>224845</v>
      </c>
      <c r="F345" s="2">
        <v>167822.19870000001</v>
      </c>
      <c r="G345" t="s">
        <v>1021</v>
      </c>
      <c r="H345" t="s">
        <v>6</v>
      </c>
      <c r="I345">
        <f>HLOOKUP(G345,zip_tiers!$A$1:$EON$2,2,FALSE)</f>
        <v>114162</v>
      </c>
      <c r="J345" t="str">
        <f t="shared" si="5"/>
        <v>High</v>
      </c>
      <c r="K345">
        <f>dataset[[#This Row],[soda_sales]]/dataset[[#This Row],[soda_units_sold]]</f>
        <v>0.74639061887077773</v>
      </c>
      <c r="L345" s="29">
        <f>dataset[[#This Row],[implied_soda_ppu]]-dataset[[#This Row],[soda_ppu]]</f>
        <v>-9.381129222219009E-6</v>
      </c>
      <c r="M345">
        <f>dataset[[#This Row],[soda_sales]]/dataset[[#This Row],[total_sales]]</f>
        <v>5.5848331162188965E-2</v>
      </c>
      <c r="N345">
        <f>LN(dataset[[#This Row],[soda_units_sold]])</f>
        <v>12.323166554904686</v>
      </c>
      <c r="O345">
        <f>LN(dataset[[#This Row],[soda_sales]])</f>
        <v>12.030660356875597</v>
      </c>
      <c r="P345">
        <f>LN(dataset[[#This Row],[soda_ppu]])</f>
        <v>-0.29249362944900303</v>
      </c>
      <c r="Q345">
        <f>IF(dataset[[#This Row],[state]]="VA",1,0)</f>
        <v>0</v>
      </c>
    </row>
    <row r="346" spans="1:17" x14ac:dyDescent="0.35">
      <c r="A346">
        <v>202309</v>
      </c>
      <c r="B346">
        <v>88</v>
      </c>
      <c r="C346" s="2">
        <v>2963782.9057999998</v>
      </c>
      <c r="D346" s="2">
        <v>0.71879999999999999</v>
      </c>
      <c r="E346" s="3">
        <v>213893</v>
      </c>
      <c r="F346" s="2">
        <v>153748.49110000001</v>
      </c>
      <c r="G346" t="s">
        <v>1021</v>
      </c>
      <c r="H346" t="s">
        <v>6</v>
      </c>
      <c r="I346">
        <f>HLOOKUP(G346,zip_tiers!$A$1:$EON$2,2,FALSE)</f>
        <v>114162</v>
      </c>
      <c r="J346" t="str">
        <f t="shared" si="5"/>
        <v>High</v>
      </c>
      <c r="K346">
        <f>dataset[[#This Row],[soda_sales]]/dataset[[#This Row],[soda_units_sold]]</f>
        <v>0.71881029813972408</v>
      </c>
      <c r="L346" s="29">
        <f>dataset[[#This Row],[implied_soda_ppu]]-dataset[[#This Row],[soda_ppu]]</f>
        <v>1.0298139724085331E-5</v>
      </c>
      <c r="M346">
        <f>dataset[[#This Row],[soda_sales]]/dataset[[#This Row],[total_sales]]</f>
        <v>5.1875760130447007E-2</v>
      </c>
      <c r="N346">
        <f>LN(dataset[[#This Row],[soda_units_sold]])</f>
        <v>12.273231168962306</v>
      </c>
      <c r="O346">
        <f>LN(dataset[[#This Row],[soda_sales]])</f>
        <v>11.943073371636867</v>
      </c>
      <c r="P346">
        <f>LN(dataset[[#This Row],[soda_ppu]])</f>
        <v>-0.33017212407273311</v>
      </c>
      <c r="Q346">
        <f>IF(dataset[[#This Row],[state]]="VA",1,0)</f>
        <v>0</v>
      </c>
    </row>
    <row r="347" spans="1:17" x14ac:dyDescent="0.35">
      <c r="A347">
        <v>202310</v>
      </c>
      <c r="B347">
        <v>88</v>
      </c>
      <c r="C347" s="2">
        <v>3668130.9797</v>
      </c>
      <c r="D347" s="2">
        <v>0.71640000000000004</v>
      </c>
      <c r="E347" s="3">
        <v>210022</v>
      </c>
      <c r="F347" s="2">
        <v>150460.44709999999</v>
      </c>
      <c r="G347" t="s">
        <v>1021</v>
      </c>
      <c r="H347" t="s">
        <v>6</v>
      </c>
      <c r="I347">
        <f>HLOOKUP(G347,zip_tiers!$A$1:$EON$2,2,FALSE)</f>
        <v>114162</v>
      </c>
      <c r="J347" t="str">
        <f t="shared" si="5"/>
        <v>High</v>
      </c>
      <c r="K347">
        <f>dataset[[#This Row],[soda_sales]]/dataset[[#This Row],[soda_units_sold]]</f>
        <v>0.71640326775290208</v>
      </c>
      <c r="L347" s="29">
        <f>dataset[[#This Row],[implied_soda_ppu]]-dataset[[#This Row],[soda_ppu]]</f>
        <v>3.2677529020475049E-6</v>
      </c>
      <c r="M347">
        <f>dataset[[#This Row],[soda_sales]]/dataset[[#This Row],[total_sales]]</f>
        <v>4.101828640598474E-2</v>
      </c>
      <c r="N347">
        <f>LN(dataset[[#This Row],[soda_units_sold]])</f>
        <v>12.254967566117223</v>
      </c>
      <c r="O347">
        <f>LN(dataset[[#This Row],[soda_sales]])</f>
        <v>11.921455518663699</v>
      </c>
      <c r="P347">
        <f>LN(dataset[[#This Row],[soda_ppu]])</f>
        <v>-0.33351660879558026</v>
      </c>
      <c r="Q347">
        <f>IF(dataset[[#This Row],[state]]="VA",1,0)</f>
        <v>0</v>
      </c>
    </row>
    <row r="348" spans="1:17" x14ac:dyDescent="0.35">
      <c r="A348">
        <v>202311</v>
      </c>
      <c r="B348">
        <v>88</v>
      </c>
      <c r="C348" s="2">
        <v>4132925.1710000001</v>
      </c>
      <c r="D348" s="2">
        <v>0.72309999999999997</v>
      </c>
      <c r="E348" s="3">
        <v>198054</v>
      </c>
      <c r="F348" s="2">
        <v>143215.65549999999</v>
      </c>
      <c r="G348" t="s">
        <v>1021</v>
      </c>
      <c r="H348" t="s">
        <v>6</v>
      </c>
      <c r="I348">
        <f>HLOOKUP(G348,zip_tiers!$A$1:$EON$2,2,FALSE)</f>
        <v>114162</v>
      </c>
      <c r="J348" t="str">
        <f t="shared" si="5"/>
        <v>High</v>
      </c>
      <c r="K348">
        <f>dataset[[#This Row],[soda_sales]]/dataset[[#This Row],[soda_units_sold]]</f>
        <v>0.7231141784563806</v>
      </c>
      <c r="L348" s="29">
        <f>dataset[[#This Row],[implied_soda_ppu]]-dataset[[#This Row],[soda_ppu]]</f>
        <v>1.417845638063131E-5</v>
      </c>
      <c r="M348">
        <f>dataset[[#This Row],[soda_sales]]/dataset[[#This Row],[total_sales]]</f>
        <v>3.4652370796577382E-2</v>
      </c>
      <c r="N348">
        <f>LN(dataset[[#This Row],[soda_units_sold]])</f>
        <v>12.196294999766078</v>
      </c>
      <c r="O348">
        <f>LN(dataset[[#This Row],[soda_sales]])</f>
        <v>11.872106853650337</v>
      </c>
      <c r="P348">
        <f>LN(dataset[[#This Row],[soda_ppu]])</f>
        <v>-0.32420775380123096</v>
      </c>
      <c r="Q348">
        <f>IF(dataset[[#This Row],[state]]="VA",1,0)</f>
        <v>0</v>
      </c>
    </row>
    <row r="349" spans="1:17" x14ac:dyDescent="0.35">
      <c r="A349">
        <v>202312</v>
      </c>
      <c r="B349">
        <v>88</v>
      </c>
      <c r="C349" s="2">
        <v>4289789.0053000003</v>
      </c>
      <c r="D349" s="2">
        <v>0.73</v>
      </c>
      <c r="E349" s="3">
        <v>190254</v>
      </c>
      <c r="F349" s="2">
        <v>138876.61009999999</v>
      </c>
      <c r="G349" t="s">
        <v>1021</v>
      </c>
      <c r="H349" t="s">
        <v>6</v>
      </c>
      <c r="I349">
        <f>HLOOKUP(G349,zip_tiers!$A$1:$EON$2,2,FALSE)</f>
        <v>114162</v>
      </c>
      <c r="J349" t="str">
        <f t="shared" si="5"/>
        <v>High</v>
      </c>
      <c r="K349">
        <f>dataset[[#This Row],[soda_sales]]/dataset[[#This Row],[soda_units_sold]]</f>
        <v>0.72995369400906152</v>
      </c>
      <c r="L349" s="29">
        <f>dataset[[#This Row],[implied_soda_ppu]]-dataset[[#This Row],[soda_ppu]]</f>
        <v>-4.6305990938466657E-5</v>
      </c>
      <c r="M349">
        <f>dataset[[#This Row],[soda_sales]]/dataset[[#This Row],[total_sales]]</f>
        <v>3.237376242244526E-2</v>
      </c>
      <c r="N349">
        <f>LN(dataset[[#This Row],[soda_units_sold]])</f>
        <v>12.156115300470059</v>
      </c>
      <c r="O349">
        <f>LN(dataset[[#This Row],[soda_sales]])</f>
        <v>11.841341120754111</v>
      </c>
      <c r="P349">
        <f>LN(dataset[[#This Row],[soda_ppu]])</f>
        <v>-0.31471074483970024</v>
      </c>
      <c r="Q349">
        <f>IF(dataset[[#This Row],[state]]="VA",1,0)</f>
        <v>0</v>
      </c>
    </row>
    <row r="350" spans="1:17" x14ac:dyDescent="0.35">
      <c r="A350">
        <v>202401</v>
      </c>
      <c r="B350">
        <v>88</v>
      </c>
      <c r="C350" s="2">
        <v>2528004.696</v>
      </c>
      <c r="D350" s="2">
        <v>0.75719999999999998</v>
      </c>
      <c r="E350" s="3">
        <v>137244</v>
      </c>
      <c r="F350" s="2">
        <v>103916.20450000001</v>
      </c>
      <c r="G350" t="s">
        <v>1021</v>
      </c>
      <c r="H350" t="s">
        <v>6</v>
      </c>
      <c r="I350">
        <f>HLOOKUP(G350,zip_tiers!$A$1:$EON$2,2,FALSE)</f>
        <v>114162</v>
      </c>
      <c r="J350" t="str">
        <f t="shared" si="5"/>
        <v>High</v>
      </c>
      <c r="K350">
        <f>dataset[[#This Row],[soda_sales]]/dataset[[#This Row],[soda_units_sold]]</f>
        <v>0.7571639160910496</v>
      </c>
      <c r="L350" s="29">
        <f>dataset[[#This Row],[implied_soda_ppu]]-dataset[[#This Row],[soda_ppu]]</f>
        <v>-3.6083908950379495E-5</v>
      </c>
      <c r="M350">
        <f>dataset[[#This Row],[soda_sales]]/dataset[[#This Row],[total_sales]]</f>
        <v>4.1106017193885784E-2</v>
      </c>
      <c r="N350">
        <f>LN(dataset[[#This Row],[soda_units_sold]])</f>
        <v>11.829515642569216</v>
      </c>
      <c r="O350">
        <f>LN(dataset[[#This Row],[soda_sales]])</f>
        <v>11.551340127390345</v>
      </c>
      <c r="P350">
        <f>LN(dataset[[#This Row],[soda_ppu]])</f>
        <v>-0.27812785964696929</v>
      </c>
      <c r="Q350">
        <f>IF(dataset[[#This Row],[state]]="VA",1,0)</f>
        <v>0</v>
      </c>
    </row>
    <row r="351" spans="1:17" x14ac:dyDescent="0.35">
      <c r="A351">
        <v>202402</v>
      </c>
      <c r="B351">
        <v>88</v>
      </c>
      <c r="C351" s="2">
        <v>2810844.4262999999</v>
      </c>
      <c r="D351" s="2">
        <v>0.74780000000000002</v>
      </c>
      <c r="E351" s="3">
        <v>155094</v>
      </c>
      <c r="F351" s="2">
        <v>115983.446</v>
      </c>
      <c r="G351" t="s">
        <v>1021</v>
      </c>
      <c r="H351" t="s">
        <v>6</v>
      </c>
      <c r="I351">
        <f>HLOOKUP(G351,zip_tiers!$A$1:$EON$2,2,FALSE)</f>
        <v>114162</v>
      </c>
      <c r="J351" t="str">
        <f t="shared" si="5"/>
        <v>High</v>
      </c>
      <c r="K351">
        <f>dataset[[#This Row],[soda_sales]]/dataset[[#This Row],[soda_units_sold]]</f>
        <v>0.74782677601970415</v>
      </c>
      <c r="L351" s="29">
        <f>dataset[[#This Row],[implied_soda_ppu]]-dataset[[#This Row],[soda_ppu]]</f>
        <v>2.6776019704133347E-5</v>
      </c>
      <c r="M351">
        <f>dataset[[#This Row],[soda_sales]]/dataset[[#This Row],[total_sales]]</f>
        <v>4.1262847888266993E-2</v>
      </c>
      <c r="N351">
        <f>LN(dataset[[#This Row],[soda_units_sold]])</f>
        <v>11.951786663696822</v>
      </c>
      <c r="O351">
        <f>LN(dataset[[#This Row],[soda_sales]])</f>
        <v>11.661202753008352</v>
      </c>
      <c r="P351">
        <f>LN(dataset[[#This Row],[soda_ppu]])</f>
        <v>-0.29061971643912365</v>
      </c>
      <c r="Q351">
        <f>IF(dataset[[#This Row],[state]]="VA",1,0)</f>
        <v>0</v>
      </c>
    </row>
    <row r="352" spans="1:17" x14ac:dyDescent="0.35">
      <c r="A352">
        <v>202403</v>
      </c>
      <c r="B352">
        <v>88</v>
      </c>
      <c r="C352" s="2">
        <v>3163703.4186999998</v>
      </c>
      <c r="D352" s="2">
        <v>0.74850000000000005</v>
      </c>
      <c r="E352" s="3">
        <v>185016</v>
      </c>
      <c r="F352" s="2">
        <v>138484.26519999999</v>
      </c>
      <c r="G352" t="s">
        <v>1021</v>
      </c>
      <c r="H352" t="s">
        <v>6</v>
      </c>
      <c r="I352">
        <f>HLOOKUP(G352,zip_tiers!$A$1:$EON$2,2,FALSE)</f>
        <v>114162</v>
      </c>
      <c r="J352" t="str">
        <f t="shared" si="5"/>
        <v>High</v>
      </c>
      <c r="K352">
        <f>dataset[[#This Row],[soda_sales]]/dataset[[#This Row],[soda_units_sold]]</f>
        <v>0.74849886063907989</v>
      </c>
      <c r="L352" s="29">
        <f>dataset[[#This Row],[implied_soda_ppu]]-dataset[[#This Row],[soda_ppu]]</f>
        <v>-1.1393609201659771E-6</v>
      </c>
      <c r="M352">
        <f>dataset[[#This Row],[soda_sales]]/dataset[[#This Row],[total_sales]]</f>
        <v>4.3772834198505459E-2</v>
      </c>
      <c r="N352">
        <f>LN(dataset[[#This Row],[soda_units_sold]])</f>
        <v>12.128197586807207</v>
      </c>
      <c r="O352">
        <f>LN(dataset[[#This Row],[soda_sales]])</f>
        <v>11.838511989491318</v>
      </c>
      <c r="P352">
        <f>LN(dataset[[#This Row],[soda_ppu]])</f>
        <v>-0.28968407512245392</v>
      </c>
      <c r="Q352">
        <f>IF(dataset[[#This Row],[state]]="VA",1,0)</f>
        <v>0</v>
      </c>
    </row>
    <row r="353" spans="1:17" x14ac:dyDescent="0.35">
      <c r="A353">
        <v>202404</v>
      </c>
      <c r="B353">
        <v>88</v>
      </c>
      <c r="C353" s="2">
        <v>3349456.4298999999</v>
      </c>
      <c r="D353" s="2">
        <v>0.76</v>
      </c>
      <c r="E353" s="3">
        <v>214310</v>
      </c>
      <c r="F353" s="2">
        <v>162866.82579999999</v>
      </c>
      <c r="G353" t="s">
        <v>1021</v>
      </c>
      <c r="H353" t="s">
        <v>6</v>
      </c>
      <c r="I353">
        <f>HLOOKUP(G353,zip_tiers!$A$1:$EON$2,2,FALSE)</f>
        <v>114162</v>
      </c>
      <c r="J353" t="str">
        <f t="shared" si="5"/>
        <v>High</v>
      </c>
      <c r="K353">
        <f>dataset[[#This Row],[soda_sales]]/dataset[[#This Row],[soda_units_sold]]</f>
        <v>0.75995905837338429</v>
      </c>
      <c r="L353" s="29">
        <f>dataset[[#This Row],[implied_soda_ppu]]-dataset[[#This Row],[soda_ppu]]</f>
        <v>-4.0941626615720317E-5</v>
      </c>
      <c r="M353">
        <f>dataset[[#This Row],[soda_sales]]/dataset[[#This Row],[total_sales]]</f>
        <v>4.8624852780921976E-2</v>
      </c>
      <c r="N353">
        <f>LN(dataset[[#This Row],[soda_units_sold]])</f>
        <v>12.275178843928721</v>
      </c>
      <c r="O353">
        <f>LN(dataset[[#This Row],[soda_sales]])</f>
        <v>12.000688126214554</v>
      </c>
      <c r="P353">
        <f>LN(dataset[[#This Row],[soda_ppu]])</f>
        <v>-0.2744368457017603</v>
      </c>
      <c r="Q353">
        <f>IF(dataset[[#This Row],[state]]="VA",1,0)</f>
        <v>0</v>
      </c>
    </row>
    <row r="354" spans="1:17" x14ac:dyDescent="0.35">
      <c r="A354">
        <v>202405</v>
      </c>
      <c r="B354">
        <v>88</v>
      </c>
      <c r="C354" s="2">
        <v>3542149.0948999999</v>
      </c>
      <c r="D354" s="2">
        <v>0.73460000000000003</v>
      </c>
      <c r="E354" s="3">
        <v>241498</v>
      </c>
      <c r="F354" s="2">
        <v>177395.64629999999</v>
      </c>
      <c r="G354" t="s">
        <v>1021</v>
      </c>
      <c r="H354" t="s">
        <v>6</v>
      </c>
      <c r="I354">
        <f>HLOOKUP(G354,zip_tiers!$A$1:$EON$2,2,FALSE)</f>
        <v>114162</v>
      </c>
      <c r="J354" t="str">
        <f t="shared" si="5"/>
        <v>High</v>
      </c>
      <c r="K354">
        <f>dataset[[#This Row],[soda_sales]]/dataset[[#This Row],[soda_units_sold]]</f>
        <v>0.73456362495755656</v>
      </c>
      <c r="L354" s="29">
        <f>dataset[[#This Row],[implied_soda_ppu]]-dataset[[#This Row],[soda_ppu]]</f>
        <v>-3.6375042443470562E-5</v>
      </c>
      <c r="M354">
        <f>dataset[[#This Row],[soda_sales]]/dataset[[#This Row],[total_sales]]</f>
        <v>5.0081360650632956E-2</v>
      </c>
      <c r="N354">
        <f>LN(dataset[[#This Row],[soda_units_sold]])</f>
        <v>12.394616470466973</v>
      </c>
      <c r="O354">
        <f>LN(dataset[[#This Row],[soda_sales]])</f>
        <v>12.086137806842823</v>
      </c>
      <c r="P354">
        <f>LN(dataset[[#This Row],[soda_ppu]])</f>
        <v>-0.30842914559657009</v>
      </c>
      <c r="Q354">
        <f>IF(dataset[[#This Row],[state]]="VA",1,0)</f>
        <v>0</v>
      </c>
    </row>
    <row r="355" spans="1:17" x14ac:dyDescent="0.35">
      <c r="A355">
        <v>202406</v>
      </c>
      <c r="B355">
        <v>88</v>
      </c>
      <c r="C355" s="2">
        <v>3346188.9896</v>
      </c>
      <c r="D355" s="2">
        <v>0.76570000000000005</v>
      </c>
      <c r="E355" s="3">
        <v>239351</v>
      </c>
      <c r="F355" s="2">
        <v>183272.83420000001</v>
      </c>
      <c r="G355" t="s">
        <v>1021</v>
      </c>
      <c r="H355" t="s">
        <v>6</v>
      </c>
      <c r="I355">
        <f>HLOOKUP(G355,zip_tiers!$A$1:$EON$2,2,FALSE)</f>
        <v>114162</v>
      </c>
      <c r="J355" t="str">
        <f t="shared" si="5"/>
        <v>High</v>
      </c>
      <c r="K355">
        <f>dataset[[#This Row],[soda_sales]]/dataset[[#This Row],[soda_units_sold]]</f>
        <v>0.76570740962018125</v>
      </c>
      <c r="L355" s="29">
        <f>dataset[[#This Row],[implied_soda_ppu]]-dataset[[#This Row],[soda_ppu]]</f>
        <v>7.4096201811979512E-6</v>
      </c>
      <c r="M355">
        <f>dataset[[#This Row],[soda_sales]]/dataset[[#This Row],[total_sales]]</f>
        <v>5.4770616593866762E-2</v>
      </c>
      <c r="N355">
        <f>LN(dataset[[#This Row],[soda_units_sold]])</f>
        <v>12.385686372793963</v>
      </c>
      <c r="O355">
        <f>LN(dataset[[#This Row],[soda_sales]])</f>
        <v>12.118731218807396</v>
      </c>
      <c r="P355">
        <f>LN(dataset[[#This Row],[soda_ppu]])</f>
        <v>-0.26696483086305922</v>
      </c>
      <c r="Q355">
        <f>IF(dataset[[#This Row],[state]]="VA",1,0)</f>
        <v>0</v>
      </c>
    </row>
    <row r="356" spans="1:17" x14ac:dyDescent="0.35">
      <c r="A356">
        <v>202407</v>
      </c>
      <c r="B356">
        <v>88</v>
      </c>
      <c r="C356" s="2">
        <v>3113033.89</v>
      </c>
      <c r="D356" s="2">
        <v>0.80189999999999995</v>
      </c>
      <c r="E356" s="3">
        <v>235032</v>
      </c>
      <c r="F356" s="2">
        <v>188482.87280000001</v>
      </c>
      <c r="G356" t="s">
        <v>1021</v>
      </c>
      <c r="H356" t="s">
        <v>6</v>
      </c>
      <c r="I356">
        <f>HLOOKUP(G356,zip_tiers!$A$1:$EON$2,2,FALSE)</f>
        <v>114162</v>
      </c>
      <c r="J356" t="str">
        <f t="shared" si="5"/>
        <v>High</v>
      </c>
      <c r="K356">
        <f>dataset[[#This Row],[soda_sales]]/dataset[[#This Row],[soda_units_sold]]</f>
        <v>0.80194557677252465</v>
      </c>
      <c r="L356" s="29">
        <f>dataset[[#This Row],[implied_soda_ppu]]-dataset[[#This Row],[soda_ppu]]</f>
        <v>4.5576772524702491E-5</v>
      </c>
      <c r="M356">
        <f>dataset[[#This Row],[soda_sales]]/dataset[[#This Row],[total_sales]]</f>
        <v>6.0546360707945911E-2</v>
      </c>
      <c r="N356">
        <f>LN(dataset[[#This Row],[soda_units_sold]])</f>
        <v>12.36747695406874</v>
      </c>
      <c r="O356">
        <f>LN(dataset[[#This Row],[soda_sales]])</f>
        <v>12.146762421264686</v>
      </c>
      <c r="P356">
        <f>LN(dataset[[#This Row],[soda_ppu]])</f>
        <v>-0.2207713671691541</v>
      </c>
      <c r="Q356">
        <f>IF(dataset[[#This Row],[state]]="VA",1,0)</f>
        <v>0</v>
      </c>
    </row>
    <row r="357" spans="1:17" x14ac:dyDescent="0.35">
      <c r="A357">
        <v>202408</v>
      </c>
      <c r="B357">
        <v>88</v>
      </c>
      <c r="C357" s="2">
        <v>3002190.8777000001</v>
      </c>
      <c r="D357" s="2">
        <v>0.78169999999999995</v>
      </c>
      <c r="E357" s="3">
        <v>211384</v>
      </c>
      <c r="F357" s="2">
        <v>165230.45600000001</v>
      </c>
      <c r="G357" t="s">
        <v>1021</v>
      </c>
      <c r="H357" t="s">
        <v>6</v>
      </c>
      <c r="I357">
        <f>HLOOKUP(G357,zip_tiers!$A$1:$EON$2,2,FALSE)</f>
        <v>114162</v>
      </c>
      <c r="J357" t="str">
        <f t="shared" si="5"/>
        <v>High</v>
      </c>
      <c r="K357">
        <f>dataset[[#This Row],[soda_sales]]/dataset[[#This Row],[soda_units_sold]]</f>
        <v>0.78166018241683388</v>
      </c>
      <c r="L357" s="29">
        <f>dataset[[#This Row],[implied_soda_ppu]]-dataset[[#This Row],[soda_ppu]]</f>
        <v>-3.9817583166068538E-5</v>
      </c>
      <c r="M357">
        <f>dataset[[#This Row],[soda_sales]]/dataset[[#This Row],[total_sales]]</f>
        <v>5.5036625827930112E-2</v>
      </c>
      <c r="N357">
        <f>LN(dataset[[#This Row],[soda_units_sold]])</f>
        <v>12.261431663650452</v>
      </c>
      <c r="O357">
        <f>LN(dataset[[#This Row],[soda_sales]])</f>
        <v>12.015096481430612</v>
      </c>
      <c r="P357">
        <f>LN(dataset[[#This Row],[soda_ppu]])</f>
        <v>-0.24628424375585237</v>
      </c>
      <c r="Q357">
        <f>IF(dataset[[#This Row],[state]]="VA",1,0)</f>
        <v>0</v>
      </c>
    </row>
    <row r="358" spans="1:17" x14ac:dyDescent="0.35">
      <c r="A358">
        <v>202409</v>
      </c>
      <c r="B358">
        <v>88</v>
      </c>
      <c r="C358" s="2">
        <v>3072540.3780999999</v>
      </c>
      <c r="D358" s="2">
        <v>0.76490000000000002</v>
      </c>
      <c r="E358" s="3">
        <v>208211</v>
      </c>
      <c r="F358" s="2">
        <v>159262.2922</v>
      </c>
      <c r="G358" t="s">
        <v>1021</v>
      </c>
      <c r="H358" t="s">
        <v>6</v>
      </c>
      <c r="I358">
        <f>HLOOKUP(G358,zip_tiers!$A$1:$EON$2,2,FALSE)</f>
        <v>114162</v>
      </c>
      <c r="J358" t="str">
        <f t="shared" si="5"/>
        <v>High</v>
      </c>
      <c r="K358">
        <f>dataset[[#This Row],[soda_sales]]/dataset[[#This Row],[soda_units_sold]]</f>
        <v>0.7649081566295729</v>
      </c>
      <c r="L358" s="29">
        <f>dataset[[#This Row],[implied_soda_ppu]]-dataset[[#This Row],[soda_ppu]]</f>
        <v>8.1566295728752181E-6</v>
      </c>
      <c r="M358">
        <f>dataset[[#This Row],[soda_sales]]/dataset[[#This Row],[total_sales]]</f>
        <v>5.1834076237098875E-2</v>
      </c>
      <c r="N358">
        <f>LN(dataset[[#This Row],[soda_units_sold]])</f>
        <v>12.24630726758099</v>
      </c>
      <c r="O358">
        <f>LN(dataset[[#This Row],[soda_sales]])</f>
        <v>11.978307758524638</v>
      </c>
      <c r="P358">
        <f>LN(dataset[[#This Row],[soda_ppu]])</f>
        <v>-0.26801017265431665</v>
      </c>
      <c r="Q358">
        <f>IF(dataset[[#This Row],[state]]="VA",1,0)</f>
        <v>0</v>
      </c>
    </row>
    <row r="359" spans="1:17" x14ac:dyDescent="0.35">
      <c r="A359">
        <v>202410</v>
      </c>
      <c r="B359">
        <v>88</v>
      </c>
      <c r="C359" s="2">
        <v>3654501.6749999998</v>
      </c>
      <c r="D359" s="2">
        <v>0.76559999999999995</v>
      </c>
      <c r="E359" s="3">
        <v>195558</v>
      </c>
      <c r="F359" s="2">
        <v>149717.63339999999</v>
      </c>
      <c r="G359" t="s">
        <v>1021</v>
      </c>
      <c r="H359" t="s">
        <v>6</v>
      </c>
      <c r="I359">
        <f>HLOOKUP(G359,zip_tiers!$A$1:$EON$2,2,FALSE)</f>
        <v>114162</v>
      </c>
      <c r="J359" t="str">
        <f t="shared" si="5"/>
        <v>High</v>
      </c>
      <c r="K359">
        <f>dataset[[#This Row],[soda_sales]]/dataset[[#This Row],[soda_units_sold]]</f>
        <v>0.76559196453226153</v>
      </c>
      <c r="L359" s="29">
        <f>dataset[[#This Row],[implied_soda_ppu]]-dataset[[#This Row],[soda_ppu]]</f>
        <v>-8.0354677384208983E-6</v>
      </c>
      <c r="M359">
        <f>dataset[[#This Row],[soda_sales]]/dataset[[#This Row],[total_sales]]</f>
        <v>4.0968002402133254E-2</v>
      </c>
      <c r="N359">
        <f>LN(dataset[[#This Row],[soda_units_sold]])</f>
        <v>12.18361228959999</v>
      </c>
      <c r="O359">
        <f>LN(dataset[[#This Row],[soda_sales]])</f>
        <v>11.916506355054002</v>
      </c>
      <c r="P359">
        <f>LN(dataset[[#This Row],[soda_ppu]])</f>
        <v>-0.2670954388433926</v>
      </c>
      <c r="Q359">
        <f>IF(dataset[[#This Row],[state]]="VA",1,0)</f>
        <v>0</v>
      </c>
    </row>
    <row r="360" spans="1:17" x14ac:dyDescent="0.35">
      <c r="A360">
        <v>202411</v>
      </c>
      <c r="B360">
        <v>88</v>
      </c>
      <c r="C360" s="2">
        <v>4250952.3992999997</v>
      </c>
      <c r="D360" s="2">
        <v>0.77270000000000005</v>
      </c>
      <c r="E360" s="3">
        <v>186817</v>
      </c>
      <c r="F360" s="2">
        <v>144358.2139</v>
      </c>
      <c r="G360" t="s">
        <v>1021</v>
      </c>
      <c r="H360" t="s">
        <v>6</v>
      </c>
      <c r="I360">
        <f>HLOOKUP(G360,zip_tiers!$A$1:$EON$2,2,FALSE)</f>
        <v>114162</v>
      </c>
      <c r="J360" t="str">
        <f t="shared" si="5"/>
        <v>High</v>
      </c>
      <c r="K360">
        <f>dataset[[#This Row],[soda_sales]]/dataset[[#This Row],[soda_units_sold]]</f>
        <v>0.77272525466097841</v>
      </c>
      <c r="L360" s="29">
        <f>dataset[[#This Row],[implied_soda_ppu]]-dataset[[#This Row],[soda_ppu]]</f>
        <v>2.5254660978357713E-5</v>
      </c>
      <c r="M360">
        <f>dataset[[#This Row],[soda_sales]]/dataset[[#This Row],[total_sales]]</f>
        <v>3.3959028551759682E-2</v>
      </c>
      <c r="N360">
        <f>LN(dataset[[#This Row],[soda_units_sold]])</f>
        <v>12.137884807060029</v>
      </c>
      <c r="O360">
        <f>LN(dataset[[#This Row],[soda_sales]])</f>
        <v>11.880053086139315</v>
      </c>
      <c r="P360">
        <f>LN(dataset[[#This Row],[soda_ppu]])</f>
        <v>-0.2578644040425988</v>
      </c>
      <c r="Q360">
        <f>IF(dataset[[#This Row],[state]]="VA",1,0)</f>
        <v>0</v>
      </c>
    </row>
    <row r="361" spans="1:17" x14ac:dyDescent="0.35">
      <c r="A361">
        <v>202412</v>
      </c>
      <c r="B361">
        <v>88</v>
      </c>
      <c r="C361" s="2">
        <v>4407626.9342999998</v>
      </c>
      <c r="D361" s="2">
        <v>0.77780000000000005</v>
      </c>
      <c r="E361" s="3">
        <v>183075</v>
      </c>
      <c r="F361" s="2">
        <v>142390.1686</v>
      </c>
      <c r="G361" t="s">
        <v>1021</v>
      </c>
      <c r="H361" t="s">
        <v>6</v>
      </c>
      <c r="I361">
        <f>HLOOKUP(G361,zip_tiers!$A$1:$EON$2,2,FALSE)</f>
        <v>114162</v>
      </c>
      <c r="J361" t="str">
        <f t="shared" si="5"/>
        <v>High</v>
      </c>
      <c r="K361">
        <f>dataset[[#This Row],[soda_sales]]/dataset[[#This Row],[soda_units_sold]]</f>
        <v>0.77776959497473719</v>
      </c>
      <c r="L361" s="29">
        <f>dataset[[#This Row],[implied_soda_ppu]]-dataset[[#This Row],[soda_ppu]]</f>
        <v>-3.0405025262858487E-5</v>
      </c>
      <c r="M361">
        <f>dataset[[#This Row],[soda_sales]]/dataset[[#This Row],[total_sales]]</f>
        <v>3.2305403956021016E-2</v>
      </c>
      <c r="N361">
        <f>LN(dataset[[#This Row],[soda_units_sold]])</f>
        <v>12.11765118392927</v>
      </c>
      <c r="O361">
        <f>LN(dataset[[#This Row],[soda_sales]])</f>
        <v>11.866326234846255</v>
      </c>
      <c r="P361">
        <f>LN(dataset[[#This Row],[soda_ppu]])</f>
        <v>-0.25128585726049008</v>
      </c>
      <c r="Q361">
        <f>IF(dataset[[#This Row],[state]]="VA",1,0)</f>
        <v>0</v>
      </c>
    </row>
    <row r="362" spans="1:17" x14ac:dyDescent="0.35">
      <c r="A362">
        <v>202201</v>
      </c>
      <c r="B362">
        <v>8</v>
      </c>
      <c r="C362" s="2">
        <v>2482271.2741</v>
      </c>
      <c r="D362" s="2">
        <v>0.67689999999999995</v>
      </c>
      <c r="E362" s="3">
        <v>126046</v>
      </c>
      <c r="F362" s="2">
        <v>85317.254199999996</v>
      </c>
      <c r="G362" t="s">
        <v>1131</v>
      </c>
      <c r="H362" t="s">
        <v>6</v>
      </c>
      <c r="I362">
        <f>HLOOKUP(G362,zip_tiers!$A$1:$EON$2,2,FALSE)</f>
        <v>122386.66666666667</v>
      </c>
      <c r="J362" t="str">
        <f t="shared" si="5"/>
        <v>High</v>
      </c>
      <c r="K362">
        <f>dataset[[#This Row],[soda_sales]]/dataset[[#This Row],[soda_units_sold]]</f>
        <v>0.67687395236659631</v>
      </c>
      <c r="L362" s="29">
        <f>dataset[[#This Row],[implied_soda_ppu]]-dataset[[#This Row],[soda_ppu]]</f>
        <v>-2.6047633403636361E-5</v>
      </c>
      <c r="M362">
        <f>dataset[[#This Row],[soda_sales]]/dataset[[#This Row],[total_sales]]</f>
        <v>3.4370640747528117E-2</v>
      </c>
      <c r="N362">
        <f>LN(dataset[[#This Row],[soda_units_sold]])</f>
        <v>11.744402198673438</v>
      </c>
      <c r="O362">
        <f>LN(dataset[[#This Row],[soda_sales]])</f>
        <v>11.354131989695178</v>
      </c>
      <c r="P362">
        <f>LN(dataset[[#This Row],[soda_ppu]])</f>
        <v>-0.39023172746757517</v>
      </c>
      <c r="Q362">
        <f>IF(dataset[[#This Row],[state]]="VA",1,0)</f>
        <v>0</v>
      </c>
    </row>
    <row r="363" spans="1:17" x14ac:dyDescent="0.35">
      <c r="A363">
        <v>202202</v>
      </c>
      <c r="B363">
        <v>8</v>
      </c>
      <c r="C363" s="2">
        <v>2834105.7598999999</v>
      </c>
      <c r="D363" s="2">
        <v>0.68479999999999996</v>
      </c>
      <c r="E363" s="3">
        <v>144565</v>
      </c>
      <c r="F363" s="2">
        <v>99002.525899999993</v>
      </c>
      <c r="G363" t="s">
        <v>1131</v>
      </c>
      <c r="H363" t="s">
        <v>6</v>
      </c>
      <c r="I363">
        <f>HLOOKUP(G363,zip_tiers!$A$1:$EON$2,2,FALSE)</f>
        <v>122386.66666666667</v>
      </c>
      <c r="J363" t="str">
        <f t="shared" si="5"/>
        <v>High</v>
      </c>
      <c r="K363">
        <f>dataset[[#This Row],[soda_sales]]/dataset[[#This Row],[soda_units_sold]]</f>
        <v>0.68483053228651469</v>
      </c>
      <c r="L363" s="29">
        <f>dataset[[#This Row],[implied_soda_ppu]]-dataset[[#This Row],[soda_ppu]]</f>
        <v>3.0532286514728391E-5</v>
      </c>
      <c r="M363">
        <f>dataset[[#This Row],[soda_sales]]/dataset[[#This Row],[total_sales]]</f>
        <v>3.4932544614528868E-2</v>
      </c>
      <c r="N363">
        <f>LN(dataset[[#This Row],[soda_units_sold]])</f>
        <v>11.881484512382412</v>
      </c>
      <c r="O363">
        <f>LN(dataset[[#This Row],[soda_sales]])</f>
        <v>11.50290064293266</v>
      </c>
      <c r="P363">
        <f>LN(dataset[[#This Row],[soda_ppu]])</f>
        <v>-0.37862845415460478</v>
      </c>
      <c r="Q363">
        <f>IF(dataset[[#This Row],[state]]="VA",1,0)</f>
        <v>0</v>
      </c>
    </row>
    <row r="364" spans="1:17" x14ac:dyDescent="0.35">
      <c r="A364">
        <v>202203</v>
      </c>
      <c r="B364">
        <v>8</v>
      </c>
      <c r="C364" s="2">
        <v>3148534.2588</v>
      </c>
      <c r="D364" s="2">
        <v>0.68100000000000005</v>
      </c>
      <c r="E364" s="3">
        <v>171479</v>
      </c>
      <c r="F364" s="2">
        <v>116773.04829999999</v>
      </c>
      <c r="G364" t="s">
        <v>1131</v>
      </c>
      <c r="H364" t="s">
        <v>6</v>
      </c>
      <c r="I364">
        <f>HLOOKUP(G364,zip_tiers!$A$1:$EON$2,2,FALSE)</f>
        <v>122386.66666666667</v>
      </c>
      <c r="J364" t="str">
        <f t="shared" si="5"/>
        <v>High</v>
      </c>
      <c r="K364">
        <f>dataset[[#This Row],[soda_sales]]/dataset[[#This Row],[soda_units_sold]]</f>
        <v>0.6809757947037246</v>
      </c>
      <c r="L364" s="29">
        <f>dataset[[#This Row],[implied_soda_ppu]]-dataset[[#This Row],[soda_ppu]]</f>
        <v>-2.4205296275447985E-5</v>
      </c>
      <c r="M364">
        <f>dataset[[#This Row],[soda_sales]]/dataset[[#This Row],[total_sales]]</f>
        <v>3.7088066605476824E-2</v>
      </c>
      <c r="N364">
        <f>LN(dataset[[#This Row],[soda_units_sold]])</f>
        <v>12.052216089111052</v>
      </c>
      <c r="O364">
        <f>LN(dataset[[#This Row],[soda_sales]])</f>
        <v>11.667987571893024</v>
      </c>
      <c r="P364">
        <f>LN(dataset[[#This Row],[soda_ppu]])</f>
        <v>-0.3841929728326246</v>
      </c>
      <c r="Q364">
        <f>IF(dataset[[#This Row],[state]]="VA",1,0)</f>
        <v>0</v>
      </c>
    </row>
    <row r="365" spans="1:17" x14ac:dyDescent="0.35">
      <c r="A365">
        <v>202204</v>
      </c>
      <c r="B365">
        <v>8</v>
      </c>
      <c r="C365" s="2">
        <v>3356510.4366000001</v>
      </c>
      <c r="D365" s="2">
        <v>0.68420000000000003</v>
      </c>
      <c r="E365" s="3">
        <v>199607</v>
      </c>
      <c r="F365" s="2">
        <v>136576.69690000001</v>
      </c>
      <c r="G365" t="s">
        <v>1131</v>
      </c>
      <c r="H365" t="s">
        <v>6</v>
      </c>
      <c r="I365">
        <f>HLOOKUP(G365,zip_tiers!$A$1:$EON$2,2,FALSE)</f>
        <v>122386.66666666667</v>
      </c>
      <c r="J365" t="str">
        <f t="shared" si="5"/>
        <v>High</v>
      </c>
      <c r="K365">
        <f>dataset[[#This Row],[soda_sales]]/dataset[[#This Row],[soda_units_sold]]</f>
        <v>0.68422799250527289</v>
      </c>
      <c r="L365" s="29">
        <f>dataset[[#This Row],[implied_soda_ppu]]-dataset[[#This Row],[soda_ppu]]</f>
        <v>2.7992505272855794E-5</v>
      </c>
      <c r="M365">
        <f>dataset[[#This Row],[soda_sales]]/dataset[[#This Row],[total_sales]]</f>
        <v>4.0690085575406792E-2</v>
      </c>
      <c r="N365">
        <f>LN(dataset[[#This Row],[soda_units_sold]])</f>
        <v>12.204105712384838</v>
      </c>
      <c r="O365">
        <f>LN(dataset[[#This Row],[soda_sales]])</f>
        <v>11.82464161786182</v>
      </c>
      <c r="P365">
        <f>LN(dataset[[#This Row],[soda_ppu]])</f>
        <v>-0.37950500643863272</v>
      </c>
      <c r="Q365">
        <f>IF(dataset[[#This Row],[state]]="VA",1,0)</f>
        <v>0</v>
      </c>
    </row>
    <row r="366" spans="1:17" x14ac:dyDescent="0.35">
      <c r="A366">
        <v>202205</v>
      </c>
      <c r="B366">
        <v>8</v>
      </c>
      <c r="C366" s="2">
        <v>3513105.6688000001</v>
      </c>
      <c r="D366" s="2">
        <v>0.67169999999999996</v>
      </c>
      <c r="E366" s="3">
        <v>221155</v>
      </c>
      <c r="F366" s="2">
        <v>148540.1214</v>
      </c>
      <c r="G366" t="s">
        <v>1131</v>
      </c>
      <c r="H366" t="s">
        <v>6</v>
      </c>
      <c r="I366">
        <f>HLOOKUP(G366,zip_tiers!$A$1:$EON$2,2,FALSE)</f>
        <v>122386.66666666667</v>
      </c>
      <c r="J366" t="str">
        <f t="shared" si="5"/>
        <v>High</v>
      </c>
      <c r="K366">
        <f>dataset[[#This Row],[soda_sales]]/dataset[[#This Row],[soda_units_sold]]</f>
        <v>0.67165617508082565</v>
      </c>
      <c r="L366" s="29">
        <f>dataset[[#This Row],[implied_soda_ppu]]-dataset[[#This Row],[soda_ppu]]</f>
        <v>-4.3824919174317856E-5</v>
      </c>
      <c r="M366">
        <f>dataset[[#This Row],[soda_sales]]/dataset[[#This Row],[total_sales]]</f>
        <v>4.2281711796826785E-2</v>
      </c>
      <c r="N366">
        <f>LN(dataset[[#This Row],[soda_units_sold]])</f>
        <v>12.306619092129745</v>
      </c>
      <c r="O366">
        <f>LN(dataset[[#This Row],[soda_sales]])</f>
        <v>11.908610378511225</v>
      </c>
      <c r="P366">
        <f>LN(dataset[[#This Row],[soda_ppu]])</f>
        <v>-0.39794346670931829</v>
      </c>
      <c r="Q366">
        <f>IF(dataset[[#This Row],[state]]="VA",1,0)</f>
        <v>0</v>
      </c>
    </row>
    <row r="367" spans="1:17" x14ac:dyDescent="0.35">
      <c r="A367">
        <v>202206</v>
      </c>
      <c r="B367">
        <v>8</v>
      </c>
      <c r="C367" s="2">
        <v>3257553.5893999999</v>
      </c>
      <c r="D367" s="2">
        <v>0.68820000000000003</v>
      </c>
      <c r="E367" s="3">
        <v>219060</v>
      </c>
      <c r="F367" s="2">
        <v>150752.6495</v>
      </c>
      <c r="G367" t="s">
        <v>1131</v>
      </c>
      <c r="H367" t="s">
        <v>6</v>
      </c>
      <c r="I367">
        <f>HLOOKUP(G367,zip_tiers!$A$1:$EON$2,2,FALSE)</f>
        <v>122386.66666666667</v>
      </c>
      <c r="J367" t="str">
        <f t="shared" si="5"/>
        <v>High</v>
      </c>
      <c r="K367">
        <f>dataset[[#This Row],[soda_sales]]/dataset[[#This Row],[soda_units_sold]]</f>
        <v>0.68817972016799045</v>
      </c>
      <c r="L367" s="29">
        <f>dataset[[#This Row],[implied_soda_ppu]]-dataset[[#This Row],[soda_ppu]]</f>
        <v>-2.0279832009584275E-5</v>
      </c>
      <c r="M367">
        <f>dataset[[#This Row],[soda_sales]]/dataset[[#This Row],[total_sales]]</f>
        <v>4.6277872447147289E-2</v>
      </c>
      <c r="N367">
        <f>LN(dataset[[#This Row],[soda_units_sold]])</f>
        <v>12.297100943877737</v>
      </c>
      <c r="O367">
        <f>LN(dataset[[#This Row],[soda_sales]])</f>
        <v>11.923395689891038</v>
      </c>
      <c r="P367">
        <f>LN(dataset[[#This Row],[soda_ppu]])</f>
        <v>-0.37367578561875697</v>
      </c>
      <c r="Q367">
        <f>IF(dataset[[#This Row],[state]]="VA",1,0)</f>
        <v>0</v>
      </c>
    </row>
    <row r="368" spans="1:17" x14ac:dyDescent="0.35">
      <c r="A368">
        <v>202207</v>
      </c>
      <c r="B368">
        <v>8</v>
      </c>
      <c r="C368" s="2">
        <v>3151825.7752</v>
      </c>
      <c r="D368" s="2">
        <v>0.68079999999999996</v>
      </c>
      <c r="E368" s="3">
        <v>230955</v>
      </c>
      <c r="F368" s="2">
        <v>157226.8947</v>
      </c>
      <c r="G368" t="s">
        <v>1131</v>
      </c>
      <c r="H368" t="s">
        <v>6</v>
      </c>
      <c r="I368">
        <f>HLOOKUP(G368,zip_tiers!$A$1:$EON$2,2,FALSE)</f>
        <v>122386.66666666667</v>
      </c>
      <c r="J368" t="str">
        <f t="shared" si="5"/>
        <v>High</v>
      </c>
      <c r="K368">
        <f>dataset[[#This Row],[soda_sales]]/dataset[[#This Row],[soda_units_sold]]</f>
        <v>0.68076852503734497</v>
      </c>
      <c r="L368" s="29">
        <f>dataset[[#This Row],[implied_soda_ppu]]-dataset[[#This Row],[soda_ppu]]</f>
        <v>-3.147496265498706E-5</v>
      </c>
      <c r="M368">
        <f>dataset[[#This Row],[soda_sales]]/dataset[[#This Row],[total_sales]]</f>
        <v>4.9884386356991169E-2</v>
      </c>
      <c r="N368">
        <f>LN(dataset[[#This Row],[soda_units_sold]])</f>
        <v>12.349978165332129</v>
      </c>
      <c r="O368">
        <f>LN(dataset[[#This Row],[soda_sales]])</f>
        <v>11.965445230221587</v>
      </c>
      <c r="P368">
        <f>LN(dataset[[#This Row],[soda_ppu]])</f>
        <v>-0.38448670172297272</v>
      </c>
      <c r="Q368">
        <f>IF(dataset[[#This Row],[state]]="VA",1,0)</f>
        <v>0</v>
      </c>
    </row>
    <row r="369" spans="1:17" x14ac:dyDescent="0.35">
      <c r="A369">
        <v>202208</v>
      </c>
      <c r="B369">
        <v>8</v>
      </c>
      <c r="C369" s="2">
        <v>3070248.2222000002</v>
      </c>
      <c r="D369" s="2">
        <v>0.69220000000000004</v>
      </c>
      <c r="E369" s="3">
        <v>204330</v>
      </c>
      <c r="F369" s="2">
        <v>141428.8064</v>
      </c>
      <c r="G369" t="s">
        <v>1131</v>
      </c>
      <c r="H369" t="s">
        <v>6</v>
      </c>
      <c r="I369">
        <f>HLOOKUP(G369,zip_tiers!$A$1:$EON$2,2,FALSE)</f>
        <v>122386.66666666667</v>
      </c>
      <c r="J369" t="str">
        <f t="shared" si="5"/>
        <v>High</v>
      </c>
      <c r="K369">
        <f>dataset[[#This Row],[soda_sales]]/dataset[[#This Row],[soda_units_sold]]</f>
        <v>0.69215879410757108</v>
      </c>
      <c r="L369" s="29">
        <f>dataset[[#This Row],[implied_soda_ppu]]-dataset[[#This Row],[soda_ppu]]</f>
        <v>-4.1205892428952673E-5</v>
      </c>
      <c r="M369">
        <f>dataset[[#This Row],[soda_sales]]/dataset[[#This Row],[total_sales]]</f>
        <v>4.6064290625550321E-2</v>
      </c>
      <c r="N369">
        <f>LN(dataset[[#This Row],[soda_units_sold]])</f>
        <v>12.227491612903474</v>
      </c>
      <c r="O369">
        <f>LN(dataset[[#This Row],[soda_sales]])</f>
        <v>11.859551734468221</v>
      </c>
      <c r="P369">
        <f>LN(dataset[[#This Row],[soda_ppu]])</f>
        <v>-0.36788034778089312</v>
      </c>
      <c r="Q369">
        <f>IF(dataset[[#This Row],[state]]="VA",1,0)</f>
        <v>0</v>
      </c>
    </row>
    <row r="370" spans="1:17" x14ac:dyDescent="0.35">
      <c r="A370">
        <v>202209</v>
      </c>
      <c r="B370">
        <v>8</v>
      </c>
      <c r="C370" s="2">
        <v>2952876.6671000002</v>
      </c>
      <c r="D370" s="2">
        <v>0.69669999999999999</v>
      </c>
      <c r="E370" s="3">
        <v>192105</v>
      </c>
      <c r="F370" s="2">
        <v>133830.2194</v>
      </c>
      <c r="G370" t="s">
        <v>1131</v>
      </c>
      <c r="H370" t="s">
        <v>6</v>
      </c>
      <c r="I370">
        <f>HLOOKUP(G370,zip_tiers!$A$1:$EON$2,2,FALSE)</f>
        <v>122386.66666666667</v>
      </c>
      <c r="J370" t="str">
        <f t="shared" si="5"/>
        <v>High</v>
      </c>
      <c r="K370">
        <f>dataset[[#This Row],[soda_sales]]/dataset[[#This Row],[soda_units_sold]]</f>
        <v>0.69665141146768694</v>
      </c>
      <c r="L370" s="29">
        <f>dataset[[#This Row],[implied_soda_ppu]]-dataset[[#This Row],[soda_ppu]]</f>
        <v>-4.8588532313043054E-5</v>
      </c>
      <c r="M370">
        <f>dataset[[#This Row],[soda_sales]]/dataset[[#This Row],[total_sales]]</f>
        <v>4.5321980728519125E-2</v>
      </c>
      <c r="N370">
        <f>LN(dataset[[#This Row],[soda_units_sold]])</f>
        <v>12.165797376528282</v>
      </c>
      <c r="O370">
        <f>LN(dataset[[#This Row],[soda_sales]])</f>
        <v>11.804327256182336</v>
      </c>
      <c r="P370">
        <f>LN(dataset[[#This Row],[soda_ppu]])</f>
        <v>-0.36140037694606386</v>
      </c>
      <c r="Q370">
        <f>IF(dataset[[#This Row],[state]]="VA",1,0)</f>
        <v>0</v>
      </c>
    </row>
    <row r="371" spans="1:17" x14ac:dyDescent="0.35">
      <c r="A371">
        <v>202210</v>
      </c>
      <c r="B371">
        <v>8</v>
      </c>
      <c r="C371" s="2">
        <v>3705582.3289000001</v>
      </c>
      <c r="D371" s="2">
        <v>0.7208</v>
      </c>
      <c r="E371" s="3">
        <v>182876</v>
      </c>
      <c r="F371" s="2">
        <v>131825.7127</v>
      </c>
      <c r="G371" t="s">
        <v>1131</v>
      </c>
      <c r="H371" t="s">
        <v>6</v>
      </c>
      <c r="I371">
        <f>HLOOKUP(G371,zip_tiers!$A$1:$EON$2,2,FALSE)</f>
        <v>122386.66666666667</v>
      </c>
      <c r="J371" t="str">
        <f t="shared" si="5"/>
        <v>High</v>
      </c>
      <c r="K371">
        <f>dataset[[#This Row],[soda_sales]]/dataset[[#This Row],[soda_units_sold]]</f>
        <v>0.72084752892670445</v>
      </c>
      <c r="L371" s="29">
        <f>dataset[[#This Row],[implied_soda_ppu]]-dataset[[#This Row],[soda_ppu]]</f>
        <v>4.75289267044543E-5</v>
      </c>
      <c r="M371">
        <f>dataset[[#This Row],[soda_sales]]/dataset[[#This Row],[total_sales]]</f>
        <v>3.557489781616386E-2</v>
      </c>
      <c r="N371">
        <f>LN(dataset[[#This Row],[soda_units_sold]])</f>
        <v>12.116563606523469</v>
      </c>
      <c r="O371">
        <f>LN(dataset[[#This Row],[soda_sales]])</f>
        <v>11.789235970794069</v>
      </c>
      <c r="P371">
        <f>LN(dataset[[#This Row],[soda_ppu]])</f>
        <v>-0.32739357268800889</v>
      </c>
      <c r="Q371">
        <f>IF(dataset[[#This Row],[state]]="VA",1,0)</f>
        <v>0</v>
      </c>
    </row>
    <row r="372" spans="1:17" x14ac:dyDescent="0.35">
      <c r="A372">
        <v>202211</v>
      </c>
      <c r="B372">
        <v>8</v>
      </c>
      <c r="C372" s="2">
        <v>4228518.74</v>
      </c>
      <c r="D372" s="2">
        <v>0.66320000000000001</v>
      </c>
      <c r="E372" s="3">
        <v>184187</v>
      </c>
      <c r="F372" s="2">
        <v>122147.1231</v>
      </c>
      <c r="G372" t="s">
        <v>1131</v>
      </c>
      <c r="H372" t="s">
        <v>6</v>
      </c>
      <c r="I372">
        <f>HLOOKUP(G372,zip_tiers!$A$1:$EON$2,2,FALSE)</f>
        <v>122386.66666666667</v>
      </c>
      <c r="J372" t="str">
        <f t="shared" si="5"/>
        <v>High</v>
      </c>
      <c r="K372">
        <f>dataset[[#This Row],[soda_sales]]/dataset[[#This Row],[soda_units_sold]]</f>
        <v>0.66316907870805208</v>
      </c>
      <c r="L372" s="29">
        <f>dataset[[#This Row],[implied_soda_ppu]]-dataset[[#This Row],[soda_ppu]]</f>
        <v>-3.0921291947927365E-5</v>
      </c>
      <c r="M372">
        <f>dataset[[#This Row],[soda_sales]]/dataset[[#This Row],[total_sales]]</f>
        <v>2.88865039060936E-2</v>
      </c>
      <c r="N372">
        <f>LN(dataset[[#This Row],[soda_units_sold]])</f>
        <v>12.123706824851324</v>
      </c>
      <c r="O372">
        <f>LN(dataset[[#This Row],[soda_sales]])</f>
        <v>11.712981524218598</v>
      </c>
      <c r="P372">
        <f>LN(dataset[[#This Row],[soda_ppu]])</f>
        <v>-0.41067867516105183</v>
      </c>
      <c r="Q372">
        <f>IF(dataset[[#This Row],[state]]="VA",1,0)</f>
        <v>0</v>
      </c>
    </row>
    <row r="373" spans="1:17" x14ac:dyDescent="0.35">
      <c r="A373">
        <v>202212</v>
      </c>
      <c r="B373">
        <v>8</v>
      </c>
      <c r="C373" s="2">
        <v>4371520.7247000001</v>
      </c>
      <c r="D373" s="2">
        <v>0.67120000000000002</v>
      </c>
      <c r="E373" s="3">
        <v>177515</v>
      </c>
      <c r="F373" s="2">
        <v>119150.8086</v>
      </c>
      <c r="G373" t="s">
        <v>1131</v>
      </c>
      <c r="H373" t="s">
        <v>6</v>
      </c>
      <c r="I373">
        <f>HLOOKUP(G373,zip_tiers!$A$1:$EON$2,2,FALSE)</f>
        <v>122386.66666666667</v>
      </c>
      <c r="J373" t="str">
        <f t="shared" si="5"/>
        <v>High</v>
      </c>
      <c r="K373">
        <f>dataset[[#This Row],[soda_sales]]/dataset[[#This Row],[soda_units_sold]]</f>
        <v>0.67121543869532152</v>
      </c>
      <c r="L373" s="29">
        <f>dataset[[#This Row],[implied_soda_ppu]]-dataset[[#This Row],[soda_ppu]]</f>
        <v>1.5438695321501328E-5</v>
      </c>
      <c r="M373">
        <f>dataset[[#This Row],[soda_sales]]/dataset[[#This Row],[total_sales]]</f>
        <v>2.7256146339824764E-2</v>
      </c>
      <c r="N373">
        <f>LN(dataset[[#This Row],[soda_units_sold]])</f>
        <v>12.086810391369342</v>
      </c>
      <c r="O373">
        <f>LN(dataset[[#This Row],[soda_sales]])</f>
        <v>11.688145268907553</v>
      </c>
      <c r="P373">
        <f>LN(dataset[[#This Row],[soda_ppu]])</f>
        <v>-0.39868812382914059</v>
      </c>
      <c r="Q373">
        <f>IF(dataset[[#This Row],[state]]="VA",1,0)</f>
        <v>0</v>
      </c>
    </row>
    <row r="374" spans="1:17" x14ac:dyDescent="0.35">
      <c r="A374">
        <v>202301</v>
      </c>
      <c r="B374">
        <v>8</v>
      </c>
      <c r="C374" s="2">
        <v>2533372.1527999998</v>
      </c>
      <c r="D374" s="2">
        <v>0.70099999999999996</v>
      </c>
      <c r="E374" s="3">
        <v>127806</v>
      </c>
      <c r="F374" s="2">
        <v>89592.291599999997</v>
      </c>
      <c r="G374" t="s">
        <v>1131</v>
      </c>
      <c r="H374" t="s">
        <v>6</v>
      </c>
      <c r="I374">
        <f>HLOOKUP(G374,zip_tiers!$A$1:$EON$2,2,FALSE)</f>
        <v>122386.66666666667</v>
      </c>
      <c r="J374" t="str">
        <f t="shared" si="5"/>
        <v>High</v>
      </c>
      <c r="K374">
        <f>dataset[[#This Row],[soda_sales]]/dataset[[#This Row],[soda_units_sold]]</f>
        <v>0.7010022346368715</v>
      </c>
      <c r="L374" s="29">
        <f>dataset[[#This Row],[implied_soda_ppu]]-dataset[[#This Row],[soda_ppu]]</f>
        <v>2.234636871545348E-6</v>
      </c>
      <c r="M374">
        <f>dataset[[#This Row],[soda_sales]]/dataset[[#This Row],[total_sales]]</f>
        <v>3.5364836351018725E-2</v>
      </c>
      <c r="N374">
        <f>LN(dataset[[#This Row],[soda_units_sold]])</f>
        <v>11.75826876818034</v>
      </c>
      <c r="O374">
        <f>LN(dataset[[#This Row],[soda_sales]])</f>
        <v>11.403024564012121</v>
      </c>
      <c r="P374">
        <f>LN(dataset[[#This Row],[soda_ppu]])</f>
        <v>-0.35524739194754701</v>
      </c>
      <c r="Q374">
        <f>IF(dataset[[#This Row],[state]]="VA",1,0)</f>
        <v>0</v>
      </c>
    </row>
    <row r="375" spans="1:17" x14ac:dyDescent="0.35">
      <c r="A375">
        <v>202302</v>
      </c>
      <c r="B375">
        <v>8</v>
      </c>
      <c r="C375" s="2">
        <v>2837200.9385000002</v>
      </c>
      <c r="D375" s="2">
        <v>0.73670000000000002</v>
      </c>
      <c r="E375" s="3">
        <v>138537</v>
      </c>
      <c r="F375" s="2">
        <v>102067.0563</v>
      </c>
      <c r="G375" t="s">
        <v>1131</v>
      </c>
      <c r="H375" t="s">
        <v>6</v>
      </c>
      <c r="I375">
        <f>HLOOKUP(G375,zip_tiers!$A$1:$EON$2,2,FALSE)</f>
        <v>122386.66666666667</v>
      </c>
      <c r="J375" t="str">
        <f t="shared" si="5"/>
        <v>High</v>
      </c>
      <c r="K375">
        <f>dataset[[#This Row],[soda_sales]]/dataset[[#This Row],[soda_units_sold]]</f>
        <v>0.73674943372528634</v>
      </c>
      <c r="L375" s="29">
        <f>dataset[[#This Row],[implied_soda_ppu]]-dataset[[#This Row],[soda_ppu]]</f>
        <v>4.9433725286318619E-5</v>
      </c>
      <c r="M375">
        <f>dataset[[#This Row],[soda_sales]]/dataset[[#This Row],[total_sales]]</f>
        <v>3.5974560319284907E-2</v>
      </c>
      <c r="N375">
        <f>LN(dataset[[#This Row],[soda_units_sold]])</f>
        <v>11.838892716946294</v>
      </c>
      <c r="O375">
        <f>LN(dataset[[#This Row],[soda_sales]])</f>
        <v>11.533385290969907</v>
      </c>
      <c r="P375">
        <f>LN(dataset[[#This Row],[soda_ppu]])</f>
        <v>-0.30557452529336909</v>
      </c>
      <c r="Q375">
        <f>IF(dataset[[#This Row],[state]]="VA",1,0)</f>
        <v>0</v>
      </c>
    </row>
    <row r="376" spans="1:17" x14ac:dyDescent="0.35">
      <c r="A376">
        <v>202303</v>
      </c>
      <c r="B376">
        <v>8</v>
      </c>
      <c r="C376" s="2">
        <v>3201187.8018</v>
      </c>
      <c r="D376" s="2">
        <v>0.7107</v>
      </c>
      <c r="E376" s="3">
        <v>168040</v>
      </c>
      <c r="F376" s="2">
        <v>119424.80959999999</v>
      </c>
      <c r="G376" t="s">
        <v>1131</v>
      </c>
      <c r="H376" t="s">
        <v>6</v>
      </c>
      <c r="I376">
        <f>HLOOKUP(G376,zip_tiers!$A$1:$EON$2,2,FALSE)</f>
        <v>122386.66666666667</v>
      </c>
      <c r="J376" t="str">
        <f t="shared" si="5"/>
        <v>High</v>
      </c>
      <c r="K376">
        <f>dataset[[#This Row],[soda_sales]]/dataset[[#This Row],[soda_units_sold]]</f>
        <v>0.71069274934539395</v>
      </c>
      <c r="L376" s="29">
        <f>dataset[[#This Row],[implied_soda_ppu]]-dataset[[#This Row],[soda_ppu]]</f>
        <v>-7.250654606050233E-6</v>
      </c>
      <c r="M376">
        <f>dataset[[#This Row],[soda_sales]]/dataset[[#This Row],[total_sales]]</f>
        <v>3.7306405307694995E-2</v>
      </c>
      <c r="N376">
        <f>LN(dataset[[#This Row],[soda_units_sold]])</f>
        <v>12.031957325283319</v>
      </c>
      <c r="O376">
        <f>LN(dataset[[#This Row],[soda_sales]])</f>
        <v>11.690442243950843</v>
      </c>
      <c r="P376">
        <f>LN(dataset[[#This Row],[soda_ppu]])</f>
        <v>-0.34150487914928757</v>
      </c>
      <c r="Q376">
        <f>IF(dataset[[#This Row],[state]]="VA",1,0)</f>
        <v>0</v>
      </c>
    </row>
    <row r="377" spans="1:17" x14ac:dyDescent="0.35">
      <c r="A377">
        <v>202304</v>
      </c>
      <c r="B377">
        <v>8</v>
      </c>
      <c r="C377" s="2">
        <v>3377297.1655999999</v>
      </c>
      <c r="D377" s="2">
        <v>0.71560000000000001</v>
      </c>
      <c r="E377" s="3">
        <v>194159</v>
      </c>
      <c r="F377" s="2">
        <v>138949.20670000001</v>
      </c>
      <c r="G377" t="s">
        <v>1131</v>
      </c>
      <c r="H377" t="s">
        <v>6</v>
      </c>
      <c r="I377">
        <f>HLOOKUP(G377,zip_tiers!$A$1:$EON$2,2,FALSE)</f>
        <v>122386.66666666667</v>
      </c>
      <c r="J377" t="str">
        <f t="shared" si="5"/>
        <v>High</v>
      </c>
      <c r="K377">
        <f>dataset[[#This Row],[soda_sales]]/dataset[[#This Row],[soda_units_sold]]</f>
        <v>0.7156464892176001</v>
      </c>
      <c r="L377" s="29">
        <f>dataset[[#This Row],[implied_soda_ppu]]-dataset[[#This Row],[soda_ppu]]</f>
        <v>4.6489217600087507E-5</v>
      </c>
      <c r="M377">
        <f>dataset[[#This Row],[soda_sales]]/dataset[[#This Row],[total_sales]]</f>
        <v>4.1142132269345252E-2</v>
      </c>
      <c r="N377">
        <f>LN(dataset[[#This Row],[soda_units_sold]])</f>
        <v>12.17643268999579</v>
      </c>
      <c r="O377">
        <f>LN(dataset[[#This Row],[soda_sales]])</f>
        <v>11.841863725906421</v>
      </c>
      <c r="P377">
        <f>LN(dataset[[#This Row],[soda_ppu]])</f>
        <v>-0.33463392734757291</v>
      </c>
      <c r="Q377">
        <f>IF(dataset[[#This Row],[state]]="VA",1,0)</f>
        <v>0</v>
      </c>
    </row>
    <row r="378" spans="1:17" x14ac:dyDescent="0.35">
      <c r="A378">
        <v>202305</v>
      </c>
      <c r="B378">
        <v>8</v>
      </c>
      <c r="C378" s="2">
        <v>3558732.2223999999</v>
      </c>
      <c r="D378" s="2">
        <v>0.71050000000000002</v>
      </c>
      <c r="E378" s="3">
        <v>215691</v>
      </c>
      <c r="F378" s="2">
        <v>153245.1501</v>
      </c>
      <c r="G378" t="s">
        <v>1131</v>
      </c>
      <c r="H378" t="s">
        <v>6</v>
      </c>
      <c r="I378">
        <f>HLOOKUP(G378,zip_tiers!$A$1:$EON$2,2,FALSE)</f>
        <v>122386.66666666667</v>
      </c>
      <c r="J378" t="str">
        <f t="shared" si="5"/>
        <v>High</v>
      </c>
      <c r="K378">
        <f>dataset[[#This Row],[soda_sales]]/dataset[[#This Row],[soda_units_sold]]</f>
        <v>0.71048467529938664</v>
      </c>
      <c r="L378" s="29">
        <f>dataset[[#This Row],[implied_soda_ppu]]-dataset[[#This Row],[soda_ppu]]</f>
        <v>-1.5324700613383868E-5</v>
      </c>
      <c r="M378">
        <f>dataset[[#This Row],[soda_sales]]/dataset[[#This Row],[total_sales]]</f>
        <v>4.3061725503092743E-2</v>
      </c>
      <c r="N378">
        <f>LN(dataset[[#This Row],[soda_units_sold]])</f>
        <v>12.281602106889228</v>
      </c>
      <c r="O378">
        <f>LN(dataset[[#This Row],[soda_sales]])</f>
        <v>11.939794206315627</v>
      </c>
      <c r="P378">
        <f>LN(dataset[[#This Row],[soda_ppu]])</f>
        <v>-0.34178633144498172</v>
      </c>
      <c r="Q378">
        <f>IF(dataset[[#This Row],[state]]="VA",1,0)</f>
        <v>0</v>
      </c>
    </row>
    <row r="379" spans="1:17" x14ac:dyDescent="0.35">
      <c r="A379">
        <v>202306</v>
      </c>
      <c r="B379">
        <v>8</v>
      </c>
      <c r="C379" s="2">
        <v>3426211.1858000001</v>
      </c>
      <c r="D379" s="2">
        <v>0.67989999999999995</v>
      </c>
      <c r="E379" s="3">
        <v>233663</v>
      </c>
      <c r="F379" s="2">
        <v>158874.95189999999</v>
      </c>
      <c r="G379" t="s">
        <v>1131</v>
      </c>
      <c r="H379" t="s">
        <v>6</v>
      </c>
      <c r="I379">
        <f>HLOOKUP(G379,zip_tiers!$A$1:$EON$2,2,FALSE)</f>
        <v>122386.66666666667</v>
      </c>
      <c r="J379" t="str">
        <f t="shared" si="5"/>
        <v>High</v>
      </c>
      <c r="K379">
        <f>dataset[[#This Row],[soda_sales]]/dataset[[#This Row],[soda_units_sold]]</f>
        <v>0.67993200421119293</v>
      </c>
      <c r="L379" s="29">
        <f>dataset[[#This Row],[implied_soda_ppu]]-dataset[[#This Row],[soda_ppu]]</f>
        <v>3.2004211192981913E-5</v>
      </c>
      <c r="M379">
        <f>dataset[[#This Row],[soda_sales]]/dataset[[#This Row],[total_sales]]</f>
        <v>4.6370449246812447E-2</v>
      </c>
      <c r="N379">
        <f>LN(dataset[[#This Row],[soda_units_sold]])</f>
        <v>12.361635185356739</v>
      </c>
      <c r="O379">
        <f>LN(dataset[[#This Row],[soda_sales]])</f>
        <v>11.975872705737972</v>
      </c>
      <c r="P379">
        <f>LN(dataset[[#This Row],[soda_ppu]])</f>
        <v>-0.38580955044972315</v>
      </c>
      <c r="Q379">
        <f>IF(dataset[[#This Row],[state]]="VA",1,0)</f>
        <v>0</v>
      </c>
    </row>
    <row r="380" spans="1:17" x14ac:dyDescent="0.35">
      <c r="A380">
        <v>202307</v>
      </c>
      <c r="B380">
        <v>8</v>
      </c>
      <c r="C380" s="2">
        <v>3249252.9032000001</v>
      </c>
      <c r="D380" s="2">
        <v>0.7127</v>
      </c>
      <c r="E380" s="3">
        <v>232508</v>
      </c>
      <c r="F380" s="2">
        <v>165718.72200000001</v>
      </c>
      <c r="G380" t="s">
        <v>1131</v>
      </c>
      <c r="H380" t="s">
        <v>6</v>
      </c>
      <c r="I380">
        <f>HLOOKUP(G380,zip_tiers!$A$1:$EON$2,2,FALSE)</f>
        <v>122386.66666666667</v>
      </c>
      <c r="J380" t="str">
        <f t="shared" si="5"/>
        <v>High</v>
      </c>
      <c r="K380">
        <f>dataset[[#This Row],[soda_sales]]/dataset[[#This Row],[soda_units_sold]]</f>
        <v>0.7127441722435357</v>
      </c>
      <c r="L380" s="29">
        <f>dataset[[#This Row],[implied_soda_ppu]]-dataset[[#This Row],[soda_ppu]]</f>
        <v>4.4172243535700595E-5</v>
      </c>
      <c r="M380">
        <f>dataset[[#This Row],[soda_sales]]/dataset[[#This Row],[total_sales]]</f>
        <v>5.100210015563679E-2</v>
      </c>
      <c r="N380">
        <f>LN(dataset[[#This Row],[soda_units_sold]])</f>
        <v>12.356679912019736</v>
      </c>
      <c r="O380">
        <f>LN(dataset[[#This Row],[soda_sales]])</f>
        <v>12.018047184358561</v>
      </c>
      <c r="P380">
        <f>LN(dataset[[#This Row],[soda_ppu]])</f>
        <v>-0.33869470447431199</v>
      </c>
      <c r="Q380">
        <f>IF(dataset[[#This Row],[state]]="VA",1,0)</f>
        <v>0</v>
      </c>
    </row>
    <row r="381" spans="1:17" x14ac:dyDescent="0.35">
      <c r="A381">
        <v>202308</v>
      </c>
      <c r="B381">
        <v>8</v>
      </c>
      <c r="C381" s="2">
        <v>3121507.1488999999</v>
      </c>
      <c r="D381" s="2">
        <v>0.71209999999999996</v>
      </c>
      <c r="E381" s="3">
        <v>205531</v>
      </c>
      <c r="F381" s="2">
        <v>146363.30780000001</v>
      </c>
      <c r="G381" t="s">
        <v>1131</v>
      </c>
      <c r="H381" t="s">
        <v>6</v>
      </c>
      <c r="I381">
        <f>HLOOKUP(G381,zip_tiers!$A$1:$EON$2,2,FALSE)</f>
        <v>122386.66666666667</v>
      </c>
      <c r="J381" t="str">
        <f t="shared" si="5"/>
        <v>High</v>
      </c>
      <c r="K381">
        <f>dataset[[#This Row],[soda_sales]]/dataset[[#This Row],[soda_units_sold]]</f>
        <v>0.71212278342439828</v>
      </c>
      <c r="L381" s="29">
        <f>dataset[[#This Row],[implied_soda_ppu]]-dataset[[#This Row],[soda_ppu]]</f>
        <v>2.2783424398320484E-5</v>
      </c>
      <c r="M381">
        <f>dataset[[#This Row],[soda_sales]]/dataset[[#This Row],[total_sales]]</f>
        <v>4.6888666537758063E-2</v>
      </c>
      <c r="N381">
        <f>LN(dataset[[#This Row],[soda_units_sold]])</f>
        <v>12.233352153122979</v>
      </c>
      <c r="O381">
        <f>LN(dataset[[#This Row],[soda_sales]])</f>
        <v>11.893847219315035</v>
      </c>
      <c r="P381">
        <f>LN(dataset[[#This Row],[soda_ppu]])</f>
        <v>-0.33953692799405805</v>
      </c>
      <c r="Q381">
        <f>IF(dataset[[#This Row],[state]]="VA",1,0)</f>
        <v>0</v>
      </c>
    </row>
    <row r="382" spans="1:17" x14ac:dyDescent="0.35">
      <c r="A382">
        <v>202309</v>
      </c>
      <c r="B382">
        <v>8</v>
      </c>
      <c r="C382" s="2">
        <v>3039429.1804999998</v>
      </c>
      <c r="D382" s="2">
        <v>0.7198</v>
      </c>
      <c r="E382" s="3">
        <v>195867</v>
      </c>
      <c r="F382" s="2">
        <v>140983.80540000001</v>
      </c>
      <c r="G382" t="s">
        <v>1131</v>
      </c>
      <c r="H382" t="s">
        <v>6</v>
      </c>
      <c r="I382">
        <f>HLOOKUP(G382,zip_tiers!$A$1:$EON$2,2,FALSE)</f>
        <v>122386.66666666667</v>
      </c>
      <c r="J382" t="str">
        <f t="shared" si="5"/>
        <v>High</v>
      </c>
      <c r="K382">
        <f>dataset[[#This Row],[soda_sales]]/dataset[[#This Row],[soda_units_sold]]</f>
        <v>0.71979356093675817</v>
      </c>
      <c r="L382" s="29">
        <f>dataset[[#This Row],[implied_soda_ppu]]-dataset[[#This Row],[soda_ppu]]</f>
        <v>-6.4390632418254157E-6</v>
      </c>
      <c r="M382">
        <f>dataset[[#This Row],[soda_sales]]/dataset[[#This Row],[total_sales]]</f>
        <v>4.6384961460693597E-2</v>
      </c>
      <c r="N382">
        <f>LN(dataset[[#This Row],[soda_units_sold]])</f>
        <v>12.185191136450287</v>
      </c>
      <c r="O382">
        <f>LN(dataset[[#This Row],[soda_sales]])</f>
        <v>11.85640030744478</v>
      </c>
      <c r="P382">
        <f>LN(dataset[[#This Row],[soda_ppu]])</f>
        <v>-0.32878188333720676</v>
      </c>
      <c r="Q382">
        <f>IF(dataset[[#This Row],[state]]="VA",1,0)</f>
        <v>0</v>
      </c>
    </row>
    <row r="383" spans="1:17" x14ac:dyDescent="0.35">
      <c r="A383">
        <v>202310</v>
      </c>
      <c r="B383">
        <v>8</v>
      </c>
      <c r="C383" s="2">
        <v>3707152.2042</v>
      </c>
      <c r="D383" s="2">
        <v>0.71919999999999995</v>
      </c>
      <c r="E383" s="3">
        <v>181180</v>
      </c>
      <c r="F383" s="2">
        <v>130312.15820000001</v>
      </c>
      <c r="G383" t="s">
        <v>1131</v>
      </c>
      <c r="H383" t="s">
        <v>6</v>
      </c>
      <c r="I383">
        <f>HLOOKUP(G383,zip_tiers!$A$1:$EON$2,2,FALSE)</f>
        <v>122386.66666666667</v>
      </c>
      <c r="J383" t="str">
        <f t="shared" si="5"/>
        <v>High</v>
      </c>
      <c r="K383">
        <f>dataset[[#This Row],[soda_sales]]/dataset[[#This Row],[soda_units_sold]]</f>
        <v>0.71924140744011478</v>
      </c>
      <c r="L383" s="29">
        <f>dataset[[#This Row],[implied_soda_ppu]]-dataset[[#This Row],[soda_ppu]]</f>
        <v>4.1407440114826777E-5</v>
      </c>
      <c r="M383">
        <f>dataset[[#This Row],[soda_sales]]/dataset[[#This Row],[total_sales]]</f>
        <v>3.5151553273794232E-2</v>
      </c>
      <c r="N383">
        <f>LN(dataset[[#This Row],[soda_units_sold]])</f>
        <v>12.107246291223278</v>
      </c>
      <c r="O383">
        <f>LN(dataset[[#This Row],[soda_sales]])</f>
        <v>11.777688068046158</v>
      </c>
      <c r="P383">
        <f>LN(dataset[[#This Row],[soda_ppu]])</f>
        <v>-0.32961579582472661</v>
      </c>
      <c r="Q383">
        <f>IF(dataset[[#This Row],[state]]="VA",1,0)</f>
        <v>0</v>
      </c>
    </row>
    <row r="384" spans="1:17" x14ac:dyDescent="0.35">
      <c r="A384">
        <v>202311</v>
      </c>
      <c r="B384">
        <v>8</v>
      </c>
      <c r="C384" s="2">
        <v>4293382.8980999999</v>
      </c>
      <c r="D384" s="2">
        <v>0.6855</v>
      </c>
      <c r="E384" s="3">
        <v>177767</v>
      </c>
      <c r="F384" s="2">
        <v>121857.74860000001</v>
      </c>
      <c r="G384" t="s">
        <v>1131</v>
      </c>
      <c r="H384" t="s">
        <v>6</v>
      </c>
      <c r="I384">
        <f>HLOOKUP(G384,zip_tiers!$A$1:$EON$2,2,FALSE)</f>
        <v>122386.66666666667</v>
      </c>
      <c r="J384" t="str">
        <f t="shared" si="5"/>
        <v>High</v>
      </c>
      <c r="K384">
        <f>dataset[[#This Row],[soda_sales]]/dataset[[#This Row],[soda_units_sold]]</f>
        <v>0.68549139379074864</v>
      </c>
      <c r="L384" s="29">
        <f>dataset[[#This Row],[implied_soda_ppu]]-dataset[[#This Row],[soda_ppu]]</f>
        <v>-8.6062092513605748E-6</v>
      </c>
      <c r="M384">
        <f>dataset[[#This Row],[soda_sales]]/dataset[[#This Row],[total_sales]]</f>
        <v>2.8382688311803524E-2</v>
      </c>
      <c r="N384">
        <f>LN(dataset[[#This Row],[soda_units_sold]])</f>
        <v>12.088228983036021</v>
      </c>
      <c r="O384">
        <f>LN(dataset[[#This Row],[soda_sales]])</f>
        <v>11.710609648332291</v>
      </c>
      <c r="P384">
        <f>LN(dataset[[#This Row],[soda_ppu]])</f>
        <v>-0.37760677997976799</v>
      </c>
      <c r="Q384">
        <f>IF(dataset[[#This Row],[state]]="VA",1,0)</f>
        <v>0</v>
      </c>
    </row>
    <row r="385" spans="1:17" x14ac:dyDescent="0.35">
      <c r="A385">
        <v>202312</v>
      </c>
      <c r="B385">
        <v>8</v>
      </c>
      <c r="C385" s="2">
        <v>4452284.5981999999</v>
      </c>
      <c r="D385" s="2">
        <v>0.70020000000000004</v>
      </c>
      <c r="E385" s="3">
        <v>173358</v>
      </c>
      <c r="F385" s="2">
        <v>121385.03320000001</v>
      </c>
      <c r="G385" t="s">
        <v>1131</v>
      </c>
      <c r="H385" t="s">
        <v>6</v>
      </c>
      <c r="I385">
        <f>HLOOKUP(G385,zip_tiers!$A$1:$EON$2,2,FALSE)</f>
        <v>122386.66666666667</v>
      </c>
      <c r="J385" t="str">
        <f t="shared" si="5"/>
        <v>High</v>
      </c>
      <c r="K385">
        <f>dataset[[#This Row],[soda_sales]]/dataset[[#This Row],[soda_units_sold]]</f>
        <v>0.70019862481108464</v>
      </c>
      <c r="L385" s="29">
        <f>dataset[[#This Row],[implied_soda_ppu]]-dataset[[#This Row],[soda_ppu]]</f>
        <v>-1.375188915408998E-6</v>
      </c>
      <c r="M385">
        <f>dataset[[#This Row],[soda_sales]]/dataset[[#This Row],[total_sales]]</f>
        <v>2.7263538644648724E-2</v>
      </c>
      <c r="N385">
        <f>LN(dataset[[#This Row],[soda_units_sold]])</f>
        <v>12.06311409945703</v>
      </c>
      <c r="O385">
        <f>LN(dataset[[#This Row],[soda_sales]])</f>
        <v>11.706722864999076</v>
      </c>
      <c r="P385">
        <f>LN(dataset[[#This Row],[soda_ppu]])</f>
        <v>-0.35638927046157171</v>
      </c>
      <c r="Q385">
        <f>IF(dataset[[#This Row],[state]]="VA",1,0)</f>
        <v>0</v>
      </c>
    </row>
    <row r="386" spans="1:17" x14ac:dyDescent="0.35">
      <c r="A386">
        <v>202401</v>
      </c>
      <c r="B386">
        <v>8</v>
      </c>
      <c r="C386" s="2">
        <v>2518900.8065999998</v>
      </c>
      <c r="D386" s="2">
        <v>0.72019999999999995</v>
      </c>
      <c r="E386" s="3">
        <v>122967</v>
      </c>
      <c r="F386" s="2">
        <v>88556.061900000001</v>
      </c>
      <c r="G386" t="s">
        <v>1131</v>
      </c>
      <c r="H386" t="s">
        <v>6</v>
      </c>
      <c r="I386">
        <f>HLOOKUP(G386,zip_tiers!$A$1:$EON$2,2,FALSE)</f>
        <v>122386.66666666667</v>
      </c>
      <c r="J386" t="str">
        <f t="shared" ref="J386:J449" si="6">IF(I386="","No Data",IF(I386&gt;=100000,"High",IF(I386&gt;=40000,"Med","Low")))</f>
        <v>High</v>
      </c>
      <c r="K386">
        <f>dataset[[#This Row],[soda_sales]]/dataset[[#This Row],[soda_units_sold]]</f>
        <v>0.72016119690648717</v>
      </c>
      <c r="L386" s="29">
        <f>dataset[[#This Row],[implied_soda_ppu]]-dataset[[#This Row],[soda_ppu]]</f>
        <v>-3.880309351278477E-5</v>
      </c>
      <c r="M386">
        <f>dataset[[#This Row],[soda_sales]]/dataset[[#This Row],[total_sales]]</f>
        <v>3.5156629299560448E-2</v>
      </c>
      <c r="N386">
        <f>LN(dataset[[#This Row],[soda_units_sold]])</f>
        <v>11.719671305674707</v>
      </c>
      <c r="O386">
        <f>LN(dataset[[#This Row],[soda_sales]])</f>
        <v>11.3913910982366</v>
      </c>
      <c r="P386">
        <f>LN(dataset[[#This Row],[soda_ppu]])</f>
        <v>-0.32822632776736227</v>
      </c>
      <c r="Q386">
        <f>IF(dataset[[#This Row],[state]]="VA",1,0)</f>
        <v>0</v>
      </c>
    </row>
    <row r="387" spans="1:17" x14ac:dyDescent="0.35">
      <c r="A387">
        <v>202402</v>
      </c>
      <c r="B387">
        <v>8</v>
      </c>
      <c r="C387" s="2">
        <v>2956195.8398000002</v>
      </c>
      <c r="D387" s="2">
        <v>0.74229999999999996</v>
      </c>
      <c r="E387" s="3">
        <v>142934</v>
      </c>
      <c r="F387" s="2">
        <v>106095.7332</v>
      </c>
      <c r="G387" t="s">
        <v>1131</v>
      </c>
      <c r="H387" t="s">
        <v>6</v>
      </c>
      <c r="I387">
        <f>HLOOKUP(G387,zip_tiers!$A$1:$EON$2,2,FALSE)</f>
        <v>122386.66666666667</v>
      </c>
      <c r="J387" t="str">
        <f t="shared" si="6"/>
        <v>High</v>
      </c>
      <c r="K387">
        <f>dataset[[#This Row],[soda_sales]]/dataset[[#This Row],[soda_units_sold]]</f>
        <v>0.74227079071459556</v>
      </c>
      <c r="L387" s="29">
        <f>dataset[[#This Row],[implied_soda_ppu]]-dataset[[#This Row],[soda_ppu]]</f>
        <v>-2.9209285404396823E-5</v>
      </c>
      <c r="M387">
        <f>dataset[[#This Row],[soda_sales]]/dataset[[#This Row],[total_sales]]</f>
        <v>3.5889277622140843E-2</v>
      </c>
      <c r="N387">
        <f>LN(dataset[[#This Row],[soda_units_sold]])</f>
        <v>11.870138264238847</v>
      </c>
      <c r="O387">
        <f>LN(dataset[[#This Row],[soda_sales]])</f>
        <v>11.572097108901822</v>
      </c>
      <c r="P387">
        <f>LN(dataset[[#This Row],[soda_ppu]])</f>
        <v>-0.29800180485863581</v>
      </c>
      <c r="Q387">
        <f>IF(dataset[[#This Row],[state]]="VA",1,0)</f>
        <v>0</v>
      </c>
    </row>
    <row r="388" spans="1:17" x14ac:dyDescent="0.35">
      <c r="A388">
        <v>202403</v>
      </c>
      <c r="B388">
        <v>8</v>
      </c>
      <c r="C388" s="2">
        <v>3277228.8662</v>
      </c>
      <c r="D388" s="2">
        <v>0.7127</v>
      </c>
      <c r="E388" s="3">
        <v>169828</v>
      </c>
      <c r="F388" s="2">
        <v>121040.4574</v>
      </c>
      <c r="G388" t="s">
        <v>1131</v>
      </c>
      <c r="H388" t="s">
        <v>6</v>
      </c>
      <c r="I388">
        <f>HLOOKUP(G388,zip_tiers!$A$1:$EON$2,2,FALSE)</f>
        <v>122386.66666666667</v>
      </c>
      <c r="J388" t="str">
        <f t="shared" si="6"/>
        <v>High</v>
      </c>
      <c r="K388">
        <f>dataset[[#This Row],[soda_sales]]/dataset[[#This Row],[soda_units_sold]]</f>
        <v>0.71272379937348374</v>
      </c>
      <c r="L388" s="29">
        <f>dataset[[#This Row],[implied_soda_ppu]]-dataset[[#This Row],[soda_ppu]]</f>
        <v>2.3799373483734954E-5</v>
      </c>
      <c r="M388">
        <f>dataset[[#This Row],[soda_sales]]/dataset[[#This Row],[total_sales]]</f>
        <v>3.6933782272078046E-2</v>
      </c>
      <c r="N388">
        <f>LN(dataset[[#This Row],[soda_units_sold]])</f>
        <v>12.042541439147108</v>
      </c>
      <c r="O388">
        <f>LN(dataset[[#This Row],[soda_sales]])</f>
        <v>11.703880127371159</v>
      </c>
      <c r="P388">
        <f>LN(dataset[[#This Row],[soda_ppu]])</f>
        <v>-0.33869470447431199</v>
      </c>
      <c r="Q388">
        <f>IF(dataset[[#This Row],[state]]="VA",1,0)</f>
        <v>0</v>
      </c>
    </row>
    <row r="389" spans="1:17" x14ac:dyDescent="0.35">
      <c r="A389">
        <v>202404</v>
      </c>
      <c r="B389">
        <v>8</v>
      </c>
      <c r="C389" s="2">
        <v>3417132.7412</v>
      </c>
      <c r="D389" s="2">
        <v>0.71950000000000003</v>
      </c>
      <c r="E389" s="3">
        <v>193016</v>
      </c>
      <c r="F389" s="2">
        <v>138871.13920000001</v>
      </c>
      <c r="G389" t="s">
        <v>1131</v>
      </c>
      <c r="H389" t="s">
        <v>6</v>
      </c>
      <c r="I389">
        <f>HLOOKUP(G389,zip_tiers!$A$1:$EON$2,2,FALSE)</f>
        <v>122386.66666666667</v>
      </c>
      <c r="J389" t="str">
        <f t="shared" si="6"/>
        <v>High</v>
      </c>
      <c r="K389">
        <f>dataset[[#This Row],[soda_sales]]/dataset[[#This Row],[soda_units_sold]]</f>
        <v>0.71947993534214782</v>
      </c>
      <c r="L389" s="29">
        <f>dataset[[#This Row],[implied_soda_ppu]]-dataset[[#This Row],[soda_ppu]]</f>
        <v>-2.006465785220346E-5</v>
      </c>
      <c r="M389">
        <f>dataset[[#This Row],[soda_sales]]/dataset[[#This Row],[total_sales]]</f>
        <v>4.0639667732437108E-2</v>
      </c>
      <c r="N389">
        <f>LN(dataset[[#This Row],[soda_units_sold]])</f>
        <v>12.170528366005282</v>
      </c>
      <c r="O389">
        <f>LN(dataset[[#This Row],[soda_sales]])</f>
        <v>11.841301726015436</v>
      </c>
      <c r="P389">
        <f>LN(dataset[[#This Row],[soda_ppu]])</f>
        <v>-0.32919875265471449</v>
      </c>
      <c r="Q389">
        <f>IF(dataset[[#This Row],[state]]="VA",1,0)</f>
        <v>0</v>
      </c>
    </row>
    <row r="390" spans="1:17" x14ac:dyDescent="0.35">
      <c r="A390">
        <v>202405</v>
      </c>
      <c r="B390">
        <v>8</v>
      </c>
      <c r="C390" s="2">
        <v>3671840.7207999998</v>
      </c>
      <c r="D390" s="2">
        <v>0.73219999999999996</v>
      </c>
      <c r="E390" s="3">
        <v>214711</v>
      </c>
      <c r="F390" s="2">
        <v>157205.2898</v>
      </c>
      <c r="G390" t="s">
        <v>1131</v>
      </c>
      <c r="H390" t="s">
        <v>6</v>
      </c>
      <c r="I390">
        <f>HLOOKUP(G390,zip_tiers!$A$1:$EON$2,2,FALSE)</f>
        <v>122386.66666666667</v>
      </c>
      <c r="J390" t="str">
        <f t="shared" si="6"/>
        <v>High</v>
      </c>
      <c r="K390">
        <f>dataset[[#This Row],[soda_sales]]/dataset[[#This Row],[soda_units_sold]]</f>
        <v>0.73217156922561022</v>
      </c>
      <c r="L390" s="29">
        <f>dataset[[#This Row],[implied_soda_ppu]]-dataset[[#This Row],[soda_ppu]]</f>
        <v>-2.843077438974273E-5</v>
      </c>
      <c r="M390">
        <f>dataset[[#This Row],[soda_sales]]/dataset[[#This Row],[total_sales]]</f>
        <v>4.2813755212603284E-2</v>
      </c>
      <c r="N390">
        <f>LN(dataset[[#This Row],[soda_units_sold]])</f>
        <v>12.277048216834833</v>
      </c>
      <c r="O390">
        <f>LN(dataset[[#This Row],[soda_sales]])</f>
        <v>11.965307808538316</v>
      </c>
      <c r="P390">
        <f>LN(dataset[[#This Row],[soda_ppu]])</f>
        <v>-0.31170157829600126</v>
      </c>
      <c r="Q390">
        <f>IF(dataset[[#This Row],[state]]="VA",1,0)</f>
        <v>0</v>
      </c>
    </row>
    <row r="391" spans="1:17" x14ac:dyDescent="0.35">
      <c r="A391">
        <v>202406</v>
      </c>
      <c r="B391">
        <v>8</v>
      </c>
      <c r="C391" s="2">
        <v>3413387.9583000001</v>
      </c>
      <c r="D391" s="2">
        <v>0.7429</v>
      </c>
      <c r="E391" s="3">
        <v>215793</v>
      </c>
      <c r="F391" s="2">
        <v>160321.85060000001</v>
      </c>
      <c r="G391" t="s">
        <v>1131</v>
      </c>
      <c r="H391" t="s">
        <v>6</v>
      </c>
      <c r="I391">
        <f>HLOOKUP(G391,zip_tiers!$A$1:$EON$2,2,FALSE)</f>
        <v>122386.66666666667</v>
      </c>
      <c r="J391" t="str">
        <f t="shared" si="6"/>
        <v>High</v>
      </c>
      <c r="K391">
        <f>dataset[[#This Row],[soda_sales]]/dataset[[#This Row],[soda_units_sold]]</f>
        <v>0.74294277664243047</v>
      </c>
      <c r="L391" s="29">
        <f>dataset[[#This Row],[implied_soda_ppu]]-dataset[[#This Row],[soda_ppu]]</f>
        <v>4.2776642430464307E-5</v>
      </c>
      <c r="M391">
        <f>dataset[[#This Row],[soda_sales]]/dataset[[#This Row],[total_sales]]</f>
        <v>4.6968540511242246E-2</v>
      </c>
      <c r="N391">
        <f>LN(dataset[[#This Row],[soda_units_sold]])</f>
        <v>12.28207489383799</v>
      </c>
      <c r="O391">
        <f>LN(dataset[[#This Row],[soda_sales]])</f>
        <v>11.984938639975688</v>
      </c>
      <c r="P391">
        <f>LN(dataset[[#This Row],[soda_ppu]])</f>
        <v>-0.2971938328243765</v>
      </c>
      <c r="Q391">
        <f>IF(dataset[[#This Row],[state]]="VA",1,0)</f>
        <v>0</v>
      </c>
    </row>
    <row r="392" spans="1:17" x14ac:dyDescent="0.35">
      <c r="A392">
        <v>202407</v>
      </c>
      <c r="B392">
        <v>8</v>
      </c>
      <c r="C392" s="2">
        <v>3302920.0613000002</v>
      </c>
      <c r="D392" s="2">
        <v>0.74609999999999999</v>
      </c>
      <c r="E392" s="3">
        <v>223859</v>
      </c>
      <c r="F392" s="2">
        <v>167029.94089999999</v>
      </c>
      <c r="G392" t="s">
        <v>1131</v>
      </c>
      <c r="H392" t="s">
        <v>6</v>
      </c>
      <c r="I392">
        <f>HLOOKUP(G392,zip_tiers!$A$1:$EON$2,2,FALSE)</f>
        <v>122386.66666666667</v>
      </c>
      <c r="J392" t="str">
        <f t="shared" si="6"/>
        <v>High</v>
      </c>
      <c r="K392">
        <f>dataset[[#This Row],[soda_sales]]/dataset[[#This Row],[soda_units_sold]]</f>
        <v>0.74613904690005761</v>
      </c>
      <c r="L392" s="29">
        <f>dataset[[#This Row],[implied_soda_ppu]]-dataset[[#This Row],[soda_ppu]]</f>
        <v>3.9046900057626566E-5</v>
      </c>
      <c r="M392">
        <f>dataset[[#This Row],[soda_sales]]/dataset[[#This Row],[total_sales]]</f>
        <v>5.0570385537656179E-2</v>
      </c>
      <c r="N392">
        <f>LN(dataset[[#This Row],[soda_units_sold]])</f>
        <v>12.318771668355643</v>
      </c>
      <c r="O392">
        <f>LN(dataset[[#This Row],[soda_sales]])</f>
        <v>12.025928362155277</v>
      </c>
      <c r="P392">
        <f>LN(dataset[[#This Row],[soda_ppu]])</f>
        <v>-0.2928956395046684</v>
      </c>
      <c r="Q392">
        <f>IF(dataset[[#This Row],[state]]="VA",1,0)</f>
        <v>0</v>
      </c>
    </row>
    <row r="393" spans="1:17" x14ac:dyDescent="0.35">
      <c r="A393">
        <v>202408</v>
      </c>
      <c r="B393">
        <v>8</v>
      </c>
      <c r="C393" s="2">
        <v>3130871.2299000002</v>
      </c>
      <c r="D393" s="2">
        <v>0.76559999999999995</v>
      </c>
      <c r="E393" s="3">
        <v>196732</v>
      </c>
      <c r="F393" s="2">
        <v>150620.44829999999</v>
      </c>
      <c r="G393" t="s">
        <v>1131</v>
      </c>
      <c r="H393" t="s">
        <v>6</v>
      </c>
      <c r="I393">
        <f>HLOOKUP(G393,zip_tiers!$A$1:$EON$2,2,FALSE)</f>
        <v>122386.66666666667</v>
      </c>
      <c r="J393" t="str">
        <f t="shared" si="6"/>
        <v>High</v>
      </c>
      <c r="K393">
        <f>dataset[[#This Row],[soda_sales]]/dataset[[#This Row],[soda_units_sold]]</f>
        <v>0.76561234725413252</v>
      </c>
      <c r="L393" s="29">
        <f>dataset[[#This Row],[implied_soda_ppu]]-dataset[[#This Row],[soda_ppu]]</f>
        <v>1.2347254132571983E-5</v>
      </c>
      <c r="M393">
        <f>dataset[[#This Row],[soda_sales]]/dataset[[#This Row],[total_sales]]</f>
        <v>4.8108158157884634E-2</v>
      </c>
      <c r="N393">
        <f>LN(dataset[[#This Row],[soda_units_sold]])</f>
        <v>12.189597675436294</v>
      </c>
      <c r="O393">
        <f>LN(dataset[[#This Row],[soda_sales]])</f>
        <v>11.922518364015273</v>
      </c>
      <c r="P393">
        <f>LN(dataset[[#This Row],[soda_ppu]])</f>
        <v>-0.2670954388433926</v>
      </c>
      <c r="Q393">
        <f>IF(dataset[[#This Row],[state]]="VA",1,0)</f>
        <v>0</v>
      </c>
    </row>
    <row r="394" spans="1:17" x14ac:dyDescent="0.35">
      <c r="A394">
        <v>202409</v>
      </c>
      <c r="B394">
        <v>8</v>
      </c>
      <c r="C394" s="2">
        <v>3090515.1587</v>
      </c>
      <c r="D394" s="2">
        <v>0.73939999999999995</v>
      </c>
      <c r="E394" s="3">
        <v>186638</v>
      </c>
      <c r="F394" s="2">
        <v>138008.8131</v>
      </c>
      <c r="G394" t="s">
        <v>1131</v>
      </c>
      <c r="H394" t="s">
        <v>6</v>
      </c>
      <c r="I394">
        <f>HLOOKUP(G394,zip_tiers!$A$1:$EON$2,2,FALSE)</f>
        <v>122386.66666666667</v>
      </c>
      <c r="J394" t="str">
        <f t="shared" si="6"/>
        <v>High</v>
      </c>
      <c r="K394">
        <f>dataset[[#This Row],[soda_sales]]/dataset[[#This Row],[soda_units_sold]]</f>
        <v>0.73944648517450895</v>
      </c>
      <c r="L394" s="29">
        <f>dataset[[#This Row],[implied_soda_ppu]]-dataset[[#This Row],[soda_ppu]]</f>
        <v>4.6485174509003357E-5</v>
      </c>
      <c r="M394">
        <f>dataset[[#This Row],[soda_sales]]/dataset[[#This Row],[total_sales]]</f>
        <v>4.4655601416966444E-2</v>
      </c>
      <c r="N394">
        <f>LN(dataset[[#This Row],[soda_units_sold]])</f>
        <v>12.136926190821352</v>
      </c>
      <c r="O394">
        <f>LN(dataset[[#This Row],[soda_sales]])</f>
        <v>11.835072825143662</v>
      </c>
      <c r="P394">
        <f>LN(dataset[[#This Row],[soda_ppu]])</f>
        <v>-0.30191623247960558</v>
      </c>
      <c r="Q394">
        <f>IF(dataset[[#This Row],[state]]="VA",1,0)</f>
        <v>0</v>
      </c>
    </row>
    <row r="395" spans="1:17" x14ac:dyDescent="0.35">
      <c r="A395">
        <v>202410</v>
      </c>
      <c r="B395">
        <v>8</v>
      </c>
      <c r="C395" s="2">
        <v>3793615.5797999999</v>
      </c>
      <c r="D395" s="2">
        <v>0.76559999999999995</v>
      </c>
      <c r="E395" s="3">
        <v>178679</v>
      </c>
      <c r="F395" s="2">
        <v>136792.05369999999</v>
      </c>
      <c r="G395" t="s">
        <v>1131</v>
      </c>
      <c r="H395" t="s">
        <v>6</v>
      </c>
      <c r="I395">
        <f>HLOOKUP(G395,zip_tiers!$A$1:$EON$2,2,FALSE)</f>
        <v>122386.66666666667</v>
      </c>
      <c r="J395" t="str">
        <f t="shared" si="6"/>
        <v>High</v>
      </c>
      <c r="K395">
        <f>dataset[[#This Row],[soda_sales]]/dataset[[#This Row],[soda_units_sold]]</f>
        <v>0.76557431875038473</v>
      </c>
      <c r="L395" s="29">
        <f>dataset[[#This Row],[implied_soda_ppu]]-dataset[[#This Row],[soda_ppu]]</f>
        <v>-2.5681249615217006E-5</v>
      </c>
      <c r="M395">
        <f>dataset[[#This Row],[soda_sales]]/dataset[[#This Row],[total_sales]]</f>
        <v>3.605849112081401E-2</v>
      </c>
      <c r="N395">
        <f>LN(dataset[[#This Row],[soda_units_sold]])</f>
        <v>12.093346178853125</v>
      </c>
      <c r="O395">
        <f>LN(dataset[[#This Row],[soda_sales]])</f>
        <v>11.826217195495168</v>
      </c>
      <c r="P395">
        <f>LN(dataset[[#This Row],[soda_ppu]])</f>
        <v>-0.2670954388433926</v>
      </c>
      <c r="Q395">
        <f>IF(dataset[[#This Row],[state]]="VA",1,0)</f>
        <v>0</v>
      </c>
    </row>
    <row r="396" spans="1:17" x14ac:dyDescent="0.35">
      <c r="A396">
        <v>202411</v>
      </c>
      <c r="B396">
        <v>8</v>
      </c>
      <c r="C396" s="2">
        <v>4290020.6886999998</v>
      </c>
      <c r="D396" s="2">
        <v>0.75009999999999999</v>
      </c>
      <c r="E396" s="3">
        <v>169495</v>
      </c>
      <c r="F396" s="2">
        <v>127142.4771</v>
      </c>
      <c r="G396" t="s">
        <v>1131</v>
      </c>
      <c r="H396" t="s">
        <v>6</v>
      </c>
      <c r="I396">
        <f>HLOOKUP(G396,zip_tiers!$A$1:$EON$2,2,FALSE)</f>
        <v>122386.66666666667</v>
      </c>
      <c r="J396" t="str">
        <f t="shared" si="6"/>
        <v>High</v>
      </c>
      <c r="K396">
        <f>dataset[[#This Row],[soda_sales]]/dataset[[#This Row],[soda_units_sold]]</f>
        <v>0.75012523732263492</v>
      </c>
      <c r="L396" s="29">
        <f>dataset[[#This Row],[implied_soda_ppu]]-dataset[[#This Row],[soda_ppu]]</f>
        <v>2.5237322634930059E-5</v>
      </c>
      <c r="M396">
        <f>dataset[[#This Row],[soda_sales]]/dataset[[#This Row],[total_sales]]</f>
        <v>2.9636798124283135E-2</v>
      </c>
      <c r="N396">
        <f>LN(dataset[[#This Row],[soda_units_sold]])</f>
        <v>12.040578706842478</v>
      </c>
      <c r="O396">
        <f>LN(dataset[[#This Row],[soda_sales]])</f>
        <v>11.753063603547419</v>
      </c>
      <c r="P396">
        <f>LN(dataset[[#This Row],[soda_ppu]])</f>
        <v>-0.28754874800654645</v>
      </c>
      <c r="Q396">
        <f>IF(dataset[[#This Row],[state]]="VA",1,0)</f>
        <v>0</v>
      </c>
    </row>
    <row r="397" spans="1:17" x14ac:dyDescent="0.35">
      <c r="A397">
        <v>202412</v>
      </c>
      <c r="B397">
        <v>8</v>
      </c>
      <c r="C397" s="2">
        <v>4511660.1517000003</v>
      </c>
      <c r="D397" s="2">
        <v>0.76129999999999998</v>
      </c>
      <c r="E397" s="3">
        <v>163652</v>
      </c>
      <c r="F397" s="2">
        <v>124594.287</v>
      </c>
      <c r="G397" t="s">
        <v>1131</v>
      </c>
      <c r="H397" t="s">
        <v>6</v>
      </c>
      <c r="I397">
        <f>HLOOKUP(G397,zip_tiers!$A$1:$EON$2,2,FALSE)</f>
        <v>122386.66666666667</v>
      </c>
      <c r="J397" t="str">
        <f t="shared" si="6"/>
        <v>High</v>
      </c>
      <c r="K397">
        <f>dataset[[#This Row],[soda_sales]]/dataset[[#This Row],[soda_units_sold]]</f>
        <v>0.76133678170752572</v>
      </c>
      <c r="L397" s="29">
        <f>dataset[[#This Row],[implied_soda_ppu]]-dataset[[#This Row],[soda_ppu]]</f>
        <v>3.6781707525745944E-5</v>
      </c>
      <c r="M397">
        <f>dataset[[#This Row],[soda_sales]]/dataset[[#This Row],[total_sales]]</f>
        <v>2.7616062116968779E-2</v>
      </c>
      <c r="N397">
        <f>LN(dataset[[#This Row],[soda_units_sold]])</f>
        <v>12.005497501058437</v>
      </c>
      <c r="O397">
        <f>LN(dataset[[#This Row],[soda_sales]])</f>
        <v>11.732818033562001</v>
      </c>
      <c r="P397">
        <f>LN(dataset[[#This Row],[soda_ppu]])</f>
        <v>-0.27272778066997017</v>
      </c>
      <c r="Q397">
        <f>IF(dataset[[#This Row],[state]]="VA",1,0)</f>
        <v>0</v>
      </c>
    </row>
    <row r="398" spans="1:17" x14ac:dyDescent="0.35">
      <c r="A398">
        <v>202201</v>
      </c>
      <c r="B398">
        <v>83</v>
      </c>
      <c r="C398" s="2">
        <v>2203432.6494999998</v>
      </c>
      <c r="D398" s="2">
        <v>0.68289999999999995</v>
      </c>
      <c r="E398" s="3">
        <v>146852</v>
      </c>
      <c r="F398" s="2">
        <v>100285.9896</v>
      </c>
      <c r="G398" t="s">
        <v>1192</v>
      </c>
      <c r="H398" t="s">
        <v>6</v>
      </c>
      <c r="I398">
        <f>HLOOKUP(G398,zip_tiers!$A$1:$EON$2,2,FALSE)</f>
        <v>93825.333333333328</v>
      </c>
      <c r="J398" t="str">
        <f t="shared" si="6"/>
        <v>Med</v>
      </c>
      <c r="K398">
        <f>dataset[[#This Row],[soda_sales]]/dataset[[#This Row],[soda_units_sold]]</f>
        <v>0.68290516710701932</v>
      </c>
      <c r="L398" s="29">
        <f>dataset[[#This Row],[implied_soda_ppu]]-dataset[[#This Row],[soda_ppu]]</f>
        <v>5.1671070193659574E-6</v>
      </c>
      <c r="M398">
        <f>dataset[[#This Row],[soda_sales]]/dataset[[#This Row],[total_sales]]</f>
        <v>4.5513526189582772E-2</v>
      </c>
      <c r="N398">
        <f>LN(dataset[[#This Row],[soda_units_sold]])</f>
        <v>11.897180555873486</v>
      </c>
      <c r="O398">
        <f>LN(dataset[[#This Row],[soda_sales]])</f>
        <v>11.515781279248012</v>
      </c>
      <c r="P398">
        <f>LN(dataset[[#This Row],[soda_ppu]])</f>
        <v>-0.38140684301509353</v>
      </c>
      <c r="Q398">
        <f>IF(dataset[[#This Row],[state]]="VA",1,0)</f>
        <v>0</v>
      </c>
    </row>
    <row r="399" spans="1:17" x14ac:dyDescent="0.35">
      <c r="A399">
        <v>202202</v>
      </c>
      <c r="B399">
        <v>83</v>
      </c>
      <c r="C399" s="2">
        <v>2485558.2310000001</v>
      </c>
      <c r="D399" s="2">
        <v>0.69330000000000003</v>
      </c>
      <c r="E399" s="3">
        <v>162324</v>
      </c>
      <c r="F399" s="2">
        <v>112545.7962</v>
      </c>
      <c r="G399" t="s">
        <v>1192</v>
      </c>
      <c r="H399" t="s">
        <v>6</v>
      </c>
      <c r="I399">
        <f>HLOOKUP(G399,zip_tiers!$A$1:$EON$2,2,FALSE)</f>
        <v>93825.333333333328</v>
      </c>
      <c r="J399" t="str">
        <f t="shared" si="6"/>
        <v>Med</v>
      </c>
      <c r="K399">
        <f>dataset[[#This Row],[soda_sales]]/dataset[[#This Row],[soda_units_sold]]</f>
        <v>0.69334045612478745</v>
      </c>
      <c r="L399" s="29">
        <f>dataset[[#This Row],[implied_soda_ppu]]-dataset[[#This Row],[soda_ppu]]</f>
        <v>4.0456124787424663E-5</v>
      </c>
      <c r="M399">
        <f>dataset[[#This Row],[soda_sales]]/dataset[[#This Row],[total_sales]]</f>
        <v>4.5279887148216243E-2</v>
      </c>
      <c r="N399">
        <f>LN(dataset[[#This Row],[soda_units_sold]])</f>
        <v>11.997349616877194</v>
      </c>
      <c r="O399">
        <f>LN(dataset[[#This Row],[soda_sales]])</f>
        <v>11.631115495126446</v>
      </c>
      <c r="P399">
        <f>LN(dataset[[#This Row],[soda_ppu]])</f>
        <v>-0.36629247303369228</v>
      </c>
      <c r="Q399">
        <f>IF(dataset[[#This Row],[state]]="VA",1,0)</f>
        <v>0</v>
      </c>
    </row>
    <row r="400" spans="1:17" x14ac:dyDescent="0.35">
      <c r="A400">
        <v>202203</v>
      </c>
      <c r="B400">
        <v>83</v>
      </c>
      <c r="C400" s="2">
        <v>2768761.5107999998</v>
      </c>
      <c r="D400" s="2">
        <v>0.70879999999999999</v>
      </c>
      <c r="E400" s="3">
        <v>190168</v>
      </c>
      <c r="F400" s="2">
        <v>134791.74419999999</v>
      </c>
      <c r="G400" t="s">
        <v>1192</v>
      </c>
      <c r="H400" t="s">
        <v>6</v>
      </c>
      <c r="I400">
        <f>HLOOKUP(G400,zip_tiers!$A$1:$EON$2,2,FALSE)</f>
        <v>93825.333333333328</v>
      </c>
      <c r="J400" t="str">
        <f t="shared" si="6"/>
        <v>Med</v>
      </c>
      <c r="K400">
        <f>dataset[[#This Row],[soda_sales]]/dataset[[#This Row],[soda_units_sold]]</f>
        <v>0.70880350111480372</v>
      </c>
      <c r="L400" s="29">
        <f>dataset[[#This Row],[implied_soda_ppu]]-dataset[[#This Row],[soda_ppu]]</f>
        <v>3.5011148037389361E-6</v>
      </c>
      <c r="M400">
        <f>dataset[[#This Row],[soda_sales]]/dataset[[#This Row],[total_sales]]</f>
        <v>4.8683046074652188E-2</v>
      </c>
      <c r="N400">
        <f>LN(dataset[[#This Row],[soda_units_sold]])</f>
        <v>12.155663170985093</v>
      </c>
      <c r="O400">
        <f>LN(dataset[[#This Row],[soda_sales]])</f>
        <v>11.811486230777682</v>
      </c>
      <c r="P400">
        <f>LN(dataset[[#This Row],[soda_ppu]])</f>
        <v>-0.3441818796912659</v>
      </c>
      <c r="Q400">
        <f>IF(dataset[[#This Row],[state]]="VA",1,0)</f>
        <v>0</v>
      </c>
    </row>
    <row r="401" spans="1:17" x14ac:dyDescent="0.35">
      <c r="A401">
        <v>202204</v>
      </c>
      <c r="B401">
        <v>83</v>
      </c>
      <c r="C401" s="2">
        <v>2949658.1719999998</v>
      </c>
      <c r="D401" s="2">
        <v>0.70620000000000005</v>
      </c>
      <c r="E401" s="3">
        <v>217490</v>
      </c>
      <c r="F401" s="2">
        <v>153592.07029999999</v>
      </c>
      <c r="G401" t="s">
        <v>1192</v>
      </c>
      <c r="H401" t="s">
        <v>6</v>
      </c>
      <c r="I401">
        <f>HLOOKUP(G401,zip_tiers!$A$1:$EON$2,2,FALSE)</f>
        <v>93825.333333333328</v>
      </c>
      <c r="J401" t="str">
        <f t="shared" si="6"/>
        <v>Med</v>
      </c>
      <c r="K401">
        <f>dataset[[#This Row],[soda_sales]]/dataset[[#This Row],[soda_units_sold]]</f>
        <v>0.70620290726010393</v>
      </c>
      <c r="L401" s="29">
        <f>dataset[[#This Row],[implied_soda_ppu]]-dataset[[#This Row],[soda_ppu]]</f>
        <v>2.9072601038793167E-6</v>
      </c>
      <c r="M401">
        <f>dataset[[#This Row],[soda_sales]]/dataset[[#This Row],[total_sales]]</f>
        <v>5.2071142262514344E-2</v>
      </c>
      <c r="N401">
        <f>LN(dataset[[#This Row],[soda_units_sold]])</f>
        <v>12.289908151442406</v>
      </c>
      <c r="O401">
        <f>LN(dataset[[#This Row],[soda_sales]])</f>
        <v>11.942055472712017</v>
      </c>
      <c r="P401">
        <f>LN(dataset[[#This Row],[soda_ppu]])</f>
        <v>-0.34785679548785092</v>
      </c>
      <c r="Q401">
        <f>IF(dataset[[#This Row],[state]]="VA",1,0)</f>
        <v>0</v>
      </c>
    </row>
    <row r="402" spans="1:17" x14ac:dyDescent="0.35">
      <c r="A402">
        <v>202205</v>
      </c>
      <c r="B402">
        <v>83</v>
      </c>
      <c r="C402" s="2">
        <v>3052238.4367</v>
      </c>
      <c r="D402" s="2">
        <v>0.69399999999999995</v>
      </c>
      <c r="E402" s="3">
        <v>245662</v>
      </c>
      <c r="F402" s="2">
        <v>170482.78099999999</v>
      </c>
      <c r="G402" t="s">
        <v>1192</v>
      </c>
      <c r="H402" t="s">
        <v>6</v>
      </c>
      <c r="I402">
        <f>HLOOKUP(G402,zip_tiers!$A$1:$EON$2,2,FALSE)</f>
        <v>93825.333333333328</v>
      </c>
      <c r="J402" t="str">
        <f t="shared" si="6"/>
        <v>Med</v>
      </c>
      <c r="K402">
        <f>dataset[[#This Row],[soda_sales]]/dataset[[#This Row],[soda_units_sold]]</f>
        <v>0.69397294249822927</v>
      </c>
      <c r="L402" s="29">
        <f>dataset[[#This Row],[implied_soda_ppu]]-dataset[[#This Row],[soda_ppu]]</f>
        <v>-2.7057501770677561E-5</v>
      </c>
      <c r="M402">
        <f>dataset[[#This Row],[soda_sales]]/dataset[[#This Row],[total_sales]]</f>
        <v>5.5855001021585159E-2</v>
      </c>
      <c r="N402">
        <f>LN(dataset[[#This Row],[soda_units_sold]])</f>
        <v>12.411711886393496</v>
      </c>
      <c r="O402">
        <f>LN(dataset[[#This Row],[soda_sales]])</f>
        <v>12.046389579403408</v>
      </c>
      <c r="P402">
        <f>LN(dataset[[#This Row],[soda_ppu]])</f>
        <v>-0.36528331847533263</v>
      </c>
      <c r="Q402">
        <f>IF(dataset[[#This Row],[state]]="VA",1,0)</f>
        <v>0</v>
      </c>
    </row>
    <row r="403" spans="1:17" x14ac:dyDescent="0.35">
      <c r="A403">
        <v>202206</v>
      </c>
      <c r="B403">
        <v>83</v>
      </c>
      <c r="C403" s="2">
        <v>2934365.4208999998</v>
      </c>
      <c r="D403" s="2">
        <v>0.68720000000000003</v>
      </c>
      <c r="E403" s="3">
        <v>260999</v>
      </c>
      <c r="F403" s="2">
        <v>179360.7849</v>
      </c>
      <c r="G403" t="s">
        <v>1192</v>
      </c>
      <c r="H403" t="s">
        <v>6</v>
      </c>
      <c r="I403">
        <f>HLOOKUP(G403,zip_tiers!$A$1:$EON$2,2,FALSE)</f>
        <v>93825.333333333328</v>
      </c>
      <c r="J403" t="str">
        <f t="shared" si="6"/>
        <v>Med</v>
      </c>
      <c r="K403">
        <f>dataset[[#This Row],[soda_sales]]/dataset[[#This Row],[soda_units_sold]]</f>
        <v>0.68720870539733869</v>
      </c>
      <c r="L403" s="29">
        <f>dataset[[#This Row],[implied_soda_ppu]]-dataset[[#This Row],[soda_ppu]]</f>
        <v>8.705397338659715E-6</v>
      </c>
      <c r="M403">
        <f>dataset[[#This Row],[soda_sales]]/dataset[[#This Row],[total_sales]]</f>
        <v>6.1124215689874174E-2</v>
      </c>
      <c r="N403">
        <f>LN(dataset[[#This Row],[soda_units_sold]])</f>
        <v>12.472271854879866</v>
      </c>
      <c r="O403">
        <f>LN(dataset[[#This Row],[soda_sales]])</f>
        <v>12.097154614411487</v>
      </c>
      <c r="P403">
        <f>LN(dataset[[#This Row],[soda_ppu]])</f>
        <v>-0.37512990831209136</v>
      </c>
      <c r="Q403">
        <f>IF(dataset[[#This Row],[state]]="VA",1,0)</f>
        <v>0</v>
      </c>
    </row>
    <row r="404" spans="1:17" x14ac:dyDescent="0.35">
      <c r="A404">
        <v>202207</v>
      </c>
      <c r="B404">
        <v>83</v>
      </c>
      <c r="C404" s="2">
        <v>2786156.4567999998</v>
      </c>
      <c r="D404" s="2">
        <v>0.68889999999999996</v>
      </c>
      <c r="E404" s="3">
        <v>262350</v>
      </c>
      <c r="F404" s="2">
        <v>180741.38209999999</v>
      </c>
      <c r="G404" t="s">
        <v>1192</v>
      </c>
      <c r="H404" t="s">
        <v>6</v>
      </c>
      <c r="I404">
        <f>HLOOKUP(G404,zip_tiers!$A$1:$EON$2,2,FALSE)</f>
        <v>93825.333333333328</v>
      </c>
      <c r="J404" t="str">
        <f t="shared" si="6"/>
        <v>Med</v>
      </c>
      <c r="K404">
        <f>dataset[[#This Row],[soda_sales]]/dataset[[#This Row],[soda_units_sold]]</f>
        <v>0.68893227406136837</v>
      </c>
      <c r="L404" s="29">
        <f>dataset[[#This Row],[implied_soda_ppu]]-dataset[[#This Row],[soda_ppu]]</f>
        <v>3.2274061368409157E-5</v>
      </c>
      <c r="M404">
        <f>dataset[[#This Row],[soda_sales]]/dataset[[#This Row],[total_sales]]</f>
        <v>6.4871224894379381E-2</v>
      </c>
      <c r="N404">
        <f>LN(dataset[[#This Row],[soda_units_sold]])</f>
        <v>12.477434769114858</v>
      </c>
      <c r="O404">
        <f>LN(dataset[[#This Row],[soda_sales]])</f>
        <v>12.104822460322803</v>
      </c>
      <c r="P404">
        <f>LN(dataset[[#This Row],[soda_ppu]])</f>
        <v>-0.37265915638298697</v>
      </c>
      <c r="Q404">
        <f>IF(dataset[[#This Row],[state]]="VA",1,0)</f>
        <v>0</v>
      </c>
    </row>
    <row r="405" spans="1:17" x14ac:dyDescent="0.35">
      <c r="A405">
        <v>202208</v>
      </c>
      <c r="B405">
        <v>83</v>
      </c>
      <c r="C405" s="2">
        <v>2598902.6869000001</v>
      </c>
      <c r="D405" s="2">
        <v>0.68489999999999995</v>
      </c>
      <c r="E405" s="3">
        <v>229720</v>
      </c>
      <c r="F405" s="2">
        <v>157340.2028</v>
      </c>
      <c r="G405" t="s">
        <v>1192</v>
      </c>
      <c r="H405" t="s">
        <v>6</v>
      </c>
      <c r="I405">
        <f>HLOOKUP(G405,zip_tiers!$A$1:$EON$2,2,FALSE)</f>
        <v>93825.333333333328</v>
      </c>
      <c r="J405" t="str">
        <f t="shared" si="6"/>
        <v>Med</v>
      </c>
      <c r="K405">
        <f>dataset[[#This Row],[soda_sales]]/dataset[[#This Row],[soda_units_sold]]</f>
        <v>0.68492165592895704</v>
      </c>
      <c r="L405" s="29">
        <f>dataset[[#This Row],[implied_soda_ppu]]-dataset[[#This Row],[soda_ppu]]</f>
        <v>2.1655928957087234E-5</v>
      </c>
      <c r="M405">
        <f>dataset[[#This Row],[soda_sales]]/dataset[[#This Row],[total_sales]]</f>
        <v>6.0541013556639607E-2</v>
      </c>
      <c r="N405">
        <f>LN(dataset[[#This Row],[soda_units_sold]])</f>
        <v>12.344616454978233</v>
      </c>
      <c r="O405">
        <f>LN(dataset[[#This Row],[soda_sales]])</f>
        <v>11.966165636810839</v>
      </c>
      <c r="P405">
        <f>LN(dataset[[#This Row],[soda_ppu]])</f>
        <v>-0.37848243677827759</v>
      </c>
      <c r="Q405">
        <f>IF(dataset[[#This Row],[state]]="VA",1,0)</f>
        <v>0</v>
      </c>
    </row>
    <row r="406" spans="1:17" x14ac:dyDescent="0.35">
      <c r="A406">
        <v>202209</v>
      </c>
      <c r="B406">
        <v>83</v>
      </c>
      <c r="C406" s="2">
        <v>2642510.6030000001</v>
      </c>
      <c r="D406" s="2">
        <v>0.70630000000000004</v>
      </c>
      <c r="E406" s="3">
        <v>219418</v>
      </c>
      <c r="F406" s="2">
        <v>154973.44560000001</v>
      </c>
      <c r="G406" t="s">
        <v>1192</v>
      </c>
      <c r="H406" t="s">
        <v>6</v>
      </c>
      <c r="I406">
        <f>HLOOKUP(G406,zip_tiers!$A$1:$EON$2,2,FALSE)</f>
        <v>93825.333333333328</v>
      </c>
      <c r="J406" t="str">
        <f t="shared" si="6"/>
        <v>Med</v>
      </c>
      <c r="K406">
        <f>dataset[[#This Row],[soda_sales]]/dataset[[#This Row],[soda_units_sold]]</f>
        <v>0.70629321933478573</v>
      </c>
      <c r="L406" s="29">
        <f>dataset[[#This Row],[implied_soda_ppu]]-dataset[[#This Row],[soda_ppu]]</f>
        <v>-6.7806652143120871E-6</v>
      </c>
      <c r="M406">
        <f>dataset[[#This Row],[soda_sales]]/dataset[[#This Row],[total_sales]]</f>
        <v>5.8646290926538246E-2</v>
      </c>
      <c r="N406">
        <f>LN(dataset[[#This Row],[soda_units_sold]])</f>
        <v>12.298733865390554</v>
      </c>
      <c r="O406">
        <f>LN(dataset[[#This Row],[soda_sales]])</f>
        <v>11.951009062514981</v>
      </c>
      <c r="P406">
        <f>LN(dataset[[#This Row],[soda_ppu]])</f>
        <v>-0.34771520256726041</v>
      </c>
      <c r="Q406">
        <f>IF(dataset[[#This Row],[state]]="VA",1,0)</f>
        <v>0</v>
      </c>
    </row>
    <row r="407" spans="1:17" x14ac:dyDescent="0.35">
      <c r="A407">
        <v>202210</v>
      </c>
      <c r="B407">
        <v>83</v>
      </c>
      <c r="C407" s="2">
        <v>3219411.1225000001</v>
      </c>
      <c r="D407" s="2">
        <v>0.68740000000000001</v>
      </c>
      <c r="E407" s="3">
        <v>213145</v>
      </c>
      <c r="F407" s="2">
        <v>146519.1329</v>
      </c>
      <c r="G407" t="s">
        <v>1192</v>
      </c>
      <c r="H407" t="s">
        <v>6</v>
      </c>
      <c r="I407">
        <f>HLOOKUP(G407,zip_tiers!$A$1:$EON$2,2,FALSE)</f>
        <v>93825.333333333328</v>
      </c>
      <c r="J407" t="str">
        <f t="shared" si="6"/>
        <v>Med</v>
      </c>
      <c r="K407">
        <f>dataset[[#This Row],[soda_sales]]/dataset[[#This Row],[soda_units_sold]]</f>
        <v>0.68741529428323445</v>
      </c>
      <c r="L407" s="29">
        <f>dataset[[#This Row],[implied_soda_ppu]]-dataset[[#This Row],[soda_ppu]]</f>
        <v>1.5294283234434936E-5</v>
      </c>
      <c r="M407">
        <f>dataset[[#This Row],[soda_sales]]/dataset[[#This Row],[total_sales]]</f>
        <v>4.551115944030848E-2</v>
      </c>
      <c r="N407">
        <f>LN(dataset[[#This Row],[soda_units_sold]])</f>
        <v>12.269727964259296</v>
      </c>
      <c r="O407">
        <f>LN(dataset[[#This Row],[soda_sales]])</f>
        <v>11.894911298911822</v>
      </c>
      <c r="P407">
        <f>LN(dataset[[#This Row],[soda_ppu]])</f>
        <v>-0.3748389145664035</v>
      </c>
      <c r="Q407">
        <f>IF(dataset[[#This Row],[state]]="VA",1,0)</f>
        <v>0</v>
      </c>
    </row>
    <row r="408" spans="1:17" x14ac:dyDescent="0.35">
      <c r="A408">
        <v>202211</v>
      </c>
      <c r="B408">
        <v>83</v>
      </c>
      <c r="C408" s="2">
        <v>3714464.8555000001</v>
      </c>
      <c r="D408" s="2">
        <v>0.69710000000000005</v>
      </c>
      <c r="E408" s="3">
        <v>203652</v>
      </c>
      <c r="F408" s="2">
        <v>141971.33429999999</v>
      </c>
      <c r="G408" t="s">
        <v>1192</v>
      </c>
      <c r="H408" t="s">
        <v>6</v>
      </c>
      <c r="I408">
        <f>HLOOKUP(G408,zip_tiers!$A$1:$EON$2,2,FALSE)</f>
        <v>93825.333333333328</v>
      </c>
      <c r="J408" t="str">
        <f t="shared" si="6"/>
        <v>Med</v>
      </c>
      <c r="K408">
        <f>dataset[[#This Row],[soda_sales]]/dataset[[#This Row],[soda_units_sold]]</f>
        <v>0.6971271301042955</v>
      </c>
      <c r="L408" s="29">
        <f>dataset[[#This Row],[implied_soda_ppu]]-dataset[[#This Row],[soda_ppu]]</f>
        <v>2.7130104295447488E-5</v>
      </c>
      <c r="M408">
        <f>dataset[[#This Row],[soda_sales]]/dataset[[#This Row],[total_sales]]</f>
        <v>3.8221208120944622E-2</v>
      </c>
      <c r="N408">
        <f>LN(dataset[[#This Row],[soda_units_sold]])</f>
        <v>12.224167933799265</v>
      </c>
      <c r="O408">
        <f>LN(dataset[[#This Row],[soda_sales]])</f>
        <v>11.863380445077919</v>
      </c>
      <c r="P408">
        <f>LN(dataset[[#This Row],[soda_ppu]])</f>
        <v>-0.36082640648978392</v>
      </c>
      <c r="Q408">
        <f>IF(dataset[[#This Row],[state]]="VA",1,0)</f>
        <v>0</v>
      </c>
    </row>
    <row r="409" spans="1:17" x14ac:dyDescent="0.35">
      <c r="A409">
        <v>202212</v>
      </c>
      <c r="B409">
        <v>83</v>
      </c>
      <c r="C409" s="2">
        <v>3857734.9851000002</v>
      </c>
      <c r="D409" s="2">
        <v>0.67630000000000001</v>
      </c>
      <c r="E409" s="3">
        <v>207339</v>
      </c>
      <c r="F409" s="2">
        <v>140229.13209999999</v>
      </c>
      <c r="G409" t="s">
        <v>1192</v>
      </c>
      <c r="H409" t="s">
        <v>6</v>
      </c>
      <c r="I409">
        <f>HLOOKUP(G409,zip_tiers!$A$1:$EON$2,2,FALSE)</f>
        <v>93825.333333333328</v>
      </c>
      <c r="J409" t="str">
        <f t="shared" si="6"/>
        <v>Med</v>
      </c>
      <c r="K409">
        <f>dataset[[#This Row],[soda_sales]]/dataset[[#This Row],[soda_units_sold]]</f>
        <v>0.67632781145852916</v>
      </c>
      <c r="L409" s="29">
        <f>dataset[[#This Row],[implied_soda_ppu]]-dataset[[#This Row],[soda_ppu]]</f>
        <v>2.7811458529147792E-5</v>
      </c>
      <c r="M409">
        <f>dataset[[#This Row],[soda_sales]]/dataset[[#This Row],[total_sales]]</f>
        <v>3.6350120638565575E-2</v>
      </c>
      <c r="N409">
        <f>LN(dataset[[#This Row],[soda_units_sold]])</f>
        <v>12.242110413869428</v>
      </c>
      <c r="O409">
        <f>LN(dataset[[#This Row],[soda_sales]])</f>
        <v>11.851033021583666</v>
      </c>
      <c r="P409">
        <f>LN(dataset[[#This Row],[soda_ppu]])</f>
        <v>-0.39111851440124279</v>
      </c>
      <c r="Q409">
        <f>IF(dataset[[#This Row],[state]]="VA",1,0)</f>
        <v>0</v>
      </c>
    </row>
    <row r="410" spans="1:17" x14ac:dyDescent="0.35">
      <c r="A410">
        <v>202301</v>
      </c>
      <c r="B410">
        <v>83</v>
      </c>
      <c r="C410" s="2">
        <v>2248726.2097</v>
      </c>
      <c r="D410" s="2">
        <v>0.71099999999999997</v>
      </c>
      <c r="E410" s="3">
        <v>145757</v>
      </c>
      <c r="F410" s="2">
        <v>103638.9902</v>
      </c>
      <c r="G410" t="s">
        <v>1192</v>
      </c>
      <c r="H410" t="s">
        <v>6</v>
      </c>
      <c r="I410">
        <f>HLOOKUP(G410,zip_tiers!$A$1:$EON$2,2,FALSE)</f>
        <v>93825.333333333328</v>
      </c>
      <c r="J410" t="str">
        <f t="shared" si="6"/>
        <v>Med</v>
      </c>
      <c r="K410">
        <f>dataset[[#This Row],[soda_sales]]/dataset[[#This Row],[soda_units_sold]]</f>
        <v>0.71103953978196588</v>
      </c>
      <c r="L410" s="29">
        <f>dataset[[#This Row],[implied_soda_ppu]]-dataset[[#This Row],[soda_ppu]]</f>
        <v>3.9539781965913789E-5</v>
      </c>
      <c r="M410">
        <f>dataset[[#This Row],[soda_sales]]/dataset[[#This Row],[total_sales]]</f>
        <v>4.6087865100227721E-2</v>
      </c>
      <c r="N410">
        <f>LN(dataset[[#This Row],[soda_units_sold]])</f>
        <v>11.889696130503712</v>
      </c>
      <c r="O410">
        <f>LN(dataset[[#This Row],[soda_sales]])</f>
        <v>11.548668891286241</v>
      </c>
      <c r="P410">
        <f>LN(dataset[[#This Row],[soda_ppu]])</f>
        <v>-0.3410828491788962</v>
      </c>
      <c r="Q410">
        <f>IF(dataset[[#This Row],[state]]="VA",1,0)</f>
        <v>0</v>
      </c>
    </row>
    <row r="411" spans="1:17" x14ac:dyDescent="0.35">
      <c r="A411">
        <v>202302</v>
      </c>
      <c r="B411">
        <v>83</v>
      </c>
      <c r="C411" s="2">
        <v>2510595.4591000001</v>
      </c>
      <c r="D411" s="2">
        <v>0.73680000000000001</v>
      </c>
      <c r="E411" s="3">
        <v>157785</v>
      </c>
      <c r="F411" s="2">
        <v>116258.1903</v>
      </c>
      <c r="G411" t="s">
        <v>1192</v>
      </c>
      <c r="H411" t="s">
        <v>6</v>
      </c>
      <c r="I411">
        <f>HLOOKUP(G411,zip_tiers!$A$1:$EON$2,2,FALSE)</f>
        <v>93825.333333333328</v>
      </c>
      <c r="J411" t="str">
        <f t="shared" si="6"/>
        <v>Med</v>
      </c>
      <c r="K411">
        <f>dataset[[#This Row],[soda_sales]]/dataset[[#This Row],[soda_units_sold]]</f>
        <v>0.73681395760053237</v>
      </c>
      <c r="L411" s="29">
        <f>dataset[[#This Row],[implied_soda_ppu]]-dataset[[#This Row],[soda_ppu]]</f>
        <v>1.3957600532354952E-5</v>
      </c>
      <c r="M411">
        <f>dataset[[#This Row],[soda_sales]]/dataset[[#This Row],[total_sales]]</f>
        <v>4.6307018471895237E-2</v>
      </c>
      <c r="N411">
        <f>LN(dataset[[#This Row],[soda_units_sold]])</f>
        <v>11.968988625841485</v>
      </c>
      <c r="O411">
        <f>LN(dataset[[#This Row],[soda_sales]])</f>
        <v>11.663568775161371</v>
      </c>
      <c r="P411">
        <f>LN(dataset[[#This Row],[soda_ppu]])</f>
        <v>-0.30543879404103996</v>
      </c>
      <c r="Q411">
        <f>IF(dataset[[#This Row],[state]]="VA",1,0)</f>
        <v>0</v>
      </c>
    </row>
    <row r="412" spans="1:17" x14ac:dyDescent="0.35">
      <c r="A412">
        <v>202303</v>
      </c>
      <c r="B412">
        <v>83</v>
      </c>
      <c r="C412" s="2">
        <v>2849435.9983999999</v>
      </c>
      <c r="D412" s="2">
        <v>0.70250000000000001</v>
      </c>
      <c r="E412" s="3">
        <v>196184</v>
      </c>
      <c r="F412" s="2">
        <v>137810.7591</v>
      </c>
      <c r="G412" t="s">
        <v>1192</v>
      </c>
      <c r="H412" t="s">
        <v>6</v>
      </c>
      <c r="I412">
        <f>HLOOKUP(G412,zip_tiers!$A$1:$EON$2,2,FALSE)</f>
        <v>93825.333333333328</v>
      </c>
      <c r="J412" t="str">
        <f t="shared" si="6"/>
        <v>Med</v>
      </c>
      <c r="K412">
        <f>dataset[[#This Row],[soda_sales]]/dataset[[#This Row],[soda_units_sold]]</f>
        <v>0.70245666873955059</v>
      </c>
      <c r="L412" s="29">
        <f>dataset[[#This Row],[implied_soda_ppu]]-dataset[[#This Row],[soda_ppu]]</f>
        <v>-4.3331260449419595E-5</v>
      </c>
      <c r="M412">
        <f>dataset[[#This Row],[soda_sales]]/dataset[[#This Row],[total_sales]]</f>
        <v>4.8364223368197339E-2</v>
      </c>
      <c r="N412">
        <f>LN(dataset[[#This Row],[soda_units_sold]])</f>
        <v>12.186808273348715</v>
      </c>
      <c r="O412">
        <f>LN(dataset[[#This Row],[soda_sales]])</f>
        <v>11.83363671216256</v>
      </c>
      <c r="P412">
        <f>LN(dataset[[#This Row],[soda_ppu]])</f>
        <v>-0.35310987777423619</v>
      </c>
      <c r="Q412">
        <f>IF(dataset[[#This Row],[state]]="VA",1,0)</f>
        <v>0</v>
      </c>
    </row>
    <row r="413" spans="1:17" x14ac:dyDescent="0.35">
      <c r="A413">
        <v>202304</v>
      </c>
      <c r="B413">
        <v>83</v>
      </c>
      <c r="C413" s="2">
        <v>2953649.3229</v>
      </c>
      <c r="D413" s="2">
        <v>0.72060000000000002</v>
      </c>
      <c r="E413" s="3">
        <v>219262</v>
      </c>
      <c r="F413" s="2">
        <v>157995.8432</v>
      </c>
      <c r="G413" t="s">
        <v>1192</v>
      </c>
      <c r="H413" t="s">
        <v>6</v>
      </c>
      <c r="I413">
        <f>HLOOKUP(G413,zip_tiers!$A$1:$EON$2,2,FALSE)</f>
        <v>93825.333333333328</v>
      </c>
      <c r="J413" t="str">
        <f t="shared" si="6"/>
        <v>Med</v>
      </c>
      <c r="K413">
        <f>dataset[[#This Row],[soda_sales]]/dataset[[#This Row],[soda_units_sold]]</f>
        <v>0.72058014247794877</v>
      </c>
      <c r="L413" s="29">
        <f>dataset[[#This Row],[implied_soda_ppu]]-dataset[[#This Row],[soda_ppu]]</f>
        <v>-1.9857522051247578E-5</v>
      </c>
      <c r="M413">
        <f>dataset[[#This Row],[soda_sales]]/dataset[[#This Row],[total_sales]]</f>
        <v>5.3491740530955768E-2</v>
      </c>
      <c r="N413">
        <f>LN(dataset[[#This Row],[soda_units_sold]])</f>
        <v>12.298022640777734</v>
      </c>
      <c r="O413">
        <f>LN(dataset[[#This Row],[soda_sales]])</f>
        <v>11.970324002802259</v>
      </c>
      <c r="P413">
        <f>LN(dataset[[#This Row],[soda_ppu]])</f>
        <v>-0.32767108066814415</v>
      </c>
      <c r="Q413">
        <f>IF(dataset[[#This Row],[state]]="VA",1,0)</f>
        <v>0</v>
      </c>
    </row>
    <row r="414" spans="1:17" x14ac:dyDescent="0.35">
      <c r="A414">
        <v>202305</v>
      </c>
      <c r="B414">
        <v>83</v>
      </c>
      <c r="C414" s="2">
        <v>3168416.0696</v>
      </c>
      <c r="D414" s="2">
        <v>0.73129999999999995</v>
      </c>
      <c r="E414" s="3">
        <v>243310</v>
      </c>
      <c r="F414" s="2">
        <v>177935.52619999999</v>
      </c>
      <c r="G414" t="s">
        <v>1192</v>
      </c>
      <c r="H414" t="s">
        <v>6</v>
      </c>
      <c r="I414">
        <f>HLOOKUP(G414,zip_tiers!$A$1:$EON$2,2,FALSE)</f>
        <v>93825.333333333328</v>
      </c>
      <c r="J414" t="str">
        <f t="shared" si="6"/>
        <v>Med</v>
      </c>
      <c r="K414">
        <f>dataset[[#This Row],[soda_sales]]/dataset[[#This Row],[soda_units_sold]]</f>
        <v>0.73131201430274129</v>
      </c>
      <c r="L414" s="29">
        <f>dataset[[#This Row],[implied_soda_ppu]]-dataset[[#This Row],[soda_ppu]]</f>
        <v>1.2014302741336635E-5</v>
      </c>
      <c r="M414">
        <f>dataset[[#This Row],[soda_sales]]/dataset[[#This Row],[total_sales]]</f>
        <v>5.6159141442071923E-2</v>
      </c>
      <c r="N414">
        <f>LN(dataset[[#This Row],[soda_units_sold]])</f>
        <v>12.402091629447726</v>
      </c>
      <c r="O414">
        <f>LN(dataset[[#This Row],[soda_sales]])</f>
        <v>12.08917655129993</v>
      </c>
      <c r="P414">
        <f>LN(dataset[[#This Row],[soda_ppu]])</f>
        <v>-0.31293150670523162</v>
      </c>
      <c r="Q414">
        <f>IF(dataset[[#This Row],[state]]="VA",1,0)</f>
        <v>0</v>
      </c>
    </row>
    <row r="415" spans="1:17" x14ac:dyDescent="0.35">
      <c r="A415">
        <v>202306</v>
      </c>
      <c r="B415">
        <v>83</v>
      </c>
      <c r="C415" s="2">
        <v>2980190.0528000002</v>
      </c>
      <c r="D415" s="2">
        <v>0.7056</v>
      </c>
      <c r="E415" s="3">
        <v>255053</v>
      </c>
      <c r="F415" s="2">
        <v>179953.78169999999</v>
      </c>
      <c r="G415" t="s">
        <v>1192</v>
      </c>
      <c r="H415" t="s">
        <v>6</v>
      </c>
      <c r="I415">
        <f>HLOOKUP(G415,zip_tiers!$A$1:$EON$2,2,FALSE)</f>
        <v>93825.333333333328</v>
      </c>
      <c r="J415" t="str">
        <f t="shared" si="6"/>
        <v>Med</v>
      </c>
      <c r="K415">
        <f>dataset[[#This Row],[soda_sales]]/dataset[[#This Row],[soda_units_sold]]</f>
        <v>0.70555446005340061</v>
      </c>
      <c r="L415" s="29">
        <f>dataset[[#This Row],[implied_soda_ppu]]-dataset[[#This Row],[soda_ppu]]</f>
        <v>-4.5539946599393311E-5</v>
      </c>
      <c r="M415">
        <f>dataset[[#This Row],[soda_sales]]/dataset[[#This Row],[total_sales]]</f>
        <v>6.0383324053755121E-2</v>
      </c>
      <c r="N415">
        <f>LN(dataset[[#This Row],[soda_units_sold]])</f>
        <v>12.449226645681426</v>
      </c>
      <c r="O415">
        <f>LN(dataset[[#This Row],[soda_sales]])</f>
        <v>12.100455328568382</v>
      </c>
      <c r="P415">
        <f>LN(dataset[[#This Row],[soda_ppu]])</f>
        <v>-0.34870677428955549</v>
      </c>
      <c r="Q415">
        <f>IF(dataset[[#This Row],[state]]="VA",1,0)</f>
        <v>0</v>
      </c>
    </row>
    <row r="416" spans="1:17" x14ac:dyDescent="0.35">
      <c r="A416">
        <v>202307</v>
      </c>
      <c r="B416">
        <v>83</v>
      </c>
      <c r="C416" s="2">
        <v>2859267.2642000001</v>
      </c>
      <c r="D416" s="2">
        <v>0.70830000000000004</v>
      </c>
      <c r="E416" s="3">
        <v>263886</v>
      </c>
      <c r="F416" s="2">
        <v>186898.1801</v>
      </c>
      <c r="G416" t="s">
        <v>1192</v>
      </c>
      <c r="H416" t="s">
        <v>6</v>
      </c>
      <c r="I416">
        <f>HLOOKUP(G416,zip_tiers!$A$1:$EON$2,2,FALSE)</f>
        <v>93825.333333333328</v>
      </c>
      <c r="J416" t="str">
        <f t="shared" si="6"/>
        <v>Med</v>
      </c>
      <c r="K416">
        <f>dataset[[#This Row],[soda_sales]]/dataset[[#This Row],[soda_units_sold]]</f>
        <v>0.70825348862766502</v>
      </c>
      <c r="L416" s="29">
        <f>dataset[[#This Row],[implied_soda_ppu]]-dataset[[#This Row],[soda_ppu]]</f>
        <v>-4.6511372335023005E-5</v>
      </c>
      <c r="M416">
        <f>dataset[[#This Row],[soda_sales]]/dataset[[#This Row],[total_sales]]</f>
        <v>6.5365760815749629E-2</v>
      </c>
      <c r="N416">
        <f>LN(dataset[[#This Row],[soda_units_sold]])</f>
        <v>12.483272470686316</v>
      </c>
      <c r="O416">
        <f>LN(dataset[[#This Row],[soda_sales]])</f>
        <v>12.138319256103577</v>
      </c>
      <c r="P416">
        <f>LN(dataset[[#This Row],[soda_ppu]])</f>
        <v>-0.34488754622256007</v>
      </c>
      <c r="Q416">
        <f>IF(dataset[[#This Row],[state]]="VA",1,0)</f>
        <v>0</v>
      </c>
    </row>
    <row r="417" spans="1:17" x14ac:dyDescent="0.35">
      <c r="A417">
        <v>202308</v>
      </c>
      <c r="B417">
        <v>83</v>
      </c>
      <c r="C417" s="2">
        <v>2645519.1543999999</v>
      </c>
      <c r="D417" s="2">
        <v>0.71550000000000002</v>
      </c>
      <c r="E417" s="3">
        <v>223288</v>
      </c>
      <c r="F417" s="2">
        <v>159769.06330000001</v>
      </c>
      <c r="G417" t="s">
        <v>1192</v>
      </c>
      <c r="H417" t="s">
        <v>6</v>
      </c>
      <c r="I417">
        <f>HLOOKUP(G417,zip_tiers!$A$1:$EON$2,2,FALSE)</f>
        <v>93825.333333333328</v>
      </c>
      <c r="J417" t="str">
        <f t="shared" si="6"/>
        <v>Med</v>
      </c>
      <c r="K417">
        <f>dataset[[#This Row],[soda_sales]]/dataset[[#This Row],[soda_units_sold]]</f>
        <v>0.71552910725162122</v>
      </c>
      <c r="L417" s="29">
        <f>dataset[[#This Row],[implied_soda_ppu]]-dataset[[#This Row],[soda_ppu]]</f>
        <v>2.9107251621196539E-5</v>
      </c>
      <c r="M417">
        <f>dataset[[#This Row],[soda_sales]]/dataset[[#This Row],[total_sales]]</f>
        <v>6.0392329057332196E-2</v>
      </c>
      <c r="N417">
        <f>LN(dataset[[#This Row],[soda_units_sold]])</f>
        <v>12.316217697020154</v>
      </c>
      <c r="O417">
        <f>LN(dataset[[#This Row],[soda_sales]])</f>
        <v>11.981484697201653</v>
      </c>
      <c r="P417">
        <f>LN(dataset[[#This Row],[soda_ppu]])</f>
        <v>-0.3347736799856314</v>
      </c>
      <c r="Q417">
        <f>IF(dataset[[#This Row],[state]]="VA",1,0)</f>
        <v>0</v>
      </c>
    </row>
    <row r="418" spans="1:17" x14ac:dyDescent="0.35">
      <c r="A418">
        <v>202309</v>
      </c>
      <c r="B418">
        <v>83</v>
      </c>
      <c r="C418" s="2">
        <v>2676353.1446000002</v>
      </c>
      <c r="D418" s="2">
        <v>0.67120000000000002</v>
      </c>
      <c r="E418" s="3">
        <v>227873</v>
      </c>
      <c r="F418" s="2">
        <v>152955.03090000001</v>
      </c>
      <c r="G418" t="s">
        <v>1192</v>
      </c>
      <c r="H418" t="s">
        <v>6</v>
      </c>
      <c r="I418">
        <f>HLOOKUP(G418,zip_tiers!$A$1:$EON$2,2,FALSE)</f>
        <v>93825.333333333328</v>
      </c>
      <c r="J418" t="str">
        <f t="shared" si="6"/>
        <v>Med</v>
      </c>
      <c r="K418">
        <f>dataset[[#This Row],[soda_sales]]/dataset[[#This Row],[soda_units_sold]]</f>
        <v>0.67122928517200375</v>
      </c>
      <c r="L418" s="29">
        <f>dataset[[#This Row],[implied_soda_ppu]]-dataset[[#This Row],[soda_ppu]]</f>
        <v>2.9285172003734594E-5</v>
      </c>
      <c r="M418">
        <f>dataset[[#This Row],[soda_sales]]/dataset[[#This Row],[total_sales]]</f>
        <v>5.7150541291089679E-2</v>
      </c>
      <c r="N418">
        <f>LN(dataset[[#This Row],[soda_units_sold]])</f>
        <v>12.336543735200813</v>
      </c>
      <c r="O418">
        <f>LN(dataset[[#This Row],[soda_sales]])</f>
        <v>11.937899241486617</v>
      </c>
      <c r="P418">
        <f>LN(dataset[[#This Row],[soda_ppu]])</f>
        <v>-0.39868812382914059</v>
      </c>
      <c r="Q418">
        <f>IF(dataset[[#This Row],[state]]="VA",1,0)</f>
        <v>0</v>
      </c>
    </row>
    <row r="419" spans="1:17" x14ac:dyDescent="0.35">
      <c r="A419">
        <v>202310</v>
      </c>
      <c r="B419">
        <v>83</v>
      </c>
      <c r="C419" s="2">
        <v>3341776.7363999998</v>
      </c>
      <c r="D419" s="2">
        <v>0.72960000000000003</v>
      </c>
      <c r="E419" s="3">
        <v>210084</v>
      </c>
      <c r="F419" s="2">
        <v>153269.7279</v>
      </c>
      <c r="G419" t="s">
        <v>1192</v>
      </c>
      <c r="H419" t="s">
        <v>6</v>
      </c>
      <c r="I419">
        <f>HLOOKUP(G419,zip_tiers!$A$1:$EON$2,2,FALSE)</f>
        <v>93825.333333333328</v>
      </c>
      <c r="J419" t="str">
        <f t="shared" si="6"/>
        <v>Med</v>
      </c>
      <c r="K419">
        <f>dataset[[#This Row],[soda_sales]]/dataset[[#This Row],[soda_units_sold]]</f>
        <v>0.72956402153424349</v>
      </c>
      <c r="L419" s="29">
        <f>dataset[[#This Row],[implied_soda_ppu]]-dataset[[#This Row],[soda_ppu]]</f>
        <v>-3.5978465756536515E-5</v>
      </c>
      <c r="M419">
        <f>dataset[[#This Row],[soda_sales]]/dataset[[#This Row],[total_sales]]</f>
        <v>4.5864742018975536E-2</v>
      </c>
      <c r="N419">
        <f>LN(dataset[[#This Row],[soda_units_sold]])</f>
        <v>12.255262729720933</v>
      </c>
      <c r="O419">
        <f>LN(dataset[[#This Row],[soda_sales]])</f>
        <v>11.939954575692884</v>
      </c>
      <c r="P419">
        <f>LN(dataset[[#This Row],[soda_ppu]])</f>
        <v>-0.31525884022201539</v>
      </c>
      <c r="Q419">
        <f>IF(dataset[[#This Row],[state]]="VA",1,0)</f>
        <v>0</v>
      </c>
    </row>
    <row r="420" spans="1:17" x14ac:dyDescent="0.35">
      <c r="A420">
        <v>202311</v>
      </c>
      <c r="B420">
        <v>83</v>
      </c>
      <c r="C420" s="2">
        <v>3766676.9942000001</v>
      </c>
      <c r="D420" s="2">
        <v>0.71789999999999998</v>
      </c>
      <c r="E420" s="3">
        <v>200453</v>
      </c>
      <c r="F420" s="2">
        <v>143913.94020000001</v>
      </c>
      <c r="G420" t="s">
        <v>1192</v>
      </c>
      <c r="H420" t="s">
        <v>6</v>
      </c>
      <c r="I420">
        <f>HLOOKUP(G420,zip_tiers!$A$1:$EON$2,2,FALSE)</f>
        <v>93825.333333333328</v>
      </c>
      <c r="J420" t="str">
        <f t="shared" si="6"/>
        <v>Med</v>
      </c>
      <c r="K420">
        <f>dataset[[#This Row],[soda_sales]]/dataset[[#This Row],[soda_units_sold]]</f>
        <v>0.71794355883922922</v>
      </c>
      <c r="L420" s="29">
        <f>dataset[[#This Row],[implied_soda_ppu]]-dataset[[#This Row],[soda_ppu]]</f>
        <v>4.3558839229240753E-5</v>
      </c>
      <c r="M420">
        <f>dataset[[#This Row],[soda_sales]]/dataset[[#This Row],[total_sales]]</f>
        <v>3.8207136003857355E-2</v>
      </c>
      <c r="N420">
        <f>LN(dataset[[#This Row],[soda_units_sold]])</f>
        <v>12.208335084284426</v>
      </c>
      <c r="O420">
        <f>LN(dataset[[#This Row],[soda_sales]])</f>
        <v>11.876970762401662</v>
      </c>
      <c r="P420">
        <f>LN(dataset[[#This Row],[soda_ppu]])</f>
        <v>-0.33142499539969977</v>
      </c>
      <c r="Q420">
        <f>IF(dataset[[#This Row],[state]]="VA",1,0)</f>
        <v>0</v>
      </c>
    </row>
    <row r="421" spans="1:17" x14ac:dyDescent="0.35">
      <c r="A421">
        <v>202312</v>
      </c>
      <c r="B421">
        <v>83</v>
      </c>
      <c r="C421" s="2">
        <v>3924775.1327</v>
      </c>
      <c r="D421" s="2">
        <v>0.69779999999999998</v>
      </c>
      <c r="E421" s="3">
        <v>199060</v>
      </c>
      <c r="F421" s="2">
        <v>138906.45809999999</v>
      </c>
      <c r="G421" t="s">
        <v>1192</v>
      </c>
      <c r="H421" t="s">
        <v>6</v>
      </c>
      <c r="I421">
        <f>HLOOKUP(G421,zip_tiers!$A$1:$EON$2,2,FALSE)</f>
        <v>93825.333333333328</v>
      </c>
      <c r="J421" t="str">
        <f t="shared" si="6"/>
        <v>Med</v>
      </c>
      <c r="K421">
        <f>dataset[[#This Row],[soda_sales]]/dataset[[#This Row],[soda_units_sold]]</f>
        <v>0.69781200693258305</v>
      </c>
      <c r="L421" s="29">
        <f>dataset[[#This Row],[implied_soda_ppu]]-dataset[[#This Row],[soda_ppu]]</f>
        <v>1.2006932583075169E-5</v>
      </c>
      <c r="M421">
        <f>dataset[[#This Row],[soda_sales]]/dataset[[#This Row],[total_sales]]</f>
        <v>3.5392208063762629E-2</v>
      </c>
      <c r="N421">
        <f>LN(dataset[[#This Row],[soda_units_sold]])</f>
        <v>12.201361565800054</v>
      </c>
      <c r="O421">
        <f>LN(dataset[[#This Row],[soda_sales]])</f>
        <v>11.841556022262026</v>
      </c>
      <c r="P421">
        <f>LN(dataset[[#This Row],[soda_ppu]])</f>
        <v>-0.35982275022946336</v>
      </c>
      <c r="Q421">
        <f>IF(dataset[[#This Row],[state]]="VA",1,0)</f>
        <v>0</v>
      </c>
    </row>
    <row r="422" spans="1:17" x14ac:dyDescent="0.35">
      <c r="A422">
        <v>202401</v>
      </c>
      <c r="B422">
        <v>83</v>
      </c>
      <c r="C422" s="2">
        <v>2274681.2398000001</v>
      </c>
      <c r="D422" s="2">
        <v>0.72160000000000002</v>
      </c>
      <c r="E422" s="3">
        <v>145103</v>
      </c>
      <c r="F422" s="2">
        <v>104712.41989999999</v>
      </c>
      <c r="G422" t="s">
        <v>1192</v>
      </c>
      <c r="H422" t="s">
        <v>6</v>
      </c>
      <c r="I422">
        <f>HLOOKUP(G422,zip_tiers!$A$1:$EON$2,2,FALSE)</f>
        <v>93825.333333333328</v>
      </c>
      <c r="J422" t="str">
        <f t="shared" si="6"/>
        <v>Med</v>
      </c>
      <c r="K422">
        <f>dataset[[#This Row],[soda_sales]]/dataset[[#This Row],[soda_units_sold]]</f>
        <v>0.72164200533414191</v>
      </c>
      <c r="L422" s="29">
        <f>dataset[[#This Row],[implied_soda_ppu]]-dataset[[#This Row],[soda_ppu]]</f>
        <v>4.2005334141892448E-5</v>
      </c>
      <c r="M422">
        <f>dataset[[#This Row],[soda_sales]]/dataset[[#This Row],[total_sales]]</f>
        <v>4.6033887327969862E-2</v>
      </c>
      <c r="N422">
        <f>LN(dataset[[#This Row],[soda_units_sold]])</f>
        <v>11.885199114054824</v>
      </c>
      <c r="O422">
        <f>LN(dataset[[#This Row],[soda_sales]])</f>
        <v>11.558973013510119</v>
      </c>
      <c r="P422">
        <f>LN(dataset[[#This Row],[soda_ppu]])</f>
        <v>-0.32628431023372312</v>
      </c>
      <c r="Q422">
        <f>IF(dataset[[#This Row],[state]]="VA",1,0)</f>
        <v>0</v>
      </c>
    </row>
    <row r="423" spans="1:17" x14ac:dyDescent="0.35">
      <c r="A423">
        <v>202402</v>
      </c>
      <c r="B423">
        <v>83</v>
      </c>
      <c r="C423" s="2">
        <v>2574690.5879000002</v>
      </c>
      <c r="D423" s="2">
        <v>0.74480000000000002</v>
      </c>
      <c r="E423" s="3">
        <v>157347</v>
      </c>
      <c r="F423" s="2">
        <v>117198.0549</v>
      </c>
      <c r="G423" t="s">
        <v>1192</v>
      </c>
      <c r="H423" t="s">
        <v>6</v>
      </c>
      <c r="I423">
        <f>HLOOKUP(G423,zip_tiers!$A$1:$EON$2,2,FALSE)</f>
        <v>93825.333333333328</v>
      </c>
      <c r="J423" t="str">
        <f t="shared" si="6"/>
        <v>Med</v>
      </c>
      <c r="K423">
        <f>dataset[[#This Row],[soda_sales]]/dataset[[#This Row],[soda_units_sold]]</f>
        <v>0.74483819138591778</v>
      </c>
      <c r="L423" s="29">
        <f>dataset[[#This Row],[implied_soda_ppu]]-dataset[[#This Row],[soda_ppu]]</f>
        <v>3.8191385917762943E-5</v>
      </c>
      <c r="M423">
        <f>dataset[[#This Row],[soda_sales]]/dataset[[#This Row],[total_sales]]</f>
        <v>4.5519277326286606E-2</v>
      </c>
      <c r="N423">
        <f>LN(dataset[[#This Row],[soda_units_sold]])</f>
        <v>11.966208836533868</v>
      </c>
      <c r="O423">
        <f>LN(dataset[[#This Row],[soda_sales]])</f>
        <v>11.671620559570945</v>
      </c>
      <c r="P423">
        <f>LN(dataset[[#This Row],[soda_ppu]])</f>
        <v>-0.29463955301927969</v>
      </c>
      <c r="Q423">
        <f>IF(dataset[[#This Row],[state]]="VA",1,0)</f>
        <v>0</v>
      </c>
    </row>
    <row r="424" spans="1:17" x14ac:dyDescent="0.35">
      <c r="A424">
        <v>202403</v>
      </c>
      <c r="B424">
        <v>83</v>
      </c>
      <c r="C424" s="2">
        <v>2856318.1608000002</v>
      </c>
      <c r="D424" s="2">
        <v>0.72099999999999997</v>
      </c>
      <c r="E424" s="3">
        <v>192408</v>
      </c>
      <c r="F424" s="2">
        <v>138725.94589999999</v>
      </c>
      <c r="G424" t="s">
        <v>1192</v>
      </c>
      <c r="H424" t="s">
        <v>6</v>
      </c>
      <c r="I424">
        <f>HLOOKUP(G424,zip_tiers!$A$1:$EON$2,2,FALSE)</f>
        <v>93825.333333333328</v>
      </c>
      <c r="J424" t="str">
        <f t="shared" si="6"/>
        <v>Med</v>
      </c>
      <c r="K424">
        <f>dataset[[#This Row],[soda_sales]]/dataset[[#This Row],[soda_units_sold]]</f>
        <v>0.72099884568209216</v>
      </c>
      <c r="L424" s="29">
        <f>dataset[[#This Row],[implied_soda_ppu]]-dataset[[#This Row],[soda_ppu]]</f>
        <v>-1.154317907814395E-6</v>
      </c>
      <c r="M424">
        <f>dataset[[#This Row],[soda_sales]]/dataset[[#This Row],[total_sales]]</f>
        <v>4.8568099942040595E-2</v>
      </c>
      <c r="N424">
        <f>LN(dataset[[#This Row],[soda_units_sold]])</f>
        <v>12.167373396390897</v>
      </c>
      <c r="O424">
        <f>LN(dataset[[#This Row],[soda_sales]])</f>
        <v>11.840255653696717</v>
      </c>
      <c r="P424">
        <f>LN(dataset[[#This Row],[soda_ppu]])</f>
        <v>-0.327116141697188</v>
      </c>
      <c r="Q424">
        <f>IF(dataset[[#This Row],[state]]="VA",1,0)</f>
        <v>0</v>
      </c>
    </row>
    <row r="425" spans="1:17" x14ac:dyDescent="0.35">
      <c r="A425">
        <v>202404</v>
      </c>
      <c r="B425">
        <v>83</v>
      </c>
      <c r="C425" s="2">
        <v>3039258.6039999998</v>
      </c>
      <c r="D425" s="2">
        <v>0.73240000000000005</v>
      </c>
      <c r="E425" s="3">
        <v>220586</v>
      </c>
      <c r="F425" s="2">
        <v>161549.05809999999</v>
      </c>
      <c r="G425" t="s">
        <v>1192</v>
      </c>
      <c r="H425" t="s">
        <v>6</v>
      </c>
      <c r="I425">
        <f>HLOOKUP(G425,zip_tiers!$A$1:$EON$2,2,FALSE)</f>
        <v>93825.333333333328</v>
      </c>
      <c r="J425" t="str">
        <f t="shared" si="6"/>
        <v>Med</v>
      </c>
      <c r="K425">
        <f>dataset[[#This Row],[soda_sales]]/dataset[[#This Row],[soda_units_sold]]</f>
        <v>0.73236315133326679</v>
      </c>
      <c r="L425" s="29">
        <f>dataset[[#This Row],[implied_soda_ppu]]-dataset[[#This Row],[soda_ppu]]</f>
        <v>-3.6848666733257929E-5</v>
      </c>
      <c r="M425">
        <f>dataset[[#This Row],[soda_sales]]/dataset[[#This Row],[total_sales]]</f>
        <v>5.3154100768978196E-2</v>
      </c>
      <c r="N425">
        <f>LN(dataset[[#This Row],[soda_units_sold]])</f>
        <v>12.304042920505701</v>
      </c>
      <c r="O425">
        <f>LN(dataset[[#This Row],[soda_sales]])</f>
        <v>11.99256414084258</v>
      </c>
      <c r="P425">
        <f>LN(dataset[[#This Row],[soda_ppu]])</f>
        <v>-0.31142846618178133</v>
      </c>
      <c r="Q425">
        <f>IF(dataset[[#This Row],[state]]="VA",1,0)</f>
        <v>0</v>
      </c>
    </row>
    <row r="426" spans="1:17" x14ac:dyDescent="0.35">
      <c r="A426">
        <v>202405</v>
      </c>
      <c r="B426">
        <v>83</v>
      </c>
      <c r="C426" s="2">
        <v>3133236.8352999999</v>
      </c>
      <c r="D426" s="2">
        <v>0.72809999999999997</v>
      </c>
      <c r="E426" s="3">
        <v>241326</v>
      </c>
      <c r="F426" s="2">
        <v>175704.7598</v>
      </c>
      <c r="G426" t="s">
        <v>1192</v>
      </c>
      <c r="H426" t="s">
        <v>6</v>
      </c>
      <c r="I426">
        <f>HLOOKUP(G426,zip_tiers!$A$1:$EON$2,2,FALSE)</f>
        <v>93825.333333333328</v>
      </c>
      <c r="J426" t="str">
        <f t="shared" si="6"/>
        <v>Med</v>
      </c>
      <c r="K426">
        <f>dataset[[#This Row],[soda_sales]]/dataset[[#This Row],[soda_units_sold]]</f>
        <v>0.7280805209550566</v>
      </c>
      <c r="L426" s="29">
        <f>dataset[[#This Row],[implied_soda_ppu]]-dataset[[#This Row],[soda_ppu]]</f>
        <v>-1.9479044943371271E-5</v>
      </c>
      <c r="M426">
        <f>dataset[[#This Row],[soda_sales]]/dataset[[#This Row],[total_sales]]</f>
        <v>5.6077714209298413E-2</v>
      </c>
      <c r="N426">
        <f>LN(dataset[[#This Row],[soda_units_sold]])</f>
        <v>12.393903995497725</v>
      </c>
      <c r="O426">
        <f>LN(dataset[[#This Row],[soda_sales]])</f>
        <v>12.076560364303409</v>
      </c>
      <c r="P426">
        <f>LN(dataset[[#This Row],[soda_ppu]])</f>
        <v>-0.3173168775814717</v>
      </c>
      <c r="Q426">
        <f>IF(dataset[[#This Row],[state]]="VA",1,0)</f>
        <v>0</v>
      </c>
    </row>
    <row r="427" spans="1:17" x14ac:dyDescent="0.35">
      <c r="A427">
        <v>202406</v>
      </c>
      <c r="B427">
        <v>83</v>
      </c>
      <c r="C427" s="2">
        <v>3081682.0743999998</v>
      </c>
      <c r="D427" s="2">
        <v>0.72</v>
      </c>
      <c r="E427" s="3">
        <v>258542</v>
      </c>
      <c r="F427" s="2">
        <v>186152.37299999999</v>
      </c>
      <c r="G427" t="s">
        <v>1192</v>
      </c>
      <c r="H427" t="s">
        <v>6</v>
      </c>
      <c r="I427">
        <f>HLOOKUP(G427,zip_tiers!$A$1:$EON$2,2,FALSE)</f>
        <v>93825.333333333328</v>
      </c>
      <c r="J427" t="str">
        <f t="shared" si="6"/>
        <v>Med</v>
      </c>
      <c r="K427">
        <f>dataset[[#This Row],[soda_sales]]/dataset[[#This Row],[soda_units_sold]]</f>
        <v>0.72000825011023351</v>
      </c>
      <c r="L427" s="29">
        <f>dataset[[#This Row],[implied_soda_ppu]]-dataset[[#This Row],[soda_ppu]]</f>
        <v>8.2501102335319487E-6</v>
      </c>
      <c r="M427">
        <f>dataset[[#This Row],[soda_sales]]/dataset[[#This Row],[total_sales]]</f>
        <v>6.04060926811354E-2</v>
      </c>
      <c r="N427">
        <f>LN(dataset[[#This Row],[soda_units_sold]])</f>
        <v>12.462813435554905</v>
      </c>
      <c r="O427">
        <f>LN(dataset[[#This Row],[soda_sales]])</f>
        <v>12.134320827003656</v>
      </c>
      <c r="P427">
        <f>LN(dataset[[#This Row],[soda_ppu]])</f>
        <v>-0.3285040669720361</v>
      </c>
      <c r="Q427">
        <f>IF(dataset[[#This Row],[state]]="VA",1,0)</f>
        <v>0</v>
      </c>
    </row>
    <row r="428" spans="1:17" x14ac:dyDescent="0.35">
      <c r="A428">
        <v>202407</v>
      </c>
      <c r="B428">
        <v>83</v>
      </c>
      <c r="C428" s="2">
        <v>2878942.5630999999</v>
      </c>
      <c r="D428" s="2">
        <v>0.73080000000000001</v>
      </c>
      <c r="E428" s="3">
        <v>261350</v>
      </c>
      <c r="F428" s="2">
        <v>190997.75219999999</v>
      </c>
      <c r="G428" t="s">
        <v>1192</v>
      </c>
      <c r="H428" t="s">
        <v>6</v>
      </c>
      <c r="I428">
        <f>HLOOKUP(G428,zip_tiers!$A$1:$EON$2,2,FALSE)</f>
        <v>93825.333333333328</v>
      </c>
      <c r="J428" t="str">
        <f t="shared" si="6"/>
        <v>Med</v>
      </c>
      <c r="K428">
        <f>dataset[[#This Row],[soda_sales]]/dataset[[#This Row],[soda_units_sold]]</f>
        <v>0.73081213774631715</v>
      </c>
      <c r="L428" s="29">
        <f>dataset[[#This Row],[implied_soda_ppu]]-dataset[[#This Row],[soda_ppu]]</f>
        <v>1.2137746317142373E-5</v>
      </c>
      <c r="M428">
        <f>dataset[[#This Row],[soda_sales]]/dataset[[#This Row],[total_sales]]</f>
        <v>6.6343022833472792E-2</v>
      </c>
      <c r="N428">
        <f>LN(dataset[[#This Row],[soda_units_sold]])</f>
        <v>12.473615784141067</v>
      </c>
      <c r="O428">
        <f>LN(dataset[[#This Row],[soda_sales]])</f>
        <v>12.160016938373129</v>
      </c>
      <c r="P428">
        <f>LN(dataset[[#This Row],[soda_ppu]])</f>
        <v>-0.31361545447828537</v>
      </c>
      <c r="Q428">
        <f>IF(dataset[[#This Row],[state]]="VA",1,0)</f>
        <v>0</v>
      </c>
    </row>
    <row r="429" spans="1:17" x14ac:dyDescent="0.35">
      <c r="A429">
        <v>202408</v>
      </c>
      <c r="B429">
        <v>83</v>
      </c>
      <c r="C429" s="2">
        <v>2728740.4186999998</v>
      </c>
      <c r="D429" s="2">
        <v>0.73180000000000001</v>
      </c>
      <c r="E429" s="3">
        <v>222458</v>
      </c>
      <c r="F429" s="2">
        <v>162795.2059</v>
      </c>
      <c r="G429" t="s">
        <v>1192</v>
      </c>
      <c r="H429" t="s">
        <v>6</v>
      </c>
      <c r="I429">
        <f>HLOOKUP(G429,zip_tiers!$A$1:$EON$2,2,FALSE)</f>
        <v>93825.333333333328</v>
      </c>
      <c r="J429" t="str">
        <f t="shared" si="6"/>
        <v>Med</v>
      </c>
      <c r="K429">
        <f>dataset[[#This Row],[soda_sales]]/dataset[[#This Row],[soda_units_sold]]</f>
        <v>0.73180198464429236</v>
      </c>
      <c r="L429" s="29">
        <f>dataset[[#This Row],[implied_soda_ppu]]-dataset[[#This Row],[soda_ppu]]</f>
        <v>1.9846442923521224E-6</v>
      </c>
      <c r="M429">
        <f>dataset[[#This Row],[soda_sales]]/dataset[[#This Row],[total_sales]]</f>
        <v>5.9659469542931942E-2</v>
      </c>
      <c r="N429">
        <f>LN(dataset[[#This Row],[soda_units_sold]])</f>
        <v>12.312493598725313</v>
      </c>
      <c r="O429">
        <f>LN(dataset[[#This Row],[soda_sales]])</f>
        <v>12.000248284328284</v>
      </c>
      <c r="P429">
        <f>LN(dataset[[#This Row],[soda_ppu]])</f>
        <v>-0.31224802639703059</v>
      </c>
      <c r="Q429">
        <f>IF(dataset[[#This Row],[state]]="VA",1,0)</f>
        <v>0</v>
      </c>
    </row>
    <row r="430" spans="1:17" x14ac:dyDescent="0.35">
      <c r="A430">
        <v>202409</v>
      </c>
      <c r="B430">
        <v>83</v>
      </c>
      <c r="C430" s="2">
        <v>2777058.3302000002</v>
      </c>
      <c r="D430" s="2">
        <v>0.77190000000000003</v>
      </c>
      <c r="E430" s="3">
        <v>210000</v>
      </c>
      <c r="F430" s="2">
        <v>162099.3382</v>
      </c>
      <c r="G430" t="s">
        <v>1192</v>
      </c>
      <c r="H430" t="s">
        <v>6</v>
      </c>
      <c r="I430">
        <f>HLOOKUP(G430,zip_tiers!$A$1:$EON$2,2,FALSE)</f>
        <v>93825.333333333328</v>
      </c>
      <c r="J430" t="str">
        <f t="shared" si="6"/>
        <v>Med</v>
      </c>
      <c r="K430">
        <f>dataset[[#This Row],[soda_sales]]/dataset[[#This Row],[soda_units_sold]]</f>
        <v>0.77190161047619044</v>
      </c>
      <c r="L430" s="29">
        <f>dataset[[#This Row],[implied_soda_ppu]]-dataset[[#This Row],[soda_ppu]]</f>
        <v>1.610476190405663E-6</v>
      </c>
      <c r="M430">
        <f>dataset[[#This Row],[soda_sales]]/dataset[[#This Row],[total_sales]]</f>
        <v>5.8370879875730163E-2</v>
      </c>
      <c r="N430">
        <f>LN(dataset[[#This Row],[soda_units_sold]])</f>
        <v>12.254862809699606</v>
      </c>
      <c r="O430">
        <f>LN(dataset[[#This Row],[soda_sales]])</f>
        <v>11.995964625050412</v>
      </c>
      <c r="P430">
        <f>LN(dataset[[#This Row],[soda_ppu]])</f>
        <v>-0.25890027102632884</v>
      </c>
      <c r="Q430">
        <f>IF(dataset[[#This Row],[state]]="VA",1,0)</f>
        <v>0</v>
      </c>
    </row>
    <row r="431" spans="1:17" x14ac:dyDescent="0.35">
      <c r="A431">
        <v>202410</v>
      </c>
      <c r="B431">
        <v>83</v>
      </c>
      <c r="C431" s="2">
        <v>3417662.2017000001</v>
      </c>
      <c r="D431" s="2">
        <v>0.75090000000000001</v>
      </c>
      <c r="E431" s="3">
        <v>208596</v>
      </c>
      <c r="F431" s="2">
        <v>156632.45490000001</v>
      </c>
      <c r="G431" t="s">
        <v>1192</v>
      </c>
      <c r="H431" t="s">
        <v>6</v>
      </c>
      <c r="I431">
        <f>HLOOKUP(G431,zip_tiers!$A$1:$EON$2,2,FALSE)</f>
        <v>93825.333333333328</v>
      </c>
      <c r="J431" t="str">
        <f t="shared" si="6"/>
        <v>Med</v>
      </c>
      <c r="K431">
        <f>dataset[[#This Row],[soda_sales]]/dataset[[#This Row],[soda_units_sold]]</f>
        <v>0.75088906258988675</v>
      </c>
      <c r="L431" s="29">
        <f>dataset[[#This Row],[implied_soda_ppu]]-dataset[[#This Row],[soda_ppu]]</f>
        <v>-1.0937410113265322E-5</v>
      </c>
      <c r="M431">
        <f>dataset[[#This Row],[soda_sales]]/dataset[[#This Row],[total_sales]]</f>
        <v>4.583029148465536E-2</v>
      </c>
      <c r="N431">
        <f>LN(dataset[[#This Row],[soda_units_sold]])</f>
        <v>12.248154645909541</v>
      </c>
      <c r="O431">
        <f>LN(dataset[[#This Row],[soda_sales]])</f>
        <v>11.961657288192558</v>
      </c>
      <c r="P431">
        <f>LN(dataset[[#This Row],[soda_ppu]])</f>
        <v>-0.28648279187629883</v>
      </c>
      <c r="Q431">
        <f>IF(dataset[[#This Row],[state]]="VA",1,0)</f>
        <v>0</v>
      </c>
    </row>
    <row r="432" spans="1:17" x14ac:dyDescent="0.35">
      <c r="A432">
        <v>202411</v>
      </c>
      <c r="B432">
        <v>83</v>
      </c>
      <c r="C432" s="2">
        <v>3869713.3785000001</v>
      </c>
      <c r="D432" s="2">
        <v>0.75719999999999998</v>
      </c>
      <c r="E432" s="3">
        <v>195782</v>
      </c>
      <c r="F432" s="2">
        <v>148245.3701</v>
      </c>
      <c r="G432" t="s">
        <v>1192</v>
      </c>
      <c r="H432" t="s">
        <v>6</v>
      </c>
      <c r="I432">
        <f>HLOOKUP(G432,zip_tiers!$A$1:$EON$2,2,FALSE)</f>
        <v>93825.333333333328</v>
      </c>
      <c r="J432" t="str">
        <f t="shared" si="6"/>
        <v>Med</v>
      </c>
      <c r="K432">
        <f>dataset[[#This Row],[soda_sales]]/dataset[[#This Row],[soda_units_sold]]</f>
        <v>0.75719611659907449</v>
      </c>
      <c r="L432" s="29">
        <f>dataset[[#This Row],[implied_soda_ppu]]-dataset[[#This Row],[soda_ppu]]</f>
        <v>-3.8834009254973267E-6</v>
      </c>
      <c r="M432">
        <f>dataset[[#This Row],[soda_sales]]/dataset[[#This Row],[total_sales]]</f>
        <v>3.8309134450020613E-2</v>
      </c>
      <c r="N432">
        <f>LN(dataset[[#This Row],[soda_units_sold]])</f>
        <v>12.184757074311307</v>
      </c>
      <c r="O432">
        <f>LN(dataset[[#This Row],[soda_sales]])</f>
        <v>11.906624086018162</v>
      </c>
      <c r="P432">
        <f>LN(dataset[[#This Row],[soda_ppu]])</f>
        <v>-0.27812785964696929</v>
      </c>
      <c r="Q432">
        <f>IF(dataset[[#This Row],[state]]="VA",1,0)</f>
        <v>0</v>
      </c>
    </row>
    <row r="433" spans="1:17" x14ac:dyDescent="0.35">
      <c r="A433">
        <v>202412</v>
      </c>
      <c r="B433">
        <v>83</v>
      </c>
      <c r="C433" s="2">
        <v>3985654.9819999998</v>
      </c>
      <c r="D433" s="2">
        <v>0.74180000000000001</v>
      </c>
      <c r="E433" s="3">
        <v>191724</v>
      </c>
      <c r="F433" s="2">
        <v>142228.47810000001</v>
      </c>
      <c r="G433" t="s">
        <v>1192</v>
      </c>
      <c r="H433" t="s">
        <v>6</v>
      </c>
      <c r="I433">
        <f>HLOOKUP(G433,zip_tiers!$A$1:$EON$2,2,FALSE)</f>
        <v>93825.333333333328</v>
      </c>
      <c r="J433" t="str">
        <f t="shared" si="6"/>
        <v>Med</v>
      </c>
      <c r="K433">
        <f>dataset[[#This Row],[soda_sales]]/dataset[[#This Row],[soda_units_sold]]</f>
        <v>0.7418397180321713</v>
      </c>
      <c r="L433" s="29">
        <f>dataset[[#This Row],[implied_soda_ppu]]-dataset[[#This Row],[soda_ppu]]</f>
        <v>3.9718032171287554E-5</v>
      </c>
      <c r="M433">
        <f>dataset[[#This Row],[soda_sales]]/dataset[[#This Row],[total_sales]]</f>
        <v>3.5685095358813479E-2</v>
      </c>
      <c r="N433">
        <f>LN(dataset[[#This Row],[soda_units_sold]])</f>
        <v>12.163812116815572</v>
      </c>
      <c r="O433">
        <f>LN(dataset[[#This Row],[soda_sales]])</f>
        <v>11.865190044232822</v>
      </c>
      <c r="P433">
        <f>LN(dataset[[#This Row],[soda_ppu]])</f>
        <v>-0.2986756139266466</v>
      </c>
      <c r="Q433">
        <f>IF(dataset[[#This Row],[state]]="VA",1,0)</f>
        <v>0</v>
      </c>
    </row>
    <row r="434" spans="1:17" x14ac:dyDescent="0.35">
      <c r="A434">
        <v>202201</v>
      </c>
      <c r="B434">
        <v>50</v>
      </c>
      <c r="C434" s="2">
        <v>1758796.8467000001</v>
      </c>
      <c r="D434" s="2">
        <v>0.66959999999999997</v>
      </c>
      <c r="E434" s="3">
        <v>159649</v>
      </c>
      <c r="F434" s="2">
        <v>106907.57550000001</v>
      </c>
      <c r="G434" t="s">
        <v>1214</v>
      </c>
      <c r="H434" t="s">
        <v>6</v>
      </c>
      <c r="I434">
        <f>HLOOKUP(G434,zip_tiers!$A$1:$EON$2,2,FALSE)</f>
        <v>64581.333333333336</v>
      </c>
      <c r="J434" t="str">
        <f t="shared" si="6"/>
        <v>Med</v>
      </c>
      <c r="K434">
        <f>dataset[[#This Row],[soda_sales]]/dataset[[#This Row],[soda_units_sold]]</f>
        <v>0.6696413726362207</v>
      </c>
      <c r="L434" s="29">
        <f>dataset[[#This Row],[implied_soda_ppu]]-dataset[[#This Row],[soda_ppu]]</f>
        <v>4.1372636220726733E-5</v>
      </c>
      <c r="M434">
        <f>dataset[[#This Row],[soda_sales]]/dataset[[#This Row],[total_sales]]</f>
        <v>6.0784493502242076E-2</v>
      </c>
      <c r="N434">
        <f>LN(dataset[[#This Row],[soda_units_sold]])</f>
        <v>11.980732934421463</v>
      </c>
      <c r="O434">
        <f>LN(dataset[[#This Row],[soda_sales]])</f>
        <v>11.579719959796979</v>
      </c>
      <c r="P434">
        <f>LN(dataset[[#This Row],[soda_ppu]])</f>
        <v>-0.40107475980687152</v>
      </c>
      <c r="Q434">
        <f>IF(dataset[[#This Row],[state]]="VA",1,0)</f>
        <v>0</v>
      </c>
    </row>
    <row r="435" spans="1:17" x14ac:dyDescent="0.35">
      <c r="A435">
        <v>202202</v>
      </c>
      <c r="B435">
        <v>50</v>
      </c>
      <c r="C435" s="2">
        <v>1990766.6189999999</v>
      </c>
      <c r="D435" s="2">
        <v>0.67800000000000005</v>
      </c>
      <c r="E435" s="3">
        <v>179703</v>
      </c>
      <c r="F435" s="2">
        <v>121835.024</v>
      </c>
      <c r="G435" t="s">
        <v>1214</v>
      </c>
      <c r="H435" t="s">
        <v>6</v>
      </c>
      <c r="I435">
        <f>HLOOKUP(G435,zip_tiers!$A$1:$EON$2,2,FALSE)</f>
        <v>64581.333333333336</v>
      </c>
      <c r="J435" t="str">
        <f t="shared" si="6"/>
        <v>Med</v>
      </c>
      <c r="K435">
        <f>dataset[[#This Row],[soda_sales]]/dataset[[#This Row],[soda_units_sold]]</f>
        <v>0.67797991129808632</v>
      </c>
      <c r="L435" s="29">
        <f>dataset[[#This Row],[implied_soda_ppu]]-dataset[[#This Row],[soda_ppu]]</f>
        <v>-2.0088701913723028E-5</v>
      </c>
      <c r="M435">
        <f>dataset[[#This Row],[soda_sales]]/dataset[[#This Row],[total_sales]]</f>
        <v>6.1200053706546506E-2</v>
      </c>
      <c r="N435">
        <f>LN(dataset[[#This Row],[soda_units_sold]])</f>
        <v>12.099060767123117</v>
      </c>
      <c r="O435">
        <f>LN(dataset[[#This Row],[soda_sales]])</f>
        <v>11.710423146288562</v>
      </c>
      <c r="P435">
        <f>LN(dataset[[#This Row],[soda_ppu]])</f>
        <v>-0.38860799104174143</v>
      </c>
      <c r="Q435">
        <f>IF(dataset[[#This Row],[state]]="VA",1,0)</f>
        <v>0</v>
      </c>
    </row>
    <row r="436" spans="1:17" x14ac:dyDescent="0.35">
      <c r="A436">
        <v>202203</v>
      </c>
      <c r="B436">
        <v>50</v>
      </c>
      <c r="C436" s="2">
        <v>2217310.5227999999</v>
      </c>
      <c r="D436" s="2">
        <v>0.69469999999999998</v>
      </c>
      <c r="E436" s="3">
        <v>203664</v>
      </c>
      <c r="F436" s="2">
        <v>141483.67259999999</v>
      </c>
      <c r="G436" t="s">
        <v>1214</v>
      </c>
      <c r="H436" t="s">
        <v>6</v>
      </c>
      <c r="I436">
        <f>HLOOKUP(G436,zip_tiers!$A$1:$EON$2,2,FALSE)</f>
        <v>64581.333333333336</v>
      </c>
      <c r="J436" t="str">
        <f t="shared" si="6"/>
        <v>Med</v>
      </c>
      <c r="K436">
        <f>dataset[[#This Row],[soda_sales]]/dataset[[#This Row],[soda_units_sold]]</f>
        <v>0.69469161265613943</v>
      </c>
      <c r="L436" s="29">
        <f>dataset[[#This Row],[implied_soda_ppu]]-dataset[[#This Row],[soda_ppu]]</f>
        <v>-8.3873438605497341E-6</v>
      </c>
      <c r="M436">
        <f>dataset[[#This Row],[soda_sales]]/dataset[[#This Row],[total_sales]]</f>
        <v>6.3808686760452329E-2</v>
      </c>
      <c r="N436">
        <f>LN(dataset[[#This Row],[soda_units_sold]])</f>
        <v>12.224226856110215</v>
      </c>
      <c r="O436">
        <f>LN(dataset[[#This Row],[soda_sales]])</f>
        <v>11.859939601421857</v>
      </c>
      <c r="P436">
        <f>LN(dataset[[#This Row],[soda_ppu]])</f>
        <v>-0.36427518128330183</v>
      </c>
      <c r="Q436">
        <f>IF(dataset[[#This Row],[state]]="VA",1,0)</f>
        <v>0</v>
      </c>
    </row>
    <row r="437" spans="1:17" x14ac:dyDescent="0.35">
      <c r="A437">
        <v>202204</v>
      </c>
      <c r="B437">
        <v>50</v>
      </c>
      <c r="C437" s="2">
        <v>2315571.6417</v>
      </c>
      <c r="D437" s="2">
        <v>0.68010000000000004</v>
      </c>
      <c r="E437" s="3">
        <v>241636</v>
      </c>
      <c r="F437" s="2">
        <v>164342.41279999999</v>
      </c>
      <c r="G437" t="s">
        <v>1214</v>
      </c>
      <c r="H437" t="s">
        <v>6</v>
      </c>
      <c r="I437">
        <f>HLOOKUP(G437,zip_tiers!$A$1:$EON$2,2,FALSE)</f>
        <v>64581.333333333336</v>
      </c>
      <c r="J437" t="str">
        <f t="shared" si="6"/>
        <v>Med</v>
      </c>
      <c r="K437">
        <f>dataset[[#This Row],[soda_sales]]/dataset[[#This Row],[soda_units_sold]]</f>
        <v>0.68012387558145304</v>
      </c>
      <c r="L437" s="29">
        <f>dataset[[#This Row],[implied_soda_ppu]]-dataset[[#This Row],[soda_ppu]]</f>
        <v>2.3875581453003392E-5</v>
      </c>
      <c r="M437">
        <f>dataset[[#This Row],[soda_sales]]/dataset[[#This Row],[total_sales]]</f>
        <v>7.0972717855253387E-2</v>
      </c>
      <c r="N437">
        <f>LN(dataset[[#This Row],[soda_units_sold]])</f>
        <v>12.39518774056493</v>
      </c>
      <c r="O437">
        <f>LN(dataset[[#This Row],[soda_sales]])</f>
        <v>12.009707413134736</v>
      </c>
      <c r="P437">
        <f>LN(dataset[[#This Row],[soda_ppu]])</f>
        <v>-0.38551543280054401</v>
      </c>
      <c r="Q437">
        <f>IF(dataset[[#This Row],[state]]="VA",1,0)</f>
        <v>0</v>
      </c>
    </row>
    <row r="438" spans="1:17" x14ac:dyDescent="0.35">
      <c r="A438">
        <v>202205</v>
      </c>
      <c r="B438">
        <v>50</v>
      </c>
      <c r="C438" s="2">
        <v>2434760.7182</v>
      </c>
      <c r="D438" s="2">
        <v>0.68389999999999995</v>
      </c>
      <c r="E438" s="3">
        <v>266561</v>
      </c>
      <c r="F438" s="2">
        <v>182310.52559999999</v>
      </c>
      <c r="G438" t="s">
        <v>1214</v>
      </c>
      <c r="H438" t="s">
        <v>6</v>
      </c>
      <c r="I438">
        <f>HLOOKUP(G438,zip_tiers!$A$1:$EON$2,2,FALSE)</f>
        <v>64581.333333333336</v>
      </c>
      <c r="J438" t="str">
        <f t="shared" si="6"/>
        <v>Med</v>
      </c>
      <c r="K438">
        <f>dataset[[#This Row],[soda_sales]]/dataset[[#This Row],[soda_units_sold]]</f>
        <v>0.683935480434122</v>
      </c>
      <c r="L438" s="29">
        <f>dataset[[#This Row],[implied_soda_ppu]]-dataset[[#This Row],[soda_ppu]]</f>
        <v>3.5480434122048266E-5</v>
      </c>
      <c r="M438">
        <f>dataset[[#This Row],[soda_sales]]/dataset[[#This Row],[total_sales]]</f>
        <v>7.4878210510468876E-2</v>
      </c>
      <c r="N438">
        <f>LN(dataset[[#This Row],[soda_units_sold]])</f>
        <v>12.493358389454178</v>
      </c>
      <c r="O438">
        <f>LN(dataset[[#This Row],[soda_sales]])</f>
        <v>12.113466696794836</v>
      </c>
      <c r="P438">
        <f>LN(dataset[[#This Row],[soda_ppu]])</f>
        <v>-0.37994357087808678</v>
      </c>
      <c r="Q438">
        <f>IF(dataset[[#This Row],[state]]="VA",1,0)</f>
        <v>0</v>
      </c>
    </row>
    <row r="439" spans="1:17" x14ac:dyDescent="0.35">
      <c r="A439">
        <v>202206</v>
      </c>
      <c r="B439">
        <v>50</v>
      </c>
      <c r="C439" s="2">
        <v>2257158.0729999999</v>
      </c>
      <c r="D439" s="2">
        <v>0.67949999999999999</v>
      </c>
      <c r="E439" s="3">
        <v>272228</v>
      </c>
      <c r="F439" s="2">
        <v>184975.11040000001</v>
      </c>
      <c r="G439" t="s">
        <v>1214</v>
      </c>
      <c r="H439" t="s">
        <v>6</v>
      </c>
      <c r="I439">
        <f>HLOOKUP(G439,zip_tiers!$A$1:$EON$2,2,FALSE)</f>
        <v>64581.333333333336</v>
      </c>
      <c r="J439" t="str">
        <f t="shared" si="6"/>
        <v>Med</v>
      </c>
      <c r="K439">
        <f>dataset[[#This Row],[soda_sales]]/dataset[[#This Row],[soda_units_sold]]</f>
        <v>0.67948598380769065</v>
      </c>
      <c r="L439" s="29">
        <f>dataset[[#This Row],[implied_soda_ppu]]-dataset[[#This Row],[soda_ppu]]</f>
        <v>-1.4016192309340703E-5</v>
      </c>
      <c r="M439">
        <f>dataset[[#This Row],[soda_sales]]/dataset[[#This Row],[total_sales]]</f>
        <v>8.195044583392809E-2</v>
      </c>
      <c r="N439">
        <f>LN(dataset[[#This Row],[soda_units_sold]])</f>
        <v>12.514395229449249</v>
      </c>
      <c r="O439">
        <f>LN(dataset[[#This Row],[soda_sales]])</f>
        <v>12.127976556630983</v>
      </c>
      <c r="P439">
        <f>LN(dataset[[#This Row],[soda_ppu]])</f>
        <v>-0.38639804539093864</v>
      </c>
      <c r="Q439">
        <f>IF(dataset[[#This Row],[state]]="VA",1,0)</f>
        <v>0</v>
      </c>
    </row>
    <row r="440" spans="1:17" x14ac:dyDescent="0.35">
      <c r="A440">
        <v>202207</v>
      </c>
      <c r="B440">
        <v>50</v>
      </c>
      <c r="C440" s="2">
        <v>2211380.2626</v>
      </c>
      <c r="D440" s="2">
        <v>0.68210000000000004</v>
      </c>
      <c r="E440" s="3">
        <v>287385</v>
      </c>
      <c r="F440" s="2">
        <v>196013.83420000001</v>
      </c>
      <c r="G440" t="s">
        <v>1214</v>
      </c>
      <c r="H440" t="s">
        <v>6</v>
      </c>
      <c r="I440">
        <f>HLOOKUP(G440,zip_tiers!$A$1:$EON$2,2,FALSE)</f>
        <v>64581.333333333336</v>
      </c>
      <c r="J440" t="str">
        <f t="shared" si="6"/>
        <v>Med</v>
      </c>
      <c r="K440">
        <f>dataset[[#This Row],[soda_sales]]/dataset[[#This Row],[soda_units_sold]]</f>
        <v>0.68206007342067265</v>
      </c>
      <c r="L440" s="29">
        <f>dataset[[#This Row],[implied_soda_ppu]]-dataset[[#This Row],[soda_ppu]]</f>
        <v>-3.9926579327387302E-5</v>
      </c>
      <c r="M440">
        <f>dataset[[#This Row],[soda_sales]]/dataset[[#This Row],[total_sales]]</f>
        <v>8.8638683050168601E-2</v>
      </c>
      <c r="N440">
        <f>LN(dataset[[#This Row],[soda_units_sold]])</f>
        <v>12.568578059198202</v>
      </c>
      <c r="O440">
        <f>LN(dataset[[#This Row],[soda_sales]])</f>
        <v>12.185940518374878</v>
      </c>
      <c r="P440">
        <f>LN(dataset[[#This Row],[soda_ppu]])</f>
        <v>-0.38257900432146336</v>
      </c>
      <c r="Q440">
        <f>IF(dataset[[#This Row],[state]]="VA",1,0)</f>
        <v>0</v>
      </c>
    </row>
    <row r="441" spans="1:17" x14ac:dyDescent="0.35">
      <c r="A441">
        <v>202208</v>
      </c>
      <c r="B441">
        <v>50</v>
      </c>
      <c r="C441" s="2">
        <v>2063935.6539</v>
      </c>
      <c r="D441" s="2">
        <v>0.67420000000000002</v>
      </c>
      <c r="E441" s="3">
        <v>249683</v>
      </c>
      <c r="F441" s="2">
        <v>168334.39490000001</v>
      </c>
      <c r="G441" t="s">
        <v>1214</v>
      </c>
      <c r="H441" t="s">
        <v>6</v>
      </c>
      <c r="I441">
        <f>HLOOKUP(G441,zip_tiers!$A$1:$EON$2,2,FALSE)</f>
        <v>64581.333333333336</v>
      </c>
      <c r="J441" t="str">
        <f t="shared" si="6"/>
        <v>Med</v>
      </c>
      <c r="K441">
        <f>dataset[[#This Row],[soda_sales]]/dataset[[#This Row],[soda_units_sold]]</f>
        <v>0.67419245563374364</v>
      </c>
      <c r="L441" s="29">
        <f>dataset[[#This Row],[implied_soda_ppu]]-dataset[[#This Row],[soda_ppu]]</f>
        <v>-7.5443662563845493E-6</v>
      </c>
      <c r="M441">
        <f>dataset[[#This Row],[soda_sales]]/dataset[[#This Row],[total_sales]]</f>
        <v>8.1559904535742855E-2</v>
      </c>
      <c r="N441">
        <f>LN(dataset[[#This Row],[soda_units_sold]])</f>
        <v>12.427947392252163</v>
      </c>
      <c r="O441">
        <f>LN(dataset[[#This Row],[soda_sales]])</f>
        <v>12.033707725906137</v>
      </c>
      <c r="P441">
        <f>LN(dataset[[#This Row],[soda_ppu]])</f>
        <v>-0.39422847618217666</v>
      </c>
      <c r="Q441">
        <f>IF(dataset[[#This Row],[state]]="VA",1,0)</f>
        <v>0</v>
      </c>
    </row>
    <row r="442" spans="1:17" x14ac:dyDescent="0.35">
      <c r="A442">
        <v>202209</v>
      </c>
      <c r="B442">
        <v>50</v>
      </c>
      <c r="C442" s="2">
        <v>2095699.1509</v>
      </c>
      <c r="D442" s="2">
        <v>0.68110000000000004</v>
      </c>
      <c r="E442" s="3">
        <v>240399</v>
      </c>
      <c r="F442" s="2">
        <v>163729.3676</v>
      </c>
      <c r="G442" t="s">
        <v>1214</v>
      </c>
      <c r="H442" t="s">
        <v>6</v>
      </c>
      <c r="I442">
        <f>HLOOKUP(G442,zip_tiers!$A$1:$EON$2,2,FALSE)</f>
        <v>64581.333333333336</v>
      </c>
      <c r="J442" t="str">
        <f t="shared" si="6"/>
        <v>Med</v>
      </c>
      <c r="K442">
        <f>dataset[[#This Row],[soda_sales]]/dataset[[#This Row],[soda_units_sold]]</f>
        <v>0.68107341378291919</v>
      </c>
      <c r="L442" s="29">
        <f>dataset[[#This Row],[implied_soda_ppu]]-dataset[[#This Row],[soda_ppu]]</f>
        <v>-2.6586217080848407E-5</v>
      </c>
      <c r="M442">
        <f>dataset[[#This Row],[soda_sales]]/dataset[[#This Row],[total_sales]]</f>
        <v>7.81263701565591E-2</v>
      </c>
      <c r="N442">
        <f>LN(dataset[[#This Row],[soda_units_sold]])</f>
        <v>12.390055321900761</v>
      </c>
      <c r="O442">
        <f>LN(dataset[[#This Row],[soda_sales]])</f>
        <v>12.005970146169595</v>
      </c>
      <c r="P442">
        <f>LN(dataset[[#This Row],[soda_ppu]])</f>
        <v>-0.38404614073486432</v>
      </c>
      <c r="Q442">
        <f>IF(dataset[[#This Row],[state]]="VA",1,0)</f>
        <v>0</v>
      </c>
    </row>
    <row r="443" spans="1:17" x14ac:dyDescent="0.35">
      <c r="A443">
        <v>202210</v>
      </c>
      <c r="B443">
        <v>50</v>
      </c>
      <c r="C443" s="2">
        <v>2563207.4838</v>
      </c>
      <c r="D443" s="2">
        <v>0.6825</v>
      </c>
      <c r="E443" s="3">
        <v>226990</v>
      </c>
      <c r="F443" s="2">
        <v>154915.3977</v>
      </c>
      <c r="G443" t="s">
        <v>1214</v>
      </c>
      <c r="H443" t="s">
        <v>6</v>
      </c>
      <c r="I443">
        <f>HLOOKUP(G443,zip_tiers!$A$1:$EON$2,2,FALSE)</f>
        <v>64581.333333333336</v>
      </c>
      <c r="J443" t="str">
        <f t="shared" si="6"/>
        <v>Med</v>
      </c>
      <c r="K443">
        <f>dataset[[#This Row],[soda_sales]]/dataset[[#This Row],[soda_units_sold]]</f>
        <v>0.68247675095819205</v>
      </c>
      <c r="L443" s="29">
        <f>dataset[[#This Row],[implied_soda_ppu]]-dataset[[#This Row],[soda_ppu]]</f>
        <v>-2.3249041807948956E-5</v>
      </c>
      <c r="M443">
        <f>dataset[[#This Row],[soda_sales]]/dataset[[#This Row],[total_sales]]</f>
        <v>6.0438102915623203E-2</v>
      </c>
      <c r="N443">
        <f>LN(dataset[[#This Row],[soda_units_sold]])</f>
        <v>12.332661242629747</v>
      </c>
      <c r="O443">
        <f>LN(dataset[[#This Row],[soda_sales]])</f>
        <v>11.950634425596395</v>
      </c>
      <c r="P443">
        <f>LN(dataset[[#This Row],[soda_ppu]])</f>
        <v>-0.38199275192302223</v>
      </c>
      <c r="Q443">
        <f>IF(dataset[[#This Row],[state]]="VA",1,0)</f>
        <v>0</v>
      </c>
    </row>
    <row r="444" spans="1:17" x14ac:dyDescent="0.35">
      <c r="A444">
        <v>202211</v>
      </c>
      <c r="B444">
        <v>50</v>
      </c>
      <c r="C444" s="2">
        <v>2907775.4205999998</v>
      </c>
      <c r="D444" s="2">
        <v>0.6986</v>
      </c>
      <c r="E444" s="3">
        <v>212225</v>
      </c>
      <c r="F444" s="2">
        <v>148269.09280000001</v>
      </c>
      <c r="G444" t="s">
        <v>1214</v>
      </c>
      <c r="H444" t="s">
        <v>6</v>
      </c>
      <c r="I444">
        <f>HLOOKUP(G444,zip_tiers!$A$1:$EON$2,2,FALSE)</f>
        <v>64581.333333333336</v>
      </c>
      <c r="J444" t="str">
        <f t="shared" si="6"/>
        <v>Med</v>
      </c>
      <c r="K444">
        <f>dataset[[#This Row],[soda_sales]]/dataset[[#This Row],[soda_units_sold]]</f>
        <v>0.69864103098126995</v>
      </c>
      <c r="L444" s="29">
        <f>dataset[[#This Row],[implied_soda_ppu]]-dataset[[#This Row],[soda_ppu]]</f>
        <v>4.1030981269951639E-5</v>
      </c>
      <c r="M444">
        <f>dataset[[#This Row],[soda_sales]]/dataset[[#This Row],[total_sales]]</f>
        <v>5.0990558538185071E-2</v>
      </c>
      <c r="N444">
        <f>LN(dataset[[#This Row],[soda_units_sold]])</f>
        <v>12.265402311606168</v>
      </c>
      <c r="O444">
        <f>LN(dataset[[#This Row],[soda_sales]])</f>
        <v>11.906784096425875</v>
      </c>
      <c r="P444">
        <f>LN(dataset[[#This Row],[soda_ppu]])</f>
        <v>-0.35867694660940547</v>
      </c>
      <c r="Q444">
        <f>IF(dataset[[#This Row],[state]]="VA",1,0)</f>
        <v>0</v>
      </c>
    </row>
    <row r="445" spans="1:17" x14ac:dyDescent="0.35">
      <c r="A445">
        <v>202212</v>
      </c>
      <c r="B445">
        <v>50</v>
      </c>
      <c r="C445" s="2">
        <v>3029918.3986</v>
      </c>
      <c r="D445" s="2">
        <v>0.69520000000000004</v>
      </c>
      <c r="E445" s="3">
        <v>204575</v>
      </c>
      <c r="F445" s="2">
        <v>142219.91130000001</v>
      </c>
      <c r="G445" t="s">
        <v>1214</v>
      </c>
      <c r="H445" t="s">
        <v>6</v>
      </c>
      <c r="I445">
        <f>HLOOKUP(G445,zip_tiers!$A$1:$EON$2,2,FALSE)</f>
        <v>64581.333333333336</v>
      </c>
      <c r="J445" t="str">
        <f t="shared" si="6"/>
        <v>Med</v>
      </c>
      <c r="K445">
        <f>dataset[[#This Row],[soda_sales]]/dataset[[#This Row],[soda_units_sold]]</f>
        <v>0.69519692679946232</v>
      </c>
      <c r="L445" s="29">
        <f>dataset[[#This Row],[implied_soda_ppu]]-dataset[[#This Row],[soda_ppu]]</f>
        <v>-3.0732005377176463E-6</v>
      </c>
      <c r="M445">
        <f>dataset[[#This Row],[soda_sales]]/dataset[[#This Row],[total_sales]]</f>
        <v>4.6938528564239204E-2</v>
      </c>
      <c r="N445">
        <f>LN(dataset[[#This Row],[soda_units_sold]])</f>
        <v>12.228689935395582</v>
      </c>
      <c r="O445">
        <f>LN(dataset[[#This Row],[soda_sales]])</f>
        <v>11.865129809755695</v>
      </c>
      <c r="P445">
        <f>LN(dataset[[#This Row],[soda_ppu]])</f>
        <v>-0.36355570503095469</v>
      </c>
      <c r="Q445">
        <f>IF(dataset[[#This Row],[state]]="VA",1,0)</f>
        <v>0</v>
      </c>
    </row>
    <row r="446" spans="1:17" x14ac:dyDescent="0.35">
      <c r="A446">
        <v>202301</v>
      </c>
      <c r="B446">
        <v>50</v>
      </c>
      <c r="C446" s="2">
        <v>1749585.1754999999</v>
      </c>
      <c r="D446" s="2">
        <v>0.69</v>
      </c>
      <c r="E446" s="3">
        <v>155101</v>
      </c>
      <c r="F446" s="2">
        <v>107016.492</v>
      </c>
      <c r="G446" t="s">
        <v>1214</v>
      </c>
      <c r="H446" t="s">
        <v>6</v>
      </c>
      <c r="I446">
        <f>HLOOKUP(G446,zip_tiers!$A$1:$EON$2,2,FALSE)</f>
        <v>64581.333333333336</v>
      </c>
      <c r="J446" t="str">
        <f t="shared" si="6"/>
        <v>Med</v>
      </c>
      <c r="K446">
        <f>dataset[[#This Row],[soda_sales]]/dataset[[#This Row],[soda_units_sold]]</f>
        <v>0.6899793811774263</v>
      </c>
      <c r="L446" s="29">
        <f>dataset[[#This Row],[implied_soda_ppu]]-dataset[[#This Row],[soda_ppu]]</f>
        <v>-2.061882257364811E-5</v>
      </c>
      <c r="M446">
        <f>dataset[[#This Row],[soda_sales]]/dataset[[#This Row],[total_sales]]</f>
        <v>6.1166780273739237E-2</v>
      </c>
      <c r="N446">
        <f>LN(dataset[[#This Row],[soda_units_sold]])</f>
        <v>11.951831796597101</v>
      </c>
      <c r="O446">
        <f>LN(dataset[[#This Row],[soda_sales]])</f>
        <v>11.580738232408226</v>
      </c>
      <c r="P446">
        <f>LN(dataset[[#This Row],[soda_ppu]])</f>
        <v>-0.37106368139083207</v>
      </c>
      <c r="Q446">
        <f>IF(dataset[[#This Row],[state]]="VA",1,0)</f>
        <v>0</v>
      </c>
    </row>
    <row r="447" spans="1:17" x14ac:dyDescent="0.35">
      <c r="A447">
        <v>202302</v>
      </c>
      <c r="B447">
        <v>50</v>
      </c>
      <c r="C447" s="2">
        <v>1996975.6987999999</v>
      </c>
      <c r="D447" s="2">
        <v>0.71889999999999998</v>
      </c>
      <c r="E447" s="3">
        <v>169420</v>
      </c>
      <c r="F447" s="2">
        <v>121790.8253</v>
      </c>
      <c r="G447" t="s">
        <v>1214</v>
      </c>
      <c r="H447" t="s">
        <v>6</v>
      </c>
      <c r="I447">
        <f>HLOOKUP(G447,zip_tiers!$A$1:$EON$2,2,FALSE)</f>
        <v>64581.333333333336</v>
      </c>
      <c r="J447" t="str">
        <f t="shared" si="6"/>
        <v>Med</v>
      </c>
      <c r="K447">
        <f>dataset[[#This Row],[soda_sales]]/dataset[[#This Row],[soda_units_sold]]</f>
        <v>0.71886923208594022</v>
      </c>
      <c r="L447" s="29">
        <f>dataset[[#This Row],[implied_soda_ppu]]-dataset[[#This Row],[soda_ppu]]</f>
        <v>-3.0767914059759427E-5</v>
      </c>
      <c r="M447">
        <f>dataset[[#This Row],[soda_sales]]/dataset[[#This Row],[total_sales]]</f>
        <v>6.0987635139068123E-2</v>
      </c>
      <c r="N447">
        <f>LN(dataset[[#This Row],[soda_units_sold]])</f>
        <v>12.040136117985542</v>
      </c>
      <c r="O447">
        <f>LN(dataset[[#This Row],[soda_sales]])</f>
        <v>11.710060305476622</v>
      </c>
      <c r="P447">
        <f>LN(dataset[[#This Row],[soda_ppu]])</f>
        <v>-0.33003301299231125</v>
      </c>
      <c r="Q447">
        <f>IF(dataset[[#This Row],[state]]="VA",1,0)</f>
        <v>0</v>
      </c>
    </row>
    <row r="448" spans="1:17" x14ac:dyDescent="0.35">
      <c r="A448">
        <v>202303</v>
      </c>
      <c r="B448">
        <v>50</v>
      </c>
      <c r="C448" s="2">
        <v>2210326.5293000001</v>
      </c>
      <c r="D448" s="2">
        <v>0.71479999999999999</v>
      </c>
      <c r="E448" s="3">
        <v>200159</v>
      </c>
      <c r="F448" s="2">
        <v>143077.80660000001</v>
      </c>
      <c r="G448" t="s">
        <v>1214</v>
      </c>
      <c r="H448" t="s">
        <v>6</v>
      </c>
      <c r="I448">
        <f>HLOOKUP(G448,zip_tiers!$A$1:$EON$2,2,FALSE)</f>
        <v>64581.333333333336</v>
      </c>
      <c r="J448" t="str">
        <f t="shared" si="6"/>
        <v>Med</v>
      </c>
      <c r="K448">
        <f>dataset[[#This Row],[soda_sales]]/dataset[[#This Row],[soda_units_sold]]</f>
        <v>0.71482075050334992</v>
      </c>
      <c r="L448" s="29">
        <f>dataset[[#This Row],[implied_soda_ppu]]-dataset[[#This Row],[soda_ppu]]</f>
        <v>2.0750503349931115E-5</v>
      </c>
      <c r="M448">
        <f>dataset[[#This Row],[soda_sales]]/dataset[[#This Row],[total_sales]]</f>
        <v>6.4731524823760808E-2</v>
      </c>
      <c r="N448">
        <f>LN(dataset[[#This Row],[soda_units_sold]])</f>
        <v>12.20686732968506</v>
      </c>
      <c r="O448">
        <f>LN(dataset[[#This Row],[soda_sales]])</f>
        <v>11.871143863370071</v>
      </c>
      <c r="P448">
        <f>LN(dataset[[#This Row],[soda_ppu]])</f>
        <v>-0.33575249569686411</v>
      </c>
      <c r="Q448">
        <f>IF(dataset[[#This Row],[state]]="VA",1,0)</f>
        <v>0</v>
      </c>
    </row>
    <row r="449" spans="1:17" x14ac:dyDescent="0.35">
      <c r="A449">
        <v>202304</v>
      </c>
      <c r="B449">
        <v>50</v>
      </c>
      <c r="C449" s="2">
        <v>2360488.5145999999</v>
      </c>
      <c r="D449" s="2">
        <v>0.70399999999999996</v>
      </c>
      <c r="E449" s="3">
        <v>238510</v>
      </c>
      <c r="F449" s="2">
        <v>167916.10060000001</v>
      </c>
      <c r="G449" t="s">
        <v>1214</v>
      </c>
      <c r="H449" t="s">
        <v>6</v>
      </c>
      <c r="I449">
        <f>HLOOKUP(G449,zip_tiers!$A$1:$EON$2,2,FALSE)</f>
        <v>64581.333333333336</v>
      </c>
      <c r="J449" t="str">
        <f t="shared" si="6"/>
        <v>Med</v>
      </c>
      <c r="K449">
        <f>dataset[[#This Row],[soda_sales]]/dataset[[#This Row],[soda_units_sold]]</f>
        <v>0.70402121755901226</v>
      </c>
      <c r="L449" s="29">
        <f>dataset[[#This Row],[implied_soda_ppu]]-dataset[[#This Row],[soda_ppu]]</f>
        <v>2.1217559012298715E-5</v>
      </c>
      <c r="M449">
        <f>dataset[[#This Row],[soda_sales]]/dataset[[#This Row],[total_sales]]</f>
        <v>7.1136165061347262E-2</v>
      </c>
      <c r="N449">
        <f>LN(dataset[[#This Row],[soda_units_sold]])</f>
        <v>12.382166517152722</v>
      </c>
      <c r="O449">
        <f>LN(dataset[[#This Row],[soda_sales]])</f>
        <v>12.031219732452612</v>
      </c>
      <c r="P449">
        <f>LN(dataset[[#This Row],[soda_ppu]])</f>
        <v>-0.35097692282409471</v>
      </c>
      <c r="Q449">
        <f>IF(dataset[[#This Row],[state]]="VA",1,0)</f>
        <v>0</v>
      </c>
    </row>
    <row r="450" spans="1:17" x14ac:dyDescent="0.35">
      <c r="A450">
        <v>202305</v>
      </c>
      <c r="B450">
        <v>50</v>
      </c>
      <c r="C450" s="2">
        <v>2468943.3679</v>
      </c>
      <c r="D450" s="2">
        <v>0.70730000000000004</v>
      </c>
      <c r="E450" s="3">
        <v>261276</v>
      </c>
      <c r="F450" s="2">
        <v>184788.18640000001</v>
      </c>
      <c r="G450" t="s">
        <v>1214</v>
      </c>
      <c r="H450" t="s">
        <v>6</v>
      </c>
      <c r="I450">
        <f>HLOOKUP(G450,zip_tiers!$A$1:$EON$2,2,FALSE)</f>
        <v>64581.333333333336</v>
      </c>
      <c r="J450" t="str">
        <f t="shared" ref="J450:J513" si="7">IF(I450="","No Data",IF(I450&gt;=100000,"High",IF(I450&gt;=40000,"Med","Low")))</f>
        <v>Med</v>
      </c>
      <c r="K450">
        <f>dataset[[#This Row],[soda_sales]]/dataset[[#This Row],[soda_units_sold]]</f>
        <v>0.70725281464811163</v>
      </c>
      <c r="L450" s="29">
        <f>dataset[[#This Row],[implied_soda_ppu]]-dataset[[#This Row],[soda_ppu]]</f>
        <v>-4.7185351888412441E-5</v>
      </c>
      <c r="M450">
        <f>dataset[[#This Row],[soda_sales]]/dataset[[#This Row],[total_sales]]</f>
        <v>7.484504861574634E-2</v>
      </c>
      <c r="N450">
        <f>LN(dataset[[#This Row],[soda_units_sold]])</f>
        <v>12.473332598840319</v>
      </c>
      <c r="O450">
        <f>LN(dataset[[#This Row],[soda_sales]])</f>
        <v>12.126965509739415</v>
      </c>
      <c r="P450">
        <f>LN(dataset[[#This Row],[soda_ppu]])</f>
        <v>-0.34630037494019272</v>
      </c>
      <c r="Q450">
        <f>IF(dataset[[#This Row],[state]]="VA",1,0)</f>
        <v>0</v>
      </c>
    </row>
    <row r="451" spans="1:17" x14ac:dyDescent="0.35">
      <c r="A451">
        <v>202306</v>
      </c>
      <c r="B451">
        <v>50</v>
      </c>
      <c r="C451" s="2">
        <v>2321205.1203000001</v>
      </c>
      <c r="D451" s="2">
        <v>0.7167</v>
      </c>
      <c r="E451" s="3">
        <v>261995</v>
      </c>
      <c r="F451" s="2">
        <v>187771.11369999999</v>
      </c>
      <c r="G451" t="s">
        <v>1214</v>
      </c>
      <c r="H451" t="s">
        <v>6</v>
      </c>
      <c r="I451">
        <f>HLOOKUP(G451,zip_tiers!$A$1:$EON$2,2,FALSE)</f>
        <v>64581.333333333336</v>
      </c>
      <c r="J451" t="str">
        <f t="shared" si="7"/>
        <v>Med</v>
      </c>
      <c r="K451">
        <f>dataset[[#This Row],[soda_sales]]/dataset[[#This Row],[soda_units_sold]]</f>
        <v>0.71669731750605925</v>
      </c>
      <c r="L451" s="29">
        <f>dataset[[#This Row],[implied_soda_ppu]]-dataset[[#This Row],[soda_ppu]]</f>
        <v>-2.6824939407532611E-6</v>
      </c>
      <c r="M451">
        <f>dataset[[#This Row],[soda_sales]]/dataset[[#This Row],[total_sales]]</f>
        <v>8.0893804712843229E-2</v>
      </c>
      <c r="N451">
        <f>LN(dataset[[#This Row],[soda_units_sold]])</f>
        <v>12.476080698591668</v>
      </c>
      <c r="O451">
        <f>LN(dataset[[#This Row],[soda_sales]])</f>
        <v>12.142979019761684</v>
      </c>
      <c r="P451">
        <f>LN(dataset[[#This Row],[soda_ppu]])</f>
        <v>-0.3330979359822635</v>
      </c>
      <c r="Q451">
        <f>IF(dataset[[#This Row],[state]]="VA",1,0)</f>
        <v>0</v>
      </c>
    </row>
    <row r="452" spans="1:17" x14ac:dyDescent="0.35">
      <c r="A452">
        <v>202307</v>
      </c>
      <c r="B452">
        <v>50</v>
      </c>
      <c r="C452" s="2">
        <v>2252263.1998999999</v>
      </c>
      <c r="D452" s="2">
        <v>0.69899999999999995</v>
      </c>
      <c r="E452" s="3">
        <v>283718</v>
      </c>
      <c r="F452" s="2">
        <v>198316.83180000001</v>
      </c>
      <c r="G452" t="s">
        <v>1214</v>
      </c>
      <c r="H452" t="s">
        <v>6</v>
      </c>
      <c r="I452">
        <f>HLOOKUP(G452,zip_tiers!$A$1:$EON$2,2,FALSE)</f>
        <v>64581.333333333336</v>
      </c>
      <c r="J452" t="str">
        <f t="shared" si="7"/>
        <v>Med</v>
      </c>
      <c r="K452">
        <f>dataset[[#This Row],[soda_sales]]/dataset[[#This Row],[soda_units_sold]]</f>
        <v>0.69899277381061486</v>
      </c>
      <c r="L452" s="29">
        <f>dataset[[#This Row],[implied_soda_ppu]]-dataset[[#This Row],[soda_ppu]]</f>
        <v>-7.2261893850900094E-6</v>
      </c>
      <c r="M452">
        <f>dataset[[#This Row],[soda_sales]]/dataset[[#This Row],[total_sales]]</f>
        <v>8.8052245318755482E-2</v>
      </c>
      <c r="N452">
        <f>LN(dataset[[#This Row],[soda_units_sold]])</f>
        <v>12.555736066087738</v>
      </c>
      <c r="O452">
        <f>LN(dataset[[#This Row],[soda_sales]])</f>
        <v>12.197621191389858</v>
      </c>
      <c r="P452">
        <f>LN(dataset[[#This Row],[soda_ppu]])</f>
        <v>-0.35810453674832687</v>
      </c>
      <c r="Q452">
        <f>IF(dataset[[#This Row],[state]]="VA",1,0)</f>
        <v>0</v>
      </c>
    </row>
    <row r="453" spans="1:17" x14ac:dyDescent="0.35">
      <c r="A453">
        <v>202308</v>
      </c>
      <c r="B453">
        <v>50</v>
      </c>
      <c r="C453" s="2">
        <v>2080539.7183999999</v>
      </c>
      <c r="D453" s="2">
        <v>0.69850000000000001</v>
      </c>
      <c r="E453" s="3">
        <v>245914</v>
      </c>
      <c r="F453" s="2">
        <v>171761.658</v>
      </c>
      <c r="G453" t="s">
        <v>1214</v>
      </c>
      <c r="H453" t="s">
        <v>6</v>
      </c>
      <c r="I453">
        <f>HLOOKUP(G453,zip_tiers!$A$1:$EON$2,2,FALSE)</f>
        <v>64581.333333333336</v>
      </c>
      <c r="J453" t="str">
        <f t="shared" si="7"/>
        <v>Med</v>
      </c>
      <c r="K453">
        <f>dataset[[#This Row],[soda_sales]]/dataset[[#This Row],[soda_units_sold]]</f>
        <v>0.69846229982839525</v>
      </c>
      <c r="L453" s="29">
        <f>dataset[[#This Row],[implied_soda_ppu]]-dataset[[#This Row],[soda_ppu]]</f>
        <v>-3.7700171604759802E-5</v>
      </c>
      <c r="M453">
        <f>dataset[[#This Row],[soda_sales]]/dataset[[#This Row],[total_sales]]</f>
        <v>8.2556298483977067E-2</v>
      </c>
      <c r="N453">
        <f>LN(dataset[[#This Row],[soda_units_sold]])</f>
        <v>12.412737160296514</v>
      </c>
      <c r="O453">
        <f>LN(dataset[[#This Row],[soda_sales]])</f>
        <v>12.053863085510265</v>
      </c>
      <c r="P453">
        <f>LN(dataset[[#This Row],[soda_ppu]])</f>
        <v>-0.35882010028512051</v>
      </c>
      <c r="Q453">
        <f>IF(dataset[[#This Row],[state]]="VA",1,0)</f>
        <v>0</v>
      </c>
    </row>
    <row r="454" spans="1:17" x14ac:dyDescent="0.35">
      <c r="A454">
        <v>202309</v>
      </c>
      <c r="B454">
        <v>50</v>
      </c>
      <c r="C454" s="2">
        <v>2126819.7499000002</v>
      </c>
      <c r="D454" s="2">
        <v>0.69520000000000004</v>
      </c>
      <c r="E454" s="3">
        <v>239664</v>
      </c>
      <c r="F454" s="2">
        <v>166617.4167</v>
      </c>
      <c r="G454" t="s">
        <v>1214</v>
      </c>
      <c r="H454" t="s">
        <v>6</v>
      </c>
      <c r="I454">
        <f>HLOOKUP(G454,zip_tiers!$A$1:$EON$2,2,FALSE)</f>
        <v>64581.333333333336</v>
      </c>
      <c r="J454" t="str">
        <f t="shared" si="7"/>
        <v>Med</v>
      </c>
      <c r="K454">
        <f>dataset[[#This Row],[soda_sales]]/dataset[[#This Row],[soda_units_sold]]</f>
        <v>0.69521253379731629</v>
      </c>
      <c r="L454" s="29">
        <f>dataset[[#This Row],[implied_soda_ppu]]-dataset[[#This Row],[soda_ppu]]</f>
        <v>1.2533797316249817E-5</v>
      </c>
      <c r="M454">
        <f>dataset[[#This Row],[soda_sales]]/dataset[[#This Row],[total_sales]]</f>
        <v>7.8341108459160258E-2</v>
      </c>
      <c r="N454">
        <f>LN(dataset[[#This Row],[soda_units_sold]])</f>
        <v>12.386993221408501</v>
      </c>
      <c r="O454">
        <f>LN(dataset[[#This Row],[soda_sales]])</f>
        <v>12.02345554526755</v>
      </c>
      <c r="P454">
        <f>LN(dataset[[#This Row],[soda_ppu]])</f>
        <v>-0.36355570503095469</v>
      </c>
      <c r="Q454">
        <f>IF(dataset[[#This Row],[state]]="VA",1,0)</f>
        <v>0</v>
      </c>
    </row>
    <row r="455" spans="1:17" x14ac:dyDescent="0.35">
      <c r="A455">
        <v>202310</v>
      </c>
      <c r="B455">
        <v>50</v>
      </c>
      <c r="C455" s="2">
        <v>2552362.0723000001</v>
      </c>
      <c r="D455" s="2">
        <v>0.71789999999999998</v>
      </c>
      <c r="E455" s="3">
        <v>216849</v>
      </c>
      <c r="F455" s="2">
        <v>155680.14000000001</v>
      </c>
      <c r="G455" t="s">
        <v>1214</v>
      </c>
      <c r="H455" t="s">
        <v>6</v>
      </c>
      <c r="I455">
        <f>HLOOKUP(G455,zip_tiers!$A$1:$EON$2,2,FALSE)</f>
        <v>64581.333333333336</v>
      </c>
      <c r="J455" t="str">
        <f t="shared" si="7"/>
        <v>Med</v>
      </c>
      <c r="K455">
        <f>dataset[[#This Row],[soda_sales]]/dataset[[#This Row],[soda_units_sold]]</f>
        <v>0.71791956614971719</v>
      </c>
      <c r="L455" s="29">
        <f>dataset[[#This Row],[implied_soda_ppu]]-dataset[[#This Row],[soda_ppu]]</f>
        <v>1.9566149717209491E-5</v>
      </c>
      <c r="M455">
        <f>dataset[[#This Row],[soda_sales]]/dataset[[#This Row],[total_sales]]</f>
        <v>6.0994535880919347E-2</v>
      </c>
      <c r="N455">
        <f>LN(dataset[[#This Row],[soda_units_sold]])</f>
        <v>12.286956537770287</v>
      </c>
      <c r="O455">
        <f>LN(dataset[[#This Row],[soda_sales]])</f>
        <v>11.955558796700004</v>
      </c>
      <c r="P455">
        <f>LN(dataset[[#This Row],[soda_ppu]])</f>
        <v>-0.33142499539969977</v>
      </c>
      <c r="Q455">
        <f>IF(dataset[[#This Row],[state]]="VA",1,0)</f>
        <v>0</v>
      </c>
    </row>
    <row r="456" spans="1:17" x14ac:dyDescent="0.35">
      <c r="A456">
        <v>202311</v>
      </c>
      <c r="B456">
        <v>50</v>
      </c>
      <c r="C456" s="2">
        <v>2995606.2947</v>
      </c>
      <c r="D456" s="2">
        <v>0.7157</v>
      </c>
      <c r="E456" s="3">
        <v>205264</v>
      </c>
      <c r="F456" s="2">
        <v>146903.5208</v>
      </c>
      <c r="G456" t="s">
        <v>1214</v>
      </c>
      <c r="H456" t="s">
        <v>6</v>
      </c>
      <c r="I456">
        <f>HLOOKUP(G456,zip_tiers!$A$1:$EON$2,2,FALSE)</f>
        <v>64581.333333333336</v>
      </c>
      <c r="J456" t="str">
        <f t="shared" si="7"/>
        <v>Med</v>
      </c>
      <c r="K456">
        <f>dataset[[#This Row],[soda_sales]]/dataset[[#This Row],[soda_units_sold]]</f>
        <v>0.71568088315535117</v>
      </c>
      <c r="L456" s="29">
        <f>dataset[[#This Row],[implied_soda_ppu]]-dataset[[#This Row],[soda_ppu]]</f>
        <v>-1.9116844648836562E-5</v>
      </c>
      <c r="M456">
        <f>dataset[[#This Row],[soda_sales]]/dataset[[#This Row],[total_sales]]</f>
        <v>4.9039662207917716E-2</v>
      </c>
      <c r="N456">
        <f>LN(dataset[[#This Row],[soda_units_sold]])</f>
        <v>12.232052234489121</v>
      </c>
      <c r="O456">
        <f>LN(dataset[[#This Row],[soda_sales]])</f>
        <v>11.897531329199468</v>
      </c>
      <c r="P456">
        <f>LN(dataset[[#This Row],[soda_ppu]])</f>
        <v>-0.33449419423758525</v>
      </c>
      <c r="Q456">
        <f>IF(dataset[[#This Row],[state]]="VA",1,0)</f>
        <v>0</v>
      </c>
    </row>
    <row r="457" spans="1:17" x14ac:dyDescent="0.35">
      <c r="A457">
        <v>202312</v>
      </c>
      <c r="B457">
        <v>50</v>
      </c>
      <c r="C457" s="2">
        <v>3060453.1338</v>
      </c>
      <c r="D457" s="2">
        <v>0.72019999999999995</v>
      </c>
      <c r="E457" s="3">
        <v>201034</v>
      </c>
      <c r="F457" s="2">
        <v>144774.70310000001</v>
      </c>
      <c r="G457" t="s">
        <v>1214</v>
      </c>
      <c r="H457" t="s">
        <v>6</v>
      </c>
      <c r="I457">
        <f>HLOOKUP(G457,zip_tiers!$A$1:$EON$2,2,FALSE)</f>
        <v>64581.333333333336</v>
      </c>
      <c r="J457" t="str">
        <f t="shared" si="7"/>
        <v>Med</v>
      </c>
      <c r="K457">
        <f>dataset[[#This Row],[soda_sales]]/dataset[[#This Row],[soda_units_sold]]</f>
        <v>0.7201503382512412</v>
      </c>
      <c r="L457" s="29">
        <f>dataset[[#This Row],[implied_soda_ppu]]-dataset[[#This Row],[soda_ppu]]</f>
        <v>-4.9661748758755841E-5</v>
      </c>
      <c r="M457">
        <f>dataset[[#This Row],[soda_sales]]/dataset[[#This Row],[total_sales]]</f>
        <v>4.7304989415159267E-2</v>
      </c>
      <c r="N457">
        <f>LN(dataset[[#This Row],[soda_units_sold]])</f>
        <v>12.211229326965105</v>
      </c>
      <c r="O457">
        <f>LN(dataset[[#This Row],[soda_sales]])</f>
        <v>11.882934041323454</v>
      </c>
      <c r="P457">
        <f>LN(dataset[[#This Row],[soda_ppu]])</f>
        <v>-0.32822632776736227</v>
      </c>
      <c r="Q457">
        <f>IF(dataset[[#This Row],[state]]="VA",1,0)</f>
        <v>0</v>
      </c>
    </row>
    <row r="458" spans="1:17" x14ac:dyDescent="0.35">
      <c r="A458">
        <v>202401</v>
      </c>
      <c r="B458">
        <v>50</v>
      </c>
      <c r="C458" s="2">
        <v>1797193.8611000001</v>
      </c>
      <c r="D458" s="2">
        <v>0.70960000000000001</v>
      </c>
      <c r="E458" s="3">
        <v>154825</v>
      </c>
      <c r="F458" s="2">
        <v>109864.98729999999</v>
      </c>
      <c r="G458" t="s">
        <v>1214</v>
      </c>
      <c r="H458" t="s">
        <v>6</v>
      </c>
      <c r="I458">
        <f>HLOOKUP(G458,zip_tiers!$A$1:$EON$2,2,FALSE)</f>
        <v>64581.333333333336</v>
      </c>
      <c r="J458" t="str">
        <f t="shared" si="7"/>
        <v>Med</v>
      </c>
      <c r="K458">
        <f>dataset[[#This Row],[soda_sales]]/dataset[[#This Row],[soda_units_sold]]</f>
        <v>0.70960753948005806</v>
      </c>
      <c r="L458" s="29">
        <f>dataset[[#This Row],[implied_soda_ppu]]-dataset[[#This Row],[soda_ppu]]</f>
        <v>7.539480058049719E-6</v>
      </c>
      <c r="M458">
        <f>dataset[[#This Row],[soda_sales]]/dataset[[#This Row],[total_sales]]</f>
        <v>6.1131405842191913E-2</v>
      </c>
      <c r="N458">
        <f>LN(dataset[[#This Row],[soda_units_sold]])</f>
        <v>11.950050725806262</v>
      </c>
      <c r="O458">
        <f>LN(dataset[[#This Row],[soda_sales]])</f>
        <v>11.607007502734946</v>
      </c>
      <c r="P458">
        <f>LN(dataset[[#This Row],[soda_ppu]])</f>
        <v>-0.3430538479867673</v>
      </c>
      <c r="Q458">
        <f>IF(dataset[[#This Row],[state]]="VA",1,0)</f>
        <v>0</v>
      </c>
    </row>
    <row r="459" spans="1:17" x14ac:dyDescent="0.35">
      <c r="A459">
        <v>202402</v>
      </c>
      <c r="B459">
        <v>50</v>
      </c>
      <c r="C459" s="2">
        <v>1985902.2908999999</v>
      </c>
      <c r="D459" s="2">
        <v>0.7238</v>
      </c>
      <c r="E459" s="3">
        <v>168538</v>
      </c>
      <c r="F459" s="2">
        <v>121992.8814</v>
      </c>
      <c r="G459" t="s">
        <v>1214</v>
      </c>
      <c r="H459" t="s">
        <v>6</v>
      </c>
      <c r="I459">
        <f>HLOOKUP(G459,zip_tiers!$A$1:$EON$2,2,FALSE)</f>
        <v>64581.333333333336</v>
      </c>
      <c r="J459" t="str">
        <f t="shared" si="7"/>
        <v>Med</v>
      </c>
      <c r="K459">
        <f>dataset[[#This Row],[soda_sales]]/dataset[[#This Row],[soda_units_sold]]</f>
        <v>0.72383012377030698</v>
      </c>
      <c r="L459" s="29">
        <f>dataset[[#This Row],[implied_soda_ppu]]-dataset[[#This Row],[soda_ppu]]</f>
        <v>3.0123770306977882E-5</v>
      </c>
      <c r="M459">
        <f>dataset[[#This Row],[soda_sales]]/dataset[[#This Row],[total_sales]]</f>
        <v>6.1429447943641531E-2</v>
      </c>
      <c r="N459">
        <f>LN(dataset[[#This Row],[soda_units_sold]])</f>
        <v>12.034916522636735</v>
      </c>
      <c r="O459">
        <f>LN(dataset[[#This Row],[soda_sales]])</f>
        <v>11.711717972832686</v>
      </c>
      <c r="P459">
        <f>LN(dataset[[#This Row],[soda_ppu]])</f>
        <v>-0.32324016785249499</v>
      </c>
      <c r="Q459">
        <f>IF(dataset[[#This Row],[state]]="VA",1,0)</f>
        <v>0</v>
      </c>
    </row>
    <row r="460" spans="1:17" x14ac:dyDescent="0.35">
      <c r="A460">
        <v>202403</v>
      </c>
      <c r="B460">
        <v>50</v>
      </c>
      <c r="C460" s="2">
        <v>2284920.6365</v>
      </c>
      <c r="D460" s="2">
        <v>0.72099999999999997</v>
      </c>
      <c r="E460" s="3">
        <v>203405</v>
      </c>
      <c r="F460" s="2">
        <v>146659.04019999999</v>
      </c>
      <c r="G460" t="s">
        <v>1214</v>
      </c>
      <c r="H460" t="s">
        <v>6</v>
      </c>
      <c r="I460">
        <f>HLOOKUP(G460,zip_tiers!$A$1:$EON$2,2,FALSE)</f>
        <v>64581.333333333336</v>
      </c>
      <c r="J460" t="str">
        <f t="shared" si="7"/>
        <v>Med</v>
      </c>
      <c r="K460">
        <f>dataset[[#This Row],[soda_sales]]/dataset[[#This Row],[soda_units_sold]]</f>
        <v>0.72101983825373017</v>
      </c>
      <c r="L460" s="29">
        <f>dataset[[#This Row],[implied_soda_ppu]]-dataset[[#This Row],[soda_ppu]]</f>
        <v>1.9838253730197764E-5</v>
      </c>
      <c r="M460">
        <f>dataset[[#This Row],[soda_sales]]/dataset[[#This Row],[total_sales]]</f>
        <v>6.4185616715620217E-2</v>
      </c>
      <c r="N460">
        <f>LN(dataset[[#This Row],[soda_units_sold]])</f>
        <v>12.222954344398691</v>
      </c>
      <c r="O460">
        <f>LN(dataset[[#This Row],[soda_sales]])</f>
        <v>11.895865717237994</v>
      </c>
      <c r="P460">
        <f>LN(dataset[[#This Row],[soda_ppu]])</f>
        <v>-0.327116141697188</v>
      </c>
      <c r="Q460">
        <f>IF(dataset[[#This Row],[state]]="VA",1,0)</f>
        <v>0</v>
      </c>
    </row>
    <row r="461" spans="1:17" x14ac:dyDescent="0.35">
      <c r="A461">
        <v>202404</v>
      </c>
      <c r="B461">
        <v>50</v>
      </c>
      <c r="C461" s="2">
        <v>2344494.7173000001</v>
      </c>
      <c r="D461" s="2">
        <v>0.7359</v>
      </c>
      <c r="E461" s="3">
        <v>228468</v>
      </c>
      <c r="F461" s="2">
        <v>168123.28899999999</v>
      </c>
      <c r="G461" t="s">
        <v>1214</v>
      </c>
      <c r="H461" t="s">
        <v>6</v>
      </c>
      <c r="I461">
        <f>HLOOKUP(G461,zip_tiers!$A$1:$EON$2,2,FALSE)</f>
        <v>64581.333333333336</v>
      </c>
      <c r="J461" t="str">
        <f t="shared" si="7"/>
        <v>Med</v>
      </c>
      <c r="K461">
        <f>dataset[[#This Row],[soda_sales]]/dataset[[#This Row],[soda_units_sold]]</f>
        <v>0.73587237162315944</v>
      </c>
      <c r="L461" s="29">
        <f>dataset[[#This Row],[implied_soda_ppu]]-dataset[[#This Row],[soda_ppu]]</f>
        <v>-2.762837684056052E-5</v>
      </c>
      <c r="M461">
        <f>dataset[[#This Row],[soda_sales]]/dataset[[#This Row],[total_sales]]</f>
        <v>7.1709817795459346E-2</v>
      </c>
      <c r="N461">
        <f>LN(dataset[[#This Row],[soda_units_sold]])</f>
        <v>12.339151435745677</v>
      </c>
      <c r="O461">
        <f>LN(dataset[[#This Row],[soda_sales]])</f>
        <v>12.032452852334782</v>
      </c>
      <c r="P461">
        <f>LN(dataset[[#This Row],[soda_ppu]])</f>
        <v>-0.30666103904958375</v>
      </c>
      <c r="Q461">
        <f>IF(dataset[[#This Row],[state]]="VA",1,0)</f>
        <v>0</v>
      </c>
    </row>
    <row r="462" spans="1:17" x14ac:dyDescent="0.35">
      <c r="A462">
        <v>202405</v>
      </c>
      <c r="B462">
        <v>50</v>
      </c>
      <c r="C462" s="2">
        <v>2483343.9112999998</v>
      </c>
      <c r="D462" s="2">
        <v>0.75470000000000004</v>
      </c>
      <c r="E462" s="3">
        <v>248111</v>
      </c>
      <c r="F462" s="2">
        <v>187253.307</v>
      </c>
      <c r="G462" t="s">
        <v>1214</v>
      </c>
      <c r="H462" t="s">
        <v>6</v>
      </c>
      <c r="I462">
        <f>HLOOKUP(G462,zip_tiers!$A$1:$EON$2,2,FALSE)</f>
        <v>64581.333333333336</v>
      </c>
      <c r="J462" t="str">
        <f t="shared" si="7"/>
        <v>Med</v>
      </c>
      <c r="K462">
        <f>dataset[[#This Row],[soda_sales]]/dataset[[#This Row],[soda_units_sold]]</f>
        <v>0.75471586104606403</v>
      </c>
      <c r="L462" s="29">
        <f>dataset[[#This Row],[implied_soda_ppu]]-dataset[[#This Row],[soda_ppu]]</f>
        <v>1.5861046063991857E-5</v>
      </c>
      <c r="M462">
        <f>dataset[[#This Row],[soda_sales]]/dataset[[#This Row],[total_sales]]</f>
        <v>7.5403695053245845E-2</v>
      </c>
      <c r="N462">
        <f>LN(dataset[[#This Row],[soda_units_sold]])</f>
        <v>12.421631505657942</v>
      </c>
      <c r="O462">
        <f>LN(dataset[[#This Row],[soda_sales]])</f>
        <v>12.14021756210469</v>
      </c>
      <c r="P462">
        <f>LN(dataset[[#This Row],[soda_ppu]])</f>
        <v>-0.28143495969131427</v>
      </c>
      <c r="Q462">
        <f>IF(dataset[[#This Row],[state]]="VA",1,0)</f>
        <v>0</v>
      </c>
    </row>
    <row r="463" spans="1:17" x14ac:dyDescent="0.35">
      <c r="A463">
        <v>202406</v>
      </c>
      <c r="B463">
        <v>50</v>
      </c>
      <c r="C463" s="2">
        <v>2379614.4571000002</v>
      </c>
      <c r="D463" s="2">
        <v>0.7258</v>
      </c>
      <c r="E463" s="3">
        <v>266661</v>
      </c>
      <c r="F463" s="2">
        <v>193537.85889999999</v>
      </c>
      <c r="G463" t="s">
        <v>1214</v>
      </c>
      <c r="H463" t="s">
        <v>6</v>
      </c>
      <c r="I463">
        <f>HLOOKUP(G463,zip_tiers!$A$1:$EON$2,2,FALSE)</f>
        <v>64581.333333333336</v>
      </c>
      <c r="J463" t="str">
        <f t="shared" si="7"/>
        <v>Med</v>
      </c>
      <c r="K463">
        <f>dataset[[#This Row],[soda_sales]]/dataset[[#This Row],[soda_units_sold]]</f>
        <v>0.72578239375086717</v>
      </c>
      <c r="L463" s="29">
        <f>dataset[[#This Row],[implied_soda_ppu]]-dataset[[#This Row],[soda_ppu]]</f>
        <v>-1.7606249132828822E-5</v>
      </c>
      <c r="M463">
        <f>dataset[[#This Row],[soda_sales]]/dataset[[#This Row],[total_sales]]</f>
        <v>8.1331603244612E-2</v>
      </c>
      <c r="N463">
        <f>LN(dataset[[#This Row],[soda_units_sold]])</f>
        <v>12.49373346775617</v>
      </c>
      <c r="O463">
        <f>LN(dataset[[#This Row],[soda_sales]])</f>
        <v>12.17322842554435</v>
      </c>
      <c r="P463">
        <f>LN(dataset[[#This Row],[soda_ppu]])</f>
        <v>-0.32048078420316711</v>
      </c>
      <c r="Q463">
        <f>IF(dataset[[#This Row],[state]]="VA",1,0)</f>
        <v>0</v>
      </c>
    </row>
    <row r="464" spans="1:17" x14ac:dyDescent="0.35">
      <c r="A464">
        <v>202407</v>
      </c>
      <c r="B464">
        <v>50</v>
      </c>
      <c r="C464" s="2">
        <v>2217559.0014</v>
      </c>
      <c r="D464" s="2">
        <v>0.73109999999999997</v>
      </c>
      <c r="E464" s="3">
        <v>269432</v>
      </c>
      <c r="F464" s="2">
        <v>196975.12969999999</v>
      </c>
      <c r="G464" t="s">
        <v>1214</v>
      </c>
      <c r="H464" t="s">
        <v>6</v>
      </c>
      <c r="I464">
        <f>HLOOKUP(G464,zip_tiers!$A$1:$EON$2,2,FALSE)</f>
        <v>64581.333333333336</v>
      </c>
      <c r="J464" t="str">
        <f t="shared" si="7"/>
        <v>Med</v>
      </c>
      <c r="K464">
        <f>dataset[[#This Row],[soda_sales]]/dataset[[#This Row],[soda_units_sold]]</f>
        <v>0.73107548360996466</v>
      </c>
      <c r="L464" s="29">
        <f>dataset[[#This Row],[implied_soda_ppu]]-dataset[[#This Row],[soda_ppu]]</f>
        <v>-2.4516390035311808E-5</v>
      </c>
      <c r="M464">
        <f>dataset[[#This Row],[soda_sales]]/dataset[[#This Row],[total_sales]]</f>
        <v>8.8825203557445234E-2</v>
      </c>
      <c r="N464">
        <f>LN(dataset[[#This Row],[soda_units_sold]])</f>
        <v>12.504071318383906</v>
      </c>
      <c r="O464">
        <f>LN(dataset[[#This Row],[soda_sales]])</f>
        <v>12.190832754572867</v>
      </c>
      <c r="P464">
        <f>LN(dataset[[#This Row],[soda_ppu]])</f>
        <v>-0.31320502968286684</v>
      </c>
      <c r="Q464">
        <f>IF(dataset[[#This Row],[state]]="VA",1,0)</f>
        <v>0</v>
      </c>
    </row>
    <row r="465" spans="1:17" x14ac:dyDescent="0.35">
      <c r="A465">
        <v>202408</v>
      </c>
      <c r="B465">
        <v>50</v>
      </c>
      <c r="C465" s="2">
        <v>2135056.0301000001</v>
      </c>
      <c r="D465" s="2">
        <v>0.72009999999999996</v>
      </c>
      <c r="E465" s="3">
        <v>241435</v>
      </c>
      <c r="F465" s="2">
        <v>173869.1225</v>
      </c>
      <c r="G465" t="s">
        <v>1214</v>
      </c>
      <c r="H465" t="s">
        <v>6</v>
      </c>
      <c r="I465">
        <f>HLOOKUP(G465,zip_tiers!$A$1:$EON$2,2,FALSE)</f>
        <v>64581.333333333336</v>
      </c>
      <c r="J465" t="str">
        <f t="shared" si="7"/>
        <v>Med</v>
      </c>
      <c r="K465">
        <f>dataset[[#This Row],[soda_sales]]/dataset[[#This Row],[soda_units_sold]]</f>
        <v>0.72014878745832211</v>
      </c>
      <c r="L465" s="29">
        <f>dataset[[#This Row],[implied_soda_ppu]]-dataset[[#This Row],[soda_ppu]]</f>
        <v>4.8787458322152588E-5</v>
      </c>
      <c r="M465">
        <f>dataset[[#This Row],[soda_sales]]/dataset[[#This Row],[total_sales]]</f>
        <v>8.1435390944684688E-2</v>
      </c>
      <c r="N465">
        <f>LN(dataset[[#This Row],[soda_units_sold]])</f>
        <v>12.394355564708381</v>
      </c>
      <c r="O465">
        <f>LN(dataset[[#This Row],[soda_sales]])</f>
        <v>12.066058125634999</v>
      </c>
      <c r="P465">
        <f>LN(dataset[[#This Row],[soda_ppu]])</f>
        <v>-0.32836518772731599</v>
      </c>
      <c r="Q465">
        <f>IF(dataset[[#This Row],[state]]="VA",1,0)</f>
        <v>0</v>
      </c>
    </row>
    <row r="466" spans="1:17" x14ac:dyDescent="0.35">
      <c r="A466">
        <v>202409</v>
      </c>
      <c r="B466">
        <v>50</v>
      </c>
      <c r="C466" s="2">
        <v>2162058.5427000001</v>
      </c>
      <c r="D466" s="2">
        <v>0.74050000000000005</v>
      </c>
      <c r="E466" s="3">
        <v>226278</v>
      </c>
      <c r="F466" s="2">
        <v>167552.69270000001</v>
      </c>
      <c r="G466" t="s">
        <v>1214</v>
      </c>
      <c r="H466" t="s">
        <v>6</v>
      </c>
      <c r="I466">
        <f>HLOOKUP(G466,zip_tiers!$A$1:$EON$2,2,FALSE)</f>
        <v>64581.333333333336</v>
      </c>
      <c r="J466" t="str">
        <f t="shared" si="7"/>
        <v>Med</v>
      </c>
      <c r="K466">
        <f>dataset[[#This Row],[soda_sales]]/dataset[[#This Row],[soda_units_sold]]</f>
        <v>0.74047274900785764</v>
      </c>
      <c r="L466" s="29">
        <f>dataset[[#This Row],[implied_soda_ppu]]-dataset[[#This Row],[soda_ppu]]</f>
        <v>-2.7250992142402453E-5</v>
      </c>
      <c r="M466">
        <f>dataset[[#This Row],[soda_sales]]/dataset[[#This Row],[total_sales]]</f>
        <v>7.7496834332135403E-2</v>
      </c>
      <c r="N466">
        <f>LN(dataset[[#This Row],[soda_units_sold]])</f>
        <v>12.329519610810996</v>
      </c>
      <c r="O466">
        <f>LN(dataset[[#This Row],[soda_sales]])</f>
        <v>12.029053164059894</v>
      </c>
      <c r="P466">
        <f>LN(dataset[[#This Row],[soda_ppu]])</f>
        <v>-0.30042964527428351</v>
      </c>
      <c r="Q466">
        <f>IF(dataset[[#This Row],[state]]="VA",1,0)</f>
        <v>0</v>
      </c>
    </row>
    <row r="467" spans="1:17" x14ac:dyDescent="0.35">
      <c r="A467">
        <v>202410</v>
      </c>
      <c r="B467">
        <v>50</v>
      </c>
      <c r="C467" s="2">
        <v>2656578.4744000002</v>
      </c>
      <c r="D467" s="2">
        <v>0.76259999999999994</v>
      </c>
      <c r="E467" s="3">
        <v>213381</v>
      </c>
      <c r="F467" s="2">
        <v>162732.8982</v>
      </c>
      <c r="G467" t="s">
        <v>1214</v>
      </c>
      <c r="H467" t="s">
        <v>6</v>
      </c>
      <c r="I467">
        <f>HLOOKUP(G467,zip_tiers!$A$1:$EON$2,2,FALSE)</f>
        <v>64581.333333333336</v>
      </c>
      <c r="J467" t="str">
        <f t="shared" si="7"/>
        <v>Med</v>
      </c>
      <c r="K467">
        <f>dataset[[#This Row],[soda_sales]]/dataset[[#This Row],[soda_units_sold]]</f>
        <v>0.76264005792455747</v>
      </c>
      <c r="L467" s="29">
        <f>dataset[[#This Row],[implied_soda_ppu]]-dataset[[#This Row],[soda_ppu]]</f>
        <v>4.0057924557523883E-5</v>
      </c>
      <c r="M467">
        <f>dataset[[#This Row],[soda_sales]]/dataset[[#This Row],[total_sales]]</f>
        <v>6.1256574864310728E-2</v>
      </c>
      <c r="N467">
        <f>LN(dataset[[#This Row],[soda_units_sold]])</f>
        <v>12.270834579209305</v>
      </c>
      <c r="O467">
        <f>LN(dataset[[#This Row],[soda_sales]])</f>
        <v>11.999865474365174</v>
      </c>
      <c r="P467">
        <f>LN(dataset[[#This Row],[soda_ppu]])</f>
        <v>-0.27102163155867376</v>
      </c>
      <c r="Q467">
        <f>IF(dataset[[#This Row],[state]]="VA",1,0)</f>
        <v>0</v>
      </c>
    </row>
    <row r="468" spans="1:17" x14ac:dyDescent="0.35">
      <c r="A468">
        <v>202411</v>
      </c>
      <c r="B468">
        <v>50</v>
      </c>
      <c r="C468" s="2">
        <v>2987546.9964999999</v>
      </c>
      <c r="D468" s="2">
        <v>0.74099999999999999</v>
      </c>
      <c r="E468" s="3">
        <v>205296</v>
      </c>
      <c r="F468" s="2">
        <v>152121.86240000001</v>
      </c>
      <c r="G468" t="s">
        <v>1214</v>
      </c>
      <c r="H468" t="s">
        <v>6</v>
      </c>
      <c r="I468">
        <f>HLOOKUP(G468,zip_tiers!$A$1:$EON$2,2,FALSE)</f>
        <v>64581.333333333336</v>
      </c>
      <c r="J468" t="str">
        <f t="shared" si="7"/>
        <v>Med</v>
      </c>
      <c r="K468">
        <f>dataset[[#This Row],[soda_sales]]/dataset[[#This Row],[soda_units_sold]]</f>
        <v>0.74098795105603621</v>
      </c>
      <c r="L468" s="29">
        <f>dataset[[#This Row],[implied_soda_ppu]]-dataset[[#This Row],[soda_ppu]]</f>
        <v>-1.2048943963782754E-5</v>
      </c>
      <c r="M468">
        <f>dataset[[#This Row],[soda_sales]]/dataset[[#This Row],[total_sales]]</f>
        <v>5.0918650845732404E-2</v>
      </c>
      <c r="N468">
        <f>LN(dataset[[#This Row],[soda_units_sold]])</f>
        <v>12.2322081191348</v>
      </c>
      <c r="O468">
        <f>LN(dataset[[#This Row],[soda_sales]])</f>
        <v>11.932437204933331</v>
      </c>
      <c r="P468">
        <f>LN(dataset[[#This Row],[soda_ppu]])</f>
        <v>-0.2997546536860502</v>
      </c>
      <c r="Q468">
        <f>IF(dataset[[#This Row],[state]]="VA",1,0)</f>
        <v>0</v>
      </c>
    </row>
    <row r="469" spans="1:17" x14ac:dyDescent="0.35">
      <c r="A469">
        <v>202412</v>
      </c>
      <c r="B469">
        <v>50</v>
      </c>
      <c r="C469" s="2">
        <v>3176354.7749999999</v>
      </c>
      <c r="D469" s="2">
        <v>0.74470000000000003</v>
      </c>
      <c r="E469" s="3">
        <v>201762</v>
      </c>
      <c r="F469" s="2">
        <v>150244.83600000001</v>
      </c>
      <c r="G469" t="s">
        <v>1214</v>
      </c>
      <c r="H469" t="s">
        <v>6</v>
      </c>
      <c r="I469">
        <f>HLOOKUP(G469,zip_tiers!$A$1:$EON$2,2,FALSE)</f>
        <v>64581.333333333336</v>
      </c>
      <c r="J469" t="str">
        <f t="shared" si="7"/>
        <v>Med</v>
      </c>
      <c r="K469">
        <f>dataset[[#This Row],[soda_sales]]/dataset[[#This Row],[soda_units_sold]]</f>
        <v>0.74466369286585188</v>
      </c>
      <c r="L469" s="29">
        <f>dataset[[#This Row],[implied_soda_ppu]]-dataset[[#This Row],[soda_ppu]]</f>
        <v>-3.6307134148150233E-5</v>
      </c>
      <c r="M469">
        <f>dataset[[#This Row],[soda_sales]]/dataset[[#This Row],[total_sales]]</f>
        <v>4.7301024804447422E-2</v>
      </c>
      <c r="N469">
        <f>LN(dataset[[#This Row],[soda_units_sold]])</f>
        <v>12.21484406391726</v>
      </c>
      <c r="O469">
        <f>LN(dataset[[#This Row],[soda_sales]])</f>
        <v>11.920021482422454</v>
      </c>
      <c r="P469">
        <f>LN(dataset[[#This Row],[soda_ppu]])</f>
        <v>-0.29477382626553716</v>
      </c>
      <c r="Q469">
        <f>IF(dataset[[#This Row],[state]]="VA",1,0)</f>
        <v>0</v>
      </c>
    </row>
    <row r="470" spans="1:17" x14ac:dyDescent="0.35">
      <c r="A470">
        <v>202201</v>
      </c>
      <c r="B470">
        <v>24</v>
      </c>
      <c r="C470" s="2">
        <v>1957889.2971000001</v>
      </c>
      <c r="D470" s="2">
        <v>0.67579999999999996</v>
      </c>
      <c r="E470" s="3">
        <v>149491</v>
      </c>
      <c r="F470" s="2">
        <v>101018.6722</v>
      </c>
      <c r="G470" t="s">
        <v>1283</v>
      </c>
      <c r="H470" t="s">
        <v>6</v>
      </c>
      <c r="I470">
        <f>HLOOKUP(G470,zip_tiers!$A$1:$EON$2,2,FALSE)</f>
        <v>78620</v>
      </c>
      <c r="J470" t="str">
        <f t="shared" si="7"/>
        <v>Med</v>
      </c>
      <c r="K470">
        <f>dataset[[#This Row],[soda_sales]]/dataset[[#This Row],[soda_units_sold]]</f>
        <v>0.67575086259373474</v>
      </c>
      <c r="L470" s="29">
        <f>dataset[[#This Row],[implied_soda_ppu]]-dataset[[#This Row],[soda_ppu]]</f>
        <v>-4.9137406265220562E-5</v>
      </c>
      <c r="M470">
        <f>dataset[[#This Row],[soda_sales]]/dataset[[#This Row],[total_sales]]</f>
        <v>5.1595701733304092E-2</v>
      </c>
      <c r="N470">
        <f>LN(dataset[[#This Row],[soda_units_sold]])</f>
        <v>11.914991469331849</v>
      </c>
      <c r="O470">
        <f>LN(dataset[[#This Row],[soda_sales]])</f>
        <v>11.523060652003768</v>
      </c>
      <c r="P470">
        <f>LN(dataset[[#This Row],[soda_ppu]])</f>
        <v>-0.39185810470194754</v>
      </c>
      <c r="Q470">
        <f>IF(dataset[[#This Row],[state]]="VA",1,0)</f>
        <v>0</v>
      </c>
    </row>
    <row r="471" spans="1:17" x14ac:dyDescent="0.35">
      <c r="A471">
        <v>202202</v>
      </c>
      <c r="B471">
        <v>24</v>
      </c>
      <c r="C471" s="2">
        <v>2198282.0482000001</v>
      </c>
      <c r="D471" s="2">
        <v>0.66810000000000003</v>
      </c>
      <c r="E471" s="3">
        <v>166274</v>
      </c>
      <c r="F471" s="2">
        <v>111079.8515</v>
      </c>
      <c r="G471" t="s">
        <v>1283</v>
      </c>
      <c r="H471" t="s">
        <v>6</v>
      </c>
      <c r="I471">
        <f>HLOOKUP(G471,zip_tiers!$A$1:$EON$2,2,FALSE)</f>
        <v>78620</v>
      </c>
      <c r="J471" t="str">
        <f t="shared" si="7"/>
        <v>Med</v>
      </c>
      <c r="K471">
        <f>dataset[[#This Row],[soda_sales]]/dataset[[#This Row],[soda_units_sold]]</f>
        <v>0.66805304196687398</v>
      </c>
      <c r="L471" s="29">
        <f>dataset[[#This Row],[implied_soda_ppu]]-dataset[[#This Row],[soda_ppu]]</f>
        <v>-4.6958033126043297E-5</v>
      </c>
      <c r="M471">
        <f>dataset[[#This Row],[soda_sales]]/dataset[[#This Row],[total_sales]]</f>
        <v>5.0530300054515087E-2</v>
      </c>
      <c r="N471">
        <f>LN(dataset[[#This Row],[soda_units_sold]])</f>
        <v>12.021392309001325</v>
      </c>
      <c r="O471">
        <f>LN(dataset[[#This Row],[soda_sales]])</f>
        <v>11.618004604545517</v>
      </c>
      <c r="P471">
        <f>LN(dataset[[#This Row],[soda_ppu]])</f>
        <v>-0.40331741605070537</v>
      </c>
      <c r="Q471">
        <f>IF(dataset[[#This Row],[state]]="VA",1,0)</f>
        <v>0</v>
      </c>
    </row>
    <row r="472" spans="1:17" x14ac:dyDescent="0.35">
      <c r="A472">
        <v>202203</v>
      </c>
      <c r="B472">
        <v>24</v>
      </c>
      <c r="C472" s="2">
        <v>2423952.8565000002</v>
      </c>
      <c r="D472" s="2">
        <v>0.68300000000000005</v>
      </c>
      <c r="E472" s="3">
        <v>191740</v>
      </c>
      <c r="F472" s="2">
        <v>130964.03720000001</v>
      </c>
      <c r="G472" t="s">
        <v>1283</v>
      </c>
      <c r="H472" t="s">
        <v>6</v>
      </c>
      <c r="I472">
        <f>HLOOKUP(G472,zip_tiers!$A$1:$EON$2,2,FALSE)</f>
        <v>78620</v>
      </c>
      <c r="J472" t="str">
        <f t="shared" si="7"/>
        <v>Med</v>
      </c>
      <c r="K472">
        <f>dataset[[#This Row],[soda_sales]]/dataset[[#This Row],[soda_units_sold]]</f>
        <v>0.68302929592156048</v>
      </c>
      <c r="L472" s="29">
        <f>dataset[[#This Row],[implied_soda_ppu]]-dataset[[#This Row],[soda_ppu]]</f>
        <v>2.9295921560423821E-5</v>
      </c>
      <c r="M472">
        <f>dataset[[#This Row],[soda_sales]]/dataset[[#This Row],[total_sales]]</f>
        <v>5.4029118944624158E-2</v>
      </c>
      <c r="N472">
        <f>LN(dataset[[#This Row],[soda_units_sold]])</f>
        <v>12.163895566630988</v>
      </c>
      <c r="O472">
        <f>LN(dataset[[#This Row],[soda_sales]])</f>
        <v>11.78267803930351</v>
      </c>
      <c r="P472">
        <f>LN(dataset[[#This Row],[soda_ppu]])</f>
        <v>-0.38126041941134692</v>
      </c>
      <c r="Q472">
        <f>IF(dataset[[#This Row],[state]]="VA",1,0)</f>
        <v>0</v>
      </c>
    </row>
    <row r="473" spans="1:17" x14ac:dyDescent="0.35">
      <c r="A473">
        <v>202204</v>
      </c>
      <c r="B473">
        <v>24</v>
      </c>
      <c r="C473" s="2">
        <v>2601571.0773999998</v>
      </c>
      <c r="D473" s="2">
        <v>0.69920000000000004</v>
      </c>
      <c r="E473" s="3">
        <v>221157</v>
      </c>
      <c r="F473" s="2">
        <v>154622.7885</v>
      </c>
      <c r="G473" t="s">
        <v>1283</v>
      </c>
      <c r="H473" t="s">
        <v>6</v>
      </c>
      <c r="I473">
        <f>HLOOKUP(G473,zip_tiers!$A$1:$EON$2,2,FALSE)</f>
        <v>78620</v>
      </c>
      <c r="J473" t="str">
        <f t="shared" si="7"/>
        <v>Med</v>
      </c>
      <c r="K473">
        <f>dataset[[#This Row],[soda_sales]]/dataset[[#This Row],[soda_units_sold]]</f>
        <v>0.69915394267420883</v>
      </c>
      <c r="L473" s="29">
        <f>dataset[[#This Row],[implied_soda_ppu]]-dataset[[#This Row],[soda_ppu]]</f>
        <v>-4.6057325791215575E-5</v>
      </c>
      <c r="M473">
        <f>dataset[[#This Row],[soda_sales]]/dataset[[#This Row],[total_sales]]</f>
        <v>5.9434389413080893E-2</v>
      </c>
      <c r="N473">
        <f>LN(dataset[[#This Row],[soda_units_sold]])</f>
        <v>12.306628135519931</v>
      </c>
      <c r="O473">
        <f>LN(dataset[[#This Row],[soda_sales]])</f>
        <v>11.948743807248128</v>
      </c>
      <c r="P473">
        <f>LN(dataset[[#This Row],[soda_ppu]])</f>
        <v>-0.3578184546408113</v>
      </c>
      <c r="Q473">
        <f>IF(dataset[[#This Row],[state]]="VA",1,0)</f>
        <v>0</v>
      </c>
    </row>
    <row r="474" spans="1:17" x14ac:dyDescent="0.35">
      <c r="A474">
        <v>202205</v>
      </c>
      <c r="B474">
        <v>24</v>
      </c>
      <c r="C474" s="2">
        <v>2738109.3297000001</v>
      </c>
      <c r="D474" s="2">
        <v>0.6925</v>
      </c>
      <c r="E474" s="3">
        <v>250119</v>
      </c>
      <c r="F474" s="2">
        <v>173201.50289999999</v>
      </c>
      <c r="G474" t="s">
        <v>1283</v>
      </c>
      <c r="H474" t="s">
        <v>6</v>
      </c>
      <c r="I474">
        <f>HLOOKUP(G474,zip_tiers!$A$1:$EON$2,2,FALSE)</f>
        <v>78620</v>
      </c>
      <c r="J474" t="str">
        <f t="shared" si="7"/>
        <v>Med</v>
      </c>
      <c r="K474">
        <f>dataset[[#This Row],[soda_sales]]/dataset[[#This Row],[soda_units_sold]]</f>
        <v>0.69247639283700957</v>
      </c>
      <c r="L474" s="29">
        <f>dataset[[#This Row],[implied_soda_ppu]]-dataset[[#This Row],[soda_ppu]]</f>
        <v>-2.3607162990435526E-5</v>
      </c>
      <c r="M474">
        <f>dataset[[#This Row],[soda_sales]]/dataset[[#This Row],[total_sales]]</f>
        <v>6.3255875512822107E-2</v>
      </c>
      <c r="N474">
        <f>LN(dataset[[#This Row],[soda_units_sold]])</f>
        <v>12.42969208359232</v>
      </c>
      <c r="O474">
        <f>LN(dataset[[#This Row],[soda_sales]])</f>
        <v>12.062210952324557</v>
      </c>
      <c r="P474">
        <f>LN(dataset[[#This Row],[soda_ppu]])</f>
        <v>-0.36744704092064345</v>
      </c>
      <c r="Q474">
        <f>IF(dataset[[#This Row],[state]]="VA",1,0)</f>
        <v>0</v>
      </c>
    </row>
    <row r="475" spans="1:17" x14ac:dyDescent="0.35">
      <c r="A475">
        <v>202206</v>
      </c>
      <c r="B475">
        <v>24</v>
      </c>
      <c r="C475" s="2">
        <v>2584243.6335999998</v>
      </c>
      <c r="D475" s="2">
        <v>0.67049999999999998</v>
      </c>
      <c r="E475" s="3">
        <v>266879</v>
      </c>
      <c r="F475" s="2">
        <v>178941.05170000001</v>
      </c>
      <c r="G475" t="s">
        <v>1283</v>
      </c>
      <c r="H475" t="s">
        <v>6</v>
      </c>
      <c r="I475">
        <f>HLOOKUP(G475,zip_tiers!$A$1:$EON$2,2,FALSE)</f>
        <v>78620</v>
      </c>
      <c r="J475" t="str">
        <f t="shared" si="7"/>
        <v>Med</v>
      </c>
      <c r="K475">
        <f>dataset[[#This Row],[soda_sales]]/dataset[[#This Row],[soda_units_sold]]</f>
        <v>0.67049506218173782</v>
      </c>
      <c r="L475" s="29">
        <f>dataset[[#This Row],[implied_soda_ppu]]-dataset[[#This Row],[soda_ppu]]</f>
        <v>-4.9378182621628852E-6</v>
      </c>
      <c r="M475">
        <f>dataset[[#This Row],[soda_sales]]/dataset[[#This Row],[total_sales]]</f>
        <v>6.9243104393653804E-2</v>
      </c>
      <c r="N475">
        <f>LN(dataset[[#This Row],[soda_units_sold]])</f>
        <v>12.494550651143101</v>
      </c>
      <c r="O475">
        <f>LN(dataset[[#This Row],[soda_sales]])</f>
        <v>12.094811710473385</v>
      </c>
      <c r="P475">
        <f>LN(dataset[[#This Row],[soda_ppu]])</f>
        <v>-0.39973157626040384</v>
      </c>
      <c r="Q475">
        <f>IF(dataset[[#This Row],[state]]="VA",1,0)</f>
        <v>0</v>
      </c>
    </row>
    <row r="476" spans="1:17" x14ac:dyDescent="0.35">
      <c r="A476">
        <v>202207</v>
      </c>
      <c r="B476">
        <v>24</v>
      </c>
      <c r="C476" s="2">
        <v>2469644.6631999998</v>
      </c>
      <c r="D476" s="2">
        <v>0.68140000000000001</v>
      </c>
      <c r="E476" s="3">
        <v>271417</v>
      </c>
      <c r="F476" s="2">
        <v>184949.91589999999</v>
      </c>
      <c r="G476" t="s">
        <v>1283</v>
      </c>
      <c r="H476" t="s">
        <v>6</v>
      </c>
      <c r="I476">
        <f>HLOOKUP(G476,zip_tiers!$A$1:$EON$2,2,FALSE)</f>
        <v>78620</v>
      </c>
      <c r="J476" t="str">
        <f t="shared" si="7"/>
        <v>Med</v>
      </c>
      <c r="K476">
        <f>dataset[[#This Row],[soda_sales]]/dataset[[#This Row],[soda_units_sold]]</f>
        <v>0.68142347715876306</v>
      </c>
      <c r="L476" s="29">
        <f>dataset[[#This Row],[implied_soda_ppu]]-dataset[[#This Row],[soda_ppu]]</f>
        <v>2.347715876305223E-5</v>
      </c>
      <c r="M476">
        <f>dataset[[#This Row],[soda_sales]]/dataset[[#This Row],[total_sales]]</f>
        <v>7.4889282112493988E-2</v>
      </c>
      <c r="N476">
        <f>LN(dataset[[#This Row],[soda_units_sold]])</f>
        <v>12.511411662593657</v>
      </c>
      <c r="O476">
        <f>LN(dataset[[#This Row],[soda_sales]])</f>
        <v>12.127840342543005</v>
      </c>
      <c r="P476">
        <f>LN(dataset[[#This Row],[soda_ppu]])</f>
        <v>-0.38360577375527083</v>
      </c>
      <c r="Q476">
        <f>IF(dataset[[#This Row],[state]]="VA",1,0)</f>
        <v>0</v>
      </c>
    </row>
    <row r="477" spans="1:17" x14ac:dyDescent="0.35">
      <c r="A477">
        <v>202208</v>
      </c>
      <c r="B477">
        <v>24</v>
      </c>
      <c r="C477" s="2">
        <v>2334569.1077999999</v>
      </c>
      <c r="D477" s="2">
        <v>0.67959999999999998</v>
      </c>
      <c r="E477" s="3">
        <v>232707</v>
      </c>
      <c r="F477" s="2">
        <v>158158.0471</v>
      </c>
      <c r="G477" t="s">
        <v>1283</v>
      </c>
      <c r="H477" t="s">
        <v>6</v>
      </c>
      <c r="I477">
        <f>HLOOKUP(G477,zip_tiers!$A$1:$EON$2,2,FALSE)</f>
        <v>78620</v>
      </c>
      <c r="J477" t="str">
        <f t="shared" si="7"/>
        <v>Med</v>
      </c>
      <c r="K477">
        <f>dataset[[#This Row],[soda_sales]]/dataset[[#This Row],[soda_units_sold]]</f>
        <v>0.67964456204583445</v>
      </c>
      <c r="L477" s="29">
        <f>dataset[[#This Row],[implied_soda_ppu]]-dataset[[#This Row],[soda_ppu]]</f>
        <v>4.4562045834473096E-5</v>
      </c>
      <c r="M477">
        <f>dataset[[#This Row],[soda_sales]]/dataset[[#This Row],[total_sales]]</f>
        <v>6.7746140635366117E-2</v>
      </c>
      <c r="N477">
        <f>LN(dataset[[#This Row],[soda_units_sold]])</f>
        <v>12.357535430488133</v>
      </c>
      <c r="O477">
        <f>LN(dataset[[#This Row],[soda_sales]])</f>
        <v>11.971350110145606</v>
      </c>
      <c r="P477">
        <f>LN(dataset[[#This Row],[soda_ppu]])</f>
        <v>-0.38625088918436012</v>
      </c>
      <c r="Q477">
        <f>IF(dataset[[#This Row],[state]]="VA",1,0)</f>
        <v>0</v>
      </c>
    </row>
    <row r="478" spans="1:17" x14ac:dyDescent="0.35">
      <c r="A478">
        <v>202209</v>
      </c>
      <c r="B478">
        <v>24</v>
      </c>
      <c r="C478" s="2">
        <v>2349764.3218999999</v>
      </c>
      <c r="D478" s="2">
        <v>0.65310000000000001</v>
      </c>
      <c r="E478" s="3">
        <v>236276</v>
      </c>
      <c r="F478" s="2">
        <v>154312.06099999999</v>
      </c>
      <c r="G478" t="s">
        <v>1283</v>
      </c>
      <c r="H478" t="s">
        <v>6</v>
      </c>
      <c r="I478">
        <f>HLOOKUP(G478,zip_tiers!$A$1:$EON$2,2,FALSE)</f>
        <v>78620</v>
      </c>
      <c r="J478" t="str">
        <f t="shared" si="7"/>
        <v>Med</v>
      </c>
      <c r="K478">
        <f>dataset[[#This Row],[soda_sales]]/dataset[[#This Row],[soda_units_sold]]</f>
        <v>0.65310086932231792</v>
      </c>
      <c r="L478" s="29">
        <f>dataset[[#This Row],[implied_soda_ppu]]-dataset[[#This Row],[soda_ppu]]</f>
        <v>8.6932231790903813E-7</v>
      </c>
      <c r="M478">
        <f>dataset[[#This Row],[soda_sales]]/dataset[[#This Row],[total_sales]]</f>
        <v>6.5671292887460528E-2</v>
      </c>
      <c r="N478">
        <f>LN(dataset[[#This Row],[soda_units_sold]])</f>
        <v>12.372755892210664</v>
      </c>
      <c r="O478">
        <f>LN(dataset[[#This Row],[soda_sales]])</f>
        <v>11.94673220120702</v>
      </c>
      <c r="P478">
        <f>LN(dataset[[#This Row],[soda_ppu]])</f>
        <v>-0.42602502207352561</v>
      </c>
      <c r="Q478">
        <f>IF(dataset[[#This Row],[state]]="VA",1,0)</f>
        <v>0</v>
      </c>
    </row>
    <row r="479" spans="1:17" x14ac:dyDescent="0.35">
      <c r="A479">
        <v>202210</v>
      </c>
      <c r="B479">
        <v>24</v>
      </c>
      <c r="C479" s="2">
        <v>2917241.7821999998</v>
      </c>
      <c r="D479" s="2">
        <v>0.69799999999999995</v>
      </c>
      <c r="E479" s="3">
        <v>211821</v>
      </c>
      <c r="F479" s="2">
        <v>147860.56030000001</v>
      </c>
      <c r="G479" t="s">
        <v>1283</v>
      </c>
      <c r="H479" t="s">
        <v>6</v>
      </c>
      <c r="I479">
        <f>HLOOKUP(G479,zip_tiers!$A$1:$EON$2,2,FALSE)</f>
        <v>78620</v>
      </c>
      <c r="J479" t="str">
        <f t="shared" si="7"/>
        <v>Med</v>
      </c>
      <c r="K479">
        <f>dataset[[#This Row],[soda_sales]]/dataset[[#This Row],[soda_units_sold]]</f>
        <v>0.69804486004692645</v>
      </c>
      <c r="L479" s="29">
        <f>dataset[[#This Row],[implied_soda_ppu]]-dataset[[#This Row],[soda_ppu]]</f>
        <v>4.4860046926498143E-5</v>
      </c>
      <c r="M479">
        <f>dataset[[#This Row],[soda_sales]]/dataset[[#This Row],[total_sales]]</f>
        <v>5.0685055041441544E-2</v>
      </c>
      <c r="N479">
        <f>LN(dataset[[#This Row],[soda_units_sold]])</f>
        <v>12.263496857376035</v>
      </c>
      <c r="O479">
        <f>LN(dataset[[#This Row],[soda_sales]])</f>
        <v>11.904024948499286</v>
      </c>
      <c r="P479">
        <f>LN(dataset[[#This Row],[soda_ppu]])</f>
        <v>-0.35953617621976464</v>
      </c>
      <c r="Q479">
        <f>IF(dataset[[#This Row],[state]]="VA",1,0)</f>
        <v>0</v>
      </c>
    </row>
    <row r="480" spans="1:17" x14ac:dyDescent="0.35">
      <c r="A480">
        <v>202211</v>
      </c>
      <c r="B480">
        <v>24</v>
      </c>
      <c r="C480" s="2">
        <v>3232500.4608</v>
      </c>
      <c r="D480" s="2">
        <v>0.6875</v>
      </c>
      <c r="E480" s="3">
        <v>199297</v>
      </c>
      <c r="F480" s="2">
        <v>137013.79730000001</v>
      </c>
      <c r="G480" t="s">
        <v>1283</v>
      </c>
      <c r="H480" t="s">
        <v>6</v>
      </c>
      <c r="I480">
        <f>HLOOKUP(G480,zip_tiers!$A$1:$EON$2,2,FALSE)</f>
        <v>78620</v>
      </c>
      <c r="J480" t="str">
        <f t="shared" si="7"/>
        <v>Med</v>
      </c>
      <c r="K480">
        <f>dataset[[#This Row],[soda_sales]]/dataset[[#This Row],[soda_units_sold]]</f>
        <v>0.68748549802555992</v>
      </c>
      <c r="L480" s="29">
        <f>dataset[[#This Row],[implied_soda_ppu]]-dataset[[#This Row],[soda_ppu]]</f>
        <v>-1.4501974440084275E-5</v>
      </c>
      <c r="M480">
        <f>dataset[[#This Row],[soda_sales]]/dataset[[#This Row],[total_sales]]</f>
        <v>4.2386319495246398E-2</v>
      </c>
      <c r="N480">
        <f>LN(dataset[[#This Row],[soda_units_sold]])</f>
        <v>12.202551453403197</v>
      </c>
      <c r="O480">
        <f>LN(dataset[[#This Row],[soda_sales]])</f>
        <v>11.827836909958306</v>
      </c>
      <c r="P480">
        <f>LN(dataset[[#This Row],[soda_ppu]])</f>
        <v>-0.3746934494414107</v>
      </c>
      <c r="Q480">
        <f>IF(dataset[[#This Row],[state]]="VA",1,0)</f>
        <v>0</v>
      </c>
    </row>
    <row r="481" spans="1:17" x14ac:dyDescent="0.35">
      <c r="A481">
        <v>202212</v>
      </c>
      <c r="B481">
        <v>24</v>
      </c>
      <c r="C481" s="2">
        <v>3441417.7275999999</v>
      </c>
      <c r="D481" s="2">
        <v>0.67100000000000004</v>
      </c>
      <c r="E481" s="3">
        <v>204422</v>
      </c>
      <c r="F481" s="2">
        <v>137172.79300000001</v>
      </c>
      <c r="G481" t="s">
        <v>1283</v>
      </c>
      <c r="H481" t="s">
        <v>6</v>
      </c>
      <c r="I481">
        <f>HLOOKUP(G481,zip_tiers!$A$1:$EON$2,2,FALSE)</f>
        <v>78620</v>
      </c>
      <c r="J481" t="str">
        <f t="shared" si="7"/>
        <v>Med</v>
      </c>
      <c r="K481">
        <f>dataset[[#This Row],[soda_sales]]/dataset[[#This Row],[soda_units_sold]]</f>
        <v>0.67102754595884984</v>
      </c>
      <c r="L481" s="29">
        <f>dataset[[#This Row],[implied_soda_ppu]]-dataset[[#This Row],[soda_ppu]]</f>
        <v>2.7545958849795049E-5</v>
      </c>
      <c r="M481">
        <f>dataset[[#This Row],[soda_sales]]/dataset[[#This Row],[total_sales]]</f>
        <v>3.9859384665767536E-2</v>
      </c>
      <c r="N481">
        <f>LN(dataset[[#This Row],[soda_units_sold]])</f>
        <v>12.227941763613702</v>
      </c>
      <c r="O481">
        <f>LN(dataset[[#This Row],[soda_sales]])</f>
        <v>11.82899667286026</v>
      </c>
      <c r="P481">
        <f>LN(dataset[[#This Row],[soda_ppu]])</f>
        <v>-0.39898614201045518</v>
      </c>
      <c r="Q481">
        <f>IF(dataset[[#This Row],[state]]="VA",1,0)</f>
        <v>0</v>
      </c>
    </row>
    <row r="482" spans="1:17" x14ac:dyDescent="0.35">
      <c r="A482">
        <v>202301</v>
      </c>
      <c r="B482">
        <v>24</v>
      </c>
      <c r="C482" s="2">
        <v>2003936.4454000001</v>
      </c>
      <c r="D482" s="2">
        <v>0.70540000000000003</v>
      </c>
      <c r="E482" s="3">
        <v>144451</v>
      </c>
      <c r="F482" s="2">
        <v>101890.6342</v>
      </c>
      <c r="G482" t="s">
        <v>1283</v>
      </c>
      <c r="H482" t="s">
        <v>6</v>
      </c>
      <c r="I482">
        <f>HLOOKUP(G482,zip_tiers!$A$1:$EON$2,2,FALSE)</f>
        <v>78620</v>
      </c>
      <c r="J482" t="str">
        <f t="shared" si="7"/>
        <v>Med</v>
      </c>
      <c r="K482">
        <f>dataset[[#This Row],[soda_sales]]/dataset[[#This Row],[soda_units_sold]]</f>
        <v>0.70536468560273036</v>
      </c>
      <c r="L482" s="29">
        <f>dataset[[#This Row],[implied_soda_ppu]]-dataset[[#This Row],[soda_ppu]]</f>
        <v>-3.5314397269670117E-5</v>
      </c>
      <c r="M482">
        <f>dataset[[#This Row],[soda_sales]]/dataset[[#This Row],[total_sales]]</f>
        <v>5.0845242339839725E-2</v>
      </c>
      <c r="N482">
        <f>LN(dataset[[#This Row],[soda_units_sold]])</f>
        <v>11.88069562868108</v>
      </c>
      <c r="O482">
        <f>LN(dataset[[#This Row],[soda_sales]])</f>
        <v>11.531655303308563</v>
      </c>
      <c r="P482">
        <f>LN(dataset[[#This Row],[soda_ppu]])</f>
        <v>-0.34899026118018539</v>
      </c>
      <c r="Q482">
        <f>IF(dataset[[#This Row],[state]]="VA",1,0)</f>
        <v>0</v>
      </c>
    </row>
    <row r="483" spans="1:17" x14ac:dyDescent="0.35">
      <c r="A483">
        <v>202302</v>
      </c>
      <c r="B483">
        <v>24</v>
      </c>
      <c r="C483" s="2">
        <v>2276052.9460999998</v>
      </c>
      <c r="D483" s="2">
        <v>0.70369999999999999</v>
      </c>
      <c r="E483" s="3">
        <v>165525</v>
      </c>
      <c r="F483" s="2">
        <v>116476.4139</v>
      </c>
      <c r="G483" t="s">
        <v>1283</v>
      </c>
      <c r="H483" t="s">
        <v>6</v>
      </c>
      <c r="I483">
        <f>HLOOKUP(G483,zip_tiers!$A$1:$EON$2,2,FALSE)</f>
        <v>78620</v>
      </c>
      <c r="J483" t="str">
        <f t="shared" si="7"/>
        <v>Med</v>
      </c>
      <c r="K483">
        <f>dataset[[#This Row],[soda_sales]]/dataset[[#This Row],[soda_units_sold]]</f>
        <v>0.70367868237426368</v>
      </c>
      <c r="L483" s="29">
        <f>dataset[[#This Row],[implied_soda_ppu]]-dataset[[#This Row],[soda_ppu]]</f>
        <v>-2.1317625736316792E-5</v>
      </c>
      <c r="M483">
        <f>dataset[[#This Row],[soda_sales]]/dataset[[#This Row],[total_sales]]</f>
        <v>5.1174738311593977E-2</v>
      </c>
      <c r="N483">
        <f>LN(dataset[[#This Row],[soda_units_sold]])</f>
        <v>12.016877519793047</v>
      </c>
      <c r="O483">
        <f>LN(dataset[[#This Row],[soda_sales]])</f>
        <v>11.665444075696961</v>
      </c>
      <c r="P483">
        <f>LN(dataset[[#This Row],[soda_ppu]])</f>
        <v>-0.35140315000963385</v>
      </c>
      <c r="Q483">
        <f>IF(dataset[[#This Row],[state]]="VA",1,0)</f>
        <v>0</v>
      </c>
    </row>
    <row r="484" spans="1:17" x14ac:dyDescent="0.35">
      <c r="A484">
        <v>202303</v>
      </c>
      <c r="B484">
        <v>24</v>
      </c>
      <c r="C484" s="2">
        <v>2518263.3251</v>
      </c>
      <c r="D484" s="2">
        <v>0.7137</v>
      </c>
      <c r="E484" s="3">
        <v>193705</v>
      </c>
      <c r="F484" s="2">
        <v>138251.29579999999</v>
      </c>
      <c r="G484" t="s">
        <v>1283</v>
      </c>
      <c r="H484" t="s">
        <v>6</v>
      </c>
      <c r="I484">
        <f>HLOOKUP(G484,zip_tiers!$A$1:$EON$2,2,FALSE)</f>
        <v>78620</v>
      </c>
      <c r="J484" t="str">
        <f t="shared" si="7"/>
        <v>Med</v>
      </c>
      <c r="K484">
        <f>dataset[[#This Row],[soda_sales]]/dataset[[#This Row],[soda_units_sold]]</f>
        <v>0.71372084251826229</v>
      </c>
      <c r="L484" s="29">
        <f>dataset[[#This Row],[implied_soda_ppu]]-dataset[[#This Row],[soda_ppu]]</f>
        <v>2.0842518262287335E-5</v>
      </c>
      <c r="M484">
        <f>dataset[[#This Row],[soda_sales]]/dataset[[#This Row],[total_sales]]</f>
        <v>5.4899459648251853E-2</v>
      </c>
      <c r="N484">
        <f>LN(dataset[[#This Row],[soda_units_sold]])</f>
        <v>12.174091662174996</v>
      </c>
      <c r="O484">
        <f>LN(dataset[[#This Row],[soda_sales]])</f>
        <v>11.836828292215882</v>
      </c>
      <c r="P484">
        <f>LN(dataset[[#This Row],[soda_ppu]])</f>
        <v>-0.33729257300511539</v>
      </c>
      <c r="Q484">
        <f>IF(dataset[[#This Row],[state]]="VA",1,0)</f>
        <v>0</v>
      </c>
    </row>
    <row r="485" spans="1:17" x14ac:dyDescent="0.35">
      <c r="A485">
        <v>202304</v>
      </c>
      <c r="B485">
        <v>24</v>
      </c>
      <c r="C485" s="2">
        <v>2628196.6450999998</v>
      </c>
      <c r="D485" s="2">
        <v>0.69610000000000005</v>
      </c>
      <c r="E485" s="3">
        <v>220626</v>
      </c>
      <c r="F485" s="2">
        <v>153580.09880000001</v>
      </c>
      <c r="G485" t="s">
        <v>1283</v>
      </c>
      <c r="H485" t="s">
        <v>6</v>
      </c>
      <c r="I485">
        <f>HLOOKUP(G485,zip_tiers!$A$1:$EON$2,2,FALSE)</f>
        <v>78620</v>
      </c>
      <c r="J485" t="str">
        <f t="shared" si="7"/>
        <v>Med</v>
      </c>
      <c r="K485">
        <f>dataset[[#This Row],[soda_sales]]/dataset[[#This Row],[soda_units_sold]]</f>
        <v>0.6961106070907328</v>
      </c>
      <c r="L485" s="29">
        <f>dataset[[#This Row],[implied_soda_ppu]]-dataset[[#This Row],[soda_ppu]]</f>
        <v>1.0607090732750457E-5</v>
      </c>
      <c r="M485">
        <f>dataset[[#This Row],[soda_sales]]/dataset[[#This Row],[total_sales]]</f>
        <v>5.8435543278823589E-2</v>
      </c>
      <c r="N485">
        <f>LN(dataset[[#This Row],[soda_units_sold]])</f>
        <v>12.30422423923733</v>
      </c>
      <c r="O485">
        <f>LN(dataset[[#This Row],[soda_sales]])</f>
        <v>11.94197752619726</v>
      </c>
      <c r="P485">
        <f>LN(dataset[[#This Row],[soda_ppu]])</f>
        <v>-0.36226195080751616</v>
      </c>
      <c r="Q485">
        <f>IF(dataset[[#This Row],[state]]="VA",1,0)</f>
        <v>0</v>
      </c>
    </row>
    <row r="486" spans="1:17" x14ac:dyDescent="0.35">
      <c r="A486">
        <v>202305</v>
      </c>
      <c r="B486">
        <v>24</v>
      </c>
      <c r="C486" s="2">
        <v>2743562.1461999998</v>
      </c>
      <c r="D486" s="2">
        <v>0.69169999999999998</v>
      </c>
      <c r="E486" s="3">
        <v>247389</v>
      </c>
      <c r="F486" s="2">
        <v>171112.50649999999</v>
      </c>
      <c r="G486" t="s">
        <v>1283</v>
      </c>
      <c r="H486" t="s">
        <v>6</v>
      </c>
      <c r="I486">
        <f>HLOOKUP(G486,zip_tiers!$A$1:$EON$2,2,FALSE)</f>
        <v>78620</v>
      </c>
      <c r="J486" t="str">
        <f t="shared" si="7"/>
        <v>Med</v>
      </c>
      <c r="K486">
        <f>dataset[[#This Row],[soda_sales]]/dataset[[#This Row],[soda_units_sold]]</f>
        <v>0.69167386787609797</v>
      </c>
      <c r="L486" s="29">
        <f>dataset[[#This Row],[implied_soda_ppu]]-dataset[[#This Row],[soda_ppu]]</f>
        <v>-2.6132123902011806E-5</v>
      </c>
      <c r="M486">
        <f>dataset[[#This Row],[soda_sales]]/dataset[[#This Row],[total_sales]]</f>
        <v>6.2368737204295227E-2</v>
      </c>
      <c r="N486">
        <f>LN(dataset[[#This Row],[soda_units_sold]])</f>
        <v>12.418717275542988</v>
      </c>
      <c r="O486">
        <f>LN(dataset[[#This Row],[soda_sales]])</f>
        <v>12.050076551890472</v>
      </c>
      <c r="P486">
        <f>LN(dataset[[#This Row],[soda_ppu]])</f>
        <v>-0.36860294337559807</v>
      </c>
      <c r="Q486">
        <f>IF(dataset[[#This Row],[state]]="VA",1,0)</f>
        <v>0</v>
      </c>
    </row>
    <row r="487" spans="1:17" x14ac:dyDescent="0.35">
      <c r="A487">
        <v>202306</v>
      </c>
      <c r="B487">
        <v>24</v>
      </c>
      <c r="C487" s="2">
        <v>2589526.7546999999</v>
      </c>
      <c r="D487" s="2">
        <v>0.68</v>
      </c>
      <c r="E487" s="3">
        <v>256147</v>
      </c>
      <c r="F487" s="2">
        <v>174168.36569999999</v>
      </c>
      <c r="G487" t="s">
        <v>1283</v>
      </c>
      <c r="H487" t="s">
        <v>6</v>
      </c>
      <c r="I487">
        <f>HLOOKUP(G487,zip_tiers!$A$1:$EON$2,2,FALSE)</f>
        <v>78620</v>
      </c>
      <c r="J487" t="str">
        <f t="shared" si="7"/>
        <v>Med</v>
      </c>
      <c r="K487">
        <f>dataset[[#This Row],[soda_sales]]/dataset[[#This Row],[soda_units_sold]]</f>
        <v>0.67995473575720189</v>
      </c>
      <c r="L487" s="29">
        <f>dataset[[#This Row],[implied_soda_ppu]]-dataset[[#This Row],[soda_ppu]]</f>
        <v>-4.5264242798159771E-5</v>
      </c>
      <c r="M487">
        <f>dataset[[#This Row],[soda_sales]]/dataset[[#This Row],[total_sales]]</f>
        <v>6.7258762777362244E-2</v>
      </c>
      <c r="N487">
        <f>LN(dataset[[#This Row],[soda_units_sold]])</f>
        <v>12.453506777411198</v>
      </c>
      <c r="O487">
        <f>LN(dataset[[#This Row],[soda_sales]])</f>
        <v>12.067777729320722</v>
      </c>
      <c r="P487">
        <f>LN(dataset[[#This Row],[soda_ppu]])</f>
        <v>-0.38566248081198462</v>
      </c>
      <c r="Q487">
        <f>IF(dataset[[#This Row],[state]]="VA",1,0)</f>
        <v>0</v>
      </c>
    </row>
    <row r="488" spans="1:17" x14ac:dyDescent="0.35">
      <c r="A488">
        <v>202307</v>
      </c>
      <c r="B488">
        <v>24</v>
      </c>
      <c r="C488" s="2">
        <v>2502727.64</v>
      </c>
      <c r="D488" s="2">
        <v>0.71160000000000001</v>
      </c>
      <c r="E488" s="3">
        <v>260259</v>
      </c>
      <c r="F488" s="2">
        <v>185210.6133</v>
      </c>
      <c r="G488" t="s">
        <v>1283</v>
      </c>
      <c r="H488" t="s">
        <v>6</v>
      </c>
      <c r="I488">
        <f>HLOOKUP(G488,zip_tiers!$A$1:$EON$2,2,FALSE)</f>
        <v>78620</v>
      </c>
      <c r="J488" t="str">
        <f t="shared" si="7"/>
        <v>Med</v>
      </c>
      <c r="K488">
        <f>dataset[[#This Row],[soda_sales]]/dataset[[#This Row],[soda_units_sold]]</f>
        <v>0.71163961015757382</v>
      </c>
      <c r="L488" s="29">
        <f>dataset[[#This Row],[implied_soda_ppu]]-dataset[[#This Row],[soda_ppu]]</f>
        <v>3.9610157573810589E-5</v>
      </c>
      <c r="M488">
        <f>dataset[[#This Row],[soda_sales]]/dataset[[#This Row],[total_sales]]</f>
        <v>7.4003503353644987E-2</v>
      </c>
      <c r="N488">
        <f>LN(dataset[[#This Row],[soda_units_sold]])</f>
        <v>12.469432568011833</v>
      </c>
      <c r="O488">
        <f>LN(dataset[[#This Row],[soda_sales]])</f>
        <v>12.129248906787641</v>
      </c>
      <c r="P488">
        <f>LN(dataset[[#This Row],[soda_ppu]])</f>
        <v>-0.34023932319045697</v>
      </c>
      <c r="Q488">
        <f>IF(dataset[[#This Row],[state]]="VA",1,0)</f>
        <v>0</v>
      </c>
    </row>
    <row r="489" spans="1:17" x14ac:dyDescent="0.35">
      <c r="A489">
        <v>202308</v>
      </c>
      <c r="B489">
        <v>24</v>
      </c>
      <c r="C489" s="2">
        <v>2415109.6488000001</v>
      </c>
      <c r="D489" s="2">
        <v>0.71279999999999999</v>
      </c>
      <c r="E489" s="3">
        <v>230539</v>
      </c>
      <c r="F489" s="2">
        <v>164330.42259999999</v>
      </c>
      <c r="G489" t="s">
        <v>1283</v>
      </c>
      <c r="H489" t="s">
        <v>6</v>
      </c>
      <c r="I489">
        <f>HLOOKUP(G489,zip_tiers!$A$1:$EON$2,2,FALSE)</f>
        <v>78620</v>
      </c>
      <c r="J489" t="str">
        <f t="shared" si="7"/>
        <v>Med</v>
      </c>
      <c r="K489">
        <f>dataset[[#This Row],[soda_sales]]/dataset[[#This Row],[soda_units_sold]]</f>
        <v>0.71280964435518501</v>
      </c>
      <c r="L489" s="29">
        <f>dataset[[#This Row],[implied_soda_ppu]]-dataset[[#This Row],[soda_ppu]]</f>
        <v>9.6443551850233789E-6</v>
      </c>
      <c r="M489">
        <f>dataset[[#This Row],[soda_sales]]/dataset[[#This Row],[total_sales]]</f>
        <v>6.8042634288530607E-2</v>
      </c>
      <c r="N489">
        <f>LN(dataset[[#This Row],[soda_units_sold]])</f>
        <v>12.348175324503538</v>
      </c>
      <c r="O489">
        <f>LN(dataset[[#This Row],[soda_sales]])</f>
        <v>12.009634451826626</v>
      </c>
      <c r="P489">
        <f>LN(dataset[[#This Row],[soda_ppu]])</f>
        <v>-0.3385544028255375</v>
      </c>
      <c r="Q489">
        <f>IF(dataset[[#This Row],[state]]="VA",1,0)</f>
        <v>0</v>
      </c>
    </row>
    <row r="490" spans="1:17" x14ac:dyDescent="0.35">
      <c r="A490">
        <v>202309</v>
      </c>
      <c r="B490">
        <v>24</v>
      </c>
      <c r="C490" s="2">
        <v>2387765.4197999998</v>
      </c>
      <c r="D490" s="2">
        <v>0.69169999999999998</v>
      </c>
      <c r="E490" s="3">
        <v>226947</v>
      </c>
      <c r="F490" s="2">
        <v>156982.6287</v>
      </c>
      <c r="G490" t="s">
        <v>1283</v>
      </c>
      <c r="H490" t="s">
        <v>6</v>
      </c>
      <c r="I490">
        <f>HLOOKUP(G490,zip_tiers!$A$1:$EON$2,2,FALSE)</f>
        <v>78620</v>
      </c>
      <c r="J490" t="str">
        <f t="shared" si="7"/>
        <v>Med</v>
      </c>
      <c r="K490">
        <f>dataset[[#This Row],[soda_sales]]/dataset[[#This Row],[soda_units_sold]]</f>
        <v>0.69171493212071544</v>
      </c>
      <c r="L490" s="29">
        <f>dataset[[#This Row],[implied_soda_ppu]]-dataset[[#This Row],[soda_ppu]]</f>
        <v>1.4932120715460684E-5</v>
      </c>
      <c r="M490">
        <f>dataset[[#This Row],[soda_sales]]/dataset[[#This Row],[total_sales]]</f>
        <v>6.5744577502570969E-2</v>
      </c>
      <c r="N490">
        <f>LN(dataset[[#This Row],[soda_units_sold]])</f>
        <v>12.332471789026588</v>
      </c>
      <c r="O490">
        <f>LN(dataset[[#This Row],[soda_sales]])</f>
        <v>11.963890432985881</v>
      </c>
      <c r="P490">
        <f>LN(dataset[[#This Row],[soda_ppu]])</f>
        <v>-0.36860294337559807</v>
      </c>
      <c r="Q490">
        <f>IF(dataset[[#This Row],[state]]="VA",1,0)</f>
        <v>0</v>
      </c>
    </row>
    <row r="491" spans="1:17" x14ac:dyDescent="0.35">
      <c r="A491">
        <v>202310</v>
      </c>
      <c r="B491">
        <v>24</v>
      </c>
      <c r="C491" s="2">
        <v>2948038.8190000001</v>
      </c>
      <c r="D491" s="2">
        <v>0.70540000000000003</v>
      </c>
      <c r="E491" s="3">
        <v>212925</v>
      </c>
      <c r="F491" s="2">
        <v>150207.12090000001</v>
      </c>
      <c r="G491" t="s">
        <v>1283</v>
      </c>
      <c r="H491" t="s">
        <v>6</v>
      </c>
      <c r="I491">
        <f>HLOOKUP(G491,zip_tiers!$A$1:$EON$2,2,FALSE)</f>
        <v>78620</v>
      </c>
      <c r="J491" t="str">
        <f t="shared" si="7"/>
        <v>Med</v>
      </c>
      <c r="K491">
        <f>dataset[[#This Row],[soda_sales]]/dataset[[#This Row],[soda_units_sold]]</f>
        <v>0.70544614723494192</v>
      </c>
      <c r="L491" s="29">
        <f>dataset[[#This Row],[implied_soda_ppu]]-dataset[[#This Row],[soda_ppu]]</f>
        <v>4.6147234941895654E-5</v>
      </c>
      <c r="M491">
        <f>dataset[[#This Row],[soda_sales]]/dataset[[#This Row],[total_sales]]</f>
        <v>5.0951541048890103E-2</v>
      </c>
      <c r="N491">
        <f>LN(dataset[[#This Row],[soda_units_sold]])</f>
        <v>12.268695270009282</v>
      </c>
      <c r="O491">
        <f>LN(dataset[[#This Row],[soda_sales]])</f>
        <v>11.91977042664244</v>
      </c>
      <c r="P491">
        <f>LN(dataset[[#This Row],[soda_ppu]])</f>
        <v>-0.34899026118018539</v>
      </c>
      <c r="Q491">
        <f>IF(dataset[[#This Row],[state]]="VA",1,0)</f>
        <v>0</v>
      </c>
    </row>
    <row r="492" spans="1:17" x14ac:dyDescent="0.35">
      <c r="A492">
        <v>202311</v>
      </c>
      <c r="B492">
        <v>24</v>
      </c>
      <c r="C492" s="2">
        <v>3354926.8903000001</v>
      </c>
      <c r="D492" s="2">
        <v>0.74070000000000003</v>
      </c>
      <c r="E492" s="3">
        <v>193951</v>
      </c>
      <c r="F492" s="2">
        <v>143651.13500000001</v>
      </c>
      <c r="G492" t="s">
        <v>1283</v>
      </c>
      <c r="H492" t="s">
        <v>6</v>
      </c>
      <c r="I492">
        <f>HLOOKUP(G492,zip_tiers!$A$1:$EON$2,2,FALSE)</f>
        <v>78620</v>
      </c>
      <c r="J492" t="str">
        <f t="shared" si="7"/>
        <v>Med</v>
      </c>
      <c r="K492">
        <f>dataset[[#This Row],[soda_sales]]/dataset[[#This Row],[soda_units_sold]]</f>
        <v>0.74065684116091179</v>
      </c>
      <c r="L492" s="29">
        <f>dataset[[#This Row],[implied_soda_ppu]]-dataset[[#This Row],[soda_ppu]]</f>
        <v>-4.3158839088230927E-5</v>
      </c>
      <c r="M492">
        <f>dataset[[#This Row],[soda_sales]]/dataset[[#This Row],[total_sales]]</f>
        <v>4.2817962863910458E-2</v>
      </c>
      <c r="N492">
        <f>LN(dataset[[#This Row],[soda_units_sold]])</f>
        <v>12.175360828822853</v>
      </c>
      <c r="O492">
        <f>LN(dataset[[#This Row],[soda_sales]])</f>
        <v>11.875142965524846</v>
      </c>
      <c r="P492">
        <f>LN(dataset[[#This Row],[soda_ppu]])</f>
        <v>-0.30015959396289349</v>
      </c>
      <c r="Q492">
        <f>IF(dataset[[#This Row],[state]]="VA",1,0)</f>
        <v>0</v>
      </c>
    </row>
    <row r="493" spans="1:17" x14ac:dyDescent="0.35">
      <c r="A493">
        <v>202312</v>
      </c>
      <c r="B493">
        <v>24</v>
      </c>
      <c r="C493" s="2">
        <v>3503957.3878000001</v>
      </c>
      <c r="D493" s="2">
        <v>0.69799999999999995</v>
      </c>
      <c r="E493" s="3">
        <v>197453</v>
      </c>
      <c r="F493" s="2">
        <v>137822.56080000001</v>
      </c>
      <c r="G493" t="s">
        <v>1283</v>
      </c>
      <c r="H493" t="s">
        <v>6</v>
      </c>
      <c r="I493">
        <f>HLOOKUP(G493,zip_tiers!$A$1:$EON$2,2,FALSE)</f>
        <v>78620</v>
      </c>
      <c r="J493" t="str">
        <f t="shared" si="7"/>
        <v>Med</v>
      </c>
      <c r="K493">
        <f>dataset[[#This Row],[soda_sales]]/dataset[[#This Row],[soda_units_sold]]</f>
        <v>0.6980018576572653</v>
      </c>
      <c r="L493" s="29">
        <f>dataset[[#This Row],[implied_soda_ppu]]-dataset[[#This Row],[soda_ppu]]</f>
        <v>1.8576572653472567E-6</v>
      </c>
      <c r="M493">
        <f>dataset[[#This Row],[soda_sales]]/dataset[[#This Row],[total_sales]]</f>
        <v>3.9333400936857138E-2</v>
      </c>
      <c r="N493">
        <f>LN(dataset[[#This Row],[soda_units_sold]])</f>
        <v>12.193255860319301</v>
      </c>
      <c r="O493">
        <f>LN(dataset[[#This Row],[soda_sales]])</f>
        <v>11.833722345496088</v>
      </c>
      <c r="P493">
        <f>LN(dataset[[#This Row],[soda_ppu]])</f>
        <v>-0.35953617621976464</v>
      </c>
      <c r="Q493">
        <f>IF(dataset[[#This Row],[state]]="VA",1,0)</f>
        <v>0</v>
      </c>
    </row>
    <row r="494" spans="1:17" x14ac:dyDescent="0.35">
      <c r="A494">
        <v>202401</v>
      </c>
      <c r="B494">
        <v>24</v>
      </c>
      <c r="C494" s="2">
        <v>2015982.2934999999</v>
      </c>
      <c r="D494" s="2">
        <v>0.72130000000000005</v>
      </c>
      <c r="E494" s="3">
        <v>140685</v>
      </c>
      <c r="F494" s="2">
        <v>101480.9195</v>
      </c>
      <c r="G494" t="s">
        <v>1283</v>
      </c>
      <c r="H494" t="s">
        <v>6</v>
      </c>
      <c r="I494">
        <f>HLOOKUP(G494,zip_tiers!$A$1:$EON$2,2,FALSE)</f>
        <v>78620</v>
      </c>
      <c r="J494" t="str">
        <f t="shared" si="7"/>
        <v>Med</v>
      </c>
      <c r="K494">
        <f>dataset[[#This Row],[soda_sales]]/dataset[[#This Row],[soda_units_sold]]</f>
        <v>0.7213343249102605</v>
      </c>
      <c r="L494" s="29">
        <f>dataset[[#This Row],[implied_soda_ppu]]-dataset[[#This Row],[soda_ppu]]</f>
        <v>3.432491026045259E-5</v>
      </c>
      <c r="M494">
        <f>dataset[[#This Row],[soda_sales]]/dataset[[#This Row],[total_sales]]</f>
        <v>5.0338199808201839E-2</v>
      </c>
      <c r="N494">
        <f>LN(dataset[[#This Row],[soda_units_sold]])</f>
        <v>11.854278627611148</v>
      </c>
      <c r="O494">
        <f>LN(dataset[[#This Row],[soda_sales]])</f>
        <v>11.527626074570868</v>
      </c>
      <c r="P494">
        <f>LN(dataset[[#This Row],[soda_ppu]])</f>
        <v>-0.32670013947251003</v>
      </c>
      <c r="Q494">
        <f>IF(dataset[[#This Row],[state]]="VA",1,0)</f>
        <v>0</v>
      </c>
    </row>
    <row r="495" spans="1:17" x14ac:dyDescent="0.35">
      <c r="A495">
        <v>202402</v>
      </c>
      <c r="B495">
        <v>24</v>
      </c>
      <c r="C495" s="2">
        <v>2246461.6247</v>
      </c>
      <c r="D495" s="2">
        <v>0.7218</v>
      </c>
      <c r="E495" s="3">
        <v>159884</v>
      </c>
      <c r="F495" s="2">
        <v>115405.10030000001</v>
      </c>
      <c r="G495" t="s">
        <v>1283</v>
      </c>
      <c r="H495" t="s">
        <v>6</v>
      </c>
      <c r="I495">
        <f>HLOOKUP(G495,zip_tiers!$A$1:$EON$2,2,FALSE)</f>
        <v>78620</v>
      </c>
      <c r="J495" t="str">
        <f t="shared" si="7"/>
        <v>Med</v>
      </c>
      <c r="K495">
        <f>dataset[[#This Row],[soda_sales]]/dataset[[#This Row],[soda_units_sold]]</f>
        <v>0.72180518563458507</v>
      </c>
      <c r="L495" s="29">
        <f>dataset[[#This Row],[implied_soda_ppu]]-dataset[[#This Row],[soda_ppu]]</f>
        <v>5.1856345850698204E-6</v>
      </c>
      <c r="M495">
        <f>dataset[[#This Row],[soda_sales]]/dataset[[#This Row],[total_sales]]</f>
        <v>5.1371943785334676E-2</v>
      </c>
      <c r="N495">
        <f>LN(dataset[[#This Row],[soda_units_sold]])</f>
        <v>11.982203831276369</v>
      </c>
      <c r="O495">
        <f>LN(dataset[[#This Row],[soda_sales]])</f>
        <v>11.656203828786596</v>
      </c>
      <c r="P495">
        <f>LN(dataset[[#This Row],[soda_ppu]])</f>
        <v>-0.32600718677344886</v>
      </c>
      <c r="Q495">
        <f>IF(dataset[[#This Row],[state]]="VA",1,0)</f>
        <v>0</v>
      </c>
    </row>
    <row r="496" spans="1:17" x14ac:dyDescent="0.35">
      <c r="A496">
        <v>202403</v>
      </c>
      <c r="B496">
        <v>24</v>
      </c>
      <c r="C496" s="2">
        <v>2556638.6808000002</v>
      </c>
      <c r="D496" s="2">
        <v>0.73919999999999997</v>
      </c>
      <c r="E496" s="3">
        <v>188883</v>
      </c>
      <c r="F496" s="2">
        <v>139620.23269999999</v>
      </c>
      <c r="G496" t="s">
        <v>1283</v>
      </c>
      <c r="H496" t="s">
        <v>6</v>
      </c>
      <c r="I496">
        <f>HLOOKUP(G496,zip_tiers!$A$1:$EON$2,2,FALSE)</f>
        <v>78620</v>
      </c>
      <c r="J496" t="str">
        <f t="shared" si="7"/>
        <v>Med</v>
      </c>
      <c r="K496">
        <f>dataset[[#This Row],[soda_sales]]/dataset[[#This Row],[soda_units_sold]]</f>
        <v>0.739188983127121</v>
      </c>
      <c r="L496" s="29">
        <f>dataset[[#This Row],[implied_soda_ppu]]-dataset[[#This Row],[soda_ppu]]</f>
        <v>-1.1016872878966133E-5</v>
      </c>
      <c r="M496">
        <f>dataset[[#This Row],[soda_sales]]/dataset[[#This Row],[total_sales]]</f>
        <v>5.4610858291603136E-2</v>
      </c>
      <c r="N496">
        <f>LN(dataset[[#This Row],[soda_units_sold]])</f>
        <v>12.148883054733641</v>
      </c>
      <c r="O496">
        <f>LN(dataset[[#This Row],[soda_sales]])</f>
        <v>11.846681392189669</v>
      </c>
      <c r="P496">
        <f>LN(dataset[[#This Row],[soda_ppu]])</f>
        <v>-0.30218675865466271</v>
      </c>
      <c r="Q496">
        <f>IF(dataset[[#This Row],[state]]="VA",1,0)</f>
        <v>0</v>
      </c>
    </row>
    <row r="497" spans="1:17" x14ac:dyDescent="0.35">
      <c r="A497">
        <v>202404</v>
      </c>
      <c r="B497">
        <v>24</v>
      </c>
      <c r="C497" s="2">
        <v>2709796.41</v>
      </c>
      <c r="D497" s="2">
        <v>0.72589999999999999</v>
      </c>
      <c r="E497" s="3">
        <v>225018</v>
      </c>
      <c r="F497" s="2">
        <v>163348.3615</v>
      </c>
      <c r="G497" t="s">
        <v>1283</v>
      </c>
      <c r="H497" t="s">
        <v>6</v>
      </c>
      <c r="I497">
        <f>HLOOKUP(G497,zip_tiers!$A$1:$EON$2,2,FALSE)</f>
        <v>78620</v>
      </c>
      <c r="J497" t="str">
        <f t="shared" si="7"/>
        <v>Med</v>
      </c>
      <c r="K497">
        <f>dataset[[#This Row],[soda_sales]]/dataset[[#This Row],[soda_units_sold]]</f>
        <v>0.72593464300633725</v>
      </c>
      <c r="L497" s="29">
        <f>dataset[[#This Row],[implied_soda_ppu]]-dataset[[#This Row],[soda_ppu]]</f>
        <v>3.4643006337264914E-5</v>
      </c>
      <c r="M497">
        <f>dataset[[#This Row],[soda_sales]]/dataset[[#This Row],[total_sales]]</f>
        <v>6.0280676768628527E-2</v>
      </c>
      <c r="N497">
        <f>LN(dataset[[#This Row],[soda_units_sold]])</f>
        <v>12.323935677986729</v>
      </c>
      <c r="O497">
        <f>LN(dataset[[#This Row],[soda_sales]])</f>
        <v>12.003640386369788</v>
      </c>
      <c r="P497">
        <f>LN(dataset[[#This Row],[soda_ppu]])</f>
        <v>-0.32034301469134213</v>
      </c>
      <c r="Q497">
        <f>IF(dataset[[#This Row],[state]]="VA",1,0)</f>
        <v>0</v>
      </c>
    </row>
    <row r="498" spans="1:17" x14ac:dyDescent="0.35">
      <c r="A498">
        <v>202405</v>
      </c>
      <c r="B498">
        <v>24</v>
      </c>
      <c r="C498" s="2">
        <v>2792628.5811999999</v>
      </c>
      <c r="D498" s="2">
        <v>0.72119999999999995</v>
      </c>
      <c r="E498" s="3">
        <v>244027</v>
      </c>
      <c r="F498" s="2">
        <v>175997.78419999999</v>
      </c>
      <c r="G498" t="s">
        <v>1283</v>
      </c>
      <c r="H498" t="s">
        <v>6</v>
      </c>
      <c r="I498">
        <f>HLOOKUP(G498,zip_tiers!$A$1:$EON$2,2,FALSE)</f>
        <v>78620</v>
      </c>
      <c r="J498" t="str">
        <f t="shared" si="7"/>
        <v>Med</v>
      </c>
      <c r="K498">
        <f>dataset[[#This Row],[soda_sales]]/dataset[[#This Row],[soda_units_sold]]</f>
        <v>0.72122258684489826</v>
      </c>
      <c r="L498" s="29">
        <f>dataset[[#This Row],[implied_soda_ppu]]-dataset[[#This Row],[soda_ppu]]</f>
        <v>2.2586844898309089E-5</v>
      </c>
      <c r="M498">
        <f>dataset[[#This Row],[soda_sales]]/dataset[[#This Row],[total_sales]]</f>
        <v>6.3022267044324703E-2</v>
      </c>
      <c r="N498">
        <f>LN(dataset[[#This Row],[soda_units_sold]])</f>
        <v>12.405034153891149</v>
      </c>
      <c r="O498">
        <f>LN(dataset[[#This Row],[soda_sales]])</f>
        <v>12.07822668416831</v>
      </c>
      <c r="P498">
        <f>LN(dataset[[#This Row],[soda_ppu]])</f>
        <v>-0.32683878765297492</v>
      </c>
      <c r="Q498">
        <f>IF(dataset[[#This Row],[state]]="VA",1,0)</f>
        <v>0</v>
      </c>
    </row>
    <row r="499" spans="1:17" x14ac:dyDescent="0.35">
      <c r="A499">
        <v>202406</v>
      </c>
      <c r="B499">
        <v>24</v>
      </c>
      <c r="C499" s="2">
        <v>2755808.8125999998</v>
      </c>
      <c r="D499" s="2">
        <v>0.75680000000000003</v>
      </c>
      <c r="E499" s="3">
        <v>252215</v>
      </c>
      <c r="F499" s="2">
        <v>190885.0589</v>
      </c>
      <c r="G499" t="s">
        <v>1283</v>
      </c>
      <c r="H499" t="s">
        <v>6</v>
      </c>
      <c r="I499">
        <f>HLOOKUP(G499,zip_tiers!$A$1:$EON$2,2,FALSE)</f>
        <v>78620</v>
      </c>
      <c r="J499" t="str">
        <f t="shared" si="7"/>
        <v>Med</v>
      </c>
      <c r="K499">
        <f>dataset[[#This Row],[soda_sales]]/dataset[[#This Row],[soda_units_sold]]</f>
        <v>0.7568346803322562</v>
      </c>
      <c r="L499" s="29">
        <f>dataset[[#This Row],[implied_soda_ppu]]-dataset[[#This Row],[soda_ppu]]</f>
        <v>3.4680332256176172E-5</v>
      </c>
      <c r="M499">
        <f>dataset[[#This Row],[soda_sales]]/dataset[[#This Row],[total_sales]]</f>
        <v>6.9266437507291112E-2</v>
      </c>
      <c r="N499">
        <f>LN(dataset[[#This Row],[soda_units_sold]])</f>
        <v>12.438037177350161</v>
      </c>
      <c r="O499">
        <f>LN(dataset[[#This Row],[soda_sales]])</f>
        <v>12.159426740019102</v>
      </c>
      <c r="P499">
        <f>LN(dataset[[#This Row],[soda_ppu]])</f>
        <v>-0.27865626124446852</v>
      </c>
      <c r="Q499">
        <f>IF(dataset[[#This Row],[state]]="VA",1,0)</f>
        <v>0</v>
      </c>
    </row>
    <row r="500" spans="1:17" x14ac:dyDescent="0.35">
      <c r="A500">
        <v>202407</v>
      </c>
      <c r="B500">
        <v>24</v>
      </c>
      <c r="C500" s="2">
        <v>2556704.5430000001</v>
      </c>
      <c r="D500" s="2">
        <v>0.72960000000000003</v>
      </c>
      <c r="E500" s="3">
        <v>259184</v>
      </c>
      <c r="F500" s="2">
        <v>189108.89910000001</v>
      </c>
      <c r="G500" t="s">
        <v>1283</v>
      </c>
      <c r="H500" t="s">
        <v>6</v>
      </c>
      <c r="I500">
        <f>HLOOKUP(G500,zip_tiers!$A$1:$EON$2,2,FALSE)</f>
        <v>78620</v>
      </c>
      <c r="J500" t="str">
        <f t="shared" si="7"/>
        <v>Med</v>
      </c>
      <c r="K500">
        <f>dataset[[#This Row],[soda_sales]]/dataset[[#This Row],[soda_units_sold]]</f>
        <v>0.72963184108586954</v>
      </c>
      <c r="L500" s="29">
        <f>dataset[[#This Row],[implied_soda_ppu]]-dataset[[#This Row],[soda_ppu]]</f>
        <v>3.1841085869510621E-5</v>
      </c>
      <c r="M500">
        <f>dataset[[#This Row],[soda_sales]]/dataset[[#This Row],[total_sales]]</f>
        <v>7.3965879091411307E-2</v>
      </c>
      <c r="N500">
        <f>LN(dataset[[#This Row],[soda_units_sold]])</f>
        <v>12.465293513159919</v>
      </c>
      <c r="O500">
        <f>LN(dataset[[#This Row],[soda_sales]])</f>
        <v>12.150078313824812</v>
      </c>
      <c r="P500">
        <f>LN(dataset[[#This Row],[soda_ppu]])</f>
        <v>-0.31525884022201539</v>
      </c>
      <c r="Q500">
        <f>IF(dataset[[#This Row],[state]]="VA",1,0)</f>
        <v>0</v>
      </c>
    </row>
    <row r="501" spans="1:17" x14ac:dyDescent="0.35">
      <c r="A501">
        <v>202408</v>
      </c>
      <c r="B501">
        <v>24</v>
      </c>
      <c r="C501" s="2">
        <v>2452039.3050000002</v>
      </c>
      <c r="D501" s="2">
        <v>0.70760000000000001</v>
      </c>
      <c r="E501" s="3">
        <v>231113</v>
      </c>
      <c r="F501" s="2">
        <v>163533.367</v>
      </c>
      <c r="G501" t="s">
        <v>1283</v>
      </c>
      <c r="H501" t="s">
        <v>6</v>
      </c>
      <c r="I501">
        <f>HLOOKUP(G501,zip_tiers!$A$1:$EON$2,2,FALSE)</f>
        <v>78620</v>
      </c>
      <c r="J501" t="str">
        <f t="shared" si="7"/>
        <v>Med</v>
      </c>
      <c r="K501">
        <f>dataset[[#This Row],[soda_sales]]/dataset[[#This Row],[soda_units_sold]]</f>
        <v>0.7075905163275108</v>
      </c>
      <c r="L501" s="29">
        <f>dataset[[#This Row],[implied_soda_ppu]]-dataset[[#This Row],[soda_ppu]]</f>
        <v>-9.4836724892077839E-6</v>
      </c>
      <c r="M501">
        <f>dataset[[#This Row],[soda_sales]]/dataset[[#This Row],[total_sales]]</f>
        <v>6.6692800016107404E-2</v>
      </c>
      <c r="N501">
        <f>LN(dataset[[#This Row],[soda_units_sold]])</f>
        <v>12.350662047384805</v>
      </c>
      <c r="O501">
        <f>LN(dataset[[#This Row],[soda_sales]])</f>
        <v>12.004772328008757</v>
      </c>
      <c r="P501">
        <f>LN(dataset[[#This Row],[soda_ppu]])</f>
        <v>-0.34587631669650681</v>
      </c>
      <c r="Q501">
        <f>IF(dataset[[#This Row],[state]]="VA",1,0)</f>
        <v>0</v>
      </c>
    </row>
    <row r="502" spans="1:17" x14ac:dyDescent="0.35">
      <c r="A502">
        <v>202409</v>
      </c>
      <c r="B502">
        <v>24</v>
      </c>
      <c r="C502" s="2">
        <v>2497604.9202000001</v>
      </c>
      <c r="D502" s="2">
        <v>0.71020000000000005</v>
      </c>
      <c r="E502" s="3">
        <v>229524</v>
      </c>
      <c r="F502" s="2">
        <v>162998.8363</v>
      </c>
      <c r="G502" t="s">
        <v>1283</v>
      </c>
      <c r="H502" t="s">
        <v>6</v>
      </c>
      <c r="I502">
        <f>HLOOKUP(G502,zip_tiers!$A$1:$EON$2,2,FALSE)</f>
        <v>78620</v>
      </c>
      <c r="J502" t="str">
        <f t="shared" si="7"/>
        <v>Med</v>
      </c>
      <c r="K502">
        <f>dataset[[#This Row],[soda_sales]]/dataset[[#This Row],[soda_units_sold]]</f>
        <v>0.71016031569683347</v>
      </c>
      <c r="L502" s="29">
        <f>dataset[[#This Row],[implied_soda_ppu]]-dataset[[#This Row],[soda_ppu]]</f>
        <v>-3.968430316658722E-5</v>
      </c>
      <c r="M502">
        <f>dataset[[#This Row],[soda_sales]]/dataset[[#This Row],[total_sales]]</f>
        <v>6.5262057654397784E-2</v>
      </c>
      <c r="N502">
        <f>LN(dataset[[#This Row],[soda_units_sold]])</f>
        <v>12.343762878178534</v>
      </c>
      <c r="O502">
        <f>LN(dataset[[#This Row],[soda_sales]])</f>
        <v>12.001498340499611</v>
      </c>
      <c r="P502">
        <f>LN(dataset[[#This Row],[soda_ppu]])</f>
        <v>-0.34220865847314946</v>
      </c>
      <c r="Q502">
        <f>IF(dataset[[#This Row],[state]]="VA",1,0)</f>
        <v>0</v>
      </c>
    </row>
    <row r="503" spans="1:17" x14ac:dyDescent="0.35">
      <c r="A503">
        <v>202410</v>
      </c>
      <c r="B503">
        <v>24</v>
      </c>
      <c r="C503" s="2">
        <v>3033247.6120000002</v>
      </c>
      <c r="D503" s="2">
        <v>0.749</v>
      </c>
      <c r="E503" s="3">
        <v>206806</v>
      </c>
      <c r="F503" s="2">
        <v>154906.88500000001</v>
      </c>
      <c r="G503" t="s">
        <v>1283</v>
      </c>
      <c r="H503" t="s">
        <v>6</v>
      </c>
      <c r="I503">
        <f>HLOOKUP(G503,zip_tiers!$A$1:$EON$2,2,FALSE)</f>
        <v>78620</v>
      </c>
      <c r="J503" t="str">
        <f t="shared" si="7"/>
        <v>Med</v>
      </c>
      <c r="K503">
        <f>dataset[[#This Row],[soda_sales]]/dataset[[#This Row],[soda_units_sold]]</f>
        <v>0.74904444261771908</v>
      </c>
      <c r="L503" s="29">
        <f>dataset[[#This Row],[implied_soda_ppu]]-dataset[[#This Row],[soda_ppu]]</f>
        <v>4.4442617719075983E-5</v>
      </c>
      <c r="M503">
        <f>dataset[[#This Row],[soda_sales]]/dataset[[#This Row],[total_sales]]</f>
        <v>5.1069647063155754E-2</v>
      </c>
      <c r="N503">
        <f>LN(dataset[[#This Row],[soda_units_sold]])</f>
        <v>12.239536434735179</v>
      </c>
      <c r="O503">
        <f>LN(dataset[[#This Row],[soda_sales]])</f>
        <v>11.950579473448164</v>
      </c>
      <c r="P503">
        <f>LN(dataset[[#This Row],[soda_ppu]])</f>
        <v>-0.28901629546491758</v>
      </c>
      <c r="Q503">
        <f>IF(dataset[[#This Row],[state]]="VA",1,0)</f>
        <v>0</v>
      </c>
    </row>
    <row r="504" spans="1:17" x14ac:dyDescent="0.35">
      <c r="A504">
        <v>202411</v>
      </c>
      <c r="B504">
        <v>24</v>
      </c>
      <c r="C504" s="2">
        <v>3411158.9279</v>
      </c>
      <c r="D504" s="2">
        <v>0.74550000000000005</v>
      </c>
      <c r="E504" s="3">
        <v>193257</v>
      </c>
      <c r="F504" s="2">
        <v>144069.3492</v>
      </c>
      <c r="G504" t="s">
        <v>1283</v>
      </c>
      <c r="H504" t="s">
        <v>6</v>
      </c>
      <c r="I504">
        <f>HLOOKUP(G504,zip_tiers!$A$1:$EON$2,2,FALSE)</f>
        <v>78620</v>
      </c>
      <c r="J504" t="str">
        <f t="shared" si="7"/>
        <v>Med</v>
      </c>
      <c r="K504">
        <f>dataset[[#This Row],[soda_sales]]/dataset[[#This Row],[soda_units_sold]]</f>
        <v>0.74548062528136105</v>
      </c>
      <c r="L504" s="29">
        <f>dataset[[#This Row],[implied_soda_ppu]]-dataset[[#This Row],[soda_ppu]]</f>
        <v>-1.937471863899809E-5</v>
      </c>
      <c r="M504">
        <f>dataset[[#This Row],[soda_sales]]/dataset[[#This Row],[total_sales]]</f>
        <v>4.2234722053449712E-2</v>
      </c>
      <c r="N504">
        <f>LN(dataset[[#This Row],[soda_units_sold]])</f>
        <v>12.171776188303351</v>
      </c>
      <c r="O504">
        <f>LN(dataset[[#This Row],[soda_sales]])</f>
        <v>11.878050054296756</v>
      </c>
      <c r="P504">
        <f>LN(dataset[[#This Row],[soda_ppu]])</f>
        <v>-0.29370014477734385</v>
      </c>
      <c r="Q504">
        <f>IF(dataset[[#This Row],[state]]="VA",1,0)</f>
        <v>0</v>
      </c>
    </row>
    <row r="505" spans="1:17" x14ac:dyDescent="0.35">
      <c r="A505">
        <v>202412</v>
      </c>
      <c r="B505">
        <v>24</v>
      </c>
      <c r="C505" s="2">
        <v>3557378.9826000002</v>
      </c>
      <c r="D505" s="2">
        <v>0.72540000000000004</v>
      </c>
      <c r="E505" s="3">
        <v>194203</v>
      </c>
      <c r="F505" s="2">
        <v>140874.18859999999</v>
      </c>
      <c r="G505" t="s">
        <v>1283</v>
      </c>
      <c r="H505" t="s">
        <v>6</v>
      </c>
      <c r="I505">
        <f>HLOOKUP(G505,zip_tiers!$A$1:$EON$2,2,FALSE)</f>
        <v>78620</v>
      </c>
      <c r="J505" t="str">
        <f t="shared" si="7"/>
        <v>Med</v>
      </c>
      <c r="K505">
        <f>dataset[[#This Row],[soda_sales]]/dataset[[#This Row],[soda_units_sold]]</f>
        <v>0.72539656236000472</v>
      </c>
      <c r="L505" s="29">
        <f>dataset[[#This Row],[implied_soda_ppu]]-dataset[[#This Row],[soda_ppu]]</f>
        <v>-3.4376399953295333E-6</v>
      </c>
      <c r="M505">
        <f>dataset[[#This Row],[soda_sales]]/dataset[[#This Row],[total_sales]]</f>
        <v>3.9600556839473576E-2</v>
      </c>
      <c r="N505">
        <f>LN(dataset[[#This Row],[soda_units_sold]])</f>
        <v>12.176659282711803</v>
      </c>
      <c r="O505">
        <f>LN(dataset[[#This Row],[soda_sales]])</f>
        <v>11.855622491609429</v>
      </c>
      <c r="P505">
        <f>LN(dataset[[#This Row],[soda_ppu]])</f>
        <v>-0.32103205213333502</v>
      </c>
      <c r="Q505">
        <f>IF(dataset[[#This Row],[state]]="VA",1,0)</f>
        <v>0</v>
      </c>
    </row>
    <row r="506" spans="1:17" x14ac:dyDescent="0.35">
      <c r="A506">
        <v>202201</v>
      </c>
      <c r="B506">
        <v>69</v>
      </c>
      <c r="C506" s="2">
        <v>1985816.3055</v>
      </c>
      <c r="D506" s="2">
        <v>0.72489999999999999</v>
      </c>
      <c r="E506" s="3">
        <v>130290</v>
      </c>
      <c r="F506" s="2">
        <v>94442.671400000007</v>
      </c>
      <c r="G506" t="s">
        <v>1342</v>
      </c>
      <c r="H506" t="s">
        <v>6</v>
      </c>
      <c r="I506">
        <f>HLOOKUP(G506,zip_tiers!$A$1:$EON$2,2,FALSE)</f>
        <v>77656</v>
      </c>
      <c r="J506" t="str">
        <f t="shared" si="7"/>
        <v>Med</v>
      </c>
      <c r="K506">
        <f>dataset[[#This Row],[soda_sales]]/dataset[[#This Row],[soda_units_sold]]</f>
        <v>0.72486508097321367</v>
      </c>
      <c r="L506" s="29">
        <f>dataset[[#This Row],[implied_soda_ppu]]-dataset[[#This Row],[soda_ppu]]</f>
        <v>-3.4919026786317531E-5</v>
      </c>
      <c r="M506">
        <f>dataset[[#This Row],[soda_sales]]/dataset[[#This Row],[total_sales]]</f>
        <v>4.7558614126809028E-2</v>
      </c>
      <c r="N506">
        <f>LN(dataset[[#This Row],[soda_units_sold]])</f>
        <v>11.777518014196977</v>
      </c>
      <c r="O506">
        <f>LN(dataset[[#This Row],[soda_sales]])</f>
        <v>11.455748277542293</v>
      </c>
      <c r="P506">
        <f>LN(dataset[[#This Row],[soda_ppu]])</f>
        <v>-0.32172156467530499</v>
      </c>
      <c r="Q506">
        <f>IF(dataset[[#This Row],[state]]="VA",1,0)</f>
        <v>0</v>
      </c>
    </row>
    <row r="507" spans="1:17" x14ac:dyDescent="0.35">
      <c r="A507">
        <v>202202</v>
      </c>
      <c r="B507">
        <v>69</v>
      </c>
      <c r="C507" s="2">
        <v>2203527.0166000002</v>
      </c>
      <c r="D507" s="2">
        <v>0.71819999999999995</v>
      </c>
      <c r="E507" s="3">
        <v>147471</v>
      </c>
      <c r="F507" s="2">
        <v>105910.3569</v>
      </c>
      <c r="G507" t="s">
        <v>1342</v>
      </c>
      <c r="H507" t="s">
        <v>6</v>
      </c>
      <c r="I507">
        <f>HLOOKUP(G507,zip_tiers!$A$1:$EON$2,2,FALSE)</f>
        <v>77656</v>
      </c>
      <c r="J507" t="str">
        <f t="shared" si="7"/>
        <v>Med</v>
      </c>
      <c r="K507">
        <f>dataset[[#This Row],[soda_sales]]/dataset[[#This Row],[soda_units_sold]]</f>
        <v>0.7181775189698314</v>
      </c>
      <c r="L507" s="29">
        <f>dataset[[#This Row],[implied_soda_ppu]]-dataset[[#This Row],[soda_ppu]]</f>
        <v>-2.2481030168552962E-5</v>
      </c>
      <c r="M507">
        <f>dataset[[#This Row],[soda_sales]]/dataset[[#This Row],[total_sales]]</f>
        <v>4.8064015599598886E-2</v>
      </c>
      <c r="N507">
        <f>LN(dataset[[#This Row],[soda_units_sold]])</f>
        <v>11.901386825262207</v>
      </c>
      <c r="O507">
        <f>LN(dataset[[#This Row],[soda_sales]])</f>
        <v>11.570348325674356</v>
      </c>
      <c r="P507">
        <f>LN(dataset[[#This Row],[soda_ppu]])</f>
        <v>-0.33100719719015465</v>
      </c>
      <c r="Q507">
        <f>IF(dataset[[#This Row],[state]]="VA",1,0)</f>
        <v>0</v>
      </c>
    </row>
    <row r="508" spans="1:17" x14ac:dyDescent="0.35">
      <c r="A508">
        <v>202203</v>
      </c>
      <c r="B508">
        <v>69</v>
      </c>
      <c r="C508" s="2">
        <v>2451357.5186000001</v>
      </c>
      <c r="D508" s="2">
        <v>0.74519999999999997</v>
      </c>
      <c r="E508" s="3">
        <v>166795</v>
      </c>
      <c r="F508" s="2">
        <v>124291.9984</v>
      </c>
      <c r="G508" t="s">
        <v>1342</v>
      </c>
      <c r="H508" t="s">
        <v>6</v>
      </c>
      <c r="I508">
        <f>HLOOKUP(G508,zip_tiers!$A$1:$EON$2,2,FALSE)</f>
        <v>77656</v>
      </c>
      <c r="J508" t="str">
        <f t="shared" si="7"/>
        <v>Med</v>
      </c>
      <c r="K508">
        <f>dataset[[#This Row],[soda_sales]]/dataset[[#This Row],[soda_units_sold]]</f>
        <v>0.74517820318354866</v>
      </c>
      <c r="L508" s="29">
        <f>dataset[[#This Row],[implied_soda_ppu]]-dataset[[#This Row],[soda_ppu]]</f>
        <v>-2.1796816451313816E-5</v>
      </c>
      <c r="M508">
        <f>dataset[[#This Row],[soda_sales]]/dataset[[#This Row],[total_sales]]</f>
        <v>5.0703333747492148E-2</v>
      </c>
      <c r="N508">
        <f>LN(dataset[[#This Row],[soda_units_sold]])</f>
        <v>12.02452079243831</v>
      </c>
      <c r="O508">
        <f>LN(dataset[[#This Row],[soda_sales]])</f>
        <v>11.730388902136326</v>
      </c>
      <c r="P508">
        <f>LN(dataset[[#This Row],[soda_ppu]])</f>
        <v>-0.29410264025470367</v>
      </c>
      <c r="Q508">
        <f>IF(dataset[[#This Row],[state]]="VA",1,0)</f>
        <v>0</v>
      </c>
    </row>
    <row r="509" spans="1:17" x14ac:dyDescent="0.35">
      <c r="A509">
        <v>202204</v>
      </c>
      <c r="B509">
        <v>69</v>
      </c>
      <c r="C509" s="2">
        <v>2579707.3585999999</v>
      </c>
      <c r="D509" s="2">
        <v>0.73</v>
      </c>
      <c r="E509" s="3">
        <v>198201</v>
      </c>
      <c r="F509" s="2">
        <v>144686.5851</v>
      </c>
      <c r="G509" t="s">
        <v>1342</v>
      </c>
      <c r="H509" t="s">
        <v>6</v>
      </c>
      <c r="I509">
        <f>HLOOKUP(G509,zip_tiers!$A$1:$EON$2,2,FALSE)</f>
        <v>77656</v>
      </c>
      <c r="J509" t="str">
        <f t="shared" si="7"/>
        <v>Med</v>
      </c>
      <c r="K509">
        <f>dataset[[#This Row],[soda_sales]]/dataset[[#This Row],[soda_units_sold]]</f>
        <v>0.72999926892397116</v>
      </c>
      <c r="L509" s="29">
        <f>dataset[[#This Row],[implied_soda_ppu]]-dataset[[#This Row],[soda_ppu]]</f>
        <v>-7.3107602882593881E-7</v>
      </c>
      <c r="M509">
        <f>dataset[[#This Row],[soda_sales]]/dataset[[#This Row],[total_sales]]</f>
        <v>5.608643345442136E-2</v>
      </c>
      <c r="N509">
        <f>LN(dataset[[#This Row],[soda_units_sold]])</f>
        <v>12.197036946273975</v>
      </c>
      <c r="O509">
        <f>LN(dataset[[#This Row],[soda_sales]])</f>
        <v>11.882325199959761</v>
      </c>
      <c r="P509">
        <f>LN(dataset[[#This Row],[soda_ppu]])</f>
        <v>-0.31471074483970024</v>
      </c>
      <c r="Q509">
        <f>IF(dataset[[#This Row],[state]]="VA",1,0)</f>
        <v>0</v>
      </c>
    </row>
    <row r="510" spans="1:17" x14ac:dyDescent="0.35">
      <c r="A510">
        <v>202205</v>
      </c>
      <c r="B510">
        <v>69</v>
      </c>
      <c r="C510" s="2">
        <v>2722563.8099000002</v>
      </c>
      <c r="D510" s="2">
        <v>0.73299999999999998</v>
      </c>
      <c r="E510" s="3">
        <v>223966</v>
      </c>
      <c r="F510" s="2">
        <v>164163.10949999999</v>
      </c>
      <c r="G510" t="s">
        <v>1342</v>
      </c>
      <c r="H510" t="s">
        <v>6</v>
      </c>
      <c r="I510">
        <f>HLOOKUP(G510,zip_tiers!$A$1:$EON$2,2,FALSE)</f>
        <v>77656</v>
      </c>
      <c r="J510" t="str">
        <f t="shared" si="7"/>
        <v>Med</v>
      </c>
      <c r="K510">
        <f>dataset[[#This Row],[soda_sales]]/dataset[[#This Row],[soda_units_sold]]</f>
        <v>0.73298228079262029</v>
      </c>
      <c r="L510" s="29">
        <f>dataset[[#This Row],[implied_soda_ppu]]-dataset[[#This Row],[soda_ppu]]</f>
        <v>-1.7719207379696122E-5</v>
      </c>
      <c r="M510">
        <f>dataset[[#This Row],[soda_sales]]/dataset[[#This Row],[total_sales]]</f>
        <v>6.0297249564200191E-2</v>
      </c>
      <c r="N510">
        <f>LN(dataset[[#This Row],[soda_units_sold]])</f>
        <v>12.319249533602274</v>
      </c>
      <c r="O510">
        <f>LN(dataset[[#This Row],[soda_sales]])</f>
        <v>12.008615782671111</v>
      </c>
      <c r="P510">
        <f>LN(dataset[[#This Row],[soda_ppu]])</f>
        <v>-0.31060957709548559</v>
      </c>
      <c r="Q510">
        <f>IF(dataset[[#This Row],[state]]="VA",1,0)</f>
        <v>0</v>
      </c>
    </row>
    <row r="511" spans="1:17" x14ac:dyDescent="0.35">
      <c r="A511">
        <v>202206</v>
      </c>
      <c r="B511">
        <v>69</v>
      </c>
      <c r="C511" s="2">
        <v>2562415.7322</v>
      </c>
      <c r="D511" s="2">
        <v>0.71109999999999995</v>
      </c>
      <c r="E511" s="3">
        <v>232944</v>
      </c>
      <c r="F511" s="2">
        <v>165651.50090000001</v>
      </c>
      <c r="G511" t="s">
        <v>1342</v>
      </c>
      <c r="H511" t="s">
        <v>6</v>
      </c>
      <c r="I511">
        <f>HLOOKUP(G511,zip_tiers!$A$1:$EON$2,2,FALSE)</f>
        <v>77656</v>
      </c>
      <c r="J511" t="str">
        <f t="shared" si="7"/>
        <v>Med</v>
      </c>
      <c r="K511">
        <f>dataset[[#This Row],[soda_sales]]/dataset[[#This Row],[soda_units_sold]]</f>
        <v>0.71112156097602863</v>
      </c>
      <c r="L511" s="29">
        <f>dataset[[#This Row],[implied_soda_ppu]]-dataset[[#This Row],[soda_ppu]]</f>
        <v>2.1560976028678347E-5</v>
      </c>
      <c r="M511">
        <f>dataset[[#This Row],[soda_sales]]/dataset[[#This Row],[total_sales]]</f>
        <v>6.4646614059685567E-2</v>
      </c>
      <c r="N511">
        <f>LN(dataset[[#This Row],[soda_units_sold]])</f>
        <v>12.358553360313108</v>
      </c>
      <c r="O511">
        <f>LN(dataset[[#This Row],[soda_sales]])</f>
        <v>12.017641468357082</v>
      </c>
      <c r="P511">
        <f>LN(dataset[[#This Row],[soda_ppu]])</f>
        <v>-0.34094221209266484</v>
      </c>
      <c r="Q511">
        <f>IF(dataset[[#This Row],[state]]="VA",1,0)</f>
        <v>0</v>
      </c>
    </row>
    <row r="512" spans="1:17" x14ac:dyDescent="0.35">
      <c r="A512">
        <v>202207</v>
      </c>
      <c r="B512">
        <v>69</v>
      </c>
      <c r="C512" s="2">
        <v>2462176.9503000001</v>
      </c>
      <c r="D512" s="2">
        <v>0.70479999999999998</v>
      </c>
      <c r="E512" s="3">
        <v>243624</v>
      </c>
      <c r="F512" s="2">
        <v>171700.2432</v>
      </c>
      <c r="G512" t="s">
        <v>1342</v>
      </c>
      <c r="H512" t="s">
        <v>6</v>
      </c>
      <c r="I512">
        <f>HLOOKUP(G512,zip_tiers!$A$1:$EON$2,2,FALSE)</f>
        <v>77656</v>
      </c>
      <c r="J512" t="str">
        <f t="shared" si="7"/>
        <v>Med</v>
      </c>
      <c r="K512">
        <f>dataset[[#This Row],[soda_sales]]/dataset[[#This Row],[soda_units_sold]]</f>
        <v>0.70477556890946702</v>
      </c>
      <c r="L512" s="29">
        <f>dataset[[#This Row],[implied_soda_ppu]]-dataset[[#This Row],[soda_ppu]]</f>
        <v>-2.4431090532961441E-5</v>
      </c>
      <c r="M512">
        <f>dataset[[#This Row],[soda_sales]]/dataset[[#This Row],[total_sales]]</f>
        <v>6.9735135478008373E-2</v>
      </c>
      <c r="N512">
        <f>LN(dataset[[#This Row],[soda_units_sold]])</f>
        <v>12.403381332132376</v>
      </c>
      <c r="O512">
        <f>LN(dataset[[#This Row],[soda_sales]])</f>
        <v>12.053505463308559</v>
      </c>
      <c r="P512">
        <f>LN(dataset[[#This Row],[soda_ppu]])</f>
        <v>-0.3498412043601673</v>
      </c>
      <c r="Q512">
        <f>IF(dataset[[#This Row],[state]]="VA",1,0)</f>
        <v>0</v>
      </c>
    </row>
    <row r="513" spans="1:17" x14ac:dyDescent="0.35">
      <c r="A513">
        <v>202208</v>
      </c>
      <c r="B513">
        <v>69</v>
      </c>
      <c r="C513" s="2">
        <v>2330402.7201</v>
      </c>
      <c r="D513" s="2">
        <v>0.72940000000000005</v>
      </c>
      <c r="E513" s="3">
        <v>205579</v>
      </c>
      <c r="F513" s="2">
        <v>149944.48910000001</v>
      </c>
      <c r="G513" t="s">
        <v>1342</v>
      </c>
      <c r="H513" t="s">
        <v>6</v>
      </c>
      <c r="I513">
        <f>HLOOKUP(G513,zip_tiers!$A$1:$EON$2,2,FALSE)</f>
        <v>77656</v>
      </c>
      <c r="J513" t="str">
        <f t="shared" si="7"/>
        <v>Med</v>
      </c>
      <c r="K513">
        <f>dataset[[#This Row],[soda_sales]]/dataset[[#This Row],[soda_units_sold]]</f>
        <v>0.72937648835727387</v>
      </c>
      <c r="L513" s="29">
        <f>dataset[[#This Row],[implied_soda_ppu]]-dataset[[#This Row],[soda_ppu]]</f>
        <v>-2.351164272618167E-5</v>
      </c>
      <c r="M513">
        <f>dataset[[#This Row],[soda_sales]]/dataset[[#This Row],[total_sales]]</f>
        <v>6.4342736904102873E-2</v>
      </c>
      <c r="N513">
        <f>LN(dataset[[#This Row],[soda_units_sold]])</f>
        <v>12.233585667268674</v>
      </c>
      <c r="O513">
        <f>LN(dataset[[#This Row],[soda_sales]])</f>
        <v>11.918020431917938</v>
      </c>
      <c r="P513">
        <f>LN(dataset[[#This Row],[soda_ppu]])</f>
        <v>-0.31553300060755712</v>
      </c>
      <c r="Q513">
        <f>IF(dataset[[#This Row],[state]]="VA",1,0)</f>
        <v>0</v>
      </c>
    </row>
    <row r="514" spans="1:17" x14ac:dyDescent="0.35">
      <c r="A514">
        <v>202209</v>
      </c>
      <c r="B514">
        <v>69</v>
      </c>
      <c r="C514" s="2">
        <v>2388082.1140000001</v>
      </c>
      <c r="D514" s="2">
        <v>0.74329999999999996</v>
      </c>
      <c r="E514" s="3">
        <v>197973</v>
      </c>
      <c r="F514" s="2">
        <v>147151.9405</v>
      </c>
      <c r="G514" t="s">
        <v>1342</v>
      </c>
      <c r="H514" t="s">
        <v>6</v>
      </c>
      <c r="I514">
        <f>HLOOKUP(G514,zip_tiers!$A$1:$EON$2,2,FALSE)</f>
        <v>77656</v>
      </c>
      <c r="J514" t="str">
        <f t="shared" ref="J514:J577" si="8">IF(I514="","No Data",IF(I514&gt;=100000,"High",IF(I514&gt;=40000,"Med","Low")))</f>
        <v>Med</v>
      </c>
      <c r="K514">
        <f>dataset[[#This Row],[soda_sales]]/dataset[[#This Row],[soda_units_sold]]</f>
        <v>0.74329297682007145</v>
      </c>
      <c r="L514" s="29">
        <f>dataset[[#This Row],[implied_soda_ppu]]-dataset[[#This Row],[soda_ppu]]</f>
        <v>-7.0231799285114249E-6</v>
      </c>
      <c r="M514">
        <f>dataset[[#This Row],[soda_sales]]/dataset[[#This Row],[total_sales]]</f>
        <v>6.1619296772640206E-2</v>
      </c>
      <c r="N514">
        <f>LN(dataset[[#This Row],[soda_units_sold]])</f>
        <v>12.195885936741943</v>
      </c>
      <c r="O514">
        <f>LN(dataset[[#This Row],[soda_sales]])</f>
        <v>11.899220940798589</v>
      </c>
      <c r="P514">
        <f>LN(dataset[[#This Row],[soda_ppu]])</f>
        <v>-0.29665554725088933</v>
      </c>
      <c r="Q514">
        <f>IF(dataset[[#This Row],[state]]="VA",1,0)</f>
        <v>0</v>
      </c>
    </row>
    <row r="515" spans="1:17" x14ac:dyDescent="0.35">
      <c r="A515">
        <v>202210</v>
      </c>
      <c r="B515">
        <v>69</v>
      </c>
      <c r="C515" s="2">
        <v>2867454.7634999999</v>
      </c>
      <c r="D515" s="2">
        <v>0.7268</v>
      </c>
      <c r="E515" s="3">
        <v>193542</v>
      </c>
      <c r="F515" s="2">
        <v>140672.18429999999</v>
      </c>
      <c r="G515" t="s">
        <v>1342</v>
      </c>
      <c r="H515" t="s">
        <v>6</v>
      </c>
      <c r="I515">
        <f>HLOOKUP(G515,zip_tiers!$A$1:$EON$2,2,FALSE)</f>
        <v>77656</v>
      </c>
      <c r="J515" t="str">
        <f t="shared" si="8"/>
        <v>Med</v>
      </c>
      <c r="K515">
        <f>dataset[[#This Row],[soda_sales]]/dataset[[#This Row],[soda_units_sold]]</f>
        <v>0.72683027094894126</v>
      </c>
      <c r="L515" s="29">
        <f>dataset[[#This Row],[implied_soda_ppu]]-dataset[[#This Row],[soda_ppu]]</f>
        <v>3.0270948941257814E-5</v>
      </c>
      <c r="M515">
        <f>dataset[[#This Row],[soda_sales]]/dataset[[#This Row],[total_sales]]</f>
        <v>4.9058205238535754E-2</v>
      </c>
      <c r="N515">
        <f>LN(dataset[[#This Row],[soda_units_sold]])</f>
        <v>12.173249822162671</v>
      </c>
      <c r="O515">
        <f>LN(dataset[[#This Row],[soda_sales]])</f>
        <v>11.85418752846228</v>
      </c>
      <c r="P515">
        <f>LN(dataset[[#This Row],[soda_ppu]])</f>
        <v>-0.31910394246012092</v>
      </c>
      <c r="Q515">
        <f>IF(dataset[[#This Row],[state]]="VA",1,0)</f>
        <v>0</v>
      </c>
    </row>
    <row r="516" spans="1:17" x14ac:dyDescent="0.35">
      <c r="A516">
        <v>202211</v>
      </c>
      <c r="B516">
        <v>69</v>
      </c>
      <c r="C516" s="2">
        <v>3303920.9830999998</v>
      </c>
      <c r="D516" s="2">
        <v>0.70860000000000001</v>
      </c>
      <c r="E516" s="3">
        <v>184515</v>
      </c>
      <c r="F516" s="2">
        <v>130743.2221</v>
      </c>
      <c r="G516" t="s">
        <v>1342</v>
      </c>
      <c r="H516" t="s">
        <v>6</v>
      </c>
      <c r="I516">
        <f>HLOOKUP(G516,zip_tiers!$A$1:$EON$2,2,FALSE)</f>
        <v>77656</v>
      </c>
      <c r="J516" t="str">
        <f t="shared" si="8"/>
        <v>Med</v>
      </c>
      <c r="K516">
        <f>dataset[[#This Row],[soda_sales]]/dataset[[#This Row],[soda_units_sold]]</f>
        <v>0.70857774218898195</v>
      </c>
      <c r="L516" s="29">
        <f>dataset[[#This Row],[implied_soda_ppu]]-dataset[[#This Row],[soda_ppu]]</f>
        <v>-2.2257811018056017E-5</v>
      </c>
      <c r="M516">
        <f>dataset[[#This Row],[soda_sales]]/dataset[[#This Row],[total_sales]]</f>
        <v>3.9572139518096579E-2</v>
      </c>
      <c r="N516">
        <f>LN(dataset[[#This Row],[soda_units_sold]])</f>
        <v>12.125486039970996</v>
      </c>
      <c r="O516">
        <f>LN(dataset[[#This Row],[soda_sales]])</f>
        <v>11.780990541960174</v>
      </c>
      <c r="P516">
        <f>LN(dataset[[#This Row],[soda_ppu]])</f>
        <v>-0.34446408655076544</v>
      </c>
      <c r="Q516">
        <f>IF(dataset[[#This Row],[state]]="VA",1,0)</f>
        <v>0</v>
      </c>
    </row>
    <row r="517" spans="1:17" x14ac:dyDescent="0.35">
      <c r="A517">
        <v>202212</v>
      </c>
      <c r="B517">
        <v>69</v>
      </c>
      <c r="C517" s="2">
        <v>3430514.2390999999</v>
      </c>
      <c r="D517" s="2">
        <v>0.72330000000000005</v>
      </c>
      <c r="E517" s="3">
        <v>179589</v>
      </c>
      <c r="F517" s="2">
        <v>129904.1988</v>
      </c>
      <c r="G517" t="s">
        <v>1342</v>
      </c>
      <c r="H517" t="s">
        <v>6</v>
      </c>
      <c r="I517">
        <f>HLOOKUP(G517,zip_tiers!$A$1:$EON$2,2,FALSE)</f>
        <v>77656</v>
      </c>
      <c r="J517" t="str">
        <f t="shared" si="8"/>
        <v>Med</v>
      </c>
      <c r="K517">
        <f>dataset[[#This Row],[soda_sales]]/dataset[[#This Row],[soda_units_sold]]</f>
        <v>0.72334162337336916</v>
      </c>
      <c r="L517" s="29">
        <f>dataset[[#This Row],[implied_soda_ppu]]-dataset[[#This Row],[soda_ppu]]</f>
        <v>4.1623373369104044E-5</v>
      </c>
      <c r="M517">
        <f>dataset[[#This Row],[soda_sales]]/dataset[[#This Row],[total_sales]]</f>
        <v>3.7867267046843837E-2</v>
      </c>
      <c r="N517">
        <f>LN(dataset[[#This Row],[soda_units_sold]])</f>
        <v>12.098426185758512</v>
      </c>
      <c r="O517">
        <f>LN(dataset[[#This Row],[soda_sales]])</f>
        <v>11.774552525461939</v>
      </c>
      <c r="P517">
        <f>LN(dataset[[#This Row],[soda_ppu]])</f>
        <v>-0.32393120512690193</v>
      </c>
      <c r="Q517">
        <f>IF(dataset[[#This Row],[state]]="VA",1,0)</f>
        <v>0</v>
      </c>
    </row>
    <row r="518" spans="1:17" x14ac:dyDescent="0.35">
      <c r="A518">
        <v>202301</v>
      </c>
      <c r="B518">
        <v>69</v>
      </c>
      <c r="C518" s="2">
        <v>1991152.7845999999</v>
      </c>
      <c r="D518" s="2">
        <v>0.74019999999999997</v>
      </c>
      <c r="E518" s="3">
        <v>128354</v>
      </c>
      <c r="F518" s="2">
        <v>95007.645699999994</v>
      </c>
      <c r="G518" t="s">
        <v>1342</v>
      </c>
      <c r="H518" t="s">
        <v>6</v>
      </c>
      <c r="I518">
        <f>HLOOKUP(G518,zip_tiers!$A$1:$EON$2,2,FALSE)</f>
        <v>77656</v>
      </c>
      <c r="J518" t="str">
        <f t="shared" si="8"/>
        <v>Med</v>
      </c>
      <c r="K518">
        <f>dataset[[#This Row],[soda_sales]]/dataset[[#This Row],[soda_units_sold]]</f>
        <v>0.74020011608520186</v>
      </c>
      <c r="L518" s="29">
        <f>dataset[[#This Row],[implied_soda_ppu]]-dataset[[#This Row],[soda_ppu]]</f>
        <v>1.1608520189554383E-7</v>
      </c>
      <c r="M518">
        <f>dataset[[#This Row],[soda_sales]]/dataset[[#This Row],[total_sales]]</f>
        <v>4.7714894826157678E-2</v>
      </c>
      <c r="N518">
        <f>LN(dataset[[#This Row],[soda_units_sold]])</f>
        <v>11.762547350597469</v>
      </c>
      <c r="O518">
        <f>LN(dataset[[#This Row],[soda_sales]])</f>
        <v>11.461712648396883</v>
      </c>
      <c r="P518">
        <f>LN(dataset[[#This Row],[soda_ppu]])</f>
        <v>-0.3008348590300815</v>
      </c>
      <c r="Q518">
        <f>IF(dataset[[#This Row],[state]]="VA",1,0)</f>
        <v>0</v>
      </c>
    </row>
    <row r="519" spans="1:17" x14ac:dyDescent="0.35">
      <c r="A519">
        <v>202302</v>
      </c>
      <c r="B519">
        <v>69</v>
      </c>
      <c r="C519" s="2">
        <v>2270820.4813999999</v>
      </c>
      <c r="D519" s="2">
        <v>0.7278</v>
      </c>
      <c r="E519" s="3">
        <v>149709</v>
      </c>
      <c r="F519" s="2">
        <v>108956.3181</v>
      </c>
      <c r="G519" t="s">
        <v>1342</v>
      </c>
      <c r="H519" t="s">
        <v>6</v>
      </c>
      <c r="I519">
        <f>HLOOKUP(G519,zip_tiers!$A$1:$EON$2,2,FALSE)</f>
        <v>77656</v>
      </c>
      <c r="J519" t="str">
        <f t="shared" si="8"/>
        <v>Med</v>
      </c>
      <c r="K519">
        <f>dataset[[#This Row],[soda_sales]]/dataset[[#This Row],[soda_units_sold]]</f>
        <v>0.72778736148127365</v>
      </c>
      <c r="L519" s="29">
        <f>dataset[[#This Row],[implied_soda_ppu]]-dataset[[#This Row],[soda_ppu]]</f>
        <v>-1.2638518726348913E-5</v>
      </c>
      <c r="M519">
        <f>dataset[[#This Row],[soda_sales]]/dataset[[#This Row],[total_sales]]</f>
        <v>4.7981035485828695E-2</v>
      </c>
      <c r="N519">
        <f>LN(dataset[[#This Row],[soda_units_sold]])</f>
        <v>11.916448688841051</v>
      </c>
      <c r="O519">
        <f>LN(dataset[[#This Row],[soda_sales]])</f>
        <v>11.598702329512841</v>
      </c>
      <c r="P519">
        <f>LN(dataset[[#This Row],[soda_ppu]])</f>
        <v>-0.3177289938040776</v>
      </c>
      <c r="Q519">
        <f>IF(dataset[[#This Row],[state]]="VA",1,0)</f>
        <v>0</v>
      </c>
    </row>
    <row r="520" spans="1:17" x14ac:dyDescent="0.35">
      <c r="A520">
        <v>202303</v>
      </c>
      <c r="B520">
        <v>69</v>
      </c>
      <c r="C520" s="2">
        <v>2535132.1984999999</v>
      </c>
      <c r="D520" s="2">
        <v>0.76359999999999995</v>
      </c>
      <c r="E520" s="3">
        <v>170233</v>
      </c>
      <c r="F520" s="2">
        <v>129990.9534</v>
      </c>
      <c r="G520" t="s">
        <v>1342</v>
      </c>
      <c r="H520" t="s">
        <v>6</v>
      </c>
      <c r="I520">
        <f>HLOOKUP(G520,zip_tiers!$A$1:$EON$2,2,FALSE)</f>
        <v>77656</v>
      </c>
      <c r="J520" t="str">
        <f t="shared" si="8"/>
        <v>Med</v>
      </c>
      <c r="K520">
        <f>dataset[[#This Row],[soda_sales]]/dataset[[#This Row],[soda_units_sold]]</f>
        <v>0.76360607755253096</v>
      </c>
      <c r="L520" s="29">
        <f>dataset[[#This Row],[implied_soda_ppu]]-dataset[[#This Row],[soda_ppu]]</f>
        <v>6.0775525310141632E-6</v>
      </c>
      <c r="M520">
        <f>dataset[[#This Row],[soda_sales]]/dataset[[#This Row],[total_sales]]</f>
        <v>5.1275808605529022E-2</v>
      </c>
      <c r="N520">
        <f>LN(dataset[[#This Row],[soda_units_sold]])</f>
        <v>12.044923365868978</v>
      </c>
      <c r="O520">
        <f>LN(dataset[[#This Row],[soda_sales]])</f>
        <v>11.775220137785507</v>
      </c>
      <c r="P520">
        <f>LN(dataset[[#This Row],[soda_ppu]])</f>
        <v>-0.26971118713054459</v>
      </c>
      <c r="Q520">
        <f>IF(dataset[[#This Row],[state]]="VA",1,0)</f>
        <v>0</v>
      </c>
    </row>
    <row r="521" spans="1:17" x14ac:dyDescent="0.35">
      <c r="A521">
        <v>202304</v>
      </c>
      <c r="B521">
        <v>69</v>
      </c>
      <c r="C521" s="2">
        <v>2614126.2609999999</v>
      </c>
      <c r="D521" s="2">
        <v>0.7278</v>
      </c>
      <c r="E521" s="3">
        <v>198816</v>
      </c>
      <c r="F521" s="2">
        <v>144697.96179999999</v>
      </c>
      <c r="G521" t="s">
        <v>1342</v>
      </c>
      <c r="H521" t="s">
        <v>6</v>
      </c>
      <c r="I521">
        <f>HLOOKUP(G521,zip_tiers!$A$1:$EON$2,2,FALSE)</f>
        <v>77656</v>
      </c>
      <c r="J521" t="str">
        <f t="shared" si="8"/>
        <v>Med</v>
      </c>
      <c r="K521">
        <f>dataset[[#This Row],[soda_sales]]/dataset[[#This Row],[soda_units_sold]]</f>
        <v>0.727798375382263</v>
      </c>
      <c r="L521" s="29">
        <f>dataset[[#This Row],[implied_soda_ppu]]-dataset[[#This Row],[soda_ppu]]</f>
        <v>-1.6246177370060622E-6</v>
      </c>
      <c r="M521">
        <f>dataset[[#This Row],[soda_sales]]/dataset[[#This Row],[total_sales]]</f>
        <v>5.5352323244190843E-2</v>
      </c>
      <c r="N521">
        <f>LN(dataset[[#This Row],[soda_units_sold]])</f>
        <v>12.20013505286342</v>
      </c>
      <c r="O521">
        <f>LN(dataset[[#This Row],[soda_sales]])</f>
        <v>11.882403826825831</v>
      </c>
      <c r="P521">
        <f>LN(dataset[[#This Row],[soda_ppu]])</f>
        <v>-0.3177289938040776</v>
      </c>
      <c r="Q521">
        <f>IF(dataset[[#This Row],[state]]="VA",1,0)</f>
        <v>0</v>
      </c>
    </row>
    <row r="522" spans="1:17" x14ac:dyDescent="0.35">
      <c r="A522">
        <v>202305</v>
      </c>
      <c r="B522">
        <v>69</v>
      </c>
      <c r="C522" s="2">
        <v>2787298.0691</v>
      </c>
      <c r="D522" s="2">
        <v>0.74050000000000005</v>
      </c>
      <c r="E522" s="3">
        <v>223774</v>
      </c>
      <c r="F522" s="2">
        <v>165706.54629999999</v>
      </c>
      <c r="G522" t="s">
        <v>1342</v>
      </c>
      <c r="H522" t="s">
        <v>6</v>
      </c>
      <c r="I522">
        <f>HLOOKUP(G522,zip_tiers!$A$1:$EON$2,2,FALSE)</f>
        <v>77656</v>
      </c>
      <c r="J522" t="str">
        <f t="shared" si="8"/>
        <v>Med</v>
      </c>
      <c r="K522">
        <f>dataset[[#This Row],[soda_sales]]/dataset[[#This Row],[soda_units_sold]]</f>
        <v>0.74050848758122023</v>
      </c>
      <c r="L522" s="29">
        <f>dataset[[#This Row],[implied_soda_ppu]]-dataset[[#This Row],[soda_ppu]]</f>
        <v>8.4875812201845591E-6</v>
      </c>
      <c r="M522">
        <f>dataset[[#This Row],[soda_sales]]/dataset[[#This Row],[total_sales]]</f>
        <v>5.9450601332173107E-2</v>
      </c>
      <c r="N522">
        <f>LN(dataset[[#This Row],[soda_units_sold]])</f>
        <v>12.318391892954716</v>
      </c>
      <c r="O522">
        <f>LN(dataset[[#This Row],[soda_sales]])</f>
        <v>12.017973709574528</v>
      </c>
      <c r="P522">
        <f>LN(dataset[[#This Row],[soda_ppu]])</f>
        <v>-0.30042964527428351</v>
      </c>
      <c r="Q522">
        <f>IF(dataset[[#This Row],[state]]="VA",1,0)</f>
        <v>0</v>
      </c>
    </row>
    <row r="523" spans="1:17" x14ac:dyDescent="0.35">
      <c r="A523">
        <v>202306</v>
      </c>
      <c r="B523">
        <v>69</v>
      </c>
      <c r="C523" s="2">
        <v>2632222.0833000001</v>
      </c>
      <c r="D523" s="2">
        <v>0.74890000000000001</v>
      </c>
      <c r="E523" s="3">
        <v>222590</v>
      </c>
      <c r="F523" s="2">
        <v>166701.7579</v>
      </c>
      <c r="G523" t="s">
        <v>1342</v>
      </c>
      <c r="H523" t="s">
        <v>6</v>
      </c>
      <c r="I523">
        <f>HLOOKUP(G523,zip_tiers!$A$1:$EON$2,2,FALSE)</f>
        <v>77656</v>
      </c>
      <c r="J523" t="str">
        <f t="shared" si="8"/>
        <v>Med</v>
      </c>
      <c r="K523">
        <f>dataset[[#This Row],[soda_sales]]/dataset[[#This Row],[soda_units_sold]]</f>
        <v>0.74891845051439865</v>
      </c>
      <c r="L523" s="29">
        <f>dataset[[#This Row],[implied_soda_ppu]]-dataset[[#This Row],[soda_ppu]]</f>
        <v>1.8450514398637985E-5</v>
      </c>
      <c r="M523">
        <f>dataset[[#This Row],[soda_sales]]/dataset[[#This Row],[total_sales]]</f>
        <v>6.3331190387631381E-2</v>
      </c>
      <c r="N523">
        <f>LN(dataset[[#This Row],[soda_units_sold]])</f>
        <v>12.313086793184656</v>
      </c>
      <c r="O523">
        <f>LN(dataset[[#This Row],[soda_sales]])</f>
        <v>12.023961613974226</v>
      </c>
      <c r="P523">
        <f>LN(dataset[[#This Row],[soda_ppu]])</f>
        <v>-0.28914981572681564</v>
      </c>
      <c r="Q523">
        <f>IF(dataset[[#This Row],[state]]="VA",1,0)</f>
        <v>0</v>
      </c>
    </row>
    <row r="524" spans="1:17" x14ac:dyDescent="0.35">
      <c r="A524">
        <v>202307</v>
      </c>
      <c r="B524">
        <v>69</v>
      </c>
      <c r="C524" s="2">
        <v>2514179.5534000001</v>
      </c>
      <c r="D524" s="2">
        <v>0.74570000000000003</v>
      </c>
      <c r="E524" s="3">
        <v>234513</v>
      </c>
      <c r="F524" s="2">
        <v>174882.35190000001</v>
      </c>
      <c r="G524" t="s">
        <v>1342</v>
      </c>
      <c r="H524" t="s">
        <v>6</v>
      </c>
      <c r="I524">
        <f>HLOOKUP(G524,zip_tiers!$A$1:$EON$2,2,FALSE)</f>
        <v>77656</v>
      </c>
      <c r="J524" t="str">
        <f t="shared" si="8"/>
        <v>Med</v>
      </c>
      <c r="K524">
        <f>dataset[[#This Row],[soda_sales]]/dataset[[#This Row],[soda_units_sold]]</f>
        <v>0.74572561819600625</v>
      </c>
      <c r="L524" s="29">
        <f>dataset[[#This Row],[implied_soda_ppu]]-dataset[[#This Row],[soda_ppu]]</f>
        <v>2.5618196006216287E-5</v>
      </c>
      <c r="M524">
        <f>dataset[[#This Row],[soda_sales]]/dataset[[#This Row],[total_sales]]</f>
        <v>6.9558417839927694E-2</v>
      </c>
      <c r="N524">
        <f>LN(dataset[[#This Row],[soda_units_sold]])</f>
        <v>12.365266302432104</v>
      </c>
      <c r="O524">
        <f>LN(dataset[[#This Row],[soda_sales]])</f>
        <v>12.071868751970436</v>
      </c>
      <c r="P524">
        <f>LN(dataset[[#This Row],[soda_ppu]])</f>
        <v>-0.29343190443238787</v>
      </c>
      <c r="Q524">
        <f>IF(dataset[[#This Row],[state]]="VA",1,0)</f>
        <v>0</v>
      </c>
    </row>
    <row r="525" spans="1:17" x14ac:dyDescent="0.35">
      <c r="A525">
        <v>202308</v>
      </c>
      <c r="B525">
        <v>69</v>
      </c>
      <c r="C525" s="2">
        <v>2376570.8746000002</v>
      </c>
      <c r="D525" s="2">
        <v>0.7379</v>
      </c>
      <c r="E525" s="3">
        <v>207000</v>
      </c>
      <c r="F525" s="2">
        <v>152738.75229999999</v>
      </c>
      <c r="G525" t="s">
        <v>1342</v>
      </c>
      <c r="H525" t="s">
        <v>6</v>
      </c>
      <c r="I525">
        <f>HLOOKUP(G525,zip_tiers!$A$1:$EON$2,2,FALSE)</f>
        <v>77656</v>
      </c>
      <c r="J525" t="str">
        <f t="shared" si="8"/>
        <v>Med</v>
      </c>
      <c r="K525">
        <f>dataset[[#This Row],[soda_sales]]/dataset[[#This Row],[soda_units_sold]]</f>
        <v>0.73786836859903382</v>
      </c>
      <c r="L525" s="29">
        <f>dataset[[#This Row],[implied_soda_ppu]]-dataset[[#This Row],[soda_ppu]]</f>
        <v>-3.1631400966181111E-5</v>
      </c>
      <c r="M525">
        <f>dataset[[#This Row],[soda_sales]]/dataset[[#This Row],[total_sales]]</f>
        <v>6.4268545042111311E-2</v>
      </c>
      <c r="N525">
        <f>LN(dataset[[#This Row],[soda_units_sold]])</f>
        <v>12.240474072247506</v>
      </c>
      <c r="O525">
        <f>LN(dataset[[#This Row],[soda_sales]])</f>
        <v>11.936484239625457</v>
      </c>
      <c r="P525">
        <f>LN(dataset[[#This Row],[soda_ppu]])</f>
        <v>-0.30394696491781609</v>
      </c>
      <c r="Q525">
        <f>IF(dataset[[#This Row],[state]]="VA",1,0)</f>
        <v>0</v>
      </c>
    </row>
    <row r="526" spans="1:17" x14ac:dyDescent="0.35">
      <c r="A526">
        <v>202309</v>
      </c>
      <c r="B526">
        <v>69</v>
      </c>
      <c r="C526" s="2">
        <v>2401694.7574999998</v>
      </c>
      <c r="D526" s="2">
        <v>0.74819999999999998</v>
      </c>
      <c r="E526" s="3">
        <v>199374</v>
      </c>
      <c r="F526" s="2">
        <v>149172.2801</v>
      </c>
      <c r="G526" t="s">
        <v>1342</v>
      </c>
      <c r="H526" t="s">
        <v>6</v>
      </c>
      <c r="I526">
        <f>HLOOKUP(G526,zip_tiers!$A$1:$EON$2,2,FALSE)</f>
        <v>77656</v>
      </c>
      <c r="J526" t="str">
        <f t="shared" si="8"/>
        <v>Med</v>
      </c>
      <c r="K526">
        <f>dataset[[#This Row],[soda_sales]]/dataset[[#This Row],[soda_units_sold]]</f>
        <v>0.74820327675624709</v>
      </c>
      <c r="L526" s="29">
        <f>dataset[[#This Row],[implied_soda_ppu]]-dataset[[#This Row],[soda_ppu]]</f>
        <v>3.2767562471169853E-6</v>
      </c>
      <c r="M526">
        <f>dataset[[#This Row],[soda_sales]]/dataset[[#This Row],[total_sales]]</f>
        <v>6.2111256908966302E-2</v>
      </c>
      <c r="N526">
        <f>LN(dataset[[#This Row],[soda_units_sold]])</f>
        <v>12.202937736834686</v>
      </c>
      <c r="O526">
        <f>LN(dataset[[#This Row],[soda_sales]])</f>
        <v>11.91285715927618</v>
      </c>
      <c r="P526">
        <f>LN(dataset[[#This Row],[soda_ppu]])</f>
        <v>-0.29008495706809134</v>
      </c>
      <c r="Q526">
        <f>IF(dataset[[#This Row],[state]]="VA",1,0)</f>
        <v>0</v>
      </c>
    </row>
    <row r="527" spans="1:17" x14ac:dyDescent="0.35">
      <c r="A527">
        <v>202310</v>
      </c>
      <c r="B527">
        <v>69</v>
      </c>
      <c r="C527" s="2">
        <v>2914150.9882999999</v>
      </c>
      <c r="D527" s="2">
        <v>0.7581</v>
      </c>
      <c r="E527" s="3">
        <v>183571</v>
      </c>
      <c r="F527" s="2">
        <v>139167.3394</v>
      </c>
      <c r="G527" t="s">
        <v>1342</v>
      </c>
      <c r="H527" t="s">
        <v>6</v>
      </c>
      <c r="I527">
        <f>HLOOKUP(G527,zip_tiers!$A$1:$EON$2,2,FALSE)</f>
        <v>77656</v>
      </c>
      <c r="J527" t="str">
        <f t="shared" si="8"/>
        <v>Med</v>
      </c>
      <c r="K527">
        <f>dataset[[#This Row],[soda_sales]]/dataset[[#This Row],[soda_units_sold]]</f>
        <v>0.75811178998861473</v>
      </c>
      <c r="L527" s="29">
        <f>dataset[[#This Row],[implied_soda_ppu]]-dataset[[#This Row],[soda_ppu]]</f>
        <v>1.1789988614729907E-5</v>
      </c>
      <c r="M527">
        <f>dataset[[#This Row],[soda_sales]]/dataset[[#This Row],[total_sales]]</f>
        <v>4.775570653639491E-2</v>
      </c>
      <c r="N527">
        <f>LN(dataset[[#This Row],[soda_units_sold]])</f>
        <v>12.120356792623069</v>
      </c>
      <c r="O527">
        <f>LN(dataset[[#This Row],[soda_sales]])</f>
        <v>11.84343236860523</v>
      </c>
      <c r="P527">
        <f>LN(dataset[[#This Row],[soda_ppu]])</f>
        <v>-0.27693997591987884</v>
      </c>
      <c r="Q527">
        <f>IF(dataset[[#This Row],[state]]="VA",1,0)</f>
        <v>0</v>
      </c>
    </row>
    <row r="528" spans="1:17" x14ac:dyDescent="0.35">
      <c r="A528">
        <v>202311</v>
      </c>
      <c r="B528">
        <v>69</v>
      </c>
      <c r="C528" s="2">
        <v>3318255.5509000001</v>
      </c>
      <c r="D528" s="2">
        <v>0.7671</v>
      </c>
      <c r="E528" s="3">
        <v>172378</v>
      </c>
      <c r="F528" s="2">
        <v>132227.489</v>
      </c>
      <c r="G528" t="s">
        <v>1342</v>
      </c>
      <c r="H528" t="s">
        <v>6</v>
      </c>
      <c r="I528">
        <f>HLOOKUP(G528,zip_tiers!$A$1:$EON$2,2,FALSE)</f>
        <v>77656</v>
      </c>
      <c r="J528" t="str">
        <f t="shared" si="8"/>
        <v>Med</v>
      </c>
      <c r="K528">
        <f>dataset[[#This Row],[soda_sales]]/dataset[[#This Row],[soda_units_sold]]</f>
        <v>0.76707868173432803</v>
      </c>
      <c r="L528" s="29">
        <f>dataset[[#This Row],[implied_soda_ppu]]-dataset[[#This Row],[soda_ppu]]</f>
        <v>-2.131826567197681E-5</v>
      </c>
      <c r="M528">
        <f>dataset[[#This Row],[soda_sales]]/dataset[[#This Row],[total_sales]]</f>
        <v>3.9848494780378309E-2</v>
      </c>
      <c r="N528">
        <f>LN(dataset[[#This Row],[soda_units_sold]])</f>
        <v>12.057445018860038</v>
      </c>
      <c r="O528">
        <f>LN(dataset[[#This Row],[soda_sales]])</f>
        <v>11.792279119731297</v>
      </c>
      <c r="P528">
        <f>LN(dataset[[#This Row],[soda_ppu]])</f>
        <v>-0.26513810801688642</v>
      </c>
      <c r="Q528">
        <f>IF(dataset[[#This Row],[state]]="VA",1,0)</f>
        <v>0</v>
      </c>
    </row>
    <row r="529" spans="1:17" x14ac:dyDescent="0.35">
      <c r="A529">
        <v>202312</v>
      </c>
      <c r="B529">
        <v>69</v>
      </c>
      <c r="C529" s="2">
        <v>3501274.2546999999</v>
      </c>
      <c r="D529" s="2">
        <v>0.76280000000000003</v>
      </c>
      <c r="E529" s="3">
        <v>173764</v>
      </c>
      <c r="F529" s="2">
        <v>132543.2886</v>
      </c>
      <c r="G529" t="s">
        <v>1342</v>
      </c>
      <c r="H529" t="s">
        <v>6</v>
      </c>
      <c r="I529">
        <f>HLOOKUP(G529,zip_tiers!$A$1:$EON$2,2,FALSE)</f>
        <v>77656</v>
      </c>
      <c r="J529" t="str">
        <f t="shared" si="8"/>
        <v>Med</v>
      </c>
      <c r="K529">
        <f>dataset[[#This Row],[soda_sales]]/dataset[[#This Row],[soda_units_sold]]</f>
        <v>0.76277760986165144</v>
      </c>
      <c r="L529" s="29">
        <f>dataset[[#This Row],[implied_soda_ppu]]-dataset[[#This Row],[soda_ppu]]</f>
        <v>-2.2390138348593602E-5</v>
      </c>
      <c r="M529">
        <f>dataset[[#This Row],[soda_sales]]/dataset[[#This Row],[total_sales]]</f>
        <v>3.7855728788476962E-2</v>
      </c>
      <c r="N529">
        <f>LN(dataset[[#This Row],[soda_units_sold]])</f>
        <v>12.065453335720573</v>
      </c>
      <c r="O529">
        <f>LN(dataset[[#This Row],[soda_sales]])</f>
        <v>11.794664577466589</v>
      </c>
      <c r="P529">
        <f>LN(dataset[[#This Row],[soda_ppu]])</f>
        <v>-0.270759405255873</v>
      </c>
      <c r="Q529">
        <f>IF(dataset[[#This Row],[state]]="VA",1,0)</f>
        <v>0</v>
      </c>
    </row>
    <row r="530" spans="1:17" x14ac:dyDescent="0.35">
      <c r="A530">
        <v>202401</v>
      </c>
      <c r="B530">
        <v>69</v>
      </c>
      <c r="C530" s="2">
        <v>1988585.294</v>
      </c>
      <c r="D530" s="2">
        <v>0.76739999999999997</v>
      </c>
      <c r="E530" s="3">
        <v>123804</v>
      </c>
      <c r="F530" s="2">
        <v>95009.805999999997</v>
      </c>
      <c r="G530" t="s">
        <v>1342</v>
      </c>
      <c r="H530" t="s">
        <v>6</v>
      </c>
      <c r="I530">
        <f>HLOOKUP(G530,zip_tiers!$A$1:$EON$2,2,FALSE)</f>
        <v>77656</v>
      </c>
      <c r="J530" t="str">
        <f t="shared" si="8"/>
        <v>Med</v>
      </c>
      <c r="K530">
        <f>dataset[[#This Row],[soda_sales]]/dataset[[#This Row],[soda_units_sold]]</f>
        <v>0.76742113340441342</v>
      </c>
      <c r="L530" s="29">
        <f>dataset[[#This Row],[implied_soda_ppu]]-dataset[[#This Row],[soda_ppu]]</f>
        <v>2.1133404413453682E-5</v>
      </c>
      <c r="M530">
        <f>dataset[[#This Row],[soda_sales]]/dataset[[#This Row],[total_sales]]</f>
        <v>4.777758655193997E-2</v>
      </c>
      <c r="N530">
        <f>LN(dataset[[#This Row],[soda_units_sold]])</f>
        <v>11.726454948888376</v>
      </c>
      <c r="O530">
        <f>LN(dataset[[#This Row],[soda_sales]])</f>
        <v>11.461735386308384</v>
      </c>
      <c r="P530">
        <f>LN(dataset[[#This Row],[soda_ppu]])</f>
        <v>-0.26474710116928507</v>
      </c>
      <c r="Q530">
        <f>IF(dataset[[#This Row],[state]]="VA",1,0)</f>
        <v>0</v>
      </c>
    </row>
    <row r="531" spans="1:17" x14ac:dyDescent="0.35">
      <c r="A531">
        <v>202402</v>
      </c>
      <c r="B531">
        <v>69</v>
      </c>
      <c r="C531" s="2">
        <v>2295720.7234</v>
      </c>
      <c r="D531" s="2">
        <v>0.73229999999999995</v>
      </c>
      <c r="E531" s="3">
        <v>149680</v>
      </c>
      <c r="F531" s="2">
        <v>109610.1483</v>
      </c>
      <c r="G531" t="s">
        <v>1342</v>
      </c>
      <c r="H531" t="s">
        <v>6</v>
      </c>
      <c r="I531">
        <f>HLOOKUP(G531,zip_tiers!$A$1:$EON$2,2,FALSE)</f>
        <v>77656</v>
      </c>
      <c r="J531" t="str">
        <f t="shared" si="8"/>
        <v>Med</v>
      </c>
      <c r="K531">
        <f>dataset[[#This Row],[soda_sales]]/dataset[[#This Row],[soda_units_sold]]</f>
        <v>0.73229655464991983</v>
      </c>
      <c r="L531" s="29">
        <f>dataset[[#This Row],[implied_soda_ppu]]-dataset[[#This Row],[soda_ppu]]</f>
        <v>-3.4453500801223669E-6</v>
      </c>
      <c r="M531">
        <f>dataset[[#This Row],[soda_sales]]/dataset[[#This Row],[total_sales]]</f>
        <v>4.7745419197882909E-2</v>
      </c>
      <c r="N531">
        <f>LN(dataset[[#This Row],[soda_units_sold]])</f>
        <v>11.91625496094797</v>
      </c>
      <c r="O531">
        <f>LN(dataset[[#This Row],[soda_sales]])</f>
        <v>11.604685243187596</v>
      </c>
      <c r="P531">
        <f>LN(dataset[[#This Row],[soda_ppu]])</f>
        <v>-0.31156501291511302</v>
      </c>
      <c r="Q531">
        <f>IF(dataset[[#This Row],[state]]="VA",1,0)</f>
        <v>0</v>
      </c>
    </row>
    <row r="532" spans="1:17" x14ac:dyDescent="0.35">
      <c r="A532">
        <v>202403</v>
      </c>
      <c r="B532">
        <v>69</v>
      </c>
      <c r="C532" s="2">
        <v>2583720.7412</v>
      </c>
      <c r="D532" s="2">
        <v>0.76900000000000002</v>
      </c>
      <c r="E532" s="3">
        <v>169724</v>
      </c>
      <c r="F532" s="2">
        <v>130518.9921</v>
      </c>
      <c r="G532" t="s">
        <v>1342</v>
      </c>
      <c r="H532" t="s">
        <v>6</v>
      </c>
      <c r="I532">
        <f>HLOOKUP(G532,zip_tiers!$A$1:$EON$2,2,FALSE)</f>
        <v>77656</v>
      </c>
      <c r="J532" t="str">
        <f t="shared" si="8"/>
        <v>Med</v>
      </c>
      <c r="K532">
        <f>dataset[[#This Row],[soda_sales]]/dataset[[#This Row],[soda_units_sold]]</f>
        <v>0.76900728300063637</v>
      </c>
      <c r="L532" s="29">
        <f>dataset[[#This Row],[implied_soda_ppu]]-dataset[[#This Row],[soda_ppu]]</f>
        <v>7.2830006363489019E-6</v>
      </c>
      <c r="M532">
        <f>dataset[[#This Row],[soda_sales]]/dataset[[#This Row],[total_sales]]</f>
        <v>5.0515905228744232E-2</v>
      </c>
      <c r="N532">
        <f>LN(dataset[[#This Row],[soda_units_sold]])</f>
        <v>12.041928867268561</v>
      </c>
      <c r="O532">
        <f>LN(dataset[[#This Row],[soda_sales]])</f>
        <v>11.779274028489271</v>
      </c>
      <c r="P532">
        <f>LN(dataset[[#This Row],[soda_ppu]])</f>
        <v>-0.26266430947649305</v>
      </c>
      <c r="Q532">
        <f>IF(dataset[[#This Row],[state]]="VA",1,0)</f>
        <v>0</v>
      </c>
    </row>
    <row r="533" spans="1:17" x14ac:dyDescent="0.35">
      <c r="A533">
        <v>202404</v>
      </c>
      <c r="B533">
        <v>69</v>
      </c>
      <c r="C533" s="2">
        <v>2681259.8574999999</v>
      </c>
      <c r="D533" s="2">
        <v>0.81210000000000004</v>
      </c>
      <c r="E533" s="3">
        <v>187141</v>
      </c>
      <c r="F533" s="2">
        <v>151971.42559999999</v>
      </c>
      <c r="G533" t="s">
        <v>1342</v>
      </c>
      <c r="H533" t="s">
        <v>6</v>
      </c>
      <c r="I533">
        <f>HLOOKUP(G533,zip_tiers!$A$1:$EON$2,2,FALSE)</f>
        <v>77656</v>
      </c>
      <c r="J533" t="str">
        <f t="shared" si="8"/>
        <v>Med</v>
      </c>
      <c r="K533">
        <f>dataset[[#This Row],[soda_sales]]/dataset[[#This Row],[soda_units_sold]]</f>
        <v>0.81206911152553418</v>
      </c>
      <c r="L533" s="29">
        <f>dataset[[#This Row],[implied_soda_ppu]]-dataset[[#This Row],[soda_ppu]]</f>
        <v>-3.0888474465862181E-5</v>
      </c>
      <c r="M533">
        <f>dataset[[#This Row],[soda_sales]]/dataset[[#This Row],[total_sales]]</f>
        <v>5.6679111192787471E-2</v>
      </c>
      <c r="N533">
        <f>LN(dataset[[#This Row],[soda_units_sold]])</f>
        <v>12.139617622408659</v>
      </c>
      <c r="O533">
        <f>LN(dataset[[#This Row],[soda_sales]])</f>
        <v>11.931447792682492</v>
      </c>
      <c r="P533">
        <f>LN(dataset[[#This Row],[soda_ppu]])</f>
        <v>-0.2081317936937718</v>
      </c>
      <c r="Q533">
        <f>IF(dataset[[#This Row],[state]]="VA",1,0)</f>
        <v>0</v>
      </c>
    </row>
    <row r="534" spans="1:17" x14ac:dyDescent="0.35">
      <c r="A534">
        <v>202405</v>
      </c>
      <c r="B534">
        <v>69</v>
      </c>
      <c r="C534" s="2">
        <v>2789854.3530999999</v>
      </c>
      <c r="D534" s="2">
        <v>0.78320000000000001</v>
      </c>
      <c r="E534" s="3">
        <v>208986</v>
      </c>
      <c r="F534" s="2">
        <v>163678.28330000001</v>
      </c>
      <c r="G534" t="s">
        <v>1342</v>
      </c>
      <c r="H534" t="s">
        <v>6</v>
      </c>
      <c r="I534">
        <f>HLOOKUP(G534,zip_tiers!$A$1:$EON$2,2,FALSE)</f>
        <v>77656</v>
      </c>
      <c r="J534" t="str">
        <f t="shared" si="8"/>
        <v>Med</v>
      </c>
      <c r="K534">
        <f>dataset[[#This Row],[soda_sales]]/dataset[[#This Row],[soda_units_sold]]</f>
        <v>0.7832021441627669</v>
      </c>
      <c r="L534" s="29">
        <f>dataset[[#This Row],[implied_soda_ppu]]-dataset[[#This Row],[soda_ppu]]</f>
        <v>2.1441627668927765E-6</v>
      </c>
      <c r="M534">
        <f>dataset[[#This Row],[soda_sales]]/dataset[[#This Row],[total_sales]]</f>
        <v>5.8669114076914358E-2</v>
      </c>
      <c r="N534">
        <f>LN(dataset[[#This Row],[soda_units_sold]])</f>
        <v>12.250022543057376</v>
      </c>
      <c r="O534">
        <f>LN(dataset[[#This Row],[soda_sales]])</f>
        <v>12.005658092982847</v>
      </c>
      <c r="P534">
        <f>LN(dataset[[#This Row],[soda_ppu]])</f>
        <v>-0.24436718776583641</v>
      </c>
      <c r="Q534">
        <f>IF(dataset[[#This Row],[state]]="VA",1,0)</f>
        <v>0</v>
      </c>
    </row>
    <row r="535" spans="1:17" x14ac:dyDescent="0.35">
      <c r="A535">
        <v>202406</v>
      </c>
      <c r="B535">
        <v>69</v>
      </c>
      <c r="C535" s="2">
        <v>2694509.0614999998</v>
      </c>
      <c r="D535" s="2">
        <v>0.79879999999999995</v>
      </c>
      <c r="E535" s="3">
        <v>212575</v>
      </c>
      <c r="F535" s="2">
        <v>169795.4963</v>
      </c>
      <c r="G535" t="s">
        <v>1342</v>
      </c>
      <c r="H535" t="s">
        <v>6</v>
      </c>
      <c r="I535">
        <f>HLOOKUP(G535,zip_tiers!$A$1:$EON$2,2,FALSE)</f>
        <v>77656</v>
      </c>
      <c r="J535" t="str">
        <f t="shared" si="8"/>
        <v>Med</v>
      </c>
      <c r="K535">
        <f>dataset[[#This Row],[soda_sales]]/dataset[[#This Row],[soda_units_sold]]</f>
        <v>0.79875571586498884</v>
      </c>
      <c r="L535" s="29">
        <f>dataset[[#This Row],[implied_soda_ppu]]-dataset[[#This Row],[soda_ppu]]</f>
        <v>-4.4284135011118941E-5</v>
      </c>
      <c r="M535">
        <f>dataset[[#This Row],[soda_sales]]/dataset[[#This Row],[total_sales]]</f>
        <v>6.3015374016028344E-2</v>
      </c>
      <c r="N535">
        <f>LN(dataset[[#This Row],[soda_units_sold]])</f>
        <v>12.267050146253993</v>
      </c>
      <c r="O535">
        <f>LN(dataset[[#This Row],[soda_sales]])</f>
        <v>12.042350028950501</v>
      </c>
      <c r="P535">
        <f>LN(dataset[[#This Row],[soda_ppu]])</f>
        <v>-0.22464467744047695</v>
      </c>
      <c r="Q535">
        <f>IF(dataset[[#This Row],[state]]="VA",1,0)</f>
        <v>0</v>
      </c>
    </row>
    <row r="536" spans="1:17" x14ac:dyDescent="0.35">
      <c r="A536">
        <v>202407</v>
      </c>
      <c r="B536">
        <v>69</v>
      </c>
      <c r="C536" s="2">
        <v>2598902.9876000001</v>
      </c>
      <c r="D536" s="2">
        <v>0.78149999999999997</v>
      </c>
      <c r="E536" s="3">
        <v>230068</v>
      </c>
      <c r="F536" s="2">
        <v>179803.46679999999</v>
      </c>
      <c r="G536" t="s">
        <v>1342</v>
      </c>
      <c r="H536" t="s">
        <v>6</v>
      </c>
      <c r="I536">
        <f>HLOOKUP(G536,zip_tiers!$A$1:$EON$2,2,FALSE)</f>
        <v>77656</v>
      </c>
      <c r="J536" t="str">
        <f t="shared" si="8"/>
        <v>Med</v>
      </c>
      <c r="K536">
        <f>dataset[[#This Row],[soda_sales]]/dataset[[#This Row],[soda_units_sold]]</f>
        <v>0.7815231444616374</v>
      </c>
      <c r="L536" s="29">
        <f>dataset[[#This Row],[implied_soda_ppu]]-dataset[[#This Row],[soda_ppu]]</f>
        <v>2.3144461637425451E-5</v>
      </c>
      <c r="M536">
        <f>dataset[[#This Row],[soda_sales]]/dataset[[#This Row],[total_sales]]</f>
        <v>6.9184370350831165E-2</v>
      </c>
      <c r="N536">
        <f>LN(dataset[[#This Row],[soda_units_sold]])</f>
        <v>12.346130196382754</v>
      </c>
      <c r="O536">
        <f>LN(dataset[[#This Row],[soda_sales]])</f>
        <v>12.099619682257577</v>
      </c>
      <c r="P536">
        <f>LN(dataset[[#This Row],[soda_ppu]])</f>
        <v>-0.2465401291206058</v>
      </c>
      <c r="Q536">
        <f>IF(dataset[[#This Row],[state]]="VA",1,0)</f>
        <v>0</v>
      </c>
    </row>
    <row r="537" spans="1:17" x14ac:dyDescent="0.35">
      <c r="A537">
        <v>202408</v>
      </c>
      <c r="B537">
        <v>69</v>
      </c>
      <c r="C537" s="2">
        <v>2444848.8462</v>
      </c>
      <c r="D537" s="2">
        <v>0.80549999999999999</v>
      </c>
      <c r="E537" s="3">
        <v>190617</v>
      </c>
      <c r="F537" s="2">
        <v>153548.32990000001</v>
      </c>
      <c r="G537" t="s">
        <v>1342</v>
      </c>
      <c r="H537" t="s">
        <v>6</v>
      </c>
      <c r="I537">
        <f>HLOOKUP(G537,zip_tiers!$A$1:$EON$2,2,FALSE)</f>
        <v>77656</v>
      </c>
      <c r="J537" t="str">
        <f t="shared" si="8"/>
        <v>Med</v>
      </c>
      <c r="K537">
        <f>dataset[[#This Row],[soda_sales]]/dataset[[#This Row],[soda_units_sold]]</f>
        <v>0.80553324152620187</v>
      </c>
      <c r="L537" s="29">
        <f>dataset[[#This Row],[implied_soda_ppu]]-dataset[[#This Row],[soda_ppu]]</f>
        <v>3.3241526201877036E-5</v>
      </c>
      <c r="M537">
        <f>dataset[[#This Row],[soda_sales]]/dataset[[#This Row],[total_sales]]</f>
        <v>6.2804835619452867E-2</v>
      </c>
      <c r="N537">
        <f>LN(dataset[[#This Row],[soda_units_sold]])</f>
        <v>12.158021458250051</v>
      </c>
      <c r="O537">
        <f>LN(dataset[[#This Row],[soda_sales]])</f>
        <v>11.941770649222388</v>
      </c>
      <c r="P537">
        <f>LN(dataset[[#This Row],[soda_ppu]])</f>
        <v>-0.216292076365108</v>
      </c>
      <c r="Q537">
        <f>IF(dataset[[#This Row],[state]]="VA",1,0)</f>
        <v>0</v>
      </c>
    </row>
    <row r="538" spans="1:17" x14ac:dyDescent="0.35">
      <c r="A538">
        <v>202409</v>
      </c>
      <c r="B538">
        <v>69</v>
      </c>
      <c r="C538" s="2">
        <v>2444186.682</v>
      </c>
      <c r="D538" s="2">
        <v>0.79210000000000003</v>
      </c>
      <c r="E538" s="3">
        <v>189572</v>
      </c>
      <c r="F538" s="2">
        <v>150169.00339999999</v>
      </c>
      <c r="G538" t="s">
        <v>1342</v>
      </c>
      <c r="H538" t="s">
        <v>6</v>
      </c>
      <c r="I538">
        <f>HLOOKUP(G538,zip_tiers!$A$1:$EON$2,2,FALSE)</f>
        <v>77656</v>
      </c>
      <c r="J538" t="str">
        <f t="shared" si="8"/>
        <v>Med</v>
      </c>
      <c r="K538">
        <f>dataset[[#This Row],[soda_sales]]/dataset[[#This Row],[soda_units_sold]]</f>
        <v>0.79214759247146194</v>
      </c>
      <c r="L538" s="29">
        <f>dataset[[#This Row],[implied_soda_ppu]]-dataset[[#This Row],[soda_ppu]]</f>
        <v>4.7592471461910257E-5</v>
      </c>
      <c r="M538">
        <f>dataset[[#This Row],[soda_sales]]/dataset[[#This Row],[total_sales]]</f>
        <v>6.1439252781265254E-2</v>
      </c>
      <c r="N538">
        <f>LN(dataset[[#This Row],[soda_units_sold]])</f>
        <v>12.152524178572499</v>
      </c>
      <c r="O538">
        <f>LN(dataset[[#This Row],[soda_sales]])</f>
        <v>11.919516628173648</v>
      </c>
      <c r="P538">
        <f>LN(dataset[[#This Row],[soda_ppu]])</f>
        <v>-0.23306763251190302</v>
      </c>
      <c r="Q538">
        <f>IF(dataset[[#This Row],[state]]="VA",1,0)</f>
        <v>0</v>
      </c>
    </row>
    <row r="539" spans="1:17" x14ac:dyDescent="0.35">
      <c r="A539">
        <v>202410</v>
      </c>
      <c r="B539">
        <v>69</v>
      </c>
      <c r="C539" s="2">
        <v>2989655.5852000001</v>
      </c>
      <c r="D539" s="2">
        <v>0.77939999999999998</v>
      </c>
      <c r="E539" s="3">
        <v>183251</v>
      </c>
      <c r="F539" s="2">
        <v>142824.7819</v>
      </c>
      <c r="G539" t="s">
        <v>1342</v>
      </c>
      <c r="H539" t="s">
        <v>6</v>
      </c>
      <c r="I539">
        <f>HLOOKUP(G539,zip_tiers!$A$1:$EON$2,2,FALSE)</f>
        <v>77656</v>
      </c>
      <c r="J539" t="str">
        <f t="shared" si="8"/>
        <v>Med</v>
      </c>
      <c r="K539">
        <f>dataset[[#This Row],[soda_sales]]/dataset[[#This Row],[soda_units_sold]]</f>
        <v>0.77939428379654141</v>
      </c>
      <c r="L539" s="29">
        <f>dataset[[#This Row],[implied_soda_ppu]]-dataset[[#This Row],[soda_ppu]]</f>
        <v>-5.7162034585722665E-6</v>
      </c>
      <c r="M539">
        <f>dataset[[#This Row],[soda_sales]]/dataset[[#This Row],[total_sales]]</f>
        <v>4.7772988503103915E-2</v>
      </c>
      <c r="N539">
        <f>LN(dataset[[#This Row],[soda_units_sold]])</f>
        <v>12.118612076759929</v>
      </c>
      <c r="O539">
        <f>LN(dataset[[#This Row],[soda_sales]])</f>
        <v>11.869373856547913</v>
      </c>
      <c r="P539">
        <f>LN(dataset[[#This Row],[soda_ppu]])</f>
        <v>-0.24923088607752822</v>
      </c>
      <c r="Q539">
        <f>IF(dataset[[#This Row],[state]]="VA",1,0)</f>
        <v>0</v>
      </c>
    </row>
    <row r="540" spans="1:17" x14ac:dyDescent="0.35">
      <c r="A540">
        <v>202411</v>
      </c>
      <c r="B540">
        <v>69</v>
      </c>
      <c r="C540" s="2">
        <v>3394462.0402000002</v>
      </c>
      <c r="D540" s="2">
        <v>0.79530000000000001</v>
      </c>
      <c r="E540" s="3">
        <v>170318</v>
      </c>
      <c r="F540" s="2">
        <v>135459.7929</v>
      </c>
      <c r="G540" t="s">
        <v>1342</v>
      </c>
      <c r="H540" t="s">
        <v>6</v>
      </c>
      <c r="I540">
        <f>HLOOKUP(G540,zip_tiers!$A$1:$EON$2,2,FALSE)</f>
        <v>77656</v>
      </c>
      <c r="J540" t="str">
        <f t="shared" si="8"/>
        <v>Med</v>
      </c>
      <c r="K540">
        <f>dataset[[#This Row],[soda_sales]]/dataset[[#This Row],[soda_units_sold]]</f>
        <v>0.79533456769102506</v>
      </c>
      <c r="L540" s="29">
        <f>dataset[[#This Row],[implied_soda_ppu]]-dataset[[#This Row],[soda_ppu]]</f>
        <v>3.4567691025055858E-5</v>
      </c>
      <c r="M540">
        <f>dataset[[#This Row],[soda_sales]]/dataset[[#This Row],[total_sales]]</f>
        <v>3.9906115106244866E-2</v>
      </c>
      <c r="N540">
        <f>LN(dataset[[#This Row],[soda_units_sold]])</f>
        <v>12.045422556896256</v>
      </c>
      <c r="O540">
        <f>LN(dataset[[#This Row],[soda_sales]])</f>
        <v>11.816430143903116</v>
      </c>
      <c r="P540">
        <f>LN(dataset[[#This Row],[soda_ppu]])</f>
        <v>-0.22903587701904748</v>
      </c>
      <c r="Q540">
        <f>IF(dataset[[#This Row],[state]]="VA",1,0)</f>
        <v>0</v>
      </c>
    </row>
    <row r="541" spans="1:17" x14ac:dyDescent="0.35">
      <c r="A541">
        <v>202412</v>
      </c>
      <c r="B541">
        <v>69</v>
      </c>
      <c r="C541" s="2">
        <v>3580058.4188999999</v>
      </c>
      <c r="D541" s="2">
        <v>0.79890000000000005</v>
      </c>
      <c r="E541" s="3">
        <v>165635</v>
      </c>
      <c r="F541" s="2">
        <v>132324.80859999999</v>
      </c>
      <c r="G541" t="s">
        <v>1342</v>
      </c>
      <c r="H541" t="s">
        <v>6</v>
      </c>
      <c r="I541">
        <f>HLOOKUP(G541,zip_tiers!$A$1:$EON$2,2,FALSE)</f>
        <v>77656</v>
      </c>
      <c r="J541" t="str">
        <f t="shared" si="8"/>
        <v>Med</v>
      </c>
      <c r="K541">
        <f>dataset[[#This Row],[soda_sales]]/dataset[[#This Row],[soda_units_sold]]</f>
        <v>0.7988940054940078</v>
      </c>
      <c r="L541" s="29">
        <f>dataset[[#This Row],[implied_soda_ppu]]-dataset[[#This Row],[soda_ppu]]</f>
        <v>-5.9945059922572597E-6</v>
      </c>
      <c r="M541">
        <f>dataset[[#This Row],[soda_sales]]/dataset[[#This Row],[total_sales]]</f>
        <v>3.6961633894414994E-2</v>
      </c>
      <c r="N541">
        <f>LN(dataset[[#This Row],[soda_units_sold]])</f>
        <v>12.017541851258475</v>
      </c>
      <c r="O541">
        <f>LN(dataset[[#This Row],[soda_sales]])</f>
        <v>11.793014850286449</v>
      </c>
      <c r="P541">
        <f>LN(dataset[[#This Row],[soda_ppu]])</f>
        <v>-0.22451949749414074</v>
      </c>
      <c r="Q541">
        <f>IF(dataset[[#This Row],[state]]="VA",1,0)</f>
        <v>0</v>
      </c>
    </row>
    <row r="542" spans="1:17" x14ac:dyDescent="0.35">
      <c r="A542">
        <v>202201</v>
      </c>
      <c r="B542">
        <v>85</v>
      </c>
      <c r="C542" s="2">
        <v>2084651.7546000001</v>
      </c>
      <c r="D542" s="2">
        <v>0.65749999999999997</v>
      </c>
      <c r="E542" s="3">
        <v>163288</v>
      </c>
      <c r="F542" s="2">
        <v>107360.31050000001</v>
      </c>
      <c r="G542" t="s">
        <v>1378</v>
      </c>
      <c r="H542" t="s">
        <v>6</v>
      </c>
      <c r="I542">
        <f>HLOOKUP(G542,zip_tiers!$A$1:$EON$2,2,FALSE)</f>
        <v>85215.666666666672</v>
      </c>
      <c r="J542" t="str">
        <f t="shared" si="8"/>
        <v>Med</v>
      </c>
      <c r="K542">
        <f>dataset[[#This Row],[soda_sales]]/dataset[[#This Row],[soda_units_sold]]</f>
        <v>0.65749051063152231</v>
      </c>
      <c r="L542" s="29">
        <f>dataset[[#This Row],[implied_soda_ppu]]-dataset[[#This Row],[soda_ppu]]</f>
        <v>-9.48936847766646E-6</v>
      </c>
      <c r="M542">
        <f>dataset[[#This Row],[soda_sales]]/dataset[[#This Row],[total_sales]]</f>
        <v>5.1500357440084826E-2</v>
      </c>
      <c r="N542">
        <f>LN(dataset[[#This Row],[soda_units_sold]])</f>
        <v>12.003270791873879</v>
      </c>
      <c r="O542">
        <f>LN(dataset[[#This Row],[soda_sales]])</f>
        <v>11.583945844339926</v>
      </c>
      <c r="P542">
        <f>LN(dataset[[#This Row],[soda_ppu]])</f>
        <v>-0.41931051493021748</v>
      </c>
      <c r="Q542">
        <f>IF(dataset[[#This Row],[state]]="VA",1,0)</f>
        <v>0</v>
      </c>
    </row>
    <row r="543" spans="1:17" x14ac:dyDescent="0.35">
      <c r="A543">
        <v>202201</v>
      </c>
      <c r="B543">
        <v>93</v>
      </c>
      <c r="C543" s="2">
        <v>2083010.1039</v>
      </c>
      <c r="D543" s="2">
        <v>0.67659999999999998</v>
      </c>
      <c r="E543" s="3">
        <v>141107</v>
      </c>
      <c r="F543" s="2">
        <v>95479.048699999999</v>
      </c>
      <c r="G543" t="s">
        <v>1378</v>
      </c>
      <c r="H543" t="s">
        <v>6</v>
      </c>
      <c r="I543">
        <f>HLOOKUP(G543,zip_tiers!$A$1:$EON$2,2,FALSE)</f>
        <v>85215.666666666672</v>
      </c>
      <c r="J543" t="str">
        <f t="shared" si="8"/>
        <v>Med</v>
      </c>
      <c r="K543">
        <f>dataset[[#This Row],[soda_sales]]/dataset[[#This Row],[soda_units_sold]]</f>
        <v>0.67664289298192148</v>
      </c>
      <c r="L543" s="29">
        <f>dataset[[#This Row],[implied_soda_ppu]]-dataset[[#This Row],[soda_ppu]]</f>
        <v>4.2892981921505147E-5</v>
      </c>
      <c r="M543">
        <f>dataset[[#This Row],[soda_sales]]/dataset[[#This Row],[total_sales]]</f>
        <v>4.583705500095054E-2</v>
      </c>
      <c r="N543">
        <f>LN(dataset[[#This Row],[soda_units_sold]])</f>
        <v>11.857273746815888</v>
      </c>
      <c r="O543">
        <f>LN(dataset[[#This Row],[soda_sales]])</f>
        <v>11.466662117060023</v>
      </c>
      <c r="P543">
        <f>LN(dataset[[#This Row],[soda_ppu]])</f>
        <v>-0.390675022635529</v>
      </c>
      <c r="Q543">
        <f>IF(dataset[[#This Row],[state]]="VA",1,0)</f>
        <v>0</v>
      </c>
    </row>
    <row r="544" spans="1:17" x14ac:dyDescent="0.35">
      <c r="A544">
        <v>202202</v>
      </c>
      <c r="B544">
        <v>85</v>
      </c>
      <c r="C544" s="2">
        <v>2397697.0691</v>
      </c>
      <c r="D544" s="2">
        <v>0.73329999999999995</v>
      </c>
      <c r="E544" s="3">
        <v>169678</v>
      </c>
      <c r="F544" s="2">
        <v>124422.20239999999</v>
      </c>
      <c r="G544" t="s">
        <v>1378</v>
      </c>
      <c r="H544" t="s">
        <v>6</v>
      </c>
      <c r="I544">
        <f>HLOOKUP(G544,zip_tiers!$A$1:$EON$2,2,FALSE)</f>
        <v>85215.666666666672</v>
      </c>
      <c r="J544" t="str">
        <f t="shared" si="8"/>
        <v>Med</v>
      </c>
      <c r="K544">
        <f>dataset[[#This Row],[soda_sales]]/dataset[[#This Row],[soda_units_sold]]</f>
        <v>0.73328423484482375</v>
      </c>
      <c r="L544" s="29">
        <f>dataset[[#This Row],[implied_soda_ppu]]-dataset[[#This Row],[soda_ppu]]</f>
        <v>-1.5765155176206136E-5</v>
      </c>
      <c r="M544">
        <f>dataset[[#This Row],[soda_sales]]/dataset[[#This Row],[total_sales]]</f>
        <v>5.1892377900225377E-2</v>
      </c>
      <c r="N544">
        <f>LN(dataset[[#This Row],[soda_units_sold]])</f>
        <v>12.041657802276124</v>
      </c>
      <c r="O544">
        <f>LN(dataset[[#This Row],[soda_sales]])</f>
        <v>11.731435919246534</v>
      </c>
      <c r="P544">
        <f>LN(dataset[[#This Row],[soda_ppu]])</f>
        <v>-0.3102003838823833</v>
      </c>
      <c r="Q544">
        <f>IF(dataset[[#This Row],[state]]="VA",1,0)</f>
        <v>0</v>
      </c>
    </row>
    <row r="545" spans="1:17" x14ac:dyDescent="0.35">
      <c r="A545">
        <v>202202</v>
      </c>
      <c r="B545">
        <v>93</v>
      </c>
      <c r="C545" s="2">
        <v>2383726.8372</v>
      </c>
      <c r="D545" s="2">
        <v>0.69220000000000004</v>
      </c>
      <c r="E545" s="3">
        <v>157423</v>
      </c>
      <c r="F545" s="2">
        <v>108965.2485</v>
      </c>
      <c r="G545" t="s">
        <v>1378</v>
      </c>
      <c r="H545" t="s">
        <v>6</v>
      </c>
      <c r="I545">
        <f>HLOOKUP(G545,zip_tiers!$A$1:$EON$2,2,FALSE)</f>
        <v>85215.666666666672</v>
      </c>
      <c r="J545" t="str">
        <f t="shared" si="8"/>
        <v>Med</v>
      </c>
      <c r="K545">
        <f>dataset[[#This Row],[soda_sales]]/dataset[[#This Row],[soda_units_sold]]</f>
        <v>0.69218124733996944</v>
      </c>
      <c r="L545" s="29">
        <f>dataset[[#This Row],[implied_soda_ppu]]-dataset[[#This Row],[soda_ppu]]</f>
        <v>-1.8752660030596502E-5</v>
      </c>
      <c r="M545">
        <f>dataset[[#This Row],[soda_sales]]/dataset[[#This Row],[total_sales]]</f>
        <v>4.5712137313516171E-2</v>
      </c>
      <c r="N545">
        <f>LN(dataset[[#This Row],[soda_units_sold]])</f>
        <v>11.9666917288138</v>
      </c>
      <c r="O545">
        <f>LN(dataset[[#This Row],[soda_sales]])</f>
        <v>11.598784289276111</v>
      </c>
      <c r="P545">
        <f>LN(dataset[[#This Row],[soda_ppu]])</f>
        <v>-0.36788034778089312</v>
      </c>
      <c r="Q545">
        <f>IF(dataset[[#This Row],[state]]="VA",1,0)</f>
        <v>0</v>
      </c>
    </row>
    <row r="546" spans="1:17" x14ac:dyDescent="0.35">
      <c r="A546">
        <v>202203</v>
      </c>
      <c r="B546">
        <v>85</v>
      </c>
      <c r="C546" s="2">
        <v>2613810.2245</v>
      </c>
      <c r="D546" s="2">
        <v>0.68030000000000002</v>
      </c>
      <c r="E546" s="3">
        <v>210457</v>
      </c>
      <c r="F546" s="2">
        <v>143178.78829999999</v>
      </c>
      <c r="G546" t="s">
        <v>1378</v>
      </c>
      <c r="H546" t="s">
        <v>6</v>
      </c>
      <c r="I546">
        <f>HLOOKUP(G546,zip_tiers!$A$1:$EON$2,2,FALSE)</f>
        <v>85215.666666666672</v>
      </c>
      <c r="J546" t="str">
        <f t="shared" si="8"/>
        <v>Med</v>
      </c>
      <c r="K546">
        <f>dataset[[#This Row],[soda_sales]]/dataset[[#This Row],[soda_units_sold]]</f>
        <v>0.68032324085205043</v>
      </c>
      <c r="L546" s="29">
        <f>dataset[[#This Row],[implied_soda_ppu]]-dataset[[#This Row],[soda_ppu]]</f>
        <v>2.3240852050410155E-5</v>
      </c>
      <c r="M546">
        <f>dataset[[#This Row],[soda_sales]]/dataset[[#This Row],[total_sales]]</f>
        <v>5.4777805579740928E-2</v>
      </c>
      <c r="N546">
        <f>LN(dataset[[#This Row],[soda_units_sold]])</f>
        <v>12.257036635703043</v>
      </c>
      <c r="O546">
        <f>LN(dataset[[#This Row],[soda_sales]])</f>
        <v>11.871849396140236</v>
      </c>
      <c r="P546">
        <f>LN(dataset[[#This Row],[soda_ppu]])</f>
        <v>-0.38522140163112195</v>
      </c>
      <c r="Q546">
        <f>IF(dataset[[#This Row],[state]]="VA",1,0)</f>
        <v>0</v>
      </c>
    </row>
    <row r="547" spans="1:17" x14ac:dyDescent="0.35">
      <c r="A547">
        <v>202203</v>
      </c>
      <c r="B547">
        <v>93</v>
      </c>
      <c r="C547" s="2">
        <v>2666526.9393000002</v>
      </c>
      <c r="D547" s="2">
        <v>0.68120000000000003</v>
      </c>
      <c r="E547" s="3">
        <v>188245</v>
      </c>
      <c r="F547" s="2">
        <v>128229.1023</v>
      </c>
      <c r="G547" t="s">
        <v>1378</v>
      </c>
      <c r="H547" t="s">
        <v>6</v>
      </c>
      <c r="I547">
        <f>HLOOKUP(G547,zip_tiers!$A$1:$EON$2,2,FALSE)</f>
        <v>85215.666666666672</v>
      </c>
      <c r="J547" t="str">
        <f t="shared" si="8"/>
        <v>Med</v>
      </c>
      <c r="K547">
        <f>dataset[[#This Row],[soda_sales]]/dataset[[#This Row],[soda_units_sold]]</f>
        <v>0.68118198252277617</v>
      </c>
      <c r="L547" s="29">
        <f>dataset[[#This Row],[implied_soda_ppu]]-dataset[[#This Row],[soda_ppu]]</f>
        <v>-1.8017477223852829E-5</v>
      </c>
      <c r="M547">
        <f>dataset[[#This Row],[soda_sales]]/dataset[[#This Row],[total_sales]]</f>
        <v>4.8088433088795977E-2</v>
      </c>
      <c r="N547">
        <f>LN(dataset[[#This Row],[soda_units_sold]])</f>
        <v>12.145499584884439</v>
      </c>
      <c r="O547">
        <f>LN(dataset[[#This Row],[soda_sales]])</f>
        <v>11.761573804726792</v>
      </c>
      <c r="P547">
        <f>LN(dataset[[#This Row],[soda_ppu]])</f>
        <v>-0.38389933019360378</v>
      </c>
      <c r="Q547">
        <f>IF(dataset[[#This Row],[state]]="VA",1,0)</f>
        <v>0</v>
      </c>
    </row>
    <row r="548" spans="1:17" x14ac:dyDescent="0.35">
      <c r="A548">
        <v>202204</v>
      </c>
      <c r="B548">
        <v>85</v>
      </c>
      <c r="C548" s="2">
        <v>2777055.2269000001</v>
      </c>
      <c r="D548" s="2">
        <v>0.69399999999999995</v>
      </c>
      <c r="E548" s="3">
        <v>241048</v>
      </c>
      <c r="F548" s="2">
        <v>167280.261</v>
      </c>
      <c r="G548" t="s">
        <v>1378</v>
      </c>
      <c r="H548" t="s">
        <v>6</v>
      </c>
      <c r="I548">
        <f>HLOOKUP(G548,zip_tiers!$A$1:$EON$2,2,FALSE)</f>
        <v>85215.666666666672</v>
      </c>
      <c r="J548" t="str">
        <f t="shared" si="8"/>
        <v>Med</v>
      </c>
      <c r="K548">
        <f>dataset[[#This Row],[soda_sales]]/dataset[[#This Row],[soda_units_sold]]</f>
        <v>0.69397074856460128</v>
      </c>
      <c r="L548" s="29">
        <f>dataset[[#This Row],[implied_soda_ppu]]-dataset[[#This Row],[soda_ppu]]</f>
        <v>-2.9251435398669479E-5</v>
      </c>
      <c r="M548">
        <f>dataset[[#This Row],[soda_sales]]/dataset[[#This Row],[total_sales]]</f>
        <v>6.0236562593223374E-2</v>
      </c>
      <c r="N548">
        <f>LN(dataset[[#This Row],[soda_units_sold]])</f>
        <v>12.392751362765537</v>
      </c>
      <c r="O548">
        <f>LN(dataset[[#This Row],[soda_sales]])</f>
        <v>12.027425894359547</v>
      </c>
      <c r="P548">
        <f>LN(dataset[[#This Row],[soda_ppu]])</f>
        <v>-0.36528331847533263</v>
      </c>
      <c r="Q548">
        <f>IF(dataset[[#This Row],[state]]="VA",1,0)</f>
        <v>0</v>
      </c>
    </row>
    <row r="549" spans="1:17" x14ac:dyDescent="0.35">
      <c r="A549">
        <v>202204</v>
      </c>
      <c r="B549">
        <v>93</v>
      </c>
      <c r="C549" s="2">
        <v>2762183.0213000001</v>
      </c>
      <c r="D549" s="2">
        <v>0.67679999999999996</v>
      </c>
      <c r="E549" s="3">
        <v>220140</v>
      </c>
      <c r="F549" s="2">
        <v>148980.27770000001</v>
      </c>
      <c r="G549" t="s">
        <v>1378</v>
      </c>
      <c r="H549" t="s">
        <v>6</v>
      </c>
      <c r="I549">
        <f>HLOOKUP(G549,zip_tiers!$A$1:$EON$2,2,FALSE)</f>
        <v>85215.666666666672</v>
      </c>
      <c r="J549" t="str">
        <f t="shared" si="8"/>
        <v>Med</v>
      </c>
      <c r="K549">
        <f>dataset[[#This Row],[soda_sales]]/dataset[[#This Row],[soda_units_sold]]</f>
        <v>0.67675241982374856</v>
      </c>
      <c r="L549" s="29">
        <f>dataset[[#This Row],[implied_soda_ppu]]-dataset[[#This Row],[soda_ppu]]</f>
        <v>-4.758017625139388E-5</v>
      </c>
      <c r="M549">
        <f>dataset[[#This Row],[soda_sales]]/dataset[[#This Row],[total_sales]]</f>
        <v>5.3935701056436004E-2</v>
      </c>
      <c r="N549">
        <f>LN(dataset[[#This Row],[soda_units_sold]])</f>
        <v>12.302018986577382</v>
      </c>
      <c r="O549">
        <f>LN(dataset[[#This Row],[soda_sales]])</f>
        <v>11.911569211737122</v>
      </c>
      <c r="P549">
        <f>LN(dataset[[#This Row],[soda_ppu]])</f>
        <v>-0.39037947069012358</v>
      </c>
      <c r="Q549">
        <f>IF(dataset[[#This Row],[state]]="VA",1,0)</f>
        <v>0</v>
      </c>
    </row>
    <row r="550" spans="1:17" x14ac:dyDescent="0.35">
      <c r="A550">
        <v>202205</v>
      </c>
      <c r="B550">
        <v>85</v>
      </c>
      <c r="C550" s="2">
        <v>2942385.2684999998</v>
      </c>
      <c r="D550" s="2">
        <v>0.68959999999999999</v>
      </c>
      <c r="E550" s="3">
        <v>269759</v>
      </c>
      <c r="F550" s="2">
        <v>186030.0025</v>
      </c>
      <c r="G550" t="s">
        <v>1378</v>
      </c>
      <c r="H550" t="s">
        <v>6</v>
      </c>
      <c r="I550">
        <f>HLOOKUP(G550,zip_tiers!$A$1:$EON$2,2,FALSE)</f>
        <v>85215.666666666672</v>
      </c>
      <c r="J550" t="str">
        <f t="shared" si="8"/>
        <v>Med</v>
      </c>
      <c r="K550">
        <f>dataset[[#This Row],[soda_sales]]/dataset[[#This Row],[soda_units_sold]]</f>
        <v>0.68961555499538474</v>
      </c>
      <c r="L550" s="29">
        <f>dataset[[#This Row],[implied_soda_ppu]]-dataset[[#This Row],[soda_ppu]]</f>
        <v>1.5554995384747805E-5</v>
      </c>
      <c r="M550">
        <f>dataset[[#This Row],[soda_sales]]/dataset[[#This Row],[total_sales]]</f>
        <v>6.3224216247805082E-2</v>
      </c>
      <c r="N550">
        <f>LN(dataset[[#This Row],[soda_units_sold]])</f>
        <v>12.505284246789943</v>
      </c>
      <c r="O550">
        <f>LN(dataset[[#This Row],[soda_sales]])</f>
        <v>12.133663243450727</v>
      </c>
      <c r="P550">
        <f>LN(dataset[[#This Row],[soda_ppu]])</f>
        <v>-0.37164355963265372</v>
      </c>
      <c r="Q550">
        <f>IF(dataset[[#This Row],[state]]="VA",1,0)</f>
        <v>0</v>
      </c>
    </row>
    <row r="551" spans="1:17" x14ac:dyDescent="0.35">
      <c r="A551">
        <v>202205</v>
      </c>
      <c r="B551">
        <v>93</v>
      </c>
      <c r="C551" s="2">
        <v>2968782.6726000002</v>
      </c>
      <c r="D551" s="2">
        <v>0.68230000000000002</v>
      </c>
      <c r="E551" s="3">
        <v>240738</v>
      </c>
      <c r="F551" s="2">
        <v>164244.5031</v>
      </c>
      <c r="G551" t="s">
        <v>1378</v>
      </c>
      <c r="H551" t="s">
        <v>6</v>
      </c>
      <c r="I551">
        <f>HLOOKUP(G551,zip_tiers!$A$1:$EON$2,2,FALSE)</f>
        <v>85215.666666666672</v>
      </c>
      <c r="J551" t="str">
        <f t="shared" si="8"/>
        <v>Med</v>
      </c>
      <c r="K551">
        <f>dataset[[#This Row],[soda_sales]]/dataset[[#This Row],[soda_units_sold]]</f>
        <v>0.68225416469356726</v>
      </c>
      <c r="L551" s="29">
        <f>dataset[[#This Row],[implied_soda_ppu]]-dataset[[#This Row],[soda_ppu]]</f>
        <v>-4.5835306432762124E-5</v>
      </c>
      <c r="M551">
        <f>dataset[[#This Row],[soda_sales]]/dataset[[#This Row],[total_sales]]</f>
        <v>5.5323855335007721E-2</v>
      </c>
      <c r="N551">
        <f>LN(dataset[[#This Row],[soda_units_sold]])</f>
        <v>12.391464484181347</v>
      </c>
      <c r="O551">
        <f>LN(dataset[[#This Row],[soda_sales]])</f>
        <v>12.009111469120169</v>
      </c>
      <c r="P551">
        <f>LN(dataset[[#This Row],[soda_ppu]])</f>
        <v>-0.38228583516075909</v>
      </c>
      <c r="Q551">
        <f>IF(dataset[[#This Row],[state]]="VA",1,0)</f>
        <v>0</v>
      </c>
    </row>
    <row r="552" spans="1:17" x14ac:dyDescent="0.35">
      <c r="A552">
        <v>202206</v>
      </c>
      <c r="B552">
        <v>85</v>
      </c>
      <c r="C552" s="2">
        <v>2748888.97</v>
      </c>
      <c r="D552" s="2">
        <v>0.6875</v>
      </c>
      <c r="E552" s="3">
        <v>277587</v>
      </c>
      <c r="F552" s="2">
        <v>190839.4443</v>
      </c>
      <c r="G552" t="s">
        <v>1378</v>
      </c>
      <c r="H552" t="s">
        <v>6</v>
      </c>
      <c r="I552">
        <f>HLOOKUP(G552,zip_tiers!$A$1:$EON$2,2,FALSE)</f>
        <v>85215.666666666672</v>
      </c>
      <c r="J552" t="str">
        <f t="shared" si="8"/>
        <v>Med</v>
      </c>
      <c r="K552">
        <f>dataset[[#This Row],[soda_sales]]/dataset[[#This Row],[soda_units_sold]]</f>
        <v>0.68749417047628314</v>
      </c>
      <c r="L552" s="29">
        <f>dataset[[#This Row],[implied_soda_ppu]]-dataset[[#This Row],[soda_ppu]]</f>
        <v>-5.8295237168604075E-6</v>
      </c>
      <c r="M552">
        <f>dataset[[#This Row],[soda_sales]]/dataset[[#This Row],[total_sales]]</f>
        <v>6.9424209701710871E-2</v>
      </c>
      <c r="N552">
        <f>LN(dataset[[#This Row],[soda_units_sold]])</f>
        <v>12.533889676547048</v>
      </c>
      <c r="O552">
        <f>LN(dataset[[#This Row],[soda_sales]])</f>
        <v>12.159187747762463</v>
      </c>
      <c r="P552">
        <f>LN(dataset[[#This Row],[soda_ppu]])</f>
        <v>-0.3746934494414107</v>
      </c>
      <c r="Q552">
        <f>IF(dataset[[#This Row],[state]]="VA",1,0)</f>
        <v>0</v>
      </c>
    </row>
    <row r="553" spans="1:17" x14ac:dyDescent="0.35">
      <c r="A553">
        <v>202206</v>
      </c>
      <c r="B553">
        <v>93</v>
      </c>
      <c r="C553" s="2">
        <v>2742700.6298000002</v>
      </c>
      <c r="D553" s="2">
        <v>0.66190000000000004</v>
      </c>
      <c r="E553" s="3">
        <v>253871</v>
      </c>
      <c r="F553" s="2">
        <v>168046.818</v>
      </c>
      <c r="G553" t="s">
        <v>1378</v>
      </c>
      <c r="H553" t="s">
        <v>6</v>
      </c>
      <c r="I553">
        <f>HLOOKUP(G553,zip_tiers!$A$1:$EON$2,2,FALSE)</f>
        <v>85215.666666666672</v>
      </c>
      <c r="J553" t="str">
        <f t="shared" si="8"/>
        <v>Med</v>
      </c>
      <c r="K553">
        <f>dataset[[#This Row],[soda_sales]]/dataset[[#This Row],[soda_units_sold]]</f>
        <v>0.66193782669150869</v>
      </c>
      <c r="L553" s="29">
        <f>dataset[[#This Row],[implied_soda_ppu]]-dataset[[#This Row],[soda_ppu]]</f>
        <v>3.7826691508646704E-5</v>
      </c>
      <c r="M553">
        <f>dataset[[#This Row],[soda_sales]]/dataset[[#This Row],[total_sales]]</f>
        <v>6.1270565286687562E-2</v>
      </c>
      <c r="N553">
        <f>LN(dataset[[#This Row],[soda_units_sold]])</f>
        <v>12.444581542973234</v>
      </c>
      <c r="O553">
        <f>LN(dataset[[#This Row],[soda_sales]])</f>
        <v>12.031997898133165</v>
      </c>
      <c r="P553">
        <f>LN(dataset[[#This Row],[soda_ppu]])</f>
        <v>-0.41264079185725988</v>
      </c>
      <c r="Q553">
        <f>IF(dataset[[#This Row],[state]]="VA",1,0)</f>
        <v>0</v>
      </c>
    </row>
    <row r="554" spans="1:17" x14ac:dyDescent="0.35">
      <c r="A554">
        <v>202207</v>
      </c>
      <c r="B554">
        <v>85</v>
      </c>
      <c r="C554" s="2">
        <v>2672013.4654000001</v>
      </c>
      <c r="D554" s="2">
        <v>0.71750000000000003</v>
      </c>
      <c r="E554" s="3">
        <v>281149</v>
      </c>
      <c r="F554" s="2">
        <v>201721.00779999999</v>
      </c>
      <c r="G554" t="s">
        <v>1378</v>
      </c>
      <c r="H554" t="s">
        <v>6</v>
      </c>
      <c r="I554">
        <f>HLOOKUP(G554,zip_tiers!$A$1:$EON$2,2,FALSE)</f>
        <v>85215.666666666672</v>
      </c>
      <c r="J554" t="str">
        <f t="shared" si="8"/>
        <v>Med</v>
      </c>
      <c r="K554">
        <f>dataset[[#This Row],[soda_sales]]/dataset[[#This Row],[soda_units_sold]]</f>
        <v>0.71748790783534711</v>
      </c>
      <c r="L554" s="29">
        <f>dataset[[#This Row],[implied_soda_ppu]]-dataset[[#This Row],[soda_ppu]]</f>
        <v>-1.2092164652921511E-5</v>
      </c>
      <c r="M554">
        <f>dataset[[#This Row],[soda_sales]]/dataset[[#This Row],[total_sales]]</f>
        <v>7.5494008698718279E-2</v>
      </c>
      <c r="N554">
        <f>LN(dataset[[#This Row],[soda_units_sold]])</f>
        <v>12.546640056893819</v>
      </c>
      <c r="O554">
        <f>LN(dataset[[#This Row],[soda_sales]])</f>
        <v>12.214640872212287</v>
      </c>
      <c r="P554">
        <f>LN(dataset[[#This Row],[soda_ppu]])</f>
        <v>-0.33198233134836086</v>
      </c>
      <c r="Q554">
        <f>IF(dataset[[#This Row],[state]]="VA",1,0)</f>
        <v>0</v>
      </c>
    </row>
    <row r="555" spans="1:17" x14ac:dyDescent="0.35">
      <c r="A555">
        <v>202207</v>
      </c>
      <c r="B555">
        <v>93</v>
      </c>
      <c r="C555" s="2">
        <v>2636528.6148000001</v>
      </c>
      <c r="D555" s="2">
        <v>0.6966</v>
      </c>
      <c r="E555" s="3">
        <v>251521</v>
      </c>
      <c r="F555" s="2">
        <v>175198.46030000001</v>
      </c>
      <c r="G555" t="s">
        <v>1378</v>
      </c>
      <c r="H555" t="s">
        <v>6</v>
      </c>
      <c r="I555">
        <f>HLOOKUP(G555,zip_tiers!$A$1:$EON$2,2,FALSE)</f>
        <v>85215.666666666672</v>
      </c>
      <c r="J555" t="str">
        <f t="shared" si="8"/>
        <v>Med</v>
      </c>
      <c r="K555">
        <f>dataset[[#This Row],[soda_sales]]/dataset[[#This Row],[soda_units_sold]]</f>
        <v>0.69655599452928385</v>
      </c>
      <c r="L555" s="29">
        <f>dataset[[#This Row],[implied_soda_ppu]]-dataset[[#This Row],[soda_ppu]]</f>
        <v>-4.4005470716146355E-5</v>
      </c>
      <c r="M555">
        <f>dataset[[#This Row],[soda_sales]]/dataset[[#This Row],[total_sales]]</f>
        <v>6.6450430052810205E-2</v>
      </c>
      <c r="N555">
        <f>LN(dataset[[#This Row],[soda_units_sold]])</f>
        <v>12.435281764042047</v>
      </c>
      <c r="O555">
        <f>LN(dataset[[#This Row],[soda_sales]])</f>
        <v>12.073674669203802</v>
      </c>
      <c r="P555">
        <f>LN(dataset[[#This Row],[soda_ppu]])</f>
        <v>-0.36154392105023625</v>
      </c>
      <c r="Q555">
        <f>IF(dataset[[#This Row],[state]]="VA",1,0)</f>
        <v>0</v>
      </c>
    </row>
    <row r="556" spans="1:17" x14ac:dyDescent="0.35">
      <c r="A556">
        <v>202208</v>
      </c>
      <c r="B556">
        <v>85</v>
      </c>
      <c r="C556" s="2">
        <v>2506209.0018000002</v>
      </c>
      <c r="D556" s="2">
        <v>0.69340000000000002</v>
      </c>
      <c r="E556" s="3">
        <v>245200</v>
      </c>
      <c r="F556" s="2">
        <v>170018.46539999999</v>
      </c>
      <c r="G556" t="s">
        <v>1378</v>
      </c>
      <c r="H556" t="s">
        <v>6</v>
      </c>
      <c r="I556">
        <f>HLOOKUP(G556,zip_tiers!$A$1:$EON$2,2,FALSE)</f>
        <v>85215.666666666672</v>
      </c>
      <c r="J556" t="str">
        <f t="shared" si="8"/>
        <v>Med</v>
      </c>
      <c r="K556">
        <f>dataset[[#This Row],[soda_sales]]/dataset[[#This Row],[soda_units_sold]]</f>
        <v>0.69338688988580743</v>
      </c>
      <c r="L556" s="29">
        <f>dataset[[#This Row],[implied_soda_ppu]]-dataset[[#This Row],[soda_ppu]]</f>
        <v>-1.3110114192582678E-5</v>
      </c>
      <c r="M556">
        <f>dataset[[#This Row],[soda_sales]]/dataset[[#This Row],[total_sales]]</f>
        <v>6.78389014156002E-2</v>
      </c>
      <c r="N556">
        <f>LN(dataset[[#This Row],[soda_units_sold]])</f>
        <v>12.409829483044193</v>
      </c>
      <c r="O556">
        <f>LN(dataset[[#This Row],[soda_sales]])</f>
        <v>12.043662330133674</v>
      </c>
      <c r="P556">
        <f>LN(dataset[[#This Row],[soda_ppu]])</f>
        <v>-0.36614824573121396</v>
      </c>
      <c r="Q556">
        <f>IF(dataset[[#This Row],[state]]="VA",1,0)</f>
        <v>0</v>
      </c>
    </row>
    <row r="557" spans="1:17" x14ac:dyDescent="0.35">
      <c r="A557">
        <v>202208</v>
      </c>
      <c r="B557">
        <v>93</v>
      </c>
      <c r="C557" s="2">
        <v>2483393.0973999999</v>
      </c>
      <c r="D557" s="2">
        <v>0.67959999999999998</v>
      </c>
      <c r="E557" s="3">
        <v>222767</v>
      </c>
      <c r="F557" s="2">
        <v>151383.1819</v>
      </c>
      <c r="G557" t="s">
        <v>1378</v>
      </c>
      <c r="H557" t="s">
        <v>6</v>
      </c>
      <c r="I557">
        <f>HLOOKUP(G557,zip_tiers!$A$1:$EON$2,2,FALSE)</f>
        <v>85215.666666666672</v>
      </c>
      <c r="J557" t="str">
        <f t="shared" si="8"/>
        <v>Med</v>
      </c>
      <c r="K557">
        <f>dataset[[#This Row],[soda_sales]]/dataset[[#This Row],[soda_units_sold]]</f>
        <v>0.67955838117854084</v>
      </c>
      <c r="L557" s="29">
        <f>dataset[[#This Row],[implied_soda_ppu]]-dataset[[#This Row],[soda_ppu]]</f>
        <v>-4.1618821459143973E-5</v>
      </c>
      <c r="M557">
        <f>dataset[[#This Row],[soda_sales]]/dataset[[#This Row],[total_sales]]</f>
        <v>6.0958203539540852E-2</v>
      </c>
      <c r="N557">
        <f>LN(dataset[[#This Row],[soda_units_sold]])</f>
        <v>12.313881661163913</v>
      </c>
      <c r="O557">
        <f>LN(dataset[[#This Row],[soda_sales]])</f>
        <v>11.927569529931462</v>
      </c>
      <c r="P557">
        <f>LN(dataset[[#This Row],[soda_ppu]])</f>
        <v>-0.38625088918436012</v>
      </c>
      <c r="Q557">
        <f>IF(dataset[[#This Row],[state]]="VA",1,0)</f>
        <v>0</v>
      </c>
    </row>
    <row r="558" spans="1:17" x14ac:dyDescent="0.35">
      <c r="A558">
        <v>202209</v>
      </c>
      <c r="B558">
        <v>85</v>
      </c>
      <c r="C558" s="2">
        <v>2513817.1916999999</v>
      </c>
      <c r="D558" s="2">
        <v>0.67269999999999996</v>
      </c>
      <c r="E558" s="3">
        <v>243685</v>
      </c>
      <c r="F558" s="2">
        <v>163937.20749999999</v>
      </c>
      <c r="G558" t="s">
        <v>1378</v>
      </c>
      <c r="H558" t="s">
        <v>6</v>
      </c>
      <c r="I558">
        <f>HLOOKUP(G558,zip_tiers!$A$1:$EON$2,2,FALSE)</f>
        <v>85215.666666666672</v>
      </c>
      <c r="J558" t="str">
        <f t="shared" si="8"/>
        <v>Med</v>
      </c>
      <c r="K558">
        <f>dataset[[#This Row],[soda_sales]]/dataset[[#This Row],[soda_units_sold]]</f>
        <v>0.67274230051090544</v>
      </c>
      <c r="L558" s="29">
        <f>dataset[[#This Row],[implied_soda_ppu]]-dataset[[#This Row],[soda_ppu]]</f>
        <v>4.2300510905479705E-5</v>
      </c>
      <c r="M558">
        <f>dataset[[#This Row],[soda_sales]]/dataset[[#This Row],[total_sales]]</f>
        <v>6.5214450772824673E-2</v>
      </c>
      <c r="N558">
        <f>LN(dataset[[#This Row],[soda_units_sold]])</f>
        <v>12.403631686631549</v>
      </c>
      <c r="O558">
        <f>LN(dataset[[#This Row],[soda_sales]])</f>
        <v>12.007238752391093</v>
      </c>
      <c r="P558">
        <f>LN(dataset[[#This Row],[soda_ppu]])</f>
        <v>-0.396455813950577</v>
      </c>
      <c r="Q558">
        <f>IF(dataset[[#This Row],[state]]="VA",1,0)</f>
        <v>0</v>
      </c>
    </row>
    <row r="559" spans="1:17" x14ac:dyDescent="0.35">
      <c r="A559">
        <v>202209</v>
      </c>
      <c r="B559">
        <v>93</v>
      </c>
      <c r="C559" s="2">
        <v>2469191.7984000002</v>
      </c>
      <c r="D559" s="2">
        <v>0.68689999999999996</v>
      </c>
      <c r="E559" s="3">
        <v>210971</v>
      </c>
      <c r="F559" s="2">
        <v>144907.90719999999</v>
      </c>
      <c r="G559" t="s">
        <v>1378</v>
      </c>
      <c r="H559" t="s">
        <v>6</v>
      </c>
      <c r="I559">
        <f>HLOOKUP(G559,zip_tiers!$A$1:$EON$2,2,FALSE)</f>
        <v>85215.666666666672</v>
      </c>
      <c r="J559" t="str">
        <f t="shared" si="8"/>
        <v>Med</v>
      </c>
      <c r="K559">
        <f>dataset[[#This Row],[soda_sales]]/dataset[[#This Row],[soda_units_sold]]</f>
        <v>0.68686173549919172</v>
      </c>
      <c r="L559" s="29">
        <f>dataset[[#This Row],[implied_soda_ppu]]-dataset[[#This Row],[soda_ppu]]</f>
        <v>-3.8264500808238289E-5</v>
      </c>
      <c r="M559">
        <f>dataset[[#This Row],[soda_sales]]/dataset[[#This Row],[total_sales]]</f>
        <v>5.8686371505809382E-2</v>
      </c>
      <c r="N559">
        <f>LN(dataset[[#This Row],[soda_units_sold]])</f>
        <v>12.259475962254063</v>
      </c>
      <c r="O559">
        <f>LN(dataset[[#This Row],[soda_sales]])</f>
        <v>11.883853696868192</v>
      </c>
      <c r="P559">
        <f>LN(dataset[[#This Row],[soda_ppu]])</f>
        <v>-0.37556655776230119</v>
      </c>
      <c r="Q559">
        <f>IF(dataset[[#This Row],[state]]="VA",1,0)</f>
        <v>0</v>
      </c>
    </row>
    <row r="560" spans="1:17" x14ac:dyDescent="0.35">
      <c r="A560">
        <v>202210</v>
      </c>
      <c r="B560">
        <v>85</v>
      </c>
      <c r="C560" s="2">
        <v>3056599.3985000001</v>
      </c>
      <c r="D560" s="2">
        <v>0.69779999999999998</v>
      </c>
      <c r="E560" s="3">
        <v>228509</v>
      </c>
      <c r="F560" s="2">
        <v>159447.4681</v>
      </c>
      <c r="G560" t="s">
        <v>1378</v>
      </c>
      <c r="H560" t="s">
        <v>6</v>
      </c>
      <c r="I560">
        <f>HLOOKUP(G560,zip_tiers!$A$1:$EON$2,2,FALSE)</f>
        <v>85215.666666666672</v>
      </c>
      <c r="J560" t="str">
        <f t="shared" si="8"/>
        <v>Med</v>
      </c>
      <c r="K560">
        <f>dataset[[#This Row],[soda_sales]]/dataset[[#This Row],[soda_units_sold]]</f>
        <v>0.69777325225702269</v>
      </c>
      <c r="L560" s="29">
        <f>dataset[[#This Row],[implied_soda_ppu]]-dataset[[#This Row],[soda_ppu]]</f>
        <v>-2.6747742977284439E-5</v>
      </c>
      <c r="M560">
        <f>dataset[[#This Row],[soda_sales]]/dataset[[#This Row],[total_sales]]</f>
        <v>5.2164987069698264E-2</v>
      </c>
      <c r="N560">
        <f>LN(dataset[[#This Row],[soda_units_sold]])</f>
        <v>12.339330875849271</v>
      </c>
      <c r="O560">
        <f>LN(dataset[[#This Row],[soda_sales]])</f>
        <v>11.979469793353211</v>
      </c>
      <c r="P560">
        <f>LN(dataset[[#This Row],[soda_ppu]])</f>
        <v>-0.35982275022946336</v>
      </c>
      <c r="Q560">
        <f>IF(dataset[[#This Row],[state]]="VA",1,0)</f>
        <v>0</v>
      </c>
    </row>
    <row r="561" spans="1:17" x14ac:dyDescent="0.35">
      <c r="A561">
        <v>202210</v>
      </c>
      <c r="B561">
        <v>93</v>
      </c>
      <c r="C561" s="2">
        <v>3082130.8226000001</v>
      </c>
      <c r="D561" s="2">
        <v>0.67979999999999996</v>
      </c>
      <c r="E561" s="3">
        <v>205468</v>
      </c>
      <c r="F561" s="2">
        <v>139684.98430000001</v>
      </c>
      <c r="G561" t="s">
        <v>1378</v>
      </c>
      <c r="H561" t="s">
        <v>6</v>
      </c>
      <c r="I561">
        <f>HLOOKUP(G561,zip_tiers!$A$1:$EON$2,2,FALSE)</f>
        <v>85215.666666666672</v>
      </c>
      <c r="J561" t="str">
        <f t="shared" si="8"/>
        <v>Med</v>
      </c>
      <c r="K561">
        <f>dataset[[#This Row],[soda_sales]]/dataset[[#This Row],[soda_units_sold]]</f>
        <v>0.67983814657270236</v>
      </c>
      <c r="L561" s="29">
        <f>dataset[[#This Row],[implied_soda_ppu]]-dataset[[#This Row],[soda_ppu]]</f>
        <v>3.8146572702402182E-5</v>
      </c>
      <c r="M561">
        <f>dataset[[#This Row],[soda_sales]]/dataset[[#This Row],[total_sales]]</f>
        <v>4.5320913465368623E-2</v>
      </c>
      <c r="N561">
        <f>LN(dataset[[#This Row],[soda_units_sold]])</f>
        <v>12.233045583031601</v>
      </c>
      <c r="O561">
        <f>LN(dataset[[#This Row],[soda_sales]])</f>
        <v>11.847145054142393</v>
      </c>
      <c r="P561">
        <f>LN(dataset[[#This Row],[soda_ppu]])</f>
        <v>-0.38595664172012151</v>
      </c>
      <c r="Q561">
        <f>IF(dataset[[#This Row],[state]]="VA",1,0)</f>
        <v>0</v>
      </c>
    </row>
    <row r="562" spans="1:17" x14ac:dyDescent="0.35">
      <c r="A562">
        <v>202211</v>
      </c>
      <c r="B562">
        <v>85</v>
      </c>
      <c r="C562" s="2">
        <v>3544114.3289999999</v>
      </c>
      <c r="D562" s="2">
        <v>0.6734</v>
      </c>
      <c r="E562" s="3">
        <v>228531</v>
      </c>
      <c r="F562" s="2">
        <v>153886.50150000001</v>
      </c>
      <c r="G562" t="s">
        <v>1378</v>
      </c>
      <c r="H562" t="s">
        <v>6</v>
      </c>
      <c r="I562">
        <f>HLOOKUP(G562,zip_tiers!$A$1:$EON$2,2,FALSE)</f>
        <v>85215.666666666672</v>
      </c>
      <c r="J562" t="str">
        <f t="shared" si="8"/>
        <v>Med</v>
      </c>
      <c r="K562">
        <f>dataset[[#This Row],[soda_sales]]/dataset[[#This Row],[soda_units_sold]]</f>
        <v>0.67337254683172088</v>
      </c>
      <c r="L562" s="29">
        <f>dataset[[#This Row],[implied_soda_ppu]]-dataset[[#This Row],[soda_ppu]]</f>
        <v>-2.7453168279123474E-5</v>
      </c>
      <c r="M562">
        <f>dataset[[#This Row],[soda_sales]]/dataset[[#This Row],[total_sales]]</f>
        <v>4.3420298335415247E-2</v>
      </c>
      <c r="N562">
        <f>LN(dataset[[#This Row],[soda_units_sold]])</f>
        <v>12.339427147510468</v>
      </c>
      <c r="O562">
        <f>LN(dataset[[#This Row],[soda_sales]])</f>
        <v>11.943970606428605</v>
      </c>
      <c r="P562">
        <f>LN(dataset[[#This Row],[soda_ppu]])</f>
        <v>-0.39541577225516295</v>
      </c>
      <c r="Q562">
        <f>IF(dataset[[#This Row],[state]]="VA",1,0)</f>
        <v>0</v>
      </c>
    </row>
    <row r="563" spans="1:17" x14ac:dyDescent="0.35">
      <c r="A563">
        <v>202211</v>
      </c>
      <c r="B563">
        <v>93</v>
      </c>
      <c r="C563" s="2">
        <v>3492080.2061999999</v>
      </c>
      <c r="D563" s="2">
        <v>0.66930000000000001</v>
      </c>
      <c r="E563" s="3">
        <v>202182</v>
      </c>
      <c r="F563" s="2">
        <v>135312.15950000001</v>
      </c>
      <c r="G563" t="s">
        <v>1378</v>
      </c>
      <c r="H563" t="s">
        <v>6</v>
      </c>
      <c r="I563">
        <f>HLOOKUP(G563,zip_tiers!$A$1:$EON$2,2,FALSE)</f>
        <v>85215.666666666672</v>
      </c>
      <c r="J563" t="str">
        <f t="shared" si="8"/>
        <v>Med</v>
      </c>
      <c r="K563">
        <f>dataset[[#This Row],[soda_sales]]/dataset[[#This Row],[soda_units_sold]]</f>
        <v>0.66925917984785988</v>
      </c>
      <c r="L563" s="29">
        <f>dataset[[#This Row],[implied_soda_ppu]]-dataset[[#This Row],[soda_ppu]]</f>
        <v>-4.0820152140130794E-5</v>
      </c>
      <c r="M563">
        <f>dataset[[#This Row],[soda_sales]]/dataset[[#This Row],[total_sales]]</f>
        <v>3.8748296576854267E-2</v>
      </c>
      <c r="N563">
        <f>LN(dataset[[#This Row],[soda_units_sold]])</f>
        <v>12.216923560834411</v>
      </c>
      <c r="O563">
        <f>LN(dataset[[#This Row],[soda_sales]])</f>
        <v>11.815339680778552</v>
      </c>
      <c r="P563">
        <f>LN(dataset[[#This Row],[soda_ppu]])</f>
        <v>-0.4015228888755405</v>
      </c>
      <c r="Q563">
        <f>IF(dataset[[#This Row],[state]]="VA",1,0)</f>
        <v>0</v>
      </c>
    </row>
    <row r="564" spans="1:17" x14ac:dyDescent="0.35">
      <c r="A564">
        <v>202212</v>
      </c>
      <c r="B564">
        <v>85</v>
      </c>
      <c r="C564" s="2">
        <v>3668178.2176999999</v>
      </c>
      <c r="D564" s="2">
        <v>0.66879999999999995</v>
      </c>
      <c r="E564" s="3">
        <v>214867</v>
      </c>
      <c r="F564" s="2">
        <v>143708.84779999999</v>
      </c>
      <c r="G564" t="s">
        <v>1378</v>
      </c>
      <c r="H564" t="s">
        <v>6</v>
      </c>
      <c r="I564">
        <f>HLOOKUP(G564,zip_tiers!$A$1:$EON$2,2,FALSE)</f>
        <v>85215.666666666672</v>
      </c>
      <c r="J564" t="str">
        <f t="shared" si="8"/>
        <v>Med</v>
      </c>
      <c r="K564">
        <f>dataset[[#This Row],[soda_sales]]/dataset[[#This Row],[soda_units_sold]]</f>
        <v>0.66882698506517979</v>
      </c>
      <c r="L564" s="29">
        <f>dataset[[#This Row],[implied_soda_ppu]]-dataset[[#This Row],[soda_ppu]]</f>
        <v>2.6985065179840895E-5</v>
      </c>
      <c r="M564">
        <f>dataset[[#This Row],[soda_sales]]/dataset[[#This Row],[total_sales]]</f>
        <v>3.9177171683361524E-2</v>
      </c>
      <c r="N564">
        <f>LN(dataset[[#This Row],[soda_units_sold]])</f>
        <v>12.277774511043836</v>
      </c>
      <c r="O564">
        <f>LN(dataset[[#This Row],[soda_sales]])</f>
        <v>11.875544641500838</v>
      </c>
      <c r="P564">
        <f>LN(dataset[[#This Row],[soda_ppu]])</f>
        <v>-0.40227021721164524</v>
      </c>
      <c r="Q564">
        <f>IF(dataset[[#This Row],[state]]="VA",1,0)</f>
        <v>0</v>
      </c>
    </row>
    <row r="565" spans="1:17" x14ac:dyDescent="0.35">
      <c r="A565">
        <v>202212</v>
      </c>
      <c r="B565">
        <v>93</v>
      </c>
      <c r="C565" s="2">
        <v>3606749.4792999998</v>
      </c>
      <c r="D565" s="2">
        <v>0.66110000000000002</v>
      </c>
      <c r="E565" s="3">
        <v>194069</v>
      </c>
      <c r="F565" s="2">
        <v>128295.0472</v>
      </c>
      <c r="G565" t="s">
        <v>1378</v>
      </c>
      <c r="H565" t="s">
        <v>6</v>
      </c>
      <c r="I565">
        <f>HLOOKUP(G565,zip_tiers!$A$1:$EON$2,2,FALSE)</f>
        <v>85215.666666666672</v>
      </c>
      <c r="J565" t="str">
        <f t="shared" si="8"/>
        <v>Med</v>
      </c>
      <c r="K565">
        <f>dataset[[#This Row],[soda_sales]]/dataset[[#This Row],[soda_units_sold]]</f>
        <v>0.66107955005693853</v>
      </c>
      <c r="L565" s="29">
        <f>dataset[[#This Row],[implied_soda_ppu]]-dataset[[#This Row],[soda_ppu]]</f>
        <v>-2.0449943061495723E-5</v>
      </c>
      <c r="M565">
        <f>dataset[[#This Row],[soda_sales]]/dataset[[#This Row],[total_sales]]</f>
        <v>3.5570822962979837E-2</v>
      </c>
      <c r="N565">
        <f>LN(dataset[[#This Row],[soda_units_sold]])</f>
        <v>12.175969044912941</v>
      </c>
      <c r="O565">
        <f>LN(dataset[[#This Row],[soda_sales]])</f>
        <v>11.762087946585025</v>
      </c>
      <c r="P565">
        <f>LN(dataset[[#This Row],[soda_ppu]])</f>
        <v>-0.4138501646426046</v>
      </c>
      <c r="Q565">
        <f>IF(dataset[[#This Row],[state]]="VA",1,0)</f>
        <v>0</v>
      </c>
    </row>
    <row r="566" spans="1:17" x14ac:dyDescent="0.35">
      <c r="A566">
        <v>202301</v>
      </c>
      <c r="B566">
        <v>85</v>
      </c>
      <c r="C566" s="2">
        <v>2097746.4226000002</v>
      </c>
      <c r="D566" s="2">
        <v>0.70850000000000002</v>
      </c>
      <c r="E566" s="3">
        <v>151494</v>
      </c>
      <c r="F566" s="2">
        <v>107328.4577</v>
      </c>
      <c r="G566" t="s">
        <v>1378</v>
      </c>
      <c r="H566" t="s">
        <v>6</v>
      </c>
      <c r="I566">
        <f>HLOOKUP(G566,zip_tiers!$A$1:$EON$2,2,FALSE)</f>
        <v>85215.666666666672</v>
      </c>
      <c r="J566" t="str">
        <f t="shared" si="8"/>
        <v>Med</v>
      </c>
      <c r="K566">
        <f>dataset[[#This Row],[soda_sales]]/dataset[[#This Row],[soda_units_sold]]</f>
        <v>0.70846672277449929</v>
      </c>
      <c r="L566" s="29">
        <f>dataset[[#This Row],[implied_soda_ppu]]-dataset[[#This Row],[soda_ppu]]</f>
        <v>-3.3277225500727425E-5</v>
      </c>
      <c r="M566">
        <f>dataset[[#This Row],[soda_sales]]/dataset[[#This Row],[total_sales]]</f>
        <v>5.1163694783935981E-2</v>
      </c>
      <c r="N566">
        <f>LN(dataset[[#This Row],[soda_units_sold]])</f>
        <v>11.928301299186908</v>
      </c>
      <c r="O566">
        <f>LN(dataset[[#This Row],[soda_sales]])</f>
        <v>11.583649109671402</v>
      </c>
      <c r="P566">
        <f>LN(dataset[[#This Row],[soda_ppu]])</f>
        <v>-0.34460521985140191</v>
      </c>
      <c r="Q566">
        <f>IF(dataset[[#This Row],[state]]="VA",1,0)</f>
        <v>0</v>
      </c>
    </row>
    <row r="567" spans="1:17" x14ac:dyDescent="0.35">
      <c r="A567">
        <v>202301</v>
      </c>
      <c r="B567">
        <v>93</v>
      </c>
      <c r="C567" s="2">
        <v>2091082.3539</v>
      </c>
      <c r="D567" s="2">
        <v>0.70169999999999999</v>
      </c>
      <c r="E567" s="3">
        <v>133762</v>
      </c>
      <c r="F567" s="2">
        <v>93862.469599999997</v>
      </c>
      <c r="G567" t="s">
        <v>1378</v>
      </c>
      <c r="H567" t="s">
        <v>6</v>
      </c>
      <c r="I567">
        <f>HLOOKUP(G567,zip_tiers!$A$1:$EON$2,2,FALSE)</f>
        <v>85215.666666666672</v>
      </c>
      <c r="J567" t="str">
        <f t="shared" si="8"/>
        <v>Med</v>
      </c>
      <c r="K567">
        <f>dataset[[#This Row],[soda_sales]]/dataset[[#This Row],[soda_units_sold]]</f>
        <v>0.70171251626022335</v>
      </c>
      <c r="L567" s="29">
        <f>dataset[[#This Row],[implied_soda_ppu]]-dataset[[#This Row],[soda_ppu]]</f>
        <v>1.2516260223360831E-5</v>
      </c>
      <c r="M567">
        <f>dataset[[#This Row],[soda_sales]]/dataset[[#This Row],[total_sales]]</f>
        <v>4.4887026771059775E-2</v>
      </c>
      <c r="N567">
        <f>LN(dataset[[#This Row],[soda_units_sold]])</f>
        <v>11.803817380359856</v>
      </c>
      <c r="O567">
        <f>LN(dataset[[#This Row],[soda_sales]])</f>
        <v>11.449585900530074</v>
      </c>
      <c r="P567">
        <f>LN(dataset[[#This Row],[soda_ppu]])</f>
        <v>-0.35424931672389404</v>
      </c>
      <c r="Q567">
        <f>IF(dataset[[#This Row],[state]]="VA",1,0)</f>
        <v>0</v>
      </c>
    </row>
    <row r="568" spans="1:17" x14ac:dyDescent="0.35">
      <c r="A568">
        <v>202302</v>
      </c>
      <c r="B568">
        <v>85</v>
      </c>
      <c r="C568" s="2">
        <v>2412020.0778999999</v>
      </c>
      <c r="D568" s="2">
        <v>0.67679999999999996</v>
      </c>
      <c r="E568" s="3">
        <v>180688</v>
      </c>
      <c r="F568" s="2">
        <v>122297.0312</v>
      </c>
      <c r="G568" t="s">
        <v>1378</v>
      </c>
      <c r="H568" t="s">
        <v>6</v>
      </c>
      <c r="I568">
        <f>HLOOKUP(G568,zip_tiers!$A$1:$EON$2,2,FALSE)</f>
        <v>85215.666666666672</v>
      </c>
      <c r="J568" t="str">
        <f t="shared" si="8"/>
        <v>Med</v>
      </c>
      <c r="K568">
        <f>dataset[[#This Row],[soda_sales]]/dataset[[#This Row],[soda_units_sold]]</f>
        <v>0.67684091472593644</v>
      </c>
      <c r="L568" s="29">
        <f>dataset[[#This Row],[implied_soda_ppu]]-dataset[[#This Row],[soda_ppu]]</f>
        <v>4.09147259364806E-5</v>
      </c>
      <c r="M568">
        <f>dataset[[#This Row],[soda_sales]]/dataset[[#This Row],[total_sales]]</f>
        <v>5.0703156379393252E-2</v>
      </c>
      <c r="N568">
        <f>LN(dataset[[#This Row],[soda_units_sold]])</f>
        <v>12.104527065963451</v>
      </c>
      <c r="O568">
        <f>LN(dataset[[#This Row],[soda_sales]])</f>
        <v>11.714208046646368</v>
      </c>
      <c r="P568">
        <f>LN(dataset[[#This Row],[soda_ppu]])</f>
        <v>-0.39037947069012358</v>
      </c>
      <c r="Q568">
        <f>IF(dataset[[#This Row],[state]]="VA",1,0)</f>
        <v>0</v>
      </c>
    </row>
    <row r="569" spans="1:17" x14ac:dyDescent="0.35">
      <c r="A569">
        <v>202302</v>
      </c>
      <c r="B569">
        <v>93</v>
      </c>
      <c r="C569" s="2">
        <v>2356059.7826</v>
      </c>
      <c r="D569" s="2">
        <v>0.70399999999999996</v>
      </c>
      <c r="E569" s="3">
        <v>153407</v>
      </c>
      <c r="F569" s="2">
        <v>107996.80220000001</v>
      </c>
      <c r="G569" t="s">
        <v>1378</v>
      </c>
      <c r="H569" t="s">
        <v>6</v>
      </c>
      <c r="I569">
        <f>HLOOKUP(G569,zip_tiers!$A$1:$EON$2,2,FALSE)</f>
        <v>85215.666666666672</v>
      </c>
      <c r="J569" t="str">
        <f t="shared" si="8"/>
        <v>Med</v>
      </c>
      <c r="K569">
        <f>dataset[[#This Row],[soda_sales]]/dataset[[#This Row],[soda_units_sold]]</f>
        <v>0.70398875018741003</v>
      </c>
      <c r="L569" s="29">
        <f>dataset[[#This Row],[implied_soda_ppu]]-dataset[[#This Row],[soda_ppu]]</f>
        <v>-1.1249812589930741E-5</v>
      </c>
      <c r="M569">
        <f>dataset[[#This Row],[soda_sales]]/dataset[[#This Row],[total_sales]]</f>
        <v>4.58378870509056E-2</v>
      </c>
      <c r="N569">
        <f>LN(dataset[[#This Row],[soda_units_sold]])</f>
        <v>11.940849799207937</v>
      </c>
      <c r="O569">
        <f>LN(dataset[[#This Row],[soda_sales]])</f>
        <v>11.589856896408735</v>
      </c>
      <c r="P569">
        <f>LN(dataset[[#This Row],[soda_ppu]])</f>
        <v>-0.35097692282409471</v>
      </c>
      <c r="Q569">
        <f>IF(dataset[[#This Row],[state]]="VA",1,0)</f>
        <v>0</v>
      </c>
    </row>
    <row r="570" spans="1:17" x14ac:dyDescent="0.35">
      <c r="A570">
        <v>202303</v>
      </c>
      <c r="B570">
        <v>85</v>
      </c>
      <c r="C570" s="2">
        <v>2662611.2231000001</v>
      </c>
      <c r="D570" s="2">
        <v>0.72350000000000003</v>
      </c>
      <c r="E570" s="3">
        <v>199020</v>
      </c>
      <c r="F570" s="2">
        <v>143991.90729999999</v>
      </c>
      <c r="G570" t="s">
        <v>1378</v>
      </c>
      <c r="H570" t="s">
        <v>6</v>
      </c>
      <c r="I570">
        <f>HLOOKUP(G570,zip_tiers!$A$1:$EON$2,2,FALSE)</f>
        <v>85215.666666666672</v>
      </c>
      <c r="J570" t="str">
        <f t="shared" si="8"/>
        <v>Med</v>
      </c>
      <c r="K570">
        <f>dataset[[#This Row],[soda_sales]]/dataset[[#This Row],[soda_units_sold]]</f>
        <v>0.72350470957692692</v>
      </c>
      <c r="L570" s="29">
        <f>dataset[[#This Row],[implied_soda_ppu]]-dataset[[#This Row],[soda_ppu]]</f>
        <v>4.7095769268867826E-6</v>
      </c>
      <c r="M570">
        <f>dataset[[#This Row],[soda_sales]]/dataset[[#This Row],[total_sales]]</f>
        <v>5.4079208429218005E-2</v>
      </c>
      <c r="N570">
        <f>LN(dataset[[#This Row],[soda_units_sold]])</f>
        <v>12.201160601169153</v>
      </c>
      <c r="O570">
        <f>LN(dataset[[#This Row],[soda_sales]])</f>
        <v>11.877512377673343</v>
      </c>
      <c r="P570">
        <f>LN(dataset[[#This Row],[soda_ppu]])</f>
        <v>-0.32365473291059843</v>
      </c>
      <c r="Q570">
        <f>IF(dataset[[#This Row],[state]]="VA",1,0)</f>
        <v>0</v>
      </c>
    </row>
    <row r="571" spans="1:17" x14ac:dyDescent="0.35">
      <c r="A571">
        <v>202303</v>
      </c>
      <c r="B571">
        <v>93</v>
      </c>
      <c r="C571" s="2">
        <v>2677981.2124000001</v>
      </c>
      <c r="D571" s="2">
        <v>0.71020000000000005</v>
      </c>
      <c r="E571" s="3">
        <v>182712</v>
      </c>
      <c r="F571" s="2">
        <v>129770.0919</v>
      </c>
      <c r="G571" t="s">
        <v>1378</v>
      </c>
      <c r="H571" t="s">
        <v>6</v>
      </c>
      <c r="I571">
        <f>HLOOKUP(G571,zip_tiers!$A$1:$EON$2,2,FALSE)</f>
        <v>85215.666666666672</v>
      </c>
      <c r="J571" t="str">
        <f t="shared" si="8"/>
        <v>Med</v>
      </c>
      <c r="K571">
        <f>dataset[[#This Row],[soda_sales]]/dataset[[#This Row],[soda_units_sold]]</f>
        <v>0.71024394621042952</v>
      </c>
      <c r="L571" s="29">
        <f>dataset[[#This Row],[implied_soda_ppu]]-dataset[[#This Row],[soda_ppu]]</f>
        <v>4.3946210429468557E-5</v>
      </c>
      <c r="M571">
        <f>dataset[[#This Row],[soda_sales]]/dataset[[#This Row],[total_sales]]</f>
        <v>4.845817860824362E-2</v>
      </c>
      <c r="N571">
        <f>LN(dataset[[#This Row],[soda_units_sold]])</f>
        <v>12.115666421654158</v>
      </c>
      <c r="O571">
        <f>LN(dataset[[#This Row],[soda_sales]])</f>
        <v>11.773519639907029</v>
      </c>
      <c r="P571">
        <f>LN(dataset[[#This Row],[soda_ppu]])</f>
        <v>-0.34220865847314946</v>
      </c>
      <c r="Q571">
        <f>IF(dataset[[#This Row],[state]]="VA",1,0)</f>
        <v>0</v>
      </c>
    </row>
    <row r="572" spans="1:17" x14ac:dyDescent="0.35">
      <c r="A572">
        <v>202304</v>
      </c>
      <c r="B572">
        <v>85</v>
      </c>
      <c r="C572" s="2">
        <v>2796846.9501999998</v>
      </c>
      <c r="D572" s="2">
        <v>0.71309999999999996</v>
      </c>
      <c r="E572" s="3">
        <v>238577</v>
      </c>
      <c r="F572" s="2">
        <v>170136.64749999999</v>
      </c>
      <c r="G572" t="s">
        <v>1378</v>
      </c>
      <c r="H572" t="s">
        <v>6</v>
      </c>
      <c r="I572">
        <f>HLOOKUP(G572,zip_tiers!$A$1:$EON$2,2,FALSE)</f>
        <v>85215.666666666672</v>
      </c>
      <c r="J572" t="str">
        <f t="shared" si="8"/>
        <v>Med</v>
      </c>
      <c r="K572">
        <f>dataset[[#This Row],[soda_sales]]/dataset[[#This Row],[soda_units_sold]]</f>
        <v>0.71313097029470562</v>
      </c>
      <c r="L572" s="29">
        <f>dataset[[#This Row],[implied_soda_ppu]]-dataset[[#This Row],[soda_ppu]]</f>
        <v>3.0970294705667811E-5</v>
      </c>
      <c r="M572">
        <f>dataset[[#This Row],[soda_sales]]/dataset[[#This Row],[total_sales]]</f>
        <v>6.0831590190458466E-2</v>
      </c>
      <c r="N572">
        <f>LN(dataset[[#This Row],[soda_units_sold]])</f>
        <v>12.382447388358354</v>
      </c>
      <c r="O572">
        <f>LN(dataset[[#This Row],[soda_sales]])</f>
        <v>12.044357201974627</v>
      </c>
      <c r="P572">
        <f>LN(dataset[[#This Row],[soda_ppu]])</f>
        <v>-0.33813361594787916</v>
      </c>
      <c r="Q572">
        <f>IF(dataset[[#This Row],[state]]="VA",1,0)</f>
        <v>0</v>
      </c>
    </row>
    <row r="573" spans="1:17" x14ac:dyDescent="0.35">
      <c r="A573">
        <v>202304</v>
      </c>
      <c r="B573">
        <v>93</v>
      </c>
      <c r="C573" s="2">
        <v>2785825.2792000002</v>
      </c>
      <c r="D573" s="2">
        <v>0.71250000000000002</v>
      </c>
      <c r="E573" s="3">
        <v>205334</v>
      </c>
      <c r="F573" s="2">
        <v>146296.89600000001</v>
      </c>
      <c r="G573" t="s">
        <v>1378</v>
      </c>
      <c r="H573" t="s">
        <v>6</v>
      </c>
      <c r="I573">
        <f>HLOOKUP(G573,zip_tiers!$A$1:$EON$2,2,FALSE)</f>
        <v>85215.666666666672</v>
      </c>
      <c r="J573" t="str">
        <f t="shared" si="8"/>
        <v>Med</v>
      </c>
      <c r="K573">
        <f>dataset[[#This Row],[soda_sales]]/dataset[[#This Row],[soda_units_sold]]</f>
        <v>0.71248256986178615</v>
      </c>
      <c r="L573" s="29">
        <f>dataset[[#This Row],[implied_soda_ppu]]-dataset[[#This Row],[soda_ppu]]</f>
        <v>-1.7430138213869739E-5</v>
      </c>
      <c r="M573">
        <f>dataset[[#This Row],[soda_sales]]/dataset[[#This Row],[total_sales]]</f>
        <v>5.2514742073850297E-2</v>
      </c>
      <c r="N573">
        <f>LN(dataset[[#This Row],[soda_units_sold]])</f>
        <v>12.232393200595522</v>
      </c>
      <c r="O573">
        <f>LN(dataset[[#This Row],[soda_sales]])</f>
        <v>11.89339337010508</v>
      </c>
      <c r="P573">
        <f>LN(dataset[[#This Row],[soda_ppu]])</f>
        <v>-0.33897536683933144</v>
      </c>
      <c r="Q573">
        <f>IF(dataset[[#This Row],[state]]="VA",1,0)</f>
        <v>0</v>
      </c>
    </row>
    <row r="574" spans="1:17" x14ac:dyDescent="0.35">
      <c r="A574">
        <v>202305</v>
      </c>
      <c r="B574">
        <v>85</v>
      </c>
      <c r="C574" s="2">
        <v>2949000.4199000001</v>
      </c>
      <c r="D574" s="2">
        <v>0.70220000000000005</v>
      </c>
      <c r="E574" s="3">
        <v>265524</v>
      </c>
      <c r="F574" s="2">
        <v>186438.28159999999</v>
      </c>
      <c r="G574" t="s">
        <v>1378</v>
      </c>
      <c r="H574" t="s">
        <v>6</v>
      </c>
      <c r="I574">
        <f>HLOOKUP(G574,zip_tiers!$A$1:$EON$2,2,FALSE)</f>
        <v>85215.666666666672</v>
      </c>
      <c r="J574" t="str">
        <f t="shared" si="8"/>
        <v>Med</v>
      </c>
      <c r="K574">
        <f>dataset[[#This Row],[soda_sales]]/dataset[[#This Row],[soda_units_sold]]</f>
        <v>0.70215227851342998</v>
      </c>
      <c r="L574" s="29">
        <f>dataset[[#This Row],[implied_soda_ppu]]-dataset[[#This Row],[soda_ppu]]</f>
        <v>-4.7721486570062588E-5</v>
      </c>
      <c r="M574">
        <f>dataset[[#This Row],[soda_sales]]/dataset[[#This Row],[total_sales]]</f>
        <v>6.3220839285713648E-2</v>
      </c>
      <c r="N574">
        <f>LN(dataset[[#This Row],[soda_units_sold]])</f>
        <v>12.489460511058931</v>
      </c>
      <c r="O574">
        <f>LN(dataset[[#This Row],[soda_sales]])</f>
        <v>12.135855533537958</v>
      </c>
      <c r="P574">
        <f>LN(dataset[[#This Row],[soda_ppu]])</f>
        <v>-0.35353701524780512</v>
      </c>
      <c r="Q574">
        <f>IF(dataset[[#This Row],[state]]="VA",1,0)</f>
        <v>0</v>
      </c>
    </row>
    <row r="575" spans="1:17" x14ac:dyDescent="0.35">
      <c r="A575">
        <v>202305</v>
      </c>
      <c r="B575">
        <v>93</v>
      </c>
      <c r="C575" s="2">
        <v>2951681.7590000001</v>
      </c>
      <c r="D575" s="2">
        <v>0.71650000000000003</v>
      </c>
      <c r="E575" s="3">
        <v>235156</v>
      </c>
      <c r="F575" s="2">
        <v>168494.9774</v>
      </c>
      <c r="G575" t="s">
        <v>1378</v>
      </c>
      <c r="H575" t="s">
        <v>6</v>
      </c>
      <c r="I575">
        <f>HLOOKUP(G575,zip_tiers!$A$1:$EON$2,2,FALSE)</f>
        <v>85215.666666666672</v>
      </c>
      <c r="J575" t="str">
        <f t="shared" si="8"/>
        <v>Med</v>
      </c>
      <c r="K575">
        <f>dataset[[#This Row],[soda_sales]]/dataset[[#This Row],[soda_units_sold]]</f>
        <v>0.71652425368691419</v>
      </c>
      <c r="L575" s="29">
        <f>dataset[[#This Row],[implied_soda_ppu]]-dataset[[#This Row],[soda_ppu]]</f>
        <v>2.4253686914166295E-5</v>
      </c>
      <c r="M575">
        <f>dataset[[#This Row],[soda_sales]]/dataset[[#This Row],[total_sales]]</f>
        <v>5.7084398372636347E-2</v>
      </c>
      <c r="N575">
        <f>LN(dataset[[#This Row],[soda_units_sold]])</f>
        <v>12.368004402675998</v>
      </c>
      <c r="O575">
        <f>LN(dataset[[#This Row],[soda_sales]])</f>
        <v>12.034661220615162</v>
      </c>
      <c r="P575">
        <f>LN(dataset[[#This Row],[soda_ppu]])</f>
        <v>-0.33337703171391048</v>
      </c>
      <c r="Q575">
        <f>IF(dataset[[#This Row],[state]]="VA",1,0)</f>
        <v>0</v>
      </c>
    </row>
    <row r="576" spans="1:17" x14ac:dyDescent="0.35">
      <c r="A576">
        <v>202306</v>
      </c>
      <c r="B576">
        <v>85</v>
      </c>
      <c r="C576" s="2">
        <v>2796253.1661</v>
      </c>
      <c r="D576" s="2">
        <v>0.72109999999999996</v>
      </c>
      <c r="E576" s="3">
        <v>270566</v>
      </c>
      <c r="F576" s="2">
        <v>195093.01089999999</v>
      </c>
      <c r="G576" t="s">
        <v>1378</v>
      </c>
      <c r="H576" t="s">
        <v>6</v>
      </c>
      <c r="I576">
        <f>HLOOKUP(G576,zip_tiers!$A$1:$EON$2,2,FALSE)</f>
        <v>85215.666666666672</v>
      </c>
      <c r="J576" t="str">
        <f t="shared" si="8"/>
        <v>Med</v>
      </c>
      <c r="K576">
        <f>dataset[[#This Row],[soda_sales]]/dataset[[#This Row],[soda_units_sold]]</f>
        <v>0.72105516177198903</v>
      </c>
      <c r="L576" s="29">
        <f>dataset[[#This Row],[implied_soda_ppu]]-dataset[[#This Row],[soda_ppu]]</f>
        <v>-4.4838228010934955E-5</v>
      </c>
      <c r="M576">
        <f>dataset[[#This Row],[soda_sales]]/dataset[[#This Row],[total_sales]]</f>
        <v>6.9769437640762974E-2</v>
      </c>
      <c r="N576">
        <f>LN(dataset[[#This Row],[soda_units_sold]])</f>
        <v>12.508271340113604</v>
      </c>
      <c r="O576">
        <f>LN(dataset[[#This Row],[soda_sales]])</f>
        <v>12.181231702801931</v>
      </c>
      <c r="P576">
        <f>LN(dataset[[#This Row],[soda_ppu]])</f>
        <v>-0.32697745505942327</v>
      </c>
      <c r="Q576">
        <f>IF(dataset[[#This Row],[state]]="VA",1,0)</f>
        <v>0</v>
      </c>
    </row>
    <row r="577" spans="1:17" x14ac:dyDescent="0.35">
      <c r="A577">
        <v>202306</v>
      </c>
      <c r="B577">
        <v>93</v>
      </c>
      <c r="C577" s="2">
        <v>2812437.1183000002</v>
      </c>
      <c r="D577" s="2">
        <v>0.68500000000000005</v>
      </c>
      <c r="E577" s="3">
        <v>246222</v>
      </c>
      <c r="F577" s="2">
        <v>168669.2776</v>
      </c>
      <c r="G577" t="s">
        <v>1378</v>
      </c>
      <c r="H577" t="s">
        <v>6</v>
      </c>
      <c r="I577">
        <f>HLOOKUP(G577,zip_tiers!$A$1:$EON$2,2,FALSE)</f>
        <v>85215.666666666672</v>
      </c>
      <c r="J577" t="str">
        <f t="shared" si="8"/>
        <v>Med</v>
      </c>
      <c r="K577">
        <f>dataset[[#This Row],[soda_sales]]/dataset[[#This Row],[soda_units_sold]]</f>
        <v>0.68502927277010184</v>
      </c>
      <c r="L577" s="29">
        <f>dataset[[#This Row],[implied_soda_ppu]]-dataset[[#This Row],[soda_ppu]]</f>
        <v>2.9272770101784751E-5</v>
      </c>
      <c r="M577">
        <f>dataset[[#This Row],[soda_sales]]/dataset[[#This Row],[total_sales]]</f>
        <v>5.9972639566766024E-2</v>
      </c>
      <c r="N577">
        <f>LN(dataset[[#This Row],[soda_units_sold]])</f>
        <v>12.413988846985609</v>
      </c>
      <c r="O577">
        <f>LN(dataset[[#This Row],[soda_sales]])</f>
        <v>12.035695139323579</v>
      </c>
      <c r="P577">
        <f>LN(dataset[[#This Row],[soda_ppu]])</f>
        <v>-0.37833644071991168</v>
      </c>
      <c r="Q577">
        <f>IF(dataset[[#This Row],[state]]="VA",1,0)</f>
        <v>0</v>
      </c>
    </row>
    <row r="578" spans="1:17" x14ac:dyDescent="0.35">
      <c r="A578">
        <v>202307</v>
      </c>
      <c r="B578">
        <v>85</v>
      </c>
      <c r="C578" s="2">
        <v>2711367.4986999999</v>
      </c>
      <c r="D578" s="2">
        <v>0.72040000000000004</v>
      </c>
      <c r="E578" s="3">
        <v>281989</v>
      </c>
      <c r="F578" s="2">
        <v>203136.4803</v>
      </c>
      <c r="G578" t="s">
        <v>1378</v>
      </c>
      <c r="H578" t="s">
        <v>6</v>
      </c>
      <c r="I578">
        <f>HLOOKUP(G578,zip_tiers!$A$1:$EON$2,2,FALSE)</f>
        <v>85215.666666666672</v>
      </c>
      <c r="J578" t="str">
        <f t="shared" ref="J578:J641" si="9">IF(I578="","No Data",IF(I578&gt;=100000,"High",IF(I578&gt;=40000,"Med","Low")))</f>
        <v>Med</v>
      </c>
      <c r="K578">
        <f>dataset[[#This Row],[soda_sales]]/dataset[[#This Row],[soda_units_sold]]</f>
        <v>0.72037022827131558</v>
      </c>
      <c r="L578" s="29">
        <f>dataset[[#This Row],[implied_soda_ppu]]-dataset[[#This Row],[soda_ppu]]</f>
        <v>-2.9771728684457877E-5</v>
      </c>
      <c r="M578">
        <f>dataset[[#This Row],[soda_sales]]/dataset[[#This Row],[total_sales]]</f>
        <v>7.4920305121823724E-2</v>
      </c>
      <c r="N578">
        <f>LN(dataset[[#This Row],[soda_units_sold]])</f>
        <v>12.549623342067255</v>
      </c>
      <c r="O578">
        <f>LN(dataset[[#This Row],[soda_sales]])</f>
        <v>12.221633348869034</v>
      </c>
      <c r="P578">
        <f>LN(dataset[[#This Row],[soda_ppu]])</f>
        <v>-0.32794866568033598</v>
      </c>
      <c r="Q578">
        <f>IF(dataset[[#This Row],[state]]="VA",1,0)</f>
        <v>0</v>
      </c>
    </row>
    <row r="579" spans="1:17" x14ac:dyDescent="0.35">
      <c r="A579">
        <v>202307</v>
      </c>
      <c r="B579">
        <v>93</v>
      </c>
      <c r="C579" s="2">
        <v>2709000.8709</v>
      </c>
      <c r="D579" s="2">
        <v>0.69520000000000004</v>
      </c>
      <c r="E579" s="3">
        <v>251988</v>
      </c>
      <c r="F579" s="2">
        <v>175193.08600000001</v>
      </c>
      <c r="G579" t="s">
        <v>1378</v>
      </c>
      <c r="H579" t="s">
        <v>6</v>
      </c>
      <c r="I579">
        <f>HLOOKUP(G579,zip_tiers!$A$1:$EON$2,2,FALSE)</f>
        <v>85215.666666666672</v>
      </c>
      <c r="J579" t="str">
        <f t="shared" si="9"/>
        <v>Med</v>
      </c>
      <c r="K579">
        <f>dataset[[#This Row],[soda_sales]]/dataset[[#This Row],[soda_units_sold]]</f>
        <v>0.69524376557613854</v>
      </c>
      <c r="L579" s="29">
        <f>dataset[[#This Row],[implied_soda_ppu]]-dataset[[#This Row],[soda_ppu]]</f>
        <v>4.3765576138499185E-5</v>
      </c>
      <c r="M579">
        <f>dataset[[#This Row],[soda_sales]]/dataset[[#This Row],[total_sales]]</f>
        <v>6.4670738161038813E-2</v>
      </c>
      <c r="N579">
        <f>LN(dataset[[#This Row],[soda_units_sold]])</f>
        <v>12.437136746312119</v>
      </c>
      <c r="O579">
        <f>LN(dataset[[#This Row],[soda_sales]])</f>
        <v>12.073643993235406</v>
      </c>
      <c r="P579">
        <f>LN(dataset[[#This Row],[soda_ppu]])</f>
        <v>-0.36355570503095469</v>
      </c>
      <c r="Q579">
        <f>IF(dataset[[#This Row],[state]]="VA",1,0)</f>
        <v>0</v>
      </c>
    </row>
    <row r="580" spans="1:17" x14ac:dyDescent="0.35">
      <c r="A580">
        <v>202308</v>
      </c>
      <c r="B580">
        <v>85</v>
      </c>
      <c r="C580" s="2">
        <v>2538247.4928000001</v>
      </c>
      <c r="D580" s="2">
        <v>0.71840000000000004</v>
      </c>
      <c r="E580" s="3">
        <v>246788</v>
      </c>
      <c r="F580" s="2">
        <v>177289.4633</v>
      </c>
      <c r="G580" t="s">
        <v>1378</v>
      </c>
      <c r="H580" t="s">
        <v>6</v>
      </c>
      <c r="I580">
        <f>HLOOKUP(G580,zip_tiers!$A$1:$EON$2,2,FALSE)</f>
        <v>85215.666666666672</v>
      </c>
      <c r="J580" t="str">
        <f t="shared" si="9"/>
        <v>Med</v>
      </c>
      <c r="K580">
        <f>dataset[[#This Row],[soda_sales]]/dataset[[#This Row],[soda_units_sold]]</f>
        <v>0.71838769834838001</v>
      </c>
      <c r="L580" s="29">
        <f>dataset[[#This Row],[implied_soda_ppu]]-dataset[[#This Row],[soda_ppu]]</f>
        <v>-1.2301651620028053E-5</v>
      </c>
      <c r="M580">
        <f>dataset[[#This Row],[soda_sales]]/dataset[[#This Row],[total_sales]]</f>
        <v>6.9847193310699524E-2</v>
      </c>
      <c r="N580">
        <f>LN(dataset[[#This Row],[soda_units_sold]])</f>
        <v>12.416284947464975</v>
      </c>
      <c r="O580">
        <f>LN(dataset[[#This Row],[soda_sales]])</f>
        <v>12.085539061644345</v>
      </c>
      <c r="P580">
        <f>LN(dataset[[#This Row],[soda_ppu]])</f>
        <v>-0.33072876199414714</v>
      </c>
      <c r="Q580">
        <f>IF(dataset[[#This Row],[state]]="VA",1,0)</f>
        <v>0</v>
      </c>
    </row>
    <row r="581" spans="1:17" x14ac:dyDescent="0.35">
      <c r="A581">
        <v>202308</v>
      </c>
      <c r="B581">
        <v>93</v>
      </c>
      <c r="C581" s="2">
        <v>2547097.8420000002</v>
      </c>
      <c r="D581" s="2">
        <v>0.6925</v>
      </c>
      <c r="E581" s="3">
        <v>227171</v>
      </c>
      <c r="F581" s="2">
        <v>157314.26490000001</v>
      </c>
      <c r="G581" t="s">
        <v>1378</v>
      </c>
      <c r="H581" t="s">
        <v>6</v>
      </c>
      <c r="I581">
        <f>HLOOKUP(G581,zip_tiers!$A$1:$EON$2,2,FALSE)</f>
        <v>85215.666666666672</v>
      </c>
      <c r="J581" t="str">
        <f t="shared" si="9"/>
        <v>Med</v>
      </c>
      <c r="K581">
        <f>dataset[[#This Row],[soda_sales]]/dataset[[#This Row],[soda_units_sold]]</f>
        <v>0.69249272530384609</v>
      </c>
      <c r="L581" s="29">
        <f>dataset[[#This Row],[implied_soda_ppu]]-dataset[[#This Row],[soda_ppu]]</f>
        <v>-7.274696153913851E-6</v>
      </c>
      <c r="M581">
        <f>dataset[[#This Row],[soda_sales]]/dataset[[#This Row],[total_sales]]</f>
        <v>6.1762160175392274E-2</v>
      </c>
      <c r="N581">
        <f>LN(dataset[[#This Row],[soda_units_sold]])</f>
        <v>12.333458316837277</v>
      </c>
      <c r="O581">
        <f>LN(dataset[[#This Row],[soda_sales]])</f>
        <v>11.96600077088506</v>
      </c>
      <c r="P581">
        <f>LN(dataset[[#This Row],[soda_ppu]])</f>
        <v>-0.36744704092064345</v>
      </c>
      <c r="Q581">
        <f>IF(dataset[[#This Row],[state]]="VA",1,0)</f>
        <v>0</v>
      </c>
    </row>
    <row r="582" spans="1:17" x14ac:dyDescent="0.35">
      <c r="A582">
        <v>202309</v>
      </c>
      <c r="B582">
        <v>85</v>
      </c>
      <c r="C582" s="2">
        <v>2540445.4010999999</v>
      </c>
      <c r="D582" s="2">
        <v>0.73709999999999998</v>
      </c>
      <c r="E582" s="3">
        <v>228512</v>
      </c>
      <c r="F582" s="2">
        <v>168441.1617</v>
      </c>
      <c r="G582" t="s">
        <v>1378</v>
      </c>
      <c r="H582" t="s">
        <v>6</v>
      </c>
      <c r="I582">
        <f>HLOOKUP(G582,zip_tiers!$A$1:$EON$2,2,FALSE)</f>
        <v>85215.666666666672</v>
      </c>
      <c r="J582" t="str">
        <f t="shared" si="9"/>
        <v>Med</v>
      </c>
      <c r="K582">
        <f>dataset[[#This Row],[soda_sales]]/dataset[[#This Row],[soda_units_sold]]</f>
        <v>0.73712173408836301</v>
      </c>
      <c r="L582" s="29">
        <f>dataset[[#This Row],[implied_soda_ppu]]-dataset[[#This Row],[soda_ppu]]</f>
        <v>2.1734088363034587E-5</v>
      </c>
      <c r="M582">
        <f>dataset[[#This Row],[soda_sales]]/dataset[[#This Row],[total_sales]]</f>
        <v>6.6303791306463758E-2</v>
      </c>
      <c r="N582">
        <f>LN(dataset[[#This Row],[soda_units_sold]])</f>
        <v>12.339344004348836</v>
      </c>
      <c r="O582">
        <f>LN(dataset[[#This Row],[soda_sales]])</f>
        <v>12.034341779069939</v>
      </c>
      <c r="P582">
        <f>LN(dataset[[#This Row],[soda_ppu]])</f>
        <v>-0.30503171078689395</v>
      </c>
      <c r="Q582">
        <f>IF(dataset[[#This Row],[state]]="VA",1,0)</f>
        <v>0</v>
      </c>
    </row>
    <row r="583" spans="1:17" x14ac:dyDescent="0.35">
      <c r="A583">
        <v>202309</v>
      </c>
      <c r="B583">
        <v>93</v>
      </c>
      <c r="C583" s="2">
        <v>2539190.1242</v>
      </c>
      <c r="D583" s="2">
        <v>0.68269999999999997</v>
      </c>
      <c r="E583" s="3">
        <v>219865</v>
      </c>
      <c r="F583" s="2">
        <v>150109.522</v>
      </c>
      <c r="G583" t="s">
        <v>1378</v>
      </c>
      <c r="H583" t="s">
        <v>6</v>
      </c>
      <c r="I583">
        <f>HLOOKUP(G583,zip_tiers!$A$1:$EON$2,2,FALSE)</f>
        <v>85215.666666666672</v>
      </c>
      <c r="J583" t="str">
        <f t="shared" si="9"/>
        <v>Med</v>
      </c>
      <c r="K583">
        <f>dataset[[#This Row],[soda_sales]]/dataset[[#This Row],[soda_units_sold]]</f>
        <v>0.68273496008914558</v>
      </c>
      <c r="L583" s="29">
        <f>dataset[[#This Row],[implied_soda_ppu]]-dataset[[#This Row],[soda_ppu]]</f>
        <v>3.4960089145608109E-5</v>
      </c>
      <c r="M583">
        <f>dataset[[#This Row],[soda_sales]]/dataset[[#This Row],[total_sales]]</f>
        <v>5.9117086416399664E-2</v>
      </c>
      <c r="N583">
        <f>LN(dataset[[#This Row],[soda_units_sold]])</f>
        <v>12.300769000619011</v>
      </c>
      <c r="O583">
        <f>LN(dataset[[#This Row],[soda_sales]])</f>
        <v>11.919120453317662</v>
      </c>
      <c r="P583">
        <f>LN(dataset[[#This Row],[soda_ppu]])</f>
        <v>-0.38169975455790245</v>
      </c>
      <c r="Q583">
        <f>IF(dataset[[#This Row],[state]]="VA",1,0)</f>
        <v>0</v>
      </c>
    </row>
    <row r="584" spans="1:17" x14ac:dyDescent="0.35">
      <c r="A584">
        <v>202310</v>
      </c>
      <c r="B584">
        <v>85</v>
      </c>
      <c r="C584" s="2">
        <v>3083817.4937999998</v>
      </c>
      <c r="D584" s="2">
        <v>0.75390000000000001</v>
      </c>
      <c r="E584" s="3">
        <v>213565</v>
      </c>
      <c r="F584" s="2">
        <v>160996.65419999999</v>
      </c>
      <c r="G584" t="s">
        <v>1378</v>
      </c>
      <c r="H584" t="s">
        <v>6</v>
      </c>
      <c r="I584">
        <f>HLOOKUP(G584,zip_tiers!$A$1:$EON$2,2,FALSE)</f>
        <v>85215.666666666672</v>
      </c>
      <c r="J584" t="str">
        <f t="shared" si="9"/>
        <v>Med</v>
      </c>
      <c r="K584">
        <f>dataset[[#This Row],[soda_sales]]/dataset[[#This Row],[soda_units_sold]]</f>
        <v>0.75385317912579308</v>
      </c>
      <c r="L584" s="29">
        <f>dataset[[#This Row],[implied_soda_ppu]]-dataset[[#This Row],[soda_ppu]]</f>
        <v>-4.6820874206932039E-5</v>
      </c>
      <c r="M584">
        <f>dataset[[#This Row],[soda_sales]]/dataset[[#This Row],[total_sales]]</f>
        <v>5.2206933297344278E-2</v>
      </c>
      <c r="N584">
        <f>LN(dataset[[#This Row],[soda_units_sold]])</f>
        <v>12.271696514964137</v>
      </c>
      <c r="O584">
        <f>LN(dataset[[#This Row],[soda_sales]])</f>
        <v>11.989138862384205</v>
      </c>
      <c r="P584">
        <f>LN(dataset[[#This Row],[soda_ppu]])</f>
        <v>-0.28249554576448083</v>
      </c>
      <c r="Q584">
        <f>IF(dataset[[#This Row],[state]]="VA",1,0)</f>
        <v>0</v>
      </c>
    </row>
    <row r="585" spans="1:17" x14ac:dyDescent="0.35">
      <c r="A585">
        <v>202310</v>
      </c>
      <c r="B585">
        <v>93</v>
      </c>
      <c r="C585" s="2">
        <v>3139207.4685999998</v>
      </c>
      <c r="D585" s="2">
        <v>0.71020000000000005</v>
      </c>
      <c r="E585" s="3">
        <v>201491</v>
      </c>
      <c r="F585" s="2">
        <v>143105.91260000001</v>
      </c>
      <c r="G585" t="s">
        <v>1378</v>
      </c>
      <c r="H585" t="s">
        <v>6</v>
      </c>
      <c r="I585">
        <f>HLOOKUP(G585,zip_tiers!$A$1:$EON$2,2,FALSE)</f>
        <v>85215.666666666672</v>
      </c>
      <c r="J585" t="str">
        <f t="shared" si="9"/>
        <v>Med</v>
      </c>
      <c r="K585">
        <f>dataset[[#This Row],[soda_sales]]/dataset[[#This Row],[soda_units_sold]]</f>
        <v>0.71023476284300546</v>
      </c>
      <c r="L585" s="29">
        <f>dataset[[#This Row],[implied_soda_ppu]]-dataset[[#This Row],[soda_ppu]]</f>
        <v>3.4762843005409216E-5</v>
      </c>
      <c r="M585">
        <f>dataset[[#This Row],[soda_sales]]/dataset[[#This Row],[total_sales]]</f>
        <v>4.558663740177113E-2</v>
      </c>
      <c r="N585">
        <f>LN(dataset[[#This Row],[soda_units_sold]])</f>
        <v>12.213499994358957</v>
      </c>
      <c r="O585">
        <f>LN(dataset[[#This Row],[soda_sales]])</f>
        <v>11.871340282650447</v>
      </c>
      <c r="P585">
        <f>LN(dataset[[#This Row],[soda_ppu]])</f>
        <v>-0.34220865847314946</v>
      </c>
      <c r="Q585">
        <f>IF(dataset[[#This Row],[state]]="VA",1,0)</f>
        <v>0</v>
      </c>
    </row>
    <row r="586" spans="1:17" x14ac:dyDescent="0.35">
      <c r="A586">
        <v>202311</v>
      </c>
      <c r="B586">
        <v>85</v>
      </c>
      <c r="C586" s="2">
        <v>3525437.0872999998</v>
      </c>
      <c r="D586" s="2">
        <v>0.72629999999999995</v>
      </c>
      <c r="E586" s="3">
        <v>210600</v>
      </c>
      <c r="F586" s="2">
        <v>152967.68410000001</v>
      </c>
      <c r="G586" t="s">
        <v>1378</v>
      </c>
      <c r="H586" t="s">
        <v>6</v>
      </c>
      <c r="I586">
        <f>HLOOKUP(G586,zip_tiers!$A$1:$EON$2,2,FALSE)</f>
        <v>85215.666666666672</v>
      </c>
      <c r="J586" t="str">
        <f t="shared" si="9"/>
        <v>Med</v>
      </c>
      <c r="K586">
        <f>dataset[[#This Row],[soda_sales]]/dataset[[#This Row],[soda_units_sold]]</f>
        <v>0.72634227967711307</v>
      </c>
      <c r="L586" s="29">
        <f>dataset[[#This Row],[implied_soda_ppu]]-dataset[[#This Row],[soda_ppu]]</f>
        <v>4.227967711312175E-5</v>
      </c>
      <c r="M586">
        <f>dataset[[#This Row],[soda_sales]]/dataset[[#This Row],[total_sales]]</f>
        <v>4.3389707520536759E-2</v>
      </c>
      <c r="N586">
        <f>LN(dataset[[#This Row],[soda_units_sold]])</f>
        <v>12.257715878682012</v>
      </c>
      <c r="O586">
        <f>LN(dataset[[#This Row],[soda_sales]])</f>
        <v>11.937981963032856</v>
      </c>
      <c r="P586">
        <f>LN(dataset[[#This Row],[soda_ppu]])</f>
        <v>-0.31979212637001464</v>
      </c>
      <c r="Q586">
        <f>IF(dataset[[#This Row],[state]]="VA",1,0)</f>
        <v>0</v>
      </c>
    </row>
    <row r="587" spans="1:17" x14ac:dyDescent="0.35">
      <c r="A587">
        <v>202311</v>
      </c>
      <c r="B587">
        <v>93</v>
      </c>
      <c r="C587" s="2">
        <v>3491651.0192999998</v>
      </c>
      <c r="D587" s="2">
        <v>0.71599999999999997</v>
      </c>
      <c r="E587" s="3">
        <v>187434</v>
      </c>
      <c r="F587" s="2">
        <v>134206.57010000001</v>
      </c>
      <c r="G587" t="s">
        <v>1378</v>
      </c>
      <c r="H587" t="s">
        <v>6</v>
      </c>
      <c r="I587">
        <f>HLOOKUP(G587,zip_tiers!$A$1:$EON$2,2,FALSE)</f>
        <v>85215.666666666672</v>
      </c>
      <c r="J587" t="str">
        <f t="shared" si="9"/>
        <v>Med</v>
      </c>
      <c r="K587">
        <f>dataset[[#This Row],[soda_sales]]/dataset[[#This Row],[soda_units_sold]]</f>
        <v>0.7160204130520611</v>
      </c>
      <c r="L587" s="29">
        <f>dataset[[#This Row],[implied_soda_ppu]]-dataset[[#This Row],[soda_ppu]]</f>
        <v>2.0413052061130088E-5</v>
      </c>
      <c r="M587">
        <f>dataset[[#This Row],[soda_sales]]/dataset[[#This Row],[total_sales]]</f>
        <v>3.8436421440223287E-2</v>
      </c>
      <c r="N587">
        <f>LN(dataset[[#This Row],[soda_units_sold]])</f>
        <v>12.141182062426061</v>
      </c>
      <c r="O587">
        <f>LN(dataset[[#This Row],[soda_sales]])</f>
        <v>11.807135459847418</v>
      </c>
      <c r="P587">
        <f>LN(dataset[[#This Row],[soda_ppu]])</f>
        <v>-0.33407511202149148</v>
      </c>
      <c r="Q587">
        <f>IF(dataset[[#This Row],[state]]="VA",1,0)</f>
        <v>0</v>
      </c>
    </row>
    <row r="588" spans="1:17" x14ac:dyDescent="0.35">
      <c r="A588">
        <v>202312</v>
      </c>
      <c r="B588">
        <v>85</v>
      </c>
      <c r="C588" s="2">
        <v>3651180.3135000002</v>
      </c>
      <c r="D588" s="2">
        <v>0.71909999999999996</v>
      </c>
      <c r="E588" s="3">
        <v>201200</v>
      </c>
      <c r="F588" s="2">
        <v>144683.69</v>
      </c>
      <c r="G588" t="s">
        <v>1378</v>
      </c>
      <c r="H588" t="s">
        <v>6</v>
      </c>
      <c r="I588">
        <f>HLOOKUP(G588,zip_tiers!$A$1:$EON$2,2,FALSE)</f>
        <v>85215.666666666672</v>
      </c>
      <c r="J588" t="str">
        <f t="shared" si="9"/>
        <v>Med</v>
      </c>
      <c r="K588">
        <f>dataset[[#This Row],[soda_sales]]/dataset[[#This Row],[soda_units_sold]]</f>
        <v>0.71910382703777342</v>
      </c>
      <c r="L588" s="29">
        <f>dataset[[#This Row],[implied_soda_ppu]]-dataset[[#This Row],[soda_ppu]]</f>
        <v>3.8270377734628269E-6</v>
      </c>
      <c r="M588">
        <f>dataset[[#This Row],[soda_sales]]/dataset[[#This Row],[total_sales]]</f>
        <v>3.9626552943726592E-2</v>
      </c>
      <c r="N588">
        <f>LN(dataset[[#This Row],[soda_units_sold]])</f>
        <v>12.212054717207721</v>
      </c>
      <c r="O588">
        <f>LN(dataset[[#This Row],[soda_sales]])</f>
        <v>11.88230519030259</v>
      </c>
      <c r="P588">
        <f>LN(dataset[[#This Row],[soda_ppu]])</f>
        <v>-0.32975484887368872</v>
      </c>
      <c r="Q588">
        <f>IF(dataset[[#This Row],[state]]="VA",1,0)</f>
        <v>0</v>
      </c>
    </row>
    <row r="589" spans="1:17" x14ac:dyDescent="0.35">
      <c r="A589">
        <v>202312</v>
      </c>
      <c r="B589">
        <v>93</v>
      </c>
      <c r="C589" s="2">
        <v>3691649.3062</v>
      </c>
      <c r="D589" s="2">
        <v>0.68969999999999998</v>
      </c>
      <c r="E589" s="3">
        <v>193895</v>
      </c>
      <c r="F589" s="2">
        <v>133724.16709999999</v>
      </c>
      <c r="G589" t="s">
        <v>1378</v>
      </c>
      <c r="H589" t="s">
        <v>6</v>
      </c>
      <c r="I589">
        <f>HLOOKUP(G589,zip_tiers!$A$1:$EON$2,2,FALSE)</f>
        <v>85215.666666666672</v>
      </c>
      <c r="J589" t="str">
        <f t="shared" si="9"/>
        <v>Med</v>
      </c>
      <c r="K589">
        <f>dataset[[#This Row],[soda_sales]]/dataset[[#This Row],[soda_units_sold]]</f>
        <v>0.68967310709404572</v>
      </c>
      <c r="L589" s="29">
        <f>dataset[[#This Row],[implied_soda_ppu]]-dataset[[#This Row],[soda_ppu]]</f>
        <v>-2.6892905954256641E-5</v>
      </c>
      <c r="M589">
        <f>dataset[[#This Row],[soda_sales]]/dataset[[#This Row],[total_sales]]</f>
        <v>3.6223421026318717E-2</v>
      </c>
      <c r="N589">
        <f>LN(dataset[[#This Row],[soda_units_sold]])</f>
        <v>12.175072054410386</v>
      </c>
      <c r="O589">
        <f>LN(dataset[[#This Row],[soda_sales]])</f>
        <v>11.803534502926137</v>
      </c>
      <c r="P589">
        <f>LN(dataset[[#This Row],[soda_ppu]])</f>
        <v>-0.3714985585448915</v>
      </c>
      <c r="Q589">
        <f>IF(dataset[[#This Row],[state]]="VA",1,0)</f>
        <v>0</v>
      </c>
    </row>
    <row r="590" spans="1:17" x14ac:dyDescent="0.35">
      <c r="A590">
        <v>202401</v>
      </c>
      <c r="B590">
        <v>85</v>
      </c>
      <c r="C590" s="2">
        <v>2139985.5987999998</v>
      </c>
      <c r="D590" s="2">
        <v>0.75029999999999997</v>
      </c>
      <c r="E590" s="3">
        <v>146690</v>
      </c>
      <c r="F590" s="2">
        <v>110059.545</v>
      </c>
      <c r="G590" t="s">
        <v>1378</v>
      </c>
      <c r="H590" t="s">
        <v>6</v>
      </c>
      <c r="I590">
        <f>HLOOKUP(G590,zip_tiers!$A$1:$EON$2,2,FALSE)</f>
        <v>85215.666666666672</v>
      </c>
      <c r="J590" t="str">
        <f t="shared" si="9"/>
        <v>Med</v>
      </c>
      <c r="K590">
        <f>dataset[[#This Row],[soda_sales]]/dataset[[#This Row],[soda_units_sold]]</f>
        <v>0.75028662485513664</v>
      </c>
      <c r="L590" s="29">
        <f>dataset[[#This Row],[implied_soda_ppu]]-dataset[[#This Row],[soda_ppu]]</f>
        <v>-1.3375144863325694E-5</v>
      </c>
      <c r="M590">
        <f>dataset[[#This Row],[soda_sales]]/dataset[[#This Row],[total_sales]]</f>
        <v>5.1430040025370292E-2</v>
      </c>
      <c r="N590">
        <f>LN(dataset[[#This Row],[soda_units_sold]])</f>
        <v>11.896076795481809</v>
      </c>
      <c r="O590">
        <f>LN(dataset[[#This Row],[soda_sales]])</f>
        <v>11.608776816496537</v>
      </c>
      <c r="P590">
        <f>LN(dataset[[#This Row],[soda_ppu]])</f>
        <v>-0.28728215243045402</v>
      </c>
      <c r="Q590">
        <f>IF(dataset[[#This Row],[state]]="VA",1,0)</f>
        <v>0</v>
      </c>
    </row>
    <row r="591" spans="1:17" x14ac:dyDescent="0.35">
      <c r="A591">
        <v>202401</v>
      </c>
      <c r="B591">
        <v>93</v>
      </c>
      <c r="C591" s="2">
        <v>2158276.6475</v>
      </c>
      <c r="D591" s="2">
        <v>0.73470000000000002</v>
      </c>
      <c r="E591" s="3">
        <v>135502</v>
      </c>
      <c r="F591" s="2">
        <v>99550.836200000005</v>
      </c>
      <c r="G591" t="s">
        <v>1378</v>
      </c>
      <c r="H591" t="s">
        <v>6</v>
      </c>
      <c r="I591">
        <f>HLOOKUP(G591,zip_tiers!$A$1:$EON$2,2,FALSE)</f>
        <v>85215.666666666672</v>
      </c>
      <c r="J591" t="str">
        <f t="shared" si="9"/>
        <v>Med</v>
      </c>
      <c r="K591">
        <f>dataset[[#This Row],[soda_sales]]/dataset[[#This Row],[soda_units_sold]]</f>
        <v>0.73468167407123142</v>
      </c>
      <c r="L591" s="29">
        <f>dataset[[#This Row],[implied_soda_ppu]]-dataset[[#This Row],[soda_ppu]]</f>
        <v>-1.8325928768603283E-5</v>
      </c>
      <c r="M591">
        <f>dataset[[#This Row],[soda_sales]]/dataset[[#This Row],[total_sales]]</f>
        <v>4.612515096955383E-2</v>
      </c>
      <c r="N591">
        <f>LN(dataset[[#This Row],[soda_units_sold]])</f>
        <v>11.816741679340565</v>
      </c>
      <c r="O591">
        <f>LN(dataset[[#This Row],[soda_sales]])</f>
        <v>11.50842370925616</v>
      </c>
      <c r="P591">
        <f>LN(dataset[[#This Row],[soda_ppu]])</f>
        <v>-0.30829302635590528</v>
      </c>
      <c r="Q591">
        <f>IF(dataset[[#This Row],[state]]="VA",1,0)</f>
        <v>0</v>
      </c>
    </row>
    <row r="592" spans="1:17" x14ac:dyDescent="0.35">
      <c r="A592">
        <v>202402</v>
      </c>
      <c r="B592">
        <v>85</v>
      </c>
      <c r="C592" s="2">
        <v>2418804.1798999999</v>
      </c>
      <c r="D592" s="2">
        <v>0.71879999999999999</v>
      </c>
      <c r="E592" s="3">
        <v>173516</v>
      </c>
      <c r="F592" s="2">
        <v>124719.41439999999</v>
      </c>
      <c r="G592" t="s">
        <v>1378</v>
      </c>
      <c r="H592" t="s">
        <v>6</v>
      </c>
      <c r="I592">
        <f>HLOOKUP(G592,zip_tiers!$A$1:$EON$2,2,FALSE)</f>
        <v>85215.666666666672</v>
      </c>
      <c r="J592" t="str">
        <f t="shared" si="9"/>
        <v>Med</v>
      </c>
      <c r="K592">
        <f>dataset[[#This Row],[soda_sales]]/dataset[[#This Row],[soda_units_sold]]</f>
        <v>0.71877760206551555</v>
      </c>
      <c r="L592" s="29">
        <f>dataset[[#This Row],[implied_soda_ppu]]-dataset[[#This Row],[soda_ppu]]</f>
        <v>-2.2397934484441606E-5</v>
      </c>
      <c r="M592">
        <f>dataset[[#This Row],[soda_sales]]/dataset[[#This Row],[total_sales]]</f>
        <v>5.15624271846414E-2</v>
      </c>
      <c r="N592">
        <f>LN(dataset[[#This Row],[soda_units_sold]])</f>
        <v>12.064025093137312</v>
      </c>
      <c r="O592">
        <f>LN(dataset[[#This Row],[soda_sales]])</f>
        <v>11.733821808403123</v>
      </c>
      <c r="P592">
        <f>LN(dataset[[#This Row],[soda_ppu]])</f>
        <v>-0.33017212407273311</v>
      </c>
      <c r="Q592">
        <f>IF(dataset[[#This Row],[state]]="VA",1,0)</f>
        <v>0</v>
      </c>
    </row>
    <row r="593" spans="1:17" x14ac:dyDescent="0.35">
      <c r="A593">
        <v>202402</v>
      </c>
      <c r="B593">
        <v>93</v>
      </c>
      <c r="C593" s="2">
        <v>2439748.9622999998</v>
      </c>
      <c r="D593" s="2">
        <v>0.69979999999999998</v>
      </c>
      <c r="E593" s="3">
        <v>157878</v>
      </c>
      <c r="F593" s="2">
        <v>110482.3769</v>
      </c>
      <c r="G593" t="s">
        <v>1378</v>
      </c>
      <c r="H593" t="s">
        <v>6</v>
      </c>
      <c r="I593">
        <f>HLOOKUP(G593,zip_tiers!$A$1:$EON$2,2,FALSE)</f>
        <v>85215.666666666672</v>
      </c>
      <c r="J593" t="str">
        <f t="shared" si="9"/>
        <v>Med</v>
      </c>
      <c r="K593">
        <f>dataset[[#This Row],[soda_sales]]/dataset[[#This Row],[soda_units_sold]]</f>
        <v>0.69979589873193226</v>
      </c>
      <c r="L593" s="29">
        <f>dataset[[#This Row],[implied_soda_ppu]]-dataset[[#This Row],[soda_ppu]]</f>
        <v>-4.1012680677132707E-6</v>
      </c>
      <c r="M593">
        <f>dataset[[#This Row],[soda_sales]]/dataset[[#This Row],[total_sales]]</f>
        <v>4.5284321709822994E-2</v>
      </c>
      <c r="N593">
        <f>LN(dataset[[#This Row],[soda_units_sold]])</f>
        <v>11.969577861847545</v>
      </c>
      <c r="O593">
        <f>LN(dataset[[#This Row],[soda_sales]])</f>
        <v>11.612611302152976</v>
      </c>
      <c r="P593">
        <f>LN(dataset[[#This Row],[soda_ppu]])</f>
        <v>-0.35696069904854943</v>
      </c>
      <c r="Q593">
        <f>IF(dataset[[#This Row],[state]]="VA",1,0)</f>
        <v>0</v>
      </c>
    </row>
    <row r="594" spans="1:17" x14ac:dyDescent="0.35">
      <c r="A594">
        <v>202403</v>
      </c>
      <c r="B594">
        <v>85</v>
      </c>
      <c r="C594" s="2">
        <v>2737487.5232000002</v>
      </c>
      <c r="D594" s="2">
        <v>0.74370000000000003</v>
      </c>
      <c r="E594" s="3">
        <v>199114</v>
      </c>
      <c r="F594" s="2">
        <v>148074.8849</v>
      </c>
      <c r="G594" t="s">
        <v>1378</v>
      </c>
      <c r="H594" t="s">
        <v>6</v>
      </c>
      <c r="I594">
        <f>HLOOKUP(G594,zip_tiers!$A$1:$EON$2,2,FALSE)</f>
        <v>85215.666666666672</v>
      </c>
      <c r="J594" t="str">
        <f t="shared" si="9"/>
        <v>Med</v>
      </c>
      <c r="K594">
        <f>dataset[[#This Row],[soda_sales]]/dataset[[#This Row],[soda_units_sold]]</f>
        <v>0.74366887762789158</v>
      </c>
      <c r="L594" s="29">
        <f>dataset[[#This Row],[implied_soda_ppu]]-dataset[[#This Row],[soda_ppu]]</f>
        <v>-3.1122372108449703E-5</v>
      </c>
      <c r="M594">
        <f>dataset[[#This Row],[soda_sales]]/dataset[[#This Row],[total_sales]]</f>
        <v>5.40915286901133E-2</v>
      </c>
      <c r="N594">
        <f>LN(dataset[[#This Row],[soda_units_sold]])</f>
        <v>12.201632804004111</v>
      </c>
      <c r="O594">
        <f>LN(dataset[[#This Row],[soda_sales]])</f>
        <v>11.905473403836067</v>
      </c>
      <c r="P594">
        <f>LN(dataset[[#This Row],[soda_ppu]])</f>
        <v>-0.29611755127288253</v>
      </c>
      <c r="Q594">
        <f>IF(dataset[[#This Row],[state]]="VA",1,0)</f>
        <v>0</v>
      </c>
    </row>
    <row r="595" spans="1:17" x14ac:dyDescent="0.35">
      <c r="A595">
        <v>202403</v>
      </c>
      <c r="B595">
        <v>93</v>
      </c>
      <c r="C595" s="2">
        <v>2694238.412</v>
      </c>
      <c r="D595" s="2">
        <v>0.73870000000000002</v>
      </c>
      <c r="E595" s="3">
        <v>177696</v>
      </c>
      <c r="F595" s="2">
        <v>131261.50450000001</v>
      </c>
      <c r="G595" t="s">
        <v>1378</v>
      </c>
      <c r="H595" t="s">
        <v>6</v>
      </c>
      <c r="I595">
        <f>HLOOKUP(G595,zip_tiers!$A$1:$EON$2,2,FALSE)</f>
        <v>85215.666666666672</v>
      </c>
      <c r="J595" t="str">
        <f t="shared" si="9"/>
        <v>Med</v>
      </c>
      <c r="K595">
        <f>dataset[[#This Row],[soda_sales]]/dataset[[#This Row],[soda_units_sold]]</f>
        <v>0.73868575826130023</v>
      </c>
      <c r="L595" s="29">
        <f>dataset[[#This Row],[implied_soda_ppu]]-dataset[[#This Row],[soda_ppu]]</f>
        <v>-1.4241738699793949E-5</v>
      </c>
      <c r="M595">
        <f>dataset[[#This Row],[soda_sales]]/dataset[[#This Row],[total_sales]]</f>
        <v>4.8719335273139895E-2</v>
      </c>
      <c r="N595">
        <f>LN(dataset[[#This Row],[soda_units_sold]])</f>
        <v>12.087829504041334</v>
      </c>
      <c r="O595">
        <f>LN(dataset[[#This Row],[soda_sales]])</f>
        <v>11.784946829945875</v>
      </c>
      <c r="P595">
        <f>LN(dataset[[#This Row],[soda_ppu]])</f>
        <v>-0.30286339444744492</v>
      </c>
      <c r="Q595">
        <f>IF(dataset[[#This Row],[state]]="VA",1,0)</f>
        <v>0</v>
      </c>
    </row>
    <row r="596" spans="1:17" x14ac:dyDescent="0.35">
      <c r="A596">
        <v>202404</v>
      </c>
      <c r="B596">
        <v>85</v>
      </c>
      <c r="C596" s="2">
        <v>2863265.2773000002</v>
      </c>
      <c r="D596" s="2">
        <v>0.74139999999999995</v>
      </c>
      <c r="E596" s="3">
        <v>232337</v>
      </c>
      <c r="F596" s="2">
        <v>172263.20929999999</v>
      </c>
      <c r="G596" t="s">
        <v>1378</v>
      </c>
      <c r="H596" t="s">
        <v>6</v>
      </c>
      <c r="I596">
        <f>HLOOKUP(G596,zip_tiers!$A$1:$EON$2,2,FALSE)</f>
        <v>85215.666666666672</v>
      </c>
      <c r="J596" t="str">
        <f t="shared" si="9"/>
        <v>Med</v>
      </c>
      <c r="K596">
        <f>dataset[[#This Row],[soda_sales]]/dataset[[#This Row],[soda_units_sold]]</f>
        <v>0.74143683227380908</v>
      </c>
      <c r="L596" s="29">
        <f>dataset[[#This Row],[implied_soda_ppu]]-dataset[[#This Row],[soda_ppu]]</f>
        <v>3.6832273809128679E-5</v>
      </c>
      <c r="M596">
        <f>dataset[[#This Row],[soda_sales]]/dataset[[#This Row],[total_sales]]</f>
        <v>6.0163202713246544E-2</v>
      </c>
      <c r="N596">
        <f>LN(dataset[[#This Row],[soda_units_sold]])</f>
        <v>12.355944182872543</v>
      </c>
      <c r="O596">
        <f>LN(dataset[[#This Row],[soda_sales]])</f>
        <v>12.056778872728076</v>
      </c>
      <c r="P596">
        <f>LN(dataset[[#This Row],[soda_ppu]])</f>
        <v>-0.29921498826550524</v>
      </c>
      <c r="Q596">
        <f>IF(dataset[[#This Row],[state]]="VA",1,0)</f>
        <v>0</v>
      </c>
    </row>
    <row r="597" spans="1:17" x14ac:dyDescent="0.35">
      <c r="A597">
        <v>202404</v>
      </c>
      <c r="B597">
        <v>93</v>
      </c>
      <c r="C597" s="2">
        <v>2824755.0962999999</v>
      </c>
      <c r="D597" s="2">
        <v>0.73660000000000003</v>
      </c>
      <c r="E597" s="3">
        <v>205130</v>
      </c>
      <c r="F597" s="2">
        <v>151101.99419999999</v>
      </c>
      <c r="G597" t="s">
        <v>1378</v>
      </c>
      <c r="H597" t="s">
        <v>6</v>
      </c>
      <c r="I597">
        <f>HLOOKUP(G597,zip_tiers!$A$1:$EON$2,2,FALSE)</f>
        <v>85215.666666666672</v>
      </c>
      <c r="J597" t="str">
        <f t="shared" si="9"/>
        <v>Med</v>
      </c>
      <c r="K597">
        <f>dataset[[#This Row],[soda_sales]]/dataset[[#This Row],[soda_units_sold]]</f>
        <v>0.73661577633695696</v>
      </c>
      <c r="L597" s="29">
        <f>dataset[[#This Row],[implied_soda_ppu]]-dataset[[#This Row],[soda_ppu]]</f>
        <v>1.5776336956929704E-5</v>
      </c>
      <c r="M597">
        <f>dataset[[#This Row],[soda_sales]]/dataset[[#This Row],[total_sales]]</f>
        <v>5.349206888693489E-2</v>
      </c>
      <c r="N597">
        <f>LN(dataset[[#This Row],[soda_units_sold]])</f>
        <v>12.231399203476183</v>
      </c>
      <c r="O597">
        <f>LN(dataset[[#This Row],[soda_sales]])</f>
        <v>11.925710346055936</v>
      </c>
      <c r="P597">
        <f>LN(dataset[[#This Row],[soda_ppu]])</f>
        <v>-0.30571027497117209</v>
      </c>
      <c r="Q597">
        <f>IF(dataset[[#This Row],[state]]="VA",1,0)</f>
        <v>0</v>
      </c>
    </row>
    <row r="598" spans="1:17" x14ac:dyDescent="0.35">
      <c r="A598">
        <v>202405</v>
      </c>
      <c r="B598">
        <v>85</v>
      </c>
      <c r="C598" s="2">
        <v>3023274.5773999998</v>
      </c>
      <c r="D598" s="2">
        <v>0.72960000000000003</v>
      </c>
      <c r="E598" s="3">
        <v>261754</v>
      </c>
      <c r="F598" s="2">
        <v>190964.41159999999</v>
      </c>
      <c r="G598" t="s">
        <v>1378</v>
      </c>
      <c r="H598" t="s">
        <v>6</v>
      </c>
      <c r="I598">
        <f>HLOOKUP(G598,zip_tiers!$A$1:$EON$2,2,FALSE)</f>
        <v>85215.666666666672</v>
      </c>
      <c r="J598" t="str">
        <f t="shared" si="9"/>
        <v>Med</v>
      </c>
      <c r="K598">
        <f>dataset[[#This Row],[soda_sales]]/dataset[[#This Row],[soda_units_sold]]</f>
        <v>0.72955680371646658</v>
      </c>
      <c r="L598" s="29">
        <f>dataset[[#This Row],[implied_soda_ppu]]-dataset[[#This Row],[soda_ppu]]</f>
        <v>-4.319628353344207E-5</v>
      </c>
      <c r="M598">
        <f>dataset[[#This Row],[soda_sales]]/dataset[[#This Row],[total_sales]]</f>
        <v>6.3164759505313736E-2</v>
      </c>
      <c r="N598">
        <f>LN(dataset[[#This Row],[soda_units_sold]])</f>
        <v>12.475160410373421</v>
      </c>
      <c r="O598">
        <f>LN(dataset[[#This Row],[soda_sales]])</f>
        <v>12.15984236296622</v>
      </c>
      <c r="P598">
        <f>LN(dataset[[#This Row],[soda_ppu]])</f>
        <v>-0.31525884022201539</v>
      </c>
      <c r="Q598">
        <f>IF(dataset[[#This Row],[state]]="VA",1,0)</f>
        <v>0</v>
      </c>
    </row>
    <row r="599" spans="1:17" x14ac:dyDescent="0.35">
      <c r="A599">
        <v>202405</v>
      </c>
      <c r="B599">
        <v>93</v>
      </c>
      <c r="C599" s="2">
        <v>2964292.3890999998</v>
      </c>
      <c r="D599" s="2">
        <v>0.74060000000000004</v>
      </c>
      <c r="E599" s="3">
        <v>227278</v>
      </c>
      <c r="F599" s="2">
        <v>168333.23749999999</v>
      </c>
      <c r="G599" t="s">
        <v>1378</v>
      </c>
      <c r="H599" t="s">
        <v>6</v>
      </c>
      <c r="I599">
        <f>HLOOKUP(G599,zip_tiers!$A$1:$EON$2,2,FALSE)</f>
        <v>85215.666666666672</v>
      </c>
      <c r="J599" t="str">
        <f t="shared" si="9"/>
        <v>Med</v>
      </c>
      <c r="K599">
        <f>dataset[[#This Row],[soda_sales]]/dataset[[#This Row],[soda_units_sold]]</f>
        <v>0.74064906194176294</v>
      </c>
      <c r="L599" s="29">
        <f>dataset[[#This Row],[implied_soda_ppu]]-dataset[[#This Row],[soda_ppu]]</f>
        <v>4.9061941762906791E-5</v>
      </c>
      <c r="M599">
        <f>dataset[[#This Row],[soda_sales]]/dataset[[#This Row],[total_sales]]</f>
        <v>5.6786988395267003E-2</v>
      </c>
      <c r="N599">
        <f>LN(dataset[[#This Row],[soda_units_sold]])</f>
        <v>12.333929216770942</v>
      </c>
      <c r="O599">
        <f>LN(dataset[[#This Row],[soda_sales]])</f>
        <v>12.033700850282294</v>
      </c>
      <c r="P599">
        <f>LN(dataset[[#This Row],[soda_ppu]])</f>
        <v>-0.30029461050262468</v>
      </c>
      <c r="Q599">
        <f>IF(dataset[[#This Row],[state]]="VA",1,0)</f>
        <v>0</v>
      </c>
    </row>
    <row r="600" spans="1:17" x14ac:dyDescent="0.35">
      <c r="A600">
        <v>202406</v>
      </c>
      <c r="B600">
        <v>85</v>
      </c>
      <c r="C600" s="2">
        <v>2859569.5509000001</v>
      </c>
      <c r="D600" s="2">
        <v>0.75780000000000003</v>
      </c>
      <c r="E600" s="3">
        <v>262196</v>
      </c>
      <c r="F600" s="2">
        <v>198695.10399999999</v>
      </c>
      <c r="G600" t="s">
        <v>1378</v>
      </c>
      <c r="H600" t="s">
        <v>6</v>
      </c>
      <c r="I600">
        <f>HLOOKUP(G600,zip_tiers!$A$1:$EON$2,2,FALSE)</f>
        <v>85215.666666666672</v>
      </c>
      <c r="J600" t="str">
        <f t="shared" si="9"/>
        <v>Med</v>
      </c>
      <c r="K600">
        <f>dataset[[#This Row],[soda_sales]]/dataset[[#This Row],[soda_units_sold]]</f>
        <v>0.75781134723641852</v>
      </c>
      <c r="L600" s="29">
        <f>dataset[[#This Row],[implied_soda_ppu]]-dataset[[#This Row],[soda_ppu]]</f>
        <v>1.134723641849078E-5</v>
      </c>
      <c r="M600">
        <f>dataset[[#This Row],[soda_sales]]/dataset[[#This Row],[total_sales]]</f>
        <v>6.948427043415123E-2</v>
      </c>
      <c r="N600">
        <f>LN(dataset[[#This Row],[soda_units_sold]])</f>
        <v>12.476847594665241</v>
      </c>
      <c r="O600">
        <f>LN(dataset[[#This Row],[soda_sales]])</f>
        <v>12.199526788075287</v>
      </c>
      <c r="P600">
        <f>LN(dataset[[#This Row],[soda_ppu]])</f>
        <v>-0.27733578039763657</v>
      </c>
      <c r="Q600">
        <f>IF(dataset[[#This Row],[state]]="VA",1,0)</f>
        <v>0</v>
      </c>
    </row>
    <row r="601" spans="1:17" x14ac:dyDescent="0.35">
      <c r="A601">
        <v>202406</v>
      </c>
      <c r="B601">
        <v>93</v>
      </c>
      <c r="C601" s="2">
        <v>2849306.0803</v>
      </c>
      <c r="D601" s="2">
        <v>0.72030000000000005</v>
      </c>
      <c r="E601" s="3">
        <v>240844</v>
      </c>
      <c r="F601" s="2">
        <v>173485.0508</v>
      </c>
      <c r="G601" t="s">
        <v>1378</v>
      </c>
      <c r="H601" t="s">
        <v>6</v>
      </c>
      <c r="I601">
        <f>HLOOKUP(G601,zip_tiers!$A$1:$EON$2,2,FALSE)</f>
        <v>85215.666666666672</v>
      </c>
      <c r="J601" t="str">
        <f t="shared" si="9"/>
        <v>Med</v>
      </c>
      <c r="K601">
        <f>dataset[[#This Row],[soda_sales]]/dataset[[#This Row],[soda_units_sold]]</f>
        <v>0.72032124860905811</v>
      </c>
      <c r="L601" s="29">
        <f>dataset[[#This Row],[implied_soda_ppu]]-dataset[[#This Row],[soda_ppu]]</f>
        <v>2.1248609058055479E-5</v>
      </c>
      <c r="M601">
        <f>dataset[[#This Row],[soda_sales]]/dataset[[#This Row],[total_sales]]</f>
        <v>6.0886772396784403E-2</v>
      </c>
      <c r="N601">
        <f>LN(dataset[[#This Row],[soda_units_sold]])</f>
        <v>12.391904699977252</v>
      </c>
      <c r="O601">
        <f>LN(dataset[[#This Row],[soda_sales]])</f>
        <v>12.063846712120823</v>
      </c>
      <c r="P601">
        <f>LN(dataset[[#This Row],[soda_ppu]])</f>
        <v>-0.32808748708681973</v>
      </c>
      <c r="Q601">
        <f>IF(dataset[[#This Row],[state]]="VA",1,0)</f>
        <v>0</v>
      </c>
    </row>
    <row r="602" spans="1:17" x14ac:dyDescent="0.35">
      <c r="A602">
        <v>202407</v>
      </c>
      <c r="B602">
        <v>85</v>
      </c>
      <c r="C602" s="2">
        <v>2762555.5734000001</v>
      </c>
      <c r="D602" s="2">
        <v>0.75680000000000003</v>
      </c>
      <c r="E602" s="3">
        <v>267213</v>
      </c>
      <c r="F602" s="2">
        <v>202213.82550000001</v>
      </c>
      <c r="G602" t="s">
        <v>1378</v>
      </c>
      <c r="H602" t="s">
        <v>6</v>
      </c>
      <c r="I602">
        <f>HLOOKUP(G602,zip_tiers!$A$1:$EON$2,2,FALSE)</f>
        <v>85215.666666666672</v>
      </c>
      <c r="J602" t="str">
        <f t="shared" si="9"/>
        <v>Med</v>
      </c>
      <c r="K602">
        <f>dataset[[#This Row],[soda_sales]]/dataset[[#This Row],[soda_units_sold]]</f>
        <v>0.7567514510895802</v>
      </c>
      <c r="L602" s="29">
        <f>dataset[[#This Row],[implied_soda_ppu]]-dataset[[#This Row],[soda_ppu]]</f>
        <v>-4.8548910419832225E-5</v>
      </c>
      <c r="M602">
        <f>dataset[[#This Row],[soda_sales]]/dataset[[#This Row],[total_sales]]</f>
        <v>7.319810231043658E-2</v>
      </c>
      <c r="N602">
        <f>LN(dataset[[#This Row],[soda_units_sold]])</f>
        <v>12.495801372155734</v>
      </c>
      <c r="O602">
        <f>LN(dataset[[#This Row],[soda_sales]])</f>
        <v>12.217080958601938</v>
      </c>
      <c r="P602">
        <f>LN(dataset[[#This Row],[soda_ppu]])</f>
        <v>-0.27865626124446852</v>
      </c>
      <c r="Q602">
        <f>IF(dataset[[#This Row],[state]]="VA",1,0)</f>
        <v>0</v>
      </c>
    </row>
    <row r="603" spans="1:17" x14ac:dyDescent="0.35">
      <c r="A603">
        <v>202407</v>
      </c>
      <c r="B603">
        <v>93</v>
      </c>
      <c r="C603" s="2">
        <v>2734226.4682</v>
      </c>
      <c r="D603" s="2">
        <v>0.72219999999999995</v>
      </c>
      <c r="E603" s="3">
        <v>250959</v>
      </c>
      <c r="F603" s="2">
        <v>181232.7175</v>
      </c>
      <c r="G603" t="s">
        <v>1378</v>
      </c>
      <c r="H603" t="s">
        <v>6</v>
      </c>
      <c r="I603">
        <f>HLOOKUP(G603,zip_tiers!$A$1:$EON$2,2,FALSE)</f>
        <v>85215.666666666672</v>
      </c>
      <c r="J603" t="str">
        <f t="shared" si="9"/>
        <v>Med</v>
      </c>
      <c r="K603">
        <f>dataset[[#This Row],[soda_sales]]/dataset[[#This Row],[soda_units_sold]]</f>
        <v>0.72216066170171223</v>
      </c>
      <c r="L603" s="29">
        <f>dataset[[#This Row],[implied_soda_ppu]]-dataset[[#This Row],[soda_ppu]]</f>
        <v>-3.9338298287727724E-5</v>
      </c>
      <c r="M603">
        <f>dataset[[#This Row],[soda_sales]]/dataset[[#This Row],[total_sales]]</f>
        <v>6.6282994334156006E-2</v>
      </c>
      <c r="N603">
        <f>LN(dataset[[#This Row],[soda_units_sold]])</f>
        <v>12.433044858157864</v>
      </c>
      <c r="O603">
        <f>LN(dataset[[#This Row],[soda_sales]])</f>
        <v>12.107537216446518</v>
      </c>
      <c r="P603">
        <f>LN(dataset[[#This Row],[soda_ppu]])</f>
        <v>-0.32545317013877972</v>
      </c>
      <c r="Q603">
        <f>IF(dataset[[#This Row],[state]]="VA",1,0)</f>
        <v>0</v>
      </c>
    </row>
    <row r="604" spans="1:17" x14ac:dyDescent="0.35">
      <c r="A604">
        <v>202408</v>
      </c>
      <c r="B604">
        <v>85</v>
      </c>
      <c r="C604" s="2">
        <v>2577717.9495999999</v>
      </c>
      <c r="D604" s="2">
        <v>0.73270000000000002</v>
      </c>
      <c r="E604" s="3">
        <v>243902</v>
      </c>
      <c r="F604" s="2">
        <v>178710.64780000001</v>
      </c>
      <c r="G604" t="s">
        <v>1378</v>
      </c>
      <c r="H604" t="s">
        <v>6</v>
      </c>
      <c r="I604">
        <f>HLOOKUP(G604,zip_tiers!$A$1:$EON$2,2,FALSE)</f>
        <v>85215.666666666672</v>
      </c>
      <c r="J604" t="str">
        <f t="shared" si="9"/>
        <v>Med</v>
      </c>
      <c r="K604">
        <f>dataset[[#This Row],[soda_sales]]/dataset[[#This Row],[soda_units_sold]]</f>
        <v>0.7327149748669548</v>
      </c>
      <c r="L604" s="29">
        <f>dataset[[#This Row],[implied_soda_ppu]]-dataset[[#This Row],[soda_ppu]]</f>
        <v>1.497486695478667E-5</v>
      </c>
      <c r="M604">
        <f>dataset[[#This Row],[soda_sales]]/dataset[[#This Row],[total_sales]]</f>
        <v>6.9329015545603667E-2</v>
      </c>
      <c r="N604">
        <f>LN(dataset[[#This Row],[soda_units_sold]])</f>
        <v>12.404521784252392</v>
      </c>
      <c r="O604">
        <f>LN(dataset[[#This Row],[soda_sales]])</f>
        <v>12.093523284151376</v>
      </c>
      <c r="P604">
        <f>LN(dataset[[#This Row],[soda_ppu]])</f>
        <v>-0.31101893781621887</v>
      </c>
      <c r="Q604">
        <f>IF(dataset[[#This Row],[state]]="VA",1,0)</f>
        <v>0</v>
      </c>
    </row>
    <row r="605" spans="1:17" x14ac:dyDescent="0.35">
      <c r="A605">
        <v>202408</v>
      </c>
      <c r="B605">
        <v>93</v>
      </c>
      <c r="C605" s="2">
        <v>2620426.9130000002</v>
      </c>
      <c r="D605" s="2">
        <v>0.74309999999999998</v>
      </c>
      <c r="E605" s="3">
        <v>218377</v>
      </c>
      <c r="F605" s="2">
        <v>162285.67290000001</v>
      </c>
      <c r="G605" t="s">
        <v>1378</v>
      </c>
      <c r="H605" t="s">
        <v>6</v>
      </c>
      <c r="I605">
        <f>HLOOKUP(G605,zip_tiers!$A$1:$EON$2,2,FALSE)</f>
        <v>85215.666666666672</v>
      </c>
      <c r="J605" t="str">
        <f t="shared" si="9"/>
        <v>Med</v>
      </c>
      <c r="K605">
        <f>dataset[[#This Row],[soda_sales]]/dataset[[#This Row],[soda_units_sold]]</f>
        <v>0.74314452941472775</v>
      </c>
      <c r="L605" s="29">
        <f>dataset[[#This Row],[implied_soda_ppu]]-dataset[[#This Row],[soda_ppu]]</f>
        <v>4.4529414727767502E-5</v>
      </c>
      <c r="M605">
        <f>dataset[[#This Row],[soda_sales]]/dataset[[#This Row],[total_sales]]</f>
        <v>6.193100524761707E-2</v>
      </c>
      <c r="N605">
        <f>LN(dataset[[#This Row],[soda_units_sold]])</f>
        <v>12.293978205951946</v>
      </c>
      <c r="O605">
        <f>LN(dataset[[#This Row],[soda_sales]])</f>
        <v>11.997113474190282</v>
      </c>
      <c r="P605">
        <f>LN(dataset[[#This Row],[soda_ppu]])</f>
        <v>-0.29692465381871352</v>
      </c>
      <c r="Q605">
        <f>IF(dataset[[#This Row],[state]]="VA",1,0)</f>
        <v>0</v>
      </c>
    </row>
    <row r="606" spans="1:17" x14ac:dyDescent="0.35">
      <c r="A606">
        <v>202409</v>
      </c>
      <c r="B606">
        <v>85</v>
      </c>
      <c r="C606" s="2">
        <v>2596774.2319999998</v>
      </c>
      <c r="D606" s="2">
        <v>0.75580000000000003</v>
      </c>
      <c r="E606" s="3">
        <v>226295</v>
      </c>
      <c r="F606" s="2">
        <v>171033.2493</v>
      </c>
      <c r="G606" t="s">
        <v>1378</v>
      </c>
      <c r="H606" t="s">
        <v>6</v>
      </c>
      <c r="I606">
        <f>HLOOKUP(G606,zip_tiers!$A$1:$EON$2,2,FALSE)</f>
        <v>85215.666666666672</v>
      </c>
      <c r="J606" t="str">
        <f t="shared" si="9"/>
        <v>Med</v>
      </c>
      <c r="K606">
        <f>dataset[[#This Row],[soda_sales]]/dataset[[#This Row],[soda_units_sold]]</f>
        <v>0.7557977387922844</v>
      </c>
      <c r="L606" s="29">
        <f>dataset[[#This Row],[implied_soda_ppu]]-dataset[[#This Row],[soda_ppu]]</f>
        <v>-2.2612077156258792E-6</v>
      </c>
      <c r="M606">
        <f>dataset[[#This Row],[soda_sales]]/dataset[[#This Row],[total_sales]]</f>
        <v>6.5863734780005317E-2</v>
      </c>
      <c r="N606">
        <f>LN(dataset[[#This Row],[soda_units_sold]])</f>
        <v>12.329594736812803</v>
      </c>
      <c r="O606">
        <f>LN(dataset[[#This Row],[soda_sales]])</f>
        <v>12.049613256934599</v>
      </c>
      <c r="P606">
        <f>LN(dataset[[#This Row],[soda_ppu]])</f>
        <v>-0.27997848806674841</v>
      </c>
      <c r="Q606">
        <f>IF(dataset[[#This Row],[state]]="VA",1,0)</f>
        <v>0</v>
      </c>
    </row>
    <row r="607" spans="1:17" x14ac:dyDescent="0.35">
      <c r="A607">
        <v>202409</v>
      </c>
      <c r="B607">
        <v>93</v>
      </c>
      <c r="C607" s="2">
        <v>2590582.1162</v>
      </c>
      <c r="D607" s="2">
        <v>0.7369</v>
      </c>
      <c r="E607" s="3">
        <v>209011</v>
      </c>
      <c r="F607" s="2">
        <v>154017.40270000001</v>
      </c>
      <c r="G607" t="s">
        <v>1378</v>
      </c>
      <c r="H607" t="s">
        <v>6</v>
      </c>
      <c r="I607">
        <f>HLOOKUP(G607,zip_tiers!$A$1:$EON$2,2,FALSE)</f>
        <v>85215.666666666672</v>
      </c>
      <c r="J607" t="str">
        <f t="shared" si="9"/>
        <v>Med</v>
      </c>
      <c r="K607">
        <f>dataset[[#This Row],[soda_sales]]/dataset[[#This Row],[soda_units_sold]]</f>
        <v>0.73688658826568942</v>
      </c>
      <c r="L607" s="29">
        <f>dataset[[#This Row],[implied_soda_ppu]]-dataset[[#This Row],[soda_ppu]]</f>
        <v>-1.3411734310575518E-5</v>
      </c>
      <c r="M607">
        <f>dataset[[#This Row],[soda_sales]]/dataset[[#This Row],[total_sales]]</f>
        <v>5.9452816313702E-2</v>
      </c>
      <c r="N607">
        <f>LN(dataset[[#This Row],[soda_units_sold]])</f>
        <v>12.250142161140902</v>
      </c>
      <c r="O607">
        <f>LN(dataset[[#This Row],[soda_sales]])</f>
        <v>11.944820879556689</v>
      </c>
      <c r="P607">
        <f>LN(dataset[[#This Row],[soda_ppu]])</f>
        <v>-0.30530308120918342</v>
      </c>
      <c r="Q607">
        <f>IF(dataset[[#This Row],[state]]="VA",1,0)</f>
        <v>0</v>
      </c>
    </row>
    <row r="608" spans="1:17" x14ac:dyDescent="0.35">
      <c r="A608">
        <v>202410</v>
      </c>
      <c r="B608">
        <v>85</v>
      </c>
      <c r="C608" s="2">
        <v>3203296.3635</v>
      </c>
      <c r="D608" s="2">
        <v>0.74419999999999997</v>
      </c>
      <c r="E608" s="3">
        <v>224250</v>
      </c>
      <c r="F608" s="2">
        <v>166887.97010000001</v>
      </c>
      <c r="G608" t="s">
        <v>1378</v>
      </c>
      <c r="H608" t="s">
        <v>6</v>
      </c>
      <c r="I608">
        <f>HLOOKUP(G608,zip_tiers!$A$1:$EON$2,2,FALSE)</f>
        <v>85215.666666666672</v>
      </c>
      <c r="J608" t="str">
        <f t="shared" si="9"/>
        <v>Med</v>
      </c>
      <c r="K608">
        <f>dataset[[#This Row],[soda_sales]]/dataset[[#This Row],[soda_units_sold]]</f>
        <v>0.74420499487179492</v>
      </c>
      <c r="L608" s="29">
        <f>dataset[[#This Row],[implied_soda_ppu]]-dataset[[#This Row],[soda_ppu]]</f>
        <v>4.994871794949951E-6</v>
      </c>
      <c r="M608">
        <f>dataset[[#This Row],[soda_sales]]/dataset[[#This Row],[total_sales]]</f>
        <v>5.2098822950510305E-2</v>
      </c>
      <c r="N608">
        <f>LN(dataset[[#This Row],[soda_units_sold]])</f>
        <v>12.320516779921043</v>
      </c>
      <c r="O608">
        <f>LN(dataset[[#This Row],[soda_sales]])</f>
        <v>12.025078028562033</v>
      </c>
      <c r="P608">
        <f>LN(dataset[[#This Row],[soda_ppu]])</f>
        <v>-0.29544546306961494</v>
      </c>
      <c r="Q608">
        <f>IF(dataset[[#This Row],[state]]="VA",1,0)</f>
        <v>0</v>
      </c>
    </row>
    <row r="609" spans="1:17" x14ac:dyDescent="0.35">
      <c r="A609">
        <v>202410</v>
      </c>
      <c r="B609">
        <v>93</v>
      </c>
      <c r="C609" s="2">
        <v>3173970.6296000001</v>
      </c>
      <c r="D609" s="2">
        <v>0.76629999999999998</v>
      </c>
      <c r="E609" s="3">
        <v>189434</v>
      </c>
      <c r="F609" s="2">
        <v>145156.62289999999</v>
      </c>
      <c r="G609" t="s">
        <v>1378</v>
      </c>
      <c r="H609" t="s">
        <v>6</v>
      </c>
      <c r="I609">
        <f>HLOOKUP(G609,zip_tiers!$A$1:$EON$2,2,FALSE)</f>
        <v>85215.666666666672</v>
      </c>
      <c r="J609" t="str">
        <f t="shared" si="9"/>
        <v>Med</v>
      </c>
      <c r="K609">
        <f>dataset[[#This Row],[soda_sales]]/dataset[[#This Row],[soda_units_sold]]</f>
        <v>0.76626488856277108</v>
      </c>
      <c r="L609" s="29">
        <f>dataset[[#This Row],[implied_soda_ppu]]-dataset[[#This Row],[soda_ppu]]</f>
        <v>-3.5111437228896314E-5</v>
      </c>
      <c r="M609">
        <f>dataset[[#This Row],[soda_sales]]/dataset[[#This Row],[total_sales]]</f>
        <v>4.5733448679798706E-2</v>
      </c>
      <c r="N609">
        <f>LN(dataset[[#This Row],[soda_units_sold]])</f>
        <v>12.151795957878903</v>
      </c>
      <c r="O609">
        <f>LN(dataset[[#This Row],[soda_sales]])</f>
        <v>11.885568596382916</v>
      </c>
      <c r="P609">
        <f>LN(dataset[[#This Row],[soda_ppu]])</f>
        <v>-0.26618154100577845</v>
      </c>
      <c r="Q609">
        <f>IF(dataset[[#This Row],[state]]="VA",1,0)</f>
        <v>0</v>
      </c>
    </row>
    <row r="610" spans="1:17" x14ac:dyDescent="0.35">
      <c r="A610">
        <v>202411</v>
      </c>
      <c r="B610">
        <v>85</v>
      </c>
      <c r="C610" s="2">
        <v>3595421.7480000001</v>
      </c>
      <c r="D610" s="2">
        <v>0.75260000000000005</v>
      </c>
      <c r="E610" s="3">
        <v>202320</v>
      </c>
      <c r="F610" s="2">
        <v>152263.04639999999</v>
      </c>
      <c r="G610" t="s">
        <v>1378</v>
      </c>
      <c r="H610" t="s">
        <v>6</v>
      </c>
      <c r="I610">
        <f>HLOOKUP(G610,zip_tiers!$A$1:$EON$2,2,FALSE)</f>
        <v>85215.666666666672</v>
      </c>
      <c r="J610" t="str">
        <f t="shared" si="9"/>
        <v>Med</v>
      </c>
      <c r="K610">
        <f>dataset[[#This Row],[soda_sales]]/dataset[[#This Row],[soda_units_sold]]</f>
        <v>0.75258524317912212</v>
      </c>
      <c r="L610" s="29">
        <f>dataset[[#This Row],[implied_soda_ppu]]-dataset[[#This Row],[soda_ppu]]</f>
        <v>-1.4756820877925847E-5</v>
      </c>
      <c r="M610">
        <f>dataset[[#This Row],[soda_sales]]/dataset[[#This Row],[total_sales]]</f>
        <v>4.234914763051046E-2</v>
      </c>
      <c r="N610">
        <f>LN(dataset[[#This Row],[soda_units_sold]])</f>
        <v>12.217605881343847</v>
      </c>
      <c r="O610">
        <f>LN(dataset[[#This Row],[soda_sales]])</f>
        <v>11.933364872541304</v>
      </c>
      <c r="P610">
        <f>LN(dataset[[#This Row],[soda_ppu]])</f>
        <v>-0.28422140082280012</v>
      </c>
      <c r="Q610">
        <f>IF(dataset[[#This Row],[state]]="VA",1,0)</f>
        <v>0</v>
      </c>
    </row>
    <row r="611" spans="1:17" x14ac:dyDescent="0.35">
      <c r="A611">
        <v>202411</v>
      </c>
      <c r="B611">
        <v>93</v>
      </c>
      <c r="C611" s="2">
        <v>3536838.4482</v>
      </c>
      <c r="D611" s="2">
        <v>0.75990000000000002</v>
      </c>
      <c r="E611" s="3">
        <v>179422</v>
      </c>
      <c r="F611" s="2">
        <v>136346.71100000001</v>
      </c>
      <c r="G611" t="s">
        <v>1378</v>
      </c>
      <c r="H611" t="s">
        <v>6</v>
      </c>
      <c r="I611">
        <f>HLOOKUP(G611,zip_tiers!$A$1:$EON$2,2,FALSE)</f>
        <v>85215.666666666672</v>
      </c>
      <c r="J611" t="str">
        <f t="shared" si="9"/>
        <v>Med</v>
      </c>
      <c r="K611">
        <f>dataset[[#This Row],[soda_sales]]/dataset[[#This Row],[soda_units_sold]]</f>
        <v>0.75992192150349458</v>
      </c>
      <c r="L611" s="29">
        <f>dataset[[#This Row],[implied_soda_ppu]]-dataset[[#This Row],[soda_ppu]]</f>
        <v>2.192150349455968E-5</v>
      </c>
      <c r="M611">
        <f>dataset[[#This Row],[soda_sales]]/dataset[[#This Row],[total_sales]]</f>
        <v>3.8550449220939344E-2</v>
      </c>
      <c r="N611">
        <f>LN(dataset[[#This Row],[soda_units_sold]])</f>
        <v>12.097495852080463</v>
      </c>
      <c r="O611">
        <f>LN(dataset[[#This Row],[soda_sales]])</f>
        <v>11.822956266237293</v>
      </c>
      <c r="P611">
        <f>LN(dataset[[#This Row],[soda_ppu]])</f>
        <v>-0.2745684333063978</v>
      </c>
      <c r="Q611">
        <f>IF(dataset[[#This Row],[state]]="VA",1,0)</f>
        <v>0</v>
      </c>
    </row>
    <row r="612" spans="1:17" x14ac:dyDescent="0.35">
      <c r="A612">
        <v>202412</v>
      </c>
      <c r="B612">
        <v>85</v>
      </c>
      <c r="C612" s="2">
        <v>3758565.8763000001</v>
      </c>
      <c r="D612" s="2">
        <v>0.7399</v>
      </c>
      <c r="E612" s="3">
        <v>204597</v>
      </c>
      <c r="F612" s="2">
        <v>151377.66440000001</v>
      </c>
      <c r="G612" t="s">
        <v>1378</v>
      </c>
      <c r="H612" t="s">
        <v>6</v>
      </c>
      <c r="I612">
        <f>HLOOKUP(G612,zip_tiers!$A$1:$EON$2,2,FALSE)</f>
        <v>85215.666666666672</v>
      </c>
      <c r="J612" t="str">
        <f t="shared" si="9"/>
        <v>Med</v>
      </c>
      <c r="K612">
        <f>dataset[[#This Row],[soda_sales]]/dataset[[#This Row],[soda_units_sold]]</f>
        <v>0.73988213121404522</v>
      </c>
      <c r="L612" s="29">
        <f>dataset[[#This Row],[implied_soda_ppu]]-dataset[[#This Row],[soda_ppu]]</f>
        <v>-1.7868785954777699E-5</v>
      </c>
      <c r="M612">
        <f>dataset[[#This Row],[soda_sales]]/dataset[[#This Row],[total_sales]]</f>
        <v>4.0275378796611354E-2</v>
      </c>
      <c r="N612">
        <f>LN(dataset[[#This Row],[soda_units_sold]])</f>
        <v>12.228797469635566</v>
      </c>
      <c r="O612">
        <f>LN(dataset[[#This Row],[soda_sales]])</f>
        <v>11.927533082021714</v>
      </c>
      <c r="P612">
        <f>LN(dataset[[#This Row],[soda_ppu]])</f>
        <v>-0.3012402370506318</v>
      </c>
      <c r="Q612">
        <f>IF(dataset[[#This Row],[state]]="VA",1,0)</f>
        <v>0</v>
      </c>
    </row>
    <row r="613" spans="1:17" x14ac:dyDescent="0.35">
      <c r="A613">
        <v>202412</v>
      </c>
      <c r="B613">
        <v>93</v>
      </c>
      <c r="C613" s="2">
        <v>3802044.7168999999</v>
      </c>
      <c r="D613" s="2">
        <v>0.76849999999999996</v>
      </c>
      <c r="E613" s="3">
        <v>176135</v>
      </c>
      <c r="F613" s="2">
        <v>135362.01360000001</v>
      </c>
      <c r="G613" t="s">
        <v>1378</v>
      </c>
      <c r="H613" t="s">
        <v>6</v>
      </c>
      <c r="I613">
        <f>HLOOKUP(G613,zip_tiers!$A$1:$EON$2,2,FALSE)</f>
        <v>85215.666666666672</v>
      </c>
      <c r="J613" t="str">
        <f t="shared" si="9"/>
        <v>Med</v>
      </c>
      <c r="K613">
        <f>dataset[[#This Row],[soda_sales]]/dataset[[#This Row],[soda_units_sold]]</f>
        <v>0.76851286569960542</v>
      </c>
      <c r="L613" s="29">
        <f>dataset[[#This Row],[implied_soda_ppu]]-dataset[[#This Row],[soda_ppu]]</f>
        <v>1.2865699605457692E-5</v>
      </c>
      <c r="M613">
        <f>dataset[[#This Row],[soda_sales]]/dataset[[#This Row],[total_sales]]</f>
        <v>3.5602425452367518E-2</v>
      </c>
      <c r="N613">
        <f>LN(dataset[[#This Row],[soda_units_sold]])</f>
        <v>12.079006025445816</v>
      </c>
      <c r="O613">
        <f>LN(dataset[[#This Row],[soda_sales]])</f>
        <v>11.81570805061593</v>
      </c>
      <c r="P613">
        <f>LN(dataset[[#This Row],[soda_ppu]])</f>
        <v>-0.26331471600348655</v>
      </c>
      <c r="Q613">
        <f>IF(dataset[[#This Row],[state]]="VA",1,0)</f>
        <v>0</v>
      </c>
    </row>
    <row r="614" spans="1:17" x14ac:dyDescent="0.35">
      <c r="A614">
        <v>202201</v>
      </c>
      <c r="B614">
        <v>64</v>
      </c>
      <c r="C614" s="2">
        <v>1603264.6817999999</v>
      </c>
      <c r="D614" s="2">
        <v>0.71120000000000005</v>
      </c>
      <c r="E614" s="3">
        <v>135420</v>
      </c>
      <c r="F614" s="2">
        <v>96307.958799999993</v>
      </c>
      <c r="G614" t="s">
        <v>1381</v>
      </c>
      <c r="H614" t="s">
        <v>6</v>
      </c>
      <c r="I614">
        <f>HLOOKUP(G614,zip_tiers!$A$1:$EON$2,2,FALSE)</f>
        <v>51362.666666666664</v>
      </c>
      <c r="J614" t="str">
        <f t="shared" si="9"/>
        <v>Med</v>
      </c>
      <c r="K614">
        <f>dataset[[#This Row],[soda_sales]]/dataset[[#This Row],[soda_units_sold]]</f>
        <v>0.71117972825284292</v>
      </c>
      <c r="L614" s="29">
        <f>dataset[[#This Row],[implied_soda_ppu]]-dataset[[#This Row],[soda_ppu]]</f>
        <v>-2.0271747157130093E-5</v>
      </c>
      <c r="M614">
        <f>dataset[[#This Row],[soda_sales]]/dataset[[#This Row],[total_sales]]</f>
        <v>6.0069906044380748E-2</v>
      </c>
      <c r="N614">
        <f>LN(dataset[[#This Row],[soda_units_sold]])</f>
        <v>11.816136339039636</v>
      </c>
      <c r="O614">
        <f>LN(dataset[[#This Row],[soda_sales]])</f>
        <v>11.475306240269468</v>
      </c>
      <c r="P614">
        <f>LN(dataset[[#This Row],[soda_ppu]])</f>
        <v>-0.34080159478244215</v>
      </c>
      <c r="Q614">
        <f>IF(dataset[[#This Row],[state]]="VA",1,0)</f>
        <v>0</v>
      </c>
    </row>
    <row r="615" spans="1:17" x14ac:dyDescent="0.35">
      <c r="A615">
        <v>202202</v>
      </c>
      <c r="B615">
        <v>64</v>
      </c>
      <c r="C615" s="2">
        <v>1886831.4206999999</v>
      </c>
      <c r="D615" s="2">
        <v>0.71840000000000004</v>
      </c>
      <c r="E615" s="3">
        <v>157254</v>
      </c>
      <c r="F615" s="2">
        <v>112977.04519999999</v>
      </c>
      <c r="G615" t="s">
        <v>1381</v>
      </c>
      <c r="H615" t="s">
        <v>6</v>
      </c>
      <c r="I615">
        <f>HLOOKUP(G615,zip_tiers!$A$1:$EON$2,2,FALSE)</f>
        <v>51362.666666666664</v>
      </c>
      <c r="J615" t="str">
        <f t="shared" si="9"/>
        <v>Med</v>
      </c>
      <c r="K615">
        <f>dataset[[#This Row],[soda_sales]]/dataset[[#This Row],[soda_units_sold]]</f>
        <v>0.71843670240502622</v>
      </c>
      <c r="L615" s="29">
        <f>dataset[[#This Row],[implied_soda_ppu]]-dataset[[#This Row],[soda_ppu]]</f>
        <v>3.670240502617883E-5</v>
      </c>
      <c r="M615">
        <f>dataset[[#This Row],[soda_sales]]/dataset[[#This Row],[total_sales]]</f>
        <v>5.9876597326371836E-2</v>
      </c>
      <c r="N615">
        <f>LN(dataset[[#This Row],[soda_units_sold]])</f>
        <v>11.965617611441075</v>
      </c>
      <c r="O615">
        <f>LN(dataset[[#This Row],[soda_sales]])</f>
        <v>11.63493993723578</v>
      </c>
      <c r="P615">
        <f>LN(dataset[[#This Row],[soda_ppu]])</f>
        <v>-0.33072876199414714</v>
      </c>
      <c r="Q615">
        <f>IF(dataset[[#This Row],[state]]="VA",1,0)</f>
        <v>0</v>
      </c>
    </row>
    <row r="616" spans="1:17" x14ac:dyDescent="0.35">
      <c r="A616">
        <v>202203</v>
      </c>
      <c r="B616">
        <v>64</v>
      </c>
      <c r="C616" s="2">
        <v>2109151.3341999999</v>
      </c>
      <c r="D616" s="2">
        <v>0.70679999999999998</v>
      </c>
      <c r="E616" s="3">
        <v>186870</v>
      </c>
      <c r="F616" s="2">
        <v>132073.24249999999</v>
      </c>
      <c r="G616" t="s">
        <v>1381</v>
      </c>
      <c r="H616" t="s">
        <v>6</v>
      </c>
      <c r="I616">
        <f>HLOOKUP(G616,zip_tiers!$A$1:$EON$2,2,FALSE)</f>
        <v>51362.666666666664</v>
      </c>
      <c r="J616" t="str">
        <f t="shared" si="9"/>
        <v>Med</v>
      </c>
      <c r="K616">
        <f>dataset[[#This Row],[soda_sales]]/dataset[[#This Row],[soda_units_sold]]</f>
        <v>0.70676535827045539</v>
      </c>
      <c r="L616" s="29">
        <f>dataset[[#This Row],[implied_soda_ppu]]-dataset[[#This Row],[soda_ppu]]</f>
        <v>-3.4641729544593325E-5</v>
      </c>
      <c r="M616">
        <f>dataset[[#This Row],[soda_sales]]/dataset[[#This Row],[total_sales]]</f>
        <v>6.2619139915863514E-2</v>
      </c>
      <c r="N616">
        <f>LN(dataset[[#This Row],[soda_units_sold]])</f>
        <v>12.138168466916301</v>
      </c>
      <c r="O616">
        <f>LN(dataset[[#This Row],[soda_sales]])</f>
        <v>11.791111915110742</v>
      </c>
      <c r="P616">
        <f>LN(dataset[[#This Row],[soda_ppu]])</f>
        <v>-0.34700753853659572</v>
      </c>
      <c r="Q616">
        <f>IF(dataset[[#This Row],[state]]="VA",1,0)</f>
        <v>0</v>
      </c>
    </row>
    <row r="617" spans="1:17" x14ac:dyDescent="0.35">
      <c r="A617">
        <v>202204</v>
      </c>
      <c r="B617">
        <v>64</v>
      </c>
      <c r="C617" s="2">
        <v>2172174.9635000001</v>
      </c>
      <c r="D617" s="2">
        <v>0.70220000000000005</v>
      </c>
      <c r="E617" s="3">
        <v>219718</v>
      </c>
      <c r="F617" s="2">
        <v>154293.65090000001</v>
      </c>
      <c r="G617" t="s">
        <v>1381</v>
      </c>
      <c r="H617" t="s">
        <v>6</v>
      </c>
      <c r="I617">
        <f>HLOOKUP(G617,zip_tiers!$A$1:$EON$2,2,FALSE)</f>
        <v>51362.666666666664</v>
      </c>
      <c r="J617" t="str">
        <f t="shared" si="9"/>
        <v>Med</v>
      </c>
      <c r="K617">
        <f>dataset[[#This Row],[soda_sales]]/dataset[[#This Row],[soda_units_sold]]</f>
        <v>0.70223491429923812</v>
      </c>
      <c r="L617" s="29">
        <f>dataset[[#This Row],[implied_soda_ppu]]-dataset[[#This Row],[soda_ppu]]</f>
        <v>3.4914299238075763E-5</v>
      </c>
      <c r="M617">
        <f>dataset[[#This Row],[soda_sales]]/dataset[[#This Row],[total_sales]]</f>
        <v>7.103187058715954E-2</v>
      </c>
      <c r="N617">
        <f>LN(dataset[[#This Row],[soda_units_sold]])</f>
        <v>12.300100184921046</v>
      </c>
      <c r="O617">
        <f>LN(dataset[[#This Row],[soda_sales]])</f>
        <v>11.946612889740564</v>
      </c>
      <c r="P617">
        <f>LN(dataset[[#This Row],[soda_ppu]])</f>
        <v>-0.35353701524780512</v>
      </c>
      <c r="Q617">
        <f>IF(dataset[[#This Row],[state]]="VA",1,0)</f>
        <v>0</v>
      </c>
    </row>
    <row r="618" spans="1:17" x14ac:dyDescent="0.35">
      <c r="A618">
        <v>202205</v>
      </c>
      <c r="B618">
        <v>64</v>
      </c>
      <c r="C618" s="2">
        <v>2294025.6408000002</v>
      </c>
      <c r="D618" s="2">
        <v>0.73629999999999995</v>
      </c>
      <c r="E618" s="3">
        <v>227505</v>
      </c>
      <c r="F618" s="2">
        <v>167505.89129999999</v>
      </c>
      <c r="G618" t="s">
        <v>1381</v>
      </c>
      <c r="H618" t="s">
        <v>6</v>
      </c>
      <c r="I618">
        <f>HLOOKUP(G618,zip_tiers!$A$1:$EON$2,2,FALSE)</f>
        <v>51362.666666666664</v>
      </c>
      <c r="J618" t="str">
        <f t="shared" si="9"/>
        <v>Med</v>
      </c>
      <c r="K618">
        <f>dataset[[#This Row],[soda_sales]]/dataset[[#This Row],[soda_units_sold]]</f>
        <v>0.7362734502538405</v>
      </c>
      <c r="L618" s="29">
        <f>dataset[[#This Row],[implied_soda_ppu]]-dataset[[#This Row],[soda_ppu]]</f>
        <v>-2.6549746159454379E-5</v>
      </c>
      <c r="M618">
        <f>dataset[[#This Row],[soda_sales]]/dataset[[#This Row],[total_sales]]</f>
        <v>7.3018316936329153E-2</v>
      </c>
      <c r="N618">
        <f>LN(dataset[[#This Row],[soda_units_sold]])</f>
        <v>12.334927495153607</v>
      </c>
      <c r="O618">
        <f>LN(dataset[[#This Row],[soda_sales]])</f>
        <v>12.028773801569038</v>
      </c>
      <c r="P618">
        <f>LN(dataset[[#This Row],[soda_ppu]])</f>
        <v>-0.30611763460746594</v>
      </c>
      <c r="Q618">
        <f>IF(dataset[[#This Row],[state]]="VA",1,0)</f>
        <v>0</v>
      </c>
    </row>
    <row r="619" spans="1:17" x14ac:dyDescent="0.35">
      <c r="A619">
        <v>202206</v>
      </c>
      <c r="B619">
        <v>64</v>
      </c>
      <c r="C619" s="2">
        <v>2187196.9054999999</v>
      </c>
      <c r="D619" s="2">
        <v>0.74399999999999999</v>
      </c>
      <c r="E619" s="3">
        <v>231033</v>
      </c>
      <c r="F619" s="2">
        <v>171883.85140000001</v>
      </c>
      <c r="G619" t="s">
        <v>1381</v>
      </c>
      <c r="H619" t="s">
        <v>6</v>
      </c>
      <c r="I619">
        <f>HLOOKUP(G619,zip_tiers!$A$1:$EON$2,2,FALSE)</f>
        <v>51362.666666666664</v>
      </c>
      <c r="J619" t="str">
        <f t="shared" si="9"/>
        <v>Med</v>
      </c>
      <c r="K619">
        <f>dataset[[#This Row],[soda_sales]]/dataset[[#This Row],[soda_units_sold]]</f>
        <v>0.74397965398882415</v>
      </c>
      <c r="L619" s="29">
        <f>dataset[[#This Row],[implied_soda_ppu]]-dataset[[#This Row],[soda_ppu]]</f>
        <v>-2.0346011175842449E-5</v>
      </c>
      <c r="M619">
        <f>dataset[[#This Row],[soda_sales]]/dataset[[#This Row],[total_sales]]</f>
        <v>7.858636365467371E-2</v>
      </c>
      <c r="N619">
        <f>LN(dataset[[#This Row],[soda_units_sold]])</f>
        <v>12.350315836443677</v>
      </c>
      <c r="O619">
        <f>LN(dataset[[#This Row],[soda_sales]])</f>
        <v>12.054574245131487</v>
      </c>
      <c r="P619">
        <f>LN(dataset[[#This Row],[soda_ppu]])</f>
        <v>-0.29571424414904518</v>
      </c>
      <c r="Q619">
        <f>IF(dataset[[#This Row],[state]]="VA",1,0)</f>
        <v>0</v>
      </c>
    </row>
    <row r="620" spans="1:17" x14ac:dyDescent="0.35">
      <c r="A620">
        <v>202207</v>
      </c>
      <c r="B620">
        <v>64</v>
      </c>
      <c r="C620" s="2">
        <v>2130490.1348000001</v>
      </c>
      <c r="D620" s="2">
        <v>0.7167</v>
      </c>
      <c r="E620" s="3">
        <v>259424</v>
      </c>
      <c r="F620" s="2">
        <v>185931.8346</v>
      </c>
      <c r="G620" t="s">
        <v>1381</v>
      </c>
      <c r="H620" t="s">
        <v>6</v>
      </c>
      <c r="I620">
        <f>HLOOKUP(G620,zip_tiers!$A$1:$EON$2,2,FALSE)</f>
        <v>51362.666666666664</v>
      </c>
      <c r="J620" t="str">
        <f t="shared" si="9"/>
        <v>Med</v>
      </c>
      <c r="K620">
        <f>dataset[[#This Row],[soda_sales]]/dataset[[#This Row],[soda_units_sold]]</f>
        <v>0.71671022958554331</v>
      </c>
      <c r="L620" s="29">
        <f>dataset[[#This Row],[implied_soda_ppu]]-dataset[[#This Row],[soda_ppu]]</f>
        <v>1.0229585543308772E-5</v>
      </c>
      <c r="M620">
        <f>dataset[[#This Row],[soda_sales]]/dataset[[#This Row],[total_sales]]</f>
        <v>8.7271858978804601E-2</v>
      </c>
      <c r="N620">
        <f>LN(dataset[[#This Row],[soda_units_sold]])</f>
        <v>12.466219067787433</v>
      </c>
      <c r="O620">
        <f>LN(dataset[[#This Row],[soda_sales]])</f>
        <v>12.133135404879734</v>
      </c>
      <c r="P620">
        <f>LN(dataset[[#This Row],[soda_ppu]])</f>
        <v>-0.3330979359822635</v>
      </c>
      <c r="Q620">
        <f>IF(dataset[[#This Row],[state]]="VA",1,0)</f>
        <v>0</v>
      </c>
    </row>
    <row r="621" spans="1:17" x14ac:dyDescent="0.35">
      <c r="A621">
        <v>202208</v>
      </c>
      <c r="B621">
        <v>64</v>
      </c>
      <c r="C621" s="2">
        <v>1980119.186</v>
      </c>
      <c r="D621" s="2">
        <v>0.72119999999999995</v>
      </c>
      <c r="E621" s="3">
        <v>219554</v>
      </c>
      <c r="F621" s="2">
        <v>158339.1404</v>
      </c>
      <c r="G621" t="s">
        <v>1381</v>
      </c>
      <c r="H621" t="s">
        <v>6</v>
      </c>
      <c r="I621">
        <f>HLOOKUP(G621,zip_tiers!$A$1:$EON$2,2,FALSE)</f>
        <v>51362.666666666664</v>
      </c>
      <c r="J621" t="str">
        <f t="shared" si="9"/>
        <v>Med</v>
      </c>
      <c r="K621">
        <f>dataset[[#This Row],[soda_sales]]/dataset[[#This Row],[soda_units_sold]]</f>
        <v>0.72118540495732264</v>
      </c>
      <c r="L621" s="29">
        <f>dataset[[#This Row],[implied_soda_ppu]]-dataset[[#This Row],[soda_ppu]]</f>
        <v>-1.4595042677312264E-5</v>
      </c>
      <c r="M621">
        <f>dataset[[#This Row],[soda_sales]]/dataset[[#This Row],[total_sales]]</f>
        <v>7.9964449372291468E-2</v>
      </c>
      <c r="N621">
        <f>LN(dataset[[#This Row],[soda_units_sold]])</f>
        <v>12.29935349490839</v>
      </c>
      <c r="O621">
        <f>LN(dataset[[#This Row],[soda_sales]])</f>
        <v>11.972494469886639</v>
      </c>
      <c r="P621">
        <f>LN(dataset[[#This Row],[soda_ppu]])</f>
        <v>-0.32683878765297492</v>
      </c>
      <c r="Q621">
        <f>IF(dataset[[#This Row],[state]]="VA",1,0)</f>
        <v>0</v>
      </c>
    </row>
    <row r="622" spans="1:17" x14ac:dyDescent="0.35">
      <c r="A622">
        <v>202209</v>
      </c>
      <c r="B622">
        <v>64</v>
      </c>
      <c r="C622" s="2">
        <v>1984706.1368</v>
      </c>
      <c r="D622" s="2">
        <v>0.73119999999999996</v>
      </c>
      <c r="E622" s="3">
        <v>208160</v>
      </c>
      <c r="F622" s="2">
        <v>152214.46489999999</v>
      </c>
      <c r="G622" t="s">
        <v>1381</v>
      </c>
      <c r="H622" t="s">
        <v>6</v>
      </c>
      <c r="I622">
        <f>HLOOKUP(G622,zip_tiers!$A$1:$EON$2,2,FALSE)</f>
        <v>51362.666666666664</v>
      </c>
      <c r="J622" t="str">
        <f t="shared" si="9"/>
        <v>Med</v>
      </c>
      <c r="K622">
        <f>dataset[[#This Row],[soda_sales]]/dataset[[#This Row],[soda_units_sold]]</f>
        <v>0.73123782138739424</v>
      </c>
      <c r="L622" s="29">
        <f>dataset[[#This Row],[implied_soda_ppu]]-dataset[[#This Row],[soda_ppu]]</f>
        <v>3.7821387394276762E-5</v>
      </c>
      <c r="M622">
        <f>dataset[[#This Row],[soda_sales]]/dataset[[#This Row],[total_sales]]</f>
        <v>7.6693703958319911E-2</v>
      </c>
      <c r="N622">
        <f>LN(dataset[[#This Row],[soda_units_sold]])</f>
        <v>12.246062293746332</v>
      </c>
      <c r="O622">
        <f>LN(dataset[[#This Row],[soda_sales]])</f>
        <v>11.933045758658608</v>
      </c>
      <c r="P622">
        <f>LN(dataset[[#This Row],[soda_ppu]])</f>
        <v>-0.31306825884219686</v>
      </c>
      <c r="Q622">
        <f>IF(dataset[[#This Row],[state]]="VA",1,0)</f>
        <v>0</v>
      </c>
    </row>
    <row r="623" spans="1:17" x14ac:dyDescent="0.35">
      <c r="A623">
        <v>202210</v>
      </c>
      <c r="B623">
        <v>64</v>
      </c>
      <c r="C623" s="2">
        <v>2464687.6957999999</v>
      </c>
      <c r="D623" s="2">
        <v>0.74780000000000002</v>
      </c>
      <c r="E623" s="3">
        <v>193887</v>
      </c>
      <c r="F623" s="2">
        <v>144988.0937</v>
      </c>
      <c r="G623" t="s">
        <v>1381</v>
      </c>
      <c r="H623" t="s">
        <v>6</v>
      </c>
      <c r="I623">
        <f>HLOOKUP(G623,zip_tiers!$A$1:$EON$2,2,FALSE)</f>
        <v>51362.666666666664</v>
      </c>
      <c r="J623" t="str">
        <f t="shared" si="9"/>
        <v>Med</v>
      </c>
      <c r="K623">
        <f>dataset[[#This Row],[soda_sales]]/dataset[[#This Row],[soda_units_sold]]</f>
        <v>0.74779688014152568</v>
      </c>
      <c r="L623" s="29">
        <f>dataset[[#This Row],[implied_soda_ppu]]-dataset[[#This Row],[soda_ppu]]</f>
        <v>-3.1198584743430402E-6</v>
      </c>
      <c r="M623">
        <f>dataset[[#This Row],[soda_sales]]/dataset[[#This Row],[total_sales]]</f>
        <v>5.8826152273600364E-2</v>
      </c>
      <c r="N623">
        <f>LN(dataset[[#This Row],[soda_units_sold]])</f>
        <v>12.175030794114647</v>
      </c>
      <c r="O623">
        <f>LN(dataset[[#This Row],[soda_sales]])</f>
        <v>11.88440690561751</v>
      </c>
      <c r="P623">
        <f>LN(dataset[[#This Row],[soda_ppu]])</f>
        <v>-0.29061971643912365</v>
      </c>
      <c r="Q623">
        <f>IF(dataset[[#This Row],[state]]="VA",1,0)</f>
        <v>0</v>
      </c>
    </row>
    <row r="624" spans="1:17" x14ac:dyDescent="0.35">
      <c r="A624">
        <v>202211</v>
      </c>
      <c r="B624">
        <v>64</v>
      </c>
      <c r="C624" s="2">
        <v>2777951.8069000002</v>
      </c>
      <c r="D624" s="2">
        <v>0.7278</v>
      </c>
      <c r="E624" s="3">
        <v>190134</v>
      </c>
      <c r="F624" s="2">
        <v>138371.8627</v>
      </c>
      <c r="G624" t="s">
        <v>1381</v>
      </c>
      <c r="H624" t="s">
        <v>6</v>
      </c>
      <c r="I624">
        <f>HLOOKUP(G624,zip_tiers!$A$1:$EON$2,2,FALSE)</f>
        <v>51362.666666666664</v>
      </c>
      <c r="J624" t="str">
        <f t="shared" si="9"/>
        <v>Med</v>
      </c>
      <c r="K624">
        <f>dataset[[#This Row],[soda_sales]]/dataset[[#This Row],[soda_units_sold]]</f>
        <v>0.72775969947510699</v>
      </c>
      <c r="L624" s="29">
        <f>dataset[[#This Row],[implied_soda_ppu]]-dataset[[#This Row],[soda_ppu]]</f>
        <v>-4.0300524893011058E-5</v>
      </c>
      <c r="M624">
        <f>dataset[[#This Row],[soda_sales]]/dataset[[#This Row],[total_sales]]</f>
        <v>4.9810749904410083E-2</v>
      </c>
      <c r="N624">
        <f>LN(dataset[[#This Row],[soda_units_sold]])</f>
        <v>12.155484365719326</v>
      </c>
      <c r="O624">
        <f>LN(dataset[[#This Row],[soda_sales]])</f>
        <v>11.837699997305856</v>
      </c>
      <c r="P624">
        <f>LN(dataset[[#This Row],[soda_ppu]])</f>
        <v>-0.3177289938040776</v>
      </c>
      <c r="Q624">
        <f>IF(dataset[[#This Row],[state]]="VA",1,0)</f>
        <v>0</v>
      </c>
    </row>
    <row r="625" spans="1:17" x14ac:dyDescent="0.35">
      <c r="A625">
        <v>202212</v>
      </c>
      <c r="B625">
        <v>64</v>
      </c>
      <c r="C625" s="2">
        <v>2934775.6642</v>
      </c>
      <c r="D625" s="2">
        <v>0.74309999999999998</v>
      </c>
      <c r="E625" s="3">
        <v>180212</v>
      </c>
      <c r="F625" s="2">
        <v>133911.20740000001</v>
      </c>
      <c r="G625" t="s">
        <v>1381</v>
      </c>
      <c r="H625" t="s">
        <v>6</v>
      </c>
      <c r="I625">
        <f>HLOOKUP(G625,zip_tiers!$A$1:$EON$2,2,FALSE)</f>
        <v>51362.666666666664</v>
      </c>
      <c r="J625" t="str">
        <f t="shared" si="9"/>
        <v>Med</v>
      </c>
      <c r="K625">
        <f>dataset[[#This Row],[soda_sales]]/dataset[[#This Row],[soda_units_sold]]</f>
        <v>0.7430759738530176</v>
      </c>
      <c r="L625" s="29">
        <f>dataset[[#This Row],[implied_soda_ppu]]-dataset[[#This Row],[soda_ppu]]</f>
        <v>-2.4026146982381036E-5</v>
      </c>
      <c r="M625">
        <f>dataset[[#This Row],[soda_sales]]/dataset[[#This Row],[total_sales]]</f>
        <v>4.5629111973880053E-2</v>
      </c>
      <c r="N625">
        <f>LN(dataset[[#This Row],[soda_units_sold]])</f>
        <v>12.101889214613987</v>
      </c>
      <c r="O625">
        <f>LN(dataset[[#This Row],[soda_sales]])</f>
        <v>11.804932227952586</v>
      </c>
      <c r="P625">
        <f>LN(dataset[[#This Row],[soda_ppu]])</f>
        <v>-0.29692465381871352</v>
      </c>
      <c r="Q625">
        <f>IF(dataset[[#This Row],[state]]="VA",1,0)</f>
        <v>0</v>
      </c>
    </row>
    <row r="626" spans="1:17" x14ac:dyDescent="0.35">
      <c r="A626">
        <v>202301</v>
      </c>
      <c r="B626">
        <v>64</v>
      </c>
      <c r="C626" s="2">
        <v>1674351.7564999999</v>
      </c>
      <c r="D626" s="2">
        <v>0.73680000000000001</v>
      </c>
      <c r="E626" s="3">
        <v>135614</v>
      </c>
      <c r="F626" s="2">
        <v>99918.273100000006</v>
      </c>
      <c r="G626" t="s">
        <v>1381</v>
      </c>
      <c r="H626" t="s">
        <v>6</v>
      </c>
      <c r="I626">
        <f>HLOOKUP(G626,zip_tiers!$A$1:$EON$2,2,FALSE)</f>
        <v>51362.666666666664</v>
      </c>
      <c r="J626" t="str">
        <f t="shared" si="9"/>
        <v>Med</v>
      </c>
      <c r="K626">
        <f>dataset[[#This Row],[soda_sales]]/dataset[[#This Row],[soda_units_sold]]</f>
        <v>0.73678435191056979</v>
      </c>
      <c r="L626" s="29">
        <f>dataset[[#This Row],[implied_soda_ppu]]-dataset[[#This Row],[soda_ppu]]</f>
        <v>-1.5648089430220224E-5</v>
      </c>
      <c r="M626">
        <f>dataset[[#This Row],[soda_sales]]/dataset[[#This Row],[total_sales]]</f>
        <v>5.9675795550192687E-2</v>
      </c>
      <c r="N626">
        <f>LN(dataset[[#This Row],[soda_units_sold]])</f>
        <v>11.817567893996809</v>
      </c>
      <c r="O626">
        <f>LN(dataset[[#This Row],[soda_sales]])</f>
        <v>11.512107861823848</v>
      </c>
      <c r="P626">
        <f>LN(dataset[[#This Row],[soda_ppu]])</f>
        <v>-0.30543879404103996</v>
      </c>
      <c r="Q626">
        <f>IF(dataset[[#This Row],[state]]="VA",1,0)</f>
        <v>0</v>
      </c>
    </row>
    <row r="627" spans="1:17" x14ac:dyDescent="0.35">
      <c r="A627">
        <v>202302</v>
      </c>
      <c r="B627">
        <v>64</v>
      </c>
      <c r="C627" s="2">
        <v>1893373.7655</v>
      </c>
      <c r="D627" s="2">
        <v>0.752</v>
      </c>
      <c r="E627" s="3">
        <v>150295</v>
      </c>
      <c r="F627" s="2">
        <v>113025.9341</v>
      </c>
      <c r="G627" t="s">
        <v>1381</v>
      </c>
      <c r="H627" t="s">
        <v>6</v>
      </c>
      <c r="I627">
        <f>HLOOKUP(G627,zip_tiers!$A$1:$EON$2,2,FALSE)</f>
        <v>51362.666666666664</v>
      </c>
      <c r="J627" t="str">
        <f t="shared" si="9"/>
        <v>Med</v>
      </c>
      <c r="K627">
        <f>dataset[[#This Row],[soda_sales]]/dataset[[#This Row],[soda_units_sold]]</f>
        <v>0.75202724042715996</v>
      </c>
      <c r="L627" s="29">
        <f>dataset[[#This Row],[implied_soda_ppu]]-dataset[[#This Row],[soda_ppu]]</f>
        <v>2.7240427159958003E-5</v>
      </c>
      <c r="M627">
        <f>dataset[[#This Row],[soda_sales]]/dataset[[#This Row],[total_sales]]</f>
        <v>5.9695521380667402E-2</v>
      </c>
      <c r="N627">
        <f>LN(dataset[[#This Row],[soda_units_sold]])</f>
        <v>11.920355308387979</v>
      </c>
      <c r="O627">
        <f>LN(dataset[[#This Row],[soda_sales]])</f>
        <v>11.635372576671898</v>
      </c>
      <c r="P627">
        <f>LN(dataset[[#This Row],[soda_ppu]])</f>
        <v>-0.28501895503229724</v>
      </c>
      <c r="Q627">
        <f>IF(dataset[[#This Row],[state]]="VA",1,0)</f>
        <v>0</v>
      </c>
    </row>
    <row r="628" spans="1:17" x14ac:dyDescent="0.35">
      <c r="A628">
        <v>202303</v>
      </c>
      <c r="B628">
        <v>64</v>
      </c>
      <c r="C628" s="2">
        <v>2080805.0481</v>
      </c>
      <c r="D628" s="2">
        <v>0.74829999999999997</v>
      </c>
      <c r="E628" s="3">
        <v>176601</v>
      </c>
      <c r="F628" s="2">
        <v>132150.1226</v>
      </c>
      <c r="G628" t="s">
        <v>1381</v>
      </c>
      <c r="H628" t="s">
        <v>6</v>
      </c>
      <c r="I628">
        <f>HLOOKUP(G628,zip_tiers!$A$1:$EON$2,2,FALSE)</f>
        <v>51362.666666666664</v>
      </c>
      <c r="J628" t="str">
        <f t="shared" si="9"/>
        <v>Med</v>
      </c>
      <c r="K628">
        <f>dataset[[#This Row],[soda_sales]]/dataset[[#This Row],[soda_units_sold]]</f>
        <v>0.74829770273101515</v>
      </c>
      <c r="L628" s="29">
        <f>dataset[[#This Row],[implied_soda_ppu]]-dataset[[#This Row],[soda_ppu]]</f>
        <v>-2.2972689848188566E-6</v>
      </c>
      <c r="M628">
        <f>dataset[[#This Row],[soda_sales]]/dataset[[#This Row],[total_sales]]</f>
        <v>6.3509132064374488E-2</v>
      </c>
      <c r="N628">
        <f>LN(dataset[[#This Row],[soda_units_sold]])</f>
        <v>12.081648229650121</v>
      </c>
      <c r="O628">
        <f>LN(dataset[[#This Row],[soda_sales]])</f>
        <v>11.791693847765641</v>
      </c>
      <c r="P628">
        <f>LN(dataset[[#This Row],[soda_ppu]])</f>
        <v>-0.28995131189582424</v>
      </c>
      <c r="Q628">
        <f>IF(dataset[[#This Row],[state]]="VA",1,0)</f>
        <v>0</v>
      </c>
    </row>
    <row r="629" spans="1:17" x14ac:dyDescent="0.35">
      <c r="A629">
        <v>202304</v>
      </c>
      <c r="B629">
        <v>64</v>
      </c>
      <c r="C629" s="2">
        <v>2194781.2014000001</v>
      </c>
      <c r="D629" s="2">
        <v>0.74509999999999998</v>
      </c>
      <c r="E629" s="3">
        <v>205366</v>
      </c>
      <c r="F629" s="2">
        <v>153019.25229999999</v>
      </c>
      <c r="G629" t="s">
        <v>1381</v>
      </c>
      <c r="H629" t="s">
        <v>6</v>
      </c>
      <c r="I629">
        <f>HLOOKUP(G629,zip_tiers!$A$1:$EON$2,2,FALSE)</f>
        <v>51362.666666666664</v>
      </c>
      <c r="J629" t="str">
        <f t="shared" si="9"/>
        <v>Med</v>
      </c>
      <c r="K629">
        <f>dataset[[#This Row],[soda_sales]]/dataset[[#This Row],[soda_units_sold]]</f>
        <v>0.74510509188473262</v>
      </c>
      <c r="L629" s="29">
        <f>dataset[[#This Row],[implied_soda_ppu]]-dataset[[#This Row],[soda_ppu]]</f>
        <v>5.0918847326331118E-6</v>
      </c>
      <c r="M629">
        <f>dataset[[#This Row],[soda_sales]]/dataset[[#This Row],[total_sales]]</f>
        <v>6.9719593097659377E-2</v>
      </c>
      <c r="N629">
        <f>LN(dataset[[#This Row],[soda_units_sold]])</f>
        <v>12.232549032103021</v>
      </c>
      <c r="O629">
        <f>LN(dataset[[#This Row],[soda_sales]])</f>
        <v>11.938319024484532</v>
      </c>
      <c r="P629">
        <f>LN(dataset[[#This Row],[soda_ppu]])</f>
        <v>-0.29423684142245526</v>
      </c>
      <c r="Q629">
        <f>IF(dataset[[#This Row],[state]]="VA",1,0)</f>
        <v>0</v>
      </c>
    </row>
    <row r="630" spans="1:17" x14ac:dyDescent="0.35">
      <c r="A630">
        <v>202305</v>
      </c>
      <c r="B630">
        <v>64</v>
      </c>
      <c r="C630" s="2">
        <v>2360815.1143999998</v>
      </c>
      <c r="D630" s="2">
        <v>0.72160000000000002</v>
      </c>
      <c r="E630" s="3">
        <v>241991</v>
      </c>
      <c r="F630" s="2">
        <v>174630.39920000001</v>
      </c>
      <c r="G630" t="s">
        <v>1381</v>
      </c>
      <c r="H630" t="s">
        <v>6</v>
      </c>
      <c r="I630">
        <f>HLOOKUP(G630,zip_tiers!$A$1:$EON$2,2,FALSE)</f>
        <v>51362.666666666664</v>
      </c>
      <c r="J630" t="str">
        <f t="shared" si="9"/>
        <v>Med</v>
      </c>
      <c r="K630">
        <f>dataset[[#This Row],[soda_sales]]/dataset[[#This Row],[soda_units_sold]]</f>
        <v>0.72164005768809592</v>
      </c>
      <c r="L630" s="29">
        <f>dataset[[#This Row],[implied_soda_ppu]]-dataset[[#This Row],[soda_ppu]]</f>
        <v>4.0057688095895827E-5</v>
      </c>
      <c r="M630">
        <f>dataset[[#This Row],[soda_sales]]/dataset[[#This Row],[total_sales]]</f>
        <v>7.3970383421737049E-2</v>
      </c>
      <c r="N630">
        <f>LN(dataset[[#This Row],[soda_units_sold]])</f>
        <v>12.39665581436461</v>
      </c>
      <c r="O630">
        <f>LN(dataset[[#This Row],[soda_sales]])</f>
        <v>12.070427014907342</v>
      </c>
      <c r="P630">
        <f>LN(dataset[[#This Row],[soda_ppu]])</f>
        <v>-0.32628431023372312</v>
      </c>
      <c r="Q630">
        <f>IF(dataset[[#This Row],[state]]="VA",1,0)</f>
        <v>0</v>
      </c>
    </row>
    <row r="631" spans="1:17" x14ac:dyDescent="0.35">
      <c r="A631">
        <v>202306</v>
      </c>
      <c r="B631">
        <v>64</v>
      </c>
      <c r="C631" s="2">
        <v>2232160.4298</v>
      </c>
      <c r="D631" s="2">
        <v>0.7147</v>
      </c>
      <c r="E631" s="3">
        <v>254650</v>
      </c>
      <c r="F631" s="2">
        <v>182003.10750000001</v>
      </c>
      <c r="G631" t="s">
        <v>1381</v>
      </c>
      <c r="H631" t="s">
        <v>6</v>
      </c>
      <c r="I631">
        <f>HLOOKUP(G631,zip_tiers!$A$1:$EON$2,2,FALSE)</f>
        <v>51362.666666666664</v>
      </c>
      <c r="J631" t="str">
        <f t="shared" si="9"/>
        <v>Med</v>
      </c>
      <c r="K631">
        <f>dataset[[#This Row],[soda_sales]]/dataset[[#This Row],[soda_units_sold]]</f>
        <v>0.71471866287060681</v>
      </c>
      <c r="L631" s="29">
        <f>dataset[[#This Row],[implied_soda_ppu]]-dataset[[#This Row],[soda_ppu]]</f>
        <v>1.8662870606811488E-5</v>
      </c>
      <c r="M631">
        <f>dataset[[#This Row],[soda_sales]]/dataset[[#This Row],[total_sales]]</f>
        <v>8.1536750257824142E-2</v>
      </c>
      <c r="N631">
        <f>LN(dataset[[#This Row],[soda_units_sold]])</f>
        <v>12.447645332312751</v>
      </c>
      <c r="O631">
        <f>LN(dataset[[#This Row],[soda_sales]])</f>
        <v>12.111779040088994</v>
      </c>
      <c r="P631">
        <f>LN(dataset[[#This Row],[soda_ppu]])</f>
        <v>-0.33589240475620386</v>
      </c>
      <c r="Q631">
        <f>IF(dataset[[#This Row],[state]]="VA",1,0)</f>
        <v>0</v>
      </c>
    </row>
    <row r="632" spans="1:17" x14ac:dyDescent="0.35">
      <c r="A632">
        <v>202307</v>
      </c>
      <c r="B632">
        <v>64</v>
      </c>
      <c r="C632" s="2">
        <v>2132799.7845000001</v>
      </c>
      <c r="D632" s="2">
        <v>0.73899999999999999</v>
      </c>
      <c r="E632" s="3">
        <v>256784</v>
      </c>
      <c r="F632" s="2">
        <v>189760.80119999999</v>
      </c>
      <c r="G632" t="s">
        <v>1381</v>
      </c>
      <c r="H632" t="s">
        <v>6</v>
      </c>
      <c r="I632">
        <f>HLOOKUP(G632,zip_tiers!$A$1:$EON$2,2,FALSE)</f>
        <v>51362.666666666664</v>
      </c>
      <c r="J632" t="str">
        <f t="shared" si="9"/>
        <v>Med</v>
      </c>
      <c r="K632">
        <f>dataset[[#This Row],[soda_sales]]/dataset[[#This Row],[soda_units_sold]]</f>
        <v>0.7389899728955075</v>
      </c>
      <c r="L632" s="29">
        <f>dataset[[#This Row],[implied_soda_ppu]]-dataset[[#This Row],[soda_ppu]]</f>
        <v>-1.0027104492493777E-5</v>
      </c>
      <c r="M632">
        <f>dataset[[#This Row],[soda_sales]]/dataset[[#This Row],[total_sales]]</f>
        <v>8.8972627707052346E-2</v>
      </c>
      <c r="N632">
        <f>LN(dataset[[#This Row],[soda_units_sold]])</f>
        <v>12.455990543560937</v>
      </c>
      <c r="O632">
        <f>LN(dataset[[#This Row],[soda_sales]])</f>
        <v>12.153519616957963</v>
      </c>
      <c r="P632">
        <f>LN(dataset[[#This Row],[soda_ppu]])</f>
        <v>-0.30245735803393531</v>
      </c>
      <c r="Q632">
        <f>IF(dataset[[#This Row],[state]]="VA",1,0)</f>
        <v>0</v>
      </c>
    </row>
    <row r="633" spans="1:17" x14ac:dyDescent="0.35">
      <c r="A633">
        <v>202308</v>
      </c>
      <c r="B633">
        <v>64</v>
      </c>
      <c r="C633" s="2">
        <v>2050399.6926</v>
      </c>
      <c r="D633" s="2">
        <v>0.76290000000000002</v>
      </c>
      <c r="E633" s="3">
        <v>212054</v>
      </c>
      <c r="F633" s="2">
        <v>161770.1833</v>
      </c>
      <c r="G633" t="s">
        <v>1381</v>
      </c>
      <c r="H633" t="s">
        <v>6</v>
      </c>
      <c r="I633">
        <f>HLOOKUP(G633,zip_tiers!$A$1:$EON$2,2,FALSE)</f>
        <v>51362.666666666664</v>
      </c>
      <c r="J633" t="str">
        <f t="shared" si="9"/>
        <v>Med</v>
      </c>
      <c r="K633">
        <f>dataset[[#This Row],[soda_sales]]/dataset[[#This Row],[soda_units_sold]]</f>
        <v>0.76287258575645833</v>
      </c>
      <c r="L633" s="29">
        <f>dataset[[#This Row],[implied_soda_ppu]]-dataset[[#This Row],[soda_ppu]]</f>
        <v>-2.7414243541690198E-5</v>
      </c>
      <c r="M633">
        <f>dataset[[#This Row],[soda_sales]]/dataset[[#This Row],[total_sales]]</f>
        <v>7.88969018498379E-2</v>
      </c>
      <c r="N633">
        <f>LN(dataset[[#This Row],[soda_units_sold]])</f>
        <v>12.264596238200419</v>
      </c>
      <c r="O633">
        <f>LN(dataset[[#This Row],[soda_sales]])</f>
        <v>11.993931985413287</v>
      </c>
      <c r="P633">
        <f>LN(dataset[[#This Row],[soda_ppu]])</f>
        <v>-0.27062831788595337</v>
      </c>
      <c r="Q633">
        <f>IF(dataset[[#This Row],[state]]="VA",1,0)</f>
        <v>0</v>
      </c>
    </row>
    <row r="634" spans="1:17" x14ac:dyDescent="0.35">
      <c r="A634">
        <v>202309</v>
      </c>
      <c r="B634">
        <v>64</v>
      </c>
      <c r="C634" s="2">
        <v>2008701.4387999999</v>
      </c>
      <c r="D634" s="2">
        <v>0.75380000000000003</v>
      </c>
      <c r="E634" s="3">
        <v>200166</v>
      </c>
      <c r="F634" s="2">
        <v>150881.5294</v>
      </c>
      <c r="G634" t="s">
        <v>1381</v>
      </c>
      <c r="H634" t="s">
        <v>6</v>
      </c>
      <c r="I634">
        <f>HLOOKUP(G634,zip_tiers!$A$1:$EON$2,2,FALSE)</f>
        <v>51362.666666666664</v>
      </c>
      <c r="J634" t="str">
        <f t="shared" si="9"/>
        <v>Med</v>
      </c>
      <c r="K634">
        <f>dataset[[#This Row],[soda_sales]]/dataset[[#This Row],[soda_units_sold]]</f>
        <v>0.75378200793341521</v>
      </c>
      <c r="L634" s="29">
        <f>dataset[[#This Row],[implied_soda_ppu]]-dataset[[#This Row],[soda_ppu]]</f>
        <v>-1.7992066584815447E-5</v>
      </c>
      <c r="M634">
        <f>dataset[[#This Row],[soda_sales]]/dataset[[#This Row],[total_sales]]</f>
        <v>7.5113964915630646E-2</v>
      </c>
      <c r="N634">
        <f>LN(dataset[[#This Row],[soda_units_sold]])</f>
        <v>12.206902301270651</v>
      </c>
      <c r="O634">
        <f>LN(dataset[[#This Row],[soda_sales]])</f>
        <v>11.924250234348253</v>
      </c>
      <c r="P634">
        <f>LN(dataset[[#This Row],[soda_ppu]])</f>
        <v>-0.28262819814910195</v>
      </c>
      <c r="Q634">
        <f>IF(dataset[[#This Row],[state]]="VA",1,0)</f>
        <v>0</v>
      </c>
    </row>
    <row r="635" spans="1:17" x14ac:dyDescent="0.35">
      <c r="A635">
        <v>202310</v>
      </c>
      <c r="B635">
        <v>64</v>
      </c>
      <c r="C635" s="2">
        <v>2444159.7445</v>
      </c>
      <c r="D635" s="2">
        <v>0.73170000000000002</v>
      </c>
      <c r="E635" s="3">
        <v>203431</v>
      </c>
      <c r="F635" s="2">
        <v>148849.6985</v>
      </c>
      <c r="G635" t="s">
        <v>1381</v>
      </c>
      <c r="H635" t="s">
        <v>6</v>
      </c>
      <c r="I635">
        <f>HLOOKUP(G635,zip_tiers!$A$1:$EON$2,2,FALSE)</f>
        <v>51362.666666666664</v>
      </c>
      <c r="J635" t="str">
        <f t="shared" si="9"/>
        <v>Med</v>
      </c>
      <c r="K635">
        <f>dataset[[#This Row],[soda_sales]]/dataset[[#This Row],[soda_units_sold]]</f>
        <v>0.73169624344372297</v>
      </c>
      <c r="L635" s="29">
        <f>dataset[[#This Row],[implied_soda_ppu]]-dataset[[#This Row],[soda_ppu]]</f>
        <v>-3.7565562770458527E-6</v>
      </c>
      <c r="M635">
        <f>dataset[[#This Row],[soda_sales]]/dataset[[#This Row],[total_sales]]</f>
        <v>6.0900151405795314E-2</v>
      </c>
      <c r="N635">
        <f>LN(dataset[[#This Row],[soda_units_sold]])</f>
        <v>12.223082160029731</v>
      </c>
      <c r="O635">
        <f>LN(dataset[[#This Row],[soda_sales]])</f>
        <v>11.910692340912815</v>
      </c>
      <c r="P635">
        <f>LN(dataset[[#This Row],[soda_ppu]])</f>
        <v>-0.31238468509215273</v>
      </c>
      <c r="Q635">
        <f>IF(dataset[[#This Row],[state]]="VA",1,0)</f>
        <v>0</v>
      </c>
    </row>
    <row r="636" spans="1:17" x14ac:dyDescent="0.35">
      <c r="A636">
        <v>202311</v>
      </c>
      <c r="B636">
        <v>64</v>
      </c>
      <c r="C636" s="2">
        <v>2848710.6439999999</v>
      </c>
      <c r="D636" s="2">
        <v>0.75219999999999998</v>
      </c>
      <c r="E636" s="3">
        <v>188403</v>
      </c>
      <c r="F636" s="2">
        <v>141716.4075</v>
      </c>
      <c r="G636" t="s">
        <v>1381</v>
      </c>
      <c r="H636" t="s">
        <v>6</v>
      </c>
      <c r="I636">
        <f>HLOOKUP(G636,zip_tiers!$A$1:$EON$2,2,FALSE)</f>
        <v>51362.666666666664</v>
      </c>
      <c r="J636" t="str">
        <f t="shared" si="9"/>
        <v>Med</v>
      </c>
      <c r="K636">
        <f>dataset[[#This Row],[soda_sales]]/dataset[[#This Row],[soda_units_sold]]</f>
        <v>0.75219825321252842</v>
      </c>
      <c r="L636" s="29">
        <f>dataset[[#This Row],[implied_soda_ppu]]-dataset[[#This Row],[soda_ppu]]</f>
        <v>-1.7467874715570986E-6</v>
      </c>
      <c r="M636">
        <f>dataset[[#This Row],[soda_sales]]/dataset[[#This Row],[total_sales]]</f>
        <v>4.9747561339192302E-2</v>
      </c>
      <c r="N636">
        <f>LN(dataset[[#This Row],[soda_units_sold]])</f>
        <v>12.1463385645645</v>
      </c>
      <c r="O636">
        <f>LN(dataset[[#This Row],[soda_sales]])</f>
        <v>11.861583209377839</v>
      </c>
      <c r="P636">
        <f>LN(dataset[[#This Row],[soda_ppu]])</f>
        <v>-0.28475303294590104</v>
      </c>
      <c r="Q636">
        <f>IF(dataset[[#This Row],[state]]="VA",1,0)</f>
        <v>0</v>
      </c>
    </row>
    <row r="637" spans="1:17" x14ac:dyDescent="0.35">
      <c r="A637">
        <v>202312</v>
      </c>
      <c r="B637">
        <v>64</v>
      </c>
      <c r="C637" s="2">
        <v>2948848.2908999999</v>
      </c>
      <c r="D637" s="2">
        <v>0.71589999999999998</v>
      </c>
      <c r="E637" s="3">
        <v>196335</v>
      </c>
      <c r="F637" s="2">
        <v>140547.08960000001</v>
      </c>
      <c r="G637" t="s">
        <v>1381</v>
      </c>
      <c r="H637" t="s">
        <v>6</v>
      </c>
      <c r="I637">
        <f>HLOOKUP(G637,zip_tiers!$A$1:$EON$2,2,FALSE)</f>
        <v>51362.666666666664</v>
      </c>
      <c r="J637" t="str">
        <f t="shared" si="9"/>
        <v>Med</v>
      </c>
      <c r="K637">
        <f>dataset[[#This Row],[soda_sales]]/dataset[[#This Row],[soda_units_sold]]</f>
        <v>0.71585346270405181</v>
      </c>
      <c r="L637" s="29">
        <f>dataset[[#This Row],[implied_soda_ppu]]-dataset[[#This Row],[soda_ppu]]</f>
        <v>-4.6537295948168023E-5</v>
      </c>
      <c r="M637">
        <f>dataset[[#This Row],[soda_sales]]/dataset[[#This Row],[total_sales]]</f>
        <v>4.7661688813806183E-2</v>
      </c>
      <c r="N637">
        <f>LN(dataset[[#This Row],[soda_units_sold]])</f>
        <v>12.187577662893929</v>
      </c>
      <c r="O637">
        <f>LN(dataset[[#This Row],[soda_sales]])</f>
        <v>11.85329786889865</v>
      </c>
      <c r="P637">
        <f>LN(dataset[[#This Row],[soda_ppu]])</f>
        <v>-0.33421478657999776</v>
      </c>
      <c r="Q637">
        <f>IF(dataset[[#This Row],[state]]="VA",1,0)</f>
        <v>0</v>
      </c>
    </row>
    <row r="638" spans="1:17" x14ac:dyDescent="0.35">
      <c r="A638">
        <v>202401</v>
      </c>
      <c r="B638">
        <v>64</v>
      </c>
      <c r="C638" s="2">
        <v>1707328.2441</v>
      </c>
      <c r="D638" s="2">
        <v>0.77359999999999995</v>
      </c>
      <c r="E638" s="3">
        <v>130328</v>
      </c>
      <c r="F638" s="2">
        <v>100827.4359</v>
      </c>
      <c r="G638" t="s">
        <v>1381</v>
      </c>
      <c r="H638" t="s">
        <v>6</v>
      </c>
      <c r="I638">
        <f>HLOOKUP(G638,zip_tiers!$A$1:$EON$2,2,FALSE)</f>
        <v>51362.666666666664</v>
      </c>
      <c r="J638" t="str">
        <f t="shared" si="9"/>
        <v>Med</v>
      </c>
      <c r="K638">
        <f>dataset[[#This Row],[soda_sales]]/dataset[[#This Row],[soda_units_sold]]</f>
        <v>0.77364369820759926</v>
      </c>
      <c r="L638" s="29">
        <f>dataset[[#This Row],[implied_soda_ppu]]-dataset[[#This Row],[soda_ppu]]</f>
        <v>4.3698207599307537E-5</v>
      </c>
      <c r="M638">
        <f>dataset[[#This Row],[soda_sales]]/dataset[[#This Row],[total_sales]]</f>
        <v>5.9055683198839193E-2</v>
      </c>
      <c r="N638">
        <f>LN(dataset[[#This Row],[soda_units_sold]])</f>
        <v>11.777809628746006</v>
      </c>
      <c r="O638">
        <f>LN(dataset[[#This Row],[soda_sales]])</f>
        <v>11.521165779132346</v>
      </c>
      <c r="P638">
        <f>LN(dataset[[#This Row],[soda_ppu]])</f>
        <v>-0.25670033484305255</v>
      </c>
      <c r="Q638">
        <f>IF(dataset[[#This Row],[state]]="VA",1,0)</f>
        <v>0</v>
      </c>
    </row>
    <row r="639" spans="1:17" x14ac:dyDescent="0.35">
      <c r="A639">
        <v>202402</v>
      </c>
      <c r="B639">
        <v>64</v>
      </c>
      <c r="C639" s="2">
        <v>1907825.6018000001</v>
      </c>
      <c r="D639" s="2">
        <v>0.77980000000000005</v>
      </c>
      <c r="E639" s="3">
        <v>143176</v>
      </c>
      <c r="F639" s="2">
        <v>111650.40089999999</v>
      </c>
      <c r="G639" t="s">
        <v>1381</v>
      </c>
      <c r="H639" t="s">
        <v>6</v>
      </c>
      <c r="I639">
        <f>HLOOKUP(G639,zip_tiers!$A$1:$EON$2,2,FALSE)</f>
        <v>51362.666666666664</v>
      </c>
      <c r="J639" t="str">
        <f t="shared" si="9"/>
        <v>Med</v>
      </c>
      <c r="K639">
        <f>dataset[[#This Row],[soda_sales]]/dataset[[#This Row],[soda_units_sold]]</f>
        <v>0.77981226532379722</v>
      </c>
      <c r="L639" s="29">
        <f>dataset[[#This Row],[implied_soda_ppu]]-dataset[[#This Row],[soda_ppu]]</f>
        <v>1.2265323797167049E-5</v>
      </c>
      <c r="M639">
        <f>dataset[[#This Row],[soda_sales]]/dataset[[#This Row],[total_sales]]</f>
        <v>5.8522330759509564E-2</v>
      </c>
      <c r="N639">
        <f>LN(dataset[[#This Row],[soda_units_sold]])</f>
        <v>11.871829921697245</v>
      </c>
      <c r="O639">
        <f>LN(dataset[[#This Row],[soda_sales]])</f>
        <v>11.623127847947034</v>
      </c>
      <c r="P639">
        <f>LN(dataset[[#This Row],[soda_ppu]])</f>
        <v>-0.24871780243364003</v>
      </c>
      <c r="Q639">
        <f>IF(dataset[[#This Row],[state]]="VA",1,0)</f>
        <v>0</v>
      </c>
    </row>
    <row r="640" spans="1:17" x14ac:dyDescent="0.35">
      <c r="A640">
        <v>202403</v>
      </c>
      <c r="B640">
        <v>64</v>
      </c>
      <c r="C640" s="2">
        <v>2157613.5118999998</v>
      </c>
      <c r="D640" s="2">
        <v>0.77759999999999996</v>
      </c>
      <c r="E640" s="3">
        <v>176750</v>
      </c>
      <c r="F640" s="2">
        <v>137433.17600000001</v>
      </c>
      <c r="G640" t="s">
        <v>1381</v>
      </c>
      <c r="H640" t="s">
        <v>6</v>
      </c>
      <c r="I640">
        <f>HLOOKUP(G640,zip_tiers!$A$1:$EON$2,2,FALSE)</f>
        <v>51362.666666666664</v>
      </c>
      <c r="J640" t="str">
        <f t="shared" si="9"/>
        <v>Med</v>
      </c>
      <c r="K640">
        <f>dataset[[#This Row],[soda_sales]]/dataset[[#This Row],[soda_units_sold]]</f>
        <v>0.77755686562942017</v>
      </c>
      <c r="L640" s="29">
        <f>dataset[[#This Row],[implied_soda_ppu]]-dataset[[#This Row],[soda_ppu]]</f>
        <v>-4.3134370579789305E-5</v>
      </c>
      <c r="M640">
        <f>dataset[[#This Row],[soda_sales]]/dataset[[#This Row],[total_sales]]</f>
        <v>6.3696846187701162E-2</v>
      </c>
      <c r="N640">
        <f>LN(dataset[[#This Row],[soda_units_sold]])</f>
        <v>12.08249158375882</v>
      </c>
      <c r="O640">
        <f>LN(dataset[[#This Row],[soda_sales]])</f>
        <v>11.830893085228748</v>
      </c>
      <c r="P640">
        <f>LN(dataset[[#This Row],[soda_ppu]])</f>
        <v>-0.25154302583590776</v>
      </c>
      <c r="Q640">
        <f>IF(dataset[[#This Row],[state]]="VA",1,0)</f>
        <v>0</v>
      </c>
    </row>
    <row r="641" spans="1:17" x14ac:dyDescent="0.35">
      <c r="A641">
        <v>202404</v>
      </c>
      <c r="B641">
        <v>64</v>
      </c>
      <c r="C641" s="2">
        <v>2290923.9306999999</v>
      </c>
      <c r="D641" s="2">
        <v>0.74429999999999996</v>
      </c>
      <c r="E641" s="3">
        <v>212038</v>
      </c>
      <c r="F641" s="2">
        <v>157824.6349</v>
      </c>
      <c r="G641" t="s">
        <v>1381</v>
      </c>
      <c r="H641" t="s">
        <v>6</v>
      </c>
      <c r="I641">
        <f>HLOOKUP(G641,zip_tiers!$A$1:$EON$2,2,FALSE)</f>
        <v>51362.666666666664</v>
      </c>
      <c r="J641" t="str">
        <f t="shared" si="9"/>
        <v>Med</v>
      </c>
      <c r="K641">
        <f>dataset[[#This Row],[soda_sales]]/dataset[[#This Row],[soda_units_sold]]</f>
        <v>0.74432240871919186</v>
      </c>
      <c r="L641" s="29">
        <f>dataset[[#This Row],[implied_soda_ppu]]-dataset[[#This Row],[soda_ppu]]</f>
        <v>2.2408719191902016E-5</v>
      </c>
      <c r="M641">
        <f>dataset[[#This Row],[soda_sales]]/dataset[[#This Row],[total_sales]]</f>
        <v>6.8891259454335579E-2</v>
      </c>
      <c r="N641">
        <f>LN(dataset[[#This Row],[soda_units_sold]])</f>
        <v>12.264520782874651</v>
      </c>
      <c r="O641">
        <f>LN(dataset[[#This Row],[soda_sales]])</f>
        <v>11.969239789911434</v>
      </c>
      <c r="P641">
        <f>LN(dataset[[#This Row],[soda_ppu]])</f>
        <v>-0.29531109961627211</v>
      </c>
      <c r="Q641">
        <f>IF(dataset[[#This Row],[state]]="VA",1,0)</f>
        <v>0</v>
      </c>
    </row>
    <row r="642" spans="1:17" x14ac:dyDescent="0.35">
      <c r="A642">
        <v>202405</v>
      </c>
      <c r="B642">
        <v>64</v>
      </c>
      <c r="C642" s="2">
        <v>2387374.9602999999</v>
      </c>
      <c r="D642" s="2">
        <v>0.77049999999999996</v>
      </c>
      <c r="E642" s="3">
        <v>222837</v>
      </c>
      <c r="F642" s="2">
        <v>171689.62830000001</v>
      </c>
      <c r="G642" t="s">
        <v>1381</v>
      </c>
      <c r="H642" t="s">
        <v>6</v>
      </c>
      <c r="I642">
        <f>HLOOKUP(G642,zip_tiers!$A$1:$EON$2,2,FALSE)</f>
        <v>51362.666666666664</v>
      </c>
      <c r="J642" t="str">
        <f t="shared" ref="J642:J705" si="10">IF(I642="","No Data",IF(I642&gt;=100000,"High",IF(I642&gt;=40000,"Med","Low")))</f>
        <v>Med</v>
      </c>
      <c r="K642">
        <f>dataset[[#This Row],[soda_sales]]/dataset[[#This Row],[soda_units_sold]]</f>
        <v>0.77047181706808121</v>
      </c>
      <c r="L642" s="29">
        <f>dataset[[#This Row],[implied_soda_ppu]]-dataset[[#This Row],[soda_ppu]]</f>
        <v>-2.8182931918752097E-5</v>
      </c>
      <c r="M642">
        <f>dataset[[#This Row],[soda_sales]]/dataset[[#This Row],[total_sales]]</f>
        <v>7.191565261220019E-2</v>
      </c>
      <c r="N642">
        <f>LN(dataset[[#This Row],[soda_units_sold]])</f>
        <v>12.314195841470086</v>
      </c>
      <c r="O642">
        <f>LN(dataset[[#This Row],[soda_sales]])</f>
        <v>12.053443639120461</v>
      </c>
      <c r="P642">
        <f>LN(dataset[[#This Row],[soda_ppu]])</f>
        <v>-0.26071562422196665</v>
      </c>
      <c r="Q642">
        <f>IF(dataset[[#This Row],[state]]="VA",1,0)</f>
        <v>0</v>
      </c>
    </row>
    <row r="643" spans="1:17" x14ac:dyDescent="0.35">
      <c r="A643">
        <v>202406</v>
      </c>
      <c r="B643">
        <v>64</v>
      </c>
      <c r="C643" s="2">
        <v>2283970.6255000001</v>
      </c>
      <c r="D643" s="2">
        <v>0.77849999999999997</v>
      </c>
      <c r="E643" s="3">
        <v>230476</v>
      </c>
      <c r="F643" s="2">
        <v>179432.53109999999</v>
      </c>
      <c r="G643" t="s">
        <v>1381</v>
      </c>
      <c r="H643" t="s">
        <v>6</v>
      </c>
      <c r="I643">
        <f>HLOOKUP(G643,zip_tiers!$A$1:$EON$2,2,FALSE)</f>
        <v>51362.666666666664</v>
      </c>
      <c r="J643" t="str">
        <f t="shared" si="10"/>
        <v>Med</v>
      </c>
      <c r="K643">
        <f>dataset[[#This Row],[soda_sales]]/dataset[[#This Row],[soda_units_sold]]</f>
        <v>0.77853022050018217</v>
      </c>
      <c r="L643" s="29">
        <f>dataset[[#This Row],[implied_soda_ppu]]-dataset[[#This Row],[soda_ppu]]</f>
        <v>3.0220500182198684E-5</v>
      </c>
      <c r="M643">
        <f>dataset[[#This Row],[soda_sales]]/dataset[[#This Row],[total_sales]]</f>
        <v>7.8561663226609652E-2</v>
      </c>
      <c r="N643">
        <f>LN(dataset[[#This Row],[soda_units_sold]])</f>
        <v>12.347902014522768</v>
      </c>
      <c r="O643">
        <f>LN(dataset[[#This Row],[soda_sales]])</f>
        <v>12.097554544943952</v>
      </c>
      <c r="P643">
        <f>LN(dataset[[#This Row],[soda_ppu]])</f>
        <v>-0.25038628770808408</v>
      </c>
      <c r="Q643">
        <f>IF(dataset[[#This Row],[state]]="VA",1,0)</f>
        <v>0</v>
      </c>
    </row>
    <row r="644" spans="1:17" x14ac:dyDescent="0.35">
      <c r="A644">
        <v>202407</v>
      </c>
      <c r="B644">
        <v>64</v>
      </c>
      <c r="C644" s="2">
        <v>2237235.6288999999</v>
      </c>
      <c r="D644" s="2">
        <v>0.76419999999999999</v>
      </c>
      <c r="E644" s="3">
        <v>251391</v>
      </c>
      <c r="F644" s="2">
        <v>192103.8671</v>
      </c>
      <c r="G644" t="s">
        <v>1381</v>
      </c>
      <c r="H644" t="s">
        <v>6</v>
      </c>
      <c r="I644">
        <f>HLOOKUP(G644,zip_tiers!$A$1:$EON$2,2,FALSE)</f>
        <v>51362.666666666664</v>
      </c>
      <c r="J644" t="str">
        <f t="shared" si="10"/>
        <v>Med</v>
      </c>
      <c r="K644">
        <f>dataset[[#This Row],[soda_sales]]/dataset[[#This Row],[soda_units_sold]]</f>
        <v>0.76416366178582373</v>
      </c>
      <c r="L644" s="29">
        <f>dataset[[#This Row],[implied_soda_ppu]]-dataset[[#This Row],[soda_ppu]]</f>
        <v>-3.6338214176256933E-5</v>
      </c>
      <c r="M644">
        <f>dataset[[#This Row],[soda_sales]]/dataset[[#This Row],[total_sales]]</f>
        <v>8.5866622459634834E-2</v>
      </c>
      <c r="N644">
        <f>LN(dataset[[#This Row],[soda_units_sold]])</f>
        <v>12.434764774974793</v>
      </c>
      <c r="O644">
        <f>LN(dataset[[#This Row],[soda_sales]])</f>
        <v>12.165791479215143</v>
      </c>
      <c r="P644">
        <f>LN(dataset[[#This Row],[soda_ppu]])</f>
        <v>-0.26892574396933749</v>
      </c>
      <c r="Q644">
        <f>IF(dataset[[#This Row],[state]]="VA",1,0)</f>
        <v>0</v>
      </c>
    </row>
    <row r="645" spans="1:17" x14ac:dyDescent="0.35">
      <c r="A645">
        <v>202408</v>
      </c>
      <c r="B645">
        <v>64</v>
      </c>
      <c r="C645" s="2">
        <v>2081169.7553999999</v>
      </c>
      <c r="D645" s="2">
        <v>0.75419999999999998</v>
      </c>
      <c r="E645" s="3">
        <v>218795</v>
      </c>
      <c r="F645" s="2">
        <v>165010.87289999999</v>
      </c>
      <c r="G645" t="s">
        <v>1381</v>
      </c>
      <c r="H645" t="s">
        <v>6</v>
      </c>
      <c r="I645">
        <f>HLOOKUP(G645,zip_tiers!$A$1:$EON$2,2,FALSE)</f>
        <v>51362.666666666664</v>
      </c>
      <c r="J645" t="str">
        <f t="shared" si="10"/>
        <v>Med</v>
      </c>
      <c r="K645">
        <f>dataset[[#This Row],[soda_sales]]/dataset[[#This Row],[soda_units_sold]]</f>
        <v>0.75418027331520365</v>
      </c>
      <c r="L645" s="29">
        <f>dataset[[#This Row],[implied_soda_ppu]]-dataset[[#This Row],[soda_ppu]]</f>
        <v>-1.9726684796328442E-5</v>
      </c>
      <c r="M645">
        <f>dataset[[#This Row],[soda_sales]]/dataset[[#This Row],[total_sales]]</f>
        <v>7.9287560503821075E-2</v>
      </c>
      <c r="N645">
        <f>LN(dataset[[#This Row],[soda_units_sold]])</f>
        <v>12.295890497349292</v>
      </c>
      <c r="O645">
        <f>LN(dataset[[#This Row],[soda_sales]])</f>
        <v>12.013766647075284</v>
      </c>
      <c r="P645">
        <f>LN(dataset[[#This Row],[soda_ppu]])</f>
        <v>-0.28209769415788033</v>
      </c>
      <c r="Q645">
        <f>IF(dataset[[#This Row],[state]]="VA",1,0)</f>
        <v>0</v>
      </c>
    </row>
    <row r="646" spans="1:17" x14ac:dyDescent="0.35">
      <c r="A646">
        <v>202409</v>
      </c>
      <c r="B646">
        <v>64</v>
      </c>
      <c r="C646" s="2">
        <v>2081528.7464999999</v>
      </c>
      <c r="D646" s="2">
        <v>0.78080000000000005</v>
      </c>
      <c r="E646" s="3">
        <v>205780</v>
      </c>
      <c r="F646" s="2">
        <v>160664.92180000001</v>
      </c>
      <c r="G646" t="s">
        <v>1381</v>
      </c>
      <c r="H646" t="s">
        <v>6</v>
      </c>
      <c r="I646">
        <f>HLOOKUP(G646,zip_tiers!$A$1:$EON$2,2,FALSE)</f>
        <v>51362.666666666664</v>
      </c>
      <c r="J646" t="str">
        <f t="shared" si="10"/>
        <v>Med</v>
      </c>
      <c r="K646">
        <f>dataset[[#This Row],[soda_sales]]/dataset[[#This Row],[soda_units_sold]]</f>
        <v>0.78076062688307912</v>
      </c>
      <c r="L646" s="29">
        <f>dataset[[#This Row],[implied_soda_ppu]]-dataset[[#This Row],[soda_ppu]]</f>
        <v>-3.9373116920926599E-5</v>
      </c>
      <c r="M646">
        <f>dataset[[#This Row],[soda_sales]]/dataset[[#This Row],[total_sales]]</f>
        <v>7.7186021125171145E-2</v>
      </c>
      <c r="N646">
        <f>LN(dataset[[#This Row],[soda_units_sold]])</f>
        <v>12.234562915929802</v>
      </c>
      <c r="O646">
        <f>LN(dataset[[#This Row],[soda_sales]])</f>
        <v>11.987076244139681</v>
      </c>
      <c r="P646">
        <f>LN(dataset[[#This Row],[soda_ppu]])</f>
        <v>-0.24743624388325425</v>
      </c>
      <c r="Q646">
        <f>IF(dataset[[#This Row],[state]]="VA",1,0)</f>
        <v>0</v>
      </c>
    </row>
    <row r="647" spans="1:17" x14ac:dyDescent="0.35">
      <c r="A647">
        <v>202410</v>
      </c>
      <c r="B647">
        <v>64</v>
      </c>
      <c r="C647" s="2">
        <v>2539961.5211</v>
      </c>
      <c r="D647" s="2">
        <v>0.80220000000000002</v>
      </c>
      <c r="E647" s="3">
        <v>184101</v>
      </c>
      <c r="F647" s="2">
        <v>147680.55489999999</v>
      </c>
      <c r="G647" t="s">
        <v>1381</v>
      </c>
      <c r="H647" t="s">
        <v>6</v>
      </c>
      <c r="I647">
        <f>HLOOKUP(G647,zip_tiers!$A$1:$EON$2,2,FALSE)</f>
        <v>51362.666666666664</v>
      </c>
      <c r="J647" t="str">
        <f t="shared" si="10"/>
        <v>Med</v>
      </c>
      <c r="K647">
        <f>dataset[[#This Row],[soda_sales]]/dataset[[#This Row],[soda_units_sold]]</f>
        <v>0.80217138907447538</v>
      </c>
      <c r="L647" s="29">
        <f>dataset[[#This Row],[implied_soda_ppu]]-dataset[[#This Row],[soda_ppu]]</f>
        <v>-2.8610925524641395E-5</v>
      </c>
      <c r="M647">
        <f>dataset[[#This Row],[soda_sales]]/dataset[[#This Row],[total_sales]]</f>
        <v>5.8142831563858841E-2</v>
      </c>
      <c r="N647">
        <f>LN(dataset[[#This Row],[soda_units_sold]])</f>
        <v>12.123239799036943</v>
      </c>
      <c r="O647">
        <f>LN(dataset[[#This Row],[soda_sales]])</f>
        <v>11.902806807178157</v>
      </c>
      <c r="P647">
        <f>LN(dataset[[#This Row],[soda_ppu]])</f>
        <v>-0.22039732564618453</v>
      </c>
      <c r="Q647">
        <f>IF(dataset[[#This Row],[state]]="VA",1,0)</f>
        <v>0</v>
      </c>
    </row>
    <row r="648" spans="1:17" x14ac:dyDescent="0.35">
      <c r="A648">
        <v>202411</v>
      </c>
      <c r="B648">
        <v>64</v>
      </c>
      <c r="C648" s="2">
        <v>2863878.2151000001</v>
      </c>
      <c r="D648" s="2">
        <v>0.79259999999999997</v>
      </c>
      <c r="E648" s="3">
        <v>178077</v>
      </c>
      <c r="F648" s="2">
        <v>141136.47070000001</v>
      </c>
      <c r="G648" t="s">
        <v>1381</v>
      </c>
      <c r="H648" t="s">
        <v>6</v>
      </c>
      <c r="I648">
        <f>HLOOKUP(G648,zip_tiers!$A$1:$EON$2,2,FALSE)</f>
        <v>51362.666666666664</v>
      </c>
      <c r="J648" t="str">
        <f t="shared" si="10"/>
        <v>Med</v>
      </c>
      <c r="K648">
        <f>dataset[[#This Row],[soda_sales]]/dataset[[#This Row],[soda_units_sold]]</f>
        <v>0.79255867237206379</v>
      </c>
      <c r="L648" s="29">
        <f>dataset[[#This Row],[implied_soda_ppu]]-dataset[[#This Row],[soda_ppu]]</f>
        <v>-4.1327627936182942E-5</v>
      </c>
      <c r="M648">
        <f>dataset[[#This Row],[soda_sales]]/dataset[[#This Row],[total_sales]]</f>
        <v>4.9281589543803919E-2</v>
      </c>
      <c r="N648">
        <f>LN(dataset[[#This Row],[soda_units_sold]])</f>
        <v>12.089971320006285</v>
      </c>
      <c r="O648">
        <f>LN(dataset[[#This Row],[soda_sales]])</f>
        <v>11.857482578574043</v>
      </c>
      <c r="P648">
        <f>LN(dataset[[#This Row],[soda_ppu]])</f>
        <v>-0.23243659822580245</v>
      </c>
      <c r="Q648">
        <f>IF(dataset[[#This Row],[state]]="VA",1,0)</f>
        <v>0</v>
      </c>
    </row>
    <row r="649" spans="1:17" x14ac:dyDescent="0.35">
      <c r="A649">
        <v>202412</v>
      </c>
      <c r="B649">
        <v>64</v>
      </c>
      <c r="C649" s="2">
        <v>2987225.5635000002</v>
      </c>
      <c r="D649" s="2">
        <v>0.79559999999999997</v>
      </c>
      <c r="E649" s="3">
        <v>173270</v>
      </c>
      <c r="F649" s="2">
        <v>137855.4149</v>
      </c>
      <c r="G649" t="s">
        <v>1381</v>
      </c>
      <c r="H649" t="s">
        <v>6</v>
      </c>
      <c r="I649">
        <f>HLOOKUP(G649,zip_tiers!$A$1:$EON$2,2,FALSE)</f>
        <v>51362.666666666664</v>
      </c>
      <c r="J649" t="str">
        <f t="shared" si="10"/>
        <v>Med</v>
      </c>
      <c r="K649">
        <f>dataset[[#This Row],[soda_sales]]/dataset[[#This Row],[soda_units_sold]]</f>
        <v>0.79561040514803483</v>
      </c>
      <c r="L649" s="29">
        <f>dataset[[#This Row],[implied_soda_ppu]]-dataset[[#This Row],[soda_ppu]]</f>
        <v>1.0405148034853262E-5</v>
      </c>
      <c r="M649">
        <f>dataset[[#This Row],[soda_sales]]/dataset[[#This Row],[total_sales]]</f>
        <v>4.6148311190294215E-2</v>
      </c>
      <c r="N649">
        <f>LN(dataset[[#This Row],[soda_units_sold]])</f>
        <v>12.062606350504893</v>
      </c>
      <c r="O649">
        <f>LN(dataset[[#This Row],[soda_sales]])</f>
        <v>11.833960696783109</v>
      </c>
      <c r="P649">
        <f>LN(dataset[[#This Row],[soda_ppu]])</f>
        <v>-0.22865873200231995</v>
      </c>
      <c r="Q649">
        <f>IF(dataset[[#This Row],[state]]="VA",1,0)</f>
        <v>0</v>
      </c>
    </row>
    <row r="650" spans="1:17" x14ac:dyDescent="0.35">
      <c r="A650">
        <v>202201</v>
      </c>
      <c r="B650">
        <v>71</v>
      </c>
      <c r="C650" s="2">
        <v>2575808.7815999999</v>
      </c>
      <c r="D650" s="2">
        <v>0.69669999999999999</v>
      </c>
      <c r="E650" s="3">
        <v>123292</v>
      </c>
      <c r="F650" s="2">
        <v>85892.637700000007</v>
      </c>
      <c r="G650" t="s">
        <v>2305</v>
      </c>
      <c r="H650" t="s">
        <v>3</v>
      </c>
      <c r="I650">
        <f>HLOOKUP(G650,zip_tiers!$A$1:$EON$2,2,FALSE)</f>
        <v>130123</v>
      </c>
      <c r="J650" t="str">
        <f t="shared" si="10"/>
        <v>High</v>
      </c>
      <c r="K650">
        <f>dataset[[#This Row],[soda_sales]]/dataset[[#This Row],[soda_units_sold]]</f>
        <v>0.6966602674950525</v>
      </c>
      <c r="L650" s="29">
        <f>dataset[[#This Row],[implied_soda_ppu]]-dataset[[#This Row],[soda_ppu]]</f>
        <v>-3.9732504947487257E-5</v>
      </c>
      <c r="M650">
        <f>dataset[[#This Row],[soda_sales]]/dataset[[#This Row],[total_sales]]</f>
        <v>3.3345890546520533E-2</v>
      </c>
      <c r="N650">
        <f>LN(dataset[[#This Row],[soda_units_sold]])</f>
        <v>11.722310804646833</v>
      </c>
      <c r="O650">
        <f>LN(dataset[[#This Row],[soda_sales]])</f>
        <v>11.360853396499456</v>
      </c>
      <c r="P650">
        <f>LN(dataset[[#This Row],[soda_ppu]])</f>
        <v>-0.36140037694606386</v>
      </c>
      <c r="Q650">
        <f>IF(dataset[[#This Row],[state]]="VA",1,0)</f>
        <v>1</v>
      </c>
    </row>
    <row r="651" spans="1:17" x14ac:dyDescent="0.35">
      <c r="A651">
        <v>202202</v>
      </c>
      <c r="B651">
        <v>71</v>
      </c>
      <c r="C651" s="2">
        <v>2981536.9537999998</v>
      </c>
      <c r="D651" s="2">
        <v>0.70609999999999995</v>
      </c>
      <c r="E651" s="3">
        <v>139817</v>
      </c>
      <c r="F651" s="2">
        <v>98723.872300000003</v>
      </c>
      <c r="G651" t="s">
        <v>2305</v>
      </c>
      <c r="H651" t="s">
        <v>3</v>
      </c>
      <c r="I651">
        <f>HLOOKUP(G651,zip_tiers!$A$1:$EON$2,2,FALSE)</f>
        <v>130123</v>
      </c>
      <c r="J651" t="str">
        <f t="shared" si="10"/>
        <v>High</v>
      </c>
      <c r="K651">
        <f>dataset[[#This Row],[soda_sales]]/dataset[[#This Row],[soda_units_sold]]</f>
        <v>0.70609348147936235</v>
      </c>
      <c r="L651" s="29">
        <f>dataset[[#This Row],[implied_soda_ppu]]-dataset[[#This Row],[soda_ppu]]</f>
        <v>-6.5185206375995008E-6</v>
      </c>
      <c r="M651">
        <f>dataset[[#This Row],[soda_sales]]/dataset[[#This Row],[total_sales]]</f>
        <v>3.31117386199676E-2</v>
      </c>
      <c r="N651">
        <f>LN(dataset[[#This Row],[soda_units_sold]])</f>
        <v>11.848089703677871</v>
      </c>
      <c r="O651">
        <f>LN(dataset[[#This Row],[soda_sales]])</f>
        <v>11.500082063450968</v>
      </c>
      <c r="P651">
        <f>LN(dataset[[#This Row],[soda_ppu]])</f>
        <v>-0.34799840845983598</v>
      </c>
      <c r="Q651">
        <f>IF(dataset[[#This Row],[state]]="VA",1,0)</f>
        <v>1</v>
      </c>
    </row>
    <row r="652" spans="1:17" x14ac:dyDescent="0.35">
      <c r="A652">
        <v>202203</v>
      </c>
      <c r="B652">
        <v>71</v>
      </c>
      <c r="C652" s="2">
        <v>3361366.8152000001</v>
      </c>
      <c r="D652" s="2">
        <v>0.72760000000000002</v>
      </c>
      <c r="E652" s="3">
        <v>165419</v>
      </c>
      <c r="F652" s="2">
        <v>120361.21679999999</v>
      </c>
      <c r="G652" t="s">
        <v>2305</v>
      </c>
      <c r="H652" t="s">
        <v>3</v>
      </c>
      <c r="I652">
        <f>HLOOKUP(G652,zip_tiers!$A$1:$EON$2,2,FALSE)</f>
        <v>130123</v>
      </c>
      <c r="J652" t="str">
        <f t="shared" si="10"/>
        <v>High</v>
      </c>
      <c r="K652">
        <f>dataset[[#This Row],[soda_sales]]/dataset[[#This Row],[soda_units_sold]]</f>
        <v>0.72761422085733796</v>
      </c>
      <c r="L652" s="29">
        <f>dataset[[#This Row],[implied_soda_ppu]]-dataset[[#This Row],[soda_ppu]]</f>
        <v>1.4220857337932102E-5</v>
      </c>
      <c r="M652">
        <f>dataset[[#This Row],[soda_sales]]/dataset[[#This Row],[total_sales]]</f>
        <v>3.5807224684830642E-2</v>
      </c>
      <c r="N652">
        <f>LN(dataset[[#This Row],[soda_units_sold]])</f>
        <v>12.016236928009393</v>
      </c>
      <c r="O652">
        <f>LN(dataset[[#This Row],[soda_sales]])</f>
        <v>11.698252640363867</v>
      </c>
      <c r="P652">
        <f>LN(dataset[[#This Row],[soda_ppu]])</f>
        <v>-0.31800383233816981</v>
      </c>
      <c r="Q652">
        <f>IF(dataset[[#This Row],[state]]="VA",1,0)</f>
        <v>1</v>
      </c>
    </row>
    <row r="653" spans="1:17" x14ac:dyDescent="0.35">
      <c r="A653">
        <v>202204</v>
      </c>
      <c r="B653">
        <v>71</v>
      </c>
      <c r="C653" s="2">
        <v>3495226.8791</v>
      </c>
      <c r="D653" s="2">
        <v>0.70569999999999999</v>
      </c>
      <c r="E653" s="3">
        <v>189653</v>
      </c>
      <c r="F653" s="2">
        <v>133842.65299999999</v>
      </c>
      <c r="G653" t="s">
        <v>2305</v>
      </c>
      <c r="H653" t="s">
        <v>3</v>
      </c>
      <c r="I653">
        <f>HLOOKUP(G653,zip_tiers!$A$1:$EON$2,2,FALSE)</f>
        <v>130123</v>
      </c>
      <c r="J653" t="str">
        <f t="shared" si="10"/>
        <v>High</v>
      </c>
      <c r="K653">
        <f>dataset[[#This Row],[soda_sales]]/dataset[[#This Row],[soda_units_sold]]</f>
        <v>0.70572389047365447</v>
      </c>
      <c r="L653" s="29">
        <f>dataset[[#This Row],[implied_soda_ppu]]-dataset[[#This Row],[soda_ppu]]</f>
        <v>2.3890473654475386E-5</v>
      </c>
      <c r="M653">
        <f>dataset[[#This Row],[soda_sales]]/dataset[[#This Row],[total_sales]]</f>
        <v>3.8292980006626544E-2</v>
      </c>
      <c r="N653">
        <f>LN(dataset[[#This Row],[soda_units_sold]])</f>
        <v>12.152951365605167</v>
      </c>
      <c r="O653">
        <f>LN(dataset[[#This Row],[soda_sales]])</f>
        <v>11.804420157639981</v>
      </c>
      <c r="P653">
        <f>LN(dataset[[#This Row],[soda_ppu]])</f>
        <v>-0.3485650609753525</v>
      </c>
      <c r="Q653">
        <f>IF(dataset[[#This Row],[state]]="VA",1,0)</f>
        <v>1</v>
      </c>
    </row>
    <row r="654" spans="1:17" x14ac:dyDescent="0.35">
      <c r="A654">
        <v>202205</v>
      </c>
      <c r="B654">
        <v>71</v>
      </c>
      <c r="C654" s="2">
        <v>3622417.2530999999</v>
      </c>
      <c r="D654" s="2">
        <v>0.71289999999999998</v>
      </c>
      <c r="E654" s="3">
        <v>209089</v>
      </c>
      <c r="F654" s="2">
        <v>149059.74849999999</v>
      </c>
      <c r="G654" t="s">
        <v>2305</v>
      </c>
      <c r="H654" t="s">
        <v>3</v>
      </c>
      <c r="I654">
        <f>HLOOKUP(G654,zip_tiers!$A$1:$EON$2,2,FALSE)</f>
        <v>130123</v>
      </c>
      <c r="J654" t="str">
        <f t="shared" si="10"/>
        <v>High</v>
      </c>
      <c r="K654">
        <f>dataset[[#This Row],[soda_sales]]/dataset[[#This Row],[soda_units_sold]]</f>
        <v>0.71290095844353352</v>
      </c>
      <c r="L654" s="29">
        <f>dataset[[#This Row],[implied_soda_ppu]]-dataset[[#This Row],[soda_ppu]]</f>
        <v>9.584435335385777E-7</v>
      </c>
      <c r="M654">
        <f>dataset[[#This Row],[soda_sales]]/dataset[[#This Row],[total_sales]]</f>
        <v>4.1149248715740112E-2</v>
      </c>
      <c r="N654">
        <f>LN(dataset[[#This Row],[soda_units_sold]])</f>
        <v>12.250515277624542</v>
      </c>
      <c r="O654">
        <f>LN(dataset[[#This Row],[soda_sales]])</f>
        <v>11.912102501194223</v>
      </c>
      <c r="P654">
        <f>LN(dataset[[#This Row],[soda_ppu]])</f>
        <v>-0.33841412085855432</v>
      </c>
      <c r="Q654">
        <f>IF(dataset[[#This Row],[state]]="VA",1,0)</f>
        <v>1</v>
      </c>
    </row>
    <row r="655" spans="1:17" x14ac:dyDescent="0.35">
      <c r="A655">
        <v>202206</v>
      </c>
      <c r="B655">
        <v>71</v>
      </c>
      <c r="C655" s="2">
        <v>3508922.3629000001</v>
      </c>
      <c r="D655" s="2">
        <v>0.71540000000000004</v>
      </c>
      <c r="E655" s="3">
        <v>221161</v>
      </c>
      <c r="F655" s="2">
        <v>158229.1698</v>
      </c>
      <c r="G655" t="s">
        <v>2305</v>
      </c>
      <c r="H655" t="s">
        <v>3</v>
      </c>
      <c r="I655">
        <f>HLOOKUP(G655,zip_tiers!$A$1:$EON$2,2,FALSE)</f>
        <v>130123</v>
      </c>
      <c r="J655" t="str">
        <f t="shared" si="10"/>
        <v>High</v>
      </c>
      <c r="K655">
        <f>dataset[[#This Row],[soda_sales]]/dataset[[#This Row],[soda_units_sold]]</f>
        <v>0.71544788547709592</v>
      </c>
      <c r="L655" s="29">
        <f>dataset[[#This Row],[implied_soda_ppu]]-dataset[[#This Row],[soda_ppu]]</f>
        <v>4.7885477095888085E-5</v>
      </c>
      <c r="M655">
        <f>dataset[[#This Row],[soda_sales]]/dataset[[#This Row],[total_sales]]</f>
        <v>4.5093380085283276E-2</v>
      </c>
      <c r="N655">
        <f>LN(dataset[[#This Row],[soda_units_sold]])</f>
        <v>12.306646222054958</v>
      </c>
      <c r="O655">
        <f>LN(dataset[[#This Row],[soda_sales]])</f>
        <v>11.971799702906621</v>
      </c>
      <c r="P655">
        <f>LN(dataset[[#This Row],[soda_ppu]])</f>
        <v>-0.33491345215721963</v>
      </c>
      <c r="Q655">
        <f>IF(dataset[[#This Row],[state]]="VA",1,0)</f>
        <v>1</v>
      </c>
    </row>
    <row r="656" spans="1:17" x14ac:dyDescent="0.35">
      <c r="A656">
        <v>202207</v>
      </c>
      <c r="B656">
        <v>71</v>
      </c>
      <c r="C656" s="2">
        <v>3263849.8292999999</v>
      </c>
      <c r="D656" s="2">
        <v>0.70760000000000001</v>
      </c>
      <c r="E656" s="3">
        <v>219830</v>
      </c>
      <c r="F656" s="2">
        <v>155559.17939999999</v>
      </c>
      <c r="G656" t="s">
        <v>2305</v>
      </c>
      <c r="H656" t="s">
        <v>3</v>
      </c>
      <c r="I656">
        <f>HLOOKUP(G656,zip_tiers!$A$1:$EON$2,2,FALSE)</f>
        <v>130123</v>
      </c>
      <c r="J656" t="str">
        <f t="shared" si="10"/>
        <v>High</v>
      </c>
      <c r="K656">
        <f>dataset[[#This Row],[soda_sales]]/dataset[[#This Row],[soda_units_sold]]</f>
        <v>0.70763398717190551</v>
      </c>
      <c r="L656" s="29">
        <f>dataset[[#This Row],[implied_soda_ppu]]-dataset[[#This Row],[soda_ppu]]</f>
        <v>3.3987171905502933E-5</v>
      </c>
      <c r="M656">
        <f>dataset[[#This Row],[soda_sales]]/dataset[[#This Row],[total_sales]]</f>
        <v>4.7661255123788243E-2</v>
      </c>
      <c r="N656">
        <f>LN(dataset[[#This Row],[soda_units_sold]])</f>
        <v>12.300609799354163</v>
      </c>
      <c r="O656">
        <f>LN(dataset[[#This Row],[soda_sales]])</f>
        <v>11.954781513120773</v>
      </c>
      <c r="P656">
        <f>LN(dataset[[#This Row],[soda_ppu]])</f>
        <v>-0.34587631669650681</v>
      </c>
      <c r="Q656">
        <f>IF(dataset[[#This Row],[state]]="VA",1,0)</f>
        <v>1</v>
      </c>
    </row>
    <row r="657" spans="1:17" x14ac:dyDescent="0.35">
      <c r="A657">
        <v>202208</v>
      </c>
      <c r="B657">
        <v>71</v>
      </c>
      <c r="C657" s="2">
        <v>3174431.3725999999</v>
      </c>
      <c r="D657" s="2">
        <v>0.69469999999999998</v>
      </c>
      <c r="E657" s="3">
        <v>197979</v>
      </c>
      <c r="F657" s="2">
        <v>137531.24309999999</v>
      </c>
      <c r="G657" t="s">
        <v>2305</v>
      </c>
      <c r="H657" t="s">
        <v>3</v>
      </c>
      <c r="I657">
        <f>HLOOKUP(G657,zip_tiers!$A$1:$EON$2,2,FALSE)</f>
        <v>130123</v>
      </c>
      <c r="J657" t="str">
        <f t="shared" si="10"/>
        <v>High</v>
      </c>
      <c r="K657">
        <f>dataset[[#This Row],[soda_sales]]/dataset[[#This Row],[soda_units_sold]]</f>
        <v>0.69467591562741504</v>
      </c>
      <c r="L657" s="29">
        <f>dataset[[#This Row],[implied_soda_ppu]]-dataset[[#This Row],[soda_ppu]]</f>
        <v>-2.408437258494267E-5</v>
      </c>
      <c r="M657">
        <f>dataset[[#This Row],[soda_sales]]/dataset[[#This Row],[total_sales]]</f>
        <v>4.3324686205881278E-2</v>
      </c>
      <c r="N657">
        <f>LN(dataset[[#This Row],[soda_units_sold]])</f>
        <v>12.195916243445788</v>
      </c>
      <c r="O657">
        <f>LN(dataset[[#This Row],[soda_sales]])</f>
        <v>11.831606392823085</v>
      </c>
      <c r="P657">
        <f>LN(dataset[[#This Row],[soda_ppu]])</f>
        <v>-0.36427518128330183</v>
      </c>
      <c r="Q657">
        <f>IF(dataset[[#This Row],[state]]="VA",1,0)</f>
        <v>1</v>
      </c>
    </row>
    <row r="658" spans="1:17" x14ac:dyDescent="0.35">
      <c r="A658">
        <v>202209</v>
      </c>
      <c r="B658">
        <v>71</v>
      </c>
      <c r="C658" s="2">
        <v>3119136.6337000001</v>
      </c>
      <c r="D658" s="2">
        <v>0.69389999999999996</v>
      </c>
      <c r="E658" s="3">
        <v>189985</v>
      </c>
      <c r="F658" s="2">
        <v>131832.7518</v>
      </c>
      <c r="G658" t="s">
        <v>2305</v>
      </c>
      <c r="H658" t="s">
        <v>3</v>
      </c>
      <c r="I658">
        <f>HLOOKUP(G658,zip_tiers!$A$1:$EON$2,2,FALSE)</f>
        <v>130123</v>
      </c>
      <c r="J658" t="str">
        <f t="shared" si="10"/>
        <v>High</v>
      </c>
      <c r="K658">
        <f>dataset[[#This Row],[soda_sales]]/dataset[[#This Row],[soda_units_sold]]</f>
        <v>0.6939113708977025</v>
      </c>
      <c r="L658" s="29">
        <f>dataset[[#This Row],[implied_soda_ppu]]-dataset[[#This Row],[soda_ppu]]</f>
        <v>1.1370897702533966E-5</v>
      </c>
      <c r="M658">
        <f>dataset[[#This Row],[soda_sales]]/dataset[[#This Row],[total_sales]]</f>
        <v>4.2265782901474439E-2</v>
      </c>
      <c r="N658">
        <f>LN(dataset[[#This Row],[soda_units_sold]])</f>
        <v>12.154700400657694</v>
      </c>
      <c r="O658">
        <f>LN(dataset[[#This Row],[soda_sales]])</f>
        <v>11.789289366386848</v>
      </c>
      <c r="P658">
        <f>LN(dataset[[#This Row],[soda_ppu]])</f>
        <v>-0.3654274210766339</v>
      </c>
      <c r="Q658">
        <f>IF(dataset[[#This Row],[state]]="VA",1,0)</f>
        <v>1</v>
      </c>
    </row>
    <row r="659" spans="1:17" x14ac:dyDescent="0.35">
      <c r="A659">
        <v>202210</v>
      </c>
      <c r="B659">
        <v>71</v>
      </c>
      <c r="C659" s="2">
        <v>3904504.2382</v>
      </c>
      <c r="D659" s="2">
        <v>0.73409999999999997</v>
      </c>
      <c r="E659" s="3">
        <v>179531</v>
      </c>
      <c r="F659" s="2">
        <v>131799.9621</v>
      </c>
      <c r="G659" t="s">
        <v>2305</v>
      </c>
      <c r="H659" t="s">
        <v>3</v>
      </c>
      <c r="I659">
        <f>HLOOKUP(G659,zip_tiers!$A$1:$EON$2,2,FALSE)</f>
        <v>130123</v>
      </c>
      <c r="J659" t="str">
        <f t="shared" si="10"/>
        <v>High</v>
      </c>
      <c r="K659">
        <f>dataset[[#This Row],[soda_sales]]/dataset[[#This Row],[soda_units_sold]]</f>
        <v>0.73413484077958679</v>
      </c>
      <c r="L659" s="29">
        <f>dataset[[#This Row],[implied_soda_ppu]]-dataset[[#This Row],[soda_ppu]]</f>
        <v>3.484077958681997E-5</v>
      </c>
      <c r="M659">
        <f>dataset[[#This Row],[soda_sales]]/dataset[[#This Row],[total_sales]]</f>
        <v>3.3755876305761309E-2</v>
      </c>
      <c r="N659">
        <f>LN(dataset[[#This Row],[soda_units_sold]])</f>
        <v>12.098103173949067</v>
      </c>
      <c r="O659">
        <f>LN(dataset[[#This Row],[soda_sales]])</f>
        <v>11.789040613493599</v>
      </c>
      <c r="P659">
        <f>LN(dataset[[#This Row],[soda_ppu]])</f>
        <v>-0.30911001986540143</v>
      </c>
      <c r="Q659">
        <f>IF(dataset[[#This Row],[state]]="VA",1,0)</f>
        <v>1</v>
      </c>
    </row>
    <row r="660" spans="1:17" x14ac:dyDescent="0.35">
      <c r="A660">
        <v>202211</v>
      </c>
      <c r="B660">
        <v>71</v>
      </c>
      <c r="C660" s="2">
        <v>4320577.0913000004</v>
      </c>
      <c r="D660" s="2">
        <v>0.71250000000000002</v>
      </c>
      <c r="E660" s="3">
        <v>168090</v>
      </c>
      <c r="F660" s="2">
        <v>119770.6373</v>
      </c>
      <c r="G660" t="s">
        <v>2305</v>
      </c>
      <c r="H660" t="s">
        <v>3</v>
      </c>
      <c r="I660">
        <f>HLOOKUP(G660,zip_tiers!$A$1:$EON$2,2,FALSE)</f>
        <v>130123</v>
      </c>
      <c r="J660" t="str">
        <f t="shared" si="10"/>
        <v>High</v>
      </c>
      <c r="K660">
        <f>dataset[[#This Row],[soda_sales]]/dataset[[#This Row],[soda_units_sold]]</f>
        <v>0.71253874293533226</v>
      </c>
      <c r="L660" s="29">
        <f>dataset[[#This Row],[implied_soda_ppu]]-dataset[[#This Row],[soda_ppu]]</f>
        <v>3.8742935332236605E-5</v>
      </c>
      <c r="M660">
        <f>dataset[[#This Row],[soda_sales]]/dataset[[#This Row],[total_sales]]</f>
        <v>2.7720981426572051E-2</v>
      </c>
      <c r="N660">
        <f>LN(dataset[[#This Row],[soda_units_sold]])</f>
        <v>12.03225482922744</v>
      </c>
      <c r="O660">
        <f>LN(dataset[[#This Row],[soda_sales]])</f>
        <v>11.693333836959374</v>
      </c>
      <c r="P660">
        <f>LN(dataset[[#This Row],[soda_ppu]])</f>
        <v>-0.33897536683933144</v>
      </c>
      <c r="Q660">
        <f>IF(dataset[[#This Row],[state]]="VA",1,0)</f>
        <v>1</v>
      </c>
    </row>
    <row r="661" spans="1:17" x14ac:dyDescent="0.35">
      <c r="A661">
        <v>202212</v>
      </c>
      <c r="B661">
        <v>71</v>
      </c>
      <c r="C661" s="2">
        <v>4653332.9349999996</v>
      </c>
      <c r="D661" s="2">
        <v>0.71619999999999995</v>
      </c>
      <c r="E661" s="3">
        <v>169196</v>
      </c>
      <c r="F661" s="2">
        <v>121182.239</v>
      </c>
      <c r="G661" t="s">
        <v>2305</v>
      </c>
      <c r="H661" t="s">
        <v>3</v>
      </c>
      <c r="I661">
        <f>HLOOKUP(G661,zip_tiers!$A$1:$EON$2,2,FALSE)</f>
        <v>130123</v>
      </c>
      <c r="J661" t="str">
        <f t="shared" si="10"/>
        <v>High</v>
      </c>
      <c r="K661">
        <f>dataset[[#This Row],[soda_sales]]/dataset[[#This Row],[soda_units_sold]]</f>
        <v>0.71622401829830495</v>
      </c>
      <c r="L661" s="29">
        <f>dataset[[#This Row],[implied_soda_ppu]]-dataset[[#This Row],[soda_ppu]]</f>
        <v>2.4018298305006347E-5</v>
      </c>
      <c r="M661">
        <f>dataset[[#This Row],[soda_sales]]/dataset[[#This Row],[total_sales]]</f>
        <v>2.6042030667638015E-2</v>
      </c>
      <c r="N661">
        <f>LN(dataset[[#This Row],[soda_units_sold]])</f>
        <v>12.038813085212876</v>
      </c>
      <c r="O661">
        <f>LN(dataset[[#This Row],[soda_sales]])</f>
        <v>11.7050507989746</v>
      </c>
      <c r="P661">
        <f>LN(dataset[[#This Row],[soda_ppu]])</f>
        <v>-0.33379582141780478</v>
      </c>
      <c r="Q661">
        <f>IF(dataset[[#This Row],[state]]="VA",1,0)</f>
        <v>1</v>
      </c>
    </row>
    <row r="662" spans="1:17" x14ac:dyDescent="0.35">
      <c r="A662">
        <v>202301</v>
      </c>
      <c r="B662">
        <v>71</v>
      </c>
      <c r="C662" s="2">
        <v>2665746.3988000001</v>
      </c>
      <c r="D662" s="2">
        <v>0.74239999999999995</v>
      </c>
      <c r="E662" s="3">
        <v>119200</v>
      </c>
      <c r="F662" s="2">
        <v>88495.214300000007</v>
      </c>
      <c r="G662" t="s">
        <v>2305</v>
      </c>
      <c r="H662" t="s">
        <v>3</v>
      </c>
      <c r="I662">
        <f>HLOOKUP(G662,zip_tiers!$A$1:$EON$2,2,FALSE)</f>
        <v>130123</v>
      </c>
      <c r="J662" t="str">
        <f t="shared" si="10"/>
        <v>High</v>
      </c>
      <c r="K662">
        <f>dataset[[#This Row],[soda_sales]]/dataset[[#This Row],[soda_units_sold]]</f>
        <v>0.74240951593959736</v>
      </c>
      <c r="L662" s="29">
        <f>dataset[[#This Row],[implied_soda_ppu]]-dataset[[#This Row],[soda_ppu]]</f>
        <v>9.5159395974153682E-6</v>
      </c>
      <c r="M662">
        <f>dataset[[#This Row],[soda_sales]]/dataset[[#This Row],[total_sales]]</f>
        <v>3.3197161717947586E-2</v>
      </c>
      <c r="N662">
        <f>LN(dataset[[#This Row],[soda_units_sold]])</f>
        <v>11.688558033613386</v>
      </c>
      <c r="O662">
        <f>LN(dataset[[#This Row],[soda_sales]])</f>
        <v>11.390703753827662</v>
      </c>
      <c r="P662">
        <f>LN(dataset[[#This Row],[soda_ppu]])</f>
        <v>-0.29786709751014628</v>
      </c>
      <c r="Q662">
        <f>IF(dataset[[#This Row],[state]]="VA",1,0)</f>
        <v>1</v>
      </c>
    </row>
    <row r="663" spans="1:17" x14ac:dyDescent="0.35">
      <c r="A663">
        <v>202302</v>
      </c>
      <c r="B663">
        <v>71</v>
      </c>
      <c r="C663" s="2">
        <v>2993216.6675</v>
      </c>
      <c r="D663" s="2">
        <v>0.72919999999999996</v>
      </c>
      <c r="E663" s="3">
        <v>137761</v>
      </c>
      <c r="F663" s="2">
        <v>100460.1142</v>
      </c>
      <c r="G663" t="s">
        <v>2305</v>
      </c>
      <c r="H663" t="s">
        <v>3</v>
      </c>
      <c r="I663">
        <f>HLOOKUP(G663,zip_tiers!$A$1:$EON$2,2,FALSE)</f>
        <v>130123</v>
      </c>
      <c r="J663" t="str">
        <f t="shared" si="10"/>
        <v>High</v>
      </c>
      <c r="K663">
        <f>dataset[[#This Row],[soda_sales]]/dataset[[#This Row],[soda_units_sold]]</f>
        <v>0.72923479214001052</v>
      </c>
      <c r="L663" s="29">
        <f>dataset[[#This Row],[implied_soda_ppu]]-dataset[[#This Row],[soda_ppu]]</f>
        <v>3.479214001056441E-5</v>
      </c>
      <c r="M663">
        <f>dataset[[#This Row],[soda_sales]]/dataset[[#This Row],[total_sales]]</f>
        <v>3.3562593477039028E-2</v>
      </c>
      <c r="N663">
        <f>LN(dataset[[#This Row],[soda_units_sold]])</f>
        <v>11.833275578636373</v>
      </c>
      <c r="O663">
        <f>LN(dataset[[#This Row],[soda_sales]])</f>
        <v>11.517516054074244</v>
      </c>
      <c r="P663">
        <f>LN(dataset[[#This Row],[soda_ppu]])</f>
        <v>-0.31580723617762912</v>
      </c>
      <c r="Q663">
        <f>IF(dataset[[#This Row],[state]]="VA",1,0)</f>
        <v>1</v>
      </c>
    </row>
    <row r="664" spans="1:17" x14ac:dyDescent="0.35">
      <c r="A664">
        <v>202303</v>
      </c>
      <c r="B664">
        <v>71</v>
      </c>
      <c r="C664" s="2">
        <v>3272192.1678999998</v>
      </c>
      <c r="D664" s="2">
        <v>0.74480000000000002</v>
      </c>
      <c r="E664" s="3">
        <v>156614</v>
      </c>
      <c r="F664" s="2">
        <v>116652.3033</v>
      </c>
      <c r="G664" t="s">
        <v>2305</v>
      </c>
      <c r="H664" t="s">
        <v>3</v>
      </c>
      <c r="I664">
        <f>HLOOKUP(G664,zip_tiers!$A$1:$EON$2,2,FALSE)</f>
        <v>130123</v>
      </c>
      <c r="J664" t="str">
        <f t="shared" si="10"/>
        <v>High</v>
      </c>
      <c r="K664">
        <f>dataset[[#This Row],[soda_sales]]/dataset[[#This Row],[soda_units_sold]]</f>
        <v>0.74483956287432795</v>
      </c>
      <c r="L664" s="29">
        <f>dataset[[#This Row],[implied_soda_ppu]]-dataset[[#This Row],[soda_ppu]]</f>
        <v>3.956287432793637E-5</v>
      </c>
      <c r="M664">
        <f>dataset[[#This Row],[soda_sales]]/dataset[[#This Row],[total_sales]]</f>
        <v>3.5649588200947303E-2</v>
      </c>
      <c r="N664">
        <f>LN(dataset[[#This Row],[soda_units_sold]])</f>
        <v>11.961539458287493</v>
      </c>
      <c r="O664">
        <f>LN(dataset[[#This Row],[soda_sales]])</f>
        <v>11.666953022646837</v>
      </c>
      <c r="P664">
        <f>LN(dataset[[#This Row],[soda_ppu]])</f>
        <v>-0.29463955301927969</v>
      </c>
      <c r="Q664">
        <f>IF(dataset[[#This Row],[state]]="VA",1,0)</f>
        <v>1</v>
      </c>
    </row>
    <row r="665" spans="1:17" x14ac:dyDescent="0.35">
      <c r="A665">
        <v>202304</v>
      </c>
      <c r="B665">
        <v>71</v>
      </c>
      <c r="C665" s="2">
        <v>3537129.4106000001</v>
      </c>
      <c r="D665" s="2">
        <v>0.73040000000000005</v>
      </c>
      <c r="E665" s="3">
        <v>189431</v>
      </c>
      <c r="F665" s="2">
        <v>138359.0508</v>
      </c>
      <c r="G665" t="s">
        <v>2305</v>
      </c>
      <c r="H665" t="s">
        <v>3</v>
      </c>
      <c r="I665">
        <f>HLOOKUP(G665,zip_tiers!$A$1:$EON$2,2,FALSE)</f>
        <v>130123</v>
      </c>
      <c r="J665" t="str">
        <f t="shared" si="10"/>
        <v>High</v>
      </c>
      <c r="K665">
        <f>dataset[[#This Row],[soda_sales]]/dataset[[#This Row],[soda_units_sold]]</f>
        <v>0.73039286494818689</v>
      </c>
      <c r="L665" s="29">
        <f>dataset[[#This Row],[implied_soda_ppu]]-dataset[[#This Row],[soda_ppu]]</f>
        <v>-7.1350518131563234E-6</v>
      </c>
      <c r="M665">
        <f>dataset[[#This Row],[soda_sales]]/dataset[[#This Row],[total_sales]]</f>
        <v>3.911619698882611E-2</v>
      </c>
      <c r="N665">
        <f>LN(dataset[[#This Row],[soda_units_sold]])</f>
        <v>12.15178012110327</v>
      </c>
      <c r="O665">
        <f>LN(dataset[[#This Row],[soda_sales]])</f>
        <v>11.837607402663306</v>
      </c>
      <c r="P665">
        <f>LN(dataset[[#This Row],[soda_ppu]])</f>
        <v>-0.31416294970137826</v>
      </c>
      <c r="Q665">
        <f>IF(dataset[[#This Row],[state]]="VA",1,0)</f>
        <v>1</v>
      </c>
    </row>
    <row r="666" spans="1:17" x14ac:dyDescent="0.35">
      <c r="A666">
        <v>202305</v>
      </c>
      <c r="B666">
        <v>71</v>
      </c>
      <c r="C666" s="2">
        <v>3666069.1853999998</v>
      </c>
      <c r="D666" s="2">
        <v>0.72450000000000003</v>
      </c>
      <c r="E666" s="3">
        <v>208304</v>
      </c>
      <c r="F666" s="2">
        <v>150914.79819999999</v>
      </c>
      <c r="G666" t="s">
        <v>2305</v>
      </c>
      <c r="H666" t="s">
        <v>3</v>
      </c>
      <c r="I666">
        <f>HLOOKUP(G666,zip_tiers!$A$1:$EON$2,2,FALSE)</f>
        <v>130123</v>
      </c>
      <c r="J666" t="str">
        <f t="shared" si="10"/>
        <v>High</v>
      </c>
      <c r="K666">
        <f>dataset[[#This Row],[soda_sales]]/dataset[[#This Row],[soda_units_sold]]</f>
        <v>0.72449303998002912</v>
      </c>
      <c r="L666" s="29">
        <f>dataset[[#This Row],[implied_soda_ppu]]-dataset[[#This Row],[soda_ppu]]</f>
        <v>-6.9600199709141108E-6</v>
      </c>
      <c r="M666">
        <f>dataset[[#This Row],[soda_sales]]/dataset[[#This Row],[total_sales]]</f>
        <v>4.1165289187943647E-2</v>
      </c>
      <c r="N666">
        <f>LN(dataset[[#This Row],[soda_units_sold]])</f>
        <v>12.246753830137179</v>
      </c>
      <c r="O666">
        <f>LN(dataset[[#This Row],[soda_sales]])</f>
        <v>11.924470706216811</v>
      </c>
      <c r="P666">
        <f>LN(dataset[[#This Row],[soda_ppu]])</f>
        <v>-0.32227351722139996</v>
      </c>
      <c r="Q666">
        <f>IF(dataset[[#This Row],[state]]="VA",1,0)</f>
        <v>1</v>
      </c>
    </row>
    <row r="667" spans="1:17" x14ac:dyDescent="0.35">
      <c r="A667">
        <v>202306</v>
      </c>
      <c r="B667">
        <v>71</v>
      </c>
      <c r="C667" s="2">
        <v>3555748.2653000001</v>
      </c>
      <c r="D667" s="2">
        <v>0.72550000000000003</v>
      </c>
      <c r="E667" s="3">
        <v>217124</v>
      </c>
      <c r="F667" s="2">
        <v>157513.55900000001</v>
      </c>
      <c r="G667" t="s">
        <v>2305</v>
      </c>
      <c r="H667" t="s">
        <v>3</v>
      </c>
      <c r="I667">
        <f>HLOOKUP(G667,zip_tiers!$A$1:$EON$2,2,FALSE)</f>
        <v>130123</v>
      </c>
      <c r="J667" t="str">
        <f t="shared" si="10"/>
        <v>High</v>
      </c>
      <c r="K667">
        <f>dataset[[#This Row],[soda_sales]]/dataset[[#This Row],[soda_units_sold]]</f>
        <v>0.72545439011808921</v>
      </c>
      <c r="L667" s="29">
        <f>dataset[[#This Row],[implied_soda_ppu]]-dataset[[#This Row],[soda_ppu]]</f>
        <v>-4.5609881910824157E-5</v>
      </c>
      <c r="M667">
        <f>dataset[[#This Row],[soda_sales]]/dataset[[#This Row],[total_sales]]</f>
        <v>4.4298287518593646E-2</v>
      </c>
      <c r="N667">
        <f>LN(dataset[[#This Row],[soda_units_sold]])</f>
        <v>12.288223897890889</v>
      </c>
      <c r="O667">
        <f>LN(dataset[[#This Row],[soda_sales]])</f>
        <v>11.967266822431277</v>
      </c>
      <c r="P667">
        <f>LN(dataset[[#This Row],[soda_ppu]])</f>
        <v>-0.32089420665789448</v>
      </c>
      <c r="Q667">
        <f>IF(dataset[[#This Row],[state]]="VA",1,0)</f>
        <v>1</v>
      </c>
    </row>
    <row r="668" spans="1:17" x14ac:dyDescent="0.35">
      <c r="A668">
        <v>202307</v>
      </c>
      <c r="B668">
        <v>71</v>
      </c>
      <c r="C668" s="2">
        <v>3353580.0617</v>
      </c>
      <c r="D668" s="2">
        <v>0.74529999999999996</v>
      </c>
      <c r="E668" s="3">
        <v>221808</v>
      </c>
      <c r="F668" s="2">
        <v>165307.31890000001</v>
      </c>
      <c r="G668" t="s">
        <v>2305</v>
      </c>
      <c r="H668" t="s">
        <v>3</v>
      </c>
      <c r="I668">
        <f>HLOOKUP(G668,zip_tiers!$A$1:$EON$2,2,FALSE)</f>
        <v>130123</v>
      </c>
      <c r="J668" t="str">
        <f t="shared" si="10"/>
        <v>High</v>
      </c>
      <c r="K668">
        <f>dataset[[#This Row],[soda_sales]]/dataset[[#This Row],[soda_units_sold]]</f>
        <v>0.74527212228594109</v>
      </c>
      <c r="L668" s="29">
        <f>dataset[[#This Row],[implied_soda_ppu]]-dataset[[#This Row],[soda_ppu]]</f>
        <v>-2.7877714058877068E-5</v>
      </c>
      <c r="M668">
        <f>dataset[[#This Row],[soda_sales]]/dataset[[#This Row],[total_sales]]</f>
        <v>4.9292790349010566E-2</v>
      </c>
      <c r="N668">
        <f>LN(dataset[[#This Row],[soda_units_sold]])</f>
        <v>12.309567421778157</v>
      </c>
      <c r="O668">
        <f>LN(dataset[[#This Row],[soda_sales]])</f>
        <v>12.015561559295971</v>
      </c>
      <c r="P668">
        <f>LN(dataset[[#This Row],[soda_ppu]])</f>
        <v>-0.29396845709448899</v>
      </c>
      <c r="Q668">
        <f>IF(dataset[[#This Row],[state]]="VA",1,0)</f>
        <v>1</v>
      </c>
    </row>
    <row r="669" spans="1:17" x14ac:dyDescent="0.35">
      <c r="A669">
        <v>202308</v>
      </c>
      <c r="B669">
        <v>71</v>
      </c>
      <c r="C669" s="2">
        <v>3175124.4671999998</v>
      </c>
      <c r="D669" s="2">
        <v>0.7288</v>
      </c>
      <c r="E669" s="3">
        <v>194209</v>
      </c>
      <c r="F669" s="2">
        <v>141546.81210000001</v>
      </c>
      <c r="G669" t="s">
        <v>2305</v>
      </c>
      <c r="H669" t="s">
        <v>3</v>
      </c>
      <c r="I669">
        <f>HLOOKUP(G669,zip_tiers!$A$1:$EON$2,2,FALSE)</f>
        <v>130123</v>
      </c>
      <c r="J669" t="str">
        <f t="shared" si="10"/>
        <v>High</v>
      </c>
      <c r="K669">
        <f>dataset[[#This Row],[soda_sales]]/dataset[[#This Row],[soda_units_sold]]</f>
        <v>0.7288375518127379</v>
      </c>
      <c r="L669" s="29">
        <f>dataset[[#This Row],[implied_soda_ppu]]-dataset[[#This Row],[soda_ppu]]</f>
        <v>3.7551812737901535E-5</v>
      </c>
      <c r="M669">
        <f>dataset[[#This Row],[soda_sales]]/dataset[[#This Row],[total_sales]]</f>
        <v>4.4579925468189223E-2</v>
      </c>
      <c r="N669">
        <f>LN(dataset[[#This Row],[soda_units_sold]])</f>
        <v>12.176690177740795</v>
      </c>
      <c r="O669">
        <f>LN(dataset[[#This Row],[soda_sales]])</f>
        <v>11.860385768915895</v>
      </c>
      <c r="P669">
        <f>LN(dataset[[#This Row],[soda_ppu]])</f>
        <v>-0.31635593303638848</v>
      </c>
      <c r="Q669">
        <f>IF(dataset[[#This Row],[state]]="VA",1,0)</f>
        <v>1</v>
      </c>
    </row>
    <row r="670" spans="1:17" x14ac:dyDescent="0.35">
      <c r="A670">
        <v>202309</v>
      </c>
      <c r="B670">
        <v>71</v>
      </c>
      <c r="C670" s="2">
        <v>3161139.5428999998</v>
      </c>
      <c r="D670" s="2">
        <v>0.71840000000000004</v>
      </c>
      <c r="E670" s="3">
        <v>188562</v>
      </c>
      <c r="F670" s="2">
        <v>135461.74600000001</v>
      </c>
      <c r="G670" t="s">
        <v>2305</v>
      </c>
      <c r="H670" t="s">
        <v>3</v>
      </c>
      <c r="I670">
        <f>HLOOKUP(G670,zip_tiers!$A$1:$EON$2,2,FALSE)</f>
        <v>130123</v>
      </c>
      <c r="J670" t="str">
        <f t="shared" si="10"/>
        <v>High</v>
      </c>
      <c r="K670">
        <f>dataset[[#This Row],[soda_sales]]/dataset[[#This Row],[soda_units_sold]]</f>
        <v>0.71839366362257517</v>
      </c>
      <c r="L670" s="29">
        <f>dataset[[#This Row],[implied_soda_ppu]]-dataset[[#This Row],[soda_ppu]]</f>
        <v>-6.3363774248648141E-6</v>
      </c>
      <c r="M670">
        <f>dataset[[#This Row],[soda_sales]]/dataset[[#This Row],[total_sales]]</f>
        <v>4.2852188004243771E-2</v>
      </c>
      <c r="N670">
        <f>LN(dataset[[#This Row],[soda_units_sold]])</f>
        <v>12.147182144257199</v>
      </c>
      <c r="O670">
        <f>LN(dataset[[#This Row],[soda_sales]])</f>
        <v>11.816444562099676</v>
      </c>
      <c r="P670">
        <f>LN(dataset[[#This Row],[soda_ppu]])</f>
        <v>-0.33072876199414714</v>
      </c>
      <c r="Q670">
        <f>IF(dataset[[#This Row],[state]]="VA",1,0)</f>
        <v>1</v>
      </c>
    </row>
    <row r="671" spans="1:17" x14ac:dyDescent="0.35">
      <c r="A671">
        <v>202310</v>
      </c>
      <c r="B671">
        <v>71</v>
      </c>
      <c r="C671" s="2">
        <v>3907120.6102999998</v>
      </c>
      <c r="D671" s="2">
        <v>0.72550000000000003</v>
      </c>
      <c r="E671" s="3">
        <v>183105</v>
      </c>
      <c r="F671" s="2">
        <v>132844.4817</v>
      </c>
      <c r="G671" t="s">
        <v>2305</v>
      </c>
      <c r="H671" t="s">
        <v>3</v>
      </c>
      <c r="I671">
        <f>HLOOKUP(G671,zip_tiers!$A$1:$EON$2,2,FALSE)</f>
        <v>130123</v>
      </c>
      <c r="J671" t="str">
        <f t="shared" si="10"/>
        <v>High</v>
      </c>
      <c r="K671">
        <f>dataset[[#This Row],[soda_sales]]/dataset[[#This Row],[soda_units_sold]]</f>
        <v>0.72550985336282459</v>
      </c>
      <c r="L671" s="29">
        <f>dataset[[#This Row],[implied_soda_ppu]]-dataset[[#This Row],[soda_ppu]]</f>
        <v>9.853362824552292E-6</v>
      </c>
      <c r="M671">
        <f>dataset[[#This Row],[soda_sales]]/dataset[[#This Row],[total_sales]]</f>
        <v>3.4000609387330849E-2</v>
      </c>
      <c r="N671">
        <f>LN(dataset[[#This Row],[soda_units_sold]])</f>
        <v>12.11781503777201</v>
      </c>
      <c r="O671">
        <f>LN(dataset[[#This Row],[soda_sales]])</f>
        <v>11.796934412500626</v>
      </c>
      <c r="P671">
        <f>LN(dataset[[#This Row],[soda_ppu]])</f>
        <v>-0.32089420665789448</v>
      </c>
      <c r="Q671">
        <f>IF(dataset[[#This Row],[state]]="VA",1,0)</f>
        <v>1</v>
      </c>
    </row>
    <row r="672" spans="1:17" x14ac:dyDescent="0.35">
      <c r="A672">
        <v>202311</v>
      </c>
      <c r="B672">
        <v>71</v>
      </c>
      <c r="C672" s="2">
        <v>4364553.0751</v>
      </c>
      <c r="D672" s="2">
        <v>0.72240000000000004</v>
      </c>
      <c r="E672" s="3">
        <v>166391</v>
      </c>
      <c r="F672" s="2">
        <v>120199.38310000001</v>
      </c>
      <c r="G672" t="s">
        <v>2305</v>
      </c>
      <c r="H672" t="s">
        <v>3</v>
      </c>
      <c r="I672">
        <f>HLOOKUP(G672,zip_tiers!$A$1:$EON$2,2,FALSE)</f>
        <v>130123</v>
      </c>
      <c r="J672" t="str">
        <f t="shared" si="10"/>
        <v>High</v>
      </c>
      <c r="K672">
        <f>dataset[[#This Row],[soda_sales]]/dataset[[#This Row],[soda_units_sold]]</f>
        <v>0.72239113353486673</v>
      </c>
      <c r="L672" s="29">
        <f>dataset[[#This Row],[implied_soda_ppu]]-dataset[[#This Row],[soda_ppu]]</f>
        <v>-8.8664651333170141E-6</v>
      </c>
      <c r="M672">
        <f>dataset[[#This Row],[soda_sales]]/dataset[[#This Row],[total_sales]]</f>
        <v>2.7539906384858436E-2</v>
      </c>
      <c r="N672">
        <f>LN(dataset[[#This Row],[soda_units_sold]])</f>
        <v>12.022095719368053</v>
      </c>
      <c r="O672">
        <f>LN(dataset[[#This Row],[soda_sales]])</f>
        <v>11.69690716879054</v>
      </c>
      <c r="P672">
        <f>LN(dataset[[#This Row],[soda_ppu]])</f>
        <v>-0.32517627687936135</v>
      </c>
      <c r="Q672">
        <f>IF(dataset[[#This Row],[state]]="VA",1,0)</f>
        <v>1</v>
      </c>
    </row>
    <row r="673" spans="1:17" x14ac:dyDescent="0.35">
      <c r="A673">
        <v>202312</v>
      </c>
      <c r="B673">
        <v>71</v>
      </c>
      <c r="C673" s="2">
        <v>4634271.301</v>
      </c>
      <c r="D673" s="2">
        <v>0.75049999999999994</v>
      </c>
      <c r="E673" s="3">
        <v>161602</v>
      </c>
      <c r="F673" s="2">
        <v>121287.1872</v>
      </c>
      <c r="G673" t="s">
        <v>2305</v>
      </c>
      <c r="H673" t="s">
        <v>3</v>
      </c>
      <c r="I673">
        <f>HLOOKUP(G673,zip_tiers!$A$1:$EON$2,2,FALSE)</f>
        <v>130123</v>
      </c>
      <c r="J673" t="str">
        <f t="shared" si="10"/>
        <v>High</v>
      </c>
      <c r="K673">
        <f>dataset[[#This Row],[soda_sales]]/dataset[[#This Row],[soda_units_sold]]</f>
        <v>0.75053023601193058</v>
      </c>
      <c r="L673" s="29">
        <f>dataset[[#This Row],[implied_soda_ppu]]-dataset[[#This Row],[soda_ppu]]</f>
        <v>3.0236011930639961E-5</v>
      </c>
      <c r="M673">
        <f>dataset[[#This Row],[soda_sales]]/dataset[[#This Row],[total_sales]]</f>
        <v>2.6171792569379401E-2</v>
      </c>
      <c r="N673">
        <f>LN(dataset[[#This Row],[soda_units_sold]])</f>
        <v>11.99289180123017</v>
      </c>
      <c r="O673">
        <f>LN(dataset[[#This Row],[soda_sales]])</f>
        <v>11.705916460334043</v>
      </c>
      <c r="P673">
        <f>LN(dataset[[#This Row],[soda_ppu]])</f>
        <v>-0.28701562790862051</v>
      </c>
      <c r="Q673">
        <f>IF(dataset[[#This Row],[state]]="VA",1,0)</f>
        <v>1</v>
      </c>
    </row>
    <row r="674" spans="1:17" x14ac:dyDescent="0.35">
      <c r="A674">
        <v>202401</v>
      </c>
      <c r="B674">
        <v>71</v>
      </c>
      <c r="C674" s="2">
        <v>2663481.4733000002</v>
      </c>
      <c r="D674" s="2">
        <v>0.75880000000000003</v>
      </c>
      <c r="E674" s="3">
        <v>118577</v>
      </c>
      <c r="F674" s="2">
        <v>89977.972999999998</v>
      </c>
      <c r="G674" t="s">
        <v>2305</v>
      </c>
      <c r="H674" t="s">
        <v>3</v>
      </c>
      <c r="I674">
        <f>HLOOKUP(G674,zip_tiers!$A$1:$EON$2,2,FALSE)</f>
        <v>130123</v>
      </c>
      <c r="J674" t="str">
        <f t="shared" si="10"/>
        <v>High</v>
      </c>
      <c r="K674">
        <f>dataset[[#This Row],[soda_sales]]/dataset[[#This Row],[soda_units_sold]]</f>
        <v>0.75881471954932234</v>
      </c>
      <c r="L674" s="29">
        <f>dataset[[#This Row],[implied_soda_ppu]]-dataset[[#This Row],[soda_ppu]]</f>
        <v>1.4719549322306236E-5</v>
      </c>
      <c r="M674">
        <f>dataset[[#This Row],[soda_sales]]/dataset[[#This Row],[total_sales]]</f>
        <v>3.3782090809334253E-2</v>
      </c>
      <c r="N674">
        <f>LN(dataset[[#This Row],[soda_units_sold]])</f>
        <v>11.683317817565376</v>
      </c>
      <c r="O674">
        <f>LN(dataset[[#This Row],[soda_sales]])</f>
        <v>11.407320174913149</v>
      </c>
      <c r="P674">
        <f>LN(dataset[[#This Row],[soda_ppu]])</f>
        <v>-0.27601704092127788</v>
      </c>
      <c r="Q674">
        <f>IF(dataset[[#This Row],[state]]="VA",1,0)</f>
        <v>1</v>
      </c>
    </row>
    <row r="675" spans="1:17" x14ac:dyDescent="0.35">
      <c r="A675">
        <v>202402</v>
      </c>
      <c r="B675">
        <v>71</v>
      </c>
      <c r="C675" s="2">
        <v>3004010.9024</v>
      </c>
      <c r="D675" s="2">
        <v>0.74150000000000005</v>
      </c>
      <c r="E675" s="3">
        <v>134850</v>
      </c>
      <c r="F675" s="2">
        <v>99991.043699999995</v>
      </c>
      <c r="G675" t="s">
        <v>2305</v>
      </c>
      <c r="H675" t="s">
        <v>3</v>
      </c>
      <c r="I675">
        <f>HLOOKUP(G675,zip_tiers!$A$1:$EON$2,2,FALSE)</f>
        <v>130123</v>
      </c>
      <c r="J675" t="str">
        <f t="shared" si="10"/>
        <v>High</v>
      </c>
      <c r="K675">
        <f>dataset[[#This Row],[soda_sales]]/dataset[[#This Row],[soda_units_sold]]</f>
        <v>0.74149828476084534</v>
      </c>
      <c r="L675" s="29">
        <f>dataset[[#This Row],[implied_soda_ppu]]-dataset[[#This Row],[soda_ppu]]</f>
        <v>-1.7152391547092805E-6</v>
      </c>
      <c r="M675">
        <f>dataset[[#This Row],[soda_sales]]/dataset[[#This Row],[total_sales]]</f>
        <v>3.3285845807055479E-2</v>
      </c>
      <c r="N675">
        <f>LN(dataset[[#This Row],[soda_units_sold]])</f>
        <v>11.811918328567875</v>
      </c>
      <c r="O675">
        <f>LN(dataset[[#This Row],[soda_sales]])</f>
        <v>11.512835897959224</v>
      </c>
      <c r="P675">
        <f>LN(dataset[[#This Row],[soda_ppu]])</f>
        <v>-0.29908011740415019</v>
      </c>
      <c r="Q675">
        <f>IF(dataset[[#This Row],[state]]="VA",1,0)</f>
        <v>1</v>
      </c>
    </row>
    <row r="676" spans="1:17" x14ac:dyDescent="0.35">
      <c r="A676">
        <v>202403</v>
      </c>
      <c r="B676">
        <v>71</v>
      </c>
      <c r="C676" s="2">
        <v>3413921.7905000001</v>
      </c>
      <c r="D676" s="2">
        <v>0.76539999999999997</v>
      </c>
      <c r="E676" s="3">
        <v>159328</v>
      </c>
      <c r="F676" s="2">
        <v>121941.78909999999</v>
      </c>
      <c r="G676" t="s">
        <v>2305</v>
      </c>
      <c r="H676" t="s">
        <v>3</v>
      </c>
      <c r="I676">
        <f>HLOOKUP(G676,zip_tiers!$A$1:$EON$2,2,FALSE)</f>
        <v>130123</v>
      </c>
      <c r="J676" t="str">
        <f t="shared" si="10"/>
        <v>High</v>
      </c>
      <c r="K676">
        <f>dataset[[#This Row],[soda_sales]]/dataset[[#This Row],[soda_units_sold]]</f>
        <v>0.76535065462442253</v>
      </c>
      <c r="L676" s="29">
        <f>dataset[[#This Row],[implied_soda_ppu]]-dataset[[#This Row],[soda_ppu]]</f>
        <v>-4.9345375577436457E-5</v>
      </c>
      <c r="M676">
        <f>dataset[[#This Row],[soda_sales]]/dataset[[#This Row],[total_sales]]</f>
        <v>3.5718975589695771E-2</v>
      </c>
      <c r="N676">
        <f>LN(dataset[[#This Row],[soda_units_sold]])</f>
        <v>11.97872024944191</v>
      </c>
      <c r="O676">
        <f>LN(dataset[[#This Row],[soda_sales]])</f>
        <v>11.711299071323996</v>
      </c>
      <c r="P676">
        <f>LN(dataset[[#This Row],[soda_ppu]])</f>
        <v>-0.26735670599053518</v>
      </c>
      <c r="Q676">
        <f>IF(dataset[[#This Row],[state]]="VA",1,0)</f>
        <v>1</v>
      </c>
    </row>
    <row r="677" spans="1:17" x14ac:dyDescent="0.35">
      <c r="A677">
        <v>202404</v>
      </c>
      <c r="B677">
        <v>71</v>
      </c>
      <c r="C677" s="2">
        <v>3597335.0671000001</v>
      </c>
      <c r="D677" s="2">
        <v>0.7419</v>
      </c>
      <c r="E677" s="3">
        <v>184499</v>
      </c>
      <c r="F677" s="2">
        <v>136882.62169999999</v>
      </c>
      <c r="G677" t="s">
        <v>2305</v>
      </c>
      <c r="H677" t="s">
        <v>3</v>
      </c>
      <c r="I677">
        <f>HLOOKUP(G677,zip_tiers!$A$1:$EON$2,2,FALSE)</f>
        <v>130123</v>
      </c>
      <c r="J677" t="str">
        <f t="shared" si="10"/>
        <v>High</v>
      </c>
      <c r="K677">
        <f>dataset[[#This Row],[soda_sales]]/dataset[[#This Row],[soda_units_sold]]</f>
        <v>0.74191524994715408</v>
      </c>
      <c r="L677" s="29">
        <f>dataset[[#This Row],[implied_soda_ppu]]-dataset[[#This Row],[soda_ppu]]</f>
        <v>1.5249947154072352E-5</v>
      </c>
      <c r="M677">
        <f>dataset[[#This Row],[soda_sales]]/dataset[[#This Row],[total_sales]]</f>
        <v>3.8051118160185235E-2</v>
      </c>
      <c r="N677">
        <f>LN(dataset[[#This Row],[soda_units_sold]])</f>
        <v>12.125399322393831</v>
      </c>
      <c r="O677">
        <f>LN(dataset[[#This Row],[soda_sales]])</f>
        <v>11.826879061655593</v>
      </c>
      <c r="P677">
        <f>LN(dataset[[#This Row],[soda_ppu]])</f>
        <v>-0.29854081578665681</v>
      </c>
      <c r="Q677">
        <f>IF(dataset[[#This Row],[state]]="VA",1,0)</f>
        <v>1</v>
      </c>
    </row>
    <row r="678" spans="1:17" x14ac:dyDescent="0.35">
      <c r="A678">
        <v>202405</v>
      </c>
      <c r="B678">
        <v>71</v>
      </c>
      <c r="C678" s="2">
        <v>3784432.5249000001</v>
      </c>
      <c r="D678" s="2">
        <v>0.72819999999999996</v>
      </c>
      <c r="E678" s="3">
        <v>208476</v>
      </c>
      <c r="F678" s="2">
        <v>151806.69409999999</v>
      </c>
      <c r="G678" t="s">
        <v>2305</v>
      </c>
      <c r="H678" t="s">
        <v>3</v>
      </c>
      <c r="I678">
        <f>HLOOKUP(G678,zip_tiers!$A$1:$EON$2,2,FALSE)</f>
        <v>130123</v>
      </c>
      <c r="J678" t="str">
        <f t="shared" si="10"/>
        <v>High</v>
      </c>
      <c r="K678">
        <f>dataset[[#This Row],[soda_sales]]/dataset[[#This Row],[soda_units_sold]]</f>
        <v>0.72817347848193559</v>
      </c>
      <c r="L678" s="29">
        <f>dataset[[#This Row],[implied_soda_ppu]]-dataset[[#This Row],[soda_ppu]]</f>
        <v>-2.6521518064370753E-5</v>
      </c>
      <c r="M678">
        <f>dataset[[#This Row],[soda_sales]]/dataset[[#This Row],[total_sales]]</f>
        <v>4.0113463009625552E-2</v>
      </c>
      <c r="N678">
        <f>LN(dataset[[#This Row],[soda_units_sold]])</f>
        <v>12.2475792056819</v>
      </c>
      <c r="O678">
        <f>LN(dataset[[#This Row],[soda_sales]])</f>
        <v>11.930363241126839</v>
      </c>
      <c r="P678">
        <f>LN(dataset[[#This Row],[soda_ppu]])</f>
        <v>-0.31717954324080405</v>
      </c>
      <c r="Q678">
        <f>IF(dataset[[#This Row],[state]]="VA",1,0)</f>
        <v>1</v>
      </c>
    </row>
    <row r="679" spans="1:17" x14ac:dyDescent="0.35">
      <c r="A679">
        <v>202406</v>
      </c>
      <c r="B679">
        <v>71</v>
      </c>
      <c r="C679" s="2">
        <v>3687464.6757999999</v>
      </c>
      <c r="D679" s="2">
        <v>0.76480000000000004</v>
      </c>
      <c r="E679" s="3">
        <v>210595</v>
      </c>
      <c r="F679" s="2">
        <v>161072.5159</v>
      </c>
      <c r="G679" t="s">
        <v>2305</v>
      </c>
      <c r="H679" t="s">
        <v>3</v>
      </c>
      <c r="I679">
        <f>HLOOKUP(G679,zip_tiers!$A$1:$EON$2,2,FALSE)</f>
        <v>130123</v>
      </c>
      <c r="J679" t="str">
        <f t="shared" si="10"/>
        <v>High</v>
      </c>
      <c r="K679">
        <f>dataset[[#This Row],[soda_sales]]/dataset[[#This Row],[soda_units_sold]]</f>
        <v>0.76484491986989245</v>
      </c>
      <c r="L679" s="29">
        <f>dataset[[#This Row],[implied_soda_ppu]]-dataset[[#This Row],[soda_ppu]]</f>
        <v>4.4919869892412478E-5</v>
      </c>
      <c r="M679">
        <f>dataset[[#This Row],[soda_sales]]/dataset[[#This Row],[total_sales]]</f>
        <v>4.3681100718627255E-2</v>
      </c>
      <c r="N679">
        <f>LN(dataset[[#This Row],[soda_units_sold]])</f>
        <v>12.257692136709766</v>
      </c>
      <c r="O679">
        <f>LN(dataset[[#This Row],[soda_sales]])</f>
        <v>11.989609951879542</v>
      </c>
      <c r="P679">
        <f>LN(dataset[[#This Row],[soda_ppu]])</f>
        <v>-0.26814091724494549</v>
      </c>
      <c r="Q679">
        <f>IF(dataset[[#This Row],[state]]="VA",1,0)</f>
        <v>1</v>
      </c>
    </row>
    <row r="680" spans="1:17" x14ac:dyDescent="0.35">
      <c r="A680">
        <v>202407</v>
      </c>
      <c r="B680">
        <v>71</v>
      </c>
      <c r="C680" s="2">
        <v>3439538.5469999998</v>
      </c>
      <c r="D680" s="2">
        <v>0.73099999999999998</v>
      </c>
      <c r="E680" s="3">
        <v>224519</v>
      </c>
      <c r="F680" s="2">
        <v>164130.5969</v>
      </c>
      <c r="G680" t="s">
        <v>2305</v>
      </c>
      <c r="H680" t="s">
        <v>3</v>
      </c>
      <c r="I680">
        <f>HLOOKUP(G680,zip_tiers!$A$1:$EON$2,2,FALSE)</f>
        <v>130123</v>
      </c>
      <c r="J680" t="str">
        <f t="shared" si="10"/>
        <v>High</v>
      </c>
      <c r="K680">
        <f>dataset[[#This Row],[soda_sales]]/dataset[[#This Row],[soda_units_sold]]</f>
        <v>0.73103210374177685</v>
      </c>
      <c r="L680" s="29">
        <f>dataset[[#This Row],[implied_soda_ppu]]-dataset[[#This Row],[soda_ppu]]</f>
        <v>3.21037417768677E-5</v>
      </c>
      <c r="M680">
        <f>dataset[[#This Row],[soda_sales]]/dataset[[#This Row],[total_sales]]</f>
        <v>4.7718783975587764E-2</v>
      </c>
      <c r="N680">
        <f>LN(dataset[[#This Row],[soda_units_sold]])</f>
        <v>12.32171561510002</v>
      </c>
      <c r="O680">
        <f>LN(dataset[[#This Row],[soda_sales]])</f>
        <v>12.008417712470724</v>
      </c>
      <c r="P680">
        <f>LN(dataset[[#This Row],[soda_ppu]])</f>
        <v>-0.3133418192323586</v>
      </c>
      <c r="Q680">
        <f>IF(dataset[[#This Row],[state]]="VA",1,0)</f>
        <v>1</v>
      </c>
    </row>
    <row r="681" spans="1:17" x14ac:dyDescent="0.35">
      <c r="A681">
        <v>202408</v>
      </c>
      <c r="B681">
        <v>71</v>
      </c>
      <c r="C681" s="2">
        <v>3278857.0554</v>
      </c>
      <c r="D681" s="2">
        <v>0.78110000000000002</v>
      </c>
      <c r="E681" s="3">
        <v>188900</v>
      </c>
      <c r="F681" s="2">
        <v>147542.0802</v>
      </c>
      <c r="G681" t="s">
        <v>2305</v>
      </c>
      <c r="H681" t="s">
        <v>3</v>
      </c>
      <c r="I681">
        <f>HLOOKUP(G681,zip_tiers!$A$1:$EON$2,2,FALSE)</f>
        <v>130123</v>
      </c>
      <c r="J681" t="str">
        <f t="shared" si="10"/>
        <v>High</v>
      </c>
      <c r="K681">
        <f>dataset[[#This Row],[soda_sales]]/dataset[[#This Row],[soda_units_sold]]</f>
        <v>0.78105918581259925</v>
      </c>
      <c r="L681" s="29">
        <f>dataset[[#This Row],[implied_soda_ppu]]-dataset[[#This Row],[soda_ppu]]</f>
        <v>-4.0814187400761703E-5</v>
      </c>
      <c r="M681">
        <f>dataset[[#This Row],[soda_sales]]/dataset[[#This Row],[total_sales]]</f>
        <v>4.4998021477334817E-2</v>
      </c>
      <c r="N681">
        <f>LN(dataset[[#This Row],[soda_units_sold]])</f>
        <v>12.1489730534896</v>
      </c>
      <c r="O681">
        <f>LN(dataset[[#This Row],[soda_sales]])</f>
        <v>11.901868703566228</v>
      </c>
      <c r="P681">
        <f>LN(dataset[[#This Row],[soda_ppu]])</f>
        <v>-0.2470520963658854</v>
      </c>
      <c r="Q681">
        <f>IF(dataset[[#This Row],[state]]="VA",1,0)</f>
        <v>1</v>
      </c>
    </row>
    <row r="682" spans="1:17" x14ac:dyDescent="0.35">
      <c r="A682">
        <v>202409</v>
      </c>
      <c r="B682">
        <v>71</v>
      </c>
      <c r="C682" s="2">
        <v>3258241.0345000001</v>
      </c>
      <c r="D682" s="2">
        <v>0.73980000000000001</v>
      </c>
      <c r="E682" s="3">
        <v>185773</v>
      </c>
      <c r="F682" s="2">
        <v>137440.905</v>
      </c>
      <c r="G682" t="s">
        <v>2305</v>
      </c>
      <c r="H682" t="s">
        <v>3</v>
      </c>
      <c r="I682">
        <f>HLOOKUP(G682,zip_tiers!$A$1:$EON$2,2,FALSE)</f>
        <v>130123</v>
      </c>
      <c r="J682" t="str">
        <f t="shared" si="10"/>
        <v>High</v>
      </c>
      <c r="K682">
        <f>dataset[[#This Row],[soda_sales]]/dataset[[#This Row],[soda_units_sold]]</f>
        <v>0.73983251064471156</v>
      </c>
      <c r="L682" s="29">
        <f>dataset[[#This Row],[implied_soda_ppu]]-dataset[[#This Row],[soda_ppu]]</f>
        <v>3.2510644711547521E-5</v>
      </c>
      <c r="M682">
        <f>dataset[[#This Row],[soda_sales]]/dataset[[#This Row],[total_sales]]</f>
        <v>4.2182546823486086E-2</v>
      </c>
      <c r="N682">
        <f>LN(dataset[[#This Row],[soda_units_sold]])</f>
        <v>12.13228077725651</v>
      </c>
      <c r="O682">
        <f>LN(dataset[[#This Row],[soda_sales]])</f>
        <v>11.830949321887905</v>
      </c>
      <c r="P682">
        <f>LN(dataset[[#This Row],[soda_ppu]])</f>
        <v>-0.3013753995837834</v>
      </c>
      <c r="Q682">
        <f>IF(dataset[[#This Row],[state]]="VA",1,0)</f>
        <v>1</v>
      </c>
    </row>
    <row r="683" spans="1:17" x14ac:dyDescent="0.35">
      <c r="A683">
        <v>202410</v>
      </c>
      <c r="B683">
        <v>71</v>
      </c>
      <c r="C683" s="2">
        <v>4007077.8753999998</v>
      </c>
      <c r="D683" s="2">
        <v>0.76839999999999997</v>
      </c>
      <c r="E683" s="3">
        <v>175093</v>
      </c>
      <c r="F683" s="2">
        <v>134542.79800000001</v>
      </c>
      <c r="G683" t="s">
        <v>2305</v>
      </c>
      <c r="H683" t="s">
        <v>3</v>
      </c>
      <c r="I683">
        <f>HLOOKUP(G683,zip_tiers!$A$1:$EON$2,2,FALSE)</f>
        <v>130123</v>
      </c>
      <c r="J683" t="str">
        <f t="shared" si="10"/>
        <v>High</v>
      </c>
      <c r="K683">
        <f>dataset[[#This Row],[soda_sales]]/dataset[[#This Row],[soda_units_sold]]</f>
        <v>0.76840763479979213</v>
      </c>
      <c r="L683" s="29">
        <f>dataset[[#This Row],[implied_soda_ppu]]-dataset[[#This Row],[soda_ppu]]</f>
        <v>7.6347997921555333E-6</v>
      </c>
      <c r="M683">
        <f>dataset[[#This Row],[soda_sales]]/dataset[[#This Row],[total_sales]]</f>
        <v>3.3576287305514249E-2</v>
      </c>
      <c r="N683">
        <f>LN(dataset[[#This Row],[soda_units_sold]])</f>
        <v>12.073072540318924</v>
      </c>
      <c r="O683">
        <f>LN(dataset[[#This Row],[soda_sales]])</f>
        <v>11.809637628152405</v>
      </c>
      <c r="P683">
        <f>LN(dataset[[#This Row],[soda_ppu]])</f>
        <v>-0.26344484808773549</v>
      </c>
      <c r="Q683">
        <f>IF(dataset[[#This Row],[state]]="VA",1,0)</f>
        <v>1</v>
      </c>
    </row>
    <row r="684" spans="1:17" x14ac:dyDescent="0.35">
      <c r="A684">
        <v>202411</v>
      </c>
      <c r="B684">
        <v>71</v>
      </c>
      <c r="C684" s="2">
        <v>4602729.8366</v>
      </c>
      <c r="D684" s="2">
        <v>0.80430000000000001</v>
      </c>
      <c r="E684" s="3">
        <v>163479</v>
      </c>
      <c r="F684" s="2">
        <v>131478.44130000001</v>
      </c>
      <c r="G684" t="s">
        <v>2305</v>
      </c>
      <c r="H684" t="s">
        <v>3</v>
      </c>
      <c r="I684">
        <f>HLOOKUP(G684,zip_tiers!$A$1:$EON$2,2,FALSE)</f>
        <v>130123</v>
      </c>
      <c r="J684" t="str">
        <f t="shared" si="10"/>
        <v>High</v>
      </c>
      <c r="K684">
        <f>dataset[[#This Row],[soda_sales]]/dataset[[#This Row],[soda_units_sold]]</f>
        <v>0.80425278659644361</v>
      </c>
      <c r="L684" s="29">
        <f>dataset[[#This Row],[implied_soda_ppu]]-dataset[[#This Row],[soda_ppu]]</f>
        <v>-4.7213403556400912E-5</v>
      </c>
      <c r="M684">
        <f>dataset[[#This Row],[soda_sales]]/dataset[[#This Row],[total_sales]]</f>
        <v>2.8565317967287448E-2</v>
      </c>
      <c r="N684">
        <f>LN(dataset[[#This Row],[soda_units_sold]])</f>
        <v>12.004439820703302</v>
      </c>
      <c r="O684">
        <f>LN(dataset[[#This Row],[soda_sales]])</f>
        <v>11.786598172672898</v>
      </c>
      <c r="P684">
        <f>LN(dataset[[#This Row],[soda_ppu]])</f>
        <v>-0.21778294507211374</v>
      </c>
      <c r="Q684">
        <f>IF(dataset[[#This Row],[state]]="VA",1,0)</f>
        <v>1</v>
      </c>
    </row>
    <row r="685" spans="1:17" x14ac:dyDescent="0.35">
      <c r="A685">
        <v>202412</v>
      </c>
      <c r="B685">
        <v>71</v>
      </c>
      <c r="C685" s="2">
        <v>4688768.4815999996</v>
      </c>
      <c r="D685" s="2">
        <v>0.77680000000000005</v>
      </c>
      <c r="E685" s="3">
        <v>159230</v>
      </c>
      <c r="F685" s="2">
        <v>123697.4157</v>
      </c>
      <c r="G685" t="s">
        <v>2305</v>
      </c>
      <c r="H685" t="s">
        <v>3</v>
      </c>
      <c r="I685">
        <f>HLOOKUP(G685,zip_tiers!$A$1:$EON$2,2,FALSE)</f>
        <v>130123</v>
      </c>
      <c r="J685" t="str">
        <f t="shared" si="10"/>
        <v>High</v>
      </c>
      <c r="K685">
        <f>dataset[[#This Row],[soda_sales]]/dataset[[#This Row],[soda_units_sold]]</f>
        <v>0.77684742636437853</v>
      </c>
      <c r="L685" s="29">
        <f>dataset[[#This Row],[implied_soda_ppu]]-dataset[[#This Row],[soda_ppu]]</f>
        <v>4.7426364378488906E-5</v>
      </c>
      <c r="M685">
        <f>dataset[[#This Row],[soda_sales]]/dataset[[#This Row],[total_sales]]</f>
        <v>2.6381642895234054E-2</v>
      </c>
      <c r="N685">
        <f>LN(dataset[[#This Row],[soda_units_sold]])</f>
        <v>11.978104976850473</v>
      </c>
      <c r="O685">
        <f>LN(dataset[[#This Row],[soda_sales]])</f>
        <v>11.725593666488942</v>
      </c>
      <c r="P685">
        <f>LN(dataset[[#This Row],[soda_ppu]])</f>
        <v>-0.25257236200502181</v>
      </c>
      <c r="Q685">
        <f>IF(dataset[[#This Row],[state]]="VA",1,0)</f>
        <v>1</v>
      </c>
    </row>
    <row r="686" spans="1:17" x14ac:dyDescent="0.35">
      <c r="A686">
        <v>202201</v>
      </c>
      <c r="B686">
        <v>51</v>
      </c>
      <c r="C686" s="2">
        <v>3277567.3300999999</v>
      </c>
      <c r="D686" s="2">
        <v>0.67989999999999995</v>
      </c>
      <c r="E686" s="3">
        <v>71344</v>
      </c>
      <c r="F686" s="2">
        <v>48509.860399999998</v>
      </c>
      <c r="G686" t="s">
        <v>2306</v>
      </c>
      <c r="H686" t="s">
        <v>3</v>
      </c>
      <c r="I686">
        <f>HLOOKUP(G686,zip_tiers!$A$1:$EON$2,2,FALSE)</f>
        <v>176011.66666666666</v>
      </c>
      <c r="J686" t="str">
        <f t="shared" si="10"/>
        <v>High</v>
      </c>
      <c r="K686">
        <f>dataset[[#This Row],[soda_sales]]/dataset[[#This Row],[soda_units_sold]]</f>
        <v>0.67994309822830223</v>
      </c>
      <c r="L686" s="29">
        <f>dataset[[#This Row],[implied_soda_ppu]]-dataset[[#This Row],[soda_ppu]]</f>
        <v>4.3098228302285158E-5</v>
      </c>
      <c r="M686">
        <f>dataset[[#This Row],[soda_sales]]/dataset[[#This Row],[total_sales]]</f>
        <v>1.4800568688399742E-2</v>
      </c>
      <c r="N686">
        <f>LN(dataset[[#This Row],[soda_units_sold]])</f>
        <v>11.175268526867258</v>
      </c>
      <c r="O686">
        <f>LN(dataset[[#This Row],[soda_sales]])</f>
        <v>10.789522363477959</v>
      </c>
      <c r="P686">
        <f>LN(dataset[[#This Row],[soda_ppu]])</f>
        <v>-0.38580955044972315</v>
      </c>
      <c r="Q686">
        <f>IF(dataset[[#This Row],[state]]="VA",1,0)</f>
        <v>1</v>
      </c>
    </row>
    <row r="687" spans="1:17" x14ac:dyDescent="0.35">
      <c r="A687">
        <v>202202</v>
      </c>
      <c r="B687">
        <v>51</v>
      </c>
      <c r="C687" s="2">
        <v>3661260.1921999999</v>
      </c>
      <c r="D687" s="2">
        <v>0.68679999999999997</v>
      </c>
      <c r="E687" s="3">
        <v>80078</v>
      </c>
      <c r="F687" s="2">
        <v>55000.713000000003</v>
      </c>
      <c r="G687" t="s">
        <v>2306</v>
      </c>
      <c r="H687" t="s">
        <v>3</v>
      </c>
      <c r="I687">
        <f>HLOOKUP(G687,zip_tiers!$A$1:$EON$2,2,FALSE)</f>
        <v>176011.66666666666</v>
      </c>
      <c r="J687" t="str">
        <f t="shared" si="10"/>
        <v>High</v>
      </c>
      <c r="K687">
        <f>dataset[[#This Row],[soda_sales]]/dataset[[#This Row],[soda_units_sold]]</f>
        <v>0.68683924423686904</v>
      </c>
      <c r="L687" s="29">
        <f>dataset[[#This Row],[implied_soda_ppu]]-dataset[[#This Row],[soda_ppu]]</f>
        <v>3.9244236869073745E-5</v>
      </c>
      <c r="M687">
        <f>dataset[[#This Row],[soda_sales]]/dataset[[#This Row],[total_sales]]</f>
        <v>1.5022344797338985E-2</v>
      </c>
      <c r="N687">
        <f>LN(dataset[[#This Row],[soda_units_sold]])</f>
        <v>11.290756438652245</v>
      </c>
      <c r="O687">
        <f>LN(dataset[[#This Row],[soda_sales]])</f>
        <v>10.915101427766944</v>
      </c>
      <c r="P687">
        <f>LN(dataset[[#This Row],[soda_ppu]])</f>
        <v>-0.37571214995881663</v>
      </c>
      <c r="Q687">
        <f>IF(dataset[[#This Row],[state]]="VA",1,0)</f>
        <v>1</v>
      </c>
    </row>
    <row r="688" spans="1:17" x14ac:dyDescent="0.35">
      <c r="A688">
        <v>202203</v>
      </c>
      <c r="B688">
        <v>51</v>
      </c>
      <c r="C688" s="2">
        <v>4097025.6836000001</v>
      </c>
      <c r="D688" s="2">
        <v>0.67949999999999999</v>
      </c>
      <c r="E688" s="3">
        <v>93158</v>
      </c>
      <c r="F688" s="2">
        <v>63301.738400000002</v>
      </c>
      <c r="G688" t="s">
        <v>2306</v>
      </c>
      <c r="H688" t="s">
        <v>3</v>
      </c>
      <c r="I688">
        <f>HLOOKUP(G688,zip_tiers!$A$1:$EON$2,2,FALSE)</f>
        <v>176011.66666666666</v>
      </c>
      <c r="J688" t="str">
        <f t="shared" si="10"/>
        <v>High</v>
      </c>
      <c r="K688">
        <f>dataset[[#This Row],[soda_sales]]/dataset[[#This Row],[soda_units_sold]]</f>
        <v>0.67950941840743684</v>
      </c>
      <c r="L688" s="29">
        <f>dataset[[#This Row],[implied_soda_ppu]]-dataset[[#This Row],[soda_ppu]]</f>
        <v>9.4184074368452997E-6</v>
      </c>
      <c r="M688">
        <f>dataset[[#This Row],[soda_sales]]/dataset[[#This Row],[total_sales]]</f>
        <v>1.5450656961558912E-2</v>
      </c>
      <c r="N688">
        <f>LN(dataset[[#This Row],[soda_units_sold]])</f>
        <v>11.442052255326436</v>
      </c>
      <c r="O688">
        <f>LN(dataset[[#This Row],[soda_sales]])</f>
        <v>11.055668070630368</v>
      </c>
      <c r="P688">
        <f>LN(dataset[[#This Row],[soda_ppu]])</f>
        <v>-0.38639804539093864</v>
      </c>
      <c r="Q688">
        <f>IF(dataset[[#This Row],[state]]="VA",1,0)</f>
        <v>1</v>
      </c>
    </row>
    <row r="689" spans="1:17" x14ac:dyDescent="0.35">
      <c r="A689">
        <v>202204</v>
      </c>
      <c r="B689">
        <v>51</v>
      </c>
      <c r="C689" s="2">
        <v>4430923.5316000003</v>
      </c>
      <c r="D689" s="2">
        <v>0.68769999999999998</v>
      </c>
      <c r="E689" s="3">
        <v>112601</v>
      </c>
      <c r="F689" s="2">
        <v>77438.605200000005</v>
      </c>
      <c r="G689" t="s">
        <v>2306</v>
      </c>
      <c r="H689" t="s">
        <v>3</v>
      </c>
      <c r="I689">
        <f>HLOOKUP(G689,zip_tiers!$A$1:$EON$2,2,FALSE)</f>
        <v>176011.66666666666</v>
      </c>
      <c r="J689" t="str">
        <f t="shared" si="10"/>
        <v>High</v>
      </c>
      <c r="K689">
        <f>dataset[[#This Row],[soda_sales]]/dataset[[#This Row],[soda_units_sold]]</f>
        <v>0.68772573245353064</v>
      </c>
      <c r="L689" s="29">
        <f>dataset[[#This Row],[implied_soda_ppu]]-dataset[[#This Row],[soda_ppu]]</f>
        <v>2.5732453530658006E-5</v>
      </c>
      <c r="M689">
        <f>dataset[[#This Row],[soda_sales]]/dataset[[#This Row],[total_sales]]</f>
        <v>1.7476854350505354E-2</v>
      </c>
      <c r="N689">
        <f>LN(dataset[[#This Row],[soda_units_sold]])</f>
        <v>11.631605875642963</v>
      </c>
      <c r="O689">
        <f>LN(dataset[[#This Row],[soda_sales]])</f>
        <v>11.257240710424616</v>
      </c>
      <c r="P689">
        <f>LN(dataset[[#This Row],[soda_ppu]])</f>
        <v>-0.37440258265634663</v>
      </c>
      <c r="Q689">
        <f>IF(dataset[[#This Row],[state]]="VA",1,0)</f>
        <v>1</v>
      </c>
    </row>
    <row r="690" spans="1:17" x14ac:dyDescent="0.35">
      <c r="A690">
        <v>202205</v>
      </c>
      <c r="B690">
        <v>51</v>
      </c>
      <c r="C690" s="2">
        <v>4552418.0899</v>
      </c>
      <c r="D690" s="2">
        <v>0.6804</v>
      </c>
      <c r="E690" s="3">
        <v>121360</v>
      </c>
      <c r="F690" s="2">
        <v>82576.899600000004</v>
      </c>
      <c r="G690" t="s">
        <v>2306</v>
      </c>
      <c r="H690" t="s">
        <v>3</v>
      </c>
      <c r="I690">
        <f>HLOOKUP(G690,zip_tiers!$A$1:$EON$2,2,FALSE)</f>
        <v>176011.66666666666</v>
      </c>
      <c r="J690" t="str">
        <f t="shared" si="10"/>
        <v>High</v>
      </c>
      <c r="K690">
        <f>dataset[[#This Row],[soda_sales]]/dataset[[#This Row],[soda_units_sold]]</f>
        <v>0.6804292979564931</v>
      </c>
      <c r="L690" s="29">
        <f>dataset[[#This Row],[implied_soda_ppu]]-dataset[[#This Row],[soda_ppu]]</f>
        <v>2.9297956493090638E-5</v>
      </c>
      <c r="M690">
        <f>dataset[[#This Row],[soda_sales]]/dataset[[#This Row],[total_sales]]</f>
        <v>1.8139129132977747E-2</v>
      </c>
      <c r="N690">
        <f>LN(dataset[[#This Row],[soda_units_sold]])</f>
        <v>11.706516614022414</v>
      </c>
      <c r="O690">
        <f>LN(dataset[[#This Row],[soda_sales]])</f>
        <v>11.321485254535716</v>
      </c>
      <c r="P690">
        <f>LN(dataset[[#This Row],[soda_ppu]])</f>
        <v>-0.38507441846043033</v>
      </c>
      <c r="Q690">
        <f>IF(dataset[[#This Row],[state]]="VA",1,0)</f>
        <v>1</v>
      </c>
    </row>
    <row r="691" spans="1:17" x14ac:dyDescent="0.35">
      <c r="A691">
        <v>202206</v>
      </c>
      <c r="B691">
        <v>51</v>
      </c>
      <c r="C691" s="2">
        <v>4371921.5669999998</v>
      </c>
      <c r="D691" s="2">
        <v>0.69299999999999995</v>
      </c>
      <c r="E691" s="3">
        <v>126835</v>
      </c>
      <c r="F691" s="2">
        <v>87899.7552</v>
      </c>
      <c r="G691" t="s">
        <v>2306</v>
      </c>
      <c r="H691" t="s">
        <v>3</v>
      </c>
      <c r="I691">
        <f>HLOOKUP(G691,zip_tiers!$A$1:$EON$2,2,FALSE)</f>
        <v>176011.66666666666</v>
      </c>
      <c r="J691" t="str">
        <f t="shared" si="10"/>
        <v>High</v>
      </c>
      <c r="K691">
        <f>dataset[[#This Row],[soda_sales]]/dataset[[#This Row],[soda_units_sold]]</f>
        <v>0.69302444277998976</v>
      </c>
      <c r="L691" s="29">
        <f>dataset[[#This Row],[implied_soda_ppu]]-dataset[[#This Row],[soda_ppu]]</f>
        <v>2.4442779989808372E-5</v>
      </c>
      <c r="M691">
        <f>dataset[[#This Row],[soda_sales]]/dataset[[#This Row],[total_sales]]</f>
        <v>2.0105519701790205E-2</v>
      </c>
      <c r="N691">
        <f>LN(dataset[[#This Row],[soda_units_sold]])</f>
        <v>11.750642308133898</v>
      </c>
      <c r="O691">
        <f>LN(dataset[[#This Row],[soda_sales]])</f>
        <v>11.383952298686456</v>
      </c>
      <c r="P691">
        <f>LN(dataset[[#This Row],[soda_ppu]])</f>
        <v>-0.3667252797922339</v>
      </c>
      <c r="Q691">
        <f>IF(dataset[[#This Row],[state]]="VA",1,0)</f>
        <v>1</v>
      </c>
    </row>
    <row r="692" spans="1:17" x14ac:dyDescent="0.35">
      <c r="A692">
        <v>202207</v>
      </c>
      <c r="B692">
        <v>51</v>
      </c>
      <c r="C692" s="2">
        <v>4086873.5507999999</v>
      </c>
      <c r="D692" s="2">
        <v>0.67010000000000003</v>
      </c>
      <c r="E692" s="3">
        <v>128099</v>
      </c>
      <c r="F692" s="2">
        <v>85836.954700000002</v>
      </c>
      <c r="G692" t="s">
        <v>2306</v>
      </c>
      <c r="H692" t="s">
        <v>3</v>
      </c>
      <c r="I692">
        <f>HLOOKUP(G692,zip_tiers!$A$1:$EON$2,2,FALSE)</f>
        <v>176011.66666666666</v>
      </c>
      <c r="J692" t="str">
        <f t="shared" si="10"/>
        <v>High</v>
      </c>
      <c r="K692">
        <f>dataset[[#This Row],[soda_sales]]/dataset[[#This Row],[soda_units_sold]]</f>
        <v>0.67008294131882373</v>
      </c>
      <c r="L692" s="29">
        <f>dataset[[#This Row],[implied_soda_ppu]]-dataset[[#This Row],[soda_ppu]]</f>
        <v>-1.7058681176296275E-5</v>
      </c>
      <c r="M692">
        <f>dataset[[#This Row],[soda_sales]]/dataset[[#This Row],[total_sales]]</f>
        <v>2.1003085520763798E-2</v>
      </c>
      <c r="N692">
        <f>LN(dataset[[#This Row],[soda_units_sold]])</f>
        <v>11.760558681453107</v>
      </c>
      <c r="O692">
        <f>LN(dataset[[#This Row],[soda_sales]])</f>
        <v>11.360204900207428</v>
      </c>
      <c r="P692">
        <f>LN(dataset[[#This Row],[soda_ppu]])</f>
        <v>-0.40032832400301199</v>
      </c>
      <c r="Q692">
        <f>IF(dataset[[#This Row],[state]]="VA",1,0)</f>
        <v>1</v>
      </c>
    </row>
    <row r="693" spans="1:17" x14ac:dyDescent="0.35">
      <c r="A693">
        <v>202208</v>
      </c>
      <c r="B693">
        <v>51</v>
      </c>
      <c r="C693" s="2">
        <v>3893975.1582999998</v>
      </c>
      <c r="D693" s="2">
        <v>0.68569999999999998</v>
      </c>
      <c r="E693" s="3">
        <v>111778</v>
      </c>
      <c r="F693" s="2">
        <v>76640.671900000001</v>
      </c>
      <c r="G693" t="s">
        <v>2306</v>
      </c>
      <c r="H693" t="s">
        <v>3</v>
      </c>
      <c r="I693">
        <f>HLOOKUP(G693,zip_tiers!$A$1:$EON$2,2,FALSE)</f>
        <v>176011.66666666666</v>
      </c>
      <c r="J693" t="str">
        <f t="shared" si="10"/>
        <v>High</v>
      </c>
      <c r="K693">
        <f>dataset[[#This Row],[soda_sales]]/dataset[[#This Row],[soda_units_sold]]</f>
        <v>0.68565077117142914</v>
      </c>
      <c r="L693" s="29">
        <f>dataset[[#This Row],[implied_soda_ppu]]-dataset[[#This Row],[soda_ppu]]</f>
        <v>-4.9228828570835326E-5</v>
      </c>
      <c r="M693">
        <f>dataset[[#This Row],[soda_sales]]/dataset[[#This Row],[total_sales]]</f>
        <v>1.9681859484039228E-2</v>
      </c>
      <c r="N693">
        <f>LN(dataset[[#This Row],[soda_units_sold]])</f>
        <v>11.624270040375196</v>
      </c>
      <c r="O693">
        <f>LN(dataset[[#This Row],[soda_sales]])</f>
        <v>11.246883179568734</v>
      </c>
      <c r="P693">
        <f>LN(dataset[[#This Row],[soda_ppu]])</f>
        <v>-0.37731506469181836</v>
      </c>
      <c r="Q693">
        <f>IF(dataset[[#This Row],[state]]="VA",1,0)</f>
        <v>1</v>
      </c>
    </row>
    <row r="694" spans="1:17" x14ac:dyDescent="0.35">
      <c r="A694">
        <v>202209</v>
      </c>
      <c r="B694">
        <v>51</v>
      </c>
      <c r="C694" s="2">
        <v>3924208.5861</v>
      </c>
      <c r="D694" s="2">
        <v>0.66210000000000002</v>
      </c>
      <c r="E694" s="3">
        <v>109790</v>
      </c>
      <c r="F694" s="2">
        <v>72692.756299999994</v>
      </c>
      <c r="G694" t="s">
        <v>2306</v>
      </c>
      <c r="H694" t="s">
        <v>3</v>
      </c>
      <c r="I694">
        <f>HLOOKUP(G694,zip_tiers!$A$1:$EON$2,2,FALSE)</f>
        <v>176011.66666666666</v>
      </c>
      <c r="J694" t="str">
        <f t="shared" si="10"/>
        <v>High</v>
      </c>
      <c r="K694">
        <f>dataset[[#This Row],[soda_sales]]/dataset[[#This Row],[soda_units_sold]]</f>
        <v>0.66210726204572357</v>
      </c>
      <c r="L694" s="29">
        <f>dataset[[#This Row],[implied_soda_ppu]]-dataset[[#This Row],[soda_ppu]]</f>
        <v>7.2620457235439417E-6</v>
      </c>
      <c r="M694">
        <f>dataset[[#This Row],[soda_sales]]/dataset[[#This Row],[total_sales]]</f>
        <v>1.8524182572120691E-2</v>
      </c>
      <c r="N694">
        <f>LN(dataset[[#This Row],[soda_units_sold]])</f>
        <v>11.606324729228778</v>
      </c>
      <c r="O694">
        <f>LN(dataset[[#This Row],[soda_sales]])</f>
        <v>11.193997020318053</v>
      </c>
      <c r="P694">
        <f>LN(dataset[[#This Row],[soda_ppu]])</f>
        <v>-0.41233867705133659</v>
      </c>
      <c r="Q694">
        <f>IF(dataset[[#This Row],[state]]="VA",1,0)</f>
        <v>1</v>
      </c>
    </row>
    <row r="695" spans="1:17" x14ac:dyDescent="0.35">
      <c r="A695">
        <v>202210</v>
      </c>
      <c r="B695">
        <v>51</v>
      </c>
      <c r="C695" s="2">
        <v>4734713.5082</v>
      </c>
      <c r="D695" s="2">
        <v>0.6825</v>
      </c>
      <c r="E695" s="3">
        <v>102675</v>
      </c>
      <c r="F695" s="2">
        <v>70075.318499999994</v>
      </c>
      <c r="G695" t="s">
        <v>2306</v>
      </c>
      <c r="H695" t="s">
        <v>3</v>
      </c>
      <c r="I695">
        <f>HLOOKUP(G695,zip_tiers!$A$1:$EON$2,2,FALSE)</f>
        <v>176011.66666666666</v>
      </c>
      <c r="J695" t="str">
        <f t="shared" si="10"/>
        <v>High</v>
      </c>
      <c r="K695">
        <f>dataset[[#This Row],[soda_sales]]/dataset[[#This Row],[soda_units_sold]]</f>
        <v>0.68249640613586549</v>
      </c>
      <c r="L695" s="29">
        <f>dataset[[#This Row],[implied_soda_ppu]]-dataset[[#This Row],[soda_ppu]]</f>
        <v>-3.5938641345101274E-6</v>
      </c>
      <c r="M695">
        <f>dataset[[#This Row],[soda_sales]]/dataset[[#This Row],[total_sales]]</f>
        <v>1.4800329181192758E-2</v>
      </c>
      <c r="N695">
        <f>LN(dataset[[#This Row],[soda_units_sold]])</f>
        <v>11.53932393882476</v>
      </c>
      <c r="O695">
        <f>LN(dataset[[#This Row],[soda_sales]])</f>
        <v>11.157325921152877</v>
      </c>
      <c r="P695">
        <f>LN(dataset[[#This Row],[soda_ppu]])</f>
        <v>-0.38199275192302223</v>
      </c>
      <c r="Q695">
        <f>IF(dataset[[#This Row],[state]]="VA",1,0)</f>
        <v>1</v>
      </c>
    </row>
    <row r="696" spans="1:17" x14ac:dyDescent="0.35">
      <c r="A696">
        <v>202211</v>
      </c>
      <c r="B696">
        <v>51</v>
      </c>
      <c r="C696" s="2">
        <v>5356260.3361</v>
      </c>
      <c r="D696" s="2">
        <v>0.66449999999999998</v>
      </c>
      <c r="E696" s="3">
        <v>98025</v>
      </c>
      <c r="F696" s="2">
        <v>65136.387699999999</v>
      </c>
      <c r="G696" t="s">
        <v>2306</v>
      </c>
      <c r="H696" t="s">
        <v>3</v>
      </c>
      <c r="I696">
        <f>HLOOKUP(G696,zip_tiers!$A$1:$EON$2,2,FALSE)</f>
        <v>176011.66666666666</v>
      </c>
      <c r="J696" t="str">
        <f t="shared" si="10"/>
        <v>High</v>
      </c>
      <c r="K696">
        <f>dataset[[#This Row],[soda_sales]]/dataset[[#This Row],[soda_units_sold]]</f>
        <v>0.66448750522825806</v>
      </c>
      <c r="L696" s="29">
        <f>dataset[[#This Row],[implied_soda_ppu]]-dataset[[#This Row],[soda_ppu]]</f>
        <v>-1.249477174192215E-5</v>
      </c>
      <c r="M696">
        <f>dataset[[#This Row],[soda_sales]]/dataset[[#This Row],[total_sales]]</f>
        <v>1.2160795706847046E-2</v>
      </c>
      <c r="N696">
        <f>LN(dataset[[#This Row],[soda_units_sold]])</f>
        <v>11.492977827160532</v>
      </c>
      <c r="O696">
        <f>LN(dataset[[#This Row],[soda_sales]])</f>
        <v>11.084238622886676</v>
      </c>
      <c r="P696">
        <f>LN(dataset[[#This Row],[soda_ppu]])</f>
        <v>-0.40872040082883704</v>
      </c>
      <c r="Q696">
        <f>IF(dataset[[#This Row],[state]]="VA",1,0)</f>
        <v>1</v>
      </c>
    </row>
    <row r="697" spans="1:17" x14ac:dyDescent="0.35">
      <c r="A697">
        <v>202212</v>
      </c>
      <c r="B697">
        <v>51</v>
      </c>
      <c r="C697" s="2">
        <v>5670784.5684000002</v>
      </c>
      <c r="D697" s="2">
        <v>0.68689999999999996</v>
      </c>
      <c r="E697" s="3">
        <v>96220</v>
      </c>
      <c r="F697" s="2">
        <v>66093.495899999994</v>
      </c>
      <c r="G697" t="s">
        <v>2306</v>
      </c>
      <c r="H697" t="s">
        <v>3</v>
      </c>
      <c r="I697">
        <f>HLOOKUP(G697,zip_tiers!$A$1:$EON$2,2,FALSE)</f>
        <v>176011.66666666666</v>
      </c>
      <c r="J697" t="str">
        <f t="shared" si="10"/>
        <v>High</v>
      </c>
      <c r="K697">
        <f>dataset[[#This Row],[soda_sales]]/dataset[[#This Row],[soda_units_sold]]</f>
        <v>0.68689977031802119</v>
      </c>
      <c r="L697" s="29">
        <f>dataset[[#This Row],[implied_soda_ppu]]-dataset[[#This Row],[soda_ppu]]</f>
        <v>-2.2968197876949148E-7</v>
      </c>
      <c r="M697">
        <f>dataset[[#This Row],[soda_sales]]/dataset[[#This Row],[total_sales]]</f>
        <v>1.1655088480754637E-2</v>
      </c>
      <c r="N697">
        <f>LN(dataset[[#This Row],[soda_units_sold]])</f>
        <v>11.474392515253445</v>
      </c>
      <c r="O697">
        <f>LN(dataset[[#This Row],[soda_sales]])</f>
        <v>11.098825623116392</v>
      </c>
      <c r="P697">
        <f>LN(dataset[[#This Row],[soda_ppu]])</f>
        <v>-0.37556655776230119</v>
      </c>
      <c r="Q697">
        <f>IF(dataset[[#This Row],[state]]="VA",1,0)</f>
        <v>1</v>
      </c>
    </row>
    <row r="698" spans="1:17" x14ac:dyDescent="0.35">
      <c r="A698">
        <v>202301</v>
      </c>
      <c r="B698">
        <v>51</v>
      </c>
      <c r="C698" s="2">
        <v>3267449.3258000002</v>
      </c>
      <c r="D698" s="2">
        <v>0.70250000000000001</v>
      </c>
      <c r="E698" s="3">
        <v>69424</v>
      </c>
      <c r="F698" s="2">
        <v>48767.821400000001</v>
      </c>
      <c r="G698" t="s">
        <v>2306</v>
      </c>
      <c r="H698" t="s">
        <v>3</v>
      </c>
      <c r="I698">
        <f>HLOOKUP(G698,zip_tiers!$A$1:$EON$2,2,FALSE)</f>
        <v>176011.66666666666</v>
      </c>
      <c r="J698" t="str">
        <f t="shared" si="10"/>
        <v>High</v>
      </c>
      <c r="K698">
        <f>dataset[[#This Row],[soda_sales]]/dataset[[#This Row],[soda_units_sold]]</f>
        <v>0.70246343339479145</v>
      </c>
      <c r="L698" s="29">
        <f>dataset[[#This Row],[implied_soda_ppu]]-dataset[[#This Row],[soda_ppu]]</f>
        <v>-3.6566605208565583E-5</v>
      </c>
      <c r="M698">
        <f>dataset[[#This Row],[soda_sales]]/dataset[[#This Row],[total_sales]]</f>
        <v>1.4925348961015552E-2</v>
      </c>
      <c r="N698">
        <f>LN(dataset[[#This Row],[soda_units_sold]])</f>
        <v>11.147987908038132</v>
      </c>
      <c r="O698">
        <f>LN(dataset[[#This Row],[soda_sales]])</f>
        <v>10.794825976802079</v>
      </c>
      <c r="P698">
        <f>LN(dataset[[#This Row],[soda_ppu]])</f>
        <v>-0.35310987777423619</v>
      </c>
      <c r="Q698">
        <f>IF(dataset[[#This Row],[state]]="VA",1,0)</f>
        <v>1</v>
      </c>
    </row>
    <row r="699" spans="1:17" x14ac:dyDescent="0.35">
      <c r="A699">
        <v>202302</v>
      </c>
      <c r="B699">
        <v>51</v>
      </c>
      <c r="C699" s="2">
        <v>3757676.1645999998</v>
      </c>
      <c r="D699" s="2">
        <v>0.69579999999999997</v>
      </c>
      <c r="E699" s="3">
        <v>81630</v>
      </c>
      <c r="F699" s="2">
        <v>56798.584799999997</v>
      </c>
      <c r="G699" t="s">
        <v>2306</v>
      </c>
      <c r="H699" t="s">
        <v>3</v>
      </c>
      <c r="I699">
        <f>HLOOKUP(G699,zip_tiers!$A$1:$EON$2,2,FALSE)</f>
        <v>176011.66666666666</v>
      </c>
      <c r="J699" t="str">
        <f t="shared" si="10"/>
        <v>High</v>
      </c>
      <c r="K699">
        <f>dataset[[#This Row],[soda_sales]]/dataset[[#This Row],[soda_units_sold]]</f>
        <v>0.69580527747151777</v>
      </c>
      <c r="L699" s="29">
        <f>dataset[[#This Row],[implied_soda_ppu]]-dataset[[#This Row],[soda_ppu]]</f>
        <v>5.2774715177950071E-6</v>
      </c>
      <c r="M699">
        <f>dataset[[#This Row],[soda_sales]]/dataset[[#This Row],[total_sales]]</f>
        <v>1.5115348505835425E-2</v>
      </c>
      <c r="N699">
        <f>LN(dataset[[#This Row],[soda_units_sold]])</f>
        <v>11.309952120445402</v>
      </c>
      <c r="O699">
        <f>LN(dataset[[#This Row],[soda_sales]])</f>
        <v>10.94726668890589</v>
      </c>
      <c r="P699">
        <f>LN(dataset[[#This Row],[soda_ppu]])</f>
        <v>-0.36269301626429545</v>
      </c>
      <c r="Q699">
        <f>IF(dataset[[#This Row],[state]]="VA",1,0)</f>
        <v>1</v>
      </c>
    </row>
    <row r="700" spans="1:17" x14ac:dyDescent="0.35">
      <c r="A700">
        <v>202303</v>
      </c>
      <c r="B700">
        <v>51</v>
      </c>
      <c r="C700" s="2">
        <v>4171600.5211</v>
      </c>
      <c r="D700" s="2">
        <v>0.68869999999999998</v>
      </c>
      <c r="E700" s="3">
        <v>94852</v>
      </c>
      <c r="F700" s="2">
        <v>65328.748599999999</v>
      </c>
      <c r="G700" t="s">
        <v>2306</v>
      </c>
      <c r="H700" t="s">
        <v>3</v>
      </c>
      <c r="I700">
        <f>HLOOKUP(G700,zip_tiers!$A$1:$EON$2,2,FALSE)</f>
        <v>176011.66666666666</v>
      </c>
      <c r="J700" t="str">
        <f t="shared" si="10"/>
        <v>High</v>
      </c>
      <c r="K700">
        <f>dataset[[#This Row],[soda_sales]]/dataset[[#This Row],[soda_units_sold]]</f>
        <v>0.68874402859191164</v>
      </c>
      <c r="L700" s="29">
        <f>dataset[[#This Row],[implied_soda_ppu]]-dataset[[#This Row],[soda_ppu]]</f>
        <v>4.4028591911660087E-5</v>
      </c>
      <c r="M700">
        <f>dataset[[#This Row],[soda_sales]]/dataset[[#This Row],[total_sales]]</f>
        <v>1.5660355844133802E-2</v>
      </c>
      <c r="N700">
        <f>LN(dataset[[#This Row],[soda_units_sold]])</f>
        <v>11.460073061066</v>
      </c>
      <c r="O700">
        <f>LN(dataset[[#This Row],[soda_sales]])</f>
        <v>11.087187472592404</v>
      </c>
      <c r="P700">
        <f>LN(dataset[[#This Row],[soda_ppu]])</f>
        <v>-0.3729495164314845</v>
      </c>
      <c r="Q700">
        <f>IF(dataset[[#This Row],[state]]="VA",1,0)</f>
        <v>1</v>
      </c>
    </row>
    <row r="701" spans="1:17" x14ac:dyDescent="0.35">
      <c r="A701">
        <v>202304</v>
      </c>
      <c r="B701">
        <v>51</v>
      </c>
      <c r="C701" s="2">
        <v>4395383.4612999996</v>
      </c>
      <c r="D701" s="2">
        <v>0.71840000000000004</v>
      </c>
      <c r="E701" s="3">
        <v>106252</v>
      </c>
      <c r="F701" s="2">
        <v>76336.320399999997</v>
      </c>
      <c r="G701" t="s">
        <v>2306</v>
      </c>
      <c r="H701" t="s">
        <v>3</v>
      </c>
      <c r="I701">
        <f>HLOOKUP(G701,zip_tiers!$A$1:$EON$2,2,FALSE)</f>
        <v>176011.66666666666</v>
      </c>
      <c r="J701" t="str">
        <f t="shared" si="10"/>
        <v>High</v>
      </c>
      <c r="K701">
        <f>dataset[[#This Row],[soda_sales]]/dataset[[#This Row],[soda_units_sold]]</f>
        <v>0.71844596242894243</v>
      </c>
      <c r="L701" s="29">
        <f>dataset[[#This Row],[implied_soda_ppu]]-dataset[[#This Row],[soda_ppu]]</f>
        <v>4.5962428942392108E-5</v>
      </c>
      <c r="M701">
        <f>dataset[[#This Row],[soda_sales]]/dataset[[#This Row],[total_sales]]</f>
        <v>1.7367385820171968E-2</v>
      </c>
      <c r="N701">
        <f>LN(dataset[[#This Row],[soda_units_sold]])</f>
        <v>11.573568910138915</v>
      </c>
      <c r="O701">
        <f>LN(dataset[[#This Row],[soda_sales]])</f>
        <v>11.242904124980365</v>
      </c>
      <c r="P701">
        <f>LN(dataset[[#This Row],[soda_ppu]])</f>
        <v>-0.33072876199414714</v>
      </c>
      <c r="Q701">
        <f>IF(dataset[[#This Row],[state]]="VA",1,0)</f>
        <v>1</v>
      </c>
    </row>
    <row r="702" spans="1:17" x14ac:dyDescent="0.35">
      <c r="A702">
        <v>202305</v>
      </c>
      <c r="B702">
        <v>51</v>
      </c>
      <c r="C702" s="2">
        <v>4610790.7385</v>
      </c>
      <c r="D702" s="2">
        <v>0.71740000000000004</v>
      </c>
      <c r="E702" s="3">
        <v>117634</v>
      </c>
      <c r="F702" s="2">
        <v>84387.291800000006</v>
      </c>
      <c r="G702" t="s">
        <v>2306</v>
      </c>
      <c r="H702" t="s">
        <v>3</v>
      </c>
      <c r="I702">
        <f>HLOOKUP(G702,zip_tiers!$A$1:$EON$2,2,FALSE)</f>
        <v>176011.66666666666</v>
      </c>
      <c r="J702" t="str">
        <f t="shared" si="10"/>
        <v>High</v>
      </c>
      <c r="K702">
        <f>dataset[[#This Row],[soda_sales]]/dataset[[#This Row],[soda_units_sold]]</f>
        <v>0.71737160854854898</v>
      </c>
      <c r="L702" s="29">
        <f>dataset[[#This Row],[implied_soda_ppu]]-dataset[[#This Row],[soda_ppu]]</f>
        <v>-2.8391451451059702E-5</v>
      </c>
      <c r="M702">
        <f>dataset[[#This Row],[soda_sales]]/dataset[[#This Row],[total_sales]]</f>
        <v>1.8302130065320034E-2</v>
      </c>
      <c r="N702">
        <f>LN(dataset[[#This Row],[soda_units_sold]])</f>
        <v>11.675333388307047</v>
      </c>
      <c r="O702">
        <f>LN(dataset[[#This Row],[soda_sales]])</f>
        <v>11.343172098157037</v>
      </c>
      <c r="P702">
        <f>LN(dataset[[#This Row],[soda_ppu]])</f>
        <v>-0.33212171388395478</v>
      </c>
      <c r="Q702">
        <f>IF(dataset[[#This Row],[state]]="VA",1,0)</f>
        <v>1</v>
      </c>
    </row>
    <row r="703" spans="1:17" x14ac:dyDescent="0.35">
      <c r="A703">
        <v>202306</v>
      </c>
      <c r="B703">
        <v>51</v>
      </c>
      <c r="C703" s="2">
        <v>4323312.2417000001</v>
      </c>
      <c r="D703" s="2">
        <v>0.69099999999999995</v>
      </c>
      <c r="E703" s="3">
        <v>122511</v>
      </c>
      <c r="F703" s="2">
        <v>84655.634399999995</v>
      </c>
      <c r="G703" t="s">
        <v>2306</v>
      </c>
      <c r="H703" t="s">
        <v>3</v>
      </c>
      <c r="I703">
        <f>HLOOKUP(G703,zip_tiers!$A$1:$EON$2,2,FALSE)</f>
        <v>176011.66666666666</v>
      </c>
      <c r="J703" t="str">
        <f t="shared" si="10"/>
        <v>High</v>
      </c>
      <c r="K703">
        <f>dataset[[#This Row],[soda_sales]]/dataset[[#This Row],[soda_units_sold]]</f>
        <v>0.69100435389475223</v>
      </c>
      <c r="L703" s="29">
        <f>dataset[[#This Row],[implied_soda_ppu]]-dataset[[#This Row],[soda_ppu]]</f>
        <v>4.3538947522847593E-6</v>
      </c>
      <c r="M703">
        <f>dataset[[#This Row],[soda_sales]]/dataset[[#This Row],[total_sales]]</f>
        <v>1.9581198319072127E-2</v>
      </c>
      <c r="N703">
        <f>LN(dataset[[#This Row],[soda_units_sold]])</f>
        <v>11.715956100853873</v>
      </c>
      <c r="O703">
        <f>LN(dataset[[#This Row],[soda_sales]])</f>
        <v>11.346346946480269</v>
      </c>
      <c r="P703">
        <f>LN(dataset[[#This Row],[soda_ppu]])</f>
        <v>-0.36961545521446726</v>
      </c>
      <c r="Q703">
        <f>IF(dataset[[#This Row],[state]]="VA",1,0)</f>
        <v>1</v>
      </c>
    </row>
    <row r="704" spans="1:17" x14ac:dyDescent="0.35">
      <c r="A704">
        <v>202307</v>
      </c>
      <c r="B704">
        <v>51</v>
      </c>
      <c r="C704" s="2">
        <v>4178988.0126</v>
      </c>
      <c r="D704" s="2">
        <v>0.68059999999999998</v>
      </c>
      <c r="E704" s="3">
        <v>129215</v>
      </c>
      <c r="F704" s="2">
        <v>87937.787400000001</v>
      </c>
      <c r="G704" t="s">
        <v>2306</v>
      </c>
      <c r="H704" t="s">
        <v>3</v>
      </c>
      <c r="I704">
        <f>HLOOKUP(G704,zip_tiers!$A$1:$EON$2,2,FALSE)</f>
        <v>176011.66666666666</v>
      </c>
      <c r="J704" t="str">
        <f t="shared" si="10"/>
        <v>High</v>
      </c>
      <c r="K704">
        <f>dataset[[#This Row],[soda_sales]]/dataset[[#This Row],[soda_units_sold]]</f>
        <v>0.68055401772240065</v>
      </c>
      <c r="L704" s="29">
        <f>dataset[[#This Row],[implied_soda_ppu]]-dataset[[#This Row],[soda_ppu]]</f>
        <v>-4.5982277599332377E-5</v>
      </c>
      <c r="M704">
        <f>dataset[[#This Row],[soda_sales]]/dataset[[#This Row],[total_sales]]</f>
        <v>2.1042842701357405E-2</v>
      </c>
      <c r="N704">
        <f>LN(dataset[[#This Row],[soda_units_sold]])</f>
        <v>11.769232962662871</v>
      </c>
      <c r="O704">
        <f>LN(dataset[[#This Row],[soda_sales]])</f>
        <v>11.384384882081681</v>
      </c>
      <c r="P704">
        <f>LN(dataset[[#This Row],[soda_ppu]])</f>
        <v>-0.38478051691533172</v>
      </c>
      <c r="Q704">
        <f>IF(dataset[[#This Row],[state]]="VA",1,0)</f>
        <v>1</v>
      </c>
    </row>
    <row r="705" spans="1:17" x14ac:dyDescent="0.35">
      <c r="A705">
        <v>202308</v>
      </c>
      <c r="B705">
        <v>51</v>
      </c>
      <c r="C705" s="2">
        <v>3955650.0843000002</v>
      </c>
      <c r="D705" s="2">
        <v>0.70050000000000001</v>
      </c>
      <c r="E705" s="3">
        <v>111824</v>
      </c>
      <c r="F705" s="2">
        <v>78329.523799999995</v>
      </c>
      <c r="G705" t="s">
        <v>2306</v>
      </c>
      <c r="H705" t="s">
        <v>3</v>
      </c>
      <c r="I705">
        <f>HLOOKUP(G705,zip_tiers!$A$1:$EON$2,2,FALSE)</f>
        <v>176011.66666666666</v>
      </c>
      <c r="J705" t="str">
        <f t="shared" si="10"/>
        <v>High</v>
      </c>
      <c r="K705">
        <f>dataset[[#This Row],[soda_sales]]/dataset[[#This Row],[soda_units_sold]]</f>
        <v>0.70047148912576906</v>
      </c>
      <c r="L705" s="29">
        <f>dataset[[#This Row],[implied_soda_ppu]]-dataset[[#This Row],[soda_ppu]]</f>
        <v>-2.8510874230947003E-5</v>
      </c>
      <c r="M705">
        <f>dataset[[#This Row],[soda_sales]]/dataset[[#This Row],[total_sales]]</f>
        <v>1.980193448123492E-2</v>
      </c>
      <c r="N705">
        <f>LN(dataset[[#This Row],[soda_units_sold]])</f>
        <v>11.624681485716911</v>
      </c>
      <c r="O705">
        <f>LN(dataset[[#This Row],[soda_sales]])</f>
        <v>11.26867987093517</v>
      </c>
      <c r="P705">
        <f>LN(dataset[[#This Row],[soda_ppu]])</f>
        <v>-0.35596091320507534</v>
      </c>
      <c r="Q705">
        <f>IF(dataset[[#This Row],[state]]="VA",1,0)</f>
        <v>1</v>
      </c>
    </row>
    <row r="706" spans="1:17" x14ac:dyDescent="0.35">
      <c r="A706">
        <v>202309</v>
      </c>
      <c r="B706">
        <v>51</v>
      </c>
      <c r="C706" s="2">
        <v>3990307.5893000001</v>
      </c>
      <c r="D706" s="2">
        <v>0.68779999999999997</v>
      </c>
      <c r="E706" s="3">
        <v>110827</v>
      </c>
      <c r="F706" s="2">
        <v>76224.848700000002</v>
      </c>
      <c r="G706" t="s">
        <v>2306</v>
      </c>
      <c r="H706" t="s">
        <v>3</v>
      </c>
      <c r="I706">
        <f>HLOOKUP(G706,zip_tiers!$A$1:$EON$2,2,FALSE)</f>
        <v>176011.66666666666</v>
      </c>
      <c r="J706" t="str">
        <f t="shared" ref="J706:J769" si="11">IF(I706="","No Data",IF(I706&gt;=100000,"High",IF(I706&gt;=40000,"Med","Low")))</f>
        <v>High</v>
      </c>
      <c r="K706">
        <f>dataset[[#This Row],[soda_sales]]/dataset[[#This Row],[soda_units_sold]]</f>
        <v>0.68778229763505283</v>
      </c>
      <c r="L706" s="29">
        <f>dataset[[#This Row],[implied_soda_ppu]]-dataset[[#This Row],[soda_ppu]]</f>
        <v>-1.7702364947136395E-5</v>
      </c>
      <c r="M706">
        <f>dataset[[#This Row],[soda_sales]]/dataset[[#This Row],[total_sales]]</f>
        <v>1.9102499492619752E-2</v>
      </c>
      <c r="N706">
        <f>LN(dataset[[#This Row],[soda_units_sold]])</f>
        <v>11.615725705920077</v>
      </c>
      <c r="O706">
        <f>LN(dataset[[#This Row],[soda_sales]])</f>
        <v>11.2414427869414</v>
      </c>
      <c r="P706">
        <f>LN(dataset[[#This Row],[soda_ppu]])</f>
        <v>-0.37425718098397126</v>
      </c>
      <c r="Q706">
        <f>IF(dataset[[#This Row],[state]]="VA",1,0)</f>
        <v>1</v>
      </c>
    </row>
    <row r="707" spans="1:17" x14ac:dyDescent="0.35">
      <c r="A707">
        <v>202310</v>
      </c>
      <c r="B707">
        <v>51</v>
      </c>
      <c r="C707" s="2">
        <v>4877802.2559000002</v>
      </c>
      <c r="D707" s="2">
        <v>0.69599999999999995</v>
      </c>
      <c r="E707" s="3">
        <v>104386</v>
      </c>
      <c r="F707" s="2">
        <v>72657.091199999995</v>
      </c>
      <c r="G707" t="s">
        <v>2306</v>
      </c>
      <c r="H707" t="s">
        <v>3</v>
      </c>
      <c r="I707">
        <f>HLOOKUP(G707,zip_tiers!$A$1:$EON$2,2,FALSE)</f>
        <v>176011.66666666666</v>
      </c>
      <c r="J707" t="str">
        <f t="shared" si="11"/>
        <v>High</v>
      </c>
      <c r="K707">
        <f>dataset[[#This Row],[soda_sales]]/dataset[[#This Row],[soda_units_sold]]</f>
        <v>0.69604248845630634</v>
      </c>
      <c r="L707" s="29">
        <f>dataset[[#This Row],[implied_soda_ppu]]-dataset[[#This Row],[soda_ppu]]</f>
        <v>4.2488456306388755E-5</v>
      </c>
      <c r="M707">
        <f>dataset[[#This Row],[soda_sales]]/dataset[[#This Row],[total_sales]]</f>
        <v>1.4895456475734906E-2</v>
      </c>
      <c r="N707">
        <f>LN(dataset[[#This Row],[soda_units_sold]])</f>
        <v>11.555850845821659</v>
      </c>
      <c r="O707">
        <f>LN(dataset[[#This Row],[soda_sales]])</f>
        <v>11.193506271943296</v>
      </c>
      <c r="P707">
        <f>LN(dataset[[#This Row],[soda_ppu]])</f>
        <v>-0.36240561864771748</v>
      </c>
      <c r="Q707">
        <f>IF(dataset[[#This Row],[state]]="VA",1,0)</f>
        <v>1</v>
      </c>
    </row>
    <row r="708" spans="1:17" x14ac:dyDescent="0.35">
      <c r="A708">
        <v>202311</v>
      </c>
      <c r="B708">
        <v>51</v>
      </c>
      <c r="C708" s="2">
        <v>5409454.9436999997</v>
      </c>
      <c r="D708" s="2">
        <v>0.7006</v>
      </c>
      <c r="E708" s="3">
        <v>94818</v>
      </c>
      <c r="F708" s="2">
        <v>66429.101999999999</v>
      </c>
      <c r="G708" t="s">
        <v>2306</v>
      </c>
      <c r="H708" t="s">
        <v>3</v>
      </c>
      <c r="I708">
        <f>HLOOKUP(G708,zip_tiers!$A$1:$EON$2,2,FALSE)</f>
        <v>176011.66666666666</v>
      </c>
      <c r="J708" t="str">
        <f t="shared" si="11"/>
        <v>High</v>
      </c>
      <c r="K708">
        <f>dataset[[#This Row],[soda_sales]]/dataset[[#This Row],[soda_units_sold]]</f>
        <v>0.7005958995127507</v>
      </c>
      <c r="L708" s="29">
        <f>dataset[[#This Row],[implied_soda_ppu]]-dataset[[#This Row],[soda_ppu]]</f>
        <v>-4.1004872493033417E-6</v>
      </c>
      <c r="M708">
        <f>dataset[[#This Row],[soda_sales]]/dataset[[#This Row],[total_sales]]</f>
        <v>1.2280183991062753E-2</v>
      </c>
      <c r="N708">
        <f>LN(dataset[[#This Row],[soda_units_sold]])</f>
        <v>11.459714543637158</v>
      </c>
      <c r="O708">
        <f>LN(dataset[[#This Row],[soda_sales]])</f>
        <v>11.103890522579057</v>
      </c>
      <c r="P708">
        <f>LN(dataset[[#This Row],[soda_ppu]])</f>
        <v>-0.35581816821875062</v>
      </c>
      <c r="Q708">
        <f>IF(dataset[[#This Row],[state]]="VA",1,0)</f>
        <v>1</v>
      </c>
    </row>
    <row r="709" spans="1:17" x14ac:dyDescent="0.35">
      <c r="A709">
        <v>202312</v>
      </c>
      <c r="B709">
        <v>51</v>
      </c>
      <c r="C709" s="2">
        <v>5806945.3923000004</v>
      </c>
      <c r="D709" s="2">
        <v>0.69140000000000001</v>
      </c>
      <c r="E709" s="3">
        <v>94254</v>
      </c>
      <c r="F709" s="2">
        <v>65170.515099999997</v>
      </c>
      <c r="G709" t="s">
        <v>2306</v>
      </c>
      <c r="H709" t="s">
        <v>3</v>
      </c>
      <c r="I709">
        <f>HLOOKUP(G709,zip_tiers!$A$1:$EON$2,2,FALSE)</f>
        <v>176011.66666666666</v>
      </c>
      <c r="J709" t="str">
        <f t="shared" si="11"/>
        <v>High</v>
      </c>
      <c r="K709">
        <f>dataset[[#This Row],[soda_sales]]/dataset[[#This Row],[soda_units_sold]]</f>
        <v>0.69143500647187384</v>
      </c>
      <c r="L709" s="29">
        <f>dataset[[#This Row],[implied_soda_ppu]]-dataset[[#This Row],[soda_ppu]]</f>
        <v>3.5006471873821887E-5</v>
      </c>
      <c r="M709">
        <f>dataset[[#This Row],[soda_sales]]/dataset[[#This Row],[total_sales]]</f>
        <v>1.122285654458125E-2</v>
      </c>
      <c r="N709">
        <f>LN(dataset[[#This Row],[soda_units_sold]])</f>
        <v>11.453748544727995</v>
      </c>
      <c r="O709">
        <f>LN(dataset[[#This Row],[soda_sales]])</f>
        <v>11.084762423238722</v>
      </c>
      <c r="P709">
        <f>LN(dataset[[#This Row],[soda_ppu]])</f>
        <v>-0.36903675149461285</v>
      </c>
      <c r="Q709">
        <f>IF(dataset[[#This Row],[state]]="VA",1,0)</f>
        <v>1</v>
      </c>
    </row>
    <row r="710" spans="1:17" x14ac:dyDescent="0.35">
      <c r="A710">
        <v>202401</v>
      </c>
      <c r="B710">
        <v>51</v>
      </c>
      <c r="C710" s="2">
        <v>3377032.6049000002</v>
      </c>
      <c r="D710" s="2">
        <v>0.72450000000000003</v>
      </c>
      <c r="E710" s="3">
        <v>69792</v>
      </c>
      <c r="F710" s="2">
        <v>50567.6656</v>
      </c>
      <c r="G710" t="s">
        <v>2306</v>
      </c>
      <c r="H710" t="s">
        <v>3</v>
      </c>
      <c r="I710">
        <f>HLOOKUP(G710,zip_tiers!$A$1:$EON$2,2,FALSE)</f>
        <v>176011.66666666666</v>
      </c>
      <c r="J710" t="str">
        <f t="shared" si="11"/>
        <v>High</v>
      </c>
      <c r="K710">
        <f>dataset[[#This Row],[soda_sales]]/dataset[[#This Row],[soda_units_sold]]</f>
        <v>0.72454816597890881</v>
      </c>
      <c r="L710" s="29">
        <f>dataset[[#This Row],[implied_soda_ppu]]-dataset[[#This Row],[soda_ppu]]</f>
        <v>4.8165978908776275E-5</v>
      </c>
      <c r="M710">
        <f>dataset[[#This Row],[soda_sales]]/dataset[[#This Row],[total_sales]]</f>
        <v>1.497399389233833E-2</v>
      </c>
      <c r="N710">
        <f>LN(dataset[[#This Row],[soda_units_sold]])</f>
        <v>11.153274669001355</v>
      </c>
      <c r="O710">
        <f>LN(dataset[[#This Row],[soda_sales]])</f>
        <v>10.83106763125256</v>
      </c>
      <c r="P710">
        <f>LN(dataset[[#This Row],[soda_ppu]])</f>
        <v>-0.32227351722139996</v>
      </c>
      <c r="Q710">
        <f>IF(dataset[[#This Row],[state]]="VA",1,0)</f>
        <v>1</v>
      </c>
    </row>
    <row r="711" spans="1:17" x14ac:dyDescent="0.35">
      <c r="A711">
        <v>202402</v>
      </c>
      <c r="B711">
        <v>51</v>
      </c>
      <c r="C711" s="2">
        <v>3821622.4404000002</v>
      </c>
      <c r="D711" s="2">
        <v>0.72370000000000001</v>
      </c>
      <c r="E711" s="3">
        <v>79401</v>
      </c>
      <c r="F711" s="2">
        <v>57460.071100000001</v>
      </c>
      <c r="G711" t="s">
        <v>2306</v>
      </c>
      <c r="H711" t="s">
        <v>3</v>
      </c>
      <c r="I711">
        <f>HLOOKUP(G711,zip_tiers!$A$1:$EON$2,2,FALSE)</f>
        <v>176011.66666666666</v>
      </c>
      <c r="J711" t="str">
        <f t="shared" si="11"/>
        <v>High</v>
      </c>
      <c r="K711">
        <f>dataset[[#This Row],[soda_sales]]/dataset[[#This Row],[soda_units_sold]]</f>
        <v>0.72366936310625807</v>
      </c>
      <c r="L711" s="29">
        <f>dataset[[#This Row],[implied_soda_ppu]]-dataset[[#This Row],[soda_ppu]]</f>
        <v>-3.0636893741942117E-5</v>
      </c>
      <c r="M711">
        <f>dataset[[#This Row],[soda_sales]]/dataset[[#This Row],[total_sales]]</f>
        <v>1.5035517504964669E-2</v>
      </c>
      <c r="N711">
        <f>LN(dataset[[#This Row],[soda_units_sold]])</f>
        <v>11.282266241614355</v>
      </c>
      <c r="O711">
        <f>LN(dataset[[#This Row],[soda_sales]])</f>
        <v>10.958845569915042</v>
      </c>
      <c r="P711">
        <f>LN(dataset[[#This Row],[soda_ppu]])</f>
        <v>-0.32337833711005504</v>
      </c>
      <c r="Q711">
        <f>IF(dataset[[#This Row],[state]]="VA",1,0)</f>
        <v>1</v>
      </c>
    </row>
    <row r="712" spans="1:17" x14ac:dyDescent="0.35">
      <c r="A712">
        <v>202403</v>
      </c>
      <c r="B712">
        <v>51</v>
      </c>
      <c r="C712" s="2">
        <v>4289171.2061999999</v>
      </c>
      <c r="D712" s="2">
        <v>0.71020000000000005</v>
      </c>
      <c r="E712" s="3">
        <v>94620</v>
      </c>
      <c r="F712" s="2">
        <v>67200.496899999998</v>
      </c>
      <c r="G712" t="s">
        <v>2306</v>
      </c>
      <c r="H712" t="s">
        <v>3</v>
      </c>
      <c r="I712">
        <f>HLOOKUP(G712,zip_tiers!$A$1:$EON$2,2,FALSE)</f>
        <v>176011.66666666666</v>
      </c>
      <c r="J712" t="str">
        <f t="shared" si="11"/>
        <v>High</v>
      </c>
      <c r="K712">
        <f>dataset[[#This Row],[soda_sales]]/dataset[[#This Row],[soda_units_sold]]</f>
        <v>0.71021450961741706</v>
      </c>
      <c r="L712" s="29">
        <f>dataset[[#This Row],[implied_soda_ppu]]-dataset[[#This Row],[soda_ppu]]</f>
        <v>1.4509617417002296E-5</v>
      </c>
      <c r="M712">
        <f>dataset[[#This Row],[soda_sales]]/dataset[[#This Row],[total_sales]]</f>
        <v>1.5667478323752065E-2</v>
      </c>
      <c r="N712">
        <f>LN(dataset[[#This Row],[soda_units_sold]])</f>
        <v>11.45762414918514</v>
      </c>
      <c r="O712">
        <f>LN(dataset[[#This Row],[soda_sales]])</f>
        <v>11.115435920829141</v>
      </c>
      <c r="P712">
        <f>LN(dataset[[#This Row],[soda_ppu]])</f>
        <v>-0.34220865847314946</v>
      </c>
      <c r="Q712">
        <f>IF(dataset[[#This Row],[state]]="VA",1,0)</f>
        <v>1</v>
      </c>
    </row>
    <row r="713" spans="1:17" x14ac:dyDescent="0.35">
      <c r="A713">
        <v>202404</v>
      </c>
      <c r="B713">
        <v>51</v>
      </c>
      <c r="C713" s="2">
        <v>4411939.6262999997</v>
      </c>
      <c r="D713" s="2">
        <v>0.72889999999999999</v>
      </c>
      <c r="E713" s="3">
        <v>105851</v>
      </c>
      <c r="F713" s="2">
        <v>77153.726899999994</v>
      </c>
      <c r="G713" t="s">
        <v>2306</v>
      </c>
      <c r="H713" t="s">
        <v>3</v>
      </c>
      <c r="I713">
        <f>HLOOKUP(G713,zip_tiers!$A$1:$EON$2,2,FALSE)</f>
        <v>176011.66666666666</v>
      </c>
      <c r="J713" t="str">
        <f t="shared" si="11"/>
        <v>High</v>
      </c>
      <c r="K713">
        <f>dataset[[#This Row],[soda_sales]]/dataset[[#This Row],[soda_units_sold]]</f>
        <v>0.7288899197929164</v>
      </c>
      <c r="L713" s="29">
        <f>dataset[[#This Row],[implied_soda_ppu]]-dataset[[#This Row],[soda_ppu]]</f>
        <v>-1.0080207083595916E-5</v>
      </c>
      <c r="M713">
        <f>dataset[[#This Row],[soda_sales]]/dataset[[#This Row],[total_sales]]</f>
        <v>1.7487484742556122E-2</v>
      </c>
      <c r="N713">
        <f>LN(dataset[[#This Row],[soda_units_sold]])</f>
        <v>11.569787723849515</v>
      </c>
      <c r="O713">
        <f>LN(dataset[[#This Row],[soda_sales]])</f>
        <v>11.25355516381833</v>
      </c>
      <c r="P713">
        <f>LN(dataset[[#This Row],[soda_ppu]])</f>
        <v>-0.31621873059396982</v>
      </c>
      <c r="Q713">
        <f>IF(dataset[[#This Row],[state]]="VA",1,0)</f>
        <v>1</v>
      </c>
    </row>
    <row r="714" spans="1:17" x14ac:dyDescent="0.35">
      <c r="A714">
        <v>202405</v>
      </c>
      <c r="B714">
        <v>51</v>
      </c>
      <c r="C714" s="2">
        <v>4641982.4189999998</v>
      </c>
      <c r="D714" s="2">
        <v>0.69799999999999995</v>
      </c>
      <c r="E714" s="3">
        <v>117503</v>
      </c>
      <c r="F714" s="2">
        <v>82012.775200000004</v>
      </c>
      <c r="G714" t="s">
        <v>2306</v>
      </c>
      <c r="H714" t="s">
        <v>3</v>
      </c>
      <c r="I714">
        <f>HLOOKUP(G714,zip_tiers!$A$1:$EON$2,2,FALSE)</f>
        <v>176011.66666666666</v>
      </c>
      <c r="J714" t="str">
        <f t="shared" si="11"/>
        <v>High</v>
      </c>
      <c r="K714">
        <f>dataset[[#This Row],[soda_sales]]/dataset[[#This Row],[soda_units_sold]]</f>
        <v>0.69796324519373976</v>
      </c>
      <c r="L714" s="29">
        <f>dataset[[#This Row],[implied_soda_ppu]]-dataset[[#This Row],[soda_ppu]]</f>
        <v>-3.6754806260197448E-5</v>
      </c>
      <c r="M714">
        <f>dataset[[#This Row],[soda_sales]]/dataset[[#This Row],[total_sales]]</f>
        <v>1.7667618658854727E-2</v>
      </c>
      <c r="N714">
        <f>LN(dataset[[#This Row],[soda_units_sold]])</f>
        <v>11.674219144155311</v>
      </c>
      <c r="O714">
        <f>LN(dataset[[#This Row],[soda_sales]])</f>
        <v>11.314630309233541</v>
      </c>
      <c r="P714">
        <f>LN(dataset[[#This Row],[soda_ppu]])</f>
        <v>-0.35953617621976464</v>
      </c>
      <c r="Q714">
        <f>IF(dataset[[#This Row],[state]]="VA",1,0)</f>
        <v>1</v>
      </c>
    </row>
    <row r="715" spans="1:17" x14ac:dyDescent="0.35">
      <c r="A715">
        <v>202406</v>
      </c>
      <c r="B715">
        <v>51</v>
      </c>
      <c r="C715" s="2">
        <v>4511867.9730000002</v>
      </c>
      <c r="D715" s="2">
        <v>0.71399999999999997</v>
      </c>
      <c r="E715" s="3">
        <v>123979</v>
      </c>
      <c r="F715" s="2">
        <v>88517.316600000006</v>
      </c>
      <c r="G715" t="s">
        <v>2306</v>
      </c>
      <c r="H715" t="s">
        <v>3</v>
      </c>
      <c r="I715">
        <f>HLOOKUP(G715,zip_tiers!$A$1:$EON$2,2,FALSE)</f>
        <v>176011.66666666666</v>
      </c>
      <c r="J715" t="str">
        <f t="shared" si="11"/>
        <v>High</v>
      </c>
      <c r="K715">
        <f>dataset[[#This Row],[soda_sales]]/dataset[[#This Row],[soda_units_sold]]</f>
        <v>0.71397024173448731</v>
      </c>
      <c r="L715" s="29">
        <f>dataset[[#This Row],[implied_soda_ppu]]-dataset[[#This Row],[soda_ppu]]</f>
        <v>-2.9758265512658255E-5</v>
      </c>
      <c r="M715">
        <f>dataset[[#This Row],[soda_sales]]/dataset[[#This Row],[total_sales]]</f>
        <v>1.9618773671948489E-2</v>
      </c>
      <c r="N715">
        <f>LN(dataset[[#This Row],[soda_units_sold]])</f>
        <v>11.727867475406315</v>
      </c>
      <c r="O715">
        <f>LN(dataset[[#This Row],[soda_sales]])</f>
        <v>11.390953479652184</v>
      </c>
      <c r="P715">
        <f>LN(dataset[[#This Row],[soda_ppu]])</f>
        <v>-0.33687231664255274</v>
      </c>
      <c r="Q715">
        <f>IF(dataset[[#This Row],[state]]="VA",1,0)</f>
        <v>1</v>
      </c>
    </row>
    <row r="716" spans="1:17" x14ac:dyDescent="0.35">
      <c r="A716">
        <v>202407</v>
      </c>
      <c r="B716">
        <v>51</v>
      </c>
      <c r="C716" s="2">
        <v>4321411.7940999996</v>
      </c>
      <c r="D716" s="2">
        <v>0.72340000000000004</v>
      </c>
      <c r="E716" s="3">
        <v>128821</v>
      </c>
      <c r="F716" s="2">
        <v>93183.329400000002</v>
      </c>
      <c r="G716" t="s">
        <v>2306</v>
      </c>
      <c r="H716" t="s">
        <v>3</v>
      </c>
      <c r="I716">
        <f>HLOOKUP(G716,zip_tiers!$A$1:$EON$2,2,FALSE)</f>
        <v>176011.66666666666</v>
      </c>
      <c r="J716" t="str">
        <f t="shared" si="11"/>
        <v>High</v>
      </c>
      <c r="K716">
        <f>dataset[[#This Row],[soda_sales]]/dataset[[#This Row],[soda_units_sold]]</f>
        <v>0.7233551160136934</v>
      </c>
      <c r="L716" s="29">
        <f>dataset[[#This Row],[implied_soda_ppu]]-dataset[[#This Row],[soda_ppu]]</f>
        <v>-4.4883986306643031E-5</v>
      </c>
      <c r="M716">
        <f>dataset[[#This Row],[soda_sales]]/dataset[[#This Row],[total_sales]]</f>
        <v>2.1563168205173761E-2</v>
      </c>
      <c r="N716">
        <f>LN(dataset[[#This Row],[soda_units_sold]])</f>
        <v>11.766179122840509</v>
      </c>
      <c r="O716">
        <f>LN(dataset[[#This Row],[soda_sales]])</f>
        <v>11.442324115575985</v>
      </c>
      <c r="P716">
        <f>LN(dataset[[#This Row],[soda_ppu]])</f>
        <v>-0.32379295946413944</v>
      </c>
      <c r="Q716">
        <f>IF(dataset[[#This Row],[state]]="VA",1,0)</f>
        <v>1</v>
      </c>
    </row>
    <row r="717" spans="1:17" x14ac:dyDescent="0.35">
      <c r="A717">
        <v>202408</v>
      </c>
      <c r="B717">
        <v>51</v>
      </c>
      <c r="C717" s="2">
        <v>4082616.1990999999</v>
      </c>
      <c r="D717" s="2">
        <v>0.74719999999999998</v>
      </c>
      <c r="E717" s="3">
        <v>110450</v>
      </c>
      <c r="F717" s="2">
        <v>82527.042100000006</v>
      </c>
      <c r="G717" t="s">
        <v>2306</v>
      </c>
      <c r="H717" t="s">
        <v>3</v>
      </c>
      <c r="I717">
        <f>HLOOKUP(G717,zip_tiers!$A$1:$EON$2,2,FALSE)</f>
        <v>176011.66666666666</v>
      </c>
      <c r="J717" t="str">
        <f t="shared" si="11"/>
        <v>High</v>
      </c>
      <c r="K717">
        <f>dataset[[#This Row],[soda_sales]]/dataset[[#This Row],[soda_units_sold]]</f>
        <v>0.74718915436849254</v>
      </c>
      <c r="L717" s="29">
        <f>dataset[[#This Row],[implied_soda_ppu]]-dataset[[#This Row],[soda_ppu]]</f>
        <v>-1.0845631507439002E-5</v>
      </c>
      <c r="M717">
        <f>dataset[[#This Row],[soda_sales]]/dataset[[#This Row],[total_sales]]</f>
        <v>2.0214254310310344E-2</v>
      </c>
      <c r="N717">
        <f>LN(dataset[[#This Row],[soda_units_sold]])</f>
        <v>11.612318208848263</v>
      </c>
      <c r="O717">
        <f>LN(dataset[[#This Row],[soda_sales]])</f>
        <v>11.320881301643954</v>
      </c>
      <c r="P717">
        <f>LN(dataset[[#This Row],[soda_ppu]])</f>
        <v>-0.2914223920675042</v>
      </c>
      <c r="Q717">
        <f>IF(dataset[[#This Row],[state]]="VA",1,0)</f>
        <v>1</v>
      </c>
    </row>
    <row r="718" spans="1:17" x14ac:dyDescent="0.35">
      <c r="A718">
        <v>202409</v>
      </c>
      <c r="B718">
        <v>51</v>
      </c>
      <c r="C718" s="2">
        <v>4091968.2248</v>
      </c>
      <c r="D718" s="2">
        <v>0.73960000000000004</v>
      </c>
      <c r="E718" s="3">
        <v>105567</v>
      </c>
      <c r="F718" s="2">
        <v>78072.904699999999</v>
      </c>
      <c r="G718" t="s">
        <v>2306</v>
      </c>
      <c r="H718" t="s">
        <v>3</v>
      </c>
      <c r="I718">
        <f>HLOOKUP(G718,zip_tiers!$A$1:$EON$2,2,FALSE)</f>
        <v>176011.66666666666</v>
      </c>
      <c r="J718" t="str">
        <f t="shared" si="11"/>
        <v>High</v>
      </c>
      <c r="K718">
        <f>dataset[[#This Row],[soda_sales]]/dataset[[#This Row],[soda_units_sold]]</f>
        <v>0.73955786088455677</v>
      </c>
      <c r="L718" s="29">
        <f>dataset[[#This Row],[implied_soda_ppu]]-dataset[[#This Row],[soda_ppu]]</f>
        <v>-4.2139115443262654E-5</v>
      </c>
      <c r="M718">
        <f>dataset[[#This Row],[soda_sales]]/dataset[[#This Row],[total_sales]]</f>
        <v>1.9079548132076688E-2</v>
      </c>
      <c r="N718">
        <f>LN(dataset[[#This Row],[soda_units_sold]])</f>
        <v>11.567101101415998</v>
      </c>
      <c r="O718">
        <f>LN(dataset[[#This Row],[soda_sales]])</f>
        <v>11.26539834477547</v>
      </c>
      <c r="P718">
        <f>LN(dataset[[#This Row],[soda_ppu]])</f>
        <v>-0.30164577946916721</v>
      </c>
      <c r="Q718">
        <f>IF(dataset[[#This Row],[state]]="VA",1,0)</f>
        <v>1</v>
      </c>
    </row>
    <row r="719" spans="1:17" x14ac:dyDescent="0.35">
      <c r="A719">
        <v>202410</v>
      </c>
      <c r="B719">
        <v>51</v>
      </c>
      <c r="C719" s="2">
        <v>4924216.4546999997</v>
      </c>
      <c r="D719" s="2">
        <v>0.72809999999999997</v>
      </c>
      <c r="E719" s="3">
        <v>99384</v>
      </c>
      <c r="F719" s="2">
        <v>72363.780899999998</v>
      </c>
      <c r="G719" t="s">
        <v>2306</v>
      </c>
      <c r="H719" t="s">
        <v>3</v>
      </c>
      <c r="I719">
        <f>HLOOKUP(G719,zip_tiers!$A$1:$EON$2,2,FALSE)</f>
        <v>176011.66666666666</v>
      </c>
      <c r="J719" t="str">
        <f t="shared" si="11"/>
        <v>High</v>
      </c>
      <c r="K719">
        <f>dataset[[#This Row],[soda_sales]]/dataset[[#This Row],[soda_units_sold]]</f>
        <v>0.72812304696933106</v>
      </c>
      <c r="L719" s="29">
        <f>dataset[[#This Row],[implied_soda_ppu]]-dataset[[#This Row],[soda_ppu]]</f>
        <v>2.3046969331086409E-5</v>
      </c>
      <c r="M719">
        <f>dataset[[#This Row],[soda_sales]]/dataset[[#This Row],[total_sales]]</f>
        <v>1.4695491468684565E-2</v>
      </c>
      <c r="N719">
        <f>LN(dataset[[#This Row],[soda_units_sold]])</f>
        <v>11.506746413893513</v>
      </c>
      <c r="O719">
        <f>LN(dataset[[#This Row],[soda_sales]])</f>
        <v>11.189461189387965</v>
      </c>
      <c r="P719">
        <f>LN(dataset[[#This Row],[soda_ppu]])</f>
        <v>-0.3173168775814717</v>
      </c>
      <c r="Q719">
        <f>IF(dataset[[#This Row],[state]]="VA",1,0)</f>
        <v>1</v>
      </c>
    </row>
    <row r="720" spans="1:17" x14ac:dyDescent="0.35">
      <c r="A720">
        <v>202411</v>
      </c>
      <c r="B720">
        <v>51</v>
      </c>
      <c r="C720" s="2">
        <v>5554542.3433999997</v>
      </c>
      <c r="D720" s="2">
        <v>0.71419999999999995</v>
      </c>
      <c r="E720" s="3">
        <v>95037</v>
      </c>
      <c r="F720" s="2">
        <v>67875.169500000004</v>
      </c>
      <c r="G720" t="s">
        <v>2306</v>
      </c>
      <c r="H720" t="s">
        <v>3</v>
      </c>
      <c r="I720">
        <f>HLOOKUP(G720,zip_tiers!$A$1:$EON$2,2,FALSE)</f>
        <v>176011.66666666666</v>
      </c>
      <c r="J720" t="str">
        <f t="shared" si="11"/>
        <v>High</v>
      </c>
      <c r="K720">
        <f>dataset[[#This Row],[soda_sales]]/dataset[[#This Row],[soda_units_sold]]</f>
        <v>0.71419730736450016</v>
      </c>
      <c r="L720" s="29">
        <f>dataset[[#This Row],[implied_soda_ppu]]-dataset[[#This Row],[soda_ppu]]</f>
        <v>-2.6926354997902635E-6</v>
      </c>
      <c r="M720">
        <f>dataset[[#This Row],[soda_sales]]/dataset[[#This Row],[total_sales]]</f>
        <v>1.2219759127527477E-2</v>
      </c>
      <c r="N720">
        <f>LN(dataset[[#This Row],[soda_units_sold]])</f>
        <v>11.462021568441701</v>
      </c>
      <c r="O720">
        <f>LN(dataset[[#This Row],[soda_sales]])</f>
        <v>11.125425554470688</v>
      </c>
      <c r="P720">
        <f>LN(dataset[[#This Row],[soda_ppu]])</f>
        <v>-0.33659224382178904</v>
      </c>
      <c r="Q720">
        <f>IF(dataset[[#This Row],[state]]="VA",1,0)</f>
        <v>1</v>
      </c>
    </row>
    <row r="721" spans="1:17" x14ac:dyDescent="0.35">
      <c r="A721">
        <v>202412</v>
      </c>
      <c r="B721">
        <v>51</v>
      </c>
      <c r="C721" s="2">
        <v>5934473.6283999998</v>
      </c>
      <c r="D721" s="2">
        <v>0.73319999999999996</v>
      </c>
      <c r="E721" s="3">
        <v>93524</v>
      </c>
      <c r="F721" s="2">
        <v>68576.235700000005</v>
      </c>
      <c r="G721" t="s">
        <v>2306</v>
      </c>
      <c r="H721" t="s">
        <v>3</v>
      </c>
      <c r="I721">
        <f>HLOOKUP(G721,zip_tiers!$A$1:$EON$2,2,FALSE)</f>
        <v>176011.66666666666</v>
      </c>
      <c r="J721" t="str">
        <f t="shared" si="11"/>
        <v>High</v>
      </c>
      <c r="K721">
        <f>dataset[[#This Row],[soda_sales]]/dataset[[#This Row],[soda_units_sold]]</f>
        <v>0.73324746268337548</v>
      </c>
      <c r="L721" s="29">
        <f>dataset[[#This Row],[implied_soda_ppu]]-dataset[[#This Row],[soda_ppu]]</f>
        <v>4.7462683375520953E-5</v>
      </c>
      <c r="M721">
        <f>dataset[[#This Row],[soda_sales]]/dataset[[#This Row],[total_sales]]</f>
        <v>1.155557173121838E-2</v>
      </c>
      <c r="N721">
        <f>LN(dataset[[#This Row],[soda_units_sold]])</f>
        <v>11.445973366830929</v>
      </c>
      <c r="O721">
        <f>LN(dataset[[#This Row],[soda_sales]])</f>
        <v>11.135701335329927</v>
      </c>
      <c r="P721">
        <f>LN(dataset[[#This Row],[soda_ppu]])</f>
        <v>-0.31033676301658714</v>
      </c>
      <c r="Q721">
        <f>IF(dataset[[#This Row],[state]]="VA",1,0)</f>
        <v>1</v>
      </c>
    </row>
    <row r="722" spans="1:17" x14ac:dyDescent="0.35">
      <c r="A722">
        <v>202201</v>
      </c>
      <c r="B722">
        <v>29</v>
      </c>
      <c r="C722" s="2">
        <v>2098174.9139</v>
      </c>
      <c r="D722" s="2">
        <v>0.65949999999999998</v>
      </c>
      <c r="E722" s="3">
        <v>162824</v>
      </c>
      <c r="F722" s="2">
        <v>107383.14049999999</v>
      </c>
      <c r="G722" t="s">
        <v>2310</v>
      </c>
      <c r="H722" t="s">
        <v>3</v>
      </c>
      <c r="I722">
        <f>HLOOKUP(G722,zip_tiers!$A$1:$EON$2,2,FALSE)</f>
        <v>90147.333333333328</v>
      </c>
      <c r="J722" t="str">
        <f t="shared" si="11"/>
        <v>Med</v>
      </c>
      <c r="K722">
        <f>dataset[[#This Row],[soda_sales]]/dataset[[#This Row],[soda_units_sold]]</f>
        <v>0.65950437589053212</v>
      </c>
      <c r="L722" s="29">
        <f>dataset[[#This Row],[implied_soda_ppu]]-dataset[[#This Row],[soda_ppu]]</f>
        <v>4.3758905321489294E-6</v>
      </c>
      <c r="M722">
        <f>dataset[[#This Row],[soda_sales]]/dataset[[#This Row],[total_sales]]</f>
        <v>5.1179308163779677E-2</v>
      </c>
      <c r="N722">
        <f>LN(dataset[[#This Row],[soda_units_sold]])</f>
        <v>12.000425141832714</v>
      </c>
      <c r="O722">
        <f>LN(dataset[[#This Row],[soda_sales]])</f>
        <v>11.584158470149744</v>
      </c>
      <c r="P722">
        <f>LN(dataset[[#This Row],[soda_ppu]])</f>
        <v>-0.41627330682476782</v>
      </c>
      <c r="Q722">
        <f>IF(dataset[[#This Row],[state]]="VA",1,0)</f>
        <v>1</v>
      </c>
    </row>
    <row r="723" spans="1:17" x14ac:dyDescent="0.35">
      <c r="A723">
        <v>202202</v>
      </c>
      <c r="B723">
        <v>29</v>
      </c>
      <c r="C723" s="2">
        <v>2418069.0196000002</v>
      </c>
      <c r="D723" s="2">
        <v>0.68379999999999996</v>
      </c>
      <c r="E723" s="3">
        <v>178654</v>
      </c>
      <c r="F723" s="2">
        <v>122156.7399</v>
      </c>
      <c r="G723" t="s">
        <v>2310</v>
      </c>
      <c r="H723" t="s">
        <v>3</v>
      </c>
      <c r="I723">
        <f>HLOOKUP(G723,zip_tiers!$A$1:$EON$2,2,FALSE)</f>
        <v>90147.333333333328</v>
      </c>
      <c r="J723" t="str">
        <f t="shared" si="11"/>
        <v>Med</v>
      </c>
      <c r="K723">
        <f>dataset[[#This Row],[soda_sales]]/dataset[[#This Row],[soda_units_sold]]</f>
        <v>0.68376157208906607</v>
      </c>
      <c r="L723" s="29">
        <f>dataset[[#This Row],[implied_soda_ppu]]-dataset[[#This Row],[soda_ppu]]</f>
        <v>-3.8427910933891418E-5</v>
      </c>
      <c r="M723">
        <f>dataset[[#This Row],[soda_sales]]/dataset[[#This Row],[total_sales]]</f>
        <v>5.0518301549642E-2</v>
      </c>
      <c r="N723">
        <f>LN(dataset[[#This Row],[soda_units_sold]])</f>
        <v>12.093206253349235</v>
      </c>
      <c r="O723">
        <f>LN(dataset[[#This Row],[soda_sales]])</f>
        <v>11.713060252404775</v>
      </c>
      <c r="P723">
        <f>LN(dataset[[#This Row],[soda_ppu]])</f>
        <v>-0.38008980177693619</v>
      </c>
      <c r="Q723">
        <f>IF(dataset[[#This Row],[state]]="VA",1,0)</f>
        <v>1</v>
      </c>
    </row>
    <row r="724" spans="1:17" x14ac:dyDescent="0.35">
      <c r="A724">
        <v>202203</v>
      </c>
      <c r="B724">
        <v>29</v>
      </c>
      <c r="C724" s="2">
        <v>2706212.0263999999</v>
      </c>
      <c r="D724" s="2">
        <v>0.70040000000000002</v>
      </c>
      <c r="E724" s="3">
        <v>203241</v>
      </c>
      <c r="F724" s="2">
        <v>142348.76800000001</v>
      </c>
      <c r="G724" t="s">
        <v>2310</v>
      </c>
      <c r="H724" t="s">
        <v>3</v>
      </c>
      <c r="I724">
        <f>HLOOKUP(G724,zip_tiers!$A$1:$EON$2,2,FALSE)</f>
        <v>90147.333333333328</v>
      </c>
      <c r="J724" t="str">
        <f t="shared" si="11"/>
        <v>Med</v>
      </c>
      <c r="K724">
        <f>dataset[[#This Row],[soda_sales]]/dataset[[#This Row],[soda_units_sold]]</f>
        <v>0.70039395594392873</v>
      </c>
      <c r="L724" s="29">
        <f>dataset[[#This Row],[implied_soda_ppu]]-dataset[[#This Row],[soda_ppu]]</f>
        <v>-6.0440560712970992E-6</v>
      </c>
      <c r="M724">
        <f>dataset[[#This Row],[soda_sales]]/dataset[[#This Row],[total_sales]]</f>
        <v>5.260074473520196E-2</v>
      </c>
      <c r="N724">
        <f>LN(dataset[[#This Row],[soda_units_sold]])</f>
        <v>12.222147745986845</v>
      </c>
      <c r="O724">
        <f>LN(dataset[[#This Row],[soda_sales]])</f>
        <v>11.866035437944459</v>
      </c>
      <c r="P724">
        <f>LN(dataset[[#This Row],[soda_ppu]])</f>
        <v>-0.35610367857044023</v>
      </c>
      <c r="Q724">
        <f>IF(dataset[[#This Row],[state]]="VA",1,0)</f>
        <v>1</v>
      </c>
    </row>
    <row r="725" spans="1:17" x14ac:dyDescent="0.35">
      <c r="A725">
        <v>202204</v>
      </c>
      <c r="B725">
        <v>29</v>
      </c>
      <c r="C725" s="2">
        <v>2828674.7393999998</v>
      </c>
      <c r="D725" s="2">
        <v>0.67649999999999999</v>
      </c>
      <c r="E725" s="3">
        <v>243011</v>
      </c>
      <c r="F725" s="2">
        <v>164395.26860000001</v>
      </c>
      <c r="G725" t="s">
        <v>2310</v>
      </c>
      <c r="H725" t="s">
        <v>3</v>
      </c>
      <c r="I725">
        <f>HLOOKUP(G725,zip_tiers!$A$1:$EON$2,2,FALSE)</f>
        <v>90147.333333333328</v>
      </c>
      <c r="J725" t="str">
        <f t="shared" si="11"/>
        <v>Med</v>
      </c>
      <c r="K725">
        <f>dataset[[#This Row],[soda_sales]]/dataset[[#This Row],[soda_units_sold]]</f>
        <v>0.6764931159494838</v>
      </c>
      <c r="L725" s="29">
        <f>dataset[[#This Row],[implied_soda_ppu]]-dataset[[#This Row],[soda_ppu]]</f>
        <v>-6.8840505161871235E-6</v>
      </c>
      <c r="M725">
        <f>dataset[[#This Row],[soda_sales]]/dataset[[#This Row],[total_sales]]</f>
        <v>5.8117416721750935E-2</v>
      </c>
      <c r="N725">
        <f>LN(dataset[[#This Row],[soda_units_sold]])</f>
        <v>12.400861988787856</v>
      </c>
      <c r="O725">
        <f>LN(dataset[[#This Row],[soda_sales]])</f>
        <v>12.010028981384718</v>
      </c>
      <c r="P725">
        <f>LN(dataset[[#This Row],[soda_ppu]])</f>
        <v>-0.39082283137129431</v>
      </c>
      <c r="Q725">
        <f>IF(dataset[[#This Row],[state]]="VA",1,0)</f>
        <v>1</v>
      </c>
    </row>
    <row r="726" spans="1:17" x14ac:dyDescent="0.35">
      <c r="A726">
        <v>202205</v>
      </c>
      <c r="B726">
        <v>29</v>
      </c>
      <c r="C726" s="2">
        <v>2980395.5096</v>
      </c>
      <c r="D726" s="2">
        <v>0.67010000000000003</v>
      </c>
      <c r="E726" s="3">
        <v>267165</v>
      </c>
      <c r="F726" s="2">
        <v>179035.43849999999</v>
      </c>
      <c r="G726" t="s">
        <v>2310</v>
      </c>
      <c r="H726" t="s">
        <v>3</v>
      </c>
      <c r="I726">
        <f>HLOOKUP(G726,zip_tiers!$A$1:$EON$2,2,FALSE)</f>
        <v>90147.333333333328</v>
      </c>
      <c r="J726" t="str">
        <f t="shared" si="11"/>
        <v>Med</v>
      </c>
      <c r="K726">
        <f>dataset[[#This Row],[soda_sales]]/dataset[[#This Row],[soda_units_sold]]</f>
        <v>0.67013058783897583</v>
      </c>
      <c r="L726" s="29">
        <f>dataset[[#This Row],[implied_soda_ppu]]-dataset[[#This Row],[soda_ppu]]</f>
        <v>3.0587838975804083E-5</v>
      </c>
      <c r="M726">
        <f>dataset[[#This Row],[soda_sales]]/dataset[[#This Row],[total_sales]]</f>
        <v>6.0071033499855327E-2</v>
      </c>
      <c r="N726">
        <f>LN(dataset[[#This Row],[soda_units_sold]])</f>
        <v>12.495621724040996</v>
      </c>
      <c r="O726">
        <f>LN(dataset[[#This Row],[soda_sales]])</f>
        <v>12.095339045674278</v>
      </c>
      <c r="P726">
        <f>LN(dataset[[#This Row],[soda_ppu]])</f>
        <v>-0.40032832400301199</v>
      </c>
      <c r="Q726">
        <f>IF(dataset[[#This Row],[state]]="VA",1,0)</f>
        <v>1</v>
      </c>
    </row>
    <row r="727" spans="1:17" x14ac:dyDescent="0.35">
      <c r="A727">
        <v>202206</v>
      </c>
      <c r="B727">
        <v>29</v>
      </c>
      <c r="C727" s="2">
        <v>2785764.8777999999</v>
      </c>
      <c r="D727" s="2">
        <v>0.67549999999999999</v>
      </c>
      <c r="E727" s="3">
        <v>273893</v>
      </c>
      <c r="F727" s="2">
        <v>185004.08850000001</v>
      </c>
      <c r="G727" t="s">
        <v>2310</v>
      </c>
      <c r="H727" t="s">
        <v>3</v>
      </c>
      <c r="I727">
        <f>HLOOKUP(G727,zip_tiers!$A$1:$EON$2,2,FALSE)</f>
        <v>90147.333333333328</v>
      </c>
      <c r="J727" t="str">
        <f t="shared" si="11"/>
        <v>Med</v>
      </c>
      <c r="K727">
        <f>dataset[[#This Row],[soda_sales]]/dataset[[#This Row],[soda_units_sold]]</f>
        <v>0.67546117827034646</v>
      </c>
      <c r="L727" s="29">
        <f>dataset[[#This Row],[implied_soda_ppu]]-dataset[[#This Row],[soda_ppu]]</f>
        <v>-3.8821729653526482E-5</v>
      </c>
      <c r="M727">
        <f>dataset[[#This Row],[soda_sales]]/dataset[[#This Row],[total_sales]]</f>
        <v>6.6410517978137185E-2</v>
      </c>
      <c r="N727">
        <f>LN(dataset[[#This Row],[soda_units_sold]])</f>
        <v>12.520492798152045</v>
      </c>
      <c r="O727">
        <f>LN(dataset[[#This Row],[soda_sales]])</f>
        <v>12.12813320381626</v>
      </c>
      <c r="P727">
        <f>LN(dataset[[#This Row],[soda_ppu]])</f>
        <v>-0.39230212158188354</v>
      </c>
      <c r="Q727">
        <f>IF(dataset[[#This Row],[state]]="VA",1,0)</f>
        <v>1</v>
      </c>
    </row>
    <row r="728" spans="1:17" x14ac:dyDescent="0.35">
      <c r="A728">
        <v>202207</v>
      </c>
      <c r="B728">
        <v>29</v>
      </c>
      <c r="C728" s="2">
        <v>2669473.1989000002</v>
      </c>
      <c r="D728" s="2">
        <v>0.64280000000000004</v>
      </c>
      <c r="E728" s="3">
        <v>298333</v>
      </c>
      <c r="F728" s="2">
        <v>191755.60620000001</v>
      </c>
      <c r="G728" t="s">
        <v>2310</v>
      </c>
      <c r="H728" t="s">
        <v>3</v>
      </c>
      <c r="I728">
        <f>HLOOKUP(G728,zip_tiers!$A$1:$EON$2,2,FALSE)</f>
        <v>90147.333333333328</v>
      </c>
      <c r="J728" t="str">
        <f t="shared" si="11"/>
        <v>Med</v>
      </c>
      <c r="K728">
        <f>dataset[[#This Row],[soda_sales]]/dataset[[#This Row],[soda_units_sold]]</f>
        <v>0.64275694006362016</v>
      </c>
      <c r="L728" s="29">
        <f>dataset[[#This Row],[implied_soda_ppu]]-dataset[[#This Row],[soda_ppu]]</f>
        <v>-4.3059936379874486E-5</v>
      </c>
      <c r="M728">
        <f>dataset[[#This Row],[soda_sales]]/dataset[[#This Row],[total_sales]]</f>
        <v>7.1832751974815118E-2</v>
      </c>
      <c r="N728">
        <f>LN(dataset[[#This Row],[soda_units_sold]])</f>
        <v>12.605965591269824</v>
      </c>
      <c r="O728">
        <f>LN(dataset[[#This Row],[soda_sales]])</f>
        <v>12.163976955829488</v>
      </c>
      <c r="P728">
        <f>LN(dataset[[#This Row],[soda_ppu]])</f>
        <v>-0.44192164511877946</v>
      </c>
      <c r="Q728">
        <f>IF(dataset[[#This Row],[state]]="VA",1,0)</f>
        <v>1</v>
      </c>
    </row>
    <row r="729" spans="1:17" x14ac:dyDescent="0.35">
      <c r="A729">
        <v>202208</v>
      </c>
      <c r="B729">
        <v>29</v>
      </c>
      <c r="C729" s="2">
        <v>2560974.1329999999</v>
      </c>
      <c r="D729" s="2">
        <v>0.67710000000000004</v>
      </c>
      <c r="E729" s="3">
        <v>251013</v>
      </c>
      <c r="F729" s="2">
        <v>169951.55970000001</v>
      </c>
      <c r="G729" t="s">
        <v>2310</v>
      </c>
      <c r="H729" t="s">
        <v>3</v>
      </c>
      <c r="I729">
        <f>HLOOKUP(G729,zip_tiers!$A$1:$EON$2,2,FALSE)</f>
        <v>90147.333333333328</v>
      </c>
      <c r="J729" t="str">
        <f t="shared" si="11"/>
        <v>Med</v>
      </c>
      <c r="K729">
        <f>dataset[[#This Row],[soda_sales]]/dataset[[#This Row],[soda_units_sold]]</f>
        <v>0.67706278041376344</v>
      </c>
      <c r="L729" s="29">
        <f>dataset[[#This Row],[implied_soda_ppu]]-dataset[[#This Row],[soda_ppu]]</f>
        <v>-3.721958623659205E-5</v>
      </c>
      <c r="M729">
        <f>dataset[[#This Row],[soda_sales]]/dataset[[#This Row],[total_sales]]</f>
        <v>6.6362075864043885E-2</v>
      </c>
      <c r="N729">
        <f>LN(dataset[[#This Row],[soda_units_sold]])</f>
        <v>12.433260009601405</v>
      </c>
      <c r="O729">
        <f>LN(dataset[[#This Row],[soda_sales]])</f>
        <v>12.043268732487268</v>
      </c>
      <c r="P729">
        <f>LN(dataset[[#This Row],[soda_ppu]])</f>
        <v>-0.38993630649053729</v>
      </c>
      <c r="Q729">
        <f>IF(dataset[[#This Row],[state]]="VA",1,0)</f>
        <v>1</v>
      </c>
    </row>
    <row r="730" spans="1:17" x14ac:dyDescent="0.35">
      <c r="A730">
        <v>202209</v>
      </c>
      <c r="B730">
        <v>29</v>
      </c>
      <c r="C730" s="2">
        <v>2540600.1063000001</v>
      </c>
      <c r="D730" s="2">
        <v>0.66090000000000004</v>
      </c>
      <c r="E730" s="3">
        <v>242067</v>
      </c>
      <c r="F730" s="2">
        <v>159985.1918</v>
      </c>
      <c r="G730" t="s">
        <v>2310</v>
      </c>
      <c r="H730" t="s">
        <v>3</v>
      </c>
      <c r="I730">
        <f>HLOOKUP(G730,zip_tiers!$A$1:$EON$2,2,FALSE)</f>
        <v>90147.333333333328</v>
      </c>
      <c r="J730" t="str">
        <f t="shared" si="11"/>
        <v>Med</v>
      </c>
      <c r="K730">
        <f>dataset[[#This Row],[soda_sales]]/dataset[[#This Row],[soda_units_sold]]</f>
        <v>0.66091285387929788</v>
      </c>
      <c r="L730" s="29">
        <f>dataset[[#This Row],[implied_soda_ppu]]-dataset[[#This Row],[soda_ppu]]</f>
        <v>1.2853879297836102E-5</v>
      </c>
      <c r="M730">
        <f>dataset[[#This Row],[soda_sales]]/dataset[[#This Row],[total_sales]]</f>
        <v>6.2971418210713309E-2</v>
      </c>
      <c r="N730">
        <f>LN(dataset[[#This Row],[soda_units_sold]])</f>
        <v>12.396969826324435</v>
      </c>
      <c r="O730">
        <f>LN(dataset[[#This Row],[soda_sales]])</f>
        <v>11.982836538682832</v>
      </c>
      <c r="P730">
        <f>LN(dataset[[#This Row],[soda_ppu]])</f>
        <v>-0.41415273650572987</v>
      </c>
      <c r="Q730">
        <f>IF(dataset[[#This Row],[state]]="VA",1,0)</f>
        <v>1</v>
      </c>
    </row>
    <row r="731" spans="1:17" x14ac:dyDescent="0.35">
      <c r="A731">
        <v>202210</v>
      </c>
      <c r="B731">
        <v>29</v>
      </c>
      <c r="C731" s="2">
        <v>3140087.9808</v>
      </c>
      <c r="D731" s="2">
        <v>0.68479999999999996</v>
      </c>
      <c r="E731" s="3">
        <v>229294</v>
      </c>
      <c r="F731" s="2">
        <v>157009.1342</v>
      </c>
      <c r="G731" t="s">
        <v>2310</v>
      </c>
      <c r="H731" t="s">
        <v>3</v>
      </c>
      <c r="I731">
        <f>HLOOKUP(G731,zip_tiers!$A$1:$EON$2,2,FALSE)</f>
        <v>90147.333333333328</v>
      </c>
      <c r="J731" t="str">
        <f t="shared" si="11"/>
        <v>Med</v>
      </c>
      <c r="K731">
        <f>dataset[[#This Row],[soda_sales]]/dataset[[#This Row],[soda_units_sold]]</f>
        <v>0.68475029525412789</v>
      </c>
      <c r="L731" s="29">
        <f>dataset[[#This Row],[implied_soda_ppu]]-dataset[[#This Row],[soda_ppu]]</f>
        <v>-4.9704745872070077E-5</v>
      </c>
      <c r="M731">
        <f>dataset[[#This Row],[soda_sales]]/dataset[[#This Row],[total_sales]]</f>
        <v>5.0001507970486483E-2</v>
      </c>
      <c r="N731">
        <f>LN(dataset[[#This Row],[soda_units_sold]])</f>
        <v>12.342760301909664</v>
      </c>
      <c r="O731">
        <f>LN(dataset[[#This Row],[soda_sales]])</f>
        <v>11.964059262255912</v>
      </c>
      <c r="P731">
        <f>LN(dataset[[#This Row],[soda_ppu]])</f>
        <v>-0.37862845415460478</v>
      </c>
      <c r="Q731">
        <f>IF(dataset[[#This Row],[state]]="VA",1,0)</f>
        <v>1</v>
      </c>
    </row>
    <row r="732" spans="1:17" x14ac:dyDescent="0.35">
      <c r="A732">
        <v>202211</v>
      </c>
      <c r="B732">
        <v>29</v>
      </c>
      <c r="C732" s="2">
        <v>3484987.2299000002</v>
      </c>
      <c r="D732" s="2">
        <v>0.68789999999999996</v>
      </c>
      <c r="E732" s="3">
        <v>208558</v>
      </c>
      <c r="F732" s="2">
        <v>143457.68220000001</v>
      </c>
      <c r="G732" t="s">
        <v>2310</v>
      </c>
      <c r="H732" t="s">
        <v>3</v>
      </c>
      <c r="I732">
        <f>HLOOKUP(G732,zip_tiers!$A$1:$EON$2,2,FALSE)</f>
        <v>90147.333333333328</v>
      </c>
      <c r="J732" t="str">
        <f t="shared" si="11"/>
        <v>Med</v>
      </c>
      <c r="K732">
        <f>dataset[[#This Row],[soda_sales]]/dataset[[#This Row],[soda_units_sold]]</f>
        <v>0.68785509162918712</v>
      </c>
      <c r="L732" s="29">
        <f>dataset[[#This Row],[implied_soda_ppu]]-dataset[[#This Row],[soda_ppu]]</f>
        <v>-4.4908370812835052E-5</v>
      </c>
      <c r="M732">
        <f>dataset[[#This Row],[soda_sales]]/dataset[[#This Row],[total_sales]]</f>
        <v>4.1164478586659399E-2</v>
      </c>
      <c r="N732">
        <f>LN(dataset[[#This Row],[soda_units_sold]])</f>
        <v>12.247972458994852</v>
      </c>
      <c r="O732">
        <f>LN(dataset[[#This Row],[soda_sales]])</f>
        <v>11.873795373130001</v>
      </c>
      <c r="P732">
        <f>LN(dataset[[#This Row],[soda_ppu]])</f>
        <v>-0.37411180045016867</v>
      </c>
      <c r="Q732">
        <f>IF(dataset[[#This Row],[state]]="VA",1,0)</f>
        <v>1</v>
      </c>
    </row>
    <row r="733" spans="1:17" x14ac:dyDescent="0.35">
      <c r="A733">
        <v>202212</v>
      </c>
      <c r="B733">
        <v>29</v>
      </c>
      <c r="C733" s="2">
        <v>3692082.3963000001</v>
      </c>
      <c r="D733" s="2">
        <v>0.67230000000000001</v>
      </c>
      <c r="E733" s="3">
        <v>212688</v>
      </c>
      <c r="F733" s="2">
        <v>142997.66510000001</v>
      </c>
      <c r="G733" t="s">
        <v>2310</v>
      </c>
      <c r="H733" t="s">
        <v>3</v>
      </c>
      <c r="I733">
        <f>HLOOKUP(G733,zip_tiers!$A$1:$EON$2,2,FALSE)</f>
        <v>90147.333333333328</v>
      </c>
      <c r="J733" t="str">
        <f t="shared" si="11"/>
        <v>Med</v>
      </c>
      <c r="K733">
        <f>dataset[[#This Row],[soda_sales]]/dataset[[#This Row],[soda_units_sold]]</f>
        <v>0.67233536964943963</v>
      </c>
      <c r="L733" s="29">
        <f>dataset[[#This Row],[implied_soda_ppu]]-dataset[[#This Row],[soda_ppu]]</f>
        <v>3.536964943962051E-5</v>
      </c>
      <c r="M733">
        <f>dataset[[#This Row],[soda_sales]]/dataset[[#This Row],[total_sales]]</f>
        <v>3.8730897566994799E-2</v>
      </c>
      <c r="N733">
        <f>LN(dataset[[#This Row],[soda_units_sold]])</f>
        <v>12.267581582107381</v>
      </c>
      <c r="O733">
        <f>LN(dataset[[#This Row],[soda_sales]])</f>
        <v>11.870583581136714</v>
      </c>
      <c r="P733">
        <f>LN(dataset[[#This Row],[soda_ppu]])</f>
        <v>-0.39705060950714605</v>
      </c>
      <c r="Q733">
        <f>IF(dataset[[#This Row],[state]]="VA",1,0)</f>
        <v>1</v>
      </c>
    </row>
    <row r="734" spans="1:17" x14ac:dyDescent="0.35">
      <c r="A734">
        <v>202301</v>
      </c>
      <c r="B734">
        <v>29</v>
      </c>
      <c r="C734" s="2">
        <v>2110231.7116999999</v>
      </c>
      <c r="D734" s="2">
        <v>0.70279999999999998</v>
      </c>
      <c r="E734" s="3">
        <v>150252</v>
      </c>
      <c r="F734" s="2">
        <v>105596.38400000001</v>
      </c>
      <c r="G734" t="s">
        <v>2310</v>
      </c>
      <c r="H734" t="s">
        <v>3</v>
      </c>
      <c r="I734">
        <f>HLOOKUP(G734,zip_tiers!$A$1:$EON$2,2,FALSE)</f>
        <v>90147.333333333328</v>
      </c>
      <c r="J734" t="str">
        <f t="shared" si="11"/>
        <v>Med</v>
      </c>
      <c r="K734">
        <f>dataset[[#This Row],[soda_sales]]/dataset[[#This Row],[soda_units_sold]]</f>
        <v>0.70279519740169849</v>
      </c>
      <c r="L734" s="29">
        <f>dataset[[#This Row],[implied_soda_ppu]]-dataset[[#This Row],[soda_ppu]]</f>
        <v>-4.8025983014898799E-6</v>
      </c>
      <c r="M734">
        <f>dataset[[#This Row],[soda_sales]]/dataset[[#This Row],[total_sales]]</f>
        <v>5.004018440938493E-2</v>
      </c>
      <c r="N734">
        <f>LN(dataset[[#This Row],[soda_units_sold]])</f>
        <v>11.920069163456947</v>
      </c>
      <c r="O734">
        <f>LN(dataset[[#This Row],[soda_sales]])</f>
        <v>11.56737940724377</v>
      </c>
      <c r="P734">
        <f>LN(dataset[[#This Row],[soda_ppu]])</f>
        <v>-0.35268292266919493</v>
      </c>
      <c r="Q734">
        <f>IF(dataset[[#This Row],[state]]="VA",1,0)</f>
        <v>1</v>
      </c>
    </row>
    <row r="735" spans="1:17" x14ac:dyDescent="0.35">
      <c r="A735">
        <v>202302</v>
      </c>
      <c r="B735">
        <v>29</v>
      </c>
      <c r="C735" s="2">
        <v>2417308.6921999999</v>
      </c>
      <c r="D735" s="2">
        <v>0.6875</v>
      </c>
      <c r="E735" s="3">
        <v>174267</v>
      </c>
      <c r="F735" s="2">
        <v>119803.575</v>
      </c>
      <c r="G735" t="s">
        <v>2310</v>
      </c>
      <c r="H735" t="s">
        <v>3</v>
      </c>
      <c r="I735">
        <f>HLOOKUP(G735,zip_tiers!$A$1:$EON$2,2,FALSE)</f>
        <v>90147.333333333328</v>
      </c>
      <c r="J735" t="str">
        <f t="shared" si="11"/>
        <v>Med</v>
      </c>
      <c r="K735">
        <f>dataset[[#This Row],[soda_sales]]/dataset[[#This Row],[soda_units_sold]]</f>
        <v>0.68747138012360343</v>
      </c>
      <c r="L735" s="29">
        <f>dataset[[#This Row],[implied_soda_ppu]]-dataset[[#This Row],[soda_ppu]]</f>
        <v>-2.8619876396573929E-5</v>
      </c>
      <c r="M735">
        <f>dataset[[#This Row],[soda_sales]]/dataset[[#This Row],[total_sales]]</f>
        <v>4.9560726516465883E-2</v>
      </c>
      <c r="N735">
        <f>LN(dataset[[#This Row],[soda_units_sold]])</f>
        <v>12.068343884839617</v>
      </c>
      <c r="O735">
        <f>LN(dataset[[#This Row],[soda_sales]])</f>
        <v>11.693608805620578</v>
      </c>
      <c r="P735">
        <f>LN(dataset[[#This Row],[soda_ppu]])</f>
        <v>-0.3746934494414107</v>
      </c>
      <c r="Q735">
        <f>IF(dataset[[#This Row],[state]]="VA",1,0)</f>
        <v>1</v>
      </c>
    </row>
    <row r="736" spans="1:17" x14ac:dyDescent="0.35">
      <c r="A736">
        <v>202303</v>
      </c>
      <c r="B736">
        <v>29</v>
      </c>
      <c r="C736" s="2">
        <v>2710582.7872000001</v>
      </c>
      <c r="D736" s="2">
        <v>0.6925</v>
      </c>
      <c r="E736" s="3">
        <v>210355</v>
      </c>
      <c r="F736" s="2">
        <v>145671.18479999999</v>
      </c>
      <c r="G736" t="s">
        <v>2310</v>
      </c>
      <c r="H736" t="s">
        <v>3</v>
      </c>
      <c r="I736">
        <f>HLOOKUP(G736,zip_tiers!$A$1:$EON$2,2,FALSE)</f>
        <v>90147.333333333328</v>
      </c>
      <c r="J736" t="str">
        <f t="shared" si="11"/>
        <v>Med</v>
      </c>
      <c r="K736">
        <f>dataset[[#This Row],[soda_sales]]/dataset[[#This Row],[soda_units_sold]]</f>
        <v>0.69250165101851624</v>
      </c>
      <c r="L736" s="29">
        <f>dataset[[#This Row],[implied_soda_ppu]]-dataset[[#This Row],[soda_ppu]]</f>
        <v>1.6510185162355029E-6</v>
      </c>
      <c r="M736">
        <f>dataset[[#This Row],[soda_sales]]/dataset[[#This Row],[total_sales]]</f>
        <v>5.3741647548229507E-2</v>
      </c>
      <c r="N736">
        <f>LN(dataset[[#This Row],[soda_units_sold]])</f>
        <v>12.256551858643464</v>
      </c>
      <c r="O736">
        <f>LN(dataset[[#This Row],[soda_sales]])</f>
        <v>11.88910720186224</v>
      </c>
      <c r="P736">
        <f>LN(dataset[[#This Row],[soda_ppu]])</f>
        <v>-0.36744704092064345</v>
      </c>
      <c r="Q736">
        <f>IF(dataset[[#This Row],[state]]="VA",1,0)</f>
        <v>1</v>
      </c>
    </row>
    <row r="737" spans="1:17" x14ac:dyDescent="0.35">
      <c r="A737">
        <v>202304</v>
      </c>
      <c r="B737">
        <v>29</v>
      </c>
      <c r="C737" s="2">
        <v>2885887.5273000002</v>
      </c>
      <c r="D737" s="2">
        <v>0.69410000000000005</v>
      </c>
      <c r="E737" s="3">
        <v>241658</v>
      </c>
      <c r="F737" s="2">
        <v>167741.48269999999</v>
      </c>
      <c r="G737" t="s">
        <v>2310</v>
      </c>
      <c r="H737" t="s">
        <v>3</v>
      </c>
      <c r="I737">
        <f>HLOOKUP(G737,zip_tiers!$A$1:$EON$2,2,FALSE)</f>
        <v>90147.333333333328</v>
      </c>
      <c r="J737" t="str">
        <f t="shared" si="11"/>
        <v>Med</v>
      </c>
      <c r="K737">
        <f>dataset[[#This Row],[soda_sales]]/dataset[[#This Row],[soda_units_sold]]</f>
        <v>0.69412757988562346</v>
      </c>
      <c r="L737" s="29">
        <f>dataset[[#This Row],[implied_soda_ppu]]-dataset[[#This Row],[soda_ppu]]</f>
        <v>2.7579885623407741E-5</v>
      </c>
      <c r="M737">
        <f>dataset[[#This Row],[soda_sales]]/dataset[[#This Row],[total_sales]]</f>
        <v>5.812474710576708E-2</v>
      </c>
      <c r="N737">
        <f>LN(dataset[[#This Row],[soda_units_sold]])</f>
        <v>12.395278782456677</v>
      </c>
      <c r="O737">
        <f>LN(dataset[[#This Row],[soda_sales]])</f>
        <v>12.030179279774405</v>
      </c>
      <c r="P737">
        <f>LN(dataset[[#This Row],[soda_ppu]])</f>
        <v>-0.36513923663659897</v>
      </c>
      <c r="Q737">
        <f>IF(dataset[[#This Row],[state]]="VA",1,0)</f>
        <v>1</v>
      </c>
    </row>
    <row r="738" spans="1:17" x14ac:dyDescent="0.35">
      <c r="A738">
        <v>202305</v>
      </c>
      <c r="B738">
        <v>29</v>
      </c>
      <c r="C738" s="2">
        <v>2958712.8061000002</v>
      </c>
      <c r="D738" s="2">
        <v>0.69930000000000003</v>
      </c>
      <c r="E738" s="3">
        <v>257018</v>
      </c>
      <c r="F738" s="2">
        <v>179730.9418</v>
      </c>
      <c r="G738" t="s">
        <v>2310</v>
      </c>
      <c r="H738" t="s">
        <v>3</v>
      </c>
      <c r="I738">
        <f>HLOOKUP(G738,zip_tiers!$A$1:$EON$2,2,FALSE)</f>
        <v>90147.333333333328</v>
      </c>
      <c r="J738" t="str">
        <f t="shared" si="11"/>
        <v>Med</v>
      </c>
      <c r="K738">
        <f>dataset[[#This Row],[soda_sales]]/dataset[[#This Row],[soda_units_sold]]</f>
        <v>0.6992932082577874</v>
      </c>
      <c r="L738" s="29">
        <f>dataset[[#This Row],[implied_soda_ppu]]-dataset[[#This Row],[soda_ppu]]</f>
        <v>-6.7917422126306803E-6</v>
      </c>
      <c r="M738">
        <f>dataset[[#This Row],[soda_sales]]/dataset[[#This Row],[total_sales]]</f>
        <v>6.074632908927402E-2</v>
      </c>
      <c r="N738">
        <f>LN(dataset[[#This Row],[soda_units_sold]])</f>
        <v>12.456901400335253</v>
      </c>
      <c r="O738">
        <f>LN(dataset[[#This Row],[soda_sales]])</f>
        <v>12.099216243814697</v>
      </c>
      <c r="P738">
        <f>LN(dataset[[#This Row],[soda_ppu]])</f>
        <v>-0.35767544427231585</v>
      </c>
      <c r="Q738">
        <f>IF(dataset[[#This Row],[state]]="VA",1,0)</f>
        <v>1</v>
      </c>
    </row>
    <row r="739" spans="1:17" x14ac:dyDescent="0.35">
      <c r="A739">
        <v>202306</v>
      </c>
      <c r="B739">
        <v>29</v>
      </c>
      <c r="C739" s="2">
        <v>2911478.9635999999</v>
      </c>
      <c r="D739" s="2">
        <v>0.69830000000000003</v>
      </c>
      <c r="E739" s="3">
        <v>274782</v>
      </c>
      <c r="F739" s="2">
        <v>191882.7389</v>
      </c>
      <c r="G739" t="s">
        <v>2310</v>
      </c>
      <c r="H739" t="s">
        <v>3</v>
      </c>
      <c r="I739">
        <f>HLOOKUP(G739,zip_tiers!$A$1:$EON$2,2,FALSE)</f>
        <v>90147.333333333328</v>
      </c>
      <c r="J739" t="str">
        <f t="shared" si="11"/>
        <v>Med</v>
      </c>
      <c r="K739">
        <f>dataset[[#This Row],[soda_sales]]/dataset[[#This Row],[soda_units_sold]]</f>
        <v>0.69830898275724029</v>
      </c>
      <c r="L739" s="29">
        <f>dataset[[#This Row],[implied_soda_ppu]]-dataset[[#This Row],[soda_ppu]]</f>
        <v>8.9827572402612077E-6</v>
      </c>
      <c r="M739">
        <f>dataset[[#This Row],[soda_sales]]/dataset[[#This Row],[total_sales]]</f>
        <v>6.5905590010768914E-2</v>
      </c>
      <c r="N739">
        <f>LN(dataset[[#This Row],[soda_units_sold]])</f>
        <v>12.523733335001564</v>
      </c>
      <c r="O739">
        <f>LN(dataset[[#This Row],[soda_sales]])</f>
        <v>12.164639729539561</v>
      </c>
      <c r="P739">
        <f>LN(dataset[[#This Row],[soda_ppu]])</f>
        <v>-0.35910646913014738</v>
      </c>
      <c r="Q739">
        <f>IF(dataset[[#This Row],[state]]="VA",1,0)</f>
        <v>1</v>
      </c>
    </row>
    <row r="740" spans="1:17" x14ac:dyDescent="0.35">
      <c r="A740">
        <v>202307</v>
      </c>
      <c r="B740">
        <v>29</v>
      </c>
      <c r="C740" s="2">
        <v>2689639.9418000001</v>
      </c>
      <c r="D740" s="2">
        <v>0.68730000000000002</v>
      </c>
      <c r="E740" s="3">
        <v>282437</v>
      </c>
      <c r="F740" s="2">
        <v>194113.55309999999</v>
      </c>
      <c r="G740" t="s">
        <v>2310</v>
      </c>
      <c r="H740" t="s">
        <v>3</v>
      </c>
      <c r="I740">
        <f>HLOOKUP(G740,zip_tiers!$A$1:$EON$2,2,FALSE)</f>
        <v>90147.333333333328</v>
      </c>
      <c r="J740" t="str">
        <f t="shared" si="11"/>
        <v>Med</v>
      </c>
      <c r="K740">
        <f>dataset[[#This Row],[soda_sales]]/dataset[[#This Row],[soda_units_sold]]</f>
        <v>0.68728089131381509</v>
      </c>
      <c r="L740" s="29">
        <f>dataset[[#This Row],[implied_soda_ppu]]-dataset[[#This Row],[soda_ppu]]</f>
        <v>-1.9108686184932111E-5</v>
      </c>
      <c r="M740">
        <f>dataset[[#This Row],[soda_sales]]/dataset[[#This Row],[total_sales]]</f>
        <v>7.2170832267642662E-2</v>
      </c>
      <c r="N740">
        <f>LN(dataset[[#This Row],[soda_units_sold]])</f>
        <v>12.551210795848904</v>
      </c>
      <c r="O740">
        <f>LN(dataset[[#This Row],[soda_sales]])</f>
        <v>12.176198592067184</v>
      </c>
      <c r="P740">
        <f>LN(dataset[[#This Row],[soda_ppu]])</f>
        <v>-0.37498440085457752</v>
      </c>
      <c r="Q740">
        <f>IF(dataset[[#This Row],[state]]="VA",1,0)</f>
        <v>1</v>
      </c>
    </row>
    <row r="741" spans="1:17" x14ac:dyDescent="0.35">
      <c r="A741">
        <v>202308</v>
      </c>
      <c r="B741">
        <v>29</v>
      </c>
      <c r="C741" s="2">
        <v>2540046.4446999999</v>
      </c>
      <c r="D741" s="2">
        <v>0.70450000000000002</v>
      </c>
      <c r="E741" s="3">
        <v>242638</v>
      </c>
      <c r="F741" s="2">
        <v>170928.18470000001</v>
      </c>
      <c r="G741" t="s">
        <v>2310</v>
      </c>
      <c r="H741" t="s">
        <v>3</v>
      </c>
      <c r="I741">
        <f>HLOOKUP(G741,zip_tiers!$A$1:$EON$2,2,FALSE)</f>
        <v>90147.333333333328</v>
      </c>
      <c r="J741" t="str">
        <f t="shared" si="11"/>
        <v>Med</v>
      </c>
      <c r="K741">
        <f>dataset[[#This Row],[soda_sales]]/dataset[[#This Row],[soda_units_sold]]</f>
        <v>0.70445760639306299</v>
      </c>
      <c r="L741" s="29">
        <f>dataset[[#This Row],[implied_soda_ppu]]-dataset[[#This Row],[soda_ppu]]</f>
        <v>-4.2393606937030093E-5</v>
      </c>
      <c r="M741">
        <f>dataset[[#This Row],[soda_sales]]/dataset[[#This Row],[total_sales]]</f>
        <v>6.7293330425770237E-2</v>
      </c>
      <c r="N741">
        <f>LN(dataset[[#This Row],[soda_units_sold]])</f>
        <v>12.399325899664463</v>
      </c>
      <c r="O741">
        <f>LN(dataset[[#This Row],[soda_sales]])</f>
        <v>12.048998774757022</v>
      </c>
      <c r="P741">
        <f>LN(dataset[[#This Row],[soda_ppu]])</f>
        <v>-0.3502669476434021</v>
      </c>
      <c r="Q741">
        <f>IF(dataset[[#This Row],[state]]="VA",1,0)</f>
        <v>1</v>
      </c>
    </row>
    <row r="742" spans="1:17" x14ac:dyDescent="0.35">
      <c r="A742">
        <v>202309</v>
      </c>
      <c r="B742">
        <v>29</v>
      </c>
      <c r="C742" s="2">
        <v>2605039.1773000001</v>
      </c>
      <c r="D742" s="2">
        <v>0.69030000000000002</v>
      </c>
      <c r="E742" s="3">
        <v>240623</v>
      </c>
      <c r="F742" s="2">
        <v>166111.73850000001</v>
      </c>
      <c r="G742" t="s">
        <v>2310</v>
      </c>
      <c r="H742" t="s">
        <v>3</v>
      </c>
      <c r="I742">
        <f>HLOOKUP(G742,zip_tiers!$A$1:$EON$2,2,FALSE)</f>
        <v>90147.333333333328</v>
      </c>
      <c r="J742" t="str">
        <f t="shared" si="11"/>
        <v>Med</v>
      </c>
      <c r="K742">
        <f>dataset[[#This Row],[soda_sales]]/dataset[[#This Row],[soda_units_sold]]</f>
        <v>0.69034023555520463</v>
      </c>
      <c r="L742" s="29">
        <f>dataset[[#This Row],[implied_soda_ppu]]-dataset[[#This Row],[soda_ppu]]</f>
        <v>4.023555520460409E-5</v>
      </c>
      <c r="M742">
        <f>dataset[[#This Row],[soda_sales]]/dataset[[#This Row],[total_sales]]</f>
        <v>6.3765543315999942E-2</v>
      </c>
      <c r="N742">
        <f>LN(dataset[[#This Row],[soda_units_sold]])</f>
        <v>12.390986672301331</v>
      </c>
      <c r="O742">
        <f>LN(dataset[[#This Row],[soda_sales]])</f>
        <v>12.020415964386649</v>
      </c>
      <c r="P742">
        <f>LN(dataset[[#This Row],[soda_ppu]])</f>
        <v>-0.37062899327270715</v>
      </c>
      <c r="Q742">
        <f>IF(dataset[[#This Row],[state]]="VA",1,0)</f>
        <v>1</v>
      </c>
    </row>
    <row r="743" spans="1:17" x14ac:dyDescent="0.35">
      <c r="A743">
        <v>202310</v>
      </c>
      <c r="B743">
        <v>29</v>
      </c>
      <c r="C743" s="2">
        <v>3149184.1625000001</v>
      </c>
      <c r="D743" s="2">
        <v>0.69820000000000004</v>
      </c>
      <c r="E743" s="3">
        <v>225499</v>
      </c>
      <c r="F743" s="2">
        <v>157444.80970000001</v>
      </c>
      <c r="G743" t="s">
        <v>2310</v>
      </c>
      <c r="H743" t="s">
        <v>3</v>
      </c>
      <c r="I743">
        <f>HLOOKUP(G743,zip_tiers!$A$1:$EON$2,2,FALSE)</f>
        <v>90147.333333333328</v>
      </c>
      <c r="J743" t="str">
        <f t="shared" si="11"/>
        <v>Med</v>
      </c>
      <c r="K743">
        <f>dataset[[#This Row],[soda_sales]]/dataset[[#This Row],[soda_units_sold]]</f>
        <v>0.69820624348666738</v>
      </c>
      <c r="L743" s="29">
        <f>dataset[[#This Row],[implied_soda_ppu]]-dataset[[#This Row],[soda_ppu]]</f>
        <v>6.2434866673344303E-6</v>
      </c>
      <c r="M743">
        <f>dataset[[#This Row],[soda_sales]]/dataset[[#This Row],[total_sales]]</f>
        <v>4.9995427887269517E-2</v>
      </c>
      <c r="N743">
        <f>LN(dataset[[#This Row],[soda_units_sold]])</f>
        <v>12.326071003325238</v>
      </c>
      <c r="O743">
        <f>LN(dataset[[#This Row],[soda_sales]])</f>
        <v>11.966830261235106</v>
      </c>
      <c r="P743">
        <f>LN(dataset[[#This Row],[soda_ppu]])</f>
        <v>-0.35924968431120136</v>
      </c>
      <c r="Q743">
        <f>IF(dataset[[#This Row],[state]]="VA",1,0)</f>
        <v>1</v>
      </c>
    </row>
    <row r="744" spans="1:17" x14ac:dyDescent="0.35">
      <c r="A744">
        <v>202311</v>
      </c>
      <c r="B744">
        <v>29</v>
      </c>
      <c r="C744" s="2">
        <v>3515571.531</v>
      </c>
      <c r="D744" s="2">
        <v>0.68859999999999999</v>
      </c>
      <c r="E744" s="3">
        <v>207523</v>
      </c>
      <c r="F744" s="2">
        <v>142905.4878</v>
      </c>
      <c r="G744" t="s">
        <v>2310</v>
      </c>
      <c r="H744" t="s">
        <v>3</v>
      </c>
      <c r="I744">
        <f>HLOOKUP(G744,zip_tiers!$A$1:$EON$2,2,FALSE)</f>
        <v>90147.333333333328</v>
      </c>
      <c r="J744" t="str">
        <f t="shared" si="11"/>
        <v>Med</v>
      </c>
      <c r="K744">
        <f>dataset[[#This Row],[soda_sales]]/dataset[[#This Row],[soda_units_sold]]</f>
        <v>0.68862481652636098</v>
      </c>
      <c r="L744" s="29">
        <f>dataset[[#This Row],[implied_soda_ppu]]-dataset[[#This Row],[soda_ppu]]</f>
        <v>2.4816526360993407E-5</v>
      </c>
      <c r="M744">
        <f>dataset[[#This Row],[soda_sales]]/dataset[[#This Row],[total_sales]]</f>
        <v>4.0649290318763819E-2</v>
      </c>
      <c r="N744">
        <f>LN(dataset[[#This Row],[soda_units_sold]])</f>
        <v>12.242997455883712</v>
      </c>
      <c r="O744">
        <f>LN(dataset[[#This Row],[soda_sales]])</f>
        <v>11.869938766259656</v>
      </c>
      <c r="P744">
        <f>LN(dataset[[#This Row],[soda_ppu]])</f>
        <v>-0.37309472807771366</v>
      </c>
      <c r="Q744">
        <f>IF(dataset[[#This Row],[state]]="VA",1,0)</f>
        <v>1</v>
      </c>
    </row>
    <row r="745" spans="1:17" x14ac:dyDescent="0.35">
      <c r="A745">
        <v>202312</v>
      </c>
      <c r="B745">
        <v>29</v>
      </c>
      <c r="C745" s="2">
        <v>3705847.8308000001</v>
      </c>
      <c r="D745" s="2">
        <v>0.71299999999999997</v>
      </c>
      <c r="E745" s="3">
        <v>200911</v>
      </c>
      <c r="F745" s="2">
        <v>143257.5368</v>
      </c>
      <c r="G745" t="s">
        <v>2310</v>
      </c>
      <c r="H745" t="s">
        <v>3</v>
      </c>
      <c r="I745">
        <f>HLOOKUP(G745,zip_tiers!$A$1:$EON$2,2,FALSE)</f>
        <v>90147.333333333328</v>
      </c>
      <c r="J745" t="str">
        <f t="shared" si="11"/>
        <v>Med</v>
      </c>
      <c r="K745">
        <f>dataset[[#This Row],[soda_sales]]/dataset[[#This Row],[soda_units_sold]]</f>
        <v>0.71303978776672261</v>
      </c>
      <c r="L745" s="29">
        <f>dataset[[#This Row],[implied_soda_ppu]]-dataset[[#This Row],[soda_ppu]]</f>
        <v>3.978776672264317E-5</v>
      </c>
      <c r="M745">
        <f>dataset[[#This Row],[soda_sales]]/dataset[[#This Row],[total_sales]]</f>
        <v>3.8657155755117523E-2</v>
      </c>
      <c r="N745">
        <f>LN(dataset[[#This Row],[soda_units_sold]])</f>
        <v>12.210617302912862</v>
      </c>
      <c r="O745">
        <f>LN(dataset[[#This Row],[soda_sales]])</f>
        <v>11.872399246107459</v>
      </c>
      <c r="P745">
        <f>LN(dataset[[#This Row],[soda_ppu]])</f>
        <v>-0.33827385856784115</v>
      </c>
      <c r="Q745">
        <f>IF(dataset[[#This Row],[state]]="VA",1,0)</f>
        <v>1</v>
      </c>
    </row>
    <row r="746" spans="1:17" x14ac:dyDescent="0.35">
      <c r="A746">
        <v>202401</v>
      </c>
      <c r="B746">
        <v>29</v>
      </c>
      <c r="C746" s="2">
        <v>2170946.7483000001</v>
      </c>
      <c r="D746" s="2">
        <v>0.70379999999999998</v>
      </c>
      <c r="E746" s="3">
        <v>157861</v>
      </c>
      <c r="F746" s="2">
        <v>111096.985</v>
      </c>
      <c r="G746" t="s">
        <v>2310</v>
      </c>
      <c r="H746" t="s">
        <v>3</v>
      </c>
      <c r="I746">
        <f>HLOOKUP(G746,zip_tiers!$A$1:$EON$2,2,FALSE)</f>
        <v>90147.333333333328</v>
      </c>
      <c r="J746" t="str">
        <f t="shared" si="11"/>
        <v>Med</v>
      </c>
      <c r="K746">
        <f>dataset[[#This Row],[soda_sales]]/dataset[[#This Row],[soda_units_sold]]</f>
        <v>0.70376460937153573</v>
      </c>
      <c r="L746" s="29">
        <f>dataset[[#This Row],[implied_soda_ppu]]-dataset[[#This Row],[soda_ppu]]</f>
        <v>-3.5390628464249119E-5</v>
      </c>
      <c r="M746">
        <f>dataset[[#This Row],[soda_sales]]/dataset[[#This Row],[total_sales]]</f>
        <v>5.1174440408083041E-2</v>
      </c>
      <c r="N746">
        <f>LN(dataset[[#This Row],[soda_units_sold]])</f>
        <v>11.969470177969303</v>
      </c>
      <c r="O746">
        <f>LN(dataset[[#This Row],[soda_sales]])</f>
        <v>11.618158837545716</v>
      </c>
      <c r="P746">
        <f>LN(dataset[[#This Row],[soda_ppu]])</f>
        <v>-0.3512610540946523</v>
      </c>
      <c r="Q746">
        <f>IF(dataset[[#This Row],[state]]="VA",1,0)</f>
        <v>1</v>
      </c>
    </row>
    <row r="747" spans="1:17" x14ac:dyDescent="0.35">
      <c r="A747">
        <v>202402</v>
      </c>
      <c r="B747">
        <v>29</v>
      </c>
      <c r="C747" s="2">
        <v>2504965.0301000001</v>
      </c>
      <c r="D747" s="2">
        <v>0.70589999999999997</v>
      </c>
      <c r="E747" s="3">
        <v>179667</v>
      </c>
      <c r="F747" s="2">
        <v>126820.1602</v>
      </c>
      <c r="G747" t="s">
        <v>2310</v>
      </c>
      <c r="H747" t="s">
        <v>3</v>
      </c>
      <c r="I747">
        <f>HLOOKUP(G747,zip_tiers!$A$1:$EON$2,2,FALSE)</f>
        <v>90147.333333333328</v>
      </c>
      <c r="J747" t="str">
        <f t="shared" si="11"/>
        <v>Med</v>
      </c>
      <c r="K747">
        <f>dataset[[#This Row],[soda_sales]]/dataset[[#This Row],[soda_units_sold]]</f>
        <v>0.70586229079352358</v>
      </c>
      <c r="L747" s="29">
        <f>dataset[[#This Row],[implied_soda_ppu]]-dataset[[#This Row],[soda_ppu]]</f>
        <v>-3.7709206476388424E-5</v>
      </c>
      <c r="M747">
        <f>dataset[[#This Row],[soda_sales]]/dataset[[#This Row],[total_sales]]</f>
        <v>5.0627517221243298E-2</v>
      </c>
      <c r="N747">
        <f>LN(dataset[[#This Row],[soda_units_sold]])</f>
        <v>12.098860416508874</v>
      </c>
      <c r="O747">
        <f>LN(dataset[[#This Row],[soda_sales]])</f>
        <v>11.750525300460922</v>
      </c>
      <c r="P747">
        <f>LN(dataset[[#This Row],[soda_ppu]])</f>
        <v>-0.34828169458071062</v>
      </c>
      <c r="Q747">
        <f>IF(dataset[[#This Row],[state]]="VA",1,0)</f>
        <v>1</v>
      </c>
    </row>
    <row r="748" spans="1:17" x14ac:dyDescent="0.35">
      <c r="A748">
        <v>202403</v>
      </c>
      <c r="B748">
        <v>29</v>
      </c>
      <c r="C748" s="2">
        <v>2759570.9644999998</v>
      </c>
      <c r="D748" s="2">
        <v>0.70279999999999998</v>
      </c>
      <c r="E748" s="3">
        <v>207024</v>
      </c>
      <c r="F748" s="2">
        <v>145505.25760000001</v>
      </c>
      <c r="G748" t="s">
        <v>2310</v>
      </c>
      <c r="H748" t="s">
        <v>3</v>
      </c>
      <c r="I748">
        <f>HLOOKUP(G748,zip_tiers!$A$1:$EON$2,2,FALSE)</f>
        <v>90147.333333333328</v>
      </c>
      <c r="J748" t="str">
        <f t="shared" si="11"/>
        <v>Med</v>
      </c>
      <c r="K748">
        <f>dataset[[#This Row],[soda_sales]]/dataset[[#This Row],[soda_units_sold]]</f>
        <v>0.70284246077749446</v>
      </c>
      <c r="L748" s="29">
        <f>dataset[[#This Row],[implied_soda_ppu]]-dataset[[#This Row],[soda_ppu]]</f>
        <v>4.2460777494479629E-5</v>
      </c>
      <c r="M748">
        <f>dataset[[#This Row],[soda_sales]]/dataset[[#This Row],[total_sales]]</f>
        <v>5.2727492596431114E-2</v>
      </c>
      <c r="N748">
        <f>LN(dataset[[#This Row],[soda_units_sold]])</f>
        <v>12.240590007555735</v>
      </c>
      <c r="O748">
        <f>LN(dataset[[#This Row],[soda_sales]])</f>
        <v>11.887967499648745</v>
      </c>
      <c r="P748">
        <f>LN(dataset[[#This Row],[soda_ppu]])</f>
        <v>-0.35268292266919493</v>
      </c>
      <c r="Q748">
        <f>IF(dataset[[#This Row],[state]]="VA",1,0)</f>
        <v>1</v>
      </c>
    </row>
    <row r="749" spans="1:17" x14ac:dyDescent="0.35">
      <c r="A749">
        <v>202404</v>
      </c>
      <c r="B749">
        <v>29</v>
      </c>
      <c r="C749" s="2">
        <v>2950064.7625000002</v>
      </c>
      <c r="D749" s="2">
        <v>0.70369999999999999</v>
      </c>
      <c r="E749" s="3">
        <v>242733</v>
      </c>
      <c r="F749" s="2">
        <v>170810.03210000001</v>
      </c>
      <c r="G749" t="s">
        <v>2310</v>
      </c>
      <c r="H749" t="s">
        <v>3</v>
      </c>
      <c r="I749">
        <f>HLOOKUP(G749,zip_tiers!$A$1:$EON$2,2,FALSE)</f>
        <v>90147.333333333328</v>
      </c>
      <c r="J749" t="str">
        <f t="shared" si="11"/>
        <v>Med</v>
      </c>
      <c r="K749">
        <f>dataset[[#This Row],[soda_sales]]/dataset[[#This Row],[soda_units_sold]]</f>
        <v>0.70369513869148415</v>
      </c>
      <c r="L749" s="29">
        <f>dataset[[#This Row],[implied_soda_ppu]]-dataset[[#This Row],[soda_ppu]]</f>
        <v>-4.8613085158466518E-6</v>
      </c>
      <c r="M749">
        <f>dataset[[#This Row],[soda_sales]]/dataset[[#This Row],[total_sales]]</f>
        <v>5.7900434685796157E-2</v>
      </c>
      <c r="N749">
        <f>LN(dataset[[#This Row],[soda_units_sold]])</f>
        <v>12.399717352805309</v>
      </c>
      <c r="O749">
        <f>LN(dataset[[#This Row],[soda_sales]])</f>
        <v>12.048307294560196</v>
      </c>
      <c r="P749">
        <f>LN(dataset[[#This Row],[soda_ppu]])</f>
        <v>-0.35140315000963385</v>
      </c>
      <c r="Q749">
        <f>IF(dataset[[#This Row],[state]]="VA",1,0)</f>
        <v>1</v>
      </c>
    </row>
    <row r="750" spans="1:17" x14ac:dyDescent="0.35">
      <c r="A750">
        <v>202405</v>
      </c>
      <c r="B750">
        <v>29</v>
      </c>
      <c r="C750" s="2">
        <v>3011149.2439000001</v>
      </c>
      <c r="D750" s="2">
        <v>0.69569999999999999</v>
      </c>
      <c r="E750" s="3">
        <v>270547</v>
      </c>
      <c r="F750" s="2">
        <v>188227.38399999999</v>
      </c>
      <c r="G750" t="s">
        <v>2310</v>
      </c>
      <c r="H750" t="s">
        <v>3</v>
      </c>
      <c r="I750">
        <f>HLOOKUP(G750,zip_tiers!$A$1:$EON$2,2,FALSE)</f>
        <v>90147.333333333328</v>
      </c>
      <c r="J750" t="str">
        <f t="shared" si="11"/>
        <v>Med</v>
      </c>
      <c r="K750">
        <f>dataset[[#This Row],[soda_sales]]/dataset[[#This Row],[soda_units_sold]]</f>
        <v>0.69572896391384853</v>
      </c>
      <c r="L750" s="29">
        <f>dataset[[#This Row],[implied_soda_ppu]]-dataset[[#This Row],[soda_ppu]]</f>
        <v>2.8963913848545353E-5</v>
      </c>
      <c r="M750">
        <f>dataset[[#This Row],[soda_sales]]/dataset[[#This Row],[total_sales]]</f>
        <v>6.2510147705668151E-2</v>
      </c>
      <c r="N750">
        <f>LN(dataset[[#This Row],[soda_units_sold]])</f>
        <v>12.508201114486026</v>
      </c>
      <c r="O750">
        <f>LN(dataset[[#This Row],[soda_sales]])</f>
        <v>12.14540600033077</v>
      </c>
      <c r="P750">
        <f>LN(dataset[[#This Row],[soda_ppu]])</f>
        <v>-0.3628367460525414</v>
      </c>
      <c r="Q750">
        <f>IF(dataset[[#This Row],[state]]="VA",1,0)</f>
        <v>1</v>
      </c>
    </row>
    <row r="751" spans="1:17" x14ac:dyDescent="0.35">
      <c r="A751">
        <v>202406</v>
      </c>
      <c r="B751">
        <v>29</v>
      </c>
      <c r="C751" s="2">
        <v>2903170.3966000001</v>
      </c>
      <c r="D751" s="2">
        <v>0.72550000000000003</v>
      </c>
      <c r="E751" s="3">
        <v>260576</v>
      </c>
      <c r="F751" s="2">
        <v>189055.87849999999</v>
      </c>
      <c r="G751" t="s">
        <v>2310</v>
      </c>
      <c r="H751" t="s">
        <v>3</v>
      </c>
      <c r="I751">
        <f>HLOOKUP(G751,zip_tiers!$A$1:$EON$2,2,FALSE)</f>
        <v>90147.333333333328</v>
      </c>
      <c r="J751" t="str">
        <f t="shared" si="11"/>
        <v>Med</v>
      </c>
      <c r="K751">
        <f>dataset[[#This Row],[soda_sales]]/dataset[[#This Row],[soda_units_sold]]</f>
        <v>0.72553066475807437</v>
      </c>
      <c r="L751" s="29">
        <f>dataset[[#This Row],[implied_soda_ppu]]-dataset[[#This Row],[soda_ppu]]</f>
        <v>3.0664758074339105E-5</v>
      </c>
      <c r="M751">
        <f>dataset[[#This Row],[soda_sales]]/dataset[[#This Row],[total_sales]]</f>
        <v>6.5120489903523968E-2</v>
      </c>
      <c r="N751">
        <f>LN(dataset[[#This Row],[soda_units_sold]])</f>
        <v>12.470649844266857</v>
      </c>
      <c r="O751">
        <f>LN(dataset[[#This Row],[soda_sales]])</f>
        <v>12.149797903784068</v>
      </c>
      <c r="P751">
        <f>LN(dataset[[#This Row],[soda_ppu]])</f>
        <v>-0.32089420665789448</v>
      </c>
      <c r="Q751">
        <f>IF(dataset[[#This Row],[state]]="VA",1,0)</f>
        <v>1</v>
      </c>
    </row>
    <row r="752" spans="1:17" x14ac:dyDescent="0.35">
      <c r="A752">
        <v>202407</v>
      </c>
      <c r="B752">
        <v>29</v>
      </c>
      <c r="C752" s="2">
        <v>2770192.8064000001</v>
      </c>
      <c r="D752" s="2">
        <v>0.7268</v>
      </c>
      <c r="E752" s="3">
        <v>274180</v>
      </c>
      <c r="F752" s="2">
        <v>199260.38279999999</v>
      </c>
      <c r="G752" t="s">
        <v>2310</v>
      </c>
      <c r="H752" t="s">
        <v>3</v>
      </c>
      <c r="I752">
        <f>HLOOKUP(G752,zip_tiers!$A$1:$EON$2,2,FALSE)</f>
        <v>90147.333333333328</v>
      </c>
      <c r="J752" t="str">
        <f t="shared" si="11"/>
        <v>Med</v>
      </c>
      <c r="K752">
        <f>dataset[[#This Row],[soda_sales]]/dataset[[#This Row],[soda_units_sold]]</f>
        <v>0.7267502472828069</v>
      </c>
      <c r="L752" s="29">
        <f>dataset[[#This Row],[implied_soda_ppu]]-dataset[[#This Row],[soda_ppu]]</f>
        <v>-4.9752717193096707E-5</v>
      </c>
      <c r="M752">
        <f>dataset[[#This Row],[soda_sales]]/dataset[[#This Row],[total_sales]]</f>
        <v>7.1930149533146942E-2</v>
      </c>
      <c r="N752">
        <f>LN(dataset[[#This Row],[soda_units_sold]])</f>
        <v>12.521540103989892</v>
      </c>
      <c r="O752">
        <f>LN(dataset[[#This Row],[soda_sales]])</f>
        <v>12.202367704705102</v>
      </c>
      <c r="P752">
        <f>LN(dataset[[#This Row],[soda_ppu]])</f>
        <v>-0.31910394246012092</v>
      </c>
      <c r="Q752">
        <f>IF(dataset[[#This Row],[state]]="VA",1,0)</f>
        <v>1</v>
      </c>
    </row>
    <row r="753" spans="1:17" x14ac:dyDescent="0.35">
      <c r="A753">
        <v>202408</v>
      </c>
      <c r="B753">
        <v>29</v>
      </c>
      <c r="C753" s="2">
        <v>2658883.4556</v>
      </c>
      <c r="D753" s="2">
        <v>0.71860000000000002</v>
      </c>
      <c r="E753" s="3">
        <v>244949</v>
      </c>
      <c r="F753" s="2">
        <v>176022.05530000001</v>
      </c>
      <c r="G753" t="s">
        <v>2310</v>
      </c>
      <c r="H753" t="s">
        <v>3</v>
      </c>
      <c r="I753">
        <f>HLOOKUP(G753,zip_tiers!$A$1:$EON$2,2,FALSE)</f>
        <v>90147.333333333328</v>
      </c>
      <c r="J753" t="str">
        <f t="shared" si="11"/>
        <v>Med</v>
      </c>
      <c r="K753">
        <f>dataset[[#This Row],[soda_sales]]/dataset[[#This Row],[soda_units_sold]]</f>
        <v>0.71860695614189074</v>
      </c>
      <c r="L753" s="29">
        <f>dataset[[#This Row],[implied_soda_ppu]]-dataset[[#This Row],[soda_ppu]]</f>
        <v>6.9561418907237993E-6</v>
      </c>
      <c r="M753">
        <f>dataset[[#This Row],[soda_sales]]/dataset[[#This Row],[total_sales]]</f>
        <v>6.6201493310762319E-2</v>
      </c>
      <c r="N753">
        <f>LN(dataset[[#This Row],[soda_units_sold]])</f>
        <v>12.408805304592578</v>
      </c>
      <c r="O753">
        <f>LN(dataset[[#This Row],[soda_sales]])</f>
        <v>12.078364580373666</v>
      </c>
      <c r="P753">
        <f>LN(dataset[[#This Row],[soda_ppu]])</f>
        <v>-0.33045040430271866</v>
      </c>
      <c r="Q753">
        <f>IF(dataset[[#This Row],[state]]="VA",1,0)</f>
        <v>1</v>
      </c>
    </row>
    <row r="754" spans="1:17" x14ac:dyDescent="0.35">
      <c r="A754">
        <v>202409</v>
      </c>
      <c r="B754">
        <v>29</v>
      </c>
      <c r="C754" s="2">
        <v>2624156.7944</v>
      </c>
      <c r="D754" s="2">
        <v>0.72299999999999998</v>
      </c>
      <c r="E754" s="3">
        <v>230975</v>
      </c>
      <c r="F754" s="2">
        <v>166992.55110000001</v>
      </c>
      <c r="G754" t="s">
        <v>2310</v>
      </c>
      <c r="H754" t="s">
        <v>3</v>
      </c>
      <c r="I754">
        <f>HLOOKUP(G754,zip_tiers!$A$1:$EON$2,2,FALSE)</f>
        <v>90147.333333333328</v>
      </c>
      <c r="J754" t="str">
        <f t="shared" si="11"/>
        <v>Med</v>
      </c>
      <c r="K754">
        <f>dataset[[#This Row],[soda_sales]]/dataset[[#This Row],[soda_units_sold]]</f>
        <v>0.72298972226431435</v>
      </c>
      <c r="L754" s="29">
        <f>dataset[[#This Row],[implied_soda_ppu]]-dataset[[#This Row],[soda_ppu]]</f>
        <v>-1.027773568562651E-5</v>
      </c>
      <c r="M754">
        <f>dataset[[#This Row],[soda_sales]]/dataset[[#This Row],[total_sales]]</f>
        <v>6.3636651383166307E-2</v>
      </c>
      <c r="N754">
        <f>LN(dataset[[#This Row],[soda_units_sold]])</f>
        <v>12.350064758538945</v>
      </c>
      <c r="O754">
        <f>LN(dataset[[#This Row],[soda_sales]])</f>
        <v>12.025704486212479</v>
      </c>
      <c r="P754">
        <f>LN(dataset[[#This Row],[soda_ppu]])</f>
        <v>-0.32434605682337242</v>
      </c>
      <c r="Q754">
        <f>IF(dataset[[#This Row],[state]]="VA",1,0)</f>
        <v>1</v>
      </c>
    </row>
    <row r="755" spans="1:17" x14ac:dyDescent="0.35">
      <c r="A755">
        <v>202410</v>
      </c>
      <c r="B755">
        <v>29</v>
      </c>
      <c r="C755" s="2">
        <v>3261518.2395000001</v>
      </c>
      <c r="D755" s="2">
        <v>0.75419999999999998</v>
      </c>
      <c r="E755" s="3">
        <v>217609</v>
      </c>
      <c r="F755" s="2">
        <v>164110.66620000001</v>
      </c>
      <c r="G755" t="s">
        <v>2310</v>
      </c>
      <c r="H755" t="s">
        <v>3</v>
      </c>
      <c r="I755">
        <f>HLOOKUP(G755,zip_tiers!$A$1:$EON$2,2,FALSE)</f>
        <v>90147.333333333328</v>
      </c>
      <c r="J755" t="str">
        <f t="shared" si="11"/>
        <v>Med</v>
      </c>
      <c r="K755">
        <f>dataset[[#This Row],[soda_sales]]/dataset[[#This Row],[soda_units_sold]]</f>
        <v>0.7541538548497535</v>
      </c>
      <c r="L755" s="29">
        <f>dataset[[#This Row],[implied_soda_ppu]]-dataset[[#This Row],[soda_ppu]]</f>
        <v>-4.6145150246479361E-5</v>
      </c>
      <c r="M755">
        <f>dataset[[#This Row],[soda_sales]]/dataset[[#This Row],[total_sales]]</f>
        <v>5.0317261517187968E-2</v>
      </c>
      <c r="N755">
        <f>LN(dataset[[#This Row],[soda_units_sold]])</f>
        <v>12.290455153402728</v>
      </c>
      <c r="O755">
        <f>LN(dataset[[#This Row],[soda_sales]])</f>
        <v>12.00829627313774</v>
      </c>
      <c r="P755">
        <f>LN(dataset[[#This Row],[soda_ppu]])</f>
        <v>-0.28209769415788033</v>
      </c>
      <c r="Q755">
        <f>IF(dataset[[#This Row],[state]]="VA",1,0)</f>
        <v>1</v>
      </c>
    </row>
    <row r="756" spans="1:17" x14ac:dyDescent="0.35">
      <c r="A756">
        <v>202411</v>
      </c>
      <c r="B756">
        <v>29</v>
      </c>
      <c r="C756" s="2">
        <v>3674825.6672999999</v>
      </c>
      <c r="D756" s="2">
        <v>0.71389999999999998</v>
      </c>
      <c r="E756" s="3">
        <v>208691</v>
      </c>
      <c r="F756" s="2">
        <v>148984.5802</v>
      </c>
      <c r="G756" t="s">
        <v>2310</v>
      </c>
      <c r="H756" t="s">
        <v>3</v>
      </c>
      <c r="I756">
        <f>HLOOKUP(G756,zip_tiers!$A$1:$EON$2,2,FALSE)</f>
        <v>90147.333333333328</v>
      </c>
      <c r="J756" t="str">
        <f t="shared" si="11"/>
        <v>Med</v>
      </c>
      <c r="K756">
        <f>dataset[[#This Row],[soda_sales]]/dataset[[#This Row],[soda_units_sold]]</f>
        <v>0.71390036082054331</v>
      </c>
      <c r="L756" s="29">
        <f>dataset[[#This Row],[implied_soda_ppu]]-dataset[[#This Row],[soda_ppu]]</f>
        <v>3.6082054333252955E-7</v>
      </c>
      <c r="M756">
        <f>dataset[[#This Row],[soda_sales]]/dataset[[#This Row],[total_sales]]</f>
        <v>4.0541945030405549E-2</v>
      </c>
      <c r="N756">
        <f>LN(dataset[[#This Row],[soda_units_sold]])</f>
        <v>12.24860996803384</v>
      </c>
      <c r="O756">
        <f>LN(dataset[[#This Row],[soda_sales]])</f>
        <v>11.911598090981679</v>
      </c>
      <c r="P756">
        <f>LN(dataset[[#This Row],[soda_ppu]])</f>
        <v>-0.33701238247372223</v>
      </c>
      <c r="Q756">
        <f>IF(dataset[[#This Row],[state]]="VA",1,0)</f>
        <v>1</v>
      </c>
    </row>
    <row r="757" spans="1:17" x14ac:dyDescent="0.35">
      <c r="A757">
        <v>202412</v>
      </c>
      <c r="B757">
        <v>29</v>
      </c>
      <c r="C757" s="2">
        <v>3894773.4163000002</v>
      </c>
      <c r="D757" s="2">
        <v>0.71950000000000003</v>
      </c>
      <c r="E757" s="3">
        <v>208974</v>
      </c>
      <c r="F757" s="2">
        <v>150351.88639999999</v>
      </c>
      <c r="G757" t="s">
        <v>2310</v>
      </c>
      <c r="H757" t="s">
        <v>3</v>
      </c>
      <c r="I757">
        <f>HLOOKUP(G757,zip_tiers!$A$1:$EON$2,2,FALSE)</f>
        <v>90147.333333333328</v>
      </c>
      <c r="J757" t="str">
        <f t="shared" si="11"/>
        <v>Med</v>
      </c>
      <c r="K757">
        <f>dataset[[#This Row],[soda_sales]]/dataset[[#This Row],[soda_units_sold]]</f>
        <v>0.71947652052408428</v>
      </c>
      <c r="L757" s="29">
        <f>dataset[[#This Row],[implied_soda_ppu]]-dataset[[#This Row],[soda_ppu]]</f>
        <v>-2.3479475915744175E-5</v>
      </c>
      <c r="M757">
        <f>dataset[[#This Row],[soda_sales]]/dataset[[#This Row],[total_sales]]</f>
        <v>3.8603500211530389E-2</v>
      </c>
      <c r="N757">
        <f>LN(dataset[[#This Row],[soda_units_sold]])</f>
        <v>12.249965121294512</v>
      </c>
      <c r="O757">
        <f>LN(dataset[[#This Row],[soda_sales]])</f>
        <v>11.920733735062276</v>
      </c>
      <c r="P757">
        <f>LN(dataset[[#This Row],[soda_ppu]])</f>
        <v>-0.32919875265471449</v>
      </c>
      <c r="Q757">
        <f>IF(dataset[[#This Row],[state]]="VA",1,0)</f>
        <v>1</v>
      </c>
    </row>
    <row r="758" spans="1:17" x14ac:dyDescent="0.35">
      <c r="A758">
        <v>202201</v>
      </c>
      <c r="B758">
        <v>92</v>
      </c>
      <c r="C758" s="2">
        <v>2594737.9460999998</v>
      </c>
      <c r="D758" s="2">
        <v>0.74460000000000004</v>
      </c>
      <c r="E758" s="3">
        <v>119732</v>
      </c>
      <c r="F758" s="2">
        <v>89157.702600000004</v>
      </c>
      <c r="G758" t="s">
        <v>2360</v>
      </c>
      <c r="H758" t="s">
        <v>3</v>
      </c>
      <c r="I758">
        <f>HLOOKUP(G758,zip_tiers!$A$1:$EON$2,2,FALSE)</f>
        <v>126832.33333333333</v>
      </c>
      <c r="J758" t="str">
        <f t="shared" si="11"/>
        <v>High</v>
      </c>
      <c r="K758">
        <f>dataset[[#This Row],[soda_sales]]/dataset[[#This Row],[soda_units_sold]]</f>
        <v>0.74464389302776202</v>
      </c>
      <c r="L758" s="29">
        <f>dataset[[#This Row],[implied_soda_ppu]]-dataset[[#This Row],[soda_ppu]]</f>
        <v>4.3893027761976455E-5</v>
      </c>
      <c r="M758">
        <f>dataset[[#This Row],[soda_sales]]/dataset[[#This Row],[total_sales]]</f>
        <v>3.436096609833289E-2</v>
      </c>
      <c r="N758">
        <f>LN(dataset[[#This Row],[soda_units_sold]])</f>
        <v>11.693011190822606</v>
      </c>
      <c r="O758">
        <f>LN(dataset[[#This Row],[soda_sales]])</f>
        <v>11.398162020007664</v>
      </c>
      <c r="P758">
        <f>LN(dataset[[#This Row],[soda_ppu]])</f>
        <v>-0.29490811754352048</v>
      </c>
      <c r="Q758">
        <f>IF(dataset[[#This Row],[state]]="VA",1,0)</f>
        <v>1</v>
      </c>
    </row>
    <row r="759" spans="1:17" x14ac:dyDescent="0.35">
      <c r="A759">
        <v>202202</v>
      </c>
      <c r="B759">
        <v>92</v>
      </c>
      <c r="C759" s="2">
        <v>2959620.0366000002</v>
      </c>
      <c r="D759" s="2">
        <v>0.7661</v>
      </c>
      <c r="E759" s="3">
        <v>132370</v>
      </c>
      <c r="F759" s="2">
        <v>101406.5043</v>
      </c>
      <c r="G759" t="s">
        <v>2360</v>
      </c>
      <c r="H759" t="s">
        <v>3</v>
      </c>
      <c r="I759">
        <f>HLOOKUP(G759,zip_tiers!$A$1:$EON$2,2,FALSE)</f>
        <v>126832.33333333333</v>
      </c>
      <c r="J759" t="str">
        <f t="shared" si="11"/>
        <v>High</v>
      </c>
      <c r="K759">
        <f>dataset[[#This Row],[soda_sales]]/dataset[[#This Row],[soda_units_sold]]</f>
        <v>0.76608373725164314</v>
      </c>
      <c r="L759" s="29">
        <f>dataset[[#This Row],[implied_soda_ppu]]-dataset[[#This Row],[soda_ppu]]</f>
        <v>-1.6262748356865586E-5</v>
      </c>
      <c r="M759">
        <f>dataset[[#This Row],[soda_sales]]/dataset[[#This Row],[total_sales]]</f>
        <v>3.4263352405363288E-2</v>
      </c>
      <c r="N759">
        <f>LN(dataset[[#This Row],[soda_units_sold]])</f>
        <v>11.793356310707816</v>
      </c>
      <c r="O759">
        <f>LN(dataset[[#This Row],[soda_sales]])</f>
        <v>11.526892513052433</v>
      </c>
      <c r="P759">
        <f>LN(dataset[[#This Row],[soda_ppu]])</f>
        <v>-0.26644256945936179</v>
      </c>
      <c r="Q759">
        <f>IF(dataset[[#This Row],[state]]="VA",1,0)</f>
        <v>1</v>
      </c>
    </row>
    <row r="760" spans="1:17" x14ac:dyDescent="0.35">
      <c r="A760">
        <v>202203</v>
      </c>
      <c r="B760">
        <v>92</v>
      </c>
      <c r="C760" s="2">
        <v>3313481.2272999999</v>
      </c>
      <c r="D760" s="2">
        <v>0.71509999999999996</v>
      </c>
      <c r="E760" s="3">
        <v>162724</v>
      </c>
      <c r="F760" s="2">
        <v>116359.26059999999</v>
      </c>
      <c r="G760" t="s">
        <v>2360</v>
      </c>
      <c r="H760" t="s">
        <v>3</v>
      </c>
      <c r="I760">
        <f>HLOOKUP(G760,zip_tiers!$A$1:$EON$2,2,FALSE)</f>
        <v>126832.33333333333</v>
      </c>
      <c r="J760" t="str">
        <f t="shared" si="11"/>
        <v>High</v>
      </c>
      <c r="K760">
        <f>dataset[[#This Row],[soda_sales]]/dataset[[#This Row],[soda_units_sold]]</f>
        <v>0.715071290037118</v>
      </c>
      <c r="L760" s="29">
        <f>dataset[[#This Row],[implied_soda_ppu]]-dataset[[#This Row],[soda_ppu]]</f>
        <v>-2.8709962881956486E-5</v>
      </c>
      <c r="M760">
        <f>dataset[[#This Row],[soda_sales]]/dataset[[#This Row],[total_sales]]</f>
        <v>3.5116921635562029E-2</v>
      </c>
      <c r="N760">
        <f>LN(dataset[[#This Row],[soda_units_sold]])</f>
        <v>11.99981079308448</v>
      </c>
      <c r="O760">
        <f>LN(dataset[[#This Row],[soda_sales]])</f>
        <v>11.664437758171623</v>
      </c>
      <c r="P760">
        <f>LN(dataset[[#This Row],[soda_ppu]])</f>
        <v>-0.33533288592778687</v>
      </c>
      <c r="Q760">
        <f>IF(dataset[[#This Row],[state]]="VA",1,0)</f>
        <v>1</v>
      </c>
    </row>
    <row r="761" spans="1:17" x14ac:dyDescent="0.35">
      <c r="A761">
        <v>202204</v>
      </c>
      <c r="B761">
        <v>92</v>
      </c>
      <c r="C761" s="2">
        <v>3476663.0055</v>
      </c>
      <c r="D761" s="2">
        <v>0.75580000000000003</v>
      </c>
      <c r="E761" s="3">
        <v>186604</v>
      </c>
      <c r="F761" s="2">
        <v>141044.25469999999</v>
      </c>
      <c r="G761" t="s">
        <v>2360</v>
      </c>
      <c r="H761" t="s">
        <v>3</v>
      </c>
      <c r="I761">
        <f>HLOOKUP(G761,zip_tiers!$A$1:$EON$2,2,FALSE)</f>
        <v>126832.33333333333</v>
      </c>
      <c r="J761" t="str">
        <f t="shared" si="11"/>
        <v>High</v>
      </c>
      <c r="K761">
        <f>dataset[[#This Row],[soda_sales]]/dataset[[#This Row],[soda_units_sold]]</f>
        <v>0.75584797056869091</v>
      </c>
      <c r="L761" s="29">
        <f>dataset[[#This Row],[implied_soda_ppu]]-dataset[[#This Row],[soda_ppu]]</f>
        <v>4.7970568690880455E-5</v>
      </c>
      <c r="M761">
        <f>dataset[[#This Row],[soda_sales]]/dataset[[#This Row],[total_sales]]</f>
        <v>4.0568859989268805E-2</v>
      </c>
      <c r="N761">
        <f>LN(dataset[[#This Row],[soda_units_sold]])</f>
        <v>12.136744003392852</v>
      </c>
      <c r="O761">
        <f>LN(dataset[[#This Row],[soda_sales]])</f>
        <v>11.856828983236147</v>
      </c>
      <c r="P761">
        <f>LN(dataset[[#This Row],[soda_ppu]])</f>
        <v>-0.27997848806674841</v>
      </c>
      <c r="Q761">
        <f>IF(dataset[[#This Row],[state]]="VA",1,0)</f>
        <v>1</v>
      </c>
    </row>
    <row r="762" spans="1:17" x14ac:dyDescent="0.35">
      <c r="A762">
        <v>202205</v>
      </c>
      <c r="B762">
        <v>92</v>
      </c>
      <c r="C762" s="2">
        <v>3633499.3173000002</v>
      </c>
      <c r="D762" s="2">
        <v>0.75060000000000004</v>
      </c>
      <c r="E762" s="3">
        <v>200539</v>
      </c>
      <c r="F762" s="2">
        <v>150531.054</v>
      </c>
      <c r="G762" t="s">
        <v>2360</v>
      </c>
      <c r="H762" t="s">
        <v>3</v>
      </c>
      <c r="I762">
        <f>HLOOKUP(G762,zip_tiers!$A$1:$EON$2,2,FALSE)</f>
        <v>126832.33333333333</v>
      </c>
      <c r="J762" t="str">
        <f t="shared" si="11"/>
        <v>High</v>
      </c>
      <c r="K762">
        <f>dataset[[#This Row],[soda_sales]]/dataset[[#This Row],[soda_units_sold]]</f>
        <v>0.75063231590862622</v>
      </c>
      <c r="L762" s="29">
        <f>dataset[[#This Row],[implied_soda_ppu]]-dataset[[#This Row],[soda_ppu]]</f>
        <v>3.2315908626179279E-5</v>
      </c>
      <c r="M762">
        <f>dataset[[#This Row],[soda_sales]]/dataset[[#This Row],[total_sales]]</f>
        <v>4.142867270767988E-2</v>
      </c>
      <c r="N762">
        <f>LN(dataset[[#This Row],[soda_units_sold]])</f>
        <v>12.208764020529131</v>
      </c>
      <c r="O762">
        <f>LN(dataset[[#This Row],[soda_sales]])</f>
        <v>11.921924680756563</v>
      </c>
      <c r="P762">
        <f>LN(dataset[[#This Row],[soda_ppu]])</f>
        <v>-0.28688239228121654</v>
      </c>
      <c r="Q762">
        <f>IF(dataset[[#This Row],[state]]="VA",1,0)</f>
        <v>1</v>
      </c>
    </row>
    <row r="763" spans="1:17" x14ac:dyDescent="0.35">
      <c r="A763">
        <v>202206</v>
      </c>
      <c r="B763">
        <v>92</v>
      </c>
      <c r="C763" s="2">
        <v>3526593.4004000002</v>
      </c>
      <c r="D763" s="2">
        <v>0.73360000000000003</v>
      </c>
      <c r="E763" s="3">
        <v>210074</v>
      </c>
      <c r="F763" s="2">
        <v>154102.72700000001</v>
      </c>
      <c r="G763" t="s">
        <v>2360</v>
      </c>
      <c r="H763" t="s">
        <v>3</v>
      </c>
      <c r="I763">
        <f>HLOOKUP(G763,zip_tiers!$A$1:$EON$2,2,FALSE)</f>
        <v>126832.33333333333</v>
      </c>
      <c r="J763" t="str">
        <f t="shared" si="11"/>
        <v>High</v>
      </c>
      <c r="K763">
        <f>dataset[[#This Row],[soda_sales]]/dataset[[#This Row],[soda_units_sold]]</f>
        <v>0.73356401553738215</v>
      </c>
      <c r="L763" s="29">
        <f>dataset[[#This Row],[implied_soda_ppu]]-dataset[[#This Row],[soda_ppu]]</f>
        <v>-3.5984462617877355E-5</v>
      </c>
      <c r="M763">
        <f>dataset[[#This Row],[soda_sales]]/dataset[[#This Row],[total_sales]]</f>
        <v>4.3697333234537637E-2</v>
      </c>
      <c r="N763">
        <f>LN(dataset[[#This Row],[soda_units_sold]])</f>
        <v>12.255215128580401</v>
      </c>
      <c r="O763">
        <f>LN(dataset[[#This Row],[soda_sales]])</f>
        <v>11.945374717452733</v>
      </c>
      <c r="P763">
        <f>LN(dataset[[#This Row],[soda_ppu]])</f>
        <v>-0.30979135803988189</v>
      </c>
      <c r="Q763">
        <f>IF(dataset[[#This Row],[state]]="VA",1,0)</f>
        <v>1</v>
      </c>
    </row>
    <row r="764" spans="1:17" x14ac:dyDescent="0.35">
      <c r="A764">
        <v>202207</v>
      </c>
      <c r="B764">
        <v>92</v>
      </c>
      <c r="C764" s="2">
        <v>3316682.7074000002</v>
      </c>
      <c r="D764" s="2">
        <v>0.74929999999999997</v>
      </c>
      <c r="E764" s="3">
        <v>220547</v>
      </c>
      <c r="F764" s="2">
        <v>165246.9418</v>
      </c>
      <c r="G764" t="s">
        <v>2360</v>
      </c>
      <c r="H764" t="s">
        <v>3</v>
      </c>
      <c r="I764">
        <f>HLOOKUP(G764,zip_tiers!$A$1:$EON$2,2,FALSE)</f>
        <v>126832.33333333333</v>
      </c>
      <c r="J764" t="str">
        <f t="shared" si="11"/>
        <v>High</v>
      </c>
      <c r="K764">
        <f>dataset[[#This Row],[soda_sales]]/dataset[[#This Row],[soda_units_sold]]</f>
        <v>0.74925953107500898</v>
      </c>
      <c r="L764" s="29">
        <f>dataset[[#This Row],[implied_soda_ppu]]-dataset[[#This Row],[soda_ppu]]</f>
        <v>-4.046892499098842E-5</v>
      </c>
      <c r="M764">
        <f>dataset[[#This Row],[soda_sales]]/dataset[[#This Row],[total_sales]]</f>
        <v>4.982295756881118E-2</v>
      </c>
      <c r="N764">
        <f>LN(dataset[[#This Row],[soda_units_sold]])</f>
        <v>12.30386610308283</v>
      </c>
      <c r="O764">
        <f>LN(dataset[[#This Row],[soda_sales]])</f>
        <v>12.01519625103739</v>
      </c>
      <c r="P764">
        <f>LN(dataset[[#This Row],[soda_ppu]])</f>
        <v>-0.28861584161187204</v>
      </c>
      <c r="Q764">
        <f>IF(dataset[[#This Row],[state]]="VA",1,0)</f>
        <v>1</v>
      </c>
    </row>
    <row r="765" spans="1:17" x14ac:dyDescent="0.35">
      <c r="A765">
        <v>202208</v>
      </c>
      <c r="B765">
        <v>92</v>
      </c>
      <c r="C765" s="2">
        <v>3196693.1493000002</v>
      </c>
      <c r="D765" s="2">
        <v>0.73550000000000004</v>
      </c>
      <c r="E765" s="3">
        <v>195236</v>
      </c>
      <c r="F765" s="2">
        <v>143596.16190000001</v>
      </c>
      <c r="G765" t="s">
        <v>2360</v>
      </c>
      <c r="H765" t="s">
        <v>3</v>
      </c>
      <c r="I765">
        <f>HLOOKUP(G765,zip_tiers!$A$1:$EON$2,2,FALSE)</f>
        <v>126832.33333333333</v>
      </c>
      <c r="J765" t="str">
        <f t="shared" si="11"/>
        <v>High</v>
      </c>
      <c r="K765">
        <f>dataset[[#This Row],[soda_sales]]/dataset[[#This Row],[soda_units_sold]]</f>
        <v>0.73550042973631913</v>
      </c>
      <c r="L765" s="29">
        <f>dataset[[#This Row],[implied_soda_ppu]]-dataset[[#This Row],[soda_ppu]]</f>
        <v>4.297363190852721E-7</v>
      </c>
      <c r="M765">
        <f>dataset[[#This Row],[soda_sales]]/dataset[[#This Row],[total_sales]]</f>
        <v>4.492022073856046E-2</v>
      </c>
      <c r="N765">
        <f>LN(dataset[[#This Row],[soda_units_sold]])</f>
        <v>12.181964362186211</v>
      </c>
      <c r="O765">
        <f>LN(dataset[[#This Row],[soda_sales]])</f>
        <v>11.874760207523192</v>
      </c>
      <c r="P765">
        <f>LN(dataset[[#This Row],[soda_ppu]])</f>
        <v>-0.30720473894064476</v>
      </c>
      <c r="Q765">
        <f>IF(dataset[[#This Row],[state]]="VA",1,0)</f>
        <v>1</v>
      </c>
    </row>
    <row r="766" spans="1:17" x14ac:dyDescent="0.35">
      <c r="A766">
        <v>202209</v>
      </c>
      <c r="B766">
        <v>92</v>
      </c>
      <c r="C766" s="2">
        <v>3171616.3048999999</v>
      </c>
      <c r="D766" s="2">
        <v>0.7409</v>
      </c>
      <c r="E766" s="3">
        <v>182378</v>
      </c>
      <c r="F766" s="2">
        <v>135116.24729999999</v>
      </c>
      <c r="G766" t="s">
        <v>2360</v>
      </c>
      <c r="H766" t="s">
        <v>3</v>
      </c>
      <c r="I766">
        <f>HLOOKUP(G766,zip_tiers!$A$1:$EON$2,2,FALSE)</f>
        <v>126832.33333333333</v>
      </c>
      <c r="J766" t="str">
        <f t="shared" si="11"/>
        <v>High</v>
      </c>
      <c r="K766">
        <f>dataset[[#This Row],[soda_sales]]/dataset[[#This Row],[soda_units_sold]]</f>
        <v>0.74085825757492674</v>
      </c>
      <c r="L766" s="29">
        <f>dataset[[#This Row],[implied_soda_ppu]]-dataset[[#This Row],[soda_ppu]]</f>
        <v>-4.1742425073265643E-5</v>
      </c>
      <c r="M766">
        <f>dataset[[#This Row],[soda_sales]]/dataset[[#This Row],[total_sales]]</f>
        <v>4.2601700303801462E-2</v>
      </c>
      <c r="N766">
        <f>LN(dataset[[#This Row],[soda_units_sold]])</f>
        <v>12.113836735312823</v>
      </c>
      <c r="O766">
        <f>LN(dataset[[#This Row],[soda_sales]])</f>
        <v>11.813890778005415</v>
      </c>
      <c r="P766">
        <f>LN(dataset[[#This Row],[soda_ppu]])</f>
        <v>-0.29988961555952581</v>
      </c>
      <c r="Q766">
        <f>IF(dataset[[#This Row],[state]]="VA",1,0)</f>
        <v>1</v>
      </c>
    </row>
    <row r="767" spans="1:17" x14ac:dyDescent="0.35">
      <c r="A767">
        <v>202210</v>
      </c>
      <c r="B767">
        <v>92</v>
      </c>
      <c r="C767" s="2">
        <v>3934784.7763</v>
      </c>
      <c r="D767" s="2">
        <v>0.76039999999999996</v>
      </c>
      <c r="E767" s="3">
        <v>178349</v>
      </c>
      <c r="F767" s="2">
        <v>135622.22949999999</v>
      </c>
      <c r="G767" t="s">
        <v>2360</v>
      </c>
      <c r="H767" t="s">
        <v>3</v>
      </c>
      <c r="I767">
        <f>HLOOKUP(G767,zip_tiers!$A$1:$EON$2,2,FALSE)</f>
        <v>126832.33333333333</v>
      </c>
      <c r="J767" t="str">
        <f t="shared" si="11"/>
        <v>High</v>
      </c>
      <c r="K767">
        <f>dataset[[#This Row],[soda_sales]]/dataset[[#This Row],[soda_units_sold]]</f>
        <v>0.7604316788992368</v>
      </c>
      <c r="L767" s="29">
        <f>dataset[[#This Row],[implied_soda_ppu]]-dataset[[#This Row],[soda_ppu]]</f>
        <v>3.1678899236831093E-5</v>
      </c>
      <c r="M767">
        <f>dataset[[#This Row],[soda_sales]]/dataset[[#This Row],[total_sales]]</f>
        <v>3.4467508951666163E-2</v>
      </c>
      <c r="N767">
        <f>LN(dataset[[#This Row],[soda_units_sold]])</f>
        <v>12.091497583818697</v>
      </c>
      <c r="O767">
        <f>LN(dataset[[#This Row],[soda_sales]])</f>
        <v>11.817628575418444</v>
      </c>
      <c r="P767">
        <f>LN(dataset[[#This Row],[soda_ppu]])</f>
        <v>-0.27391066836786299</v>
      </c>
      <c r="Q767">
        <f>IF(dataset[[#This Row],[state]]="VA",1,0)</f>
        <v>1</v>
      </c>
    </row>
    <row r="768" spans="1:17" x14ac:dyDescent="0.35">
      <c r="A768">
        <v>202211</v>
      </c>
      <c r="B768">
        <v>92</v>
      </c>
      <c r="C768" s="2">
        <v>4420544.3014000002</v>
      </c>
      <c r="D768" s="2">
        <v>0.76559999999999995</v>
      </c>
      <c r="E768" s="3">
        <v>166527</v>
      </c>
      <c r="F768" s="2">
        <v>127490.6059</v>
      </c>
      <c r="G768" t="s">
        <v>2360</v>
      </c>
      <c r="H768" t="s">
        <v>3</v>
      </c>
      <c r="I768">
        <f>HLOOKUP(G768,zip_tiers!$A$1:$EON$2,2,FALSE)</f>
        <v>126832.33333333333</v>
      </c>
      <c r="J768" t="str">
        <f t="shared" si="11"/>
        <v>High</v>
      </c>
      <c r="K768">
        <f>dataset[[#This Row],[soda_sales]]/dataset[[#This Row],[soda_units_sold]]</f>
        <v>0.76558519579407536</v>
      </c>
      <c r="L768" s="29">
        <f>dataset[[#This Row],[implied_soda_ppu]]-dataset[[#This Row],[soda_ppu]]</f>
        <v>-1.4804205924590086E-5</v>
      </c>
      <c r="M768">
        <f>dataset[[#This Row],[soda_sales]]/dataset[[#This Row],[total_sales]]</f>
        <v>2.8840476920370037E-2</v>
      </c>
      <c r="N768">
        <f>LN(dataset[[#This Row],[soda_units_sold]])</f>
        <v>12.022912737417936</v>
      </c>
      <c r="O768">
        <f>LN(dataset[[#This Row],[soda_sales]])</f>
        <v>11.755797961650485</v>
      </c>
      <c r="P768">
        <f>LN(dataset[[#This Row],[soda_ppu]])</f>
        <v>-0.2670954388433926</v>
      </c>
      <c r="Q768">
        <f>IF(dataset[[#This Row],[state]]="VA",1,0)</f>
        <v>1</v>
      </c>
    </row>
    <row r="769" spans="1:17" x14ac:dyDescent="0.35">
      <c r="A769">
        <v>202212</v>
      </c>
      <c r="B769">
        <v>92</v>
      </c>
      <c r="C769" s="2">
        <v>4622768.5823999997</v>
      </c>
      <c r="D769" s="2">
        <v>0.72460000000000002</v>
      </c>
      <c r="E769" s="3">
        <v>166017</v>
      </c>
      <c r="F769" s="2">
        <v>120291.3881</v>
      </c>
      <c r="G769" t="s">
        <v>2360</v>
      </c>
      <c r="H769" t="s">
        <v>3</v>
      </c>
      <c r="I769">
        <f>HLOOKUP(G769,zip_tiers!$A$1:$EON$2,2,FALSE)</f>
        <v>126832.33333333333</v>
      </c>
      <c r="J769" t="str">
        <f t="shared" si="11"/>
        <v>High</v>
      </c>
      <c r="K769">
        <f>dataset[[#This Row],[soda_sales]]/dataset[[#This Row],[soda_units_sold]]</f>
        <v>0.72457271303541204</v>
      </c>
      <c r="L769" s="29">
        <f>dataset[[#This Row],[implied_soda_ppu]]-dataset[[#This Row],[soda_ppu]]</f>
        <v>-2.72869645879803E-5</v>
      </c>
      <c r="M769">
        <f>dataset[[#This Row],[soda_sales]]/dataset[[#This Row],[total_sales]]</f>
        <v>2.6021503338492534E-2</v>
      </c>
      <c r="N769">
        <f>LN(dataset[[#This Row],[soda_units_sold]])</f>
        <v>12.019845471733726</v>
      </c>
      <c r="O769">
        <f>LN(dataset[[#This Row],[soda_sales]])</f>
        <v>11.69767231253414</v>
      </c>
      <c r="P769">
        <f>LN(dataset[[#This Row],[soda_ppu]])</f>
        <v>-0.32213550052116019</v>
      </c>
      <c r="Q769">
        <f>IF(dataset[[#This Row],[state]]="VA",1,0)</f>
        <v>1</v>
      </c>
    </row>
    <row r="770" spans="1:17" x14ac:dyDescent="0.35">
      <c r="A770">
        <v>202301</v>
      </c>
      <c r="B770">
        <v>92</v>
      </c>
      <c r="C770" s="2">
        <v>2660449.8686000002</v>
      </c>
      <c r="D770" s="2">
        <v>0.80449999999999999</v>
      </c>
      <c r="E770" s="3">
        <v>113796</v>
      </c>
      <c r="F770" s="2">
        <v>91548.135599999994</v>
      </c>
      <c r="G770" t="s">
        <v>2360</v>
      </c>
      <c r="H770" t="s">
        <v>3</v>
      </c>
      <c r="I770">
        <f>HLOOKUP(G770,zip_tiers!$A$1:$EON$2,2,FALSE)</f>
        <v>126832.33333333333</v>
      </c>
      <c r="J770" t="str">
        <f t="shared" ref="J770:J833" si="12">IF(I770="","No Data",IF(I770&gt;=100000,"High",IF(I770&gt;=40000,"Med","Low")))</f>
        <v>High</v>
      </c>
      <c r="K770">
        <f>dataset[[#This Row],[soda_sales]]/dataset[[#This Row],[soda_units_sold]]</f>
        <v>0.80449344089423169</v>
      </c>
      <c r="L770" s="29">
        <f>dataset[[#This Row],[implied_soda_ppu]]-dataset[[#This Row],[soda_ppu]]</f>
        <v>-6.5591057683000997E-6</v>
      </c>
      <c r="M770">
        <f>dataset[[#This Row],[soda_sales]]/dataset[[#This Row],[total_sales]]</f>
        <v>3.4410772659352933E-2</v>
      </c>
      <c r="N770">
        <f>LN(dataset[[#This Row],[soda_units_sold]])</f>
        <v>11.642162650671727</v>
      </c>
      <c r="O770">
        <f>LN(dataset[[#This Row],[soda_sales]])</f>
        <v>11.424620185067328</v>
      </c>
      <c r="P770">
        <f>LN(dataset[[#This Row],[soda_ppu]])</f>
        <v>-0.21753431254969915</v>
      </c>
      <c r="Q770">
        <f>IF(dataset[[#This Row],[state]]="VA",1,0)</f>
        <v>1</v>
      </c>
    </row>
    <row r="771" spans="1:17" x14ac:dyDescent="0.35">
      <c r="A771">
        <v>202302</v>
      </c>
      <c r="B771">
        <v>92</v>
      </c>
      <c r="C771" s="2">
        <v>2990606.3657</v>
      </c>
      <c r="D771" s="2">
        <v>0.75460000000000005</v>
      </c>
      <c r="E771" s="3">
        <v>133908</v>
      </c>
      <c r="F771" s="2">
        <v>101051.6039</v>
      </c>
      <c r="G771" t="s">
        <v>2360</v>
      </c>
      <c r="H771" t="s">
        <v>3</v>
      </c>
      <c r="I771">
        <f>HLOOKUP(G771,zip_tiers!$A$1:$EON$2,2,FALSE)</f>
        <v>126832.33333333333</v>
      </c>
      <c r="J771" t="str">
        <f t="shared" si="12"/>
        <v>High</v>
      </c>
      <c r="K771">
        <f>dataset[[#This Row],[soda_sales]]/dataset[[#This Row],[soda_units_sold]]</f>
        <v>0.754634554320877</v>
      </c>
      <c r="L771" s="29">
        <f>dataset[[#This Row],[implied_soda_ppu]]-dataset[[#This Row],[soda_ppu]]</f>
        <v>3.4554320876956091E-5</v>
      </c>
      <c r="M771">
        <f>dataset[[#This Row],[soda_sales]]/dataset[[#This Row],[total_sales]]</f>
        <v>3.37896705694824E-2</v>
      </c>
      <c r="N771">
        <f>LN(dataset[[#This Row],[soda_units_sold]])</f>
        <v>11.804908275973702</v>
      </c>
      <c r="O771">
        <f>LN(dataset[[#This Row],[soda_sales]])</f>
        <v>11.523386595046228</v>
      </c>
      <c r="P771">
        <f>LN(dataset[[#This Row],[soda_ppu]])</f>
        <v>-0.2815674714519269</v>
      </c>
      <c r="Q771">
        <f>IF(dataset[[#This Row],[state]]="VA",1,0)</f>
        <v>1</v>
      </c>
    </row>
    <row r="772" spans="1:17" x14ac:dyDescent="0.35">
      <c r="A772">
        <v>202303</v>
      </c>
      <c r="B772">
        <v>92</v>
      </c>
      <c r="C772" s="2">
        <v>3342028.2461000001</v>
      </c>
      <c r="D772" s="2">
        <v>0.75870000000000004</v>
      </c>
      <c r="E772" s="3">
        <v>157836</v>
      </c>
      <c r="F772" s="2">
        <v>119746.6538</v>
      </c>
      <c r="G772" t="s">
        <v>2360</v>
      </c>
      <c r="H772" t="s">
        <v>3</v>
      </c>
      <c r="I772">
        <f>HLOOKUP(G772,zip_tiers!$A$1:$EON$2,2,FALSE)</f>
        <v>126832.33333333333</v>
      </c>
      <c r="J772" t="str">
        <f t="shared" si="12"/>
        <v>High</v>
      </c>
      <c r="K772">
        <f>dataset[[#This Row],[soda_sales]]/dataset[[#This Row],[soda_units_sold]]</f>
        <v>0.75867770217187458</v>
      </c>
      <c r="L772" s="29">
        <f>dataset[[#This Row],[implied_soda_ppu]]-dataset[[#This Row],[soda_ppu]]</f>
        <v>-2.229782812546155E-5</v>
      </c>
      <c r="M772">
        <f>dataset[[#This Row],[soda_sales]]/dataset[[#This Row],[total_sales]]</f>
        <v>3.5830533132010199E-2</v>
      </c>
      <c r="N772">
        <f>LN(dataset[[#This Row],[soda_units_sold]])</f>
        <v>11.969311798256779</v>
      </c>
      <c r="O772">
        <f>LN(dataset[[#This Row],[soda_sales]])</f>
        <v>11.693133571667712</v>
      </c>
      <c r="P772">
        <f>LN(dataset[[#This Row],[soda_ppu]])</f>
        <v>-0.27614883663810785</v>
      </c>
      <c r="Q772">
        <f>IF(dataset[[#This Row],[state]]="VA",1,0)</f>
        <v>1</v>
      </c>
    </row>
    <row r="773" spans="1:17" x14ac:dyDescent="0.35">
      <c r="A773">
        <v>202304</v>
      </c>
      <c r="B773">
        <v>92</v>
      </c>
      <c r="C773" s="2">
        <v>3560384.3451999999</v>
      </c>
      <c r="D773" s="2">
        <v>0.76339999999999997</v>
      </c>
      <c r="E773" s="3">
        <v>187536</v>
      </c>
      <c r="F773" s="2">
        <v>143157.73079999999</v>
      </c>
      <c r="G773" t="s">
        <v>2360</v>
      </c>
      <c r="H773" t="s">
        <v>3</v>
      </c>
      <c r="I773">
        <f>HLOOKUP(G773,zip_tiers!$A$1:$EON$2,2,FALSE)</f>
        <v>126832.33333333333</v>
      </c>
      <c r="J773" t="str">
        <f t="shared" si="12"/>
        <v>High</v>
      </c>
      <c r="K773">
        <f>dataset[[#This Row],[soda_sales]]/dataset[[#This Row],[soda_units_sold]]</f>
        <v>0.76336133222421287</v>
      </c>
      <c r="L773" s="29">
        <f>dataset[[#This Row],[implied_soda_ppu]]-dataset[[#This Row],[soda_ppu]]</f>
        <v>-3.8667775787093461E-5</v>
      </c>
      <c r="M773">
        <f>dataset[[#This Row],[soda_sales]]/dataset[[#This Row],[total_sales]]</f>
        <v>4.0208504734327577E-2</v>
      </c>
      <c r="N773">
        <f>LN(dataset[[#This Row],[soda_units_sold]])</f>
        <v>12.141726105962961</v>
      </c>
      <c r="O773">
        <f>LN(dataset[[#This Row],[soda_sales]])</f>
        <v>11.871702313958025</v>
      </c>
      <c r="P773">
        <f>LN(dataset[[#This Row],[soda_ppu]])</f>
        <v>-0.26997313867100775</v>
      </c>
      <c r="Q773">
        <f>IF(dataset[[#This Row],[state]]="VA",1,0)</f>
        <v>1</v>
      </c>
    </row>
    <row r="774" spans="1:17" x14ac:dyDescent="0.35">
      <c r="A774">
        <v>202305</v>
      </c>
      <c r="B774">
        <v>92</v>
      </c>
      <c r="C774" s="2">
        <v>3780778.1198</v>
      </c>
      <c r="D774" s="2">
        <v>0.74380000000000002</v>
      </c>
      <c r="E774" s="3">
        <v>206669</v>
      </c>
      <c r="F774" s="2">
        <v>153714.47649999999</v>
      </c>
      <c r="G774" t="s">
        <v>2360</v>
      </c>
      <c r="H774" t="s">
        <v>3</v>
      </c>
      <c r="I774">
        <f>HLOOKUP(G774,zip_tiers!$A$1:$EON$2,2,FALSE)</f>
        <v>126832.33333333333</v>
      </c>
      <c r="J774" t="str">
        <f t="shared" si="12"/>
        <v>High</v>
      </c>
      <c r="K774">
        <f>dataset[[#This Row],[soda_sales]]/dataset[[#This Row],[soda_units_sold]]</f>
        <v>0.74377132758178532</v>
      </c>
      <c r="L774" s="29">
        <f>dataset[[#This Row],[implied_soda_ppu]]-dataset[[#This Row],[soda_ppu]]</f>
        <v>-2.8672418214692463E-5</v>
      </c>
      <c r="M774">
        <f>dataset[[#This Row],[soda_sales]]/dataset[[#This Row],[total_sales]]</f>
        <v>4.0656836140421634E-2</v>
      </c>
      <c r="N774">
        <f>LN(dataset[[#This Row],[soda_units_sold]])</f>
        <v>12.23887375861201</v>
      </c>
      <c r="O774">
        <f>LN(dataset[[#This Row],[soda_sales]])</f>
        <v>11.942852111818787</v>
      </c>
      <c r="P774">
        <f>LN(dataset[[#This Row],[soda_ppu]])</f>
        <v>-0.29598309749116736</v>
      </c>
      <c r="Q774">
        <f>IF(dataset[[#This Row],[state]]="VA",1,0)</f>
        <v>1</v>
      </c>
    </row>
    <row r="775" spans="1:17" x14ac:dyDescent="0.35">
      <c r="A775">
        <v>202306</v>
      </c>
      <c r="B775">
        <v>92</v>
      </c>
      <c r="C775" s="2">
        <v>3493482.1342000002</v>
      </c>
      <c r="D775" s="2">
        <v>0.7661</v>
      </c>
      <c r="E775" s="3">
        <v>207604</v>
      </c>
      <c r="F775" s="2">
        <v>159048.179</v>
      </c>
      <c r="G775" t="s">
        <v>2360</v>
      </c>
      <c r="H775" t="s">
        <v>3</v>
      </c>
      <c r="I775">
        <f>HLOOKUP(G775,zip_tiers!$A$1:$EON$2,2,FALSE)</f>
        <v>126832.33333333333</v>
      </c>
      <c r="J775" t="str">
        <f t="shared" si="12"/>
        <v>High</v>
      </c>
      <c r="K775">
        <f>dataset[[#This Row],[soda_sales]]/dataset[[#This Row],[soda_units_sold]]</f>
        <v>0.76611326853047146</v>
      </c>
      <c r="L775" s="29">
        <f>dataset[[#This Row],[implied_soda_ppu]]-dataset[[#This Row],[soda_ppu]]</f>
        <v>1.3268530471455264E-5</v>
      </c>
      <c r="M775">
        <f>dataset[[#This Row],[soda_sales]]/dataset[[#This Row],[total_sales]]</f>
        <v>4.552711961597642E-2</v>
      </c>
      <c r="N775">
        <f>LN(dataset[[#This Row],[soda_units_sold]])</f>
        <v>12.243387697910984</v>
      </c>
      <c r="O775">
        <f>LN(dataset[[#This Row],[soda_sales]])</f>
        <v>11.976962447881945</v>
      </c>
      <c r="P775">
        <f>LN(dataset[[#This Row],[soda_ppu]])</f>
        <v>-0.26644256945936179</v>
      </c>
      <c r="Q775">
        <f>IF(dataset[[#This Row],[state]]="VA",1,0)</f>
        <v>1</v>
      </c>
    </row>
    <row r="776" spans="1:17" x14ac:dyDescent="0.35">
      <c r="A776">
        <v>202307</v>
      </c>
      <c r="B776">
        <v>92</v>
      </c>
      <c r="C776" s="2">
        <v>3389845.6946</v>
      </c>
      <c r="D776" s="2">
        <v>0.75470000000000004</v>
      </c>
      <c r="E776" s="3">
        <v>224943</v>
      </c>
      <c r="F776" s="2">
        <v>169768.41819999999</v>
      </c>
      <c r="G776" t="s">
        <v>2360</v>
      </c>
      <c r="H776" t="s">
        <v>3</v>
      </c>
      <c r="I776">
        <f>HLOOKUP(G776,zip_tiers!$A$1:$EON$2,2,FALSE)</f>
        <v>126832.33333333333</v>
      </c>
      <c r="J776" t="str">
        <f t="shared" si="12"/>
        <v>High</v>
      </c>
      <c r="K776">
        <f>dataset[[#This Row],[soda_sales]]/dataset[[#This Row],[soda_units_sold]]</f>
        <v>0.7547174982106577</v>
      </c>
      <c r="L776" s="29">
        <f>dataset[[#This Row],[implied_soda_ppu]]-dataset[[#This Row],[soda_ppu]]</f>
        <v>1.7498210657662661E-5</v>
      </c>
      <c r="M776">
        <f>dataset[[#This Row],[soda_sales]]/dataset[[#This Row],[total_sales]]</f>
        <v>5.0081459008721213E-2</v>
      </c>
      <c r="N776">
        <f>LN(dataset[[#This Row],[soda_units_sold]])</f>
        <v>12.323602315758915</v>
      </c>
      <c r="O776">
        <f>LN(dataset[[#This Row],[soda_sales]])</f>
        <v>12.042190541449616</v>
      </c>
      <c r="P776">
        <f>LN(dataset[[#This Row],[soda_ppu]])</f>
        <v>-0.28143495969131427</v>
      </c>
      <c r="Q776">
        <f>IF(dataset[[#This Row],[state]]="VA",1,0)</f>
        <v>1</v>
      </c>
    </row>
    <row r="777" spans="1:17" x14ac:dyDescent="0.35">
      <c r="A777">
        <v>202308</v>
      </c>
      <c r="B777">
        <v>92</v>
      </c>
      <c r="C777" s="2">
        <v>3199934.2478999998</v>
      </c>
      <c r="D777" s="2">
        <v>0.74670000000000003</v>
      </c>
      <c r="E777" s="3">
        <v>191548</v>
      </c>
      <c r="F777" s="2">
        <v>143028.10829999999</v>
      </c>
      <c r="G777" t="s">
        <v>2360</v>
      </c>
      <c r="H777" t="s">
        <v>3</v>
      </c>
      <c r="I777">
        <f>HLOOKUP(G777,zip_tiers!$A$1:$EON$2,2,FALSE)</f>
        <v>126832.33333333333</v>
      </c>
      <c r="J777" t="str">
        <f t="shared" si="12"/>
        <v>High</v>
      </c>
      <c r="K777">
        <f>dataset[[#This Row],[soda_sales]]/dataset[[#This Row],[soda_units_sold]]</f>
        <v>0.74669591068557228</v>
      </c>
      <c r="L777" s="29">
        <f>dataset[[#This Row],[implied_soda_ppu]]-dataset[[#This Row],[soda_ppu]]</f>
        <v>-4.0893144277465154E-6</v>
      </c>
      <c r="M777">
        <f>dataset[[#This Row],[soda_sales]]/dataset[[#This Row],[total_sales]]</f>
        <v>4.4697202260910243E-2</v>
      </c>
      <c r="N777">
        <f>LN(dataset[[#This Row],[soda_units_sold]])</f>
        <v>12.162893708936203</v>
      </c>
      <c r="O777">
        <f>LN(dataset[[#This Row],[soda_sales]])</f>
        <v>11.870796451464818</v>
      </c>
      <c r="P777">
        <f>LN(dataset[[#This Row],[soda_ppu]])</f>
        <v>-0.29209178094048099</v>
      </c>
      <c r="Q777">
        <f>IF(dataset[[#This Row],[state]]="VA",1,0)</f>
        <v>1</v>
      </c>
    </row>
    <row r="778" spans="1:17" x14ac:dyDescent="0.35">
      <c r="A778">
        <v>202309</v>
      </c>
      <c r="B778">
        <v>92</v>
      </c>
      <c r="C778" s="2">
        <v>3193416.2634000001</v>
      </c>
      <c r="D778" s="2">
        <v>0.73209999999999997</v>
      </c>
      <c r="E778" s="3">
        <v>187341</v>
      </c>
      <c r="F778" s="2">
        <v>137159.03020000001</v>
      </c>
      <c r="G778" t="s">
        <v>2360</v>
      </c>
      <c r="H778" t="s">
        <v>3</v>
      </c>
      <c r="I778">
        <f>HLOOKUP(G778,zip_tiers!$A$1:$EON$2,2,FALSE)</f>
        <v>126832.33333333333</v>
      </c>
      <c r="J778" t="str">
        <f t="shared" si="12"/>
        <v>High</v>
      </c>
      <c r="K778">
        <f>dataset[[#This Row],[soda_sales]]/dataset[[#This Row],[soda_units_sold]]</f>
        <v>0.73213567878894636</v>
      </c>
      <c r="L778" s="29">
        <f>dataset[[#This Row],[implied_soda_ppu]]-dataset[[#This Row],[soda_ppu]]</f>
        <v>3.5678788946391649E-5</v>
      </c>
      <c r="M778">
        <f>dataset[[#This Row],[soda_sales]]/dataset[[#This Row],[total_sales]]</f>
        <v>4.295056418794839E-2</v>
      </c>
      <c r="N778">
        <f>LN(dataset[[#This Row],[soda_units_sold]])</f>
        <v>12.140685764637206</v>
      </c>
      <c r="O778">
        <f>LN(dataset[[#This Row],[soda_sales]])</f>
        <v>11.828896335977349</v>
      </c>
      <c r="P778">
        <f>LN(dataset[[#This Row],[soda_ppu]])</f>
        <v>-0.31183816232954009</v>
      </c>
      <c r="Q778">
        <f>IF(dataset[[#This Row],[state]]="VA",1,0)</f>
        <v>1</v>
      </c>
    </row>
    <row r="779" spans="1:17" x14ac:dyDescent="0.35">
      <c r="A779">
        <v>202310</v>
      </c>
      <c r="B779">
        <v>92</v>
      </c>
      <c r="C779" s="2">
        <v>3921242.0257999999</v>
      </c>
      <c r="D779" s="2">
        <v>0.75470000000000004</v>
      </c>
      <c r="E779" s="3">
        <v>174991</v>
      </c>
      <c r="F779" s="2">
        <v>132070.37779999999</v>
      </c>
      <c r="G779" t="s">
        <v>2360</v>
      </c>
      <c r="H779" t="s">
        <v>3</v>
      </c>
      <c r="I779">
        <f>HLOOKUP(G779,zip_tiers!$A$1:$EON$2,2,FALSE)</f>
        <v>126832.33333333333</v>
      </c>
      <c r="J779" t="str">
        <f t="shared" si="12"/>
        <v>High</v>
      </c>
      <c r="K779">
        <f>dataset[[#This Row],[soda_sales]]/dataset[[#This Row],[soda_units_sold]]</f>
        <v>0.75472668765822237</v>
      </c>
      <c r="L779" s="29">
        <f>dataset[[#This Row],[implied_soda_ppu]]-dataset[[#This Row],[soda_ppu]]</f>
        <v>2.6687658222335209E-5</v>
      </c>
      <c r="M779">
        <f>dataset[[#This Row],[soda_sales]]/dataset[[#This Row],[total_sales]]</f>
        <v>3.3680751387197373E-2</v>
      </c>
      <c r="N779">
        <f>LN(dataset[[#This Row],[soda_units_sold]])</f>
        <v>12.072489823011729</v>
      </c>
      <c r="O779">
        <f>LN(dataset[[#This Row],[soda_sales]])</f>
        <v>11.791090224637983</v>
      </c>
      <c r="P779">
        <f>LN(dataset[[#This Row],[soda_ppu]])</f>
        <v>-0.28143495969131427</v>
      </c>
      <c r="Q779">
        <f>IF(dataset[[#This Row],[state]]="VA",1,0)</f>
        <v>1</v>
      </c>
    </row>
    <row r="780" spans="1:17" x14ac:dyDescent="0.35">
      <c r="A780">
        <v>202311</v>
      </c>
      <c r="B780">
        <v>92</v>
      </c>
      <c r="C780" s="2">
        <v>4354594.5038999999</v>
      </c>
      <c r="D780" s="2">
        <v>0.74150000000000005</v>
      </c>
      <c r="E780" s="3">
        <v>168123</v>
      </c>
      <c r="F780" s="2">
        <v>124670.9531</v>
      </c>
      <c r="G780" t="s">
        <v>2360</v>
      </c>
      <c r="H780" t="s">
        <v>3</v>
      </c>
      <c r="I780">
        <f>HLOOKUP(G780,zip_tiers!$A$1:$EON$2,2,FALSE)</f>
        <v>126832.33333333333</v>
      </c>
      <c r="J780" t="str">
        <f t="shared" si="12"/>
        <v>High</v>
      </c>
      <c r="K780">
        <f>dataset[[#This Row],[soda_sales]]/dataset[[#This Row],[soda_units_sold]]</f>
        <v>0.74154608887540674</v>
      </c>
      <c r="L780" s="29">
        <f>dataset[[#This Row],[implied_soda_ppu]]-dataset[[#This Row],[soda_ppu]]</f>
        <v>4.6088875406691265E-5</v>
      </c>
      <c r="M780">
        <f>dataset[[#This Row],[soda_sales]]/dataset[[#This Row],[total_sales]]</f>
        <v>2.862975025305892E-2</v>
      </c>
      <c r="N780">
        <f>LN(dataset[[#This Row],[soda_units_sold]])</f>
        <v>12.032451133356703</v>
      </c>
      <c r="O780">
        <f>LN(dataset[[#This Row],[soda_sales]])</f>
        <v>11.733433170292553</v>
      </c>
      <c r="P780">
        <f>LN(dataset[[#This Row],[soda_ppu]])</f>
        <v>-0.29908011740415019</v>
      </c>
      <c r="Q780">
        <f>IF(dataset[[#This Row],[state]]="VA",1,0)</f>
        <v>1</v>
      </c>
    </row>
    <row r="781" spans="1:17" x14ac:dyDescent="0.35">
      <c r="A781">
        <v>202312</v>
      </c>
      <c r="B781">
        <v>92</v>
      </c>
      <c r="C781" s="2">
        <v>4686841.6710999999</v>
      </c>
      <c r="D781" s="2">
        <v>0.74890000000000001</v>
      </c>
      <c r="E781" s="3">
        <v>161585</v>
      </c>
      <c r="F781" s="2">
        <v>121003.6201</v>
      </c>
      <c r="G781" t="s">
        <v>2360</v>
      </c>
      <c r="H781" t="s">
        <v>3</v>
      </c>
      <c r="I781">
        <f>HLOOKUP(G781,zip_tiers!$A$1:$EON$2,2,FALSE)</f>
        <v>126832.33333333333</v>
      </c>
      <c r="J781" t="str">
        <f t="shared" si="12"/>
        <v>High</v>
      </c>
      <c r="K781">
        <f>dataset[[#This Row],[soda_sales]]/dataset[[#This Row],[soda_units_sold]]</f>
        <v>0.7488542878361234</v>
      </c>
      <c r="L781" s="29">
        <f>dataset[[#This Row],[implied_soda_ppu]]-dataset[[#This Row],[soda_ppu]]</f>
        <v>-4.5712163876610035E-5</v>
      </c>
      <c r="M781">
        <f>dataset[[#This Row],[soda_sales]]/dataset[[#This Row],[total_sales]]</f>
        <v>2.5817731553880396E-2</v>
      </c>
      <c r="N781">
        <f>LN(dataset[[#This Row],[soda_units_sold]])</f>
        <v>11.992786598978746</v>
      </c>
      <c r="O781">
        <f>LN(dataset[[#This Row],[soda_sales]])</f>
        <v>11.703575742313156</v>
      </c>
      <c r="P781">
        <f>LN(dataset[[#This Row],[soda_ppu]])</f>
        <v>-0.28914981572681564</v>
      </c>
      <c r="Q781">
        <f>IF(dataset[[#This Row],[state]]="VA",1,0)</f>
        <v>1</v>
      </c>
    </row>
    <row r="782" spans="1:17" x14ac:dyDescent="0.35">
      <c r="A782">
        <v>202401</v>
      </c>
      <c r="B782">
        <v>92</v>
      </c>
      <c r="C782" s="2">
        <v>2707260.4890999999</v>
      </c>
      <c r="D782" s="2">
        <v>0.74709999999999999</v>
      </c>
      <c r="E782" s="3">
        <v>123192</v>
      </c>
      <c r="F782" s="2">
        <v>92032.519</v>
      </c>
      <c r="G782" t="s">
        <v>2360</v>
      </c>
      <c r="H782" t="s">
        <v>3</v>
      </c>
      <c r="I782">
        <f>HLOOKUP(G782,zip_tiers!$A$1:$EON$2,2,FALSE)</f>
        <v>126832.33333333333</v>
      </c>
      <c r="J782" t="str">
        <f t="shared" si="12"/>
        <v>High</v>
      </c>
      <c r="K782">
        <f>dataset[[#This Row],[soda_sales]]/dataset[[#This Row],[soda_units_sold]]</f>
        <v>0.74706571043574255</v>
      </c>
      <c r="L782" s="29">
        <f>dataset[[#This Row],[implied_soda_ppu]]-dataset[[#This Row],[soda_ppu]]</f>
        <v>-3.4289564257439231E-5</v>
      </c>
      <c r="M782">
        <f>dataset[[#This Row],[soda_sales]]/dataset[[#This Row],[total_sales]]</f>
        <v>3.3994704008181803E-2</v>
      </c>
      <c r="N782">
        <f>LN(dataset[[#This Row],[soda_units_sold]])</f>
        <v>11.72149939290825</v>
      </c>
      <c r="O782">
        <f>LN(dataset[[#This Row],[soda_sales]])</f>
        <v>11.4298972609676</v>
      </c>
      <c r="P782">
        <f>LN(dataset[[#This Row],[soda_ppu]])</f>
        <v>-0.2915562340003815</v>
      </c>
      <c r="Q782">
        <f>IF(dataset[[#This Row],[state]]="VA",1,0)</f>
        <v>1</v>
      </c>
    </row>
    <row r="783" spans="1:17" x14ac:dyDescent="0.35">
      <c r="A783">
        <v>202402</v>
      </c>
      <c r="B783">
        <v>92</v>
      </c>
      <c r="C783" s="2">
        <v>3016417.8409000002</v>
      </c>
      <c r="D783" s="2">
        <v>0.7661</v>
      </c>
      <c r="E783" s="3">
        <v>132016</v>
      </c>
      <c r="F783" s="2">
        <v>101135.70600000001</v>
      </c>
      <c r="G783" t="s">
        <v>2360</v>
      </c>
      <c r="H783" t="s">
        <v>3</v>
      </c>
      <c r="I783">
        <f>HLOOKUP(G783,zip_tiers!$A$1:$EON$2,2,FALSE)</f>
        <v>126832.33333333333</v>
      </c>
      <c r="J783" t="str">
        <f t="shared" si="12"/>
        <v>High</v>
      </c>
      <c r="K783">
        <f>dataset[[#This Row],[soda_sales]]/dataset[[#This Row],[soda_units_sold]]</f>
        <v>0.76608673191128351</v>
      </c>
      <c r="L783" s="29">
        <f>dataset[[#This Row],[implied_soda_ppu]]-dataset[[#This Row],[soda_ppu]]</f>
        <v>-1.3268088716489324E-5</v>
      </c>
      <c r="M783">
        <f>dataset[[#This Row],[soda_sales]]/dataset[[#This Row],[total_sales]]</f>
        <v>3.3528413944741958E-2</v>
      </c>
      <c r="N783">
        <f>LN(dataset[[#This Row],[soda_units_sold]])</f>
        <v>11.790678406344124</v>
      </c>
      <c r="O783">
        <f>LN(dataset[[#This Row],[soda_sales]])</f>
        <v>11.524218517731111</v>
      </c>
      <c r="P783">
        <f>LN(dataset[[#This Row],[soda_ppu]])</f>
        <v>-0.26644256945936179</v>
      </c>
      <c r="Q783">
        <f>IF(dataset[[#This Row],[state]]="VA",1,0)</f>
        <v>1</v>
      </c>
    </row>
    <row r="784" spans="1:17" x14ac:dyDescent="0.35">
      <c r="A784">
        <v>202403</v>
      </c>
      <c r="B784">
        <v>92</v>
      </c>
      <c r="C784" s="2">
        <v>3428368.0713999998</v>
      </c>
      <c r="D784" s="2">
        <v>0.78820000000000001</v>
      </c>
      <c r="E784" s="3">
        <v>156773</v>
      </c>
      <c r="F784" s="2">
        <v>123575.1715</v>
      </c>
      <c r="G784" t="s">
        <v>2360</v>
      </c>
      <c r="H784" t="s">
        <v>3</v>
      </c>
      <c r="I784">
        <f>HLOOKUP(G784,zip_tiers!$A$1:$EON$2,2,FALSE)</f>
        <v>126832.33333333333</v>
      </c>
      <c r="J784" t="str">
        <f t="shared" si="12"/>
        <v>High</v>
      </c>
      <c r="K784">
        <f>dataset[[#This Row],[soda_sales]]/dataset[[#This Row],[soda_units_sold]]</f>
        <v>0.78824269166246741</v>
      </c>
      <c r="L784" s="29">
        <f>dataset[[#This Row],[implied_soda_ppu]]-dataset[[#This Row],[soda_ppu]]</f>
        <v>4.2691662467397862E-5</v>
      </c>
      <c r="M784">
        <f>dataset[[#This Row],[soda_sales]]/dataset[[#This Row],[total_sales]]</f>
        <v>3.6044896267376898E-2</v>
      </c>
      <c r="N784">
        <f>LN(dataset[[#This Row],[soda_units_sold]])</f>
        <v>11.962554178193825</v>
      </c>
      <c r="O784">
        <f>LN(dataset[[#This Row],[soda_sales]])</f>
        <v>11.724604925995358</v>
      </c>
      <c r="P784">
        <f>LN(dataset[[#This Row],[soda_ppu]])</f>
        <v>-0.23800341422123372</v>
      </c>
      <c r="Q784">
        <f>IF(dataset[[#This Row],[state]]="VA",1,0)</f>
        <v>1</v>
      </c>
    </row>
    <row r="785" spans="1:17" x14ac:dyDescent="0.35">
      <c r="A785">
        <v>202404</v>
      </c>
      <c r="B785">
        <v>92</v>
      </c>
      <c r="C785" s="2">
        <v>3628300.6457000002</v>
      </c>
      <c r="D785" s="2">
        <v>0.7671</v>
      </c>
      <c r="E785" s="3">
        <v>182550</v>
      </c>
      <c r="F785" s="2">
        <v>140037.25020000001</v>
      </c>
      <c r="G785" t="s">
        <v>2360</v>
      </c>
      <c r="H785" t="s">
        <v>3</v>
      </c>
      <c r="I785">
        <f>HLOOKUP(G785,zip_tiers!$A$1:$EON$2,2,FALSE)</f>
        <v>126832.33333333333</v>
      </c>
      <c r="J785" t="str">
        <f t="shared" si="12"/>
        <v>High</v>
      </c>
      <c r="K785">
        <f>dataset[[#This Row],[soda_sales]]/dataset[[#This Row],[soda_units_sold]]</f>
        <v>0.76711722925225967</v>
      </c>
      <c r="L785" s="29">
        <f>dataset[[#This Row],[implied_soda_ppu]]-dataset[[#This Row],[soda_ppu]]</f>
        <v>1.7229252259665095E-5</v>
      </c>
      <c r="M785">
        <f>dataset[[#This Row],[soda_sales]]/dataset[[#This Row],[total_sales]]</f>
        <v>3.8595823189559016E-2</v>
      </c>
      <c r="N785">
        <f>LN(dataset[[#This Row],[soda_units_sold]])</f>
        <v>12.114779387083782</v>
      </c>
      <c r="O785">
        <f>LN(dataset[[#This Row],[soda_sales]])</f>
        <v>11.84966373905748</v>
      </c>
      <c r="P785">
        <f>LN(dataset[[#This Row],[soda_ppu]])</f>
        <v>-0.26513810801688642</v>
      </c>
      <c r="Q785">
        <f>IF(dataset[[#This Row],[state]]="VA",1,0)</f>
        <v>1</v>
      </c>
    </row>
    <row r="786" spans="1:17" x14ac:dyDescent="0.35">
      <c r="A786">
        <v>202405</v>
      </c>
      <c r="B786">
        <v>92</v>
      </c>
      <c r="C786" s="2">
        <v>3799078.3108999999</v>
      </c>
      <c r="D786" s="2">
        <v>0.7611</v>
      </c>
      <c r="E786" s="3">
        <v>202819</v>
      </c>
      <c r="F786" s="2">
        <v>154361.08309999999</v>
      </c>
      <c r="G786" t="s">
        <v>2360</v>
      </c>
      <c r="H786" t="s">
        <v>3</v>
      </c>
      <c r="I786">
        <f>HLOOKUP(G786,zip_tiers!$A$1:$EON$2,2,FALSE)</f>
        <v>126832.33333333333</v>
      </c>
      <c r="J786" t="str">
        <f t="shared" si="12"/>
        <v>High</v>
      </c>
      <c r="K786">
        <f>dataset[[#This Row],[soda_sales]]/dataset[[#This Row],[soda_units_sold]]</f>
        <v>0.76107802079686804</v>
      </c>
      <c r="L786" s="29">
        <f>dataset[[#This Row],[implied_soda_ppu]]-dataset[[#This Row],[soda_ppu]]</f>
        <v>-2.1979203131961E-5</v>
      </c>
      <c r="M786">
        <f>dataset[[#This Row],[soda_sales]]/dataset[[#This Row],[total_sales]]</f>
        <v>4.0631192744071634E-2</v>
      </c>
      <c r="N786">
        <f>LN(dataset[[#This Row],[soda_units_sold]])</f>
        <v>12.220069234673604</v>
      </c>
      <c r="O786">
        <f>LN(dataset[[#This Row],[soda_sales]])</f>
        <v>11.947049832341113</v>
      </c>
      <c r="P786">
        <f>LN(dataset[[#This Row],[soda_ppu]])</f>
        <v>-0.27299052370879118</v>
      </c>
      <c r="Q786">
        <f>IF(dataset[[#This Row],[state]]="VA",1,0)</f>
        <v>1</v>
      </c>
    </row>
    <row r="787" spans="1:17" x14ac:dyDescent="0.35">
      <c r="A787">
        <v>202406</v>
      </c>
      <c r="B787">
        <v>92</v>
      </c>
      <c r="C787" s="2">
        <v>3626787.1971999998</v>
      </c>
      <c r="D787" s="2">
        <v>0.78500000000000003</v>
      </c>
      <c r="E787" s="3">
        <v>208273</v>
      </c>
      <c r="F787" s="2">
        <v>163492.14850000001</v>
      </c>
      <c r="G787" t="s">
        <v>2360</v>
      </c>
      <c r="H787" t="s">
        <v>3</v>
      </c>
      <c r="I787">
        <f>HLOOKUP(G787,zip_tiers!$A$1:$EON$2,2,FALSE)</f>
        <v>126832.33333333333</v>
      </c>
      <c r="J787" t="str">
        <f t="shared" si="12"/>
        <v>High</v>
      </c>
      <c r="K787">
        <f>dataset[[#This Row],[soda_sales]]/dataset[[#This Row],[soda_units_sold]]</f>
        <v>0.78498964580142416</v>
      </c>
      <c r="L787" s="29">
        <f>dataset[[#This Row],[implied_soda_ppu]]-dataset[[#This Row],[soda_ppu]]</f>
        <v>-1.0354198575868168E-5</v>
      </c>
      <c r="M787">
        <f>dataset[[#This Row],[soda_sales]]/dataset[[#This Row],[total_sales]]</f>
        <v>4.5079057471643605E-2</v>
      </c>
      <c r="N787">
        <f>LN(dataset[[#This Row],[soda_units_sold]])</f>
        <v>12.246604998108252</v>
      </c>
      <c r="O787">
        <f>LN(dataset[[#This Row],[soda_sales]])</f>
        <v>12.004520246759652</v>
      </c>
      <c r="P787">
        <f>LN(dataset[[#This Row],[soda_ppu]])</f>
        <v>-0.24207156119972859</v>
      </c>
      <c r="Q787">
        <f>IF(dataset[[#This Row],[state]]="VA",1,0)</f>
        <v>1</v>
      </c>
    </row>
    <row r="788" spans="1:17" x14ac:dyDescent="0.35">
      <c r="A788">
        <v>202407</v>
      </c>
      <c r="B788">
        <v>92</v>
      </c>
      <c r="C788" s="2">
        <v>3404264.2497999999</v>
      </c>
      <c r="D788" s="2">
        <v>0.78059999999999996</v>
      </c>
      <c r="E788" s="3">
        <v>214961</v>
      </c>
      <c r="F788" s="2">
        <v>167803.60389999999</v>
      </c>
      <c r="G788" t="s">
        <v>2360</v>
      </c>
      <c r="H788" t="s">
        <v>3</v>
      </c>
      <c r="I788">
        <f>HLOOKUP(G788,zip_tiers!$A$1:$EON$2,2,FALSE)</f>
        <v>126832.33333333333</v>
      </c>
      <c r="J788" t="str">
        <f t="shared" si="12"/>
        <v>High</v>
      </c>
      <c r="K788">
        <f>dataset[[#This Row],[soda_sales]]/dataset[[#This Row],[soda_units_sold]]</f>
        <v>0.78062348007312954</v>
      </c>
      <c r="L788" s="29">
        <f>dataset[[#This Row],[implied_soda_ppu]]-dataset[[#This Row],[soda_ppu]]</f>
        <v>2.3480073129578116E-5</v>
      </c>
      <c r="M788">
        <f>dataset[[#This Row],[soda_sales]]/dataset[[#This Row],[total_sales]]</f>
        <v>4.9292179333569192E-2</v>
      </c>
      <c r="N788">
        <f>LN(dataset[[#This Row],[soda_units_sold]])</f>
        <v>12.278211895306837</v>
      </c>
      <c r="O788">
        <f>LN(dataset[[#This Row],[soda_sales]])</f>
        <v>12.0305495501386</v>
      </c>
      <c r="P788">
        <f>LN(dataset[[#This Row],[soda_ppu]])</f>
        <v>-0.24769242423562252</v>
      </c>
      <c r="Q788">
        <f>IF(dataset[[#This Row],[state]]="VA",1,0)</f>
        <v>1</v>
      </c>
    </row>
    <row r="789" spans="1:17" x14ac:dyDescent="0.35">
      <c r="A789">
        <v>202408</v>
      </c>
      <c r="B789">
        <v>92</v>
      </c>
      <c r="C789" s="2">
        <v>3241915.1087000002</v>
      </c>
      <c r="D789" s="2">
        <v>0.7984</v>
      </c>
      <c r="E789" s="3">
        <v>184968</v>
      </c>
      <c r="F789" s="2">
        <v>147682.20000000001</v>
      </c>
      <c r="G789" t="s">
        <v>2360</v>
      </c>
      <c r="H789" t="s">
        <v>3</v>
      </c>
      <c r="I789">
        <f>HLOOKUP(G789,zip_tiers!$A$1:$EON$2,2,FALSE)</f>
        <v>126832.33333333333</v>
      </c>
      <c r="J789" t="str">
        <f t="shared" si="12"/>
        <v>High</v>
      </c>
      <c r="K789">
        <f>dataset[[#This Row],[soda_sales]]/dataset[[#This Row],[soda_units_sold]]</f>
        <v>0.79842026728947713</v>
      </c>
      <c r="L789" s="29">
        <f>dataset[[#This Row],[implied_soda_ppu]]-dataset[[#This Row],[soda_ppu]]</f>
        <v>2.0267289477127193E-5</v>
      </c>
      <c r="M789">
        <f>dataset[[#This Row],[soda_sales]]/dataset[[#This Row],[total_sales]]</f>
        <v>4.555399973419421E-2</v>
      </c>
      <c r="N789">
        <f>LN(dataset[[#This Row],[soda_units_sold]])</f>
        <v>12.127938116125939</v>
      </c>
      <c r="O789">
        <f>LN(dataset[[#This Row],[soda_sales]])</f>
        <v>11.902817946700475</v>
      </c>
      <c r="P789">
        <f>LN(dataset[[#This Row],[soda_ppu]])</f>
        <v>-0.22514555398488284</v>
      </c>
      <c r="Q789">
        <f>IF(dataset[[#This Row],[state]]="VA",1,0)</f>
        <v>1</v>
      </c>
    </row>
    <row r="790" spans="1:17" x14ac:dyDescent="0.35">
      <c r="A790">
        <v>202409</v>
      </c>
      <c r="B790">
        <v>92</v>
      </c>
      <c r="C790" s="2">
        <v>3312413.6631</v>
      </c>
      <c r="D790" s="2">
        <v>0.79159999999999997</v>
      </c>
      <c r="E790" s="3">
        <v>180988</v>
      </c>
      <c r="F790" s="2">
        <v>143267.74979999999</v>
      </c>
      <c r="G790" t="s">
        <v>2360</v>
      </c>
      <c r="H790" t="s">
        <v>3</v>
      </c>
      <c r="I790">
        <f>HLOOKUP(G790,zip_tiers!$A$1:$EON$2,2,FALSE)</f>
        <v>126832.33333333333</v>
      </c>
      <c r="J790" t="str">
        <f t="shared" si="12"/>
        <v>High</v>
      </c>
      <c r="K790">
        <f>dataset[[#This Row],[soda_sales]]/dataset[[#This Row],[soda_units_sold]]</f>
        <v>0.79158701018852073</v>
      </c>
      <c r="L790" s="29">
        <f>dataset[[#This Row],[implied_soda_ppu]]-dataset[[#This Row],[soda_ppu]]</f>
        <v>-1.2989811479235946E-5</v>
      </c>
      <c r="M790">
        <f>dataset[[#This Row],[soda_sales]]/dataset[[#This Row],[total_sales]]</f>
        <v>4.3251768761851897E-2</v>
      </c>
      <c r="N790">
        <f>LN(dataset[[#This Row],[soda_units_sold]])</f>
        <v>12.106186009707589</v>
      </c>
      <c r="O790">
        <f>LN(dataset[[#This Row],[soda_sales]])</f>
        <v>11.872470534754445</v>
      </c>
      <c r="P790">
        <f>LN(dataset[[#This Row],[soda_ppu]])</f>
        <v>-0.23369906525372644</v>
      </c>
      <c r="Q790">
        <f>IF(dataset[[#This Row],[state]]="VA",1,0)</f>
        <v>1</v>
      </c>
    </row>
    <row r="791" spans="1:17" x14ac:dyDescent="0.35">
      <c r="A791">
        <v>202410</v>
      </c>
      <c r="B791">
        <v>92</v>
      </c>
      <c r="C791" s="2">
        <v>4021402.767</v>
      </c>
      <c r="D791" s="2">
        <v>0.78459999999999996</v>
      </c>
      <c r="E791" s="3">
        <v>175623</v>
      </c>
      <c r="F791" s="2">
        <v>137789.21799999999</v>
      </c>
      <c r="G791" t="s">
        <v>2360</v>
      </c>
      <c r="H791" t="s">
        <v>3</v>
      </c>
      <c r="I791">
        <f>HLOOKUP(G791,zip_tiers!$A$1:$EON$2,2,FALSE)</f>
        <v>126832.33333333333</v>
      </c>
      <c r="J791" t="str">
        <f t="shared" si="12"/>
        <v>High</v>
      </c>
      <c r="K791">
        <f>dataset[[#This Row],[soda_sales]]/dataset[[#This Row],[soda_units_sold]]</f>
        <v>0.7845738769978875</v>
      </c>
      <c r="L791" s="29">
        <f>dataset[[#This Row],[implied_soda_ppu]]-dataset[[#This Row],[soda_ppu]]</f>
        <v>-2.6123002112465876E-5</v>
      </c>
      <c r="M791">
        <f>dataset[[#This Row],[soda_sales]]/dataset[[#This Row],[total_sales]]</f>
        <v>3.4263968566071265E-2</v>
      </c>
      <c r="N791">
        <f>LN(dataset[[#This Row],[soda_units_sold]])</f>
        <v>12.076094931104949</v>
      </c>
      <c r="O791">
        <f>LN(dataset[[#This Row],[soda_sales]])</f>
        <v>11.833480390668846</v>
      </c>
      <c r="P791">
        <f>LN(dataset[[#This Row],[soda_ppu]])</f>
        <v>-0.24258124520668492</v>
      </c>
      <c r="Q791">
        <f>IF(dataset[[#This Row],[state]]="VA",1,0)</f>
        <v>1</v>
      </c>
    </row>
    <row r="792" spans="1:17" x14ac:dyDescent="0.35">
      <c r="A792">
        <v>202411</v>
      </c>
      <c r="B792">
        <v>92</v>
      </c>
      <c r="C792" s="2">
        <v>4628777.6125999996</v>
      </c>
      <c r="D792" s="2">
        <v>0.81699999999999995</v>
      </c>
      <c r="E792" s="3">
        <v>161800</v>
      </c>
      <c r="F792" s="2">
        <v>132194.69649999999</v>
      </c>
      <c r="G792" t="s">
        <v>2360</v>
      </c>
      <c r="H792" t="s">
        <v>3</v>
      </c>
      <c r="I792">
        <f>HLOOKUP(G792,zip_tiers!$A$1:$EON$2,2,FALSE)</f>
        <v>126832.33333333333</v>
      </c>
      <c r="J792" t="str">
        <f t="shared" si="12"/>
        <v>High</v>
      </c>
      <c r="K792">
        <f>dataset[[#This Row],[soda_sales]]/dataset[[#This Row],[soda_units_sold]]</f>
        <v>0.81702531829419034</v>
      </c>
      <c r="L792" s="29">
        <f>dataset[[#This Row],[implied_soda_ppu]]-dataset[[#This Row],[soda_ppu]]</f>
        <v>2.5318294190390667E-5</v>
      </c>
      <c r="M792">
        <f>dataset[[#This Row],[soda_sales]]/dataset[[#This Row],[total_sales]]</f>
        <v>2.8559310376059695E-2</v>
      </c>
      <c r="N792">
        <f>LN(dataset[[#This Row],[soda_units_sold]])</f>
        <v>11.994116283606528</v>
      </c>
      <c r="O792">
        <f>LN(dataset[[#This Row],[soda_sales]])</f>
        <v>11.792031088348409</v>
      </c>
      <c r="P792">
        <f>LN(dataset[[#This Row],[soda_ppu]])</f>
        <v>-0.20211618412213422</v>
      </c>
      <c r="Q792">
        <f>IF(dataset[[#This Row],[state]]="VA",1,0)</f>
        <v>1</v>
      </c>
    </row>
    <row r="793" spans="1:17" x14ac:dyDescent="0.35">
      <c r="A793">
        <v>202412</v>
      </c>
      <c r="B793">
        <v>92</v>
      </c>
      <c r="C793" s="2">
        <v>4856093.5553000001</v>
      </c>
      <c r="D793" s="2">
        <v>0.80389999999999995</v>
      </c>
      <c r="E793" s="3">
        <v>159498</v>
      </c>
      <c r="F793" s="2">
        <v>128222.75229999999</v>
      </c>
      <c r="G793" t="s">
        <v>2360</v>
      </c>
      <c r="H793" t="s">
        <v>3</v>
      </c>
      <c r="I793">
        <f>HLOOKUP(G793,zip_tiers!$A$1:$EON$2,2,FALSE)</f>
        <v>126832.33333333333</v>
      </c>
      <c r="J793" t="str">
        <f t="shared" si="12"/>
        <v>High</v>
      </c>
      <c r="K793">
        <f>dataset[[#This Row],[soda_sales]]/dataset[[#This Row],[soda_units_sold]]</f>
        <v>0.80391448356719197</v>
      </c>
      <c r="L793" s="29">
        <f>dataset[[#This Row],[implied_soda_ppu]]-dataset[[#This Row],[soda_ppu]]</f>
        <v>1.4483567192025149E-5</v>
      </c>
      <c r="M793">
        <f>dataset[[#This Row],[soda_sales]]/dataset[[#This Row],[total_sales]]</f>
        <v>2.6404506181734514E-2</v>
      </c>
      <c r="N793">
        <f>LN(dataset[[#This Row],[soda_units_sold]])</f>
        <v>11.979786661943468</v>
      </c>
      <c r="O793">
        <f>LN(dataset[[#This Row],[soda_sales]])</f>
        <v>11.761524282760876</v>
      </c>
      <c r="P793">
        <f>LN(dataset[[#This Row],[soda_ppu]])</f>
        <v>-0.21828039564822196</v>
      </c>
      <c r="Q793">
        <f>IF(dataset[[#This Row],[state]]="VA",1,0)</f>
        <v>1</v>
      </c>
    </row>
    <row r="794" spans="1:17" x14ac:dyDescent="0.35">
      <c r="A794">
        <v>202201</v>
      </c>
      <c r="B794">
        <v>84</v>
      </c>
      <c r="C794" s="2">
        <v>2417628.1833000001</v>
      </c>
      <c r="D794" s="2">
        <v>0.71750000000000003</v>
      </c>
      <c r="E794" s="3">
        <v>131655</v>
      </c>
      <c r="F794" s="2">
        <v>94456.120800000004</v>
      </c>
      <c r="G794" t="s">
        <v>2385</v>
      </c>
      <c r="H794" t="s">
        <v>3</v>
      </c>
      <c r="I794">
        <f>HLOOKUP(G794,zip_tiers!$A$1:$EON$2,2,FALSE)</f>
        <v>111399</v>
      </c>
      <c r="J794" t="str">
        <f t="shared" si="12"/>
        <v>High</v>
      </c>
      <c r="K794">
        <f>dataset[[#This Row],[soda_sales]]/dataset[[#This Row],[soda_units_sold]]</f>
        <v>0.71745183092172726</v>
      </c>
      <c r="L794" s="29">
        <f>dataset[[#This Row],[implied_soda_ppu]]-dataset[[#This Row],[soda_ppu]]</f>
        <v>-4.8169078272763954E-5</v>
      </c>
      <c r="M794">
        <f>dataset[[#This Row],[soda_sales]]/dataset[[#This Row],[total_sales]]</f>
        <v>3.9069746726343106E-2</v>
      </c>
      <c r="N794">
        <f>LN(dataset[[#This Row],[soda_units_sold]])</f>
        <v>11.787940143694328</v>
      </c>
      <c r="O794">
        <f>LN(dataset[[#This Row],[soda_sales]])</f>
        <v>11.455890675488474</v>
      </c>
      <c r="P794">
        <f>LN(dataset[[#This Row],[soda_ppu]])</f>
        <v>-0.33198233134836086</v>
      </c>
      <c r="Q794">
        <f>IF(dataset[[#This Row],[state]]="VA",1,0)</f>
        <v>1</v>
      </c>
    </row>
    <row r="795" spans="1:17" x14ac:dyDescent="0.35">
      <c r="A795">
        <v>202202</v>
      </c>
      <c r="B795">
        <v>84</v>
      </c>
      <c r="C795" s="2">
        <v>2721628.4969000001</v>
      </c>
      <c r="D795" s="2">
        <v>0.75480000000000003</v>
      </c>
      <c r="E795" s="3">
        <v>141898</v>
      </c>
      <c r="F795" s="2">
        <v>107100.84209999999</v>
      </c>
      <c r="G795" t="s">
        <v>2385</v>
      </c>
      <c r="H795" t="s">
        <v>3</v>
      </c>
      <c r="I795">
        <f>HLOOKUP(G795,zip_tiers!$A$1:$EON$2,2,FALSE)</f>
        <v>111399</v>
      </c>
      <c r="J795" t="str">
        <f t="shared" si="12"/>
        <v>High</v>
      </c>
      <c r="K795">
        <f>dataset[[#This Row],[soda_sales]]/dataset[[#This Row],[soda_units_sold]]</f>
        <v>0.75477344360033261</v>
      </c>
      <c r="L795" s="29">
        <f>dataset[[#This Row],[implied_soda_ppu]]-dataset[[#This Row],[soda_ppu]]</f>
        <v>-2.6556399667421182E-5</v>
      </c>
      <c r="M795">
        <f>dataset[[#This Row],[soda_sales]]/dataset[[#This Row],[total_sales]]</f>
        <v>3.9351749227343268E-2</v>
      </c>
      <c r="N795">
        <f>LN(dataset[[#This Row],[soda_units_sold]])</f>
        <v>11.862863768616107</v>
      </c>
      <c r="O795">
        <f>LN(dataset[[#This Row],[soda_sales]])</f>
        <v>11.581526119150027</v>
      </c>
      <c r="P795">
        <f>LN(dataset[[#This Row],[soda_ppu]])</f>
        <v>-0.28130246548774185</v>
      </c>
      <c r="Q795">
        <f>IF(dataset[[#This Row],[state]]="VA",1,0)</f>
        <v>1</v>
      </c>
    </row>
    <row r="796" spans="1:17" x14ac:dyDescent="0.35">
      <c r="A796">
        <v>202203</v>
      </c>
      <c r="B796">
        <v>84</v>
      </c>
      <c r="C796" s="2">
        <v>2970174.3525999999</v>
      </c>
      <c r="D796" s="2">
        <v>0.75090000000000001</v>
      </c>
      <c r="E796" s="3">
        <v>165077</v>
      </c>
      <c r="F796" s="2">
        <v>123962.053</v>
      </c>
      <c r="G796" t="s">
        <v>2385</v>
      </c>
      <c r="H796" t="s">
        <v>3</v>
      </c>
      <c r="I796">
        <f>HLOOKUP(G796,zip_tiers!$A$1:$EON$2,2,FALSE)</f>
        <v>111399</v>
      </c>
      <c r="J796" t="str">
        <f t="shared" si="12"/>
        <v>High</v>
      </c>
      <c r="K796">
        <f>dataset[[#This Row],[soda_sales]]/dataset[[#This Row],[soda_units_sold]]</f>
        <v>0.75093473348800865</v>
      </c>
      <c r="L796" s="29">
        <f>dataset[[#This Row],[implied_soda_ppu]]-dataset[[#This Row],[soda_ppu]]</f>
        <v>3.473348800864251E-5</v>
      </c>
      <c r="M796">
        <f>dataset[[#This Row],[soda_sales]]/dataset[[#This Row],[total_sales]]</f>
        <v>4.1735614911457102E-2</v>
      </c>
      <c r="N796">
        <f>LN(dataset[[#This Row],[soda_units_sold]])</f>
        <v>12.01416731069436</v>
      </c>
      <c r="O796">
        <f>LN(dataset[[#This Row],[soda_sales]])</f>
        <v>11.727730773558667</v>
      </c>
      <c r="P796">
        <f>LN(dataset[[#This Row],[soda_ppu]])</f>
        <v>-0.28648279187629883</v>
      </c>
      <c r="Q796">
        <f>IF(dataset[[#This Row],[state]]="VA",1,0)</f>
        <v>1</v>
      </c>
    </row>
    <row r="797" spans="1:17" x14ac:dyDescent="0.35">
      <c r="A797">
        <v>202204</v>
      </c>
      <c r="B797">
        <v>84</v>
      </c>
      <c r="C797" s="2">
        <v>3138722.0408000001</v>
      </c>
      <c r="D797" s="2">
        <v>0.73760000000000003</v>
      </c>
      <c r="E797" s="3">
        <v>190438</v>
      </c>
      <c r="F797" s="2">
        <v>140469.30799999999</v>
      </c>
      <c r="G797" t="s">
        <v>2385</v>
      </c>
      <c r="H797" t="s">
        <v>3</v>
      </c>
      <c r="I797">
        <f>HLOOKUP(G797,zip_tiers!$A$1:$EON$2,2,FALSE)</f>
        <v>111399</v>
      </c>
      <c r="J797" t="str">
        <f t="shared" si="12"/>
        <v>High</v>
      </c>
      <c r="K797">
        <f>dataset[[#This Row],[soda_sales]]/dataset[[#This Row],[soda_units_sold]]</f>
        <v>0.73761175815751057</v>
      </c>
      <c r="L797" s="29">
        <f>dataset[[#This Row],[implied_soda_ppu]]-dataset[[#This Row],[soda_ppu]]</f>
        <v>1.1758157510532996E-5</v>
      </c>
      <c r="M797">
        <f>dataset[[#This Row],[soda_sales]]/dataset[[#This Row],[total_sales]]</f>
        <v>4.475366285196667E-2</v>
      </c>
      <c r="N797">
        <f>LN(dataset[[#This Row],[soda_units_sold]])</f>
        <v>12.15708196125793</v>
      </c>
      <c r="O797">
        <f>LN(dataset[[#This Row],[soda_sales]])</f>
        <v>11.852744295494034</v>
      </c>
      <c r="P797">
        <f>LN(dataset[[#This Row],[soda_ppu]])</f>
        <v>-0.30435360673975292</v>
      </c>
      <c r="Q797">
        <f>IF(dataset[[#This Row],[state]]="VA",1,0)</f>
        <v>1</v>
      </c>
    </row>
    <row r="798" spans="1:17" x14ac:dyDescent="0.35">
      <c r="A798">
        <v>202205</v>
      </c>
      <c r="B798">
        <v>84</v>
      </c>
      <c r="C798" s="2">
        <v>3369078.8610999999</v>
      </c>
      <c r="D798" s="2">
        <v>0.75409999999999999</v>
      </c>
      <c r="E798" s="3">
        <v>215542</v>
      </c>
      <c r="F798" s="2">
        <v>162531.139</v>
      </c>
      <c r="G798" t="s">
        <v>2385</v>
      </c>
      <c r="H798" t="s">
        <v>3</v>
      </c>
      <c r="I798">
        <f>HLOOKUP(G798,zip_tiers!$A$1:$EON$2,2,FALSE)</f>
        <v>111399</v>
      </c>
      <c r="J798" t="str">
        <f t="shared" si="12"/>
        <v>High</v>
      </c>
      <c r="K798">
        <f>dataset[[#This Row],[soda_sales]]/dataset[[#This Row],[soda_units_sold]]</f>
        <v>0.75405785879318177</v>
      </c>
      <c r="L798" s="29">
        <f>dataset[[#This Row],[implied_soda_ppu]]-dataset[[#This Row],[soda_ppu]]</f>
        <v>-4.2141206818224752E-5</v>
      </c>
      <c r="M798">
        <f>dataset[[#This Row],[soda_sales]]/dataset[[#This Row],[total_sales]]</f>
        <v>4.8242010858402344E-2</v>
      </c>
      <c r="N798">
        <f>LN(dataset[[#This Row],[soda_units_sold]])</f>
        <v>12.280911065127908</v>
      </c>
      <c r="O798">
        <f>LN(dataset[[#This Row],[soda_sales]])</f>
        <v>11.998624887009662</v>
      </c>
      <c r="P798">
        <f>LN(dataset[[#This Row],[soda_ppu]])</f>
        <v>-0.2822302937735357</v>
      </c>
      <c r="Q798">
        <f>IF(dataset[[#This Row],[state]]="VA",1,0)</f>
        <v>1</v>
      </c>
    </row>
    <row r="799" spans="1:17" x14ac:dyDescent="0.35">
      <c r="A799">
        <v>202206</v>
      </c>
      <c r="B799">
        <v>84</v>
      </c>
      <c r="C799" s="2">
        <v>3212977.5388000002</v>
      </c>
      <c r="D799" s="2">
        <v>0.73660000000000003</v>
      </c>
      <c r="E799" s="3">
        <v>229708</v>
      </c>
      <c r="F799" s="2">
        <v>169194.17019999999</v>
      </c>
      <c r="G799" t="s">
        <v>2385</v>
      </c>
      <c r="H799" t="s">
        <v>3</v>
      </c>
      <c r="I799">
        <f>HLOOKUP(G799,zip_tiers!$A$1:$EON$2,2,FALSE)</f>
        <v>111399</v>
      </c>
      <c r="J799" t="str">
        <f t="shared" si="12"/>
        <v>High</v>
      </c>
      <c r="K799">
        <f>dataset[[#This Row],[soda_sales]]/dataset[[#This Row],[soda_units_sold]]</f>
        <v>0.73656194037647793</v>
      </c>
      <c r="L799" s="29">
        <f>dataset[[#This Row],[implied_soda_ppu]]-dataset[[#This Row],[soda_ppu]]</f>
        <v>-3.8059623522102015E-5</v>
      </c>
      <c r="M799">
        <f>dataset[[#This Row],[soda_sales]]/dataset[[#This Row],[total_sales]]</f>
        <v>5.2659618113356475E-2</v>
      </c>
      <c r="N799">
        <f>LN(dataset[[#This Row],[soda_units_sold]])</f>
        <v>12.344564216107278</v>
      </c>
      <c r="O799">
        <f>LN(dataset[[#This Row],[soda_sales]])</f>
        <v>12.038802270477927</v>
      </c>
      <c r="P799">
        <f>LN(dataset[[#This Row],[soda_ppu]])</f>
        <v>-0.30571027497117209</v>
      </c>
      <c r="Q799">
        <f>IF(dataset[[#This Row],[state]]="VA",1,0)</f>
        <v>1</v>
      </c>
    </row>
    <row r="800" spans="1:17" x14ac:dyDescent="0.35">
      <c r="A800">
        <v>202207</v>
      </c>
      <c r="B800">
        <v>84</v>
      </c>
      <c r="C800" s="2">
        <v>3040788.2744999998</v>
      </c>
      <c r="D800" s="2">
        <v>0.74990000000000001</v>
      </c>
      <c r="E800" s="3">
        <v>233284</v>
      </c>
      <c r="F800" s="2">
        <v>174951.13370000001</v>
      </c>
      <c r="G800" t="s">
        <v>2385</v>
      </c>
      <c r="H800" t="s">
        <v>3</v>
      </c>
      <c r="I800">
        <f>HLOOKUP(G800,zip_tiers!$A$1:$EON$2,2,FALSE)</f>
        <v>111399</v>
      </c>
      <c r="J800" t="str">
        <f t="shared" si="12"/>
        <v>High</v>
      </c>
      <c r="K800">
        <f>dataset[[#This Row],[soda_sales]]/dataset[[#This Row],[soda_units_sold]]</f>
        <v>0.74994913367397675</v>
      </c>
      <c r="L800" s="29">
        <f>dataset[[#This Row],[implied_soda_ppu]]-dataset[[#This Row],[soda_ppu]]</f>
        <v>4.9133673976742287E-5</v>
      </c>
      <c r="M800">
        <f>dataset[[#This Row],[soda_sales]]/dataset[[#This Row],[total_sales]]</f>
        <v>5.7534796212921929E-2</v>
      </c>
      <c r="N800">
        <f>LN(dataset[[#This Row],[soda_units_sold]])</f>
        <v>12.360011874431832</v>
      </c>
      <c r="O800">
        <f>LN(dataset[[#This Row],[soda_sales]])</f>
        <v>12.072261977912021</v>
      </c>
      <c r="P800">
        <f>LN(dataset[[#This Row],[soda_ppu]])</f>
        <v>-0.28781541467479332</v>
      </c>
      <c r="Q800">
        <f>IF(dataset[[#This Row],[state]]="VA",1,0)</f>
        <v>1</v>
      </c>
    </row>
    <row r="801" spans="1:17" x14ac:dyDescent="0.35">
      <c r="A801">
        <v>202208</v>
      </c>
      <c r="B801">
        <v>84</v>
      </c>
      <c r="C801" s="2">
        <v>2878627.8391</v>
      </c>
      <c r="D801" s="2">
        <v>0.74070000000000003</v>
      </c>
      <c r="E801" s="3">
        <v>203084</v>
      </c>
      <c r="F801" s="2">
        <v>150432.07999999999</v>
      </c>
      <c r="G801" t="s">
        <v>2385</v>
      </c>
      <c r="H801" t="s">
        <v>3</v>
      </c>
      <c r="I801">
        <f>HLOOKUP(G801,zip_tiers!$A$1:$EON$2,2,FALSE)</f>
        <v>111399</v>
      </c>
      <c r="J801" t="str">
        <f t="shared" si="12"/>
        <v>High</v>
      </c>
      <c r="K801">
        <f>dataset[[#This Row],[soda_sales]]/dataset[[#This Row],[soda_units_sold]]</f>
        <v>0.74073821669850892</v>
      </c>
      <c r="L801" s="29">
        <f>dataset[[#This Row],[implied_soda_ppu]]-dataset[[#This Row],[soda_ppu]]</f>
        <v>3.8216698508897196E-5</v>
      </c>
      <c r="M801">
        <f>dataset[[#This Row],[soda_sales]]/dataset[[#This Row],[total_sales]]</f>
        <v>5.2258259284754374E-2</v>
      </c>
      <c r="N801">
        <f>LN(dataset[[#This Row],[soda_units_sold]])</f>
        <v>12.221374965538617</v>
      </c>
      <c r="O801">
        <f>LN(dataset[[#This Row],[soda_sales]])</f>
        <v>11.92126696562546</v>
      </c>
      <c r="P801">
        <f>LN(dataset[[#This Row],[soda_ppu]])</f>
        <v>-0.30015959396289349</v>
      </c>
      <c r="Q801">
        <f>IF(dataset[[#This Row],[state]]="VA",1,0)</f>
        <v>1</v>
      </c>
    </row>
    <row r="802" spans="1:17" x14ac:dyDescent="0.35">
      <c r="A802">
        <v>202209</v>
      </c>
      <c r="B802">
        <v>84</v>
      </c>
      <c r="C802" s="2">
        <v>2848690.4473999999</v>
      </c>
      <c r="D802" s="2">
        <v>0.77380000000000004</v>
      </c>
      <c r="E802" s="3">
        <v>183413</v>
      </c>
      <c r="F802" s="2">
        <v>141926.70360000001</v>
      </c>
      <c r="G802" t="s">
        <v>2385</v>
      </c>
      <c r="H802" t="s">
        <v>3</v>
      </c>
      <c r="I802">
        <f>HLOOKUP(G802,zip_tiers!$A$1:$EON$2,2,FALSE)</f>
        <v>111399</v>
      </c>
      <c r="J802" t="str">
        <f t="shared" si="12"/>
        <v>High</v>
      </c>
      <c r="K802">
        <f>dataset[[#This Row],[soda_sales]]/dataset[[#This Row],[soda_units_sold]]</f>
        <v>0.77380940064226644</v>
      </c>
      <c r="L802" s="29">
        <f>dataset[[#This Row],[implied_soda_ppu]]-dataset[[#This Row],[soda_ppu]]</f>
        <v>9.4006422663994726E-6</v>
      </c>
      <c r="M802">
        <f>dataset[[#This Row],[soda_sales]]/dataset[[#This Row],[total_sales]]</f>
        <v>4.9821736064561362E-2</v>
      </c>
      <c r="N802">
        <f>LN(dataset[[#This Row],[soda_units_sold]])</f>
        <v>12.119495719607556</v>
      </c>
      <c r="O802">
        <f>LN(dataset[[#This Row],[soda_sales]])</f>
        <v>11.863066031489872</v>
      </c>
      <c r="P802">
        <f>LN(dataset[[#This Row],[soda_ppu]])</f>
        <v>-0.2564418367157244</v>
      </c>
      <c r="Q802">
        <f>IF(dataset[[#This Row],[state]]="VA",1,0)</f>
        <v>1</v>
      </c>
    </row>
    <row r="803" spans="1:17" x14ac:dyDescent="0.35">
      <c r="A803">
        <v>202210</v>
      </c>
      <c r="B803">
        <v>84</v>
      </c>
      <c r="C803" s="2">
        <v>3517492.7502000001</v>
      </c>
      <c r="D803" s="2">
        <v>0.75780000000000003</v>
      </c>
      <c r="E803" s="3">
        <v>182159</v>
      </c>
      <c r="F803" s="2">
        <v>138046.3879</v>
      </c>
      <c r="G803" t="s">
        <v>2385</v>
      </c>
      <c r="H803" t="s">
        <v>3</v>
      </c>
      <c r="I803">
        <f>HLOOKUP(G803,zip_tiers!$A$1:$EON$2,2,FALSE)</f>
        <v>111399</v>
      </c>
      <c r="J803" t="str">
        <f t="shared" si="12"/>
        <v>High</v>
      </c>
      <c r="K803">
        <f>dataset[[#This Row],[soda_sales]]/dataset[[#This Row],[soda_units_sold]]</f>
        <v>0.75783457254376674</v>
      </c>
      <c r="L803" s="29">
        <f>dataset[[#This Row],[implied_soda_ppu]]-dataset[[#This Row],[soda_ppu]]</f>
        <v>3.4572543766708819E-5</v>
      </c>
      <c r="M803">
        <f>dataset[[#This Row],[soda_sales]]/dataset[[#This Row],[total_sales]]</f>
        <v>3.924567801657896E-2</v>
      </c>
      <c r="N803">
        <f>LN(dataset[[#This Row],[soda_units_sold]])</f>
        <v>12.11263521104315</v>
      </c>
      <c r="O803">
        <f>LN(dataset[[#This Row],[soda_sales]])</f>
        <v>11.835345051858436</v>
      </c>
      <c r="P803">
        <f>LN(dataset[[#This Row],[soda_ppu]])</f>
        <v>-0.27733578039763657</v>
      </c>
      <c r="Q803">
        <f>IF(dataset[[#This Row],[state]]="VA",1,0)</f>
        <v>1</v>
      </c>
    </row>
    <row r="804" spans="1:17" x14ac:dyDescent="0.35">
      <c r="A804">
        <v>202211</v>
      </c>
      <c r="B804">
        <v>84</v>
      </c>
      <c r="C804" s="2">
        <v>4092424.2390999999</v>
      </c>
      <c r="D804" s="2">
        <v>0.74719999999999998</v>
      </c>
      <c r="E804" s="3">
        <v>176721</v>
      </c>
      <c r="F804" s="2">
        <v>132044.1453</v>
      </c>
      <c r="G804" t="s">
        <v>2385</v>
      </c>
      <c r="H804" t="s">
        <v>3</v>
      </c>
      <c r="I804">
        <f>HLOOKUP(G804,zip_tiers!$A$1:$EON$2,2,FALSE)</f>
        <v>111399</v>
      </c>
      <c r="J804" t="str">
        <f t="shared" si="12"/>
        <v>High</v>
      </c>
      <c r="K804">
        <f>dataset[[#This Row],[soda_sales]]/dataset[[#This Row],[soda_units_sold]]</f>
        <v>0.74718989424007332</v>
      </c>
      <c r="L804" s="29">
        <f>dataset[[#This Row],[implied_soda_ppu]]-dataset[[#This Row],[soda_ppu]]</f>
        <v>-1.010575992665963E-5</v>
      </c>
      <c r="M804">
        <f>dataset[[#This Row],[soda_sales]]/dataset[[#This Row],[total_sales]]</f>
        <v>3.2265507578226778E-2</v>
      </c>
      <c r="N804">
        <f>LN(dataset[[#This Row],[soda_units_sold]])</f>
        <v>12.08232749674707</v>
      </c>
      <c r="O804">
        <f>LN(dataset[[#This Row],[soda_sales]])</f>
        <v>11.790891579748802</v>
      </c>
      <c r="P804">
        <f>LN(dataset[[#This Row],[soda_ppu]])</f>
        <v>-0.2914223920675042</v>
      </c>
      <c r="Q804">
        <f>IF(dataset[[#This Row],[state]]="VA",1,0)</f>
        <v>1</v>
      </c>
    </row>
    <row r="805" spans="1:17" x14ac:dyDescent="0.35">
      <c r="A805">
        <v>202212</v>
      </c>
      <c r="B805">
        <v>84</v>
      </c>
      <c r="C805" s="2">
        <v>4175282.0413000002</v>
      </c>
      <c r="D805" s="2">
        <v>0.748</v>
      </c>
      <c r="E805" s="3">
        <v>170278</v>
      </c>
      <c r="F805" s="2">
        <v>127376.242</v>
      </c>
      <c r="G805" t="s">
        <v>2385</v>
      </c>
      <c r="H805" t="s">
        <v>3</v>
      </c>
      <c r="I805">
        <f>HLOOKUP(G805,zip_tiers!$A$1:$EON$2,2,FALSE)</f>
        <v>111399</v>
      </c>
      <c r="J805" t="str">
        <f t="shared" si="12"/>
        <v>High</v>
      </c>
      <c r="K805">
        <f>dataset[[#This Row],[soda_sales]]/dataset[[#This Row],[soda_units_sold]]</f>
        <v>0.74804873207343281</v>
      </c>
      <c r="L805" s="29">
        <f>dataset[[#This Row],[implied_soda_ppu]]-dataset[[#This Row],[soda_ppu]]</f>
        <v>4.8732073432811163E-5</v>
      </c>
      <c r="M805">
        <f>dataset[[#This Row],[soda_sales]]/dataset[[#This Row],[total_sales]]</f>
        <v>3.0507218611833132E-2</v>
      </c>
      <c r="N805">
        <f>LN(dataset[[#This Row],[soda_units_sold]])</f>
        <v>12.045187674512528</v>
      </c>
      <c r="O805">
        <f>LN(dataset[[#This Row],[soda_sales]])</f>
        <v>11.754900521213504</v>
      </c>
      <c r="P805">
        <f>LN(dataset[[#This Row],[soda_ppu]])</f>
        <v>-0.2903523010076598</v>
      </c>
      <c r="Q805">
        <f>IF(dataset[[#This Row],[state]]="VA",1,0)</f>
        <v>1</v>
      </c>
    </row>
    <row r="806" spans="1:17" x14ac:dyDescent="0.35">
      <c r="A806">
        <v>202301</v>
      </c>
      <c r="B806">
        <v>84</v>
      </c>
      <c r="C806" s="2">
        <v>2420425.8605</v>
      </c>
      <c r="D806" s="2">
        <v>0.77510000000000001</v>
      </c>
      <c r="E806" s="3">
        <v>120713</v>
      </c>
      <c r="F806" s="2">
        <v>93564.372300000003</v>
      </c>
      <c r="G806" t="s">
        <v>2385</v>
      </c>
      <c r="H806" t="s">
        <v>3</v>
      </c>
      <c r="I806">
        <f>HLOOKUP(G806,zip_tiers!$A$1:$EON$2,2,FALSE)</f>
        <v>111399</v>
      </c>
      <c r="J806" t="str">
        <f t="shared" si="12"/>
        <v>High</v>
      </c>
      <c r="K806">
        <f>dataset[[#This Row],[soda_sales]]/dataset[[#This Row],[soda_units_sold]]</f>
        <v>0.77509773015333894</v>
      </c>
      <c r="L806" s="29">
        <f>dataset[[#This Row],[implied_soda_ppu]]-dataset[[#This Row],[soda_ppu]]</f>
        <v>-2.2698466610737711E-6</v>
      </c>
      <c r="M806">
        <f>dataset[[#This Row],[soda_sales]]/dataset[[#This Row],[total_sales]]</f>
        <v>3.8656161226385148E-2</v>
      </c>
      <c r="N806">
        <f>LN(dataset[[#This Row],[soda_units_sold]])</f>
        <v>11.701171106339702</v>
      </c>
      <c r="O806">
        <f>LN(dataset[[#This Row],[soda_sales]])</f>
        <v>11.446404952184206</v>
      </c>
      <c r="P806">
        <f>LN(dataset[[#This Row],[soda_ppu]])</f>
        <v>-0.2547632256946713</v>
      </c>
      <c r="Q806">
        <f>IF(dataset[[#This Row],[state]]="VA",1,0)</f>
        <v>1</v>
      </c>
    </row>
    <row r="807" spans="1:17" x14ac:dyDescent="0.35">
      <c r="A807">
        <v>202302</v>
      </c>
      <c r="B807">
        <v>84</v>
      </c>
      <c r="C807" s="2">
        <v>2782363.7576000001</v>
      </c>
      <c r="D807" s="2">
        <v>0.73750000000000004</v>
      </c>
      <c r="E807" s="3">
        <v>142867</v>
      </c>
      <c r="F807" s="2">
        <v>105368.71950000001</v>
      </c>
      <c r="G807" t="s">
        <v>2385</v>
      </c>
      <c r="H807" t="s">
        <v>3</v>
      </c>
      <c r="I807">
        <f>HLOOKUP(G807,zip_tiers!$A$1:$EON$2,2,FALSE)</f>
        <v>111399</v>
      </c>
      <c r="J807" t="str">
        <f t="shared" si="12"/>
        <v>High</v>
      </c>
      <c r="K807">
        <f>dataset[[#This Row],[soda_sales]]/dataset[[#This Row],[soda_units_sold]]</f>
        <v>0.73753014691986263</v>
      </c>
      <c r="L807" s="29">
        <f>dataset[[#This Row],[implied_soda_ppu]]-dataset[[#This Row],[soda_ppu]]</f>
        <v>3.0146919862583665E-5</v>
      </c>
      <c r="M807">
        <f>dataset[[#This Row],[soda_sales]]/dataset[[#This Row],[total_sales]]</f>
        <v>3.7870217081496391E-2</v>
      </c>
      <c r="N807">
        <f>LN(dataset[[#This Row],[soda_units_sold]])</f>
        <v>11.869669406528571</v>
      </c>
      <c r="O807">
        <f>LN(dataset[[#This Row],[soda_sales]])</f>
        <v>11.565221092104434</v>
      </c>
      <c r="P807">
        <f>LN(dataset[[#This Row],[soda_ppu]])</f>
        <v>-0.30448919076816211</v>
      </c>
      <c r="Q807">
        <f>IF(dataset[[#This Row],[state]]="VA",1,0)</f>
        <v>1</v>
      </c>
    </row>
    <row r="808" spans="1:17" x14ac:dyDescent="0.35">
      <c r="A808">
        <v>202303</v>
      </c>
      <c r="B808">
        <v>84</v>
      </c>
      <c r="C808" s="2">
        <v>2992899.9574000002</v>
      </c>
      <c r="D808" s="2">
        <v>0.76280000000000003</v>
      </c>
      <c r="E808" s="3">
        <v>161958</v>
      </c>
      <c r="F808" s="2">
        <v>123549.1292</v>
      </c>
      <c r="G808" t="s">
        <v>2385</v>
      </c>
      <c r="H808" t="s">
        <v>3</v>
      </c>
      <c r="I808">
        <f>HLOOKUP(G808,zip_tiers!$A$1:$EON$2,2,FALSE)</f>
        <v>111399</v>
      </c>
      <c r="J808" t="str">
        <f t="shared" si="12"/>
        <v>High</v>
      </c>
      <c r="K808">
        <f>dataset[[#This Row],[soda_sales]]/dataset[[#This Row],[soda_units_sold]]</f>
        <v>0.76284672075476356</v>
      </c>
      <c r="L808" s="29">
        <f>dataset[[#This Row],[implied_soda_ppu]]-dataset[[#This Row],[soda_ppu]]</f>
        <v>4.6720754763529548E-5</v>
      </c>
      <c r="M808">
        <f>dataset[[#This Row],[soda_sales]]/dataset[[#This Row],[total_sales]]</f>
        <v>4.1280741407517647E-2</v>
      </c>
      <c r="N808">
        <f>LN(dataset[[#This Row],[soda_units_sold]])</f>
        <v>11.995092321341771</v>
      </c>
      <c r="O808">
        <f>LN(dataset[[#This Row],[soda_sales]])</f>
        <v>11.724394163233278</v>
      </c>
      <c r="P808">
        <f>LN(dataset[[#This Row],[soda_ppu]])</f>
        <v>-0.270759405255873</v>
      </c>
      <c r="Q808">
        <f>IF(dataset[[#This Row],[state]]="VA",1,0)</f>
        <v>1</v>
      </c>
    </row>
    <row r="809" spans="1:17" x14ac:dyDescent="0.35">
      <c r="A809">
        <v>202304</v>
      </c>
      <c r="B809">
        <v>84</v>
      </c>
      <c r="C809" s="2">
        <v>3194469.4471999998</v>
      </c>
      <c r="D809" s="2">
        <v>0.77629999999999999</v>
      </c>
      <c r="E809" s="3">
        <v>186549</v>
      </c>
      <c r="F809" s="2">
        <v>144815.36809999999</v>
      </c>
      <c r="G809" t="s">
        <v>2385</v>
      </c>
      <c r="H809" t="s">
        <v>3</v>
      </c>
      <c r="I809">
        <f>HLOOKUP(G809,zip_tiers!$A$1:$EON$2,2,FALSE)</f>
        <v>111399</v>
      </c>
      <c r="J809" t="str">
        <f t="shared" si="12"/>
        <v>High</v>
      </c>
      <c r="K809">
        <f>dataset[[#This Row],[soda_sales]]/dataset[[#This Row],[soda_units_sold]]</f>
        <v>0.7762859522163077</v>
      </c>
      <c r="L809" s="29">
        <f>dataset[[#This Row],[implied_soda_ppu]]-dataset[[#This Row],[soda_ppu]]</f>
        <v>-1.4047783692294757E-5</v>
      </c>
      <c r="M809">
        <f>dataset[[#This Row],[soda_sales]]/dataset[[#This Row],[total_sales]]</f>
        <v>4.5333151715360065E-2</v>
      </c>
      <c r="N809">
        <f>LN(dataset[[#This Row],[soda_units_sold]])</f>
        <v>12.13644921814177</v>
      </c>
      <c r="O809">
        <f>LN(dataset[[#This Row],[soda_sales]])</f>
        <v>11.883214886589307</v>
      </c>
      <c r="P809">
        <f>LN(dataset[[#This Row],[soda_ppu]])</f>
        <v>-0.25321623557050243</v>
      </c>
      <c r="Q809">
        <f>IF(dataset[[#This Row],[state]]="VA",1,0)</f>
        <v>1</v>
      </c>
    </row>
    <row r="810" spans="1:17" x14ac:dyDescent="0.35">
      <c r="A810">
        <v>202305</v>
      </c>
      <c r="B810">
        <v>84</v>
      </c>
      <c r="C810" s="2">
        <v>3415414.5414999998</v>
      </c>
      <c r="D810" s="2">
        <v>0.72399999999999998</v>
      </c>
      <c r="E810" s="3">
        <v>220826</v>
      </c>
      <c r="F810" s="2">
        <v>159882.09890000001</v>
      </c>
      <c r="G810" t="s">
        <v>2385</v>
      </c>
      <c r="H810" t="s">
        <v>3</v>
      </c>
      <c r="I810">
        <f>HLOOKUP(G810,zip_tiers!$A$1:$EON$2,2,FALSE)</f>
        <v>111399</v>
      </c>
      <c r="J810" t="str">
        <f t="shared" si="12"/>
        <v>High</v>
      </c>
      <c r="K810">
        <f>dataset[[#This Row],[soda_sales]]/dataset[[#This Row],[soda_units_sold]]</f>
        <v>0.72401845299013712</v>
      </c>
      <c r="L810" s="29">
        <f>dataset[[#This Row],[implied_soda_ppu]]-dataset[[#This Row],[soda_ppu]]</f>
        <v>1.8452990137141079E-5</v>
      </c>
      <c r="M810">
        <f>dataset[[#This Row],[soda_sales]]/dataset[[#This Row],[total_sales]]</f>
        <v>4.6811916081431842E-2</v>
      </c>
      <c r="N810">
        <f>LN(dataset[[#This Row],[soda_units_sold]])</f>
        <v>12.305130340075852</v>
      </c>
      <c r="O810">
        <f>LN(dataset[[#This Row],[soda_sales]])</f>
        <v>11.982191940710067</v>
      </c>
      <c r="P810">
        <f>LN(dataset[[#This Row],[soda_ppu]])</f>
        <v>-0.32296388659642072</v>
      </c>
      <c r="Q810">
        <f>IF(dataset[[#This Row],[state]]="VA",1,0)</f>
        <v>1</v>
      </c>
    </row>
    <row r="811" spans="1:17" x14ac:dyDescent="0.35">
      <c r="A811">
        <v>202306</v>
      </c>
      <c r="B811">
        <v>84</v>
      </c>
      <c r="C811" s="2">
        <v>3222537.6206</v>
      </c>
      <c r="D811" s="2">
        <v>0.72170000000000001</v>
      </c>
      <c r="E811" s="3">
        <v>226131</v>
      </c>
      <c r="F811" s="2">
        <v>163199.7242</v>
      </c>
      <c r="G811" t="s">
        <v>2385</v>
      </c>
      <c r="H811" t="s">
        <v>3</v>
      </c>
      <c r="I811">
        <f>HLOOKUP(G811,zip_tiers!$A$1:$EON$2,2,FALSE)</f>
        <v>111399</v>
      </c>
      <c r="J811" t="str">
        <f t="shared" si="12"/>
        <v>High</v>
      </c>
      <c r="K811">
        <f>dataset[[#This Row],[soda_sales]]/dataset[[#This Row],[soda_units_sold]]</f>
        <v>0.72170434040445586</v>
      </c>
      <c r="L811" s="29">
        <f>dataset[[#This Row],[implied_soda_ppu]]-dataset[[#This Row],[soda_ppu]]</f>
        <v>4.3404044558492672E-6</v>
      </c>
      <c r="M811">
        <f>dataset[[#This Row],[soda_sales]]/dataset[[#This Row],[total_sales]]</f>
        <v>5.0643233195091161E-2</v>
      </c>
      <c r="N811">
        <f>LN(dataset[[#This Row],[soda_units_sold]])</f>
        <v>12.328869756342259</v>
      </c>
      <c r="O811">
        <f>LN(dataset[[#This Row],[soda_sales]])</f>
        <v>12.002730031559736</v>
      </c>
      <c r="P811">
        <f>LN(dataset[[#This Row],[soda_ppu]])</f>
        <v>-0.32614573890390952</v>
      </c>
      <c r="Q811">
        <f>IF(dataset[[#This Row],[state]]="VA",1,0)</f>
        <v>1</v>
      </c>
    </row>
    <row r="812" spans="1:17" x14ac:dyDescent="0.35">
      <c r="A812">
        <v>202307</v>
      </c>
      <c r="B812">
        <v>84</v>
      </c>
      <c r="C812" s="2">
        <v>3070635.3939</v>
      </c>
      <c r="D812" s="2">
        <v>0.75660000000000005</v>
      </c>
      <c r="E812" s="3">
        <v>228713</v>
      </c>
      <c r="F812" s="2">
        <v>173055.14720000001</v>
      </c>
      <c r="G812" t="s">
        <v>2385</v>
      </c>
      <c r="H812" t="s">
        <v>3</v>
      </c>
      <c r="I812">
        <f>HLOOKUP(G812,zip_tiers!$A$1:$EON$2,2,FALSE)</f>
        <v>111399</v>
      </c>
      <c r="J812" t="str">
        <f t="shared" si="12"/>
        <v>High</v>
      </c>
      <c r="K812">
        <f>dataset[[#This Row],[soda_sales]]/dataset[[#This Row],[soda_units_sold]]</f>
        <v>0.75664762038012712</v>
      </c>
      <c r="L812" s="29">
        <f>dataset[[#This Row],[implied_soda_ppu]]-dataset[[#This Row],[soda_ppu]]</f>
        <v>4.762038012706693E-5</v>
      </c>
      <c r="M812">
        <f>dataset[[#This Row],[soda_sales]]/dataset[[#This Row],[total_sales]]</f>
        <v>5.6358090427728526E-2</v>
      </c>
      <c r="N812">
        <f>LN(dataset[[#This Row],[soda_units_sold]])</f>
        <v>12.340223221421168</v>
      </c>
      <c r="O812">
        <f>LN(dataset[[#This Row],[soda_sales]])</f>
        <v>12.061365592625769</v>
      </c>
      <c r="P812">
        <f>LN(dataset[[#This Row],[soda_ppu]])</f>
        <v>-0.27892056678320809</v>
      </c>
      <c r="Q812">
        <f>IF(dataset[[#This Row],[state]]="VA",1,0)</f>
        <v>1</v>
      </c>
    </row>
    <row r="813" spans="1:17" x14ac:dyDescent="0.35">
      <c r="A813">
        <v>202308</v>
      </c>
      <c r="B813">
        <v>84</v>
      </c>
      <c r="C813" s="2">
        <v>2852002.7965000002</v>
      </c>
      <c r="D813" s="2">
        <v>0.74160000000000004</v>
      </c>
      <c r="E813" s="3">
        <v>198899</v>
      </c>
      <c r="F813" s="2">
        <v>147501.22959999999</v>
      </c>
      <c r="G813" t="s">
        <v>2385</v>
      </c>
      <c r="H813" t="s">
        <v>3</v>
      </c>
      <c r="I813">
        <f>HLOOKUP(G813,zip_tiers!$A$1:$EON$2,2,FALSE)</f>
        <v>111399</v>
      </c>
      <c r="J813" t="str">
        <f t="shared" si="12"/>
        <v>High</v>
      </c>
      <c r="K813">
        <f>dataset[[#This Row],[soda_sales]]/dataset[[#This Row],[soda_units_sold]]</f>
        <v>0.74158859320559678</v>
      </c>
      <c r="L813" s="29">
        <f>dataset[[#This Row],[implied_soda_ppu]]-dataset[[#This Row],[soda_ppu]]</f>
        <v>-1.1406794403256981E-5</v>
      </c>
      <c r="M813">
        <f>dataset[[#This Row],[soda_sales]]/dataset[[#This Row],[total_sales]]</f>
        <v>5.1718472990634735E-2</v>
      </c>
      <c r="N813">
        <f>LN(dataset[[#This Row],[soda_units_sold]])</f>
        <v>12.200552437177338</v>
      </c>
      <c r="O813">
        <f>LN(dataset[[#This Row],[soda_sales]])</f>
        <v>11.901591790998451</v>
      </c>
      <c r="P813">
        <f>LN(dataset[[#This Row],[soda_ppu]])</f>
        <v>-0.2989452647304916</v>
      </c>
      <c r="Q813">
        <f>IF(dataset[[#This Row],[state]]="VA",1,0)</f>
        <v>1</v>
      </c>
    </row>
    <row r="814" spans="1:17" x14ac:dyDescent="0.35">
      <c r="A814">
        <v>202309</v>
      </c>
      <c r="B814">
        <v>84</v>
      </c>
      <c r="C814" s="2">
        <v>2901564.9659000002</v>
      </c>
      <c r="D814" s="2">
        <v>0.76439999999999997</v>
      </c>
      <c r="E814" s="3">
        <v>191768</v>
      </c>
      <c r="F814" s="2">
        <v>146581.3498</v>
      </c>
      <c r="G814" t="s">
        <v>2385</v>
      </c>
      <c r="H814" t="s">
        <v>3</v>
      </c>
      <c r="I814">
        <f>HLOOKUP(G814,zip_tiers!$A$1:$EON$2,2,FALSE)</f>
        <v>111399</v>
      </c>
      <c r="J814" t="str">
        <f t="shared" si="12"/>
        <v>High</v>
      </c>
      <c r="K814">
        <f>dataset[[#This Row],[soda_sales]]/dataset[[#This Row],[soda_units_sold]]</f>
        <v>0.76436814171290313</v>
      </c>
      <c r="L814" s="29">
        <f>dataset[[#This Row],[implied_soda_ppu]]-dataset[[#This Row],[soda_ppu]]</f>
        <v>-3.185828709684202E-5</v>
      </c>
      <c r="M814">
        <f>dataset[[#This Row],[soda_sales]]/dataset[[#This Row],[total_sales]]</f>
        <v>5.0518031311607654E-2</v>
      </c>
      <c r="N814">
        <f>LN(dataset[[#This Row],[soda_units_sold]])</f>
        <v>12.164041587053246</v>
      </c>
      <c r="O814">
        <f>LN(dataset[[#This Row],[soda_sales]])</f>
        <v>11.895335842060719</v>
      </c>
      <c r="P814">
        <f>LN(dataset[[#This Row],[soda_ppu]])</f>
        <v>-0.2686640666160191</v>
      </c>
      <c r="Q814">
        <f>IF(dataset[[#This Row],[state]]="VA",1,0)</f>
        <v>1</v>
      </c>
    </row>
    <row r="815" spans="1:17" x14ac:dyDescent="0.35">
      <c r="A815">
        <v>202310</v>
      </c>
      <c r="B815">
        <v>84</v>
      </c>
      <c r="C815" s="2">
        <v>3578696.4761999999</v>
      </c>
      <c r="D815" s="2">
        <v>0.73970000000000002</v>
      </c>
      <c r="E815" s="3">
        <v>188252</v>
      </c>
      <c r="F815" s="2">
        <v>139242.2139</v>
      </c>
      <c r="G815" t="s">
        <v>2385</v>
      </c>
      <c r="H815" t="s">
        <v>3</v>
      </c>
      <c r="I815">
        <f>HLOOKUP(G815,zip_tiers!$A$1:$EON$2,2,FALSE)</f>
        <v>111399</v>
      </c>
      <c r="J815" t="str">
        <f t="shared" si="12"/>
        <v>High</v>
      </c>
      <c r="K815">
        <f>dataset[[#This Row],[soda_sales]]/dataset[[#This Row],[soda_units_sold]]</f>
        <v>0.7396586166415231</v>
      </c>
      <c r="L815" s="29">
        <f>dataset[[#This Row],[implied_soda_ppu]]-dataset[[#This Row],[soda_ppu]]</f>
        <v>-4.1383358476920762E-5</v>
      </c>
      <c r="M815">
        <f>dataset[[#This Row],[soda_sales]]/dataset[[#This Row],[total_sales]]</f>
        <v>3.8908640290123975E-2</v>
      </c>
      <c r="N815">
        <f>LN(dataset[[#This Row],[soda_units_sold]])</f>
        <v>12.14553676977569</v>
      </c>
      <c r="O815">
        <f>LN(dataset[[#This Row],[soda_sales]])</f>
        <v>11.843970241684064</v>
      </c>
      <c r="P815">
        <f>LN(dataset[[#This Row],[soda_ppu]])</f>
        <v>-0.30151058038831502</v>
      </c>
      <c r="Q815">
        <f>IF(dataset[[#This Row],[state]]="VA",1,0)</f>
        <v>1</v>
      </c>
    </row>
    <row r="816" spans="1:17" x14ac:dyDescent="0.35">
      <c r="A816">
        <v>202311</v>
      </c>
      <c r="B816">
        <v>84</v>
      </c>
      <c r="C816" s="2">
        <v>4064534.5926000001</v>
      </c>
      <c r="D816" s="2">
        <v>0.77439999999999998</v>
      </c>
      <c r="E816" s="3">
        <v>170717</v>
      </c>
      <c r="F816" s="2">
        <v>132204.36319999999</v>
      </c>
      <c r="G816" t="s">
        <v>2385</v>
      </c>
      <c r="H816" t="s">
        <v>3</v>
      </c>
      <c r="I816">
        <f>HLOOKUP(G816,zip_tiers!$A$1:$EON$2,2,FALSE)</f>
        <v>111399</v>
      </c>
      <c r="J816" t="str">
        <f t="shared" si="12"/>
        <v>High</v>
      </c>
      <c r="K816">
        <f>dataset[[#This Row],[soda_sales]]/dataset[[#This Row],[soda_units_sold]]</f>
        <v>0.77440655119290991</v>
      </c>
      <c r="L816" s="29">
        <f>dataset[[#This Row],[implied_soda_ppu]]-dataset[[#This Row],[soda_ppu]]</f>
        <v>6.551192909931558E-6</v>
      </c>
      <c r="M816">
        <f>dataset[[#This Row],[soda_sales]]/dataset[[#This Row],[total_sales]]</f>
        <v>3.252632255626383E-2</v>
      </c>
      <c r="N816">
        <f>LN(dataset[[#This Row],[soda_units_sold]])</f>
        <v>12.047762493747628</v>
      </c>
      <c r="O816">
        <f>LN(dataset[[#This Row],[soda_sales]])</f>
        <v>11.792104210393664</v>
      </c>
      <c r="P816">
        <f>LN(dataset[[#This Row],[soda_ppu]])</f>
        <v>-0.25566674301976983</v>
      </c>
      <c r="Q816">
        <f>IF(dataset[[#This Row],[state]]="VA",1,0)</f>
        <v>1</v>
      </c>
    </row>
    <row r="817" spans="1:17" x14ac:dyDescent="0.35">
      <c r="A817">
        <v>202312</v>
      </c>
      <c r="B817">
        <v>84</v>
      </c>
      <c r="C817" s="2">
        <v>4325846.2121000001</v>
      </c>
      <c r="D817" s="2">
        <v>0.75449999999999995</v>
      </c>
      <c r="E817" s="3">
        <v>170840</v>
      </c>
      <c r="F817" s="2">
        <v>128900.9433</v>
      </c>
      <c r="G817" t="s">
        <v>2385</v>
      </c>
      <c r="H817" t="s">
        <v>3</v>
      </c>
      <c r="I817">
        <f>HLOOKUP(G817,zip_tiers!$A$1:$EON$2,2,FALSE)</f>
        <v>111399</v>
      </c>
      <c r="J817" t="str">
        <f t="shared" si="12"/>
        <v>High</v>
      </c>
      <c r="K817">
        <f>dataset[[#This Row],[soda_sales]]/dataset[[#This Row],[soda_units_sold]]</f>
        <v>0.75451266272535711</v>
      </c>
      <c r="L817" s="29">
        <f>dataset[[#This Row],[implied_soda_ppu]]-dataset[[#This Row],[soda_ppu]]</f>
        <v>1.2662725357159843E-5</v>
      </c>
      <c r="M817">
        <f>dataset[[#This Row],[soda_sales]]/dataset[[#This Row],[total_sales]]</f>
        <v>2.9797856183478261E-2</v>
      </c>
      <c r="N817">
        <f>LN(dataset[[#This Row],[soda_units_sold]])</f>
        <v>12.048482724955402</v>
      </c>
      <c r="O817">
        <f>LN(dataset[[#This Row],[soda_sales]])</f>
        <v>11.766799506976529</v>
      </c>
      <c r="P817">
        <f>LN(dataset[[#This Row],[soda_ppu]])</f>
        <v>-0.28170000077423352</v>
      </c>
      <c r="Q817">
        <f>IF(dataset[[#This Row],[state]]="VA",1,0)</f>
        <v>1</v>
      </c>
    </row>
    <row r="818" spans="1:17" x14ac:dyDescent="0.35">
      <c r="A818">
        <v>202401</v>
      </c>
      <c r="B818">
        <v>84</v>
      </c>
      <c r="C818" s="2">
        <v>2452211.2248999998</v>
      </c>
      <c r="D818" s="2">
        <v>0.7661</v>
      </c>
      <c r="E818" s="3">
        <v>125073</v>
      </c>
      <c r="F818" s="2">
        <v>95821.715899999996</v>
      </c>
      <c r="G818" t="s">
        <v>2385</v>
      </c>
      <c r="H818" t="s">
        <v>3</v>
      </c>
      <c r="I818">
        <f>HLOOKUP(G818,zip_tiers!$A$1:$EON$2,2,FALSE)</f>
        <v>111399</v>
      </c>
      <c r="J818" t="str">
        <f t="shared" si="12"/>
        <v>High</v>
      </c>
      <c r="K818">
        <f>dataset[[#This Row],[soda_sales]]/dataset[[#This Row],[soda_units_sold]]</f>
        <v>0.76612630943528981</v>
      </c>
      <c r="L818" s="29">
        <f>dataset[[#This Row],[implied_soda_ppu]]-dataset[[#This Row],[soda_ppu]]</f>
        <v>2.6309435289806338E-5</v>
      </c>
      <c r="M818">
        <f>dataset[[#This Row],[soda_sales]]/dataset[[#This Row],[total_sales]]</f>
        <v>3.9075637093173965E-2</v>
      </c>
      <c r="N818">
        <f>LN(dataset[[#This Row],[soda_units_sold]])</f>
        <v>11.736652845822801</v>
      </c>
      <c r="O818">
        <f>LN(dataset[[#This Row],[soda_sales]])</f>
        <v>11.470244617811737</v>
      </c>
      <c r="P818">
        <f>LN(dataset[[#This Row],[soda_ppu]])</f>
        <v>-0.26644256945936179</v>
      </c>
      <c r="Q818">
        <f>IF(dataset[[#This Row],[state]]="VA",1,0)</f>
        <v>1</v>
      </c>
    </row>
    <row r="819" spans="1:17" x14ac:dyDescent="0.35">
      <c r="A819">
        <v>202402</v>
      </c>
      <c r="B819">
        <v>84</v>
      </c>
      <c r="C819" s="2">
        <v>2773611.0290999999</v>
      </c>
      <c r="D819" s="2">
        <v>0.81200000000000006</v>
      </c>
      <c r="E819" s="3">
        <v>132288</v>
      </c>
      <c r="F819" s="2">
        <v>107415.6284</v>
      </c>
      <c r="G819" t="s">
        <v>2385</v>
      </c>
      <c r="H819" t="s">
        <v>3</v>
      </c>
      <c r="I819">
        <f>HLOOKUP(G819,zip_tiers!$A$1:$EON$2,2,FALSE)</f>
        <v>111399</v>
      </c>
      <c r="J819" t="str">
        <f t="shared" si="12"/>
        <v>High</v>
      </c>
      <c r="K819">
        <f>dataset[[#This Row],[soda_sales]]/dataset[[#This Row],[soda_units_sold]]</f>
        <v>0.81198316098209966</v>
      </c>
      <c r="L819" s="29">
        <f>dataset[[#This Row],[implied_soda_ppu]]-dataset[[#This Row],[soda_ppu]]</f>
        <v>-1.6839017900394104E-5</v>
      </c>
      <c r="M819">
        <f>dataset[[#This Row],[soda_sales]]/dataset[[#This Row],[total_sales]]</f>
        <v>3.8727718945815899E-2</v>
      </c>
      <c r="N819">
        <f>LN(dataset[[#This Row],[soda_units_sold]])</f>
        <v>11.79273664304144</v>
      </c>
      <c r="O819">
        <f>LN(dataset[[#This Row],[soda_sales]])</f>
        <v>11.584460966299178</v>
      </c>
      <c r="P819">
        <f>LN(dataset[[#This Row],[soda_ppu]])</f>
        <v>-0.20825493882045903</v>
      </c>
      <c r="Q819">
        <f>IF(dataset[[#This Row],[state]]="VA",1,0)</f>
        <v>1</v>
      </c>
    </row>
    <row r="820" spans="1:17" x14ac:dyDescent="0.35">
      <c r="A820">
        <v>202403</v>
      </c>
      <c r="B820">
        <v>84</v>
      </c>
      <c r="C820" s="2">
        <v>3053557.4857999999</v>
      </c>
      <c r="D820" s="2">
        <v>0.73429999999999995</v>
      </c>
      <c r="E820" s="3">
        <v>167919</v>
      </c>
      <c r="F820" s="2">
        <v>123300.1011</v>
      </c>
      <c r="G820" t="s">
        <v>2385</v>
      </c>
      <c r="H820" t="s">
        <v>3</v>
      </c>
      <c r="I820">
        <f>HLOOKUP(G820,zip_tiers!$A$1:$EON$2,2,FALSE)</f>
        <v>111399</v>
      </c>
      <c r="J820" t="str">
        <f t="shared" si="12"/>
        <v>High</v>
      </c>
      <c r="K820">
        <f>dataset[[#This Row],[soda_sales]]/dataset[[#This Row],[soda_units_sold]]</f>
        <v>0.7342832026155468</v>
      </c>
      <c r="L820" s="29">
        <f>dataset[[#This Row],[implied_soda_ppu]]-dataset[[#This Row],[soda_ppu]]</f>
        <v>-1.6797384453148823E-5</v>
      </c>
      <c r="M820">
        <f>dataset[[#This Row],[soda_sales]]/dataset[[#This Row],[total_sales]]</f>
        <v>4.0379164850632136E-2</v>
      </c>
      <c r="N820">
        <f>LN(dataset[[#This Row],[soda_units_sold]])</f>
        <v>12.031236999260013</v>
      </c>
      <c r="O820">
        <f>LN(dataset[[#This Row],[soda_sales]])</f>
        <v>11.722376509103437</v>
      </c>
      <c r="P820">
        <f>LN(dataset[[#This Row],[soda_ppu]])</f>
        <v>-0.30883761452457231</v>
      </c>
      <c r="Q820">
        <f>IF(dataset[[#This Row],[state]]="VA",1,0)</f>
        <v>1</v>
      </c>
    </row>
    <row r="821" spans="1:17" x14ac:dyDescent="0.35">
      <c r="A821">
        <v>202404</v>
      </c>
      <c r="B821">
        <v>84</v>
      </c>
      <c r="C821" s="2">
        <v>3309520.8349000001</v>
      </c>
      <c r="D821" s="2">
        <v>0.79759999999999998</v>
      </c>
      <c r="E821" s="3">
        <v>189094</v>
      </c>
      <c r="F821" s="2">
        <v>150823.21170000001</v>
      </c>
      <c r="G821" t="s">
        <v>2385</v>
      </c>
      <c r="H821" t="s">
        <v>3</v>
      </c>
      <c r="I821">
        <f>HLOOKUP(G821,zip_tiers!$A$1:$EON$2,2,FALSE)</f>
        <v>111399</v>
      </c>
      <c r="J821" t="str">
        <f t="shared" si="12"/>
        <v>High</v>
      </c>
      <c r="K821">
        <f>dataset[[#This Row],[soda_sales]]/dataset[[#This Row],[soda_units_sold]]</f>
        <v>0.79760971633156008</v>
      </c>
      <c r="L821" s="29">
        <f>dataset[[#This Row],[implied_soda_ppu]]-dataset[[#This Row],[soda_ppu]]</f>
        <v>9.716331560105651E-6</v>
      </c>
      <c r="M821">
        <f>dataset[[#This Row],[soda_sales]]/dataset[[#This Row],[total_sales]]</f>
        <v>4.5572522194004338E-2</v>
      </c>
      <c r="N821">
        <f>LN(dataset[[#This Row],[soda_units_sold]])</f>
        <v>12.14999952489938</v>
      </c>
      <c r="O821">
        <f>LN(dataset[[#This Row],[soda_sales]])</f>
        <v>11.923863646451002</v>
      </c>
      <c r="P821">
        <f>LN(dataset[[#This Row],[soda_ppu]])</f>
        <v>-0.22614806033450852</v>
      </c>
      <c r="Q821">
        <f>IF(dataset[[#This Row],[state]]="VA",1,0)</f>
        <v>1</v>
      </c>
    </row>
    <row r="822" spans="1:17" x14ac:dyDescent="0.35">
      <c r="A822">
        <v>202405</v>
      </c>
      <c r="B822">
        <v>84</v>
      </c>
      <c r="C822" s="2">
        <v>3416759.7784000002</v>
      </c>
      <c r="D822" s="2">
        <v>0.76839999999999997</v>
      </c>
      <c r="E822" s="3">
        <v>209845</v>
      </c>
      <c r="F822" s="2">
        <v>161237.82019999999</v>
      </c>
      <c r="G822" t="s">
        <v>2385</v>
      </c>
      <c r="H822" t="s">
        <v>3</v>
      </c>
      <c r="I822">
        <f>HLOOKUP(G822,zip_tiers!$A$1:$EON$2,2,FALSE)</f>
        <v>111399</v>
      </c>
      <c r="J822" t="str">
        <f t="shared" si="12"/>
        <v>High</v>
      </c>
      <c r="K822">
        <f>dataset[[#This Row],[soda_sales]]/dataset[[#This Row],[soda_units_sold]]</f>
        <v>0.76836627129547996</v>
      </c>
      <c r="L822" s="29">
        <f>dataset[[#This Row],[implied_soda_ppu]]-dataset[[#This Row],[soda_ppu]]</f>
        <v>-3.3728704520008534E-5</v>
      </c>
      <c r="M822">
        <f>dataset[[#This Row],[soda_sales]]/dataset[[#This Row],[total_sales]]</f>
        <v>4.7190271092310859E-2</v>
      </c>
      <c r="N822">
        <f>LN(dataset[[#This Row],[soda_units_sold]])</f>
        <v>12.254124441935112</v>
      </c>
      <c r="O822">
        <f>LN(dataset[[#This Row],[soda_sales]])</f>
        <v>11.990635698161798</v>
      </c>
      <c r="P822">
        <f>LN(dataset[[#This Row],[soda_ppu]])</f>
        <v>-0.26344484808773549</v>
      </c>
      <c r="Q822">
        <f>IF(dataset[[#This Row],[state]]="VA",1,0)</f>
        <v>1</v>
      </c>
    </row>
    <row r="823" spans="1:17" x14ac:dyDescent="0.35">
      <c r="A823">
        <v>202406</v>
      </c>
      <c r="B823">
        <v>84</v>
      </c>
      <c r="C823" s="2">
        <v>3226583.5460000001</v>
      </c>
      <c r="D823" s="2">
        <v>0.78549999999999998</v>
      </c>
      <c r="E823" s="3">
        <v>212238</v>
      </c>
      <c r="F823" s="2">
        <v>166712.9345</v>
      </c>
      <c r="G823" t="s">
        <v>2385</v>
      </c>
      <c r="H823" t="s">
        <v>3</v>
      </c>
      <c r="I823">
        <f>HLOOKUP(G823,zip_tiers!$A$1:$EON$2,2,FALSE)</f>
        <v>111399</v>
      </c>
      <c r="J823" t="str">
        <f t="shared" si="12"/>
        <v>High</v>
      </c>
      <c r="K823">
        <f>dataset[[#This Row],[soda_sales]]/dataset[[#This Row],[soda_units_sold]]</f>
        <v>0.78549993168047194</v>
      </c>
      <c r="L823" s="29">
        <f>dataset[[#This Row],[implied_soda_ppu]]-dataset[[#This Row],[soda_ppu]]</f>
        <v>-6.8319528034876953E-8</v>
      </c>
      <c r="M823">
        <f>dataset[[#This Row],[soda_sales]]/dataset[[#This Row],[total_sales]]</f>
        <v>5.1668562776461889E-2</v>
      </c>
      <c r="N823">
        <f>LN(dataset[[#This Row],[soda_units_sold]])</f>
        <v>12.265463565472839</v>
      </c>
      <c r="O823">
        <f>LN(dataset[[#This Row],[soda_sales]])</f>
        <v>12.024028657210525</v>
      </c>
      <c r="P823">
        <f>LN(dataset[[#This Row],[soda_ppu]])</f>
        <v>-0.24143482128646124</v>
      </c>
      <c r="Q823">
        <f>IF(dataset[[#This Row],[state]]="VA",1,0)</f>
        <v>1</v>
      </c>
    </row>
    <row r="824" spans="1:17" x14ac:dyDescent="0.35">
      <c r="A824">
        <v>202407</v>
      </c>
      <c r="B824">
        <v>84</v>
      </c>
      <c r="C824" s="2">
        <v>3096677.7178000002</v>
      </c>
      <c r="D824" s="2">
        <v>0.78759999999999997</v>
      </c>
      <c r="E824" s="3">
        <v>218809</v>
      </c>
      <c r="F824" s="2">
        <v>172323.35209999999</v>
      </c>
      <c r="G824" t="s">
        <v>2385</v>
      </c>
      <c r="H824" t="s">
        <v>3</v>
      </c>
      <c r="I824">
        <f>HLOOKUP(G824,zip_tiers!$A$1:$EON$2,2,FALSE)</f>
        <v>111399</v>
      </c>
      <c r="J824" t="str">
        <f t="shared" si="12"/>
        <v>High</v>
      </c>
      <c r="K824">
        <f>dataset[[#This Row],[soda_sales]]/dataset[[#This Row],[soda_units_sold]]</f>
        <v>0.78755148142900877</v>
      </c>
      <c r="L824" s="29">
        <f>dataset[[#This Row],[implied_soda_ppu]]-dataset[[#This Row],[soda_ppu]]</f>
        <v>-4.8518570991196164E-5</v>
      </c>
      <c r="M824">
        <f>dataset[[#This Row],[soda_sales]]/dataset[[#This Row],[total_sales]]</f>
        <v>5.5647816080268496E-2</v>
      </c>
      <c r="N824">
        <f>LN(dataset[[#This Row],[soda_units_sold]])</f>
        <v>12.295954482139216</v>
      </c>
      <c r="O824">
        <f>LN(dataset[[#This Row],[soda_sales]])</f>
        <v>12.057127944963316</v>
      </c>
      <c r="P824">
        <f>LN(dataset[[#This Row],[soda_ppu]])</f>
        <v>-0.23876493221716663</v>
      </c>
      <c r="Q824">
        <f>IF(dataset[[#This Row],[state]]="VA",1,0)</f>
        <v>1</v>
      </c>
    </row>
    <row r="825" spans="1:17" x14ac:dyDescent="0.35">
      <c r="A825">
        <v>202408</v>
      </c>
      <c r="B825">
        <v>84</v>
      </c>
      <c r="C825" s="2">
        <v>2953067.6838000002</v>
      </c>
      <c r="D825" s="2">
        <v>0.8105</v>
      </c>
      <c r="E825" s="3">
        <v>191227</v>
      </c>
      <c r="F825" s="2">
        <v>154982.73259999999</v>
      </c>
      <c r="G825" t="s">
        <v>2385</v>
      </c>
      <c r="H825" t="s">
        <v>3</v>
      </c>
      <c r="I825">
        <f>HLOOKUP(G825,zip_tiers!$A$1:$EON$2,2,FALSE)</f>
        <v>111399</v>
      </c>
      <c r="J825" t="str">
        <f t="shared" si="12"/>
        <v>High</v>
      </c>
      <c r="K825">
        <f>dataset[[#This Row],[soda_sales]]/dataset[[#This Row],[soda_units_sold]]</f>
        <v>0.81046469693087264</v>
      </c>
      <c r="L825" s="29">
        <f>dataset[[#This Row],[implied_soda_ppu]]-dataset[[#This Row],[soda_ppu]]</f>
        <v>-3.5303069127357034E-5</v>
      </c>
      <c r="M825">
        <f>dataset[[#This Row],[soda_sales]]/dataset[[#This Row],[total_sales]]</f>
        <v>5.2481943929090238E-2</v>
      </c>
      <c r="N825">
        <f>LN(dataset[[#This Row],[soda_units_sold]])</f>
        <v>12.161216483018887</v>
      </c>
      <c r="O825">
        <f>LN(dataset[[#This Row],[soda_sales]])</f>
        <v>11.95106898711501</v>
      </c>
      <c r="P825">
        <f>LN(dataset[[#This Row],[soda_ppu]])</f>
        <v>-0.21010393780640627</v>
      </c>
      <c r="Q825">
        <f>IF(dataset[[#This Row],[state]]="VA",1,0)</f>
        <v>1</v>
      </c>
    </row>
    <row r="826" spans="1:17" x14ac:dyDescent="0.35">
      <c r="A826">
        <v>202409</v>
      </c>
      <c r="B826">
        <v>84</v>
      </c>
      <c r="C826" s="2">
        <v>3012991.3927000002</v>
      </c>
      <c r="D826" s="2">
        <v>0.81510000000000005</v>
      </c>
      <c r="E826" s="3">
        <v>186632</v>
      </c>
      <c r="F826" s="2">
        <v>152127.52979999999</v>
      </c>
      <c r="G826" t="s">
        <v>2385</v>
      </c>
      <c r="H826" t="s">
        <v>3</v>
      </c>
      <c r="I826">
        <f>HLOOKUP(G826,zip_tiers!$A$1:$EON$2,2,FALSE)</f>
        <v>111399</v>
      </c>
      <c r="J826" t="str">
        <f t="shared" si="12"/>
        <v>High</v>
      </c>
      <c r="K826">
        <f>dataset[[#This Row],[soda_sales]]/dataset[[#This Row],[soda_units_sold]]</f>
        <v>0.81512028912512313</v>
      </c>
      <c r="L826" s="29">
        <f>dataset[[#This Row],[implied_soda_ppu]]-dataset[[#This Row],[soda_ppu]]</f>
        <v>2.0289125123085228E-5</v>
      </c>
      <c r="M826">
        <f>dataset[[#This Row],[soda_sales]]/dataset[[#This Row],[total_sales]]</f>
        <v>5.0490529169310225E-2</v>
      </c>
      <c r="N826">
        <f>LN(dataset[[#This Row],[soda_units_sold]])</f>
        <v>12.136894042510475</v>
      </c>
      <c r="O826">
        <f>LN(dataset[[#This Row],[soda_sales]])</f>
        <v>11.932474459896831</v>
      </c>
      <c r="P826">
        <f>LN(dataset[[#This Row],[soda_ppu]])</f>
        <v>-0.20444447388172524</v>
      </c>
      <c r="Q826">
        <f>IF(dataset[[#This Row],[state]]="VA",1,0)</f>
        <v>1</v>
      </c>
    </row>
    <row r="827" spans="1:17" x14ac:dyDescent="0.35">
      <c r="A827">
        <v>202410</v>
      </c>
      <c r="B827">
        <v>84</v>
      </c>
      <c r="C827" s="2">
        <v>3708459.13</v>
      </c>
      <c r="D827" s="2">
        <v>0.79630000000000001</v>
      </c>
      <c r="E827" s="3">
        <v>181309</v>
      </c>
      <c r="F827" s="2">
        <v>144377.84570000001</v>
      </c>
      <c r="G827" t="s">
        <v>2385</v>
      </c>
      <c r="H827" t="s">
        <v>3</v>
      </c>
      <c r="I827">
        <f>HLOOKUP(G827,zip_tiers!$A$1:$EON$2,2,FALSE)</f>
        <v>111399</v>
      </c>
      <c r="J827" t="str">
        <f t="shared" si="12"/>
        <v>High</v>
      </c>
      <c r="K827">
        <f>dataset[[#This Row],[soda_sales]]/dataset[[#This Row],[soda_units_sold]]</f>
        <v>0.79630821249910377</v>
      </c>
      <c r="L827" s="29">
        <f>dataset[[#This Row],[implied_soda_ppu]]-dataset[[#This Row],[soda_ppu]]</f>
        <v>8.212499103765758E-6</v>
      </c>
      <c r="M827">
        <f>dataset[[#This Row],[soda_sales]]/dataset[[#This Row],[total_sales]]</f>
        <v>3.893203096996245E-2</v>
      </c>
      <c r="N827">
        <f>LN(dataset[[#This Row],[soda_units_sold]])</f>
        <v>12.107958036989057</v>
      </c>
      <c r="O827">
        <f>LN(dataset[[#This Row],[soda_sales]])</f>
        <v>11.880189070540137</v>
      </c>
      <c r="P827">
        <f>LN(dataset[[#This Row],[soda_ppu]])</f>
        <v>-0.22777927971873788</v>
      </c>
      <c r="Q827">
        <f>IF(dataset[[#This Row],[state]]="VA",1,0)</f>
        <v>1</v>
      </c>
    </row>
    <row r="828" spans="1:17" x14ac:dyDescent="0.35">
      <c r="A828">
        <v>202411</v>
      </c>
      <c r="B828">
        <v>84</v>
      </c>
      <c r="C828" s="2">
        <v>4174045.6491999999</v>
      </c>
      <c r="D828" s="2">
        <v>0.78959999999999997</v>
      </c>
      <c r="E828" s="3">
        <v>171132</v>
      </c>
      <c r="F828" s="2">
        <v>135127.76360000001</v>
      </c>
      <c r="G828" t="s">
        <v>2385</v>
      </c>
      <c r="H828" t="s">
        <v>3</v>
      </c>
      <c r="I828">
        <f>HLOOKUP(G828,zip_tiers!$A$1:$EON$2,2,FALSE)</f>
        <v>111399</v>
      </c>
      <c r="J828" t="str">
        <f t="shared" si="12"/>
        <v>High</v>
      </c>
      <c r="K828">
        <f>dataset[[#This Row],[soda_sales]]/dataset[[#This Row],[soda_units_sold]]</f>
        <v>0.78961131524203543</v>
      </c>
      <c r="L828" s="29">
        <f>dataset[[#This Row],[implied_soda_ppu]]-dataset[[#This Row],[soda_ppu]]</f>
        <v>1.1315242035458972E-5</v>
      </c>
      <c r="M828">
        <f>dataset[[#This Row],[soda_sales]]/dataset[[#This Row],[total_sales]]</f>
        <v>3.2373331524512355E-2</v>
      </c>
      <c r="N828">
        <f>LN(dataset[[#This Row],[soda_units_sold]])</f>
        <v>12.050190467524768</v>
      </c>
      <c r="O828">
        <f>LN(dataset[[#This Row],[soda_sales]])</f>
        <v>11.81397600690628</v>
      </c>
      <c r="P828">
        <f>LN(dataset[[#This Row],[soda_ppu]])</f>
        <v>-0.23622879086286527</v>
      </c>
      <c r="Q828">
        <f>IF(dataset[[#This Row],[state]]="VA",1,0)</f>
        <v>1</v>
      </c>
    </row>
    <row r="829" spans="1:17" x14ac:dyDescent="0.35">
      <c r="A829">
        <v>202412</v>
      </c>
      <c r="B829">
        <v>84</v>
      </c>
      <c r="C829" s="2">
        <v>4346614.8420000002</v>
      </c>
      <c r="D829" s="2">
        <v>0.77890000000000004</v>
      </c>
      <c r="E829" s="3">
        <v>165265</v>
      </c>
      <c r="F829" s="2">
        <v>128721.7781</v>
      </c>
      <c r="G829" t="s">
        <v>2385</v>
      </c>
      <c r="H829" t="s">
        <v>3</v>
      </c>
      <c r="I829">
        <f>HLOOKUP(G829,zip_tiers!$A$1:$EON$2,2,FALSE)</f>
        <v>111399</v>
      </c>
      <c r="J829" t="str">
        <f t="shared" si="12"/>
        <v>High</v>
      </c>
      <c r="K829">
        <f>dataset[[#This Row],[soda_sales]]/dataset[[#This Row],[soda_units_sold]]</f>
        <v>0.77888105830030552</v>
      </c>
      <c r="L829" s="29">
        <f>dataset[[#This Row],[implied_soda_ppu]]-dataset[[#This Row],[soda_ppu]]</f>
        <v>-1.8941699694519087E-5</v>
      </c>
      <c r="M829">
        <f>dataset[[#This Row],[soda_sales]]/dataset[[#This Row],[total_sales]]</f>
        <v>2.9614259091051986E-2</v>
      </c>
      <c r="N829">
        <f>LN(dataset[[#This Row],[soda_units_sold]])</f>
        <v>12.015305525152689</v>
      </c>
      <c r="O829">
        <f>LN(dataset[[#This Row],[soda_sales]])</f>
        <v>11.765408595275021</v>
      </c>
      <c r="P829">
        <f>LN(dataset[[#This Row],[soda_ppu]])</f>
        <v>-0.24987261105623415</v>
      </c>
      <c r="Q829">
        <f>IF(dataset[[#This Row],[state]]="VA",1,0)</f>
        <v>1</v>
      </c>
    </row>
    <row r="830" spans="1:17" x14ac:dyDescent="0.35">
      <c r="A830">
        <v>202201</v>
      </c>
      <c r="B830">
        <v>12</v>
      </c>
      <c r="C830" s="2">
        <v>1929317.9992</v>
      </c>
      <c r="D830" s="2">
        <v>0.72599999999999998</v>
      </c>
      <c r="E830" s="3">
        <v>131566</v>
      </c>
      <c r="F830" s="2">
        <v>95517.460900000005</v>
      </c>
      <c r="G830" t="s">
        <v>2387</v>
      </c>
      <c r="H830" t="s">
        <v>3</v>
      </c>
      <c r="I830">
        <f>HLOOKUP(G830,zip_tiers!$A$1:$EON$2,2,FALSE)</f>
        <v>73769</v>
      </c>
      <c r="J830" t="str">
        <f t="shared" si="12"/>
        <v>Med</v>
      </c>
      <c r="K830">
        <f>dataset[[#This Row],[soda_sales]]/dataset[[#This Row],[soda_units_sold]]</f>
        <v>0.72600414164753813</v>
      </c>
      <c r="L830" s="29">
        <f>dataset[[#This Row],[implied_soda_ppu]]-dataset[[#This Row],[soda_ppu]]</f>
        <v>4.141647538147275E-6</v>
      </c>
      <c r="M830">
        <f>dataset[[#This Row],[soda_sales]]/dataset[[#This Row],[total_sales]]</f>
        <v>4.9508407084579494E-2</v>
      </c>
      <c r="N830">
        <f>LN(dataset[[#This Row],[soda_units_sold]])</f>
        <v>11.787263905830391</v>
      </c>
      <c r="O830">
        <f>LN(dataset[[#This Row],[soda_sales]])</f>
        <v>11.467064346405452</v>
      </c>
      <c r="P830">
        <f>LN(dataset[[#This Row],[soda_ppu]])</f>
        <v>-0.32020526415734102</v>
      </c>
      <c r="Q830">
        <f>IF(dataset[[#This Row],[state]]="VA",1,0)</f>
        <v>1</v>
      </c>
    </row>
    <row r="831" spans="1:17" x14ac:dyDescent="0.35">
      <c r="A831">
        <v>202202</v>
      </c>
      <c r="B831">
        <v>12</v>
      </c>
      <c r="C831" s="2">
        <v>2191313.5288999998</v>
      </c>
      <c r="D831" s="2">
        <v>0.7339</v>
      </c>
      <c r="E831" s="3">
        <v>147301</v>
      </c>
      <c r="F831" s="2">
        <v>108101.8107</v>
      </c>
      <c r="G831" t="s">
        <v>2387</v>
      </c>
      <c r="H831" t="s">
        <v>3</v>
      </c>
      <c r="I831">
        <f>HLOOKUP(G831,zip_tiers!$A$1:$EON$2,2,FALSE)</f>
        <v>73769</v>
      </c>
      <c r="J831" t="str">
        <f t="shared" si="12"/>
        <v>Med</v>
      </c>
      <c r="K831">
        <f>dataset[[#This Row],[soda_sales]]/dataset[[#This Row],[soda_units_sold]]</f>
        <v>0.73388375299556696</v>
      </c>
      <c r="L831" s="29">
        <f>dataset[[#This Row],[implied_soda_ppu]]-dataset[[#This Row],[soda_ppu]]</f>
        <v>-1.6247004433034284E-5</v>
      </c>
      <c r="M831">
        <f>dataset[[#This Row],[soda_sales]]/dataset[[#This Row],[total_sales]]</f>
        <v>4.9331968827968302E-2</v>
      </c>
      <c r="N831">
        <f>LN(dataset[[#This Row],[soda_units_sold]])</f>
        <v>11.900233391293936</v>
      </c>
      <c r="O831">
        <f>LN(dataset[[#This Row],[soda_sales]])</f>
        <v>11.590828753718283</v>
      </c>
      <c r="P831">
        <f>LN(dataset[[#This Row],[soda_ppu]])</f>
        <v>-0.30938249943111995</v>
      </c>
      <c r="Q831">
        <f>IF(dataset[[#This Row],[state]]="VA",1,0)</f>
        <v>1</v>
      </c>
    </row>
    <row r="832" spans="1:17" x14ac:dyDescent="0.35">
      <c r="A832">
        <v>202203</v>
      </c>
      <c r="B832">
        <v>12</v>
      </c>
      <c r="C832" s="2">
        <v>2436382.8867000001</v>
      </c>
      <c r="D832" s="2">
        <v>0.74180000000000001</v>
      </c>
      <c r="E832" s="3">
        <v>173419</v>
      </c>
      <c r="F832" s="2">
        <v>128648.804</v>
      </c>
      <c r="G832" t="s">
        <v>2387</v>
      </c>
      <c r="H832" t="s">
        <v>3</v>
      </c>
      <c r="I832">
        <f>HLOOKUP(G832,zip_tiers!$A$1:$EON$2,2,FALSE)</f>
        <v>73769</v>
      </c>
      <c r="J832" t="str">
        <f t="shared" si="12"/>
        <v>Med</v>
      </c>
      <c r="K832">
        <f>dataset[[#This Row],[soda_sales]]/dataset[[#This Row],[soda_units_sold]]</f>
        <v>0.74183799929650152</v>
      </c>
      <c r="L832" s="29">
        <f>dataset[[#This Row],[implied_soda_ppu]]-dataset[[#This Row],[soda_ppu]]</f>
        <v>3.7999296501500801E-5</v>
      </c>
      <c r="M832">
        <f>dataset[[#This Row],[soda_sales]]/dataset[[#This Row],[total_sales]]</f>
        <v>5.2803196370440175E-2</v>
      </c>
      <c r="N832">
        <f>LN(dataset[[#This Row],[soda_units_sold]])</f>
        <v>12.063465910566931</v>
      </c>
      <c r="O832">
        <f>LN(dataset[[#This Row],[soda_sales]])</f>
        <v>11.764841521125675</v>
      </c>
      <c r="P832">
        <f>LN(dataset[[#This Row],[soda_ppu]])</f>
        <v>-0.2986756139266466</v>
      </c>
      <c r="Q832">
        <f>IF(dataset[[#This Row],[state]]="VA",1,0)</f>
        <v>1</v>
      </c>
    </row>
    <row r="833" spans="1:17" x14ac:dyDescent="0.35">
      <c r="A833">
        <v>202204</v>
      </c>
      <c r="B833">
        <v>12</v>
      </c>
      <c r="C833" s="2">
        <v>2603263.8646</v>
      </c>
      <c r="D833" s="2">
        <v>0.69420000000000004</v>
      </c>
      <c r="E833" s="3">
        <v>220296</v>
      </c>
      <c r="F833" s="2">
        <v>152919.67819999999</v>
      </c>
      <c r="G833" t="s">
        <v>2387</v>
      </c>
      <c r="H833" t="s">
        <v>3</v>
      </c>
      <c r="I833">
        <f>HLOOKUP(G833,zip_tiers!$A$1:$EON$2,2,FALSE)</f>
        <v>73769</v>
      </c>
      <c r="J833" t="str">
        <f t="shared" si="12"/>
        <v>Med</v>
      </c>
      <c r="K833">
        <f>dataset[[#This Row],[soda_sales]]/dataset[[#This Row],[soda_units_sold]]</f>
        <v>0.69415549170207358</v>
      </c>
      <c r="L833" s="29">
        <f>dataset[[#This Row],[implied_soda_ppu]]-dataset[[#This Row],[soda_ppu]]</f>
        <v>-4.4508297926459939E-5</v>
      </c>
      <c r="M833">
        <f>dataset[[#This Row],[soda_sales]]/dataset[[#This Row],[total_sales]]</f>
        <v>5.8741520703855583E-2</v>
      </c>
      <c r="N833">
        <f>LN(dataset[[#This Row],[soda_units_sold]])</f>
        <v>12.302727375567036</v>
      </c>
      <c r="O833">
        <f>LN(dataset[[#This Row],[soda_sales]])</f>
        <v>11.937668083439839</v>
      </c>
      <c r="P833">
        <f>LN(dataset[[#This Row],[soda_ppu]])</f>
        <v>-0.3649951755544511</v>
      </c>
      <c r="Q833">
        <f>IF(dataset[[#This Row],[state]]="VA",1,0)</f>
        <v>1</v>
      </c>
    </row>
    <row r="834" spans="1:17" x14ac:dyDescent="0.35">
      <c r="A834">
        <v>202205</v>
      </c>
      <c r="B834">
        <v>12</v>
      </c>
      <c r="C834" s="2">
        <v>2721310.8761999998</v>
      </c>
      <c r="D834" s="2">
        <v>0.71870000000000001</v>
      </c>
      <c r="E834" s="3">
        <v>230199</v>
      </c>
      <c r="F834" s="2">
        <v>165451.24900000001</v>
      </c>
      <c r="G834" t="s">
        <v>2387</v>
      </c>
      <c r="H834" t="s">
        <v>3</v>
      </c>
      <c r="I834">
        <f>HLOOKUP(G834,zip_tiers!$A$1:$EON$2,2,FALSE)</f>
        <v>73769</v>
      </c>
      <c r="J834" t="str">
        <f t="shared" ref="J834:J897" si="13">IF(I834="","No Data",IF(I834&gt;=100000,"High",IF(I834&gt;=40000,"Med","Low")))</f>
        <v>Med</v>
      </c>
      <c r="K834">
        <f>dataset[[#This Row],[soda_sales]]/dataset[[#This Row],[soda_units_sold]]</f>
        <v>0.71873139761684457</v>
      </c>
      <c r="L834" s="29">
        <f>dataset[[#This Row],[implied_soda_ppu]]-dataset[[#This Row],[soda_ppu]]</f>
        <v>3.1397616844563991E-5</v>
      </c>
      <c r="M834">
        <f>dataset[[#This Row],[soda_sales]]/dataset[[#This Row],[total_sales]]</f>
        <v>6.0798363923431561E-2</v>
      </c>
      <c r="N834">
        <f>LN(dataset[[#This Row],[soda_units_sold]])</f>
        <v>12.34669943121183</v>
      </c>
      <c r="O834">
        <f>LN(dataset[[#This Row],[soda_sales]])</f>
        <v>12.016431862429755</v>
      </c>
      <c r="P834">
        <f>LN(dataset[[#This Row],[soda_ppu]])</f>
        <v>-0.33031125450774013</v>
      </c>
      <c r="Q834">
        <f>IF(dataset[[#This Row],[state]]="VA",1,0)</f>
        <v>1</v>
      </c>
    </row>
    <row r="835" spans="1:17" x14ac:dyDescent="0.35">
      <c r="A835">
        <v>202206</v>
      </c>
      <c r="B835">
        <v>12</v>
      </c>
      <c r="C835" s="2">
        <v>2561316.0575999999</v>
      </c>
      <c r="D835" s="2">
        <v>0.71460000000000001</v>
      </c>
      <c r="E835" s="3">
        <v>242542</v>
      </c>
      <c r="F835" s="2">
        <v>173330.8847</v>
      </c>
      <c r="G835" t="s">
        <v>2387</v>
      </c>
      <c r="H835" t="s">
        <v>3</v>
      </c>
      <c r="I835">
        <f>HLOOKUP(G835,zip_tiers!$A$1:$EON$2,2,FALSE)</f>
        <v>73769</v>
      </c>
      <c r="J835" t="str">
        <f t="shared" si="13"/>
        <v>Med</v>
      </c>
      <c r="K835">
        <f>dataset[[#This Row],[soda_sales]]/dataset[[#This Row],[soda_units_sold]]</f>
        <v>0.7146427616660207</v>
      </c>
      <c r="L835" s="29">
        <f>dataset[[#This Row],[implied_soda_ppu]]-dataset[[#This Row],[soda_ppu]]</f>
        <v>4.2761666020685318E-5</v>
      </c>
      <c r="M835">
        <f>dataset[[#This Row],[soda_sales]]/dataset[[#This Row],[total_sales]]</f>
        <v>6.767258737385741E-2</v>
      </c>
      <c r="N835">
        <f>LN(dataset[[#This Row],[soda_units_sold]])</f>
        <v>12.398930170239289</v>
      </c>
      <c r="O835">
        <f>LN(dataset[[#This Row],[soda_sales]])</f>
        <v>12.062957675058948</v>
      </c>
      <c r="P835">
        <f>LN(dataset[[#This Row],[soda_ppu]])</f>
        <v>-0.33603233339282762</v>
      </c>
      <c r="Q835">
        <f>IF(dataset[[#This Row],[state]]="VA",1,0)</f>
        <v>1</v>
      </c>
    </row>
    <row r="836" spans="1:17" x14ac:dyDescent="0.35">
      <c r="A836">
        <v>202207</v>
      </c>
      <c r="B836">
        <v>12</v>
      </c>
      <c r="C836" s="2">
        <v>2440781.5210000002</v>
      </c>
      <c r="D836" s="2">
        <v>0.68820000000000003</v>
      </c>
      <c r="E836" s="3">
        <v>251124</v>
      </c>
      <c r="F836" s="2">
        <v>172827.60690000001</v>
      </c>
      <c r="G836" t="s">
        <v>2387</v>
      </c>
      <c r="H836" t="s">
        <v>3</v>
      </c>
      <c r="I836">
        <f>HLOOKUP(G836,zip_tiers!$A$1:$EON$2,2,FALSE)</f>
        <v>73769</v>
      </c>
      <c r="J836" t="str">
        <f t="shared" si="13"/>
        <v>Med</v>
      </c>
      <c r="K836">
        <f>dataset[[#This Row],[soda_sales]]/dataset[[#This Row],[soda_units_sold]]</f>
        <v>0.68821620753094093</v>
      </c>
      <c r="L836" s="29">
        <f>dataset[[#This Row],[implied_soda_ppu]]-dataset[[#This Row],[soda_ppu]]</f>
        <v>1.6207530940892667E-5</v>
      </c>
      <c r="M836">
        <f>dataset[[#This Row],[soda_sales]]/dataset[[#This Row],[total_sales]]</f>
        <v>7.080830685295901E-2</v>
      </c>
      <c r="N836">
        <f>LN(dataset[[#This Row],[soda_units_sold]])</f>
        <v>12.43370212002867</v>
      </c>
      <c r="O836">
        <f>LN(dataset[[#This Row],[soda_sales]])</f>
        <v>12.060049884744256</v>
      </c>
      <c r="P836">
        <f>LN(dataset[[#This Row],[soda_ppu]])</f>
        <v>-0.37367578561875697</v>
      </c>
      <c r="Q836">
        <f>IF(dataset[[#This Row],[state]]="VA",1,0)</f>
        <v>1</v>
      </c>
    </row>
    <row r="837" spans="1:17" x14ac:dyDescent="0.35">
      <c r="A837">
        <v>202208</v>
      </c>
      <c r="B837">
        <v>12</v>
      </c>
      <c r="C837" s="2">
        <v>2350994.7911999999</v>
      </c>
      <c r="D837" s="2">
        <v>0.72870000000000001</v>
      </c>
      <c r="E837" s="3">
        <v>212507</v>
      </c>
      <c r="F837" s="2">
        <v>154853.99410000001</v>
      </c>
      <c r="G837" t="s">
        <v>2387</v>
      </c>
      <c r="H837" t="s">
        <v>3</v>
      </c>
      <c r="I837">
        <f>HLOOKUP(G837,zip_tiers!$A$1:$EON$2,2,FALSE)</f>
        <v>73769</v>
      </c>
      <c r="J837" t="str">
        <f t="shared" si="13"/>
        <v>Med</v>
      </c>
      <c r="K837">
        <f>dataset[[#This Row],[soda_sales]]/dataset[[#This Row],[soda_units_sold]]</f>
        <v>0.72870067386015525</v>
      </c>
      <c r="L837" s="29">
        <f>dataset[[#This Row],[implied_soda_ppu]]-dataset[[#This Row],[soda_ppu]]</f>
        <v>6.7386015523140941E-7</v>
      </c>
      <c r="M837">
        <f>dataset[[#This Row],[soda_sales]]/dataset[[#This Row],[total_sales]]</f>
        <v>6.5867433938872788E-2</v>
      </c>
      <c r="N837">
        <f>LN(dataset[[#This Row],[soda_units_sold]])</f>
        <v>12.266730207980531</v>
      </c>
      <c r="O837">
        <f>LN(dataset[[#This Row],[soda_sales]])</f>
        <v>11.950237978417109</v>
      </c>
      <c r="P837">
        <f>LN(dataset[[#This Row],[soda_ppu]])</f>
        <v>-0.31649315430590053</v>
      </c>
      <c r="Q837">
        <f>IF(dataset[[#This Row],[state]]="VA",1,0)</f>
        <v>1</v>
      </c>
    </row>
    <row r="838" spans="1:17" x14ac:dyDescent="0.35">
      <c r="A838">
        <v>202209</v>
      </c>
      <c r="B838">
        <v>12</v>
      </c>
      <c r="C838" s="2">
        <v>2336864.3667000001</v>
      </c>
      <c r="D838" s="2">
        <v>0.71479999999999999</v>
      </c>
      <c r="E838" s="3">
        <v>207630</v>
      </c>
      <c r="F838" s="2">
        <v>148423.78719999999</v>
      </c>
      <c r="G838" t="s">
        <v>2387</v>
      </c>
      <c r="H838" t="s">
        <v>3</v>
      </c>
      <c r="I838">
        <f>HLOOKUP(G838,zip_tiers!$A$1:$EON$2,2,FALSE)</f>
        <v>73769</v>
      </c>
      <c r="J838" t="str">
        <f t="shared" si="13"/>
        <v>Med</v>
      </c>
      <c r="K838">
        <f>dataset[[#This Row],[soda_sales]]/dataset[[#This Row],[soda_units_sold]]</f>
        <v>0.7148475037326012</v>
      </c>
      <c r="L838" s="29">
        <f>dataset[[#This Row],[implied_soda_ppu]]-dataset[[#This Row],[soda_ppu]]</f>
        <v>4.7503732601206217E-5</v>
      </c>
      <c r="M838">
        <f>dataset[[#This Row],[soda_sales]]/dataset[[#This Row],[total_sales]]</f>
        <v>6.3514078658144998E-2</v>
      </c>
      <c r="N838">
        <f>LN(dataset[[#This Row],[soda_units_sold]])</f>
        <v>12.243512928504019</v>
      </c>
      <c r="O838">
        <f>LN(dataset[[#This Row],[soda_sales]])</f>
        <v>11.907826887975292</v>
      </c>
      <c r="P838">
        <f>LN(dataset[[#This Row],[soda_ppu]])</f>
        <v>-0.33575249569686411</v>
      </c>
      <c r="Q838">
        <f>IF(dataset[[#This Row],[state]]="VA",1,0)</f>
        <v>1</v>
      </c>
    </row>
    <row r="839" spans="1:17" x14ac:dyDescent="0.35">
      <c r="A839">
        <v>202210</v>
      </c>
      <c r="B839">
        <v>12</v>
      </c>
      <c r="C839" s="2">
        <v>2854208.7382999999</v>
      </c>
      <c r="D839" s="2">
        <v>0.71930000000000005</v>
      </c>
      <c r="E839" s="3">
        <v>197995</v>
      </c>
      <c r="F839" s="2">
        <v>142420.3983</v>
      </c>
      <c r="G839" t="s">
        <v>2387</v>
      </c>
      <c r="H839" t="s">
        <v>3</v>
      </c>
      <c r="I839">
        <f>HLOOKUP(G839,zip_tiers!$A$1:$EON$2,2,FALSE)</f>
        <v>73769</v>
      </c>
      <c r="J839" t="str">
        <f t="shared" si="13"/>
        <v>Med</v>
      </c>
      <c r="K839">
        <f>dataset[[#This Row],[soda_sales]]/dataset[[#This Row],[soda_units_sold]]</f>
        <v>0.71931310538144899</v>
      </c>
      <c r="L839" s="29">
        <f>dataset[[#This Row],[implied_soda_ppu]]-dataset[[#This Row],[soda_ppu]]</f>
        <v>1.3105381448941245E-5</v>
      </c>
      <c r="M839">
        <f>dataset[[#This Row],[soda_sales]]/dataset[[#This Row],[total_sales]]</f>
        <v>4.9898382129131613E-2</v>
      </c>
      <c r="N839">
        <f>LN(dataset[[#This Row],[soda_units_sold]])</f>
        <v>12.195997056832569</v>
      </c>
      <c r="O839">
        <f>LN(dataset[[#This Row],[soda_sales]])</f>
        <v>11.866538514189978</v>
      </c>
      <c r="P839">
        <f>LN(dataset[[#This Row],[soda_ppu]])</f>
        <v>-0.32947676210882643</v>
      </c>
      <c r="Q839">
        <f>IF(dataset[[#This Row],[state]]="VA",1,0)</f>
        <v>1</v>
      </c>
    </row>
    <row r="840" spans="1:17" x14ac:dyDescent="0.35">
      <c r="A840">
        <v>202211</v>
      </c>
      <c r="B840">
        <v>12</v>
      </c>
      <c r="C840" s="2">
        <v>3209905.1079000002</v>
      </c>
      <c r="D840" s="2">
        <v>0.70930000000000004</v>
      </c>
      <c r="E840" s="3">
        <v>186050</v>
      </c>
      <c r="F840" s="2">
        <v>131969.5993</v>
      </c>
      <c r="G840" t="s">
        <v>2387</v>
      </c>
      <c r="H840" t="s">
        <v>3</v>
      </c>
      <c r="I840">
        <f>HLOOKUP(G840,zip_tiers!$A$1:$EON$2,2,FALSE)</f>
        <v>73769</v>
      </c>
      <c r="J840" t="str">
        <f t="shared" si="13"/>
        <v>Med</v>
      </c>
      <c r="K840">
        <f>dataset[[#This Row],[soda_sales]]/dataset[[#This Row],[soda_units_sold]]</f>
        <v>0.70932329642569203</v>
      </c>
      <c r="L840" s="29">
        <f>dataset[[#This Row],[implied_soda_ppu]]-dataset[[#This Row],[soda_ppu]]</f>
        <v>2.3296425691987643E-5</v>
      </c>
      <c r="M840">
        <f>dataset[[#This Row],[soda_sales]]/dataset[[#This Row],[total_sales]]</f>
        <v>4.1113240069061668E-2</v>
      </c>
      <c r="N840">
        <f>LN(dataset[[#This Row],[soda_units_sold]])</f>
        <v>12.133770733774769</v>
      </c>
      <c r="O840">
        <f>LN(dataset[[#This Row],[soda_sales]])</f>
        <v>11.790326866710137</v>
      </c>
      <c r="P840">
        <f>LN(dataset[[#This Row],[soda_ppu]])</f>
        <v>-0.34347671077409592</v>
      </c>
      <c r="Q840">
        <f>IF(dataset[[#This Row],[state]]="VA",1,0)</f>
        <v>1</v>
      </c>
    </row>
    <row r="841" spans="1:17" x14ac:dyDescent="0.35">
      <c r="A841">
        <v>202212</v>
      </c>
      <c r="B841">
        <v>12</v>
      </c>
      <c r="C841" s="2">
        <v>3395911.2595000002</v>
      </c>
      <c r="D841" s="2">
        <v>0.7077</v>
      </c>
      <c r="E841" s="3">
        <v>185460</v>
      </c>
      <c r="F841" s="2">
        <v>131254.80129999999</v>
      </c>
      <c r="G841" t="s">
        <v>2387</v>
      </c>
      <c r="H841" t="s">
        <v>3</v>
      </c>
      <c r="I841">
        <f>HLOOKUP(G841,zip_tiers!$A$1:$EON$2,2,FALSE)</f>
        <v>73769</v>
      </c>
      <c r="J841" t="str">
        <f t="shared" si="13"/>
        <v>Med</v>
      </c>
      <c r="K841">
        <f>dataset[[#This Row],[soda_sales]]/dataset[[#This Row],[soda_units_sold]]</f>
        <v>0.70772566213738808</v>
      </c>
      <c r="L841" s="29">
        <f>dataset[[#This Row],[implied_soda_ppu]]-dataset[[#This Row],[soda_ppu]]</f>
        <v>2.5662137388082762E-5</v>
      </c>
      <c r="M841">
        <f>dataset[[#This Row],[soda_sales]]/dataset[[#This Row],[total_sales]]</f>
        <v>3.8650833685013722E-2</v>
      </c>
      <c r="N841">
        <f>LN(dataset[[#This Row],[soda_units_sold]])</f>
        <v>12.130594504354217</v>
      </c>
      <c r="O841">
        <f>LN(dataset[[#This Row],[soda_sales]])</f>
        <v>11.784895761118122</v>
      </c>
      <c r="P841">
        <f>LN(dataset[[#This Row],[soda_ppu]])</f>
        <v>-0.34573500390039802</v>
      </c>
      <c r="Q841">
        <f>IF(dataset[[#This Row],[state]]="VA",1,0)</f>
        <v>1</v>
      </c>
    </row>
    <row r="842" spans="1:17" x14ac:dyDescent="0.35">
      <c r="A842">
        <v>202301</v>
      </c>
      <c r="B842">
        <v>12</v>
      </c>
      <c r="C842" s="2">
        <v>1941307.2660999999</v>
      </c>
      <c r="D842" s="2">
        <v>0.73309999999999997</v>
      </c>
      <c r="E842" s="3">
        <v>134212</v>
      </c>
      <c r="F842" s="2">
        <v>98392.904599999994</v>
      </c>
      <c r="G842" t="s">
        <v>2387</v>
      </c>
      <c r="H842" t="s">
        <v>3</v>
      </c>
      <c r="I842">
        <f>HLOOKUP(G842,zip_tiers!$A$1:$EON$2,2,FALSE)</f>
        <v>73769</v>
      </c>
      <c r="J842" t="str">
        <f t="shared" si="13"/>
        <v>Med</v>
      </c>
      <c r="K842">
        <f>dataset[[#This Row],[soda_sales]]/dataset[[#This Row],[soda_units_sold]]</f>
        <v>0.73311555300569242</v>
      </c>
      <c r="L842" s="29">
        <f>dataset[[#This Row],[implied_soda_ppu]]-dataset[[#This Row],[soda_ppu]]</f>
        <v>1.5553005692447996E-5</v>
      </c>
      <c r="M842">
        <f>dataset[[#This Row],[soda_sales]]/dataset[[#This Row],[total_sales]]</f>
        <v>5.0683838832822674E-2</v>
      </c>
      <c r="N842">
        <f>LN(dataset[[#This Row],[soda_units_sold]])</f>
        <v>11.807175918300041</v>
      </c>
      <c r="O842">
        <f>LN(dataset[[#This Row],[soda_sales]])</f>
        <v>11.496723972716881</v>
      </c>
      <c r="P842">
        <f>LN(dataset[[#This Row],[soda_ppu]])</f>
        <v>-0.31047316075259618</v>
      </c>
      <c r="Q842">
        <f>IF(dataset[[#This Row],[state]]="VA",1,0)</f>
        <v>1</v>
      </c>
    </row>
    <row r="843" spans="1:17" x14ac:dyDescent="0.35">
      <c r="A843">
        <v>202302</v>
      </c>
      <c r="B843">
        <v>12</v>
      </c>
      <c r="C843" s="2">
        <v>2238505.4114999999</v>
      </c>
      <c r="D843" s="2">
        <v>0.72660000000000002</v>
      </c>
      <c r="E843" s="3">
        <v>155920</v>
      </c>
      <c r="F843" s="2">
        <v>113286.0714</v>
      </c>
      <c r="G843" t="s">
        <v>2387</v>
      </c>
      <c r="H843" t="s">
        <v>3</v>
      </c>
      <c r="I843">
        <f>HLOOKUP(G843,zip_tiers!$A$1:$EON$2,2,FALSE)</f>
        <v>73769</v>
      </c>
      <c r="J843" t="str">
        <f t="shared" si="13"/>
        <v>Med</v>
      </c>
      <c r="K843">
        <f>dataset[[#This Row],[soda_sales]]/dataset[[#This Row],[soda_units_sold]]</f>
        <v>0.72656536300667007</v>
      </c>
      <c r="L843" s="29">
        <f>dataset[[#This Row],[implied_soda_ppu]]-dataset[[#This Row],[soda_ppu]]</f>
        <v>-3.4636993329950627E-5</v>
      </c>
      <c r="M843">
        <f>dataset[[#This Row],[soda_sales]]/dataset[[#This Row],[total_sales]]</f>
        <v>5.0607905979592048E-2</v>
      </c>
      <c r="N843">
        <f>LN(dataset[[#This Row],[soda_units_sold]])</f>
        <v>11.957098334181442</v>
      </c>
      <c r="O843">
        <f>LN(dataset[[#This Row],[soda_sales]])</f>
        <v>11.637671503889615</v>
      </c>
      <c r="P843">
        <f>LN(dataset[[#This Row],[soda_ppu]])</f>
        <v>-0.31937915919503546</v>
      </c>
      <c r="Q843">
        <f>IF(dataset[[#This Row],[state]]="VA",1,0)</f>
        <v>1</v>
      </c>
    </row>
    <row r="844" spans="1:17" x14ac:dyDescent="0.35">
      <c r="A844">
        <v>202303</v>
      </c>
      <c r="B844">
        <v>12</v>
      </c>
      <c r="C844" s="2">
        <v>2464245.3420000002</v>
      </c>
      <c r="D844" s="2">
        <v>0.73799999999999999</v>
      </c>
      <c r="E844" s="3">
        <v>176453</v>
      </c>
      <c r="F844" s="2">
        <v>130222.4368</v>
      </c>
      <c r="G844" t="s">
        <v>2387</v>
      </c>
      <c r="H844" t="s">
        <v>3</v>
      </c>
      <c r="I844">
        <f>HLOOKUP(G844,zip_tiers!$A$1:$EON$2,2,FALSE)</f>
        <v>73769</v>
      </c>
      <c r="J844" t="str">
        <f t="shared" si="13"/>
        <v>Med</v>
      </c>
      <c r="K844">
        <f>dataset[[#This Row],[soda_sales]]/dataset[[#This Row],[soda_units_sold]]</f>
        <v>0.73800069593602824</v>
      </c>
      <c r="L844" s="29">
        <f>dataset[[#This Row],[implied_soda_ppu]]-dataset[[#This Row],[soda_ppu]]</f>
        <v>6.9593602824991052E-7</v>
      </c>
      <c r="M844">
        <f>dataset[[#This Row],[soda_sales]]/dataset[[#This Row],[total_sales]]</f>
        <v>5.2844753150394712E-2</v>
      </c>
      <c r="N844">
        <f>LN(dataset[[#This Row],[soda_units_sold]])</f>
        <v>12.080809830942449</v>
      </c>
      <c r="O844">
        <f>LN(dataset[[#This Row],[soda_sales]])</f>
        <v>11.776999319563087</v>
      </c>
      <c r="P844">
        <f>LN(dataset[[#This Row],[soda_ppu]])</f>
        <v>-0.30381145438166457</v>
      </c>
      <c r="Q844">
        <f>IF(dataset[[#This Row],[state]]="VA",1,0)</f>
        <v>1</v>
      </c>
    </row>
    <row r="845" spans="1:17" x14ac:dyDescent="0.35">
      <c r="A845">
        <v>202304</v>
      </c>
      <c r="B845">
        <v>12</v>
      </c>
      <c r="C845" s="2">
        <v>2611601.3509</v>
      </c>
      <c r="D845" s="2">
        <v>0.76119999999999999</v>
      </c>
      <c r="E845" s="3">
        <v>198716</v>
      </c>
      <c r="F845" s="2">
        <v>151262.07209999999</v>
      </c>
      <c r="G845" t="s">
        <v>2387</v>
      </c>
      <c r="H845" t="s">
        <v>3</v>
      </c>
      <c r="I845">
        <f>HLOOKUP(G845,zip_tiers!$A$1:$EON$2,2,FALSE)</f>
        <v>73769</v>
      </c>
      <c r="J845" t="str">
        <f t="shared" si="13"/>
        <v>Med</v>
      </c>
      <c r="K845">
        <f>dataset[[#This Row],[soda_sales]]/dataset[[#This Row],[soda_units_sold]]</f>
        <v>0.76119724682461398</v>
      </c>
      <c r="L845" s="29">
        <f>dataset[[#This Row],[implied_soda_ppu]]-dataset[[#This Row],[soda_ppu]]</f>
        <v>-2.7531753860055019E-6</v>
      </c>
      <c r="M845">
        <f>dataset[[#This Row],[soda_sales]]/dataset[[#This Row],[total_sales]]</f>
        <v>5.7919280845781705E-2</v>
      </c>
      <c r="N845">
        <f>LN(dataset[[#This Row],[soda_units_sold]])</f>
        <v>12.199631948700187</v>
      </c>
      <c r="O845">
        <f>LN(dataset[[#This Row],[soda_sales]])</f>
        <v>11.926769188245187</v>
      </c>
      <c r="P845">
        <f>LN(dataset[[#This Row],[soda_ppu]])</f>
        <v>-0.27285914356014263</v>
      </c>
      <c r="Q845">
        <f>IF(dataset[[#This Row],[state]]="VA",1,0)</f>
        <v>1</v>
      </c>
    </row>
    <row r="846" spans="1:17" x14ac:dyDescent="0.35">
      <c r="A846">
        <v>202305</v>
      </c>
      <c r="B846">
        <v>12</v>
      </c>
      <c r="C846" s="2">
        <v>2728762.3793000001</v>
      </c>
      <c r="D846" s="2">
        <v>0.74870000000000003</v>
      </c>
      <c r="E846" s="3">
        <v>219266</v>
      </c>
      <c r="F846" s="2">
        <v>164169.6911</v>
      </c>
      <c r="G846" t="s">
        <v>2387</v>
      </c>
      <c r="H846" t="s">
        <v>3</v>
      </c>
      <c r="I846">
        <f>HLOOKUP(G846,zip_tiers!$A$1:$EON$2,2,FALSE)</f>
        <v>73769</v>
      </c>
      <c r="J846" t="str">
        <f t="shared" si="13"/>
        <v>Med</v>
      </c>
      <c r="K846">
        <f>dataset[[#This Row],[soda_sales]]/dataset[[#This Row],[soda_units_sold]]</f>
        <v>0.7487238837758704</v>
      </c>
      <c r="L846" s="29">
        <f>dataset[[#This Row],[implied_soda_ppu]]-dataset[[#This Row],[soda_ppu]]</f>
        <v>2.3883775870370272E-5</v>
      </c>
      <c r="M846">
        <f>dataset[[#This Row],[soda_sales]]/dataset[[#This Row],[total_sales]]</f>
        <v>6.0162692195321846E-2</v>
      </c>
      <c r="N846">
        <f>LN(dataset[[#This Row],[soda_units_sold]])</f>
        <v>12.298040883626539</v>
      </c>
      <c r="O846">
        <f>LN(dataset[[#This Row],[soda_sales]])</f>
        <v>12.008655873700633</v>
      </c>
      <c r="P846">
        <f>LN(dataset[[#This Row],[soda_ppu]])</f>
        <v>-0.2894169097454975</v>
      </c>
      <c r="Q846">
        <f>IF(dataset[[#This Row],[state]]="VA",1,0)</f>
        <v>1</v>
      </c>
    </row>
    <row r="847" spans="1:17" x14ac:dyDescent="0.35">
      <c r="A847">
        <v>202306</v>
      </c>
      <c r="B847">
        <v>12</v>
      </c>
      <c r="C847" s="2">
        <v>2600784.0632000002</v>
      </c>
      <c r="D847" s="2">
        <v>0.71650000000000003</v>
      </c>
      <c r="E847" s="3">
        <v>239157</v>
      </c>
      <c r="F847" s="2">
        <v>171344.32449999999</v>
      </c>
      <c r="G847" t="s">
        <v>2387</v>
      </c>
      <c r="H847" t="s">
        <v>3</v>
      </c>
      <c r="I847">
        <f>HLOOKUP(G847,zip_tiers!$A$1:$EON$2,2,FALSE)</f>
        <v>73769</v>
      </c>
      <c r="J847" t="str">
        <f t="shared" si="13"/>
        <v>Med</v>
      </c>
      <c r="K847">
        <f>dataset[[#This Row],[soda_sales]]/dataset[[#This Row],[soda_units_sold]]</f>
        <v>0.71645122032806896</v>
      </c>
      <c r="L847" s="29">
        <f>dataset[[#This Row],[implied_soda_ppu]]-dataset[[#This Row],[soda_ppu]]</f>
        <v>-4.8779671931065138E-5</v>
      </c>
      <c r="M847">
        <f>dataset[[#This Row],[soda_sales]]/dataset[[#This Row],[total_sales]]</f>
        <v>6.5881795772455717E-2</v>
      </c>
      <c r="N847">
        <f>LN(dataset[[#This Row],[soda_units_sold]])</f>
        <v>12.384875519012503</v>
      </c>
      <c r="O847">
        <f>LN(dataset[[#This Row],[soda_sales]])</f>
        <v>12.05143040448983</v>
      </c>
      <c r="P847">
        <f>LN(dataset[[#This Row],[soda_ppu]])</f>
        <v>-0.33337703171391048</v>
      </c>
      <c r="Q847">
        <f>IF(dataset[[#This Row],[state]]="VA",1,0)</f>
        <v>1</v>
      </c>
    </row>
    <row r="848" spans="1:17" x14ac:dyDescent="0.35">
      <c r="A848">
        <v>202307</v>
      </c>
      <c r="B848">
        <v>12</v>
      </c>
      <c r="C848" s="2">
        <v>2473191.3983999998</v>
      </c>
      <c r="D848" s="2">
        <v>0.75770000000000004</v>
      </c>
      <c r="E848" s="3">
        <v>233024</v>
      </c>
      <c r="F848" s="2">
        <v>176559.3707</v>
      </c>
      <c r="G848" t="s">
        <v>2387</v>
      </c>
      <c r="H848" t="s">
        <v>3</v>
      </c>
      <c r="I848">
        <f>HLOOKUP(G848,zip_tiers!$A$1:$EON$2,2,FALSE)</f>
        <v>73769</v>
      </c>
      <c r="J848" t="str">
        <f t="shared" si="13"/>
        <v>Med</v>
      </c>
      <c r="K848">
        <f>dataset[[#This Row],[soda_sales]]/dataset[[#This Row],[soda_units_sold]]</f>
        <v>0.75768749442117544</v>
      </c>
      <c r="L848" s="29">
        <f>dataset[[#This Row],[implied_soda_ppu]]-dataset[[#This Row],[soda_ppu]]</f>
        <v>-1.2505578824595354E-5</v>
      </c>
      <c r="M848">
        <f>dataset[[#This Row],[soda_sales]]/dataset[[#This Row],[total_sales]]</f>
        <v>7.1389287062142814E-2</v>
      </c>
      <c r="N848">
        <f>LN(dataset[[#This Row],[soda_units_sold]])</f>
        <v>12.358896731535106</v>
      </c>
      <c r="O848">
        <f>LN(dataset[[#This Row],[soda_sales]])</f>
        <v>12.081412476696809</v>
      </c>
      <c r="P848">
        <f>LN(dataset[[#This Row],[soda_ppu]])</f>
        <v>-0.27746775004480928</v>
      </c>
      <c r="Q848">
        <f>IF(dataset[[#This Row],[state]]="VA",1,0)</f>
        <v>1</v>
      </c>
    </row>
    <row r="849" spans="1:17" x14ac:dyDescent="0.35">
      <c r="A849">
        <v>202308</v>
      </c>
      <c r="B849">
        <v>12</v>
      </c>
      <c r="C849" s="2">
        <v>2346914.1348000001</v>
      </c>
      <c r="D849" s="2">
        <v>0.73299999999999998</v>
      </c>
      <c r="E849" s="3">
        <v>212514</v>
      </c>
      <c r="F849" s="2">
        <v>155763.34510000001</v>
      </c>
      <c r="G849" t="s">
        <v>2387</v>
      </c>
      <c r="H849" t="s">
        <v>3</v>
      </c>
      <c r="I849">
        <f>HLOOKUP(G849,zip_tiers!$A$1:$EON$2,2,FALSE)</f>
        <v>73769</v>
      </c>
      <c r="J849" t="str">
        <f t="shared" si="13"/>
        <v>Med</v>
      </c>
      <c r="K849">
        <f>dataset[[#This Row],[soda_sales]]/dataset[[#This Row],[soda_units_sold]]</f>
        <v>0.73295568809584311</v>
      </c>
      <c r="L849" s="29">
        <f>dataset[[#This Row],[implied_soda_ppu]]-dataset[[#This Row],[soda_ppu]]</f>
        <v>-4.4311904156879578E-5</v>
      </c>
      <c r="M849">
        <f>dataset[[#This Row],[soda_sales]]/dataset[[#This Row],[total_sales]]</f>
        <v>6.6369426469568685E-2</v>
      </c>
      <c r="N849">
        <f>LN(dataset[[#This Row],[soda_units_sold]])</f>
        <v>12.266763147529403</v>
      </c>
      <c r="O849">
        <f>LN(dataset[[#This Row],[soda_sales]])</f>
        <v>11.956093115804176</v>
      </c>
      <c r="P849">
        <f>LN(dataset[[#This Row],[soda_ppu]])</f>
        <v>-0.31060957709548559</v>
      </c>
      <c r="Q849">
        <f>IF(dataset[[#This Row],[state]]="VA",1,0)</f>
        <v>1</v>
      </c>
    </row>
    <row r="850" spans="1:17" x14ac:dyDescent="0.35">
      <c r="A850">
        <v>202309</v>
      </c>
      <c r="B850">
        <v>12</v>
      </c>
      <c r="C850" s="2">
        <v>2327676.0967000001</v>
      </c>
      <c r="D850" s="2">
        <v>0.74719999999999998</v>
      </c>
      <c r="E850" s="3">
        <v>195404</v>
      </c>
      <c r="F850" s="2">
        <v>146013.00659999999</v>
      </c>
      <c r="G850" t="s">
        <v>2387</v>
      </c>
      <c r="H850" t="s">
        <v>3</v>
      </c>
      <c r="I850">
        <f>HLOOKUP(G850,zip_tiers!$A$1:$EON$2,2,FALSE)</f>
        <v>73769</v>
      </c>
      <c r="J850" t="str">
        <f t="shared" si="13"/>
        <v>Med</v>
      </c>
      <c r="K850">
        <f>dataset[[#This Row],[soda_sales]]/dataset[[#This Row],[soda_units_sold]]</f>
        <v>0.74723652842316424</v>
      </c>
      <c r="L850" s="29">
        <f>dataset[[#This Row],[implied_soda_ppu]]-dataset[[#This Row],[soda_ppu]]</f>
        <v>3.6528423164261525E-5</v>
      </c>
      <c r="M850">
        <f>dataset[[#This Row],[soda_sales]]/dataset[[#This Row],[total_sales]]</f>
        <v>6.2729091391627037E-2</v>
      </c>
      <c r="N850">
        <f>LN(dataset[[#This Row],[soda_units_sold]])</f>
        <v>12.182824489210363</v>
      </c>
      <c r="O850">
        <f>LN(dataset[[#This Row],[soda_sales]])</f>
        <v>11.891450983023894</v>
      </c>
      <c r="P850">
        <f>LN(dataset[[#This Row],[soda_ppu]])</f>
        <v>-0.2914223920675042</v>
      </c>
      <c r="Q850">
        <f>IF(dataset[[#This Row],[state]]="VA",1,0)</f>
        <v>1</v>
      </c>
    </row>
    <row r="851" spans="1:17" x14ac:dyDescent="0.35">
      <c r="A851">
        <v>202310</v>
      </c>
      <c r="B851">
        <v>12</v>
      </c>
      <c r="C851" s="2">
        <v>2900553.7688000002</v>
      </c>
      <c r="D851" s="2">
        <v>0.71760000000000002</v>
      </c>
      <c r="E851" s="3">
        <v>195928</v>
      </c>
      <c r="F851" s="2">
        <v>140606.91250000001</v>
      </c>
      <c r="G851" t="s">
        <v>2387</v>
      </c>
      <c r="H851" t="s">
        <v>3</v>
      </c>
      <c r="I851">
        <f>HLOOKUP(G851,zip_tiers!$A$1:$EON$2,2,FALSE)</f>
        <v>73769</v>
      </c>
      <c r="J851" t="str">
        <f t="shared" si="13"/>
        <v>Med</v>
      </c>
      <c r="K851">
        <f>dataset[[#This Row],[soda_sales]]/dataset[[#This Row],[soda_units_sold]]</f>
        <v>0.71764583163202811</v>
      </c>
      <c r="L851" s="29">
        <f>dataset[[#This Row],[implied_soda_ppu]]-dataset[[#This Row],[soda_ppu]]</f>
        <v>4.5831632028092706E-5</v>
      </c>
      <c r="M851">
        <f>dataset[[#This Row],[soda_sales]]/dataset[[#This Row],[total_sales]]</f>
        <v>4.8475885540357026E-2</v>
      </c>
      <c r="N851">
        <f>LN(dataset[[#This Row],[soda_units_sold]])</f>
        <v>12.185502523785464</v>
      </c>
      <c r="O851">
        <f>LN(dataset[[#This Row],[soda_sales]])</f>
        <v>11.853723421446052</v>
      </c>
      <c r="P851">
        <f>LN(dataset[[#This Row],[soda_ppu]])</f>
        <v>-0.33184296823755066</v>
      </c>
      <c r="Q851">
        <f>IF(dataset[[#This Row],[state]]="VA",1,0)</f>
        <v>1</v>
      </c>
    </row>
    <row r="852" spans="1:17" x14ac:dyDescent="0.35">
      <c r="A852">
        <v>202311</v>
      </c>
      <c r="B852">
        <v>12</v>
      </c>
      <c r="C852" s="2">
        <v>3373932.9994999999</v>
      </c>
      <c r="D852" s="2">
        <v>0.74129999999999996</v>
      </c>
      <c r="E852" s="3">
        <v>186474</v>
      </c>
      <c r="F852" s="2">
        <v>138227.3247</v>
      </c>
      <c r="G852" t="s">
        <v>2387</v>
      </c>
      <c r="H852" t="s">
        <v>3</v>
      </c>
      <c r="I852">
        <f>HLOOKUP(G852,zip_tiers!$A$1:$EON$2,2,FALSE)</f>
        <v>73769</v>
      </c>
      <c r="J852" t="str">
        <f t="shared" si="13"/>
        <v>Med</v>
      </c>
      <c r="K852">
        <f>dataset[[#This Row],[soda_sales]]/dataset[[#This Row],[soda_units_sold]]</f>
        <v>0.74126862029022811</v>
      </c>
      <c r="L852" s="29">
        <f>dataset[[#This Row],[implied_soda_ppu]]-dataset[[#This Row],[soda_ppu]]</f>
        <v>-3.137970977185045E-5</v>
      </c>
      <c r="M852">
        <f>dataset[[#This Row],[soda_sales]]/dataset[[#This Row],[total_sales]]</f>
        <v>4.0969196697292029E-2</v>
      </c>
      <c r="N852">
        <f>LN(dataset[[#This Row],[soda_units_sold]])</f>
        <v>12.136047098159835</v>
      </c>
      <c r="O852">
        <f>LN(dataset[[#This Row],[soda_sales]])</f>
        <v>11.836654889295854</v>
      </c>
      <c r="P852">
        <f>LN(dataset[[#This Row],[soda_ppu]])</f>
        <v>-0.29934987731946305</v>
      </c>
      <c r="Q852">
        <f>IF(dataset[[#This Row],[state]]="VA",1,0)</f>
        <v>1</v>
      </c>
    </row>
    <row r="853" spans="1:17" x14ac:dyDescent="0.35">
      <c r="A853">
        <v>202312</v>
      </c>
      <c r="B853">
        <v>12</v>
      </c>
      <c r="C853" s="2">
        <v>3473655.9619</v>
      </c>
      <c r="D853" s="2">
        <v>0.72389999999999999</v>
      </c>
      <c r="E853" s="3">
        <v>187493</v>
      </c>
      <c r="F853" s="2">
        <v>135731.7433</v>
      </c>
      <c r="G853" t="s">
        <v>2387</v>
      </c>
      <c r="H853" t="s">
        <v>3</v>
      </c>
      <c r="I853">
        <f>HLOOKUP(G853,zip_tiers!$A$1:$EON$2,2,FALSE)</f>
        <v>73769</v>
      </c>
      <c r="J853" t="str">
        <f t="shared" si="13"/>
        <v>Med</v>
      </c>
      <c r="K853">
        <f>dataset[[#This Row],[soda_sales]]/dataset[[#This Row],[soda_units_sold]]</f>
        <v>0.72392965764055195</v>
      </c>
      <c r="L853" s="29">
        <f>dataset[[#This Row],[implied_soda_ppu]]-dataset[[#This Row],[soda_ppu]]</f>
        <v>2.9657640551961073E-5</v>
      </c>
      <c r="M853">
        <f>dataset[[#This Row],[soda_sales]]/dataset[[#This Row],[total_sales]]</f>
        <v>3.9074607499632243E-2</v>
      </c>
      <c r="N853">
        <f>LN(dataset[[#This Row],[soda_units_sold]])</f>
        <v>12.141496790362362</v>
      </c>
      <c r="O853">
        <f>LN(dataset[[#This Row],[soda_sales]])</f>
        <v>11.818435741090763</v>
      </c>
      <c r="P853">
        <f>LN(dataset[[#This Row],[soda_ppu]])</f>
        <v>-0.32310201768304131</v>
      </c>
      <c r="Q853">
        <f>IF(dataset[[#This Row],[state]]="VA",1,0)</f>
        <v>1</v>
      </c>
    </row>
    <row r="854" spans="1:17" x14ac:dyDescent="0.35">
      <c r="A854">
        <v>202401</v>
      </c>
      <c r="B854">
        <v>12</v>
      </c>
      <c r="C854" s="2">
        <v>1991599.3835</v>
      </c>
      <c r="D854" s="2">
        <v>0.74919999999999998</v>
      </c>
      <c r="E854" s="3">
        <v>131383</v>
      </c>
      <c r="F854" s="2">
        <v>98426.264500000005</v>
      </c>
      <c r="G854" t="s">
        <v>2387</v>
      </c>
      <c r="H854" t="s">
        <v>3</v>
      </c>
      <c r="I854">
        <f>HLOOKUP(G854,zip_tiers!$A$1:$EON$2,2,FALSE)</f>
        <v>73769</v>
      </c>
      <c r="J854" t="str">
        <f t="shared" si="13"/>
        <v>Med</v>
      </c>
      <c r="K854">
        <f>dataset[[#This Row],[soda_sales]]/dataset[[#This Row],[soda_units_sold]]</f>
        <v>0.74915525220157864</v>
      </c>
      <c r="L854" s="29">
        <f>dataset[[#This Row],[implied_soda_ppu]]-dataset[[#This Row],[soda_ppu]]</f>
        <v>-4.474779842134069E-5</v>
      </c>
      <c r="M854">
        <f>dataset[[#This Row],[soda_sales]]/dataset[[#This Row],[total_sales]]</f>
        <v>4.9420714484771283E-2</v>
      </c>
      <c r="N854">
        <f>LN(dataset[[#This Row],[soda_units_sold]])</f>
        <v>11.785872000711564</v>
      </c>
      <c r="O854">
        <f>LN(dataset[[#This Row],[soda_sales]])</f>
        <v>11.497062963075107</v>
      </c>
      <c r="P854">
        <f>LN(dataset[[#This Row],[soda_ppu]])</f>
        <v>-0.28874930841220364</v>
      </c>
      <c r="Q854">
        <f>IF(dataset[[#This Row],[state]]="VA",1,0)</f>
        <v>1</v>
      </c>
    </row>
    <row r="855" spans="1:17" x14ac:dyDescent="0.35">
      <c r="A855">
        <v>202402</v>
      </c>
      <c r="B855">
        <v>12</v>
      </c>
      <c r="C855" s="2">
        <v>2266416.0353999999</v>
      </c>
      <c r="D855" s="2">
        <v>0.71970000000000001</v>
      </c>
      <c r="E855" s="3">
        <v>156375</v>
      </c>
      <c r="F855" s="2">
        <v>112549.198</v>
      </c>
      <c r="G855" t="s">
        <v>2387</v>
      </c>
      <c r="H855" t="s">
        <v>3</v>
      </c>
      <c r="I855">
        <f>HLOOKUP(G855,zip_tiers!$A$1:$EON$2,2,FALSE)</f>
        <v>73769</v>
      </c>
      <c r="J855" t="str">
        <f t="shared" si="13"/>
        <v>Med</v>
      </c>
      <c r="K855">
        <f>dataset[[#This Row],[soda_sales]]/dataset[[#This Row],[soda_units_sold]]</f>
        <v>0.71973907593924857</v>
      </c>
      <c r="L855" s="29">
        <f>dataset[[#This Row],[implied_soda_ppu]]-dataset[[#This Row],[soda_ppu]]</f>
        <v>3.9075939248567337E-5</v>
      </c>
      <c r="M855">
        <f>dataset[[#This Row],[soda_sales]]/dataset[[#This Row],[total_sales]]</f>
        <v>4.965954892749256E-2</v>
      </c>
      <c r="N855">
        <f>LN(dataset[[#This Row],[soda_units_sold]])</f>
        <v>11.960012247769212</v>
      </c>
      <c r="O855">
        <f>LN(dataset[[#This Row],[soda_sales]])</f>
        <v>11.63114572058759</v>
      </c>
      <c r="P855">
        <f>LN(dataset[[#This Row],[soda_ppu]])</f>
        <v>-0.32892082046837845</v>
      </c>
      <c r="Q855">
        <f>IF(dataset[[#This Row],[state]]="VA",1,0)</f>
        <v>1</v>
      </c>
    </row>
    <row r="856" spans="1:17" x14ac:dyDescent="0.35">
      <c r="A856">
        <v>202403</v>
      </c>
      <c r="B856">
        <v>12</v>
      </c>
      <c r="C856" s="2">
        <v>2517946.4733000002</v>
      </c>
      <c r="D856" s="2">
        <v>0.77329999999999999</v>
      </c>
      <c r="E856" s="3">
        <v>170291</v>
      </c>
      <c r="F856" s="2">
        <v>131686.345</v>
      </c>
      <c r="G856" t="s">
        <v>2387</v>
      </c>
      <c r="H856" t="s">
        <v>3</v>
      </c>
      <c r="I856">
        <f>HLOOKUP(G856,zip_tiers!$A$1:$EON$2,2,FALSE)</f>
        <v>73769</v>
      </c>
      <c r="J856" t="str">
        <f t="shared" si="13"/>
        <v>Med</v>
      </c>
      <c r="K856">
        <f>dataset[[#This Row],[soda_sales]]/dataset[[#This Row],[soda_units_sold]]</f>
        <v>0.77330184801310697</v>
      </c>
      <c r="L856" s="29">
        <f>dataset[[#This Row],[implied_soda_ppu]]-dataset[[#This Row],[soda_ppu]]</f>
        <v>1.8480131069864569E-6</v>
      </c>
      <c r="M856">
        <f>dataset[[#This Row],[soda_sales]]/dataset[[#This Row],[total_sales]]</f>
        <v>5.2299104209079135E-2</v>
      </c>
      <c r="N856">
        <f>LN(dataset[[#This Row],[soda_units_sold]])</f>
        <v>12.045264017338836</v>
      </c>
      <c r="O856">
        <f>LN(dataset[[#This Row],[soda_sales]])</f>
        <v>11.788178199743962</v>
      </c>
      <c r="P856">
        <f>LN(dataset[[#This Row],[soda_ppu]])</f>
        <v>-0.25708820736714733</v>
      </c>
      <c r="Q856">
        <f>IF(dataset[[#This Row],[state]]="VA",1,0)</f>
        <v>1</v>
      </c>
    </row>
    <row r="857" spans="1:17" x14ac:dyDescent="0.35">
      <c r="A857">
        <v>202404</v>
      </c>
      <c r="B857">
        <v>12</v>
      </c>
      <c r="C857" s="2">
        <v>2682304.2370000002</v>
      </c>
      <c r="D857" s="2">
        <v>0.7742</v>
      </c>
      <c r="E857" s="3">
        <v>202515</v>
      </c>
      <c r="F857" s="2">
        <v>156777.51</v>
      </c>
      <c r="G857" t="s">
        <v>2387</v>
      </c>
      <c r="H857" t="s">
        <v>3</v>
      </c>
      <c r="I857">
        <f>HLOOKUP(G857,zip_tiers!$A$1:$EON$2,2,FALSE)</f>
        <v>73769</v>
      </c>
      <c r="J857" t="str">
        <f t="shared" si="13"/>
        <v>Med</v>
      </c>
      <c r="K857">
        <f>dataset[[#This Row],[soda_sales]]/dataset[[#This Row],[soda_units_sold]]</f>
        <v>0.77415258129027487</v>
      </c>
      <c r="L857" s="29">
        <f>dataset[[#This Row],[implied_soda_ppu]]-dataset[[#This Row],[soda_ppu]]</f>
        <v>-4.741870972513329E-5</v>
      </c>
      <c r="M857">
        <f>dataset[[#This Row],[soda_sales]]/dataset[[#This Row],[total_sales]]</f>
        <v>5.8448817191351289E-2</v>
      </c>
      <c r="N857">
        <f>LN(dataset[[#This Row],[soda_units_sold]])</f>
        <v>12.218569236859457</v>
      </c>
      <c r="O857">
        <f>LN(dataset[[#This Row],[soda_sales]])</f>
        <v>11.962582945488769</v>
      </c>
      <c r="P857">
        <f>LN(dataset[[#This Row],[soda_ppu]])</f>
        <v>-0.2559250408385893</v>
      </c>
      <c r="Q857">
        <f>IF(dataset[[#This Row],[state]]="VA",1,0)</f>
        <v>1</v>
      </c>
    </row>
    <row r="858" spans="1:17" x14ac:dyDescent="0.35">
      <c r="A858">
        <v>202405</v>
      </c>
      <c r="B858">
        <v>12</v>
      </c>
      <c r="C858" s="2">
        <v>2775840.5706000002</v>
      </c>
      <c r="D858" s="2">
        <v>0.72319999999999995</v>
      </c>
      <c r="E858" s="3">
        <v>231889</v>
      </c>
      <c r="F858" s="2">
        <v>167700.58600000001</v>
      </c>
      <c r="G858" t="s">
        <v>2387</v>
      </c>
      <c r="H858" t="s">
        <v>3</v>
      </c>
      <c r="I858">
        <f>HLOOKUP(G858,zip_tiers!$A$1:$EON$2,2,FALSE)</f>
        <v>73769</v>
      </c>
      <c r="J858" t="str">
        <f t="shared" si="13"/>
        <v>Med</v>
      </c>
      <c r="K858">
        <f>dataset[[#This Row],[soda_sales]]/dataset[[#This Row],[soda_units_sold]]</f>
        <v>0.72319336406642842</v>
      </c>
      <c r="L858" s="29">
        <f>dataset[[#This Row],[implied_soda_ppu]]-dataset[[#This Row],[soda_ppu]]</f>
        <v>-6.6359335715304724E-6</v>
      </c>
      <c r="M858">
        <f>dataset[[#This Row],[soda_sales]]/dataset[[#This Row],[total_sales]]</f>
        <v>6.0414343596019777E-2</v>
      </c>
      <c r="N858">
        <f>LN(dataset[[#This Row],[soda_units_sold]])</f>
        <v>12.354014087879689</v>
      </c>
      <c r="O858">
        <f>LN(dataset[[#This Row],[soda_sales]])</f>
        <v>12.029935442140317</v>
      </c>
      <c r="P858">
        <f>LN(dataset[[#This Row],[soda_ppu]])</f>
        <v>-0.32406946990417035</v>
      </c>
      <c r="Q858">
        <f>IF(dataset[[#This Row],[state]]="VA",1,0)</f>
        <v>1</v>
      </c>
    </row>
    <row r="859" spans="1:17" x14ac:dyDescent="0.35">
      <c r="A859">
        <v>202406</v>
      </c>
      <c r="B859">
        <v>12</v>
      </c>
      <c r="C859" s="2">
        <v>2677204.8007999999</v>
      </c>
      <c r="D859" s="2">
        <v>0.77239999999999998</v>
      </c>
      <c r="E859" s="3">
        <v>232410</v>
      </c>
      <c r="F859" s="2">
        <v>179504.4903</v>
      </c>
      <c r="G859" t="s">
        <v>2387</v>
      </c>
      <c r="H859" t="s">
        <v>3</v>
      </c>
      <c r="I859">
        <f>HLOOKUP(G859,zip_tiers!$A$1:$EON$2,2,FALSE)</f>
        <v>73769</v>
      </c>
      <c r="J859" t="str">
        <f t="shared" si="13"/>
        <v>Med</v>
      </c>
      <c r="K859">
        <f>dataset[[#This Row],[soda_sales]]/dataset[[#This Row],[soda_units_sold]]</f>
        <v>0.77236130243965406</v>
      </c>
      <c r="L859" s="29">
        <f>dataset[[#This Row],[implied_soda_ppu]]-dataset[[#This Row],[soda_ppu]]</f>
        <v>-3.8697560345912763E-5</v>
      </c>
      <c r="M859">
        <f>dataset[[#This Row],[soda_sales]]/dataset[[#This Row],[total_sales]]</f>
        <v>6.704921873976942E-2</v>
      </c>
      <c r="N859">
        <f>LN(dataset[[#This Row],[soda_units_sold]])</f>
        <v>12.356258332294058</v>
      </c>
      <c r="O859">
        <f>LN(dataset[[#This Row],[soda_sales]])</f>
        <v>12.097955502196472</v>
      </c>
      <c r="P859">
        <f>LN(dataset[[#This Row],[soda_ppu]])</f>
        <v>-0.25825272842777769</v>
      </c>
      <c r="Q859">
        <f>IF(dataset[[#This Row],[state]]="VA",1,0)</f>
        <v>1</v>
      </c>
    </row>
    <row r="860" spans="1:17" x14ac:dyDescent="0.35">
      <c r="A860">
        <v>202407</v>
      </c>
      <c r="B860">
        <v>12</v>
      </c>
      <c r="C860" s="2">
        <v>2579445.4049</v>
      </c>
      <c r="D860" s="2">
        <v>0.75419999999999998</v>
      </c>
      <c r="E860" s="3">
        <v>243650</v>
      </c>
      <c r="F860" s="2">
        <v>183756.30929999999</v>
      </c>
      <c r="G860" t="s">
        <v>2387</v>
      </c>
      <c r="H860" t="s">
        <v>3</v>
      </c>
      <c r="I860">
        <f>HLOOKUP(G860,zip_tiers!$A$1:$EON$2,2,FALSE)</f>
        <v>73769</v>
      </c>
      <c r="J860" t="str">
        <f t="shared" si="13"/>
        <v>Med</v>
      </c>
      <c r="K860">
        <f>dataset[[#This Row],[soda_sales]]/dataset[[#This Row],[soda_units_sold]]</f>
        <v>0.75418144592653391</v>
      </c>
      <c r="L860" s="29">
        <f>dataset[[#This Row],[implied_soda_ppu]]-dataset[[#This Row],[soda_ppu]]</f>
        <v>-1.855407346607052E-5</v>
      </c>
      <c r="M860">
        <f>dataset[[#This Row],[soda_sales]]/dataset[[#This Row],[total_sales]]</f>
        <v>7.123868911934729E-2</v>
      </c>
      <c r="N860">
        <f>LN(dataset[[#This Row],[soda_units_sold]])</f>
        <v>12.403488048271653</v>
      </c>
      <c r="O860">
        <f>LN(dataset[[#This Row],[soda_sales]])</f>
        <v>12.121365752812135</v>
      </c>
      <c r="P860">
        <f>LN(dataset[[#This Row],[soda_ppu]])</f>
        <v>-0.28209769415788033</v>
      </c>
      <c r="Q860">
        <f>IF(dataset[[#This Row],[state]]="VA",1,0)</f>
        <v>1</v>
      </c>
    </row>
    <row r="861" spans="1:17" x14ac:dyDescent="0.35">
      <c r="A861">
        <v>202408</v>
      </c>
      <c r="B861">
        <v>12</v>
      </c>
      <c r="C861" s="2">
        <v>2424115.0282000001</v>
      </c>
      <c r="D861" s="2">
        <v>0.75800000000000001</v>
      </c>
      <c r="E861" s="3">
        <v>210242</v>
      </c>
      <c r="F861" s="2">
        <v>159371.0784</v>
      </c>
      <c r="G861" t="s">
        <v>2387</v>
      </c>
      <c r="H861" t="s">
        <v>3</v>
      </c>
      <c r="I861">
        <f>HLOOKUP(G861,zip_tiers!$A$1:$EON$2,2,FALSE)</f>
        <v>73769</v>
      </c>
      <c r="J861" t="str">
        <f t="shared" si="13"/>
        <v>Med</v>
      </c>
      <c r="K861">
        <f>dataset[[#This Row],[soda_sales]]/dataset[[#This Row],[soda_units_sold]]</f>
        <v>0.75803635049133855</v>
      </c>
      <c r="L861" s="29">
        <f>dataset[[#This Row],[implied_soda_ppu]]-dataset[[#This Row],[soda_ppu]]</f>
        <v>3.6350491338543733E-5</v>
      </c>
      <c r="M861">
        <f>dataset[[#This Row],[soda_sales]]/dataset[[#This Row],[total_sales]]</f>
        <v>6.5744024745533314E-2</v>
      </c>
      <c r="N861">
        <f>LN(dataset[[#This Row],[soda_units_sold]])</f>
        <v>12.256014527170731</v>
      </c>
      <c r="O861">
        <f>LN(dataset[[#This Row],[soda_sales]])</f>
        <v>11.978990588474446</v>
      </c>
      <c r="P861">
        <f>LN(dataset[[#This Row],[soda_ppu]])</f>
        <v>-0.2770718933397654</v>
      </c>
      <c r="Q861">
        <f>IF(dataset[[#This Row],[state]]="VA",1,0)</f>
        <v>1</v>
      </c>
    </row>
    <row r="862" spans="1:17" x14ac:dyDescent="0.35">
      <c r="A862">
        <v>202409</v>
      </c>
      <c r="B862">
        <v>12</v>
      </c>
      <c r="C862" s="2">
        <v>2512652.8267000001</v>
      </c>
      <c r="D862" s="2">
        <v>0.77869999999999995</v>
      </c>
      <c r="E862" s="3">
        <v>210532</v>
      </c>
      <c r="F862" s="2">
        <v>163937.5374</v>
      </c>
      <c r="G862" t="s">
        <v>2387</v>
      </c>
      <c r="H862" t="s">
        <v>3</v>
      </c>
      <c r="I862">
        <f>HLOOKUP(G862,zip_tiers!$A$1:$EON$2,2,FALSE)</f>
        <v>73769</v>
      </c>
      <c r="J862" t="str">
        <f t="shared" si="13"/>
        <v>Med</v>
      </c>
      <c r="K862">
        <f>dataset[[#This Row],[soda_sales]]/dataset[[#This Row],[soda_units_sold]]</f>
        <v>0.77868227822848779</v>
      </c>
      <c r="L862" s="29">
        <f>dataset[[#This Row],[implied_soda_ppu]]-dataset[[#This Row],[soda_ppu]]</f>
        <v>-1.7721771512158035E-5</v>
      </c>
      <c r="M862">
        <f>dataset[[#This Row],[soda_sales]]/dataset[[#This Row],[total_sales]]</f>
        <v>6.524480248841534E-2</v>
      </c>
      <c r="N862">
        <f>LN(dataset[[#This Row],[soda_units_sold]])</f>
        <v>12.257392939553231</v>
      </c>
      <c r="O862">
        <f>LN(dataset[[#This Row],[soda_sales]])</f>
        <v>12.007240764744926</v>
      </c>
      <c r="P862">
        <f>LN(dataset[[#This Row],[soda_ppu]])</f>
        <v>-0.25012941639919672</v>
      </c>
      <c r="Q862">
        <f>IF(dataset[[#This Row],[state]]="VA",1,0)</f>
        <v>1</v>
      </c>
    </row>
    <row r="863" spans="1:17" x14ac:dyDescent="0.35">
      <c r="A863">
        <v>202410</v>
      </c>
      <c r="B863">
        <v>12</v>
      </c>
      <c r="C863" s="2">
        <v>2964410.2483999999</v>
      </c>
      <c r="D863" s="2">
        <v>0.76439999999999997</v>
      </c>
      <c r="E863" s="3">
        <v>191875</v>
      </c>
      <c r="F863" s="2">
        <v>146673.1349</v>
      </c>
      <c r="G863" t="s">
        <v>2387</v>
      </c>
      <c r="H863" t="s">
        <v>3</v>
      </c>
      <c r="I863">
        <f>HLOOKUP(G863,zip_tiers!$A$1:$EON$2,2,FALSE)</f>
        <v>73769</v>
      </c>
      <c r="J863" t="str">
        <f t="shared" si="13"/>
        <v>Med</v>
      </c>
      <c r="K863">
        <f>dataset[[#This Row],[soda_sales]]/dataset[[#This Row],[soda_units_sold]]</f>
        <v>0.76442024703583067</v>
      </c>
      <c r="L863" s="29">
        <f>dataset[[#This Row],[implied_soda_ppu]]-dataset[[#This Row],[soda_ppu]]</f>
        <v>2.0247035830700533E-5</v>
      </c>
      <c r="M863">
        <f>dataset[[#This Row],[soda_sales]]/dataset[[#This Row],[total_sales]]</f>
        <v>4.9478015055158045E-2</v>
      </c>
      <c r="N863">
        <f>LN(dataset[[#This Row],[soda_units_sold]])</f>
        <v>12.164599397323599</v>
      </c>
      <c r="O863">
        <f>LN(dataset[[#This Row],[soda_sales]])</f>
        <v>11.895961817844796</v>
      </c>
      <c r="P863">
        <f>LN(dataset[[#This Row],[soda_ppu]])</f>
        <v>-0.2686640666160191</v>
      </c>
      <c r="Q863">
        <f>IF(dataset[[#This Row],[state]]="VA",1,0)</f>
        <v>1</v>
      </c>
    </row>
    <row r="864" spans="1:17" x14ac:dyDescent="0.35">
      <c r="A864">
        <v>202411</v>
      </c>
      <c r="B864">
        <v>12</v>
      </c>
      <c r="C864" s="2">
        <v>3384297.8437999999</v>
      </c>
      <c r="D864" s="2">
        <v>0.75919999999999999</v>
      </c>
      <c r="E864" s="3">
        <v>186721</v>
      </c>
      <c r="F864" s="2">
        <v>141766.7409</v>
      </c>
      <c r="G864" t="s">
        <v>2387</v>
      </c>
      <c r="H864" t="s">
        <v>3</v>
      </c>
      <c r="I864">
        <f>HLOOKUP(G864,zip_tiers!$A$1:$EON$2,2,FALSE)</f>
        <v>73769</v>
      </c>
      <c r="J864" t="str">
        <f t="shared" si="13"/>
        <v>Med</v>
      </c>
      <c r="K864">
        <f>dataset[[#This Row],[soda_sales]]/dataset[[#This Row],[soda_units_sold]]</f>
        <v>0.759243689247594</v>
      </c>
      <c r="L864" s="29">
        <f>dataset[[#This Row],[implied_soda_ppu]]-dataset[[#This Row],[soda_ppu]]</f>
        <v>4.3689247594014269E-5</v>
      </c>
      <c r="M864">
        <f>dataset[[#This Row],[soda_sales]]/dataset[[#This Row],[total_sales]]</f>
        <v>4.188955802448513E-2</v>
      </c>
      <c r="N864">
        <f>LN(dataset[[#This Row],[soda_units_sold]])</f>
        <v>12.137370803118724</v>
      </c>
      <c r="O864">
        <f>LN(dataset[[#This Row],[soda_sales]])</f>
        <v>11.861938316203856</v>
      </c>
      <c r="P864">
        <f>LN(dataset[[#This Row],[soda_ppu]])</f>
        <v>-0.27549003168641895</v>
      </c>
      <c r="Q864">
        <f>IF(dataset[[#This Row],[state]]="VA",1,0)</f>
        <v>1</v>
      </c>
    </row>
    <row r="865" spans="1:17" x14ac:dyDescent="0.35">
      <c r="A865">
        <v>202412</v>
      </c>
      <c r="B865">
        <v>12</v>
      </c>
      <c r="C865" s="2">
        <v>3513185.1856</v>
      </c>
      <c r="D865" s="2">
        <v>0.7752</v>
      </c>
      <c r="E865" s="3">
        <v>177471</v>
      </c>
      <c r="F865" s="2">
        <v>137574.27369999999</v>
      </c>
      <c r="G865" t="s">
        <v>2387</v>
      </c>
      <c r="H865" t="s">
        <v>3</v>
      </c>
      <c r="I865">
        <f>HLOOKUP(G865,zip_tiers!$A$1:$EON$2,2,FALSE)</f>
        <v>73769</v>
      </c>
      <c r="J865" t="str">
        <f t="shared" si="13"/>
        <v>Med</v>
      </c>
      <c r="K865">
        <f>dataset[[#This Row],[soda_sales]]/dataset[[#This Row],[soda_units_sold]]</f>
        <v>0.77519298195198083</v>
      </c>
      <c r="L865" s="29">
        <f>dataset[[#This Row],[implied_soda_ppu]]-dataset[[#This Row],[soda_ppu]]</f>
        <v>-7.0180480191694983E-6</v>
      </c>
      <c r="M865">
        <f>dataset[[#This Row],[soda_sales]]/dataset[[#This Row],[total_sales]]</f>
        <v>3.9159414158950558E-2</v>
      </c>
      <c r="N865">
        <f>LN(dataset[[#This Row],[soda_units_sold]])</f>
        <v>12.086562494267906</v>
      </c>
      <c r="O865">
        <f>LN(dataset[[#This Row],[soda_sales]])</f>
        <v>11.831919222611825</v>
      </c>
      <c r="P865">
        <f>LN(dataset[[#This Row],[soda_ppu]])</f>
        <v>-0.25463421840558059</v>
      </c>
      <c r="Q865">
        <f>IF(dataset[[#This Row],[state]]="VA",1,0)</f>
        <v>1</v>
      </c>
    </row>
    <row r="866" spans="1:17" x14ac:dyDescent="0.35">
      <c r="A866">
        <v>202201</v>
      </c>
      <c r="B866">
        <v>62</v>
      </c>
      <c r="C866" s="2">
        <v>2085999.8513</v>
      </c>
      <c r="D866" s="2">
        <v>0.70520000000000005</v>
      </c>
      <c r="E866" s="3">
        <v>151399</v>
      </c>
      <c r="F866" s="2">
        <v>106772.7838</v>
      </c>
      <c r="G866" t="s">
        <v>2406</v>
      </c>
      <c r="H866" t="s">
        <v>3</v>
      </c>
      <c r="I866">
        <f>HLOOKUP(G866,zip_tiers!$A$1:$EON$2,2,FALSE)</f>
        <v>82692.666666666672</v>
      </c>
      <c r="J866" t="str">
        <f t="shared" si="13"/>
        <v>Med</v>
      </c>
      <c r="K866">
        <f>dataset[[#This Row],[soda_sales]]/dataset[[#This Row],[soda_units_sold]]</f>
        <v>0.70524101083890911</v>
      </c>
      <c r="L866" s="29">
        <f>dataset[[#This Row],[implied_soda_ppu]]-dataset[[#This Row],[soda_ppu]]</f>
        <v>4.101083890906132E-5</v>
      </c>
      <c r="M866">
        <f>dataset[[#This Row],[soda_sales]]/dataset[[#This Row],[total_sales]]</f>
        <v>5.118542253656392E-2</v>
      </c>
      <c r="N866">
        <f>LN(dataset[[#This Row],[soda_units_sold]])</f>
        <v>11.927674014943857</v>
      </c>
      <c r="O866">
        <f>LN(dataset[[#This Row],[soda_sales]])</f>
        <v>11.578458339699367</v>
      </c>
      <c r="P866">
        <f>LN(dataset[[#This Row],[soda_ppu]])</f>
        <v>-0.34927382845842181</v>
      </c>
      <c r="Q866">
        <f>IF(dataset[[#This Row],[state]]="VA",1,0)</f>
        <v>1</v>
      </c>
    </row>
    <row r="867" spans="1:17" x14ac:dyDescent="0.35">
      <c r="A867">
        <v>202202</v>
      </c>
      <c r="B867">
        <v>62</v>
      </c>
      <c r="C867" s="2">
        <v>2337107.5347000002</v>
      </c>
      <c r="D867" s="2">
        <v>0.71419999999999995</v>
      </c>
      <c r="E867" s="3">
        <v>169981</v>
      </c>
      <c r="F867" s="2">
        <v>121401.86139999999</v>
      </c>
      <c r="G867" t="s">
        <v>2406</v>
      </c>
      <c r="H867" t="s">
        <v>3</v>
      </c>
      <c r="I867">
        <f>HLOOKUP(G867,zip_tiers!$A$1:$EON$2,2,FALSE)</f>
        <v>82692.666666666672</v>
      </c>
      <c r="J867" t="str">
        <f t="shared" si="13"/>
        <v>Med</v>
      </c>
      <c r="K867">
        <f>dataset[[#This Row],[soda_sales]]/dataset[[#This Row],[soda_units_sold]]</f>
        <v>0.71420841976456184</v>
      </c>
      <c r="L867" s="29">
        <f>dataset[[#This Row],[implied_soda_ppu]]-dataset[[#This Row],[soda_ppu]]</f>
        <v>8.4197645618955264E-6</v>
      </c>
      <c r="M867">
        <f>dataset[[#This Row],[soda_sales]]/dataset[[#This Row],[total_sales]]</f>
        <v>5.1945346800477278E-2</v>
      </c>
      <c r="N867">
        <f>LN(dataset[[#This Row],[soda_units_sold]])</f>
        <v>12.043441945080376</v>
      </c>
      <c r="O867">
        <f>LN(dataset[[#This Row],[soda_sales]])</f>
        <v>11.706861490274173</v>
      </c>
      <c r="P867">
        <f>LN(dataset[[#This Row],[soda_ppu]])</f>
        <v>-0.33659224382178904</v>
      </c>
      <c r="Q867">
        <f>IF(dataset[[#This Row],[state]]="VA",1,0)</f>
        <v>1</v>
      </c>
    </row>
    <row r="868" spans="1:17" x14ac:dyDescent="0.35">
      <c r="A868">
        <v>202203</v>
      </c>
      <c r="B868">
        <v>62</v>
      </c>
      <c r="C868" s="2">
        <v>2641795.4904</v>
      </c>
      <c r="D868" s="2">
        <v>0.74760000000000004</v>
      </c>
      <c r="E868" s="3">
        <v>193948</v>
      </c>
      <c r="F868" s="2">
        <v>145000.6667</v>
      </c>
      <c r="G868" t="s">
        <v>2406</v>
      </c>
      <c r="H868" t="s">
        <v>3</v>
      </c>
      <c r="I868">
        <f>HLOOKUP(G868,zip_tiers!$A$1:$EON$2,2,FALSE)</f>
        <v>82692.666666666672</v>
      </c>
      <c r="J868" t="str">
        <f t="shared" si="13"/>
        <v>Med</v>
      </c>
      <c r="K868">
        <f>dataset[[#This Row],[soda_sales]]/dataset[[#This Row],[soda_units_sold]]</f>
        <v>0.74762651174541628</v>
      </c>
      <c r="L868" s="29">
        <f>dataset[[#This Row],[implied_soda_ppu]]-dataset[[#This Row],[soda_ppu]]</f>
        <v>2.6511745416235577E-5</v>
      </c>
      <c r="M868">
        <f>dataset[[#This Row],[soda_sales]]/dataset[[#This Row],[total_sales]]</f>
        <v>5.4887165651889704E-2</v>
      </c>
      <c r="N868">
        <f>LN(dataset[[#This Row],[soda_units_sold]])</f>
        <v>12.175345360878879</v>
      </c>
      <c r="O868">
        <f>LN(dataset[[#This Row],[soda_sales]])</f>
        <v>11.884493619323175</v>
      </c>
      <c r="P868">
        <f>LN(dataset[[#This Row],[soda_ppu]])</f>
        <v>-0.29088720340072921</v>
      </c>
      <c r="Q868">
        <f>IF(dataset[[#This Row],[state]]="VA",1,0)</f>
        <v>1</v>
      </c>
    </row>
    <row r="869" spans="1:17" x14ac:dyDescent="0.35">
      <c r="A869">
        <v>202204</v>
      </c>
      <c r="B869">
        <v>62</v>
      </c>
      <c r="C869" s="2">
        <v>2791036.9079999998</v>
      </c>
      <c r="D869" s="2">
        <v>0.7571</v>
      </c>
      <c r="E869" s="3">
        <v>224886</v>
      </c>
      <c r="F869" s="2">
        <v>170262.04120000001</v>
      </c>
      <c r="G869" t="s">
        <v>2406</v>
      </c>
      <c r="H869" t="s">
        <v>3</v>
      </c>
      <c r="I869">
        <f>HLOOKUP(G869,zip_tiers!$A$1:$EON$2,2,FALSE)</f>
        <v>82692.666666666672</v>
      </c>
      <c r="J869" t="str">
        <f t="shared" si="13"/>
        <v>Med</v>
      </c>
      <c r="K869">
        <f>dataset[[#This Row],[soda_sales]]/dataset[[#This Row],[soda_units_sold]]</f>
        <v>0.75710378236084064</v>
      </c>
      <c r="L869" s="29">
        <f>dataset[[#This Row],[implied_soda_ppu]]-dataset[[#This Row],[soda_ppu]]</f>
        <v>3.7823608406428733E-6</v>
      </c>
      <c r="M869">
        <f>dataset[[#This Row],[soda_sales]]/dataset[[#This Row],[total_sales]]</f>
        <v>6.1003149299808553E-2</v>
      </c>
      <c r="N869">
        <f>LN(dataset[[#This Row],[soda_units_sold]])</f>
        <v>12.323348886120963</v>
      </c>
      <c r="O869">
        <f>LN(dataset[[#This Row],[soda_sales]])</f>
        <v>12.045093948089313</v>
      </c>
      <c r="P869">
        <f>LN(dataset[[#This Row],[soda_ppu]])</f>
        <v>-0.27825993387287612</v>
      </c>
      <c r="Q869">
        <f>IF(dataset[[#This Row],[state]]="VA",1,0)</f>
        <v>1</v>
      </c>
    </row>
    <row r="870" spans="1:17" x14ac:dyDescent="0.35">
      <c r="A870">
        <v>202205</v>
      </c>
      <c r="B870">
        <v>62</v>
      </c>
      <c r="C870" s="2">
        <v>2928177.2826</v>
      </c>
      <c r="D870" s="2">
        <v>0.72660000000000002</v>
      </c>
      <c r="E870" s="3">
        <v>257397</v>
      </c>
      <c r="F870" s="2">
        <v>187028.52669999999</v>
      </c>
      <c r="G870" t="s">
        <v>2406</v>
      </c>
      <c r="H870" t="s">
        <v>3</v>
      </c>
      <c r="I870">
        <f>HLOOKUP(G870,zip_tiers!$A$1:$EON$2,2,FALSE)</f>
        <v>82692.666666666672</v>
      </c>
      <c r="J870" t="str">
        <f t="shared" si="13"/>
        <v>Med</v>
      </c>
      <c r="K870">
        <f>dataset[[#This Row],[soda_sales]]/dataset[[#This Row],[soda_units_sold]]</f>
        <v>0.72661502154259761</v>
      </c>
      <c r="L870" s="29">
        <f>dataset[[#This Row],[implied_soda_ppu]]-dataset[[#This Row],[soda_ppu]]</f>
        <v>1.5021542597581927E-5</v>
      </c>
      <c r="M870">
        <f>dataset[[#This Row],[soda_sales]]/dataset[[#This Row],[total_sales]]</f>
        <v>6.3871995664802367E-2</v>
      </c>
      <c r="N870">
        <f>LN(dataset[[#This Row],[soda_units_sold]])</f>
        <v>12.458374919064589</v>
      </c>
      <c r="O870">
        <f>LN(dataset[[#This Row],[soda_sales]])</f>
        <v>12.139016433400139</v>
      </c>
      <c r="P870">
        <f>LN(dataset[[#This Row],[soda_ppu]])</f>
        <v>-0.31937915919503546</v>
      </c>
      <c r="Q870">
        <f>IF(dataset[[#This Row],[state]]="VA",1,0)</f>
        <v>1</v>
      </c>
    </row>
    <row r="871" spans="1:17" x14ac:dyDescent="0.35">
      <c r="A871">
        <v>202206</v>
      </c>
      <c r="B871">
        <v>62</v>
      </c>
      <c r="C871" s="2">
        <v>2793018.3491000002</v>
      </c>
      <c r="D871" s="2">
        <v>0.74909999999999999</v>
      </c>
      <c r="E871" s="3">
        <v>261834</v>
      </c>
      <c r="F871" s="2">
        <v>196150.0583</v>
      </c>
      <c r="G871" t="s">
        <v>2406</v>
      </c>
      <c r="H871" t="s">
        <v>3</v>
      </c>
      <c r="I871">
        <f>HLOOKUP(G871,zip_tiers!$A$1:$EON$2,2,FALSE)</f>
        <v>82692.666666666672</v>
      </c>
      <c r="J871" t="str">
        <f t="shared" si="13"/>
        <v>Med</v>
      </c>
      <c r="K871">
        <f>dataset[[#This Row],[soda_sales]]/dataset[[#This Row],[soda_units_sold]]</f>
        <v>0.7491389899707448</v>
      </c>
      <c r="L871" s="29">
        <f>dataset[[#This Row],[implied_soda_ppu]]-dataset[[#This Row],[soda_ppu]]</f>
        <v>3.8989970744807145E-5</v>
      </c>
      <c r="M871">
        <f>dataset[[#This Row],[soda_sales]]/dataset[[#This Row],[total_sales]]</f>
        <v>7.0228703783204935E-2</v>
      </c>
      <c r="N871">
        <f>LN(dataset[[#This Row],[soda_units_sold]])</f>
        <v>12.475465994155412</v>
      </c>
      <c r="O871">
        <f>LN(dataset[[#This Row],[soda_sales]])</f>
        <v>12.186635248859169</v>
      </c>
      <c r="P871">
        <f>LN(dataset[[#This Row],[soda_ppu]])</f>
        <v>-0.28888279302829983</v>
      </c>
      <c r="Q871">
        <f>IF(dataset[[#This Row],[state]]="VA",1,0)</f>
        <v>1</v>
      </c>
    </row>
    <row r="872" spans="1:17" x14ac:dyDescent="0.35">
      <c r="A872">
        <v>202207</v>
      </c>
      <c r="B872">
        <v>62</v>
      </c>
      <c r="C872" s="2">
        <v>2737645.7788</v>
      </c>
      <c r="D872" s="2">
        <v>0.72460000000000002</v>
      </c>
      <c r="E872" s="3">
        <v>280832</v>
      </c>
      <c r="F872" s="2">
        <v>203499.38709999999</v>
      </c>
      <c r="G872" t="s">
        <v>2406</v>
      </c>
      <c r="H872" t="s">
        <v>3</v>
      </c>
      <c r="I872">
        <f>HLOOKUP(G872,zip_tiers!$A$1:$EON$2,2,FALSE)</f>
        <v>82692.666666666672</v>
      </c>
      <c r="J872" t="str">
        <f t="shared" si="13"/>
        <v>Med</v>
      </c>
      <c r="K872">
        <f>dataset[[#This Row],[soda_sales]]/dataset[[#This Row],[soda_units_sold]]</f>
        <v>0.72463033806688693</v>
      </c>
      <c r="L872" s="29">
        <f>dataset[[#This Row],[implied_soda_ppu]]-dataset[[#This Row],[soda_ppu]]</f>
        <v>3.0338066886903547E-5</v>
      </c>
      <c r="M872">
        <f>dataset[[#This Row],[soda_sales]]/dataset[[#This Row],[total_sales]]</f>
        <v>7.4333717194486879E-2</v>
      </c>
      <c r="N872">
        <f>LN(dataset[[#This Row],[soda_units_sold]])</f>
        <v>12.545511904754793</v>
      </c>
      <c r="O872">
        <f>LN(dataset[[#This Row],[soda_sales]])</f>
        <v>12.22341827206664</v>
      </c>
      <c r="P872">
        <f>LN(dataset[[#This Row],[soda_ppu]])</f>
        <v>-0.32213550052116019</v>
      </c>
      <c r="Q872">
        <f>IF(dataset[[#This Row],[state]]="VA",1,0)</f>
        <v>1</v>
      </c>
    </row>
    <row r="873" spans="1:17" x14ac:dyDescent="0.35">
      <c r="A873">
        <v>202208</v>
      </c>
      <c r="B873">
        <v>62</v>
      </c>
      <c r="C873" s="2">
        <v>2556841.4256000002</v>
      </c>
      <c r="D873" s="2">
        <v>0.71860000000000002</v>
      </c>
      <c r="E873" s="3">
        <v>246090</v>
      </c>
      <c r="F873" s="2">
        <v>176830.40150000001</v>
      </c>
      <c r="G873" t="s">
        <v>2406</v>
      </c>
      <c r="H873" t="s">
        <v>3</v>
      </c>
      <c r="I873">
        <f>HLOOKUP(G873,zip_tiers!$A$1:$EON$2,2,FALSE)</f>
        <v>82692.666666666672</v>
      </c>
      <c r="J873" t="str">
        <f t="shared" si="13"/>
        <v>Med</v>
      </c>
      <c r="K873">
        <f>dataset[[#This Row],[soda_sales]]/dataset[[#This Row],[soda_units_sold]]</f>
        <v>0.71855988256328984</v>
      </c>
      <c r="L873" s="29">
        <f>dataset[[#This Row],[implied_soda_ppu]]-dataset[[#This Row],[soda_ppu]]</f>
        <v>-4.0117436710174204E-5</v>
      </c>
      <c r="M873">
        <f>dataset[[#This Row],[soda_sales]]/dataset[[#This Row],[total_sales]]</f>
        <v>6.9159706084824621E-2</v>
      </c>
      <c r="N873">
        <f>LN(dataset[[#This Row],[soda_units_sold]])</f>
        <v>12.413452601664906</v>
      </c>
      <c r="O873">
        <f>LN(dataset[[#This Row],[soda_sales]])</f>
        <v>12.082946368588773</v>
      </c>
      <c r="P873">
        <f>LN(dataset[[#This Row],[soda_ppu]])</f>
        <v>-0.33045040430271866</v>
      </c>
      <c r="Q873">
        <f>IF(dataset[[#This Row],[state]]="VA",1,0)</f>
        <v>1</v>
      </c>
    </row>
    <row r="874" spans="1:17" x14ac:dyDescent="0.35">
      <c r="A874">
        <v>202209</v>
      </c>
      <c r="B874">
        <v>62</v>
      </c>
      <c r="C874" s="2">
        <v>2477062.7234</v>
      </c>
      <c r="D874" s="2">
        <v>0.73050000000000004</v>
      </c>
      <c r="E874" s="3">
        <v>227945</v>
      </c>
      <c r="F874" s="2">
        <v>166517.8382</v>
      </c>
      <c r="G874" t="s">
        <v>2406</v>
      </c>
      <c r="H874" t="s">
        <v>3</v>
      </c>
      <c r="I874">
        <f>HLOOKUP(G874,zip_tiers!$A$1:$EON$2,2,FALSE)</f>
        <v>82692.666666666672</v>
      </c>
      <c r="J874" t="str">
        <f t="shared" si="13"/>
        <v>Med</v>
      </c>
      <c r="K874">
        <f>dataset[[#This Row],[soda_sales]]/dataset[[#This Row],[soda_units_sold]]</f>
        <v>0.73051761696900563</v>
      </c>
      <c r="L874" s="29">
        <f>dataset[[#This Row],[implied_soda_ppu]]-dataset[[#This Row],[soda_ppu]]</f>
        <v>1.7616969005596061E-5</v>
      </c>
      <c r="M874">
        <f>dataset[[#This Row],[soda_sales]]/dataset[[#This Row],[total_sales]]</f>
        <v>6.7223908634593918E-2</v>
      </c>
      <c r="N874">
        <f>LN(dataset[[#This Row],[soda_units_sold]])</f>
        <v>12.336859650766231</v>
      </c>
      <c r="O874">
        <f>LN(dataset[[#This Row],[soda_sales]])</f>
        <v>12.022857719000285</v>
      </c>
      <c r="P874">
        <f>LN(dataset[[#This Row],[soda_ppu]])</f>
        <v>-0.31402604779138282</v>
      </c>
      <c r="Q874">
        <f>IF(dataset[[#This Row],[state]]="VA",1,0)</f>
        <v>1</v>
      </c>
    </row>
    <row r="875" spans="1:17" x14ac:dyDescent="0.35">
      <c r="A875">
        <v>202210</v>
      </c>
      <c r="B875">
        <v>62</v>
      </c>
      <c r="C875" s="2">
        <v>3088715.8051</v>
      </c>
      <c r="D875" s="2">
        <v>0.74590000000000001</v>
      </c>
      <c r="E875" s="3">
        <v>215801</v>
      </c>
      <c r="F875" s="2">
        <v>160966.4387</v>
      </c>
      <c r="G875" t="s">
        <v>2406</v>
      </c>
      <c r="H875" t="s">
        <v>3</v>
      </c>
      <c r="I875">
        <f>HLOOKUP(G875,zip_tiers!$A$1:$EON$2,2,FALSE)</f>
        <v>82692.666666666672</v>
      </c>
      <c r="J875" t="str">
        <f t="shared" si="13"/>
        <v>Med</v>
      </c>
      <c r="K875">
        <f>dataset[[#This Row],[soda_sales]]/dataset[[#This Row],[soda_units_sold]]</f>
        <v>0.74590219090736376</v>
      </c>
      <c r="L875" s="29">
        <f>dataset[[#This Row],[implied_soda_ppu]]-dataset[[#This Row],[soda_ppu]]</f>
        <v>2.1909073637527143E-6</v>
      </c>
      <c r="M875">
        <f>dataset[[#This Row],[soda_sales]]/dataset[[#This Row],[total_sales]]</f>
        <v>5.2114357181783047E-2</v>
      </c>
      <c r="N875">
        <f>LN(dataset[[#This Row],[soda_units_sold]])</f>
        <v>12.282111965715732</v>
      </c>
      <c r="O875">
        <f>LN(dataset[[#This Row],[soda_sales]])</f>
        <v>11.988951166957275</v>
      </c>
      <c r="P875">
        <f>LN(dataset[[#This Row],[soda_ppu]])</f>
        <v>-0.29316373602101947</v>
      </c>
      <c r="Q875">
        <f>IF(dataset[[#This Row],[state]]="VA",1,0)</f>
        <v>1</v>
      </c>
    </row>
    <row r="876" spans="1:17" x14ac:dyDescent="0.35">
      <c r="A876">
        <v>202211</v>
      </c>
      <c r="B876">
        <v>62</v>
      </c>
      <c r="C876" s="2">
        <v>3531947.2754000002</v>
      </c>
      <c r="D876" s="2">
        <v>0.72</v>
      </c>
      <c r="E876" s="3">
        <v>210668</v>
      </c>
      <c r="F876" s="2">
        <v>151684.84340000001</v>
      </c>
      <c r="G876" t="s">
        <v>2406</v>
      </c>
      <c r="H876" t="s">
        <v>3</v>
      </c>
      <c r="I876">
        <f>HLOOKUP(G876,zip_tiers!$A$1:$EON$2,2,FALSE)</f>
        <v>82692.666666666672</v>
      </c>
      <c r="J876" t="str">
        <f t="shared" si="13"/>
        <v>Med</v>
      </c>
      <c r="K876">
        <f>dataset[[#This Row],[soda_sales]]/dataset[[#This Row],[soda_units_sold]]</f>
        <v>0.72001843374409025</v>
      </c>
      <c r="L876" s="29">
        <f>dataset[[#This Row],[implied_soda_ppu]]-dataset[[#This Row],[soda_ppu]]</f>
        <v>1.8433744090273763E-5</v>
      </c>
      <c r="M876">
        <f>dataset[[#This Row],[soda_sales]]/dataset[[#This Row],[total_sales]]</f>
        <v>4.294651974464183E-2</v>
      </c>
      <c r="N876">
        <f>LN(dataset[[#This Row],[soda_units_sold]])</f>
        <v>12.258038713554781</v>
      </c>
      <c r="O876">
        <f>LN(dataset[[#This Row],[soda_sales]])</f>
        <v>11.929560248677355</v>
      </c>
      <c r="P876">
        <f>LN(dataset[[#This Row],[soda_ppu]])</f>
        <v>-0.3285040669720361</v>
      </c>
      <c r="Q876">
        <f>IF(dataset[[#This Row],[state]]="VA",1,0)</f>
        <v>1</v>
      </c>
    </row>
    <row r="877" spans="1:17" x14ac:dyDescent="0.35">
      <c r="A877">
        <v>202212</v>
      </c>
      <c r="B877">
        <v>62</v>
      </c>
      <c r="C877" s="2">
        <v>3648852.5726999999</v>
      </c>
      <c r="D877" s="2">
        <v>0.73870000000000002</v>
      </c>
      <c r="E877" s="3">
        <v>202026</v>
      </c>
      <c r="F877" s="2">
        <v>149241.1263</v>
      </c>
      <c r="G877" t="s">
        <v>2406</v>
      </c>
      <c r="H877" t="s">
        <v>3</v>
      </c>
      <c r="I877">
        <f>HLOOKUP(G877,zip_tiers!$A$1:$EON$2,2,FALSE)</f>
        <v>82692.666666666672</v>
      </c>
      <c r="J877" t="str">
        <f t="shared" si="13"/>
        <v>Med</v>
      </c>
      <c r="K877">
        <f>dataset[[#This Row],[soda_sales]]/dataset[[#This Row],[soda_units_sold]]</f>
        <v>0.73872237385287043</v>
      </c>
      <c r="L877" s="29">
        <f>dataset[[#This Row],[implied_soda_ppu]]-dataset[[#This Row],[soda_ppu]]</f>
        <v>2.2373852870405386E-5</v>
      </c>
      <c r="M877">
        <f>dataset[[#This Row],[soda_sales]]/dataset[[#This Row],[total_sales]]</f>
        <v>4.0900837544545612E-2</v>
      </c>
      <c r="N877">
        <f>LN(dataset[[#This Row],[soda_units_sold]])</f>
        <v>12.216151680971839</v>
      </c>
      <c r="O877">
        <f>LN(dataset[[#This Row],[soda_sales]])</f>
        <v>11.913318574210932</v>
      </c>
      <c r="P877">
        <f>LN(dataset[[#This Row],[soda_ppu]])</f>
        <v>-0.30286339444744492</v>
      </c>
      <c r="Q877">
        <f>IF(dataset[[#This Row],[state]]="VA",1,0)</f>
        <v>1</v>
      </c>
    </row>
    <row r="878" spans="1:17" x14ac:dyDescent="0.35">
      <c r="A878">
        <v>202301</v>
      </c>
      <c r="B878">
        <v>62</v>
      </c>
      <c r="C878" s="2">
        <v>2113243.6505</v>
      </c>
      <c r="D878" s="2">
        <v>0.72130000000000005</v>
      </c>
      <c r="E878" s="3">
        <v>150677</v>
      </c>
      <c r="F878" s="2">
        <v>108680.5736</v>
      </c>
      <c r="G878" t="s">
        <v>2406</v>
      </c>
      <c r="H878" t="s">
        <v>3</v>
      </c>
      <c r="I878">
        <f>HLOOKUP(G878,zip_tiers!$A$1:$EON$2,2,FALSE)</f>
        <v>82692.666666666672</v>
      </c>
      <c r="J878" t="str">
        <f t="shared" si="13"/>
        <v>Med</v>
      </c>
      <c r="K878">
        <f>dataset[[#This Row],[soda_sales]]/dataset[[#This Row],[soda_units_sold]]</f>
        <v>0.72128177226783119</v>
      </c>
      <c r="L878" s="29">
        <f>dataset[[#This Row],[implied_soda_ppu]]-dataset[[#This Row],[soda_ppu]]</f>
        <v>-1.8227732168862865E-5</v>
      </c>
      <c r="M878">
        <f>dataset[[#This Row],[soda_sales]]/dataset[[#This Row],[total_sales]]</f>
        <v>5.142832137424657E-2</v>
      </c>
      <c r="N878">
        <f>LN(dataset[[#This Row],[soda_units_sold]])</f>
        <v>11.922893751865276</v>
      </c>
      <c r="O878">
        <f>LN(dataset[[#This Row],[soda_sales]])</f>
        <v>11.59616834140637</v>
      </c>
      <c r="P878">
        <f>LN(dataset[[#This Row],[soda_ppu]])</f>
        <v>-0.32670013947251003</v>
      </c>
      <c r="Q878">
        <f>IF(dataset[[#This Row],[state]]="VA",1,0)</f>
        <v>1</v>
      </c>
    </row>
    <row r="879" spans="1:17" x14ac:dyDescent="0.35">
      <c r="A879">
        <v>202302</v>
      </c>
      <c r="B879">
        <v>62</v>
      </c>
      <c r="C879" s="2">
        <v>2380587.8952000001</v>
      </c>
      <c r="D879" s="2">
        <v>0.75139999999999996</v>
      </c>
      <c r="E879" s="3">
        <v>166012</v>
      </c>
      <c r="F879" s="2">
        <v>124737.93429999999</v>
      </c>
      <c r="G879" t="s">
        <v>2406</v>
      </c>
      <c r="H879" t="s">
        <v>3</v>
      </c>
      <c r="I879">
        <f>HLOOKUP(G879,zip_tiers!$A$1:$EON$2,2,FALSE)</f>
        <v>82692.666666666672</v>
      </c>
      <c r="J879" t="str">
        <f t="shared" si="13"/>
        <v>Med</v>
      </c>
      <c r="K879">
        <f>dataset[[#This Row],[soda_sales]]/dataset[[#This Row],[soda_units_sold]]</f>
        <v>0.75137902260077583</v>
      </c>
      <c r="L879" s="29">
        <f>dataset[[#This Row],[implied_soda_ppu]]-dataset[[#This Row],[soda_ppu]]</f>
        <v>-2.0977399224131332E-5</v>
      </c>
      <c r="M879">
        <f>dataset[[#This Row],[soda_sales]]/dataset[[#This Row],[total_sales]]</f>
        <v>5.2397953695181833E-2</v>
      </c>
      <c r="N879">
        <f>LN(dataset[[#This Row],[soda_units_sold]])</f>
        <v>12.019815353882572</v>
      </c>
      <c r="O879">
        <f>LN(dataset[[#This Row],[soda_sales]])</f>
        <v>11.733970289898101</v>
      </c>
      <c r="P879">
        <f>LN(dataset[[#This Row],[soda_ppu]])</f>
        <v>-0.28581714584226858</v>
      </c>
      <c r="Q879">
        <f>IF(dataset[[#This Row],[state]]="VA",1,0)</f>
        <v>1</v>
      </c>
    </row>
    <row r="880" spans="1:17" x14ac:dyDescent="0.35">
      <c r="A880">
        <v>202303</v>
      </c>
      <c r="B880">
        <v>62</v>
      </c>
      <c r="C880" s="2">
        <v>2699778.0548</v>
      </c>
      <c r="D880" s="2">
        <v>0.75419999999999998</v>
      </c>
      <c r="E880" s="3">
        <v>197245</v>
      </c>
      <c r="F880" s="2">
        <v>148767.58559999999</v>
      </c>
      <c r="G880" t="s">
        <v>2406</v>
      </c>
      <c r="H880" t="s">
        <v>3</v>
      </c>
      <c r="I880">
        <f>HLOOKUP(G880,zip_tiers!$A$1:$EON$2,2,FALSE)</f>
        <v>82692.666666666672</v>
      </c>
      <c r="J880" t="str">
        <f t="shared" si="13"/>
        <v>Med</v>
      </c>
      <c r="K880">
        <f>dataset[[#This Row],[soda_sales]]/dataset[[#This Row],[soda_units_sold]]</f>
        <v>0.75422741058074982</v>
      </c>
      <c r="L880" s="29">
        <f>dataset[[#This Row],[implied_soda_ppu]]-dataset[[#This Row],[soda_ppu]]</f>
        <v>2.7410580749842595E-5</v>
      </c>
      <c r="M880">
        <f>dataset[[#This Row],[soda_sales]]/dataset[[#This Row],[total_sales]]</f>
        <v>5.51036354027334E-2</v>
      </c>
      <c r="N880">
        <f>LN(dataset[[#This Row],[soda_units_sold]])</f>
        <v>12.192201889844382</v>
      </c>
      <c r="O880">
        <f>LN(dataset[[#This Row],[soda_sales]])</f>
        <v>11.910140538941153</v>
      </c>
      <c r="P880">
        <f>LN(dataset[[#This Row],[soda_ppu]])</f>
        <v>-0.28209769415788033</v>
      </c>
      <c r="Q880">
        <f>IF(dataset[[#This Row],[state]]="VA",1,0)</f>
        <v>1</v>
      </c>
    </row>
    <row r="881" spans="1:17" x14ac:dyDescent="0.35">
      <c r="A881">
        <v>202304</v>
      </c>
      <c r="B881">
        <v>62</v>
      </c>
      <c r="C881" s="2">
        <v>2817418.9682</v>
      </c>
      <c r="D881" s="2">
        <v>0.7329</v>
      </c>
      <c r="E881" s="3">
        <v>234747</v>
      </c>
      <c r="F881" s="2">
        <v>172057.25760000001</v>
      </c>
      <c r="G881" t="s">
        <v>2406</v>
      </c>
      <c r="H881" t="s">
        <v>3</v>
      </c>
      <c r="I881">
        <f>HLOOKUP(G881,zip_tiers!$A$1:$EON$2,2,FALSE)</f>
        <v>82692.666666666672</v>
      </c>
      <c r="J881" t="str">
        <f t="shared" si="13"/>
        <v>Med</v>
      </c>
      <c r="K881">
        <f>dataset[[#This Row],[soda_sales]]/dataset[[#This Row],[soda_units_sold]]</f>
        <v>0.73294763127963303</v>
      </c>
      <c r="L881" s="29">
        <f>dataset[[#This Row],[implied_soda_ppu]]-dataset[[#This Row],[soda_ppu]]</f>
        <v>4.7631279633031376E-5</v>
      </c>
      <c r="M881">
        <f>dataset[[#This Row],[soda_sales]]/dataset[[#This Row],[total_sales]]</f>
        <v>6.1069105994528181E-2</v>
      </c>
      <c r="N881">
        <f>LN(dataset[[#This Row],[soda_units_sold]])</f>
        <v>12.366263617436134</v>
      </c>
      <c r="O881">
        <f>LN(dataset[[#This Row],[soda_sales]])</f>
        <v>12.055582593422256</v>
      </c>
      <c r="P881">
        <f>LN(dataset[[#This Row],[soda_ppu]])</f>
        <v>-0.31074601205033259</v>
      </c>
      <c r="Q881">
        <f>IF(dataset[[#This Row],[state]]="VA",1,0)</f>
        <v>1</v>
      </c>
    </row>
    <row r="882" spans="1:17" x14ac:dyDescent="0.35">
      <c r="A882">
        <v>202305</v>
      </c>
      <c r="B882">
        <v>62</v>
      </c>
      <c r="C882" s="2">
        <v>2968225.2664000001</v>
      </c>
      <c r="D882" s="2">
        <v>0.73760000000000003</v>
      </c>
      <c r="E882" s="3">
        <v>255353</v>
      </c>
      <c r="F882" s="2">
        <v>188352.864</v>
      </c>
      <c r="G882" t="s">
        <v>2406</v>
      </c>
      <c r="H882" t="s">
        <v>3</v>
      </c>
      <c r="I882">
        <f>HLOOKUP(G882,zip_tiers!$A$1:$EON$2,2,FALSE)</f>
        <v>82692.666666666672</v>
      </c>
      <c r="J882" t="str">
        <f t="shared" si="13"/>
        <v>Med</v>
      </c>
      <c r="K882">
        <f>dataset[[#This Row],[soda_sales]]/dataset[[#This Row],[soda_units_sold]]</f>
        <v>0.73761758820143097</v>
      </c>
      <c r="L882" s="29">
        <f>dataset[[#This Row],[implied_soda_ppu]]-dataset[[#This Row],[soda_ppu]]</f>
        <v>1.7588201430940309E-5</v>
      </c>
      <c r="M882">
        <f>dataset[[#This Row],[soda_sales]]/dataset[[#This Row],[total_sales]]</f>
        <v>6.3456391309694299E-2</v>
      </c>
      <c r="N882">
        <f>LN(dataset[[#This Row],[soda_units_sold]])</f>
        <v>12.450402180587156</v>
      </c>
      <c r="O882">
        <f>LN(dataset[[#This Row],[soda_sales]])</f>
        <v>12.146072418738587</v>
      </c>
      <c r="P882">
        <f>LN(dataset[[#This Row],[soda_ppu]])</f>
        <v>-0.30435360673975292</v>
      </c>
      <c r="Q882">
        <f>IF(dataset[[#This Row],[state]]="VA",1,0)</f>
        <v>1</v>
      </c>
    </row>
    <row r="883" spans="1:17" x14ac:dyDescent="0.35">
      <c r="A883">
        <v>202306</v>
      </c>
      <c r="B883">
        <v>62</v>
      </c>
      <c r="C883" s="2">
        <v>2807961.1866000001</v>
      </c>
      <c r="D883" s="2">
        <v>0.74739999999999995</v>
      </c>
      <c r="E883" s="3">
        <v>256375</v>
      </c>
      <c r="F883" s="2">
        <v>191607.93830000001</v>
      </c>
      <c r="G883" t="s">
        <v>2406</v>
      </c>
      <c r="H883" t="s">
        <v>3</v>
      </c>
      <c r="I883">
        <f>HLOOKUP(G883,zip_tiers!$A$1:$EON$2,2,FALSE)</f>
        <v>82692.666666666672</v>
      </c>
      <c r="J883" t="str">
        <f t="shared" si="13"/>
        <v>Med</v>
      </c>
      <c r="K883">
        <f>dataset[[#This Row],[soda_sales]]/dataset[[#This Row],[soda_units_sold]]</f>
        <v>0.74737372325694784</v>
      </c>
      <c r="L883" s="29">
        <f>dataset[[#This Row],[implied_soda_ppu]]-dataset[[#This Row],[soda_ppu]]</f>
        <v>-2.6276743052111584E-5</v>
      </c>
      <c r="M883">
        <f>dataset[[#This Row],[soda_sales]]/dataset[[#This Row],[total_sales]]</f>
        <v>6.8237388470460708E-2</v>
      </c>
      <c r="N883">
        <f>LN(dataset[[#This Row],[soda_units_sold]])</f>
        <v>12.454396495374681</v>
      </c>
      <c r="O883">
        <f>LN(dataset[[#This Row],[soda_sales]])</f>
        <v>12.163206575289024</v>
      </c>
      <c r="P883">
        <f>LN(dataset[[#This Row],[soda_ppu]])</f>
        <v>-0.29115476193075357</v>
      </c>
      <c r="Q883">
        <f>IF(dataset[[#This Row],[state]]="VA",1,0)</f>
        <v>1</v>
      </c>
    </row>
    <row r="884" spans="1:17" x14ac:dyDescent="0.35">
      <c r="A884">
        <v>202307</v>
      </c>
      <c r="B884">
        <v>62</v>
      </c>
      <c r="C884" s="2">
        <v>2721647.4219999998</v>
      </c>
      <c r="D884" s="2">
        <v>0.74150000000000005</v>
      </c>
      <c r="E884" s="3">
        <v>274137</v>
      </c>
      <c r="F884" s="2">
        <v>203281.2942</v>
      </c>
      <c r="G884" t="s">
        <v>2406</v>
      </c>
      <c r="H884" t="s">
        <v>3</v>
      </c>
      <c r="I884">
        <f>HLOOKUP(G884,zip_tiers!$A$1:$EON$2,2,FALSE)</f>
        <v>82692.666666666672</v>
      </c>
      <c r="J884" t="str">
        <f t="shared" si="13"/>
        <v>Med</v>
      </c>
      <c r="K884">
        <f>dataset[[#This Row],[soda_sales]]/dataset[[#This Row],[soda_units_sold]]</f>
        <v>0.74153176769279594</v>
      </c>
      <c r="L884" s="29">
        <f>dataset[[#This Row],[implied_soda_ppu]]-dataset[[#This Row],[soda_ppu]]</f>
        <v>3.1767692795892088E-5</v>
      </c>
      <c r="M884">
        <f>dataset[[#This Row],[soda_sales]]/dataset[[#This Row],[total_sales]]</f>
        <v>7.469053212286364E-2</v>
      </c>
      <c r="N884">
        <f>LN(dataset[[#This Row],[soda_units_sold]])</f>
        <v>12.521383260411858</v>
      </c>
      <c r="O884">
        <f>LN(dataset[[#This Row],[soda_sales]])</f>
        <v>12.222345984561736</v>
      </c>
      <c r="P884">
        <f>LN(dataset[[#This Row],[soda_ppu]])</f>
        <v>-0.29908011740415019</v>
      </c>
      <c r="Q884">
        <f>IF(dataset[[#This Row],[state]]="VA",1,0)</f>
        <v>1</v>
      </c>
    </row>
    <row r="885" spans="1:17" x14ac:dyDescent="0.35">
      <c r="A885">
        <v>202308</v>
      </c>
      <c r="B885">
        <v>62</v>
      </c>
      <c r="C885" s="2">
        <v>2562991.4734</v>
      </c>
      <c r="D885" s="2">
        <v>0.71340000000000003</v>
      </c>
      <c r="E885" s="3">
        <v>246777</v>
      </c>
      <c r="F885" s="2">
        <v>176041.5992</v>
      </c>
      <c r="G885" t="s">
        <v>2406</v>
      </c>
      <c r="H885" t="s">
        <v>3</v>
      </c>
      <c r="I885">
        <f>HLOOKUP(G885,zip_tiers!$A$1:$EON$2,2,FALSE)</f>
        <v>82692.666666666672</v>
      </c>
      <c r="J885" t="str">
        <f t="shared" si="13"/>
        <v>Med</v>
      </c>
      <c r="K885">
        <f>dataset[[#This Row],[soda_sales]]/dataset[[#This Row],[soda_units_sold]]</f>
        <v>0.71336307354413098</v>
      </c>
      <c r="L885" s="29">
        <f>dataset[[#This Row],[implied_soda_ppu]]-dataset[[#This Row],[soda_ppu]]</f>
        <v>-3.6926455869057406E-5</v>
      </c>
      <c r="M885">
        <f>dataset[[#This Row],[soda_sales]]/dataset[[#This Row],[total_sales]]</f>
        <v>6.8685987069035254E-2</v>
      </c>
      <c r="N885">
        <f>LN(dataset[[#This Row],[soda_units_sold]])</f>
        <v>12.416240373801925</v>
      </c>
      <c r="O885">
        <f>LN(dataset[[#This Row],[soda_sales]])</f>
        <v>12.078475605182788</v>
      </c>
      <c r="P885">
        <f>LN(dataset[[#This Row],[soda_ppu]])</f>
        <v>-0.33771300605734583</v>
      </c>
      <c r="Q885">
        <f>IF(dataset[[#This Row],[state]]="VA",1,0)</f>
        <v>1</v>
      </c>
    </row>
    <row r="886" spans="1:17" x14ac:dyDescent="0.35">
      <c r="A886">
        <v>202309</v>
      </c>
      <c r="B886">
        <v>62</v>
      </c>
      <c r="C886" s="2">
        <v>2556092.3073999998</v>
      </c>
      <c r="D886" s="2">
        <v>0.74429999999999996</v>
      </c>
      <c r="E886" s="3">
        <v>230170</v>
      </c>
      <c r="F886" s="2">
        <v>171310.31589999999</v>
      </c>
      <c r="G886" t="s">
        <v>2406</v>
      </c>
      <c r="H886" t="s">
        <v>3</v>
      </c>
      <c r="I886">
        <f>HLOOKUP(G886,zip_tiers!$A$1:$EON$2,2,FALSE)</f>
        <v>82692.666666666672</v>
      </c>
      <c r="J886" t="str">
        <f t="shared" si="13"/>
        <v>Med</v>
      </c>
      <c r="K886">
        <f>dataset[[#This Row],[soda_sales]]/dataset[[#This Row],[soda_units_sold]]</f>
        <v>0.74427734239909626</v>
      </c>
      <c r="L886" s="29">
        <f>dataset[[#This Row],[implied_soda_ppu]]-dataset[[#This Row],[soda_ppu]]</f>
        <v>-2.2657600903697173E-5</v>
      </c>
      <c r="M886">
        <f>dataset[[#This Row],[soda_sales]]/dataset[[#This Row],[total_sales]]</f>
        <v>6.7020394922377838E-2</v>
      </c>
      <c r="N886">
        <f>LN(dataset[[#This Row],[soda_units_sold]])</f>
        <v>12.346573445317739</v>
      </c>
      <c r="O886">
        <f>LN(dataset[[#This Row],[soda_sales]])</f>
        <v>12.051231903748254</v>
      </c>
      <c r="P886">
        <f>LN(dataset[[#This Row],[soda_ppu]])</f>
        <v>-0.29531109961627211</v>
      </c>
      <c r="Q886">
        <f>IF(dataset[[#This Row],[state]]="VA",1,0)</f>
        <v>1</v>
      </c>
    </row>
    <row r="887" spans="1:17" x14ac:dyDescent="0.35">
      <c r="A887">
        <v>202310</v>
      </c>
      <c r="B887">
        <v>62</v>
      </c>
      <c r="C887" s="2">
        <v>3093099.3026000001</v>
      </c>
      <c r="D887" s="2">
        <v>0.76370000000000005</v>
      </c>
      <c r="E887" s="3">
        <v>210335</v>
      </c>
      <c r="F887" s="2">
        <v>160642.69639999999</v>
      </c>
      <c r="G887" t="s">
        <v>2406</v>
      </c>
      <c r="H887" t="s">
        <v>3</v>
      </c>
      <c r="I887">
        <f>HLOOKUP(G887,zip_tiers!$A$1:$EON$2,2,FALSE)</f>
        <v>82692.666666666672</v>
      </c>
      <c r="J887" t="str">
        <f t="shared" si="13"/>
        <v>Med</v>
      </c>
      <c r="K887">
        <f>dataset[[#This Row],[soda_sales]]/dataset[[#This Row],[soda_units_sold]]</f>
        <v>0.76374686286162541</v>
      </c>
      <c r="L887" s="29">
        <f>dataset[[#This Row],[implied_soda_ppu]]-dataset[[#This Row],[soda_ppu]]</f>
        <v>4.6862861625363017E-5</v>
      </c>
      <c r="M887">
        <f>dataset[[#This Row],[soda_sales]]/dataset[[#This Row],[total_sales]]</f>
        <v>5.1935835446655983E-2</v>
      </c>
      <c r="N887">
        <f>LN(dataset[[#This Row],[soda_units_sold]])</f>
        <v>12.256456776754115</v>
      </c>
      <c r="O887">
        <f>LN(dataset[[#This Row],[soda_sales]])</f>
        <v>11.986937900703195</v>
      </c>
      <c r="P887">
        <f>LN(dataset[[#This Row],[soda_ppu]])</f>
        <v>-0.26958023708779855</v>
      </c>
      <c r="Q887">
        <f>IF(dataset[[#This Row],[state]]="VA",1,0)</f>
        <v>1</v>
      </c>
    </row>
    <row r="888" spans="1:17" x14ac:dyDescent="0.35">
      <c r="A888">
        <v>202311</v>
      </c>
      <c r="B888">
        <v>62</v>
      </c>
      <c r="C888" s="2">
        <v>3548682.4257999999</v>
      </c>
      <c r="D888" s="2">
        <v>0.75849999999999995</v>
      </c>
      <c r="E888" s="3">
        <v>200009</v>
      </c>
      <c r="F888" s="2">
        <v>151705.0882</v>
      </c>
      <c r="G888" t="s">
        <v>2406</v>
      </c>
      <c r="H888" t="s">
        <v>3</v>
      </c>
      <c r="I888">
        <f>HLOOKUP(G888,zip_tiers!$A$1:$EON$2,2,FALSE)</f>
        <v>82692.666666666672</v>
      </c>
      <c r="J888" t="str">
        <f t="shared" si="13"/>
        <v>Med</v>
      </c>
      <c r="K888">
        <f>dataset[[#This Row],[soda_sales]]/dataset[[#This Row],[soda_units_sold]]</f>
        <v>0.75849130889109995</v>
      </c>
      <c r="L888" s="29">
        <f>dataset[[#This Row],[implied_soda_ppu]]-dataset[[#This Row],[soda_ppu]]</f>
        <v>-8.6911089000052399E-6</v>
      </c>
      <c r="M888">
        <f>dataset[[#This Row],[soda_sales]]/dataset[[#This Row],[total_sales]]</f>
        <v>4.2749694110991138E-2</v>
      </c>
      <c r="N888">
        <f>LN(dataset[[#This Row],[soda_units_sold]])</f>
        <v>12.206117644517704</v>
      </c>
      <c r="O888">
        <f>LN(dataset[[#This Row],[soda_sales]])</f>
        <v>11.929693705973866</v>
      </c>
      <c r="P888">
        <f>LN(dataset[[#This Row],[soda_ppu]])</f>
        <v>-0.27641248019355019</v>
      </c>
      <c r="Q888">
        <f>IF(dataset[[#This Row],[state]]="VA",1,0)</f>
        <v>1</v>
      </c>
    </row>
    <row r="889" spans="1:17" x14ac:dyDescent="0.35">
      <c r="A889">
        <v>202312</v>
      </c>
      <c r="B889">
        <v>62</v>
      </c>
      <c r="C889" s="2">
        <v>3685046.5702999998</v>
      </c>
      <c r="D889" s="2">
        <v>0.7288</v>
      </c>
      <c r="E889" s="3">
        <v>205186</v>
      </c>
      <c r="F889" s="2">
        <v>149541.06340000001</v>
      </c>
      <c r="G889" t="s">
        <v>2406</v>
      </c>
      <c r="H889" t="s">
        <v>3</v>
      </c>
      <c r="I889">
        <f>HLOOKUP(G889,zip_tiers!$A$1:$EON$2,2,FALSE)</f>
        <v>82692.666666666672</v>
      </c>
      <c r="J889" t="str">
        <f t="shared" si="13"/>
        <v>Med</v>
      </c>
      <c r="K889">
        <f>dataset[[#This Row],[soda_sales]]/dataset[[#This Row],[soda_units_sold]]</f>
        <v>0.72880734260622071</v>
      </c>
      <c r="L889" s="29">
        <f>dataset[[#This Row],[implied_soda_ppu]]-dataset[[#This Row],[soda_ppu]]</f>
        <v>7.3426062207060383E-6</v>
      </c>
      <c r="M889">
        <f>dataset[[#This Row],[soda_sales]]/dataset[[#This Row],[total_sales]]</f>
        <v>4.0580508427014494E-2</v>
      </c>
      <c r="N889">
        <f>LN(dataset[[#This Row],[soda_units_sold]])</f>
        <v>12.231672163830385</v>
      </c>
      <c r="O889">
        <f>LN(dataset[[#This Row],[soda_sales]])</f>
        <v>11.915326305669454</v>
      </c>
      <c r="P889">
        <f>LN(dataset[[#This Row],[soda_ppu]])</f>
        <v>-0.31635593303638848</v>
      </c>
      <c r="Q889">
        <f>IF(dataset[[#This Row],[state]]="VA",1,0)</f>
        <v>1</v>
      </c>
    </row>
    <row r="890" spans="1:17" x14ac:dyDescent="0.35">
      <c r="A890">
        <v>202401</v>
      </c>
      <c r="B890">
        <v>62</v>
      </c>
      <c r="C890" s="2">
        <v>2168774.2557999999</v>
      </c>
      <c r="D890" s="2">
        <v>0.77</v>
      </c>
      <c r="E890" s="3">
        <v>147583</v>
      </c>
      <c r="F890" s="2">
        <v>113634.3425</v>
      </c>
      <c r="G890" t="s">
        <v>2406</v>
      </c>
      <c r="H890" t="s">
        <v>3</v>
      </c>
      <c r="I890">
        <f>HLOOKUP(G890,zip_tiers!$A$1:$EON$2,2,FALSE)</f>
        <v>82692.666666666672</v>
      </c>
      <c r="J890" t="str">
        <f t="shared" si="13"/>
        <v>Med</v>
      </c>
      <c r="K890">
        <f>dataset[[#This Row],[soda_sales]]/dataset[[#This Row],[soda_units_sold]]</f>
        <v>0.76996905131349813</v>
      </c>
      <c r="L890" s="29">
        <f>dataset[[#This Row],[implied_soda_ppu]]-dataset[[#This Row],[soda_ppu]]</f>
        <v>-3.094868650188598E-5</v>
      </c>
      <c r="M890">
        <f>dataset[[#This Row],[soda_sales]]/dataset[[#This Row],[total_sales]]</f>
        <v>5.2395652611656199E-2</v>
      </c>
      <c r="N890">
        <f>LN(dataset[[#This Row],[soda_units_sold]])</f>
        <v>11.902146008363465</v>
      </c>
      <c r="O890">
        <f>LN(dataset[[#This Row],[soda_sales]])</f>
        <v>11.640741050321941</v>
      </c>
      <c r="P890">
        <f>LN(dataset[[#This Row],[soda_ppu]])</f>
        <v>-0.26136476413440751</v>
      </c>
      <c r="Q890">
        <f>IF(dataset[[#This Row],[state]]="VA",1,0)</f>
        <v>1</v>
      </c>
    </row>
    <row r="891" spans="1:17" x14ac:dyDescent="0.35">
      <c r="A891">
        <v>202402</v>
      </c>
      <c r="B891">
        <v>62</v>
      </c>
      <c r="C891" s="2">
        <v>2378484.1468000002</v>
      </c>
      <c r="D891" s="2">
        <v>0.74560000000000004</v>
      </c>
      <c r="E891" s="3">
        <v>165116</v>
      </c>
      <c r="F891" s="2">
        <v>123115.83620000001</v>
      </c>
      <c r="G891" t="s">
        <v>2406</v>
      </c>
      <c r="H891" t="s">
        <v>3</v>
      </c>
      <c r="I891">
        <f>HLOOKUP(G891,zip_tiers!$A$1:$EON$2,2,FALSE)</f>
        <v>82692.666666666672</v>
      </c>
      <c r="J891" t="str">
        <f t="shared" si="13"/>
        <v>Med</v>
      </c>
      <c r="K891">
        <f>dataset[[#This Row],[soda_sales]]/dataset[[#This Row],[soda_units_sold]]</f>
        <v>0.74563238087162964</v>
      </c>
      <c r="L891" s="29">
        <f>dataset[[#This Row],[implied_soda_ppu]]-dataset[[#This Row],[soda_ppu]]</f>
        <v>3.238087162960035E-5</v>
      </c>
      <c r="M891">
        <f>dataset[[#This Row],[soda_sales]]/dataset[[#This Row],[total_sales]]</f>
        <v>5.1762311035639816E-2</v>
      </c>
      <c r="N891">
        <f>LN(dataset[[#This Row],[soda_units_sold]])</f>
        <v>12.014403536175708</v>
      </c>
      <c r="O891">
        <f>LN(dataset[[#This Row],[soda_sales]])</f>
        <v>11.720880948902547</v>
      </c>
      <c r="P891">
        <f>LN(dataset[[#This Row],[soda_ppu]])</f>
        <v>-0.29356601561075557</v>
      </c>
      <c r="Q891">
        <f>IF(dataset[[#This Row],[state]]="VA",1,0)</f>
        <v>1</v>
      </c>
    </row>
    <row r="892" spans="1:17" x14ac:dyDescent="0.35">
      <c r="A892">
        <v>202403</v>
      </c>
      <c r="B892">
        <v>62</v>
      </c>
      <c r="C892" s="2">
        <v>2734949.0000999998</v>
      </c>
      <c r="D892" s="2">
        <v>0.78500000000000003</v>
      </c>
      <c r="E892" s="3">
        <v>192580</v>
      </c>
      <c r="F892" s="2">
        <v>151178.83970000001</v>
      </c>
      <c r="G892" t="s">
        <v>2406</v>
      </c>
      <c r="H892" t="s">
        <v>3</v>
      </c>
      <c r="I892">
        <f>HLOOKUP(G892,zip_tiers!$A$1:$EON$2,2,FALSE)</f>
        <v>82692.666666666672</v>
      </c>
      <c r="J892" t="str">
        <f t="shared" si="13"/>
        <v>Med</v>
      </c>
      <c r="K892">
        <f>dataset[[#This Row],[soda_sales]]/dataset[[#This Row],[soda_units_sold]]</f>
        <v>0.78501838041333483</v>
      </c>
      <c r="L892" s="29">
        <f>dataset[[#This Row],[implied_soda_ppu]]-dataset[[#This Row],[soda_ppu]]</f>
        <v>1.8380413334795342E-5</v>
      </c>
      <c r="M892">
        <f>dataset[[#This Row],[soda_sales]]/dataset[[#This Row],[total_sales]]</f>
        <v>5.5276657697994495E-2</v>
      </c>
      <c r="N892">
        <f>LN(dataset[[#This Row],[soda_units_sold]])</f>
        <v>12.168266930794275</v>
      </c>
      <c r="O892">
        <f>LN(dataset[[#This Row],[soda_sales]])</f>
        <v>11.92621878385971</v>
      </c>
      <c r="P892">
        <f>LN(dataset[[#This Row],[soda_ppu]])</f>
        <v>-0.24207156119972859</v>
      </c>
      <c r="Q892">
        <f>IF(dataset[[#This Row],[state]]="VA",1,0)</f>
        <v>1</v>
      </c>
    </row>
    <row r="893" spans="1:17" x14ac:dyDescent="0.35">
      <c r="A893">
        <v>202404</v>
      </c>
      <c r="B893">
        <v>62</v>
      </c>
      <c r="C893" s="2">
        <v>2889699.6242999998</v>
      </c>
      <c r="D893" s="2">
        <v>0.76629999999999998</v>
      </c>
      <c r="E893" s="3">
        <v>225638</v>
      </c>
      <c r="F893" s="2">
        <v>172915.26519999999</v>
      </c>
      <c r="G893" t="s">
        <v>2406</v>
      </c>
      <c r="H893" t="s">
        <v>3</v>
      </c>
      <c r="I893">
        <f>HLOOKUP(G893,zip_tiers!$A$1:$EON$2,2,FALSE)</f>
        <v>82692.666666666672</v>
      </c>
      <c r="J893" t="str">
        <f t="shared" si="13"/>
        <v>Med</v>
      </c>
      <c r="K893">
        <f>dataset[[#This Row],[soda_sales]]/dataset[[#This Row],[soda_units_sold]]</f>
        <v>0.76633929214050822</v>
      </c>
      <c r="L893" s="29">
        <f>dataset[[#This Row],[implied_soda_ppu]]-dataset[[#This Row],[soda_ppu]]</f>
        <v>3.9292140508240259E-5</v>
      </c>
      <c r="M893">
        <f>dataset[[#This Row],[soda_sales]]/dataset[[#This Row],[total_sales]]</f>
        <v>5.9838491082576425E-2</v>
      </c>
      <c r="N893">
        <f>LN(dataset[[#This Row],[soda_units_sold]])</f>
        <v>12.326687224137977</v>
      </c>
      <c r="O893">
        <f>LN(dataset[[#This Row],[soda_sales]])</f>
        <v>12.060556956958621</v>
      </c>
      <c r="P893">
        <f>LN(dataset[[#This Row],[soda_ppu]])</f>
        <v>-0.26618154100577845</v>
      </c>
      <c r="Q893">
        <f>IF(dataset[[#This Row],[state]]="VA",1,0)</f>
        <v>1</v>
      </c>
    </row>
    <row r="894" spans="1:17" x14ac:dyDescent="0.35">
      <c r="A894">
        <v>202405</v>
      </c>
      <c r="B894">
        <v>62</v>
      </c>
      <c r="C894" s="2">
        <v>2997568.5918000001</v>
      </c>
      <c r="D894" s="2">
        <v>0.75049999999999994</v>
      </c>
      <c r="E894" s="3">
        <v>250076</v>
      </c>
      <c r="F894" s="2">
        <v>187686.65590000001</v>
      </c>
      <c r="G894" t="s">
        <v>2406</v>
      </c>
      <c r="H894" t="s">
        <v>3</v>
      </c>
      <c r="I894">
        <f>HLOOKUP(G894,zip_tiers!$A$1:$EON$2,2,FALSE)</f>
        <v>82692.666666666672</v>
      </c>
      <c r="J894" t="str">
        <f t="shared" si="13"/>
        <v>Med</v>
      </c>
      <c r="K894">
        <f>dataset[[#This Row],[soda_sales]]/dataset[[#This Row],[soda_units_sold]]</f>
        <v>0.7505184659863402</v>
      </c>
      <c r="L894" s="29">
        <f>dataset[[#This Row],[implied_soda_ppu]]-dataset[[#This Row],[soda_ppu]]</f>
        <v>1.8465986340254759E-5</v>
      </c>
      <c r="M894">
        <f>dataset[[#This Row],[soda_sales]]/dataset[[#This Row],[total_sales]]</f>
        <v>6.2612964525124229E-2</v>
      </c>
      <c r="N894">
        <f>LN(dataset[[#This Row],[soda_units_sold]])</f>
        <v>12.429520150645747</v>
      </c>
      <c r="O894">
        <f>LN(dataset[[#This Row],[soda_sales]])</f>
        <v>12.142529127346275</v>
      </c>
      <c r="P894">
        <f>LN(dataset[[#This Row],[soda_ppu]])</f>
        <v>-0.28701562790862051</v>
      </c>
      <c r="Q894">
        <f>IF(dataset[[#This Row],[state]]="VA",1,0)</f>
        <v>1</v>
      </c>
    </row>
    <row r="895" spans="1:17" x14ac:dyDescent="0.35">
      <c r="A895">
        <v>202406</v>
      </c>
      <c r="B895">
        <v>62</v>
      </c>
      <c r="C895" s="2">
        <v>2875673.6702000001</v>
      </c>
      <c r="D895" s="2">
        <v>0.78749999999999998</v>
      </c>
      <c r="E895" s="3">
        <v>252841</v>
      </c>
      <c r="F895" s="2">
        <v>199103.00719999999</v>
      </c>
      <c r="G895" t="s">
        <v>2406</v>
      </c>
      <c r="H895" t="s">
        <v>3</v>
      </c>
      <c r="I895">
        <f>HLOOKUP(G895,zip_tiers!$A$1:$EON$2,2,FALSE)</f>
        <v>82692.666666666672</v>
      </c>
      <c r="J895" t="str">
        <f t="shared" si="13"/>
        <v>Med</v>
      </c>
      <c r="K895">
        <f>dataset[[#This Row],[soda_sales]]/dataset[[#This Row],[soda_units_sold]]</f>
        <v>0.78746329590533182</v>
      </c>
      <c r="L895" s="29">
        <f>dataset[[#This Row],[implied_soda_ppu]]-dataset[[#This Row],[soda_ppu]]</f>
        <v>-3.6704094668160714E-5</v>
      </c>
      <c r="M895">
        <f>dataset[[#This Row],[soda_sales]]/dataset[[#This Row],[total_sales]]</f>
        <v>6.9236996277867849E-2</v>
      </c>
      <c r="N895">
        <f>LN(dataset[[#This Row],[soda_units_sold]])</f>
        <v>12.440516111648813</v>
      </c>
      <c r="O895">
        <f>LN(dataset[[#This Row],[soda_sales]])</f>
        <v>12.201577593906078</v>
      </c>
      <c r="P895">
        <f>LN(dataset[[#This Row],[soda_ppu]])</f>
        <v>-0.23889190828234896</v>
      </c>
      <c r="Q895">
        <f>IF(dataset[[#This Row],[state]]="VA",1,0)</f>
        <v>1</v>
      </c>
    </row>
    <row r="896" spans="1:17" x14ac:dyDescent="0.35">
      <c r="A896">
        <v>202407</v>
      </c>
      <c r="B896">
        <v>62</v>
      </c>
      <c r="C896" s="2">
        <v>2664779.2514999998</v>
      </c>
      <c r="D896" s="2">
        <v>0.76949999999999996</v>
      </c>
      <c r="E896" s="3">
        <v>264469</v>
      </c>
      <c r="F896" s="2">
        <v>203514.12899999999</v>
      </c>
      <c r="G896" t="s">
        <v>2406</v>
      </c>
      <c r="H896" t="s">
        <v>3</v>
      </c>
      <c r="I896">
        <f>HLOOKUP(G896,zip_tiers!$A$1:$EON$2,2,FALSE)</f>
        <v>82692.666666666672</v>
      </c>
      <c r="J896" t="str">
        <f t="shared" si="13"/>
        <v>Med</v>
      </c>
      <c r="K896">
        <f>dataset[[#This Row],[soda_sales]]/dataset[[#This Row],[soda_units_sold]]</f>
        <v>0.76951978870869553</v>
      </c>
      <c r="L896" s="29">
        <f>dataset[[#This Row],[implied_soda_ppu]]-dataset[[#This Row],[soda_ppu]]</f>
        <v>1.9788708695567259E-5</v>
      </c>
      <c r="M896">
        <f>dataset[[#This Row],[soda_sales]]/dataset[[#This Row],[total_sales]]</f>
        <v>7.6371852897549483E-2</v>
      </c>
      <c r="N896">
        <f>LN(dataset[[#This Row],[soda_units_sold]])</f>
        <v>12.485479321143337</v>
      </c>
      <c r="O896">
        <f>LN(dataset[[#This Row],[soda_sales]])</f>
        <v>12.223490711430067</v>
      </c>
      <c r="P896">
        <f>LN(dataset[[#This Row],[soda_ppu]])</f>
        <v>-0.26201432570320321</v>
      </c>
      <c r="Q896">
        <f>IF(dataset[[#This Row],[state]]="VA",1,0)</f>
        <v>1</v>
      </c>
    </row>
    <row r="897" spans="1:17" x14ac:dyDescent="0.35">
      <c r="A897">
        <v>202408</v>
      </c>
      <c r="B897">
        <v>62</v>
      </c>
      <c r="C897" s="2">
        <v>2589662.8824999998</v>
      </c>
      <c r="D897" s="2">
        <v>0.77610000000000001</v>
      </c>
      <c r="E897" s="3">
        <v>229108</v>
      </c>
      <c r="F897" s="2">
        <v>177814.6955</v>
      </c>
      <c r="G897" t="s">
        <v>2406</v>
      </c>
      <c r="H897" t="s">
        <v>3</v>
      </c>
      <c r="I897">
        <f>HLOOKUP(G897,zip_tiers!$A$1:$EON$2,2,FALSE)</f>
        <v>82692.666666666672</v>
      </c>
      <c r="J897" t="str">
        <f t="shared" si="13"/>
        <v>Med</v>
      </c>
      <c r="K897">
        <f>dataset[[#This Row],[soda_sales]]/dataset[[#This Row],[soda_units_sold]]</f>
        <v>0.77611735731620024</v>
      </c>
      <c r="L897" s="29">
        <f>dataset[[#This Row],[implied_soda_ppu]]-dataset[[#This Row],[soda_ppu]]</f>
        <v>1.735731620022829E-5</v>
      </c>
      <c r="M897">
        <f>dataset[[#This Row],[soda_sales]]/dataset[[#This Row],[total_sales]]</f>
        <v>6.8663259878962268E-2</v>
      </c>
      <c r="N897">
        <f>LN(dataset[[#This Row],[soda_units_sold]])</f>
        <v>12.34194878708116</v>
      </c>
      <c r="O897">
        <f>LN(dataset[[#This Row],[soda_sales]])</f>
        <v>12.088497250502483</v>
      </c>
      <c r="P897">
        <f>LN(dataset[[#This Row],[soda_ppu]])</f>
        <v>-0.25347390112204388</v>
      </c>
      <c r="Q897">
        <f>IF(dataset[[#This Row],[state]]="VA",1,0)</f>
        <v>1</v>
      </c>
    </row>
    <row r="898" spans="1:17" x14ac:dyDescent="0.35">
      <c r="A898">
        <v>202409</v>
      </c>
      <c r="B898">
        <v>62</v>
      </c>
      <c r="C898" s="2">
        <v>2644005.7445999999</v>
      </c>
      <c r="D898" s="2">
        <v>0.77390000000000003</v>
      </c>
      <c r="E898" s="3">
        <v>231150</v>
      </c>
      <c r="F898" s="2">
        <v>178886.76949999999</v>
      </c>
      <c r="G898" t="s">
        <v>2406</v>
      </c>
      <c r="H898" t="s">
        <v>3</v>
      </c>
      <c r="I898">
        <f>HLOOKUP(G898,zip_tiers!$A$1:$EON$2,2,FALSE)</f>
        <v>82692.666666666672</v>
      </c>
      <c r="J898" t="str">
        <f t="shared" ref="J898:J961" si="14">IF(I898="","No Data",IF(I898&gt;=100000,"High",IF(I898&gt;=40000,"Med","Low")))</f>
        <v>Med</v>
      </c>
      <c r="K898">
        <f>dataset[[#This Row],[soda_sales]]/dataset[[#This Row],[soda_units_sold]]</f>
        <v>0.77389906770495343</v>
      </c>
      <c r="L898" s="29">
        <f>dataset[[#This Row],[implied_soda_ppu]]-dataset[[#This Row],[soda_ppu]]</f>
        <v>-9.32295046607301E-7</v>
      </c>
      <c r="M898">
        <f>dataset[[#This Row],[soda_sales]]/dataset[[#This Row],[total_sales]]</f>
        <v>6.765748140500466E-2</v>
      </c>
      <c r="N898">
        <f>LN(dataset[[#This Row],[soda_units_sold]])</f>
        <v>12.350822129416372</v>
      </c>
      <c r="O898">
        <f>LN(dataset[[#This Row],[soda_sales]])</f>
        <v>12.094508312038716</v>
      </c>
      <c r="P898">
        <f>LN(dataset[[#This Row],[soda_ppu]])</f>
        <v>-0.25631261270572359</v>
      </c>
      <c r="Q898">
        <f>IF(dataset[[#This Row],[state]]="VA",1,0)</f>
        <v>1</v>
      </c>
    </row>
    <row r="899" spans="1:17" x14ac:dyDescent="0.35">
      <c r="A899">
        <v>202410</v>
      </c>
      <c r="B899">
        <v>62</v>
      </c>
      <c r="C899" s="2">
        <v>3143680.9764999999</v>
      </c>
      <c r="D899" s="2">
        <v>0.80020000000000002</v>
      </c>
      <c r="E899" s="3">
        <v>203859</v>
      </c>
      <c r="F899" s="2">
        <v>163121.9307</v>
      </c>
      <c r="G899" t="s">
        <v>2406</v>
      </c>
      <c r="H899" t="s">
        <v>3</v>
      </c>
      <c r="I899">
        <f>HLOOKUP(G899,zip_tiers!$A$1:$EON$2,2,FALSE)</f>
        <v>82692.666666666672</v>
      </c>
      <c r="J899" t="str">
        <f t="shared" si="14"/>
        <v>Med</v>
      </c>
      <c r="K899">
        <f>dataset[[#This Row],[soda_sales]]/dataset[[#This Row],[soda_units_sold]]</f>
        <v>0.80017036628257765</v>
      </c>
      <c r="L899" s="29">
        <f>dataset[[#This Row],[implied_soda_ppu]]-dataset[[#This Row],[soda_ppu]]</f>
        <v>-2.9633717422372641E-5</v>
      </c>
      <c r="M899">
        <f>dataset[[#This Row],[soda_sales]]/dataset[[#This Row],[total_sales]]</f>
        <v>5.1888830933987107E-2</v>
      </c>
      <c r="N899">
        <f>LN(dataset[[#This Row],[soda_units_sold]])</f>
        <v>12.225183857383188</v>
      </c>
      <c r="O899">
        <f>LN(dataset[[#This Row],[soda_sales]])</f>
        <v>12.002253241249894</v>
      </c>
      <c r="P899">
        <f>LN(dataset[[#This Row],[soda_ppu]])</f>
        <v>-0.22289358255900238</v>
      </c>
      <c r="Q899">
        <f>IF(dataset[[#This Row],[state]]="VA",1,0)</f>
        <v>1</v>
      </c>
    </row>
    <row r="900" spans="1:17" x14ac:dyDescent="0.35">
      <c r="A900">
        <v>202411</v>
      </c>
      <c r="B900">
        <v>62</v>
      </c>
      <c r="C900" s="2">
        <v>3626619.9624000001</v>
      </c>
      <c r="D900" s="2">
        <v>0.77210000000000001</v>
      </c>
      <c r="E900" s="3">
        <v>202332</v>
      </c>
      <c r="F900" s="2">
        <v>156217.43799999999</v>
      </c>
      <c r="G900" t="s">
        <v>2406</v>
      </c>
      <c r="H900" t="s">
        <v>3</v>
      </c>
      <c r="I900">
        <f>HLOOKUP(G900,zip_tiers!$A$1:$EON$2,2,FALSE)</f>
        <v>82692.666666666672</v>
      </c>
      <c r="J900" t="str">
        <f t="shared" si="14"/>
        <v>Med</v>
      </c>
      <c r="K900">
        <f>dataset[[#This Row],[soda_sales]]/dataset[[#This Row],[soda_units_sold]]</f>
        <v>0.77208468260087382</v>
      </c>
      <c r="L900" s="29">
        <f>dataset[[#This Row],[implied_soda_ppu]]-dataset[[#This Row],[soda_ppu]]</f>
        <v>-1.5317399126191233E-5</v>
      </c>
      <c r="M900">
        <f>dataset[[#This Row],[soda_sales]]/dataset[[#This Row],[total_sales]]</f>
        <v>4.3075215936499579E-2</v>
      </c>
      <c r="N900">
        <f>LN(dataset[[#This Row],[soda_units_sold]])</f>
        <v>12.217665191565981</v>
      </c>
      <c r="O900">
        <f>LN(dataset[[#This Row],[soda_sales]])</f>
        <v>11.959004149081018</v>
      </c>
      <c r="P900">
        <f>LN(dataset[[#This Row],[soda_ppu]])</f>
        <v>-0.25864120366736693</v>
      </c>
      <c r="Q900">
        <f>IF(dataset[[#This Row],[state]]="VA",1,0)</f>
        <v>1</v>
      </c>
    </row>
    <row r="901" spans="1:17" x14ac:dyDescent="0.35">
      <c r="A901">
        <v>202412</v>
      </c>
      <c r="B901">
        <v>62</v>
      </c>
      <c r="C901" s="2">
        <v>3765516.1549999998</v>
      </c>
      <c r="D901" s="2">
        <v>0.78690000000000004</v>
      </c>
      <c r="E901" s="3">
        <v>197380</v>
      </c>
      <c r="F901" s="2">
        <v>155318.9639</v>
      </c>
      <c r="G901" t="s">
        <v>2406</v>
      </c>
      <c r="H901" t="s">
        <v>3</v>
      </c>
      <c r="I901">
        <f>HLOOKUP(G901,zip_tiers!$A$1:$EON$2,2,FALSE)</f>
        <v>82692.666666666672</v>
      </c>
      <c r="J901" t="str">
        <f t="shared" si="14"/>
        <v>Med</v>
      </c>
      <c r="K901">
        <f>dataset[[#This Row],[soda_sales]]/dataset[[#This Row],[soda_units_sold]]</f>
        <v>0.7869032521025433</v>
      </c>
      <c r="L901" s="29">
        <f>dataset[[#This Row],[implied_soda_ppu]]-dataset[[#This Row],[soda_ppu]]</f>
        <v>3.2521025432608042E-6</v>
      </c>
      <c r="M901">
        <f>dataset[[#This Row],[soda_sales]]/dataset[[#This Row],[total_sales]]</f>
        <v>4.124772209349345E-2</v>
      </c>
      <c r="N901">
        <f>LN(dataset[[#This Row],[soda_units_sold]])</f>
        <v>12.192886083725998</v>
      </c>
      <c r="O901">
        <f>LN(dataset[[#This Row],[soda_sales]])</f>
        <v>11.953236113079084</v>
      </c>
      <c r="P901">
        <f>LN(dataset[[#This Row],[soda_ppu]])</f>
        <v>-0.23965410344119931</v>
      </c>
      <c r="Q901">
        <f>IF(dataset[[#This Row],[state]]="VA",1,0)</f>
        <v>1</v>
      </c>
    </row>
    <row r="902" spans="1:17" x14ac:dyDescent="0.35">
      <c r="A902">
        <v>202201</v>
      </c>
      <c r="B902">
        <v>61</v>
      </c>
      <c r="C902" s="2">
        <v>2045027.6325999999</v>
      </c>
      <c r="D902" s="2">
        <v>0.67279999999999995</v>
      </c>
      <c r="E902" s="3">
        <v>137700</v>
      </c>
      <c r="F902" s="2">
        <v>92647.957299999995</v>
      </c>
      <c r="G902" t="s">
        <v>2422</v>
      </c>
      <c r="H902" t="s">
        <v>3</v>
      </c>
      <c r="I902">
        <f>HLOOKUP(G902,zip_tiers!$A$1:$EON$2,2,FALSE)</f>
        <v>100302.5</v>
      </c>
      <c r="J902" t="str">
        <f t="shared" si="14"/>
        <v>High</v>
      </c>
      <c r="K902">
        <f>dataset[[#This Row],[soda_sales]]/dataset[[#This Row],[soda_units_sold]]</f>
        <v>0.67282467175018157</v>
      </c>
      <c r="L902" s="29">
        <f>dataset[[#This Row],[implied_soda_ppu]]-dataset[[#This Row],[soda_ppu]]</f>
        <v>2.467175018161516E-5</v>
      </c>
      <c r="M902">
        <f>dataset[[#This Row],[soda_sales]]/dataset[[#This Row],[total_sales]]</f>
        <v>4.5304012436354991E-2</v>
      </c>
      <c r="N902">
        <f>LN(dataset[[#This Row],[soda_units_sold]])</f>
        <v>11.832832684716747</v>
      </c>
      <c r="O902">
        <f>LN(dataset[[#This Row],[soda_sales]])</f>
        <v>11.4365621839799</v>
      </c>
      <c r="P902">
        <f>LN(dataset[[#This Row],[soda_ppu]])</f>
        <v>-0.39630717032339885</v>
      </c>
      <c r="Q902">
        <f>IF(dataset[[#This Row],[state]]="VA",1,0)</f>
        <v>1</v>
      </c>
    </row>
    <row r="903" spans="1:17" x14ac:dyDescent="0.35">
      <c r="A903">
        <v>202202</v>
      </c>
      <c r="B903">
        <v>61</v>
      </c>
      <c r="C903" s="2">
        <v>2335708.7718000002</v>
      </c>
      <c r="D903" s="2">
        <v>0.6925</v>
      </c>
      <c r="E903" s="3">
        <v>149675</v>
      </c>
      <c r="F903" s="2">
        <v>103654.03290000001</v>
      </c>
      <c r="G903" t="s">
        <v>2422</v>
      </c>
      <c r="H903" t="s">
        <v>3</v>
      </c>
      <c r="I903">
        <f>HLOOKUP(G903,zip_tiers!$A$1:$EON$2,2,FALSE)</f>
        <v>100302.5</v>
      </c>
      <c r="J903" t="str">
        <f t="shared" si="14"/>
        <v>High</v>
      </c>
      <c r="K903">
        <f>dataset[[#This Row],[soda_sales]]/dataset[[#This Row],[soda_units_sold]]</f>
        <v>0.69252736195089359</v>
      </c>
      <c r="L903" s="29">
        <f>dataset[[#This Row],[implied_soda_ppu]]-dataset[[#This Row],[soda_ppu]]</f>
        <v>2.7361950893589615E-5</v>
      </c>
      <c r="M903">
        <f>dataset[[#This Row],[soda_sales]]/dataset[[#This Row],[total_sales]]</f>
        <v>4.4377978175814972E-2</v>
      </c>
      <c r="N903">
        <f>LN(dataset[[#This Row],[soda_units_sold]])</f>
        <v>11.916221555793554</v>
      </c>
      <c r="O903">
        <f>LN(dataset[[#This Row],[soda_sales]])</f>
        <v>11.548814025934783</v>
      </c>
      <c r="P903">
        <f>LN(dataset[[#This Row],[soda_ppu]])</f>
        <v>-0.36744704092064345</v>
      </c>
      <c r="Q903">
        <f>IF(dataset[[#This Row],[state]]="VA",1,0)</f>
        <v>1</v>
      </c>
    </row>
    <row r="904" spans="1:17" x14ac:dyDescent="0.35">
      <c r="A904">
        <v>202203</v>
      </c>
      <c r="B904">
        <v>61</v>
      </c>
      <c r="C904" s="2">
        <v>2592544.9712</v>
      </c>
      <c r="D904" s="2">
        <v>0.64759999999999995</v>
      </c>
      <c r="E904" s="3">
        <v>184026</v>
      </c>
      <c r="F904" s="2">
        <v>119167.3348</v>
      </c>
      <c r="G904" t="s">
        <v>2422</v>
      </c>
      <c r="H904" t="s">
        <v>3</v>
      </c>
      <c r="I904">
        <f>HLOOKUP(G904,zip_tiers!$A$1:$EON$2,2,FALSE)</f>
        <v>100302.5</v>
      </c>
      <c r="J904" t="str">
        <f t="shared" si="14"/>
        <v>High</v>
      </c>
      <c r="K904">
        <f>dataset[[#This Row],[soda_sales]]/dataset[[#This Row],[soda_units_sold]]</f>
        <v>0.64755705606816427</v>
      </c>
      <c r="L904" s="29">
        <f>dataset[[#This Row],[implied_soda_ppu]]-dataset[[#This Row],[soda_ppu]]</f>
        <v>-4.2943931835681681E-5</v>
      </c>
      <c r="M904">
        <f>dataset[[#This Row],[soda_sales]]/dataset[[#This Row],[total_sales]]</f>
        <v>4.5965387726655919E-2</v>
      </c>
      <c r="N904">
        <f>LN(dataset[[#This Row],[soda_units_sold]])</f>
        <v>12.122832330956429</v>
      </c>
      <c r="O904">
        <f>LN(dataset[[#This Row],[soda_sales]])</f>
        <v>11.688283959145659</v>
      </c>
      <c r="P904">
        <f>LN(dataset[[#This Row],[soda_ppu]])</f>
        <v>-0.43448205717865707</v>
      </c>
      <c r="Q904">
        <f>IF(dataset[[#This Row],[state]]="VA",1,0)</f>
        <v>1</v>
      </c>
    </row>
    <row r="905" spans="1:17" x14ac:dyDescent="0.35">
      <c r="A905">
        <v>202204</v>
      </c>
      <c r="B905">
        <v>61</v>
      </c>
      <c r="C905" s="2">
        <v>2675481.5389999999</v>
      </c>
      <c r="D905" s="2">
        <v>0.64559999999999995</v>
      </c>
      <c r="E905" s="3">
        <v>212527</v>
      </c>
      <c r="F905" s="2">
        <v>137214.6256</v>
      </c>
      <c r="G905" t="s">
        <v>2422</v>
      </c>
      <c r="H905" t="s">
        <v>3</v>
      </c>
      <c r="I905">
        <f>HLOOKUP(G905,zip_tiers!$A$1:$EON$2,2,FALSE)</f>
        <v>100302.5</v>
      </c>
      <c r="J905" t="str">
        <f t="shared" si="14"/>
        <v>High</v>
      </c>
      <c r="K905">
        <f>dataset[[#This Row],[soda_sales]]/dataset[[#This Row],[soda_units_sold]]</f>
        <v>0.64563385169884302</v>
      </c>
      <c r="L905" s="29">
        <f>dataset[[#This Row],[implied_soda_ppu]]-dataset[[#This Row],[soda_ppu]]</f>
        <v>3.3851698843068156E-5</v>
      </c>
      <c r="M905">
        <f>dataset[[#This Row],[soda_sales]]/dataset[[#This Row],[total_sales]]</f>
        <v>5.1285954920580752E-2</v>
      </c>
      <c r="N905">
        <f>LN(dataset[[#This Row],[soda_units_sold]])</f>
        <v>12.26682431809885</v>
      </c>
      <c r="O905">
        <f>LN(dataset[[#This Row],[soda_sales]])</f>
        <v>11.829301589175573</v>
      </c>
      <c r="P905">
        <f>LN(dataset[[#This Row],[soda_ppu]])</f>
        <v>-0.43757516202639807</v>
      </c>
      <c r="Q905">
        <f>IF(dataset[[#This Row],[state]]="VA",1,0)</f>
        <v>1</v>
      </c>
    </row>
    <row r="906" spans="1:17" x14ac:dyDescent="0.35">
      <c r="A906">
        <v>202205</v>
      </c>
      <c r="B906">
        <v>61</v>
      </c>
      <c r="C906" s="2">
        <v>2889431.4537</v>
      </c>
      <c r="D906" s="2">
        <v>0.67979999999999996</v>
      </c>
      <c r="E906" s="3">
        <v>231758</v>
      </c>
      <c r="F906" s="2">
        <v>157540.6557</v>
      </c>
      <c r="G906" t="s">
        <v>2422</v>
      </c>
      <c r="H906" t="s">
        <v>3</v>
      </c>
      <c r="I906">
        <f>HLOOKUP(G906,zip_tiers!$A$1:$EON$2,2,FALSE)</f>
        <v>100302.5</v>
      </c>
      <c r="J906" t="str">
        <f t="shared" si="14"/>
        <v>High</v>
      </c>
      <c r="K906">
        <f>dataset[[#This Row],[soda_sales]]/dataset[[#This Row],[soda_units_sold]]</f>
        <v>0.67976361420102005</v>
      </c>
      <c r="L906" s="29">
        <f>dataset[[#This Row],[implied_soda_ppu]]-dataset[[#This Row],[soda_ppu]]</f>
        <v>-3.63857989799099E-5</v>
      </c>
      <c r="M906">
        <f>dataset[[#This Row],[soda_sales]]/dataset[[#This Row],[total_sales]]</f>
        <v>5.4523063870667243E-2</v>
      </c>
      <c r="N906">
        <f>LN(dataset[[#This Row],[soda_units_sold]])</f>
        <v>12.353449002789151</v>
      </c>
      <c r="O906">
        <f>LN(dataset[[#This Row],[soda_sales]])</f>
        <v>11.967438835366211</v>
      </c>
      <c r="P906">
        <f>LN(dataset[[#This Row],[soda_ppu]])</f>
        <v>-0.38595664172012151</v>
      </c>
      <c r="Q906">
        <f>IF(dataset[[#This Row],[state]]="VA",1,0)</f>
        <v>1</v>
      </c>
    </row>
    <row r="907" spans="1:17" x14ac:dyDescent="0.35">
      <c r="A907">
        <v>202206</v>
      </c>
      <c r="B907">
        <v>61</v>
      </c>
      <c r="C907" s="2">
        <v>2801880.5074999998</v>
      </c>
      <c r="D907" s="2">
        <v>0.65339999999999998</v>
      </c>
      <c r="E907" s="3">
        <v>252793</v>
      </c>
      <c r="F907" s="2">
        <v>165177.36739999999</v>
      </c>
      <c r="G907" t="s">
        <v>2422</v>
      </c>
      <c r="H907" t="s">
        <v>3</v>
      </c>
      <c r="I907">
        <f>HLOOKUP(G907,zip_tiers!$A$1:$EON$2,2,FALSE)</f>
        <v>100302.5</v>
      </c>
      <c r="J907" t="str">
        <f t="shared" si="14"/>
        <v>High</v>
      </c>
      <c r="K907">
        <f>dataset[[#This Row],[soda_sales]]/dataset[[#This Row],[soda_units_sold]]</f>
        <v>0.65340957779685349</v>
      </c>
      <c r="L907" s="29">
        <f>dataset[[#This Row],[implied_soda_ppu]]-dataset[[#This Row],[soda_ppu]]</f>
        <v>9.5777968535104563E-6</v>
      </c>
      <c r="M907">
        <f>dataset[[#This Row],[soda_sales]]/dataset[[#This Row],[total_sales]]</f>
        <v>5.8952323968797946E-2</v>
      </c>
      <c r="N907">
        <f>LN(dataset[[#This Row],[soda_units_sold]])</f>
        <v>12.44032625099805</v>
      </c>
      <c r="O907">
        <f>LN(dataset[[#This Row],[soda_sales]])</f>
        <v>12.014775129472838</v>
      </c>
      <c r="P907">
        <f>LN(dataset[[#This Row],[soda_ppu]])</f>
        <v>-0.4255657798151673</v>
      </c>
      <c r="Q907">
        <f>IF(dataset[[#This Row],[state]]="VA",1,0)</f>
        <v>1</v>
      </c>
    </row>
    <row r="908" spans="1:17" x14ac:dyDescent="0.35">
      <c r="A908">
        <v>202207</v>
      </c>
      <c r="B908">
        <v>61</v>
      </c>
      <c r="C908" s="2">
        <v>2617407.9874999998</v>
      </c>
      <c r="D908" s="2">
        <v>0.69540000000000002</v>
      </c>
      <c r="E908" s="3">
        <v>247415</v>
      </c>
      <c r="F908" s="2">
        <v>172055.96900000001</v>
      </c>
      <c r="G908" t="s">
        <v>2422</v>
      </c>
      <c r="H908" t="s">
        <v>3</v>
      </c>
      <c r="I908">
        <f>HLOOKUP(G908,zip_tiers!$A$1:$EON$2,2,FALSE)</f>
        <v>100302.5</v>
      </c>
      <c r="J908" t="str">
        <f t="shared" si="14"/>
        <v>High</v>
      </c>
      <c r="K908">
        <f>dataset[[#This Row],[soda_sales]]/dataset[[#This Row],[soda_units_sold]]</f>
        <v>0.6954144615322434</v>
      </c>
      <c r="L908" s="29">
        <f>dataset[[#This Row],[implied_soda_ppu]]-dataset[[#This Row],[soda_ppu]]</f>
        <v>1.4461532243381647E-5</v>
      </c>
      <c r="M908">
        <f>dataset[[#This Row],[soda_sales]]/dataset[[#This Row],[total_sales]]</f>
        <v>6.5735250225295652E-2</v>
      </c>
      <c r="N908">
        <f>LN(dataset[[#This Row],[soda_units_sold]])</f>
        <v>12.418822367660368</v>
      </c>
      <c r="O908">
        <f>LN(dataset[[#This Row],[soda_sales]])</f>
        <v>12.055575104026905</v>
      </c>
      <c r="P908">
        <f>LN(dataset[[#This Row],[soda_ppu]])</f>
        <v>-0.36326805940837598</v>
      </c>
      <c r="Q908">
        <f>IF(dataset[[#This Row],[state]]="VA",1,0)</f>
        <v>1</v>
      </c>
    </row>
    <row r="909" spans="1:17" x14ac:dyDescent="0.35">
      <c r="A909">
        <v>202208</v>
      </c>
      <c r="B909">
        <v>61</v>
      </c>
      <c r="C909" s="2">
        <v>2532792.2508999999</v>
      </c>
      <c r="D909" s="2">
        <v>0.67589999999999995</v>
      </c>
      <c r="E909" s="3">
        <v>221376</v>
      </c>
      <c r="F909" s="2">
        <v>149617.94219999999</v>
      </c>
      <c r="G909" t="s">
        <v>2422</v>
      </c>
      <c r="H909" t="s">
        <v>3</v>
      </c>
      <c r="I909">
        <f>HLOOKUP(G909,zip_tiers!$A$1:$EON$2,2,FALSE)</f>
        <v>100302.5</v>
      </c>
      <c r="J909" t="str">
        <f t="shared" si="14"/>
        <v>High</v>
      </c>
      <c r="K909">
        <f>dataset[[#This Row],[soda_sales]]/dataset[[#This Row],[soda_units_sold]]</f>
        <v>0.67585439343018205</v>
      </c>
      <c r="L909" s="29">
        <f>dataset[[#This Row],[implied_soda_ppu]]-dataset[[#This Row],[soda_ppu]]</f>
        <v>-4.5606569817890907E-5</v>
      </c>
      <c r="M909">
        <f>dataset[[#This Row],[soda_sales]]/dataset[[#This Row],[total_sales]]</f>
        <v>5.9072331000236955E-2</v>
      </c>
      <c r="N909">
        <f>LN(dataset[[#This Row],[soda_units_sold]])</f>
        <v>12.307617892296841</v>
      </c>
      <c r="O909">
        <f>LN(dataset[[#This Row],[soda_sales]])</f>
        <v>11.915840271822926</v>
      </c>
      <c r="P909">
        <f>LN(dataset[[#This Row],[soda_ppu]])</f>
        <v>-0.39171014287582867</v>
      </c>
      <c r="Q909">
        <f>IF(dataset[[#This Row],[state]]="VA",1,0)</f>
        <v>1</v>
      </c>
    </row>
    <row r="910" spans="1:17" x14ac:dyDescent="0.35">
      <c r="A910">
        <v>202209</v>
      </c>
      <c r="B910">
        <v>61</v>
      </c>
      <c r="C910" s="2">
        <v>2490969.3881999999</v>
      </c>
      <c r="D910" s="2">
        <v>0.65849999999999997</v>
      </c>
      <c r="E910" s="3">
        <v>212635</v>
      </c>
      <c r="F910" s="2">
        <v>140019.5405</v>
      </c>
      <c r="G910" t="s">
        <v>2422</v>
      </c>
      <c r="H910" t="s">
        <v>3</v>
      </c>
      <c r="I910">
        <f>HLOOKUP(G910,zip_tiers!$A$1:$EON$2,2,FALSE)</f>
        <v>100302.5</v>
      </c>
      <c r="J910" t="str">
        <f t="shared" si="14"/>
        <v>High</v>
      </c>
      <c r="K910">
        <f>dataset[[#This Row],[soda_sales]]/dataset[[#This Row],[soda_units_sold]]</f>
        <v>0.65849714534295856</v>
      </c>
      <c r="L910" s="29">
        <f>dataset[[#This Row],[implied_soda_ppu]]-dataset[[#This Row],[soda_ppu]]</f>
        <v>-2.8546570414178518E-6</v>
      </c>
      <c r="M910">
        <f>dataset[[#This Row],[soda_sales]]/dataset[[#This Row],[total_sales]]</f>
        <v>5.6210863595228505E-2</v>
      </c>
      <c r="N910">
        <f>LN(dataset[[#This Row],[soda_units_sold]])</f>
        <v>12.267332359750375</v>
      </c>
      <c r="O910">
        <f>LN(dataset[[#This Row],[soda_sales]])</f>
        <v>11.849537266851756</v>
      </c>
      <c r="P910">
        <f>LN(dataset[[#This Row],[soda_ppu]])</f>
        <v>-0.41779075779880137</v>
      </c>
      <c r="Q910">
        <f>IF(dataset[[#This Row],[state]]="VA",1,0)</f>
        <v>1</v>
      </c>
    </row>
    <row r="911" spans="1:17" x14ac:dyDescent="0.35">
      <c r="A911">
        <v>202210</v>
      </c>
      <c r="B911">
        <v>61</v>
      </c>
      <c r="C911" s="2">
        <v>3007764.8840000001</v>
      </c>
      <c r="D911" s="2">
        <v>0.69769999999999999</v>
      </c>
      <c r="E911" s="3">
        <v>195372</v>
      </c>
      <c r="F911" s="2">
        <v>136317.18359999999</v>
      </c>
      <c r="G911" t="s">
        <v>2422</v>
      </c>
      <c r="H911" t="s">
        <v>3</v>
      </c>
      <c r="I911">
        <f>HLOOKUP(G911,zip_tiers!$A$1:$EON$2,2,FALSE)</f>
        <v>100302.5</v>
      </c>
      <c r="J911" t="str">
        <f t="shared" si="14"/>
        <v>High</v>
      </c>
      <c r="K911">
        <f>dataset[[#This Row],[soda_sales]]/dataset[[#This Row],[soda_units_sold]]</f>
        <v>0.69773142313125724</v>
      </c>
      <c r="L911" s="29">
        <f>dataset[[#This Row],[implied_soda_ppu]]-dataset[[#This Row],[soda_ppu]]</f>
        <v>3.1423131257257708E-5</v>
      </c>
      <c r="M911">
        <f>dataset[[#This Row],[soda_sales]]/dataset[[#This Row],[total_sales]]</f>
        <v>4.5321755142879706E-2</v>
      </c>
      <c r="N911">
        <f>LN(dataset[[#This Row],[soda_units_sold]])</f>
        <v>12.182660712519516</v>
      </c>
      <c r="O911">
        <f>LN(dataset[[#This Row],[soda_sales]])</f>
        <v>11.822739681638449</v>
      </c>
      <c r="P911">
        <f>LN(dataset[[#This Row],[soda_ppu]])</f>
        <v>-0.3599660680369462</v>
      </c>
      <c r="Q911">
        <f>IF(dataset[[#This Row],[state]]="VA",1,0)</f>
        <v>1</v>
      </c>
    </row>
    <row r="912" spans="1:17" x14ac:dyDescent="0.35">
      <c r="A912">
        <v>202211</v>
      </c>
      <c r="B912">
        <v>61</v>
      </c>
      <c r="C912" s="2">
        <v>3461705.2675000001</v>
      </c>
      <c r="D912" s="2">
        <v>0.66779999999999995</v>
      </c>
      <c r="E912" s="3">
        <v>190699</v>
      </c>
      <c r="F912" s="2">
        <v>127349.739</v>
      </c>
      <c r="G912" t="s">
        <v>2422</v>
      </c>
      <c r="H912" t="s">
        <v>3</v>
      </c>
      <c r="I912">
        <f>HLOOKUP(G912,zip_tiers!$A$1:$EON$2,2,FALSE)</f>
        <v>100302.5</v>
      </c>
      <c r="J912" t="str">
        <f t="shared" si="14"/>
        <v>High</v>
      </c>
      <c r="K912">
        <f>dataset[[#This Row],[soda_sales]]/dataset[[#This Row],[soda_units_sold]]</f>
        <v>0.66780496489231722</v>
      </c>
      <c r="L912" s="29">
        <f>dataset[[#This Row],[implied_soda_ppu]]-dataset[[#This Row],[soda_ppu]]</f>
        <v>4.9648923172718185E-6</v>
      </c>
      <c r="M912">
        <f>dataset[[#This Row],[soda_sales]]/dataset[[#This Row],[total_sales]]</f>
        <v>3.6788151838232717E-2</v>
      </c>
      <c r="N912">
        <f>LN(dataset[[#This Row],[soda_units_sold]])</f>
        <v>12.158451547736272</v>
      </c>
      <c r="O912">
        <f>LN(dataset[[#This Row],[soda_sales]])</f>
        <v>11.754692430935538</v>
      </c>
      <c r="P912">
        <f>LN(dataset[[#This Row],[soda_ppu]])</f>
        <v>-0.403766551472583</v>
      </c>
      <c r="Q912">
        <f>IF(dataset[[#This Row],[state]]="VA",1,0)</f>
        <v>1</v>
      </c>
    </row>
    <row r="913" spans="1:17" x14ac:dyDescent="0.35">
      <c r="A913">
        <v>202212</v>
      </c>
      <c r="B913">
        <v>61</v>
      </c>
      <c r="C913" s="2">
        <v>3592403.4923</v>
      </c>
      <c r="D913" s="2">
        <v>0.66590000000000005</v>
      </c>
      <c r="E913" s="3">
        <v>188448</v>
      </c>
      <c r="F913" s="2">
        <v>125483.3873</v>
      </c>
      <c r="G913" t="s">
        <v>2422</v>
      </c>
      <c r="H913" t="s">
        <v>3</v>
      </c>
      <c r="I913">
        <f>HLOOKUP(G913,zip_tiers!$A$1:$EON$2,2,FALSE)</f>
        <v>100302.5</v>
      </c>
      <c r="J913" t="str">
        <f t="shared" si="14"/>
        <v>High</v>
      </c>
      <c r="K913">
        <f>dataset[[#This Row],[soda_sales]]/dataset[[#This Row],[soda_units_sold]]</f>
        <v>0.66587805283155033</v>
      </c>
      <c r="L913" s="29">
        <f>dataset[[#This Row],[implied_soda_ppu]]-dataset[[#This Row],[soda_ppu]]</f>
        <v>-2.1947168449720778E-5</v>
      </c>
      <c r="M913">
        <f>dataset[[#This Row],[soda_sales]]/dataset[[#This Row],[total_sales]]</f>
        <v>3.4930204129063613E-2</v>
      </c>
      <c r="N913">
        <f>LN(dataset[[#This Row],[soda_units_sold]])</f>
        <v>12.146577385744298</v>
      </c>
      <c r="O913">
        <f>LN(dataset[[#This Row],[soda_sales]])</f>
        <v>11.73992865668046</v>
      </c>
      <c r="P913">
        <f>LN(dataset[[#This Row],[soda_ppu]])</f>
        <v>-0.40661576986556031</v>
      </c>
      <c r="Q913">
        <f>IF(dataset[[#This Row],[state]]="VA",1,0)</f>
        <v>1</v>
      </c>
    </row>
    <row r="914" spans="1:17" x14ac:dyDescent="0.35">
      <c r="A914">
        <v>202301</v>
      </c>
      <c r="B914">
        <v>61</v>
      </c>
      <c r="C914" s="2">
        <v>2091928.1642</v>
      </c>
      <c r="D914" s="2">
        <v>0.69359999999999999</v>
      </c>
      <c r="E914" s="3">
        <v>134296</v>
      </c>
      <c r="F914" s="2">
        <v>93141.691500000001</v>
      </c>
      <c r="G914" t="s">
        <v>2422</v>
      </c>
      <c r="H914" t="s">
        <v>3</v>
      </c>
      <c r="I914">
        <f>HLOOKUP(G914,zip_tiers!$A$1:$EON$2,2,FALSE)</f>
        <v>100302.5</v>
      </c>
      <c r="J914" t="str">
        <f t="shared" si="14"/>
        <v>High</v>
      </c>
      <c r="K914">
        <f>dataset[[#This Row],[soda_sales]]/dataset[[#This Row],[soda_units_sold]]</f>
        <v>0.69355521757907901</v>
      </c>
      <c r="L914" s="29">
        <f>dataset[[#This Row],[implied_soda_ppu]]-dataset[[#This Row],[soda_ppu]]</f>
        <v>-4.4782420920985722E-5</v>
      </c>
      <c r="M914">
        <f>dataset[[#This Row],[soda_sales]]/dataset[[#This Row],[total_sales]]</f>
        <v>4.4524325975418694E-2</v>
      </c>
      <c r="N914">
        <f>LN(dataset[[#This Row],[soda_units_sold]])</f>
        <v>11.80780159800225</v>
      </c>
      <c r="O914">
        <f>LN(dataset[[#This Row],[soda_sales]])</f>
        <v>11.441877177204617</v>
      </c>
      <c r="P914">
        <f>LN(dataset[[#This Row],[soda_ppu]])</f>
        <v>-0.36585985351580497</v>
      </c>
      <c r="Q914">
        <f>IF(dataset[[#This Row],[state]]="VA",1,0)</f>
        <v>1</v>
      </c>
    </row>
    <row r="915" spans="1:17" x14ac:dyDescent="0.35">
      <c r="A915">
        <v>202302</v>
      </c>
      <c r="B915">
        <v>61</v>
      </c>
      <c r="C915" s="2">
        <v>2412187.4616999999</v>
      </c>
      <c r="D915" s="2">
        <v>0.68910000000000005</v>
      </c>
      <c r="E915" s="3">
        <v>158448</v>
      </c>
      <c r="F915" s="2">
        <v>109182.94779999999</v>
      </c>
      <c r="G915" t="s">
        <v>2422</v>
      </c>
      <c r="H915" t="s">
        <v>3</v>
      </c>
      <c r="I915">
        <f>HLOOKUP(G915,zip_tiers!$A$1:$EON$2,2,FALSE)</f>
        <v>100302.5</v>
      </c>
      <c r="J915" t="str">
        <f t="shared" si="14"/>
        <v>High</v>
      </c>
      <c r="K915">
        <f>dataset[[#This Row],[soda_sales]]/dataset[[#This Row],[soda_units_sold]]</f>
        <v>0.68907747526002217</v>
      </c>
      <c r="L915" s="29">
        <f>dataset[[#This Row],[implied_soda_ppu]]-dataset[[#This Row],[soda_ppu]]</f>
        <v>-2.2524739977880515E-5</v>
      </c>
      <c r="M915">
        <f>dataset[[#This Row],[soda_sales]]/dataset[[#This Row],[total_sales]]</f>
        <v>4.5263044242445746E-2</v>
      </c>
      <c r="N915">
        <f>LN(dataset[[#This Row],[soda_units_sold]])</f>
        <v>11.973181742761083</v>
      </c>
      <c r="O915">
        <f>LN(dataset[[#This Row],[soda_sales]])</f>
        <v>11.600780174421718</v>
      </c>
      <c r="P915">
        <f>LN(dataset[[#This Row],[soda_ppu]])</f>
        <v>-0.37236888061897472</v>
      </c>
      <c r="Q915">
        <f>IF(dataset[[#This Row],[state]]="VA",1,0)</f>
        <v>1</v>
      </c>
    </row>
    <row r="916" spans="1:17" x14ac:dyDescent="0.35">
      <c r="A916">
        <v>202303</v>
      </c>
      <c r="B916">
        <v>61</v>
      </c>
      <c r="C916" s="2">
        <v>2636020.1579</v>
      </c>
      <c r="D916" s="2">
        <v>0.66859999999999997</v>
      </c>
      <c r="E916" s="3">
        <v>182478</v>
      </c>
      <c r="F916" s="2">
        <v>122006.03200000001</v>
      </c>
      <c r="G916" t="s">
        <v>2422</v>
      </c>
      <c r="H916" t="s">
        <v>3</v>
      </c>
      <c r="I916">
        <f>HLOOKUP(G916,zip_tiers!$A$1:$EON$2,2,FALSE)</f>
        <v>100302.5</v>
      </c>
      <c r="J916" t="str">
        <f t="shared" si="14"/>
        <v>High</v>
      </c>
      <c r="K916">
        <f>dataset[[#This Row],[soda_sales]]/dataset[[#This Row],[soda_units_sold]]</f>
        <v>0.66860680191584743</v>
      </c>
      <c r="L916" s="29">
        <f>dataset[[#This Row],[implied_soda_ppu]]-dataset[[#This Row],[soda_ppu]]</f>
        <v>6.8019158474541541E-6</v>
      </c>
      <c r="M916">
        <f>dataset[[#This Row],[soda_sales]]/dataset[[#This Row],[total_sales]]</f>
        <v>4.6284180200350508E-2</v>
      </c>
      <c r="N916">
        <f>LN(dataset[[#This Row],[soda_units_sold]])</f>
        <v>12.114384896792989</v>
      </c>
      <c r="O916">
        <f>LN(dataset[[#This Row],[soda_sales]])</f>
        <v>11.711825765116098</v>
      </c>
      <c r="P916">
        <f>LN(dataset[[#This Row],[soda_ppu]])</f>
        <v>-0.40256930499613885</v>
      </c>
      <c r="Q916">
        <f>IF(dataset[[#This Row],[state]]="VA",1,0)</f>
        <v>1</v>
      </c>
    </row>
    <row r="917" spans="1:17" x14ac:dyDescent="0.35">
      <c r="A917">
        <v>202304</v>
      </c>
      <c r="B917">
        <v>61</v>
      </c>
      <c r="C917" s="2">
        <v>2799107.0663000001</v>
      </c>
      <c r="D917" s="2">
        <v>0.69489999999999996</v>
      </c>
      <c r="E917" s="3">
        <v>209511</v>
      </c>
      <c r="F917" s="2">
        <v>145591.43799999999</v>
      </c>
      <c r="G917" t="s">
        <v>2422</v>
      </c>
      <c r="H917" t="s">
        <v>3</v>
      </c>
      <c r="I917">
        <f>HLOOKUP(G917,zip_tiers!$A$1:$EON$2,2,FALSE)</f>
        <v>100302.5</v>
      </c>
      <c r="J917" t="str">
        <f t="shared" si="14"/>
        <v>High</v>
      </c>
      <c r="K917">
        <f>dataset[[#This Row],[soda_sales]]/dataset[[#This Row],[soda_units_sold]]</f>
        <v>0.69491071113211234</v>
      </c>
      <c r="L917" s="29">
        <f>dataset[[#This Row],[implied_soda_ppu]]-dataset[[#This Row],[soda_ppu]]</f>
        <v>1.0711132112373178E-5</v>
      </c>
      <c r="M917">
        <f>dataset[[#This Row],[soda_sales]]/dataset[[#This Row],[total_sales]]</f>
        <v>5.2013529511913258E-2</v>
      </c>
      <c r="N917">
        <f>LN(dataset[[#This Row],[soda_units_sold]])</f>
        <v>12.252531522932527</v>
      </c>
      <c r="O917">
        <f>LN(dataset[[#This Row],[soda_sales]])</f>
        <v>11.888559608070588</v>
      </c>
      <c r="P917">
        <f>LN(dataset[[#This Row],[soda_ppu]])</f>
        <v>-0.36398732866185546</v>
      </c>
      <c r="Q917">
        <f>IF(dataset[[#This Row],[state]]="VA",1,0)</f>
        <v>1</v>
      </c>
    </row>
    <row r="918" spans="1:17" x14ac:dyDescent="0.35">
      <c r="A918">
        <v>202305</v>
      </c>
      <c r="B918">
        <v>61</v>
      </c>
      <c r="C918" s="2">
        <v>2930482.5994000002</v>
      </c>
      <c r="D918" s="2">
        <v>0.70660000000000001</v>
      </c>
      <c r="E918" s="3">
        <v>225593</v>
      </c>
      <c r="F918" s="2">
        <v>159411.6618</v>
      </c>
      <c r="G918" t="s">
        <v>2422</v>
      </c>
      <c r="H918" t="s">
        <v>3</v>
      </c>
      <c r="I918">
        <f>HLOOKUP(G918,zip_tiers!$A$1:$EON$2,2,FALSE)</f>
        <v>100302.5</v>
      </c>
      <c r="J918" t="str">
        <f t="shared" si="14"/>
        <v>High</v>
      </c>
      <c r="K918">
        <f>dataset[[#This Row],[soda_sales]]/dataset[[#This Row],[soda_units_sold]]</f>
        <v>0.70663390176113616</v>
      </c>
      <c r="L918" s="29">
        <f>dataset[[#This Row],[implied_soda_ppu]]-dataset[[#This Row],[soda_ppu]]</f>
        <v>3.3901761136156949E-5</v>
      </c>
      <c r="M918">
        <f>dataset[[#This Row],[soda_sales]]/dataset[[#This Row],[total_sales]]</f>
        <v>5.4397750675140896E-2</v>
      </c>
      <c r="N918">
        <f>LN(dataset[[#This Row],[soda_units_sold]])</f>
        <v>12.326487769755857</v>
      </c>
      <c r="O918">
        <f>LN(dataset[[#This Row],[soda_sales]])</f>
        <v>11.979245203264403</v>
      </c>
      <c r="P918">
        <f>LN(dataset[[#This Row],[soda_ppu]])</f>
        <v>-0.3472905440570922</v>
      </c>
      <c r="Q918">
        <f>IF(dataset[[#This Row],[state]]="VA",1,0)</f>
        <v>1</v>
      </c>
    </row>
    <row r="919" spans="1:17" x14ac:dyDescent="0.35">
      <c r="A919">
        <v>202306</v>
      </c>
      <c r="B919">
        <v>61</v>
      </c>
      <c r="C919" s="2">
        <v>2789608.0186999999</v>
      </c>
      <c r="D919" s="2">
        <v>0.69869999999999999</v>
      </c>
      <c r="E919" s="3">
        <v>241605</v>
      </c>
      <c r="F919" s="2">
        <v>168807.7648</v>
      </c>
      <c r="G919" t="s">
        <v>2422</v>
      </c>
      <c r="H919" t="s">
        <v>3</v>
      </c>
      <c r="I919">
        <f>HLOOKUP(G919,zip_tiers!$A$1:$EON$2,2,FALSE)</f>
        <v>100302.5</v>
      </c>
      <c r="J919" t="str">
        <f t="shared" si="14"/>
        <v>High</v>
      </c>
      <c r="K919">
        <f>dataset[[#This Row],[soda_sales]]/dataset[[#This Row],[soda_units_sold]]</f>
        <v>0.69869317605182013</v>
      </c>
      <c r="L919" s="29">
        <f>dataset[[#This Row],[implied_soda_ppu]]-dataset[[#This Row],[soda_ppu]]</f>
        <v>-6.8239481798570978E-6</v>
      </c>
      <c r="M919">
        <f>dataset[[#This Row],[soda_sales]]/dataset[[#This Row],[total_sales]]</f>
        <v>6.051307698730627E-2</v>
      </c>
      <c r="N919">
        <f>LN(dataset[[#This Row],[soda_units_sold]])</f>
        <v>12.39505944019289</v>
      </c>
      <c r="O919">
        <f>LN(dataset[[#This Row],[soda_sales]])</f>
        <v>12.036515860086027</v>
      </c>
      <c r="P919">
        <f>LN(dataset[[#This Row],[soda_ppu]])</f>
        <v>-0.35853381342373208</v>
      </c>
      <c r="Q919">
        <f>IF(dataset[[#This Row],[state]]="VA",1,0)</f>
        <v>1</v>
      </c>
    </row>
    <row r="920" spans="1:17" x14ac:dyDescent="0.35">
      <c r="A920">
        <v>202307</v>
      </c>
      <c r="B920">
        <v>61</v>
      </c>
      <c r="C920" s="2">
        <v>2679926.0175000001</v>
      </c>
      <c r="D920" s="2">
        <v>0.68320000000000003</v>
      </c>
      <c r="E920" s="3">
        <v>251650</v>
      </c>
      <c r="F920" s="2">
        <v>171916.0693</v>
      </c>
      <c r="G920" t="s">
        <v>2422</v>
      </c>
      <c r="H920" t="s">
        <v>3</v>
      </c>
      <c r="I920">
        <f>HLOOKUP(G920,zip_tiers!$A$1:$EON$2,2,FALSE)</f>
        <v>100302.5</v>
      </c>
      <c r="J920" t="str">
        <f t="shared" si="14"/>
        <v>High</v>
      </c>
      <c r="K920">
        <f>dataset[[#This Row],[soda_sales]]/dataset[[#This Row],[soda_units_sold]]</f>
        <v>0.68315545122193522</v>
      </c>
      <c r="L920" s="29">
        <f>dataset[[#This Row],[implied_soda_ppu]]-dataset[[#This Row],[soda_ppu]]</f>
        <v>-4.4548778064812389E-5</v>
      </c>
      <c r="M920">
        <f>dataset[[#This Row],[soda_sales]]/dataset[[#This Row],[total_sales]]</f>
        <v>6.4149557927115422E-2</v>
      </c>
      <c r="N920">
        <f>LN(dataset[[#This Row],[soda_units_sold]])</f>
        <v>12.435794512204506</v>
      </c>
      <c r="O920">
        <f>LN(dataset[[#This Row],[soda_sales]])</f>
        <v>12.054761667513835</v>
      </c>
      <c r="P920">
        <f>LN(dataset[[#This Row],[soda_ppu]])</f>
        <v>-0.38096763650777687</v>
      </c>
      <c r="Q920">
        <f>IF(dataset[[#This Row],[state]]="VA",1,0)</f>
        <v>1</v>
      </c>
    </row>
    <row r="921" spans="1:17" x14ac:dyDescent="0.35">
      <c r="A921">
        <v>202308</v>
      </c>
      <c r="B921">
        <v>61</v>
      </c>
      <c r="C921" s="2">
        <v>2543939.9101999998</v>
      </c>
      <c r="D921" s="2">
        <v>0.67330000000000001</v>
      </c>
      <c r="E921" s="3">
        <v>224562</v>
      </c>
      <c r="F921" s="2">
        <v>151192.3028</v>
      </c>
      <c r="G921" t="s">
        <v>2422</v>
      </c>
      <c r="H921" t="s">
        <v>3</v>
      </c>
      <c r="I921">
        <f>HLOOKUP(G921,zip_tiers!$A$1:$EON$2,2,FALSE)</f>
        <v>100302.5</v>
      </c>
      <c r="J921" t="str">
        <f t="shared" si="14"/>
        <v>High</v>
      </c>
      <c r="K921">
        <f>dataset[[#This Row],[soda_sales]]/dataset[[#This Row],[soda_units_sold]]</f>
        <v>0.67327643501571954</v>
      </c>
      <c r="L921" s="29">
        <f>dataset[[#This Row],[implied_soda_ppu]]-dataset[[#This Row],[soda_ppu]]</f>
        <v>-2.3564984280466383E-5</v>
      </c>
      <c r="M921">
        <f>dataset[[#This Row],[soda_sales]]/dataset[[#This Row],[total_sales]]</f>
        <v>5.9432340439249429E-2</v>
      </c>
      <c r="N921">
        <f>LN(dataset[[#This Row],[soda_units_sold]])</f>
        <v>12.321907117301768</v>
      </c>
      <c r="O921">
        <f>LN(dataset[[#This Row],[soda_sales]])</f>
        <v>11.926307834024337</v>
      </c>
      <c r="P921">
        <f>LN(dataset[[#This Row],[soda_ppu]])</f>
        <v>-0.39556428343090183</v>
      </c>
      <c r="Q921">
        <f>IF(dataset[[#This Row],[state]]="VA",1,0)</f>
        <v>1</v>
      </c>
    </row>
    <row r="922" spans="1:17" x14ac:dyDescent="0.35">
      <c r="A922">
        <v>202309</v>
      </c>
      <c r="B922">
        <v>61</v>
      </c>
      <c r="C922" s="2">
        <v>2520529.6605000002</v>
      </c>
      <c r="D922" s="2">
        <v>0.6714</v>
      </c>
      <c r="E922" s="3">
        <v>211916</v>
      </c>
      <c r="F922" s="2">
        <v>142279.84450000001</v>
      </c>
      <c r="G922" t="s">
        <v>2422</v>
      </c>
      <c r="H922" t="s">
        <v>3</v>
      </c>
      <c r="I922">
        <f>HLOOKUP(G922,zip_tiers!$A$1:$EON$2,2,FALSE)</f>
        <v>100302.5</v>
      </c>
      <c r="J922" t="str">
        <f t="shared" si="14"/>
        <v>High</v>
      </c>
      <c r="K922">
        <f>dataset[[#This Row],[soda_sales]]/dataset[[#This Row],[soda_units_sold]]</f>
        <v>0.67139736735310218</v>
      </c>
      <c r="L922" s="29">
        <f>dataset[[#This Row],[implied_soda_ppu]]-dataset[[#This Row],[soda_ppu]]</f>
        <v>-2.6326468978155049E-6</v>
      </c>
      <c r="M922">
        <f>dataset[[#This Row],[soda_sales]]/dataset[[#This Row],[total_sales]]</f>
        <v>5.6448391276528682E-2</v>
      </c>
      <c r="N922">
        <f>LN(dataset[[#This Row],[soda_units_sold]])</f>
        <v>12.263945248720628</v>
      </c>
      <c r="O922">
        <f>LN(dataset[[#This Row],[soda_sales]])</f>
        <v>11.865551133146417</v>
      </c>
      <c r="P922">
        <f>LN(dataset[[#This Row],[soda_ppu]])</f>
        <v>-0.39839019443620249</v>
      </c>
      <c r="Q922">
        <f>IF(dataset[[#This Row],[state]]="VA",1,0)</f>
        <v>1</v>
      </c>
    </row>
    <row r="923" spans="1:17" x14ac:dyDescent="0.35">
      <c r="A923">
        <v>202310</v>
      </c>
      <c r="B923">
        <v>61</v>
      </c>
      <c r="C923" s="2">
        <v>3090146.2283999999</v>
      </c>
      <c r="D923" s="2">
        <v>0.70499999999999996</v>
      </c>
      <c r="E923" s="3">
        <v>197779</v>
      </c>
      <c r="F923" s="2">
        <v>139425.345</v>
      </c>
      <c r="G923" t="s">
        <v>2422</v>
      </c>
      <c r="H923" t="s">
        <v>3</v>
      </c>
      <c r="I923">
        <f>HLOOKUP(G923,zip_tiers!$A$1:$EON$2,2,FALSE)</f>
        <v>100302.5</v>
      </c>
      <c r="J923" t="str">
        <f t="shared" si="14"/>
        <v>High</v>
      </c>
      <c r="K923">
        <f>dataset[[#This Row],[soda_sales]]/dataset[[#This Row],[soda_units_sold]]</f>
        <v>0.70495525308551465</v>
      </c>
      <c r="L923" s="29">
        <f>dataset[[#This Row],[implied_soda_ppu]]-dataset[[#This Row],[soda_ppu]]</f>
        <v>-4.4746914485305211E-5</v>
      </c>
      <c r="M923">
        <f>dataset[[#This Row],[soda_sales]]/dataset[[#This Row],[total_sales]]</f>
        <v>4.511933568664514E-2</v>
      </c>
      <c r="N923">
        <f>LN(dataset[[#This Row],[soda_units_sold]])</f>
        <v>12.194905524688235</v>
      </c>
      <c r="O923">
        <f>LN(dataset[[#This Row],[soda_sales]])</f>
        <v>11.845284575703321</v>
      </c>
      <c r="P923">
        <f>LN(dataset[[#This Row],[soda_ppu]])</f>
        <v>-0.34955747616986843</v>
      </c>
      <c r="Q923">
        <f>IF(dataset[[#This Row],[state]]="VA",1,0)</f>
        <v>1</v>
      </c>
    </row>
    <row r="924" spans="1:17" x14ac:dyDescent="0.35">
      <c r="A924">
        <v>202311</v>
      </c>
      <c r="B924">
        <v>61</v>
      </c>
      <c r="C924" s="2">
        <v>3558456.7392000002</v>
      </c>
      <c r="D924" s="2">
        <v>0.68689999999999996</v>
      </c>
      <c r="E924" s="3">
        <v>192340</v>
      </c>
      <c r="F924" s="2">
        <v>132124.3211</v>
      </c>
      <c r="G924" t="s">
        <v>2422</v>
      </c>
      <c r="H924" t="s">
        <v>3</v>
      </c>
      <c r="I924">
        <f>HLOOKUP(G924,zip_tiers!$A$1:$EON$2,2,FALSE)</f>
        <v>100302.5</v>
      </c>
      <c r="J924" t="str">
        <f t="shared" si="14"/>
        <v>High</v>
      </c>
      <c r="K924">
        <f>dataset[[#This Row],[soda_sales]]/dataset[[#This Row],[soda_units_sold]]</f>
        <v>0.68693106530102943</v>
      </c>
      <c r="L924" s="29">
        <f>dataset[[#This Row],[implied_soda_ppu]]-dataset[[#This Row],[soda_ppu]]</f>
        <v>3.1065301029475911E-5</v>
      </c>
      <c r="M924">
        <f>dataset[[#This Row],[soda_sales]]/dataset[[#This Row],[total_sales]]</f>
        <v>3.7129669062579002E-2</v>
      </c>
      <c r="N924">
        <f>LN(dataset[[#This Row],[soda_units_sold]])</f>
        <v>12.167019918266472</v>
      </c>
      <c r="O924">
        <f>LN(dataset[[#This Row],[soda_sales]])</f>
        <v>11.79149858484335</v>
      </c>
      <c r="P924">
        <f>LN(dataset[[#This Row],[soda_ppu]])</f>
        <v>-0.37556655776230119</v>
      </c>
      <c r="Q924">
        <f>IF(dataset[[#This Row],[state]]="VA",1,0)</f>
        <v>1</v>
      </c>
    </row>
    <row r="925" spans="1:17" x14ac:dyDescent="0.35">
      <c r="A925">
        <v>202312</v>
      </c>
      <c r="B925">
        <v>61</v>
      </c>
      <c r="C925" s="2">
        <v>3677465.8437000001</v>
      </c>
      <c r="D925" s="2">
        <v>0.65759999999999996</v>
      </c>
      <c r="E925" s="3">
        <v>193066</v>
      </c>
      <c r="F925" s="2">
        <v>126955.5696</v>
      </c>
      <c r="G925" t="s">
        <v>2422</v>
      </c>
      <c r="H925" t="s">
        <v>3</v>
      </c>
      <c r="I925">
        <f>HLOOKUP(G925,zip_tiers!$A$1:$EON$2,2,FALSE)</f>
        <v>100302.5</v>
      </c>
      <c r="J925" t="str">
        <f t="shared" si="14"/>
        <v>High</v>
      </c>
      <c r="K925">
        <f>dataset[[#This Row],[soda_sales]]/dataset[[#This Row],[soda_units_sold]]</f>
        <v>0.65757600820444828</v>
      </c>
      <c r="L925" s="29">
        <f>dataset[[#This Row],[implied_soda_ppu]]-dataset[[#This Row],[soda_ppu]]</f>
        <v>-2.3991795551681072E-5</v>
      </c>
      <c r="M925">
        <f>dataset[[#This Row],[soda_sales]]/dataset[[#This Row],[total_sales]]</f>
        <v>3.4522569344183629E-2</v>
      </c>
      <c r="N925">
        <f>LN(dataset[[#This Row],[soda_units_sold]])</f>
        <v>12.170787378340899</v>
      </c>
      <c r="O925">
        <f>LN(dataset[[#This Row],[soda_sales]])</f>
        <v>11.751592458561165</v>
      </c>
      <c r="P925">
        <f>LN(dataset[[#This Row],[soda_ppu]])</f>
        <v>-0.41915843524016694</v>
      </c>
      <c r="Q925">
        <f>IF(dataset[[#This Row],[state]]="VA",1,0)</f>
        <v>1</v>
      </c>
    </row>
    <row r="926" spans="1:17" x14ac:dyDescent="0.35">
      <c r="A926">
        <v>202401</v>
      </c>
      <c r="B926">
        <v>61</v>
      </c>
      <c r="C926" s="2">
        <v>2131511.6228999998</v>
      </c>
      <c r="D926" s="2">
        <v>0.70599999999999996</v>
      </c>
      <c r="E926" s="3">
        <v>133734</v>
      </c>
      <c r="F926" s="2">
        <v>94416.906400000007</v>
      </c>
      <c r="G926" t="s">
        <v>2422</v>
      </c>
      <c r="H926" t="s">
        <v>3</v>
      </c>
      <c r="I926">
        <f>HLOOKUP(G926,zip_tiers!$A$1:$EON$2,2,FALSE)</f>
        <v>100302.5</v>
      </c>
      <c r="J926" t="str">
        <f t="shared" si="14"/>
        <v>High</v>
      </c>
      <c r="K926">
        <f>dataset[[#This Row],[soda_sales]]/dataset[[#This Row],[soda_units_sold]]</f>
        <v>0.70600525221708765</v>
      </c>
      <c r="L926" s="29">
        <f>dataset[[#This Row],[implied_soda_ppu]]-dataset[[#This Row],[soda_ppu]]</f>
        <v>5.2522170876923013E-6</v>
      </c>
      <c r="M926">
        <f>dataset[[#This Row],[soda_sales]]/dataset[[#This Row],[total_sales]]</f>
        <v>4.4295750201700679E-2</v>
      </c>
      <c r="N926">
        <f>LN(dataset[[#This Row],[soda_units_sold]])</f>
        <v>11.803608031434248</v>
      </c>
      <c r="O926">
        <f>LN(dataset[[#This Row],[soda_sales]])</f>
        <v>11.455475429318655</v>
      </c>
      <c r="P926">
        <f>LN(dataset[[#This Row],[soda_ppu]])</f>
        <v>-0.34814004148889505</v>
      </c>
      <c r="Q926">
        <f>IF(dataset[[#This Row],[state]]="VA",1,0)</f>
        <v>1</v>
      </c>
    </row>
    <row r="927" spans="1:17" x14ac:dyDescent="0.35">
      <c r="A927">
        <v>202402</v>
      </c>
      <c r="B927">
        <v>61</v>
      </c>
      <c r="C927" s="2">
        <v>2393396.0518</v>
      </c>
      <c r="D927" s="2">
        <v>0.69499999999999995</v>
      </c>
      <c r="E927" s="3">
        <v>153355</v>
      </c>
      <c r="F927" s="2">
        <v>106575.81329999999</v>
      </c>
      <c r="G927" t="s">
        <v>2422</v>
      </c>
      <c r="H927" t="s">
        <v>3</v>
      </c>
      <c r="I927">
        <f>HLOOKUP(G927,zip_tiers!$A$1:$EON$2,2,FALSE)</f>
        <v>100302.5</v>
      </c>
      <c r="J927" t="str">
        <f t="shared" si="14"/>
        <v>High</v>
      </c>
      <c r="K927">
        <f>dataset[[#This Row],[soda_sales]]/dataset[[#This Row],[soda_units_sold]]</f>
        <v>0.69496145088194061</v>
      </c>
      <c r="L927" s="29">
        <f>dataset[[#This Row],[implied_soda_ppu]]-dataset[[#This Row],[soda_ppu]]</f>
        <v>-3.8549118059338916E-5</v>
      </c>
      <c r="M927">
        <f>dataset[[#This Row],[soda_sales]]/dataset[[#This Row],[total_sales]]</f>
        <v>4.4529117201412435E-2</v>
      </c>
      <c r="N927">
        <f>LN(dataset[[#This Row],[soda_units_sold]])</f>
        <v>11.940510774162474</v>
      </c>
      <c r="O927">
        <f>LN(dataset[[#This Row],[soda_sales]])</f>
        <v>11.576611872849895</v>
      </c>
      <c r="P927">
        <f>LN(dataset[[#This Row],[soda_ppu]])</f>
        <v>-0.36384343341734499</v>
      </c>
      <c r="Q927">
        <f>IF(dataset[[#This Row],[state]]="VA",1,0)</f>
        <v>1</v>
      </c>
    </row>
    <row r="928" spans="1:17" x14ac:dyDescent="0.35">
      <c r="A928">
        <v>202403</v>
      </c>
      <c r="B928">
        <v>61</v>
      </c>
      <c r="C928" s="2">
        <v>2727521.9005</v>
      </c>
      <c r="D928" s="2">
        <v>0.73360000000000003</v>
      </c>
      <c r="E928" s="3">
        <v>176827</v>
      </c>
      <c r="F928" s="2">
        <v>129712.2121</v>
      </c>
      <c r="G928" t="s">
        <v>2422</v>
      </c>
      <c r="H928" t="s">
        <v>3</v>
      </c>
      <c r="I928">
        <f>HLOOKUP(G928,zip_tiers!$A$1:$EON$2,2,FALSE)</f>
        <v>100302.5</v>
      </c>
      <c r="J928" t="str">
        <f t="shared" si="14"/>
        <v>High</v>
      </c>
      <c r="K928">
        <f>dataset[[#This Row],[soda_sales]]/dataset[[#This Row],[soda_units_sold]]</f>
        <v>0.73355433333144826</v>
      </c>
      <c r="L928" s="29">
        <f>dataset[[#This Row],[implied_soda_ppu]]-dataset[[#This Row],[soda_ppu]]</f>
        <v>-4.5666668551769263E-5</v>
      </c>
      <c r="M928">
        <f>dataset[[#This Row],[soda_sales]]/dataset[[#This Row],[total_sales]]</f>
        <v>4.7556799480224746E-2</v>
      </c>
      <c r="N928">
        <f>LN(dataset[[#This Row],[soda_units_sold]])</f>
        <v>12.082927132458069</v>
      </c>
      <c r="O928">
        <f>LN(dataset[[#This Row],[soda_sales]])</f>
        <v>11.773073522387124</v>
      </c>
      <c r="P928">
        <f>LN(dataset[[#This Row],[soda_ppu]])</f>
        <v>-0.30979135803988189</v>
      </c>
      <c r="Q928">
        <f>IF(dataset[[#This Row],[state]]="VA",1,0)</f>
        <v>1</v>
      </c>
    </row>
    <row r="929" spans="1:17" x14ac:dyDescent="0.35">
      <c r="A929">
        <v>202404</v>
      </c>
      <c r="B929">
        <v>61</v>
      </c>
      <c r="C929" s="2">
        <v>2869744.2488000002</v>
      </c>
      <c r="D929" s="2">
        <v>0.70040000000000002</v>
      </c>
      <c r="E929" s="3">
        <v>214783</v>
      </c>
      <c r="F929" s="2">
        <v>150431.8492</v>
      </c>
      <c r="G929" t="s">
        <v>2422</v>
      </c>
      <c r="H929" t="s">
        <v>3</v>
      </c>
      <c r="I929">
        <f>HLOOKUP(G929,zip_tiers!$A$1:$EON$2,2,FALSE)</f>
        <v>100302.5</v>
      </c>
      <c r="J929" t="str">
        <f t="shared" si="14"/>
        <v>High</v>
      </c>
      <c r="K929">
        <f>dataset[[#This Row],[soda_sales]]/dataset[[#This Row],[soda_units_sold]]</f>
        <v>0.70038992471471206</v>
      </c>
      <c r="L929" s="29">
        <f>dataset[[#This Row],[implied_soda_ppu]]-dataset[[#This Row],[soda_ppu]]</f>
        <v>-1.0075285287958202E-5</v>
      </c>
      <c r="M929">
        <f>dataset[[#This Row],[soda_sales]]/dataset[[#This Row],[total_sales]]</f>
        <v>5.2419949709073876E-2</v>
      </c>
      <c r="N929">
        <f>LN(dataset[[#This Row],[soda_units_sold]])</f>
        <v>12.277383495095645</v>
      </c>
      <c r="O929">
        <f>LN(dataset[[#This Row],[soda_sales]])</f>
        <v>11.921265431377067</v>
      </c>
      <c r="P929">
        <f>LN(dataset[[#This Row],[soda_ppu]])</f>
        <v>-0.35610367857044023</v>
      </c>
      <c r="Q929">
        <f>IF(dataset[[#This Row],[state]]="VA",1,0)</f>
        <v>1</v>
      </c>
    </row>
    <row r="930" spans="1:17" x14ac:dyDescent="0.35">
      <c r="A930">
        <v>202405</v>
      </c>
      <c r="B930">
        <v>61</v>
      </c>
      <c r="C930" s="2">
        <v>2980254.2008000002</v>
      </c>
      <c r="D930" s="2">
        <v>0.71130000000000004</v>
      </c>
      <c r="E930" s="3">
        <v>229971</v>
      </c>
      <c r="F930" s="2">
        <v>163570.31049999999</v>
      </c>
      <c r="G930" t="s">
        <v>2422</v>
      </c>
      <c r="H930" t="s">
        <v>3</v>
      </c>
      <c r="I930">
        <f>HLOOKUP(G930,zip_tiers!$A$1:$EON$2,2,FALSE)</f>
        <v>100302.5</v>
      </c>
      <c r="J930" t="str">
        <f t="shared" si="14"/>
        <v>High</v>
      </c>
      <c r="K930">
        <f>dataset[[#This Row],[soda_sales]]/dataset[[#This Row],[soda_units_sold]]</f>
        <v>0.71126494427558251</v>
      </c>
      <c r="L930" s="29">
        <f>dataset[[#This Row],[implied_soda_ppu]]-dataset[[#This Row],[soda_ppu]]</f>
        <v>-3.5055724417532019E-5</v>
      </c>
      <c r="M930">
        <f>dataset[[#This Row],[soda_sales]]/dataset[[#This Row],[total_sales]]</f>
        <v>5.4884684150799029E-2</v>
      </c>
      <c r="N930">
        <f>LN(dataset[[#This Row],[soda_units_sold]])</f>
        <v>12.345708492999183</v>
      </c>
      <c r="O930">
        <f>LN(dataset[[#This Row],[soda_sales]])</f>
        <v>12.004998210520624</v>
      </c>
      <c r="P930">
        <f>LN(dataset[[#This Row],[soda_ppu]])</f>
        <v>-0.34066099724266752</v>
      </c>
      <c r="Q930">
        <f>IF(dataset[[#This Row],[state]]="VA",1,0)</f>
        <v>1</v>
      </c>
    </row>
    <row r="931" spans="1:17" x14ac:dyDescent="0.35">
      <c r="A931">
        <v>202406</v>
      </c>
      <c r="B931">
        <v>61</v>
      </c>
      <c r="C931" s="2">
        <v>2892502.3566000001</v>
      </c>
      <c r="D931" s="2">
        <v>0.70609999999999995</v>
      </c>
      <c r="E931" s="3">
        <v>243843</v>
      </c>
      <c r="F931" s="2">
        <v>172186.52350000001</v>
      </c>
      <c r="G931" t="s">
        <v>2422</v>
      </c>
      <c r="H931" t="s">
        <v>3</v>
      </c>
      <c r="I931">
        <f>HLOOKUP(G931,zip_tiers!$A$1:$EON$2,2,FALSE)</f>
        <v>100302.5</v>
      </c>
      <c r="J931" t="str">
        <f t="shared" si="14"/>
        <v>High</v>
      </c>
      <c r="K931">
        <f>dataset[[#This Row],[soda_sales]]/dataset[[#This Row],[soda_units_sold]]</f>
        <v>0.70613683189593313</v>
      </c>
      <c r="L931" s="29">
        <f>dataset[[#This Row],[implied_soda_ppu]]-dataset[[#This Row],[soda_ppu]]</f>
        <v>3.6831895933175929E-5</v>
      </c>
      <c r="M931">
        <f>dataset[[#This Row],[soda_sales]]/dataset[[#This Row],[total_sales]]</f>
        <v>5.9528568095065321E-2</v>
      </c>
      <c r="N931">
        <f>LN(dataset[[#This Row],[soda_units_sold]])</f>
        <v>12.404279854554341</v>
      </c>
      <c r="O931">
        <f>LN(dataset[[#This Row],[soda_sales]])</f>
        <v>12.056333607169915</v>
      </c>
      <c r="P931">
        <f>LN(dataset[[#This Row],[soda_ppu]])</f>
        <v>-0.34799840845983598</v>
      </c>
      <c r="Q931">
        <f>IF(dataset[[#This Row],[state]]="VA",1,0)</f>
        <v>1</v>
      </c>
    </row>
    <row r="932" spans="1:17" x14ac:dyDescent="0.35">
      <c r="A932">
        <v>202407</v>
      </c>
      <c r="B932">
        <v>61</v>
      </c>
      <c r="C932" s="2">
        <v>2694578.7141999998</v>
      </c>
      <c r="D932" s="2">
        <v>0.71109999999999995</v>
      </c>
      <c r="E932" s="3">
        <v>246033</v>
      </c>
      <c r="F932" s="2">
        <v>174964.41020000001</v>
      </c>
      <c r="G932" t="s">
        <v>2422</v>
      </c>
      <c r="H932" t="s">
        <v>3</v>
      </c>
      <c r="I932">
        <f>HLOOKUP(G932,zip_tiers!$A$1:$EON$2,2,FALSE)</f>
        <v>100302.5</v>
      </c>
      <c r="J932" t="str">
        <f t="shared" si="14"/>
        <v>High</v>
      </c>
      <c r="K932">
        <f>dataset[[#This Row],[soda_sales]]/dataset[[#This Row],[soda_units_sold]]</f>
        <v>0.71114204273410486</v>
      </c>
      <c r="L932" s="29">
        <f>dataset[[#This Row],[implied_soda_ppu]]-dataset[[#This Row],[soda_ppu]]</f>
        <v>4.2042734104907886E-5</v>
      </c>
      <c r="M932">
        <f>dataset[[#This Row],[soda_sales]]/dataset[[#This Row],[total_sales]]</f>
        <v>6.4932009325971998E-2</v>
      </c>
      <c r="N932">
        <f>LN(dataset[[#This Row],[soda_units_sold]])</f>
        <v>12.413220952259147</v>
      </c>
      <c r="O932">
        <f>LN(dataset[[#This Row],[soda_sales]])</f>
        <v>12.072337861937395</v>
      </c>
      <c r="P932">
        <f>LN(dataset[[#This Row],[soda_ppu]])</f>
        <v>-0.34094221209266484</v>
      </c>
      <c r="Q932">
        <f>IF(dataset[[#This Row],[state]]="VA",1,0)</f>
        <v>1</v>
      </c>
    </row>
    <row r="933" spans="1:17" x14ac:dyDescent="0.35">
      <c r="A933">
        <v>202408</v>
      </c>
      <c r="B933">
        <v>61</v>
      </c>
      <c r="C933" s="2">
        <v>2518408.9145</v>
      </c>
      <c r="D933" s="2">
        <v>0.71930000000000005</v>
      </c>
      <c r="E933" s="3">
        <v>210206</v>
      </c>
      <c r="F933" s="2">
        <v>151211.02540000001</v>
      </c>
      <c r="G933" t="s">
        <v>2422</v>
      </c>
      <c r="H933" t="s">
        <v>3</v>
      </c>
      <c r="I933">
        <f>HLOOKUP(G933,zip_tiers!$A$1:$EON$2,2,FALSE)</f>
        <v>100302.5</v>
      </c>
      <c r="J933" t="str">
        <f t="shared" si="14"/>
        <v>High</v>
      </c>
      <c r="K933">
        <f>dataset[[#This Row],[soda_sales]]/dataset[[#This Row],[soda_units_sold]]</f>
        <v>0.71934685689276245</v>
      </c>
      <c r="L933" s="29">
        <f>dataset[[#This Row],[implied_soda_ppu]]-dataset[[#This Row],[soda_ppu]]</f>
        <v>4.6856892762403568E-5</v>
      </c>
      <c r="M933">
        <f>dataset[[#This Row],[soda_sales]]/dataset[[#This Row],[total_sales]]</f>
        <v>6.0042284844763247E-2</v>
      </c>
      <c r="N933">
        <f>LN(dataset[[#This Row],[soda_units_sold]])</f>
        <v>12.255843281261185</v>
      </c>
      <c r="O933">
        <f>LN(dataset[[#This Row],[soda_sales]])</f>
        <v>11.926431659381254</v>
      </c>
      <c r="P933">
        <f>LN(dataset[[#This Row],[soda_ppu]])</f>
        <v>-0.32947676210882643</v>
      </c>
      <c r="Q933">
        <f>IF(dataset[[#This Row],[state]]="VA",1,0)</f>
        <v>1</v>
      </c>
    </row>
    <row r="934" spans="1:17" x14ac:dyDescent="0.35">
      <c r="A934">
        <v>202409</v>
      </c>
      <c r="B934">
        <v>61</v>
      </c>
      <c r="C934" s="2">
        <v>2604314.0115</v>
      </c>
      <c r="D934" s="2">
        <v>0.70679999999999998</v>
      </c>
      <c r="E934" s="3">
        <v>208633</v>
      </c>
      <c r="F934" s="2">
        <v>147469.24540000001</v>
      </c>
      <c r="G934" t="s">
        <v>2422</v>
      </c>
      <c r="H934" t="s">
        <v>3</v>
      </c>
      <c r="I934">
        <f>HLOOKUP(G934,zip_tiers!$A$1:$EON$2,2,FALSE)</f>
        <v>100302.5</v>
      </c>
      <c r="J934" t="str">
        <f t="shared" si="14"/>
        <v>High</v>
      </c>
      <c r="K934">
        <f>dataset[[#This Row],[soda_sales]]/dataset[[#This Row],[soda_units_sold]]</f>
        <v>0.70683566549874666</v>
      </c>
      <c r="L934" s="29">
        <f>dataset[[#This Row],[implied_soda_ppu]]-dataset[[#This Row],[soda_ppu]]</f>
        <v>3.566549874667313E-5</v>
      </c>
      <c r="M934">
        <f>dataset[[#This Row],[soda_sales]]/dataset[[#This Row],[total_sales]]</f>
        <v>5.662498636831529E-2</v>
      </c>
      <c r="N934">
        <f>LN(dataset[[#This Row],[soda_units_sold]])</f>
        <v>12.248332006544095</v>
      </c>
      <c r="O934">
        <f>LN(dataset[[#This Row],[soda_sales]])</f>
        <v>11.901374927258951</v>
      </c>
      <c r="P934">
        <f>LN(dataset[[#This Row],[soda_ppu]])</f>
        <v>-0.34700753853659572</v>
      </c>
      <c r="Q934">
        <f>IF(dataset[[#This Row],[state]]="VA",1,0)</f>
        <v>1</v>
      </c>
    </row>
    <row r="935" spans="1:17" x14ac:dyDescent="0.35">
      <c r="A935">
        <v>202410</v>
      </c>
      <c r="B935">
        <v>61</v>
      </c>
      <c r="C935" s="2">
        <v>3177231.5318</v>
      </c>
      <c r="D935" s="2">
        <v>0.72370000000000001</v>
      </c>
      <c r="E935" s="3">
        <v>196269</v>
      </c>
      <c r="F935" s="2">
        <v>142043.64509999999</v>
      </c>
      <c r="G935" t="s">
        <v>2422</v>
      </c>
      <c r="H935" t="s">
        <v>3</v>
      </c>
      <c r="I935">
        <f>HLOOKUP(G935,zip_tiers!$A$1:$EON$2,2,FALSE)</f>
        <v>100302.5</v>
      </c>
      <c r="J935" t="str">
        <f t="shared" si="14"/>
        <v>High</v>
      </c>
      <c r="K935">
        <f>dataset[[#This Row],[soda_sales]]/dataset[[#This Row],[soda_units_sold]]</f>
        <v>0.72371920731241302</v>
      </c>
      <c r="L935" s="29">
        <f>dataset[[#This Row],[implied_soda_ppu]]-dataset[[#This Row],[soda_ppu]]</f>
        <v>1.920731241300544E-5</v>
      </c>
      <c r="M935">
        <f>dataset[[#This Row],[soda_sales]]/dataset[[#This Row],[total_sales]]</f>
        <v>4.4706734047653074E-2</v>
      </c>
      <c r="N935">
        <f>LN(dataset[[#This Row],[soda_units_sold]])</f>
        <v>12.187241446244983</v>
      </c>
      <c r="O935">
        <f>LN(dataset[[#This Row],[soda_sales]])</f>
        <v>11.863889649217187</v>
      </c>
      <c r="P935">
        <f>LN(dataset[[#This Row],[soda_ppu]])</f>
        <v>-0.32337833711005504</v>
      </c>
      <c r="Q935">
        <f>IF(dataset[[#This Row],[state]]="VA",1,0)</f>
        <v>1</v>
      </c>
    </row>
    <row r="936" spans="1:17" x14ac:dyDescent="0.35">
      <c r="A936">
        <v>202411</v>
      </c>
      <c r="B936">
        <v>61</v>
      </c>
      <c r="C936" s="2">
        <v>3598631.3681000001</v>
      </c>
      <c r="D936" s="2">
        <v>0.70189999999999997</v>
      </c>
      <c r="E936" s="3">
        <v>188354</v>
      </c>
      <c r="F936" s="2">
        <v>132199.92420000001</v>
      </c>
      <c r="G936" t="s">
        <v>2422</v>
      </c>
      <c r="H936" t="s">
        <v>3</v>
      </c>
      <c r="I936">
        <f>HLOOKUP(G936,zip_tiers!$A$1:$EON$2,2,FALSE)</f>
        <v>100302.5</v>
      </c>
      <c r="J936" t="str">
        <f t="shared" si="14"/>
        <v>High</v>
      </c>
      <c r="K936">
        <f>dataset[[#This Row],[soda_sales]]/dataset[[#This Row],[soda_units_sold]]</f>
        <v>0.70186948087112566</v>
      </c>
      <c r="L936" s="29">
        <f>dataset[[#This Row],[implied_soda_ppu]]-dataset[[#This Row],[soda_ppu]]</f>
        <v>-3.0519128874306745E-5</v>
      </c>
      <c r="M936">
        <f>dataset[[#This Row],[soda_sales]]/dataset[[#This Row],[total_sales]]</f>
        <v>3.6736167358480711E-2</v>
      </c>
      <c r="N936">
        <f>LN(dataset[[#This Row],[soda_units_sold]])</f>
        <v>12.146078449953352</v>
      </c>
      <c r="O936">
        <f>LN(dataset[[#This Row],[soda_sales]])</f>
        <v>11.792070633025883</v>
      </c>
      <c r="P936">
        <f>LN(dataset[[#This Row],[soda_ppu]])</f>
        <v>-0.35396433524576132</v>
      </c>
      <c r="Q936">
        <f>IF(dataset[[#This Row],[state]]="VA",1,0)</f>
        <v>1</v>
      </c>
    </row>
    <row r="937" spans="1:17" x14ac:dyDescent="0.35">
      <c r="A937">
        <v>202412</v>
      </c>
      <c r="B937">
        <v>61</v>
      </c>
      <c r="C937" s="2">
        <v>3757237.5395999998</v>
      </c>
      <c r="D937" s="2">
        <v>0.74770000000000003</v>
      </c>
      <c r="E937" s="3">
        <v>175135</v>
      </c>
      <c r="F937" s="2">
        <v>130953.217</v>
      </c>
      <c r="G937" t="s">
        <v>2422</v>
      </c>
      <c r="H937" t="s">
        <v>3</v>
      </c>
      <c r="I937">
        <f>HLOOKUP(G937,zip_tiers!$A$1:$EON$2,2,FALSE)</f>
        <v>100302.5</v>
      </c>
      <c r="J937" t="str">
        <f t="shared" si="14"/>
        <v>High</v>
      </c>
      <c r="K937">
        <f>dataset[[#This Row],[soda_sales]]/dataset[[#This Row],[soda_units_sold]]</f>
        <v>0.74772727895623381</v>
      </c>
      <c r="L937" s="29">
        <f>dataset[[#This Row],[implied_soda_ppu]]-dataset[[#This Row],[soda_ppu]]</f>
        <v>2.7278956233778295E-5</v>
      </c>
      <c r="M937">
        <f>dataset[[#This Row],[soda_sales]]/dataset[[#This Row],[total_sales]]</f>
        <v>3.485359006977809E-2</v>
      </c>
      <c r="N937">
        <f>LN(dataset[[#This Row],[soda_units_sold]])</f>
        <v>12.073312384078998</v>
      </c>
      <c r="O937">
        <f>LN(dataset[[#This Row],[soda_sales]])</f>
        <v>11.782595416262588</v>
      </c>
      <c r="P937">
        <f>LN(dataset[[#This Row],[soda_ppu]])</f>
        <v>-0.29075345097626715</v>
      </c>
      <c r="Q937">
        <f>IF(dataset[[#This Row],[state]]="VA",1,0)</f>
        <v>1</v>
      </c>
    </row>
    <row r="938" spans="1:17" x14ac:dyDescent="0.35">
      <c r="A938">
        <v>202201</v>
      </c>
      <c r="B938">
        <v>49</v>
      </c>
      <c r="C938" s="2">
        <v>1895261.3929000001</v>
      </c>
      <c r="D938" s="2">
        <v>0.69969999999999999</v>
      </c>
      <c r="E938" s="3">
        <v>131620</v>
      </c>
      <c r="F938" s="2">
        <v>92092.356100000005</v>
      </c>
      <c r="G938" t="s">
        <v>2425</v>
      </c>
      <c r="H938" t="s">
        <v>3</v>
      </c>
      <c r="I938">
        <f>HLOOKUP(G938,zip_tiers!$A$1:$EON$2,2,FALSE)</f>
        <v>76752</v>
      </c>
      <c r="J938" t="str">
        <f t="shared" si="14"/>
        <v>Med</v>
      </c>
      <c r="K938">
        <f>dataset[[#This Row],[soda_sales]]/dataset[[#This Row],[soda_units_sold]]</f>
        <v>0.69968360507521654</v>
      </c>
      <c r="L938" s="29">
        <f>dataset[[#This Row],[implied_soda_ppu]]-dataset[[#This Row],[soda_ppu]]</f>
        <v>-1.6394924783447173E-5</v>
      </c>
      <c r="M938">
        <f>dataset[[#This Row],[soda_sales]]/dataset[[#This Row],[total_sales]]</f>
        <v>4.8590846858905593E-2</v>
      </c>
      <c r="N938">
        <f>LN(dataset[[#This Row],[soda_units_sold]])</f>
        <v>11.78767426201011</v>
      </c>
      <c r="O938">
        <f>LN(dataset[[#This Row],[soda_sales]])</f>
        <v>11.430547223142174</v>
      </c>
      <c r="P938">
        <f>LN(dataset[[#This Row],[soda_ppu]])</f>
        <v>-0.357103607230286</v>
      </c>
      <c r="Q938">
        <f>IF(dataset[[#This Row],[state]]="VA",1,0)</f>
        <v>1</v>
      </c>
    </row>
    <row r="939" spans="1:17" x14ac:dyDescent="0.35">
      <c r="A939">
        <v>202202</v>
      </c>
      <c r="B939">
        <v>49</v>
      </c>
      <c r="C939" s="2">
        <v>2173191.4092999999</v>
      </c>
      <c r="D939" s="2">
        <v>0.70140000000000002</v>
      </c>
      <c r="E939" s="3">
        <v>148871</v>
      </c>
      <c r="F939" s="2">
        <v>104410.9224</v>
      </c>
      <c r="G939" t="s">
        <v>2425</v>
      </c>
      <c r="H939" t="s">
        <v>3</v>
      </c>
      <c r="I939">
        <f>HLOOKUP(G939,zip_tiers!$A$1:$EON$2,2,FALSE)</f>
        <v>76752</v>
      </c>
      <c r="J939" t="str">
        <f t="shared" si="14"/>
        <v>Med</v>
      </c>
      <c r="K939">
        <f>dataset[[#This Row],[soda_sales]]/dataset[[#This Row],[soda_units_sold]]</f>
        <v>0.70135165613181882</v>
      </c>
      <c r="L939" s="29">
        <f>dataset[[#This Row],[implied_soda_ppu]]-dataset[[#This Row],[soda_ppu]]</f>
        <v>-4.8343868181199845E-5</v>
      </c>
      <c r="M939">
        <f>dataset[[#This Row],[soda_sales]]/dataset[[#This Row],[total_sales]]</f>
        <v>4.8044972915492742E-2</v>
      </c>
      <c r="N939">
        <f>LN(dataset[[#This Row],[soda_units_sold]])</f>
        <v>11.910835438118644</v>
      </c>
      <c r="O939">
        <f>LN(dataset[[#This Row],[soda_sales]])</f>
        <v>11.556089569647968</v>
      </c>
      <c r="P939">
        <f>LN(dataset[[#This Row],[soda_ppu]])</f>
        <v>-0.35467694127605931</v>
      </c>
      <c r="Q939">
        <f>IF(dataset[[#This Row],[state]]="VA",1,0)</f>
        <v>1</v>
      </c>
    </row>
    <row r="940" spans="1:17" x14ac:dyDescent="0.35">
      <c r="A940">
        <v>202203</v>
      </c>
      <c r="B940">
        <v>49</v>
      </c>
      <c r="C940" s="2">
        <v>2417236.6716999998</v>
      </c>
      <c r="D940" s="2">
        <v>0.72970000000000002</v>
      </c>
      <c r="E940" s="3">
        <v>171569</v>
      </c>
      <c r="F940" s="2">
        <v>125197.3435</v>
      </c>
      <c r="G940" t="s">
        <v>2425</v>
      </c>
      <c r="H940" t="s">
        <v>3</v>
      </c>
      <c r="I940">
        <f>HLOOKUP(G940,zip_tiers!$A$1:$EON$2,2,FALSE)</f>
        <v>76752</v>
      </c>
      <c r="J940" t="str">
        <f t="shared" si="14"/>
        <v>Med</v>
      </c>
      <c r="K940">
        <f>dataset[[#This Row],[soda_sales]]/dataset[[#This Row],[soda_units_sold]]</f>
        <v>0.72972007472212352</v>
      </c>
      <c r="L940" s="29">
        <f>dataset[[#This Row],[implied_soda_ppu]]-dataset[[#This Row],[soda_ppu]]</f>
        <v>2.0074722123508693E-5</v>
      </c>
      <c r="M940">
        <f>dataset[[#This Row],[soda_sales]]/dataset[[#This Row],[total_sales]]</f>
        <v>5.179358106128306E-2</v>
      </c>
      <c r="N940">
        <f>LN(dataset[[#This Row],[soda_units_sold]])</f>
        <v>12.052740797035685</v>
      </c>
      <c r="O940">
        <f>LN(dataset[[#This Row],[soda_sales]])</f>
        <v>11.737646519371911</v>
      </c>
      <c r="P940">
        <f>LN(dataset[[#This Row],[soda_ppu]])</f>
        <v>-0.31512178821056264</v>
      </c>
      <c r="Q940">
        <f>IF(dataset[[#This Row],[state]]="VA",1,0)</f>
        <v>1</v>
      </c>
    </row>
    <row r="941" spans="1:17" x14ac:dyDescent="0.35">
      <c r="A941">
        <v>202204</v>
      </c>
      <c r="B941">
        <v>49</v>
      </c>
      <c r="C941" s="2">
        <v>2573284.2677000002</v>
      </c>
      <c r="D941" s="2">
        <v>0.72370000000000001</v>
      </c>
      <c r="E941" s="3">
        <v>203762</v>
      </c>
      <c r="F941" s="2">
        <v>147458.1519</v>
      </c>
      <c r="G941" t="s">
        <v>2425</v>
      </c>
      <c r="H941" t="s">
        <v>3</v>
      </c>
      <c r="I941">
        <f>HLOOKUP(G941,zip_tiers!$A$1:$EON$2,2,FALSE)</f>
        <v>76752</v>
      </c>
      <c r="J941" t="str">
        <f t="shared" si="14"/>
        <v>Med</v>
      </c>
      <c r="K941">
        <f>dataset[[#This Row],[soda_sales]]/dataset[[#This Row],[soda_units_sold]]</f>
        <v>0.72367836937211061</v>
      </c>
      <c r="L941" s="29">
        <f>dataset[[#This Row],[implied_soda_ppu]]-dataset[[#This Row],[soda_ppu]]</f>
        <v>-2.1630627889401843E-5</v>
      </c>
      <c r="M941">
        <f>dataset[[#This Row],[soda_sales]]/dataset[[#This Row],[total_sales]]</f>
        <v>5.7303483237706183E-2</v>
      </c>
      <c r="N941">
        <f>LN(dataset[[#This Row],[soda_units_sold]])</f>
        <v>12.224707925074346</v>
      </c>
      <c r="O941">
        <f>LN(dataset[[#This Row],[soda_sales]])</f>
        <v>11.901299698574828</v>
      </c>
      <c r="P941">
        <f>LN(dataset[[#This Row],[soda_ppu]])</f>
        <v>-0.32337833711005504</v>
      </c>
      <c r="Q941">
        <f>IF(dataset[[#This Row],[state]]="VA",1,0)</f>
        <v>1</v>
      </c>
    </row>
    <row r="942" spans="1:17" x14ac:dyDescent="0.35">
      <c r="A942">
        <v>202205</v>
      </c>
      <c r="B942">
        <v>49</v>
      </c>
      <c r="C942" s="2">
        <v>2611680.9855</v>
      </c>
      <c r="D942" s="2">
        <v>0.70589999999999997</v>
      </c>
      <c r="E942" s="3">
        <v>222157</v>
      </c>
      <c r="F942" s="2">
        <v>156830.6391</v>
      </c>
      <c r="G942" t="s">
        <v>2425</v>
      </c>
      <c r="H942" t="s">
        <v>3</v>
      </c>
      <c r="I942">
        <f>HLOOKUP(G942,zip_tiers!$A$1:$EON$2,2,FALSE)</f>
        <v>76752</v>
      </c>
      <c r="J942" t="str">
        <f t="shared" si="14"/>
        <v>Med</v>
      </c>
      <c r="K942">
        <f>dataset[[#This Row],[soda_sales]]/dataset[[#This Row],[soda_units_sold]]</f>
        <v>0.70594507082828806</v>
      </c>
      <c r="L942" s="29">
        <f>dataset[[#This Row],[implied_soda_ppu]]-dataset[[#This Row],[soda_ppu]]</f>
        <v>4.5070828288085174E-5</v>
      </c>
      <c r="M942">
        <f>dataset[[#This Row],[soda_sales]]/dataset[[#This Row],[total_sales]]</f>
        <v>6.0049692121940057E-2</v>
      </c>
      <c r="N942">
        <f>LN(dataset[[#This Row],[soda_units_sold]])</f>
        <v>12.311139618108445</v>
      </c>
      <c r="O942">
        <f>LN(dataset[[#This Row],[soda_sales]])</f>
        <v>11.962921770233347</v>
      </c>
      <c r="P942">
        <f>LN(dataset[[#This Row],[soda_ppu]])</f>
        <v>-0.34828169458071062</v>
      </c>
      <c r="Q942">
        <f>IF(dataset[[#This Row],[state]]="VA",1,0)</f>
        <v>1</v>
      </c>
    </row>
    <row r="943" spans="1:17" x14ac:dyDescent="0.35">
      <c r="A943">
        <v>202206</v>
      </c>
      <c r="B943">
        <v>49</v>
      </c>
      <c r="C943" s="2">
        <v>2544098.4767</v>
      </c>
      <c r="D943" s="2">
        <v>0.70660000000000001</v>
      </c>
      <c r="E943" s="3">
        <v>233122</v>
      </c>
      <c r="F943" s="2">
        <v>164716.07329999999</v>
      </c>
      <c r="G943" t="s">
        <v>2425</v>
      </c>
      <c r="H943" t="s">
        <v>3</v>
      </c>
      <c r="I943">
        <f>HLOOKUP(G943,zip_tiers!$A$1:$EON$2,2,FALSE)</f>
        <v>76752</v>
      </c>
      <c r="J943" t="str">
        <f t="shared" si="14"/>
        <v>Med</v>
      </c>
      <c r="K943">
        <f>dataset[[#This Row],[soda_sales]]/dataset[[#This Row],[soda_units_sold]]</f>
        <v>0.70656597532622401</v>
      </c>
      <c r="L943" s="29">
        <f>dataset[[#This Row],[implied_soda_ppu]]-dataset[[#This Row],[soda_ppu]]</f>
        <v>-3.4024673776000824E-5</v>
      </c>
      <c r="M943">
        <f>dataset[[#This Row],[soda_sales]]/dataset[[#This Row],[total_sales]]</f>
        <v>6.4744377943127596E-2</v>
      </c>
      <c r="N943">
        <f>LN(dataset[[#This Row],[soda_units_sold]])</f>
        <v>12.359317200664707</v>
      </c>
      <c r="O943">
        <f>LN(dataset[[#This Row],[soda_sales]])</f>
        <v>12.011978502782267</v>
      </c>
      <c r="P943">
        <f>LN(dataset[[#This Row],[soda_ppu]])</f>
        <v>-0.3472905440570922</v>
      </c>
      <c r="Q943">
        <f>IF(dataset[[#This Row],[state]]="VA",1,0)</f>
        <v>1</v>
      </c>
    </row>
    <row r="944" spans="1:17" x14ac:dyDescent="0.35">
      <c r="A944">
        <v>202207</v>
      </c>
      <c r="B944">
        <v>49</v>
      </c>
      <c r="C944" s="2">
        <v>2399526.4613000001</v>
      </c>
      <c r="D944" s="2">
        <v>0.69259999999999999</v>
      </c>
      <c r="E944" s="3">
        <v>242902</v>
      </c>
      <c r="F944" s="2">
        <v>168230.14230000001</v>
      </c>
      <c r="G944" t="s">
        <v>2425</v>
      </c>
      <c r="H944" t="s">
        <v>3</v>
      </c>
      <c r="I944">
        <f>HLOOKUP(G944,zip_tiers!$A$1:$EON$2,2,FALSE)</f>
        <v>76752</v>
      </c>
      <c r="J944" t="str">
        <f t="shared" si="14"/>
        <v>Med</v>
      </c>
      <c r="K944">
        <f>dataset[[#This Row],[soda_sales]]/dataset[[#This Row],[soda_units_sold]]</f>
        <v>0.69258442622950822</v>
      </c>
      <c r="L944" s="29">
        <f>dataset[[#This Row],[implied_soda_ppu]]-dataset[[#This Row],[soda_ppu]]</f>
        <v>-1.5573770491772443E-5</v>
      </c>
      <c r="M944">
        <f>dataset[[#This Row],[soda_sales]]/dataset[[#This Row],[total_sales]]</f>
        <v>7.0109725820175939E-2</v>
      </c>
      <c r="N944">
        <f>LN(dataset[[#This Row],[soda_units_sold]])</f>
        <v>12.400413348797453</v>
      </c>
      <c r="O944">
        <f>LN(dataset[[#This Row],[soda_sales]])</f>
        <v>12.033088215578628</v>
      </c>
      <c r="P944">
        <f>LN(dataset[[#This Row],[soda_ppu]])</f>
        <v>-0.36730264701381549</v>
      </c>
      <c r="Q944">
        <f>IF(dataset[[#This Row],[state]]="VA",1,0)</f>
        <v>1</v>
      </c>
    </row>
    <row r="945" spans="1:17" x14ac:dyDescent="0.35">
      <c r="A945">
        <v>202208</v>
      </c>
      <c r="B945">
        <v>49</v>
      </c>
      <c r="C945" s="2">
        <v>2295590.5392999998</v>
      </c>
      <c r="D945" s="2">
        <v>0.72440000000000004</v>
      </c>
      <c r="E945" s="3">
        <v>212766</v>
      </c>
      <c r="F945" s="2">
        <v>154117.29310000001</v>
      </c>
      <c r="G945" t="s">
        <v>2425</v>
      </c>
      <c r="H945" t="s">
        <v>3</v>
      </c>
      <c r="I945">
        <f>HLOOKUP(G945,zip_tiers!$A$1:$EON$2,2,FALSE)</f>
        <v>76752</v>
      </c>
      <c r="J945" t="str">
        <f t="shared" si="14"/>
        <v>Med</v>
      </c>
      <c r="K945">
        <f>dataset[[#This Row],[soda_sales]]/dataset[[#This Row],[soda_units_sold]]</f>
        <v>0.72435113269977347</v>
      </c>
      <c r="L945" s="29">
        <f>dataset[[#This Row],[implied_soda_ppu]]-dataset[[#This Row],[soda_ppu]]</f>
        <v>-4.8867300226573818E-5</v>
      </c>
      <c r="M945">
        <f>dataset[[#This Row],[soda_sales]]/dataset[[#This Row],[total_sales]]</f>
        <v>6.7136229419640051E-2</v>
      </c>
      <c r="N945">
        <f>LN(dataset[[#This Row],[soda_units_sold]])</f>
        <v>12.26794824924824</v>
      </c>
      <c r="O945">
        <f>LN(dataset[[#This Row],[soda_sales]])</f>
        <v>11.945469234999036</v>
      </c>
      <c r="P945">
        <f>LN(dataset[[#This Row],[soda_ppu]])</f>
        <v>-0.32241155297287866</v>
      </c>
      <c r="Q945">
        <f>IF(dataset[[#This Row],[state]]="VA",1,0)</f>
        <v>1</v>
      </c>
    </row>
    <row r="946" spans="1:17" x14ac:dyDescent="0.35">
      <c r="A946">
        <v>202209</v>
      </c>
      <c r="B946">
        <v>49</v>
      </c>
      <c r="C946" s="2">
        <v>2270680.9336000001</v>
      </c>
      <c r="D946" s="2">
        <v>0.71719999999999995</v>
      </c>
      <c r="E946" s="3">
        <v>197053</v>
      </c>
      <c r="F946" s="2">
        <v>141333.5313</v>
      </c>
      <c r="G946" t="s">
        <v>2425</v>
      </c>
      <c r="H946" t="s">
        <v>3</v>
      </c>
      <c r="I946">
        <f>HLOOKUP(G946,zip_tiers!$A$1:$EON$2,2,FALSE)</f>
        <v>76752</v>
      </c>
      <c r="J946" t="str">
        <f t="shared" si="14"/>
        <v>Med</v>
      </c>
      <c r="K946">
        <f>dataset[[#This Row],[soda_sales]]/dataset[[#This Row],[soda_units_sold]]</f>
        <v>0.71723613088864413</v>
      </c>
      <c r="L946" s="29">
        <f>dataset[[#This Row],[implied_soda_ppu]]-dataset[[#This Row],[soda_ppu]]</f>
        <v>3.6130888644181347E-5</v>
      </c>
      <c r="M946">
        <f>dataset[[#This Row],[soda_sales]]/dataset[[#This Row],[total_sales]]</f>
        <v>6.2242796514755568E-2</v>
      </c>
      <c r="N946">
        <f>LN(dataset[[#This Row],[soda_units_sold]])</f>
        <v>12.191228007069551</v>
      </c>
      <c r="O946">
        <f>LN(dataset[[#This Row],[soda_sales]])</f>
        <v>11.858877846252552</v>
      </c>
      <c r="P946">
        <f>LN(dataset[[#This Row],[soda_ppu]])</f>
        <v>-0.33240053725115931</v>
      </c>
      <c r="Q946">
        <f>IF(dataset[[#This Row],[state]]="VA",1,0)</f>
        <v>1</v>
      </c>
    </row>
    <row r="947" spans="1:17" x14ac:dyDescent="0.35">
      <c r="A947">
        <v>202210</v>
      </c>
      <c r="B947">
        <v>49</v>
      </c>
      <c r="C947" s="2">
        <v>2800577.8668</v>
      </c>
      <c r="D947" s="2">
        <v>0.72470000000000001</v>
      </c>
      <c r="E947" s="3">
        <v>189130</v>
      </c>
      <c r="F947" s="2">
        <v>137061.375</v>
      </c>
      <c r="G947" t="s">
        <v>2425</v>
      </c>
      <c r="H947" t="s">
        <v>3</v>
      </c>
      <c r="I947">
        <f>HLOOKUP(G947,zip_tiers!$A$1:$EON$2,2,FALSE)</f>
        <v>76752</v>
      </c>
      <c r="J947" t="str">
        <f t="shared" si="14"/>
        <v>Med</v>
      </c>
      <c r="K947">
        <f>dataset[[#This Row],[soda_sales]]/dataset[[#This Row],[soda_units_sold]]</f>
        <v>0.72469399354941044</v>
      </c>
      <c r="L947" s="29">
        <f>dataset[[#This Row],[implied_soda_ppu]]-dataset[[#This Row],[soda_ppu]]</f>
        <v>-6.0064505895685016E-6</v>
      </c>
      <c r="M947">
        <f>dataset[[#This Row],[soda_sales]]/dataset[[#This Row],[total_sales]]</f>
        <v>4.8940390704654557E-2</v>
      </c>
      <c r="N947">
        <f>LN(dataset[[#This Row],[soda_units_sold]])</f>
        <v>12.150189888282499</v>
      </c>
      <c r="O947">
        <f>LN(dataset[[#This Row],[soda_sales]])</f>
        <v>11.828184097192223</v>
      </c>
      <c r="P947">
        <f>LN(dataset[[#This Row],[soda_ppu]])</f>
        <v>-0.32199750286690132</v>
      </c>
      <c r="Q947">
        <f>IF(dataset[[#This Row],[state]]="VA",1,0)</f>
        <v>1</v>
      </c>
    </row>
    <row r="948" spans="1:17" x14ac:dyDescent="0.35">
      <c r="A948">
        <v>202211</v>
      </c>
      <c r="B948">
        <v>49</v>
      </c>
      <c r="C948" s="2">
        <v>3188125.2341999998</v>
      </c>
      <c r="D948" s="2">
        <v>0.7238</v>
      </c>
      <c r="E948" s="3">
        <v>180592</v>
      </c>
      <c r="F948" s="2">
        <v>130713.4063</v>
      </c>
      <c r="G948" t="s">
        <v>2425</v>
      </c>
      <c r="H948" t="s">
        <v>3</v>
      </c>
      <c r="I948">
        <f>HLOOKUP(G948,zip_tiers!$A$1:$EON$2,2,FALSE)</f>
        <v>76752</v>
      </c>
      <c r="J948" t="str">
        <f t="shared" si="14"/>
        <v>Med</v>
      </c>
      <c r="K948">
        <f>dataset[[#This Row],[soda_sales]]/dataset[[#This Row],[soda_units_sold]]</f>
        <v>0.72380507608310451</v>
      </c>
      <c r="L948" s="29">
        <f>dataset[[#This Row],[implied_soda_ppu]]-dataset[[#This Row],[soda_ppu]]</f>
        <v>5.076083104516016E-6</v>
      </c>
      <c r="M948">
        <f>dataset[[#This Row],[soda_sales]]/dataset[[#This Row],[total_sales]]</f>
        <v>4.100008522180907E-2</v>
      </c>
      <c r="N948">
        <f>LN(dataset[[#This Row],[soda_units_sold]])</f>
        <v>12.103995622195407</v>
      </c>
      <c r="O948">
        <f>LN(dataset[[#This Row],[soda_sales]])</f>
        <v>11.78076246742015</v>
      </c>
      <c r="P948">
        <f>LN(dataset[[#This Row],[soda_ppu]])</f>
        <v>-0.32324016785249499</v>
      </c>
      <c r="Q948">
        <f>IF(dataset[[#This Row],[state]]="VA",1,0)</f>
        <v>1</v>
      </c>
    </row>
    <row r="949" spans="1:17" x14ac:dyDescent="0.35">
      <c r="A949">
        <v>202212</v>
      </c>
      <c r="B949">
        <v>49</v>
      </c>
      <c r="C949" s="2">
        <v>3338465.8467000001</v>
      </c>
      <c r="D949" s="2">
        <v>0.69969999999999999</v>
      </c>
      <c r="E949" s="3">
        <v>179907</v>
      </c>
      <c r="F949" s="2">
        <v>125877.2067</v>
      </c>
      <c r="G949" t="s">
        <v>2425</v>
      </c>
      <c r="H949" t="s">
        <v>3</v>
      </c>
      <c r="I949">
        <f>HLOOKUP(G949,zip_tiers!$A$1:$EON$2,2,FALSE)</f>
        <v>76752</v>
      </c>
      <c r="J949" t="str">
        <f t="shared" si="14"/>
        <v>Med</v>
      </c>
      <c r="K949">
        <f>dataset[[#This Row],[soda_sales]]/dataset[[#This Row],[soda_units_sold]]</f>
        <v>0.69967931597992294</v>
      </c>
      <c r="L949" s="29">
        <f>dataset[[#This Row],[implied_soda_ppu]]-dataset[[#This Row],[soda_ppu]]</f>
        <v>-2.0684020077044174E-5</v>
      </c>
      <c r="M949">
        <f>dataset[[#This Row],[soda_sales]]/dataset[[#This Row],[total_sales]]</f>
        <v>3.7705105422727876E-2</v>
      </c>
      <c r="N949">
        <f>LN(dataset[[#This Row],[soda_units_sold]])</f>
        <v>12.100195329687468</v>
      </c>
      <c r="O949">
        <f>LN(dataset[[#This Row],[soda_sales]])</f>
        <v>11.743062160751013</v>
      </c>
      <c r="P949">
        <f>LN(dataset[[#This Row],[soda_ppu]])</f>
        <v>-0.357103607230286</v>
      </c>
      <c r="Q949">
        <f>IF(dataset[[#This Row],[state]]="VA",1,0)</f>
        <v>1</v>
      </c>
    </row>
    <row r="950" spans="1:17" x14ac:dyDescent="0.35">
      <c r="A950">
        <v>202301</v>
      </c>
      <c r="B950">
        <v>49</v>
      </c>
      <c r="C950" s="2">
        <v>1924133.9595999999</v>
      </c>
      <c r="D950" s="2">
        <v>0.72960000000000003</v>
      </c>
      <c r="E950" s="3">
        <v>129891</v>
      </c>
      <c r="F950" s="2">
        <v>94772.090800000005</v>
      </c>
      <c r="G950" t="s">
        <v>2425</v>
      </c>
      <c r="H950" t="s">
        <v>3</v>
      </c>
      <c r="I950">
        <f>HLOOKUP(G950,zip_tiers!$A$1:$EON$2,2,FALSE)</f>
        <v>76752</v>
      </c>
      <c r="J950" t="str">
        <f t="shared" si="14"/>
        <v>Med</v>
      </c>
      <c r="K950">
        <f>dataset[[#This Row],[soda_sales]]/dataset[[#This Row],[soda_units_sold]]</f>
        <v>0.72962784796483204</v>
      </c>
      <c r="L950" s="29">
        <f>dataset[[#This Row],[implied_soda_ppu]]-dataset[[#This Row],[soda_ppu]]</f>
        <v>2.7847964832017347E-5</v>
      </c>
      <c r="M950">
        <f>dataset[[#This Row],[soda_sales]]/dataset[[#This Row],[total_sales]]</f>
        <v>4.9254414084402821E-2</v>
      </c>
      <c r="N950">
        <f>LN(dataset[[#This Row],[soda_units_sold]])</f>
        <v>11.774450916193775</v>
      </c>
      <c r="O950">
        <f>LN(dataset[[#This Row],[soda_sales]])</f>
        <v>11.459230244054796</v>
      </c>
      <c r="P950">
        <f>LN(dataset[[#This Row],[soda_ppu]])</f>
        <v>-0.31525884022201539</v>
      </c>
      <c r="Q950">
        <f>IF(dataset[[#This Row],[state]]="VA",1,0)</f>
        <v>1</v>
      </c>
    </row>
    <row r="951" spans="1:17" x14ac:dyDescent="0.35">
      <c r="A951">
        <v>202302</v>
      </c>
      <c r="B951">
        <v>49</v>
      </c>
      <c r="C951" s="2">
        <v>2153428.2519999999</v>
      </c>
      <c r="D951" s="2">
        <v>0.7107</v>
      </c>
      <c r="E951" s="3">
        <v>148855</v>
      </c>
      <c r="F951" s="2">
        <v>105796.9338</v>
      </c>
      <c r="G951" t="s">
        <v>2425</v>
      </c>
      <c r="H951" t="s">
        <v>3</v>
      </c>
      <c r="I951">
        <f>HLOOKUP(G951,zip_tiers!$A$1:$EON$2,2,FALSE)</f>
        <v>76752</v>
      </c>
      <c r="J951" t="str">
        <f t="shared" si="14"/>
        <v>Med</v>
      </c>
      <c r="K951">
        <f>dataset[[#This Row],[soda_sales]]/dataset[[#This Row],[soda_units_sold]]</f>
        <v>0.71073819354405288</v>
      </c>
      <c r="L951" s="29">
        <f>dataset[[#This Row],[implied_soda_ppu]]-dataset[[#This Row],[soda_ppu]]</f>
        <v>3.8193544052878003E-5</v>
      </c>
      <c r="M951">
        <f>dataset[[#This Row],[soda_sales]]/dataset[[#This Row],[total_sales]]</f>
        <v>4.9129537379172458E-2</v>
      </c>
      <c r="N951">
        <f>LN(dataset[[#This Row],[soda_units_sold]])</f>
        <v>11.910727956743047</v>
      </c>
      <c r="O951">
        <f>LN(dataset[[#This Row],[soda_sales]])</f>
        <v>11.569276816889968</v>
      </c>
      <c r="P951">
        <f>LN(dataset[[#This Row],[soda_ppu]])</f>
        <v>-0.34150487914928757</v>
      </c>
      <c r="Q951">
        <f>IF(dataset[[#This Row],[state]]="VA",1,0)</f>
        <v>1</v>
      </c>
    </row>
    <row r="952" spans="1:17" x14ac:dyDescent="0.35">
      <c r="A952">
        <v>202303</v>
      </c>
      <c r="B952">
        <v>49</v>
      </c>
      <c r="C952" s="2">
        <v>2457875.6085000001</v>
      </c>
      <c r="D952" s="2">
        <v>0.71950000000000003</v>
      </c>
      <c r="E952" s="3">
        <v>176686</v>
      </c>
      <c r="F952" s="2">
        <v>127125.0616</v>
      </c>
      <c r="G952" t="s">
        <v>2425</v>
      </c>
      <c r="H952" t="s">
        <v>3</v>
      </c>
      <c r="I952">
        <f>HLOOKUP(G952,zip_tiers!$A$1:$EON$2,2,FALSE)</f>
        <v>76752</v>
      </c>
      <c r="J952" t="str">
        <f t="shared" si="14"/>
        <v>Med</v>
      </c>
      <c r="K952">
        <f>dataset[[#This Row],[soda_sales]]/dataset[[#This Row],[soda_units_sold]]</f>
        <v>0.71949708296073256</v>
      </c>
      <c r="L952" s="29">
        <f>dataset[[#This Row],[implied_soda_ppu]]-dataset[[#This Row],[soda_ppu]]</f>
        <v>-2.9170392674693346E-6</v>
      </c>
      <c r="M952">
        <f>dataset[[#This Row],[soda_sales]]/dataset[[#This Row],[total_sales]]</f>
        <v>5.1721519657206033E-2</v>
      </c>
      <c r="N952">
        <f>LN(dataset[[#This Row],[soda_units_sold]])</f>
        <v>12.082129424834999</v>
      </c>
      <c r="O952">
        <f>LN(dataset[[#This Row],[soda_sales]])</f>
        <v>11.752926617913182</v>
      </c>
      <c r="P952">
        <f>LN(dataset[[#This Row],[soda_ppu]])</f>
        <v>-0.32919875265471449</v>
      </c>
      <c r="Q952">
        <f>IF(dataset[[#This Row],[state]]="VA",1,0)</f>
        <v>1</v>
      </c>
    </row>
    <row r="953" spans="1:17" x14ac:dyDescent="0.35">
      <c r="A953">
        <v>202304</v>
      </c>
      <c r="B953">
        <v>49</v>
      </c>
      <c r="C953" s="2">
        <v>2568948.1475999998</v>
      </c>
      <c r="D953" s="2">
        <v>0.72350000000000003</v>
      </c>
      <c r="E953" s="3">
        <v>206242</v>
      </c>
      <c r="F953" s="2">
        <v>149205.853</v>
      </c>
      <c r="G953" t="s">
        <v>2425</v>
      </c>
      <c r="H953" t="s">
        <v>3</v>
      </c>
      <c r="I953">
        <f>HLOOKUP(G953,zip_tiers!$A$1:$EON$2,2,FALSE)</f>
        <v>76752</v>
      </c>
      <c r="J953" t="str">
        <f t="shared" si="14"/>
        <v>Med</v>
      </c>
      <c r="K953">
        <f>dataset[[#This Row],[soda_sales]]/dataset[[#This Row],[soda_units_sold]]</f>
        <v>0.72345037868135498</v>
      </c>
      <c r="L953" s="29">
        <f>dataset[[#This Row],[implied_soda_ppu]]-dataset[[#This Row],[soda_ppu]]</f>
        <v>-4.962131864505448E-5</v>
      </c>
      <c r="M953">
        <f>dataset[[#This Row],[soda_sales]]/dataset[[#This Row],[total_sales]]</f>
        <v>5.8080523399973362E-2</v>
      </c>
      <c r="N953">
        <f>LN(dataset[[#This Row],[soda_units_sold]])</f>
        <v>12.236805515565869</v>
      </c>
      <c r="O953">
        <f>LN(dataset[[#This Row],[soda_sales]])</f>
        <v>11.913082195204872</v>
      </c>
      <c r="P953">
        <f>LN(dataset[[#This Row],[soda_ppu]])</f>
        <v>-0.32365473291059843</v>
      </c>
      <c r="Q953">
        <f>IF(dataset[[#This Row],[state]]="VA",1,0)</f>
        <v>1</v>
      </c>
    </row>
    <row r="954" spans="1:17" x14ac:dyDescent="0.35">
      <c r="A954">
        <v>202305</v>
      </c>
      <c r="B954">
        <v>49</v>
      </c>
      <c r="C954" s="2">
        <v>2684019.9704999998</v>
      </c>
      <c r="D954" s="2">
        <v>0.69</v>
      </c>
      <c r="E954" s="3">
        <v>230305</v>
      </c>
      <c r="F954" s="2">
        <v>158907.7904</v>
      </c>
      <c r="G954" t="s">
        <v>2425</v>
      </c>
      <c r="H954" t="s">
        <v>3</v>
      </c>
      <c r="I954">
        <f>HLOOKUP(G954,zip_tiers!$A$1:$EON$2,2,FALSE)</f>
        <v>76752</v>
      </c>
      <c r="J954" t="str">
        <f t="shared" si="14"/>
        <v>Med</v>
      </c>
      <c r="K954">
        <f>dataset[[#This Row],[soda_sales]]/dataset[[#This Row],[soda_units_sold]]</f>
        <v>0.68998845183560931</v>
      </c>
      <c r="L954" s="29">
        <f>dataset[[#This Row],[implied_soda_ppu]]-dataset[[#This Row],[soda_ppu]]</f>
        <v>-1.1548164390640103E-5</v>
      </c>
      <c r="M954">
        <f>dataset[[#This Row],[soda_sales]]/dataset[[#This Row],[total_sales]]</f>
        <v>5.9205144576624534E-2</v>
      </c>
      <c r="N954">
        <f>LN(dataset[[#This Row],[soda_units_sold]])</f>
        <v>12.347159796385085</v>
      </c>
      <c r="O954">
        <f>LN(dataset[[#This Row],[soda_sales]])</f>
        <v>11.976079378384066</v>
      </c>
      <c r="P954">
        <f>LN(dataset[[#This Row],[soda_ppu]])</f>
        <v>-0.37106368139083207</v>
      </c>
      <c r="Q954">
        <f>IF(dataset[[#This Row],[state]]="VA",1,0)</f>
        <v>1</v>
      </c>
    </row>
    <row r="955" spans="1:17" x14ac:dyDescent="0.35">
      <c r="A955">
        <v>202306</v>
      </c>
      <c r="B955">
        <v>49</v>
      </c>
      <c r="C955" s="2">
        <v>2528790.1540000001</v>
      </c>
      <c r="D955" s="2">
        <v>0.70850000000000002</v>
      </c>
      <c r="E955" s="3">
        <v>235208</v>
      </c>
      <c r="F955" s="2">
        <v>166645.81349999999</v>
      </c>
      <c r="G955" t="s">
        <v>2425</v>
      </c>
      <c r="H955" t="s">
        <v>3</v>
      </c>
      <c r="I955">
        <f>HLOOKUP(G955,zip_tiers!$A$1:$EON$2,2,FALSE)</f>
        <v>76752</v>
      </c>
      <c r="J955" t="str">
        <f t="shared" si="14"/>
        <v>Med</v>
      </c>
      <c r="K955">
        <f>dataset[[#This Row],[soda_sales]]/dataset[[#This Row],[soda_units_sold]]</f>
        <v>0.70850401984626366</v>
      </c>
      <c r="L955" s="29">
        <f>dataset[[#This Row],[implied_soda_ppu]]-dataset[[#This Row],[soda_ppu]]</f>
        <v>4.0198462636364951E-6</v>
      </c>
      <c r="M955">
        <f>dataset[[#This Row],[soda_sales]]/dataset[[#This Row],[total_sales]]</f>
        <v>6.5899423578663616E-2</v>
      </c>
      <c r="N955">
        <f>LN(dataset[[#This Row],[soda_units_sold]])</f>
        <v>12.368225508033602</v>
      </c>
      <c r="O955">
        <f>LN(dataset[[#This Row],[soda_sales]])</f>
        <v>12.023625961908184</v>
      </c>
      <c r="P955">
        <f>LN(dataset[[#This Row],[soda_ppu]])</f>
        <v>-0.34460521985140191</v>
      </c>
      <c r="Q955">
        <f>IF(dataset[[#This Row],[state]]="VA",1,0)</f>
        <v>1</v>
      </c>
    </row>
    <row r="956" spans="1:17" x14ac:dyDescent="0.35">
      <c r="A956">
        <v>202307</v>
      </c>
      <c r="B956">
        <v>49</v>
      </c>
      <c r="C956" s="2">
        <v>2470628.3018999998</v>
      </c>
      <c r="D956" s="2">
        <v>0.746</v>
      </c>
      <c r="E956" s="3">
        <v>236652</v>
      </c>
      <c r="F956" s="2">
        <v>176536.6979</v>
      </c>
      <c r="G956" t="s">
        <v>2425</v>
      </c>
      <c r="H956" t="s">
        <v>3</v>
      </c>
      <c r="I956">
        <f>HLOOKUP(G956,zip_tiers!$A$1:$EON$2,2,FALSE)</f>
        <v>76752</v>
      </c>
      <c r="J956" t="str">
        <f t="shared" si="14"/>
        <v>Med</v>
      </c>
      <c r="K956">
        <f>dataset[[#This Row],[soda_sales]]/dataset[[#This Row],[soda_units_sold]]</f>
        <v>0.74597593893142677</v>
      </c>
      <c r="L956" s="29">
        <f>dataset[[#This Row],[implied_soda_ppu]]-dataset[[#This Row],[soda_ppu]]</f>
        <v>-2.4061068573222322E-5</v>
      </c>
      <c r="M956">
        <f>dataset[[#This Row],[soda_sales]]/dataset[[#This Row],[total_sales]]</f>
        <v>7.1454171298951402E-2</v>
      </c>
      <c r="N956">
        <f>LN(dataset[[#This Row],[soda_units_sold]])</f>
        <v>12.374345986598069</v>
      </c>
      <c r="O956">
        <f>LN(dataset[[#This Row],[soda_sales]])</f>
        <v>12.081284053856411</v>
      </c>
      <c r="P956">
        <f>LN(dataset[[#This Row],[soda_ppu]])</f>
        <v>-0.29302967877837621</v>
      </c>
      <c r="Q956">
        <f>IF(dataset[[#This Row],[state]]="VA",1,0)</f>
        <v>1</v>
      </c>
    </row>
    <row r="957" spans="1:17" x14ac:dyDescent="0.35">
      <c r="A957">
        <v>202308</v>
      </c>
      <c r="B957">
        <v>49</v>
      </c>
      <c r="C957" s="2">
        <v>2291544.1716</v>
      </c>
      <c r="D957" s="2">
        <v>0.70479999999999998</v>
      </c>
      <c r="E957" s="3">
        <v>208223</v>
      </c>
      <c r="F957" s="2">
        <v>146749.12349999999</v>
      </c>
      <c r="G957" t="s">
        <v>2425</v>
      </c>
      <c r="H957" t="s">
        <v>3</v>
      </c>
      <c r="I957">
        <f>HLOOKUP(G957,zip_tiers!$A$1:$EON$2,2,FALSE)</f>
        <v>76752</v>
      </c>
      <c r="J957" t="str">
        <f t="shared" si="14"/>
        <v>Med</v>
      </c>
      <c r="K957">
        <f>dataset[[#This Row],[soda_sales]]/dataset[[#This Row],[soda_units_sold]]</f>
        <v>0.70476903848278039</v>
      </c>
      <c r="L957" s="29">
        <f>dataset[[#This Row],[implied_soda_ppu]]-dataset[[#This Row],[soda_ppu]]</f>
        <v>-3.0961517219596502E-5</v>
      </c>
      <c r="M957">
        <f>dataset[[#This Row],[soda_sales]]/dataset[[#This Row],[total_sales]]</f>
        <v>6.4039404223020902E-2</v>
      </c>
      <c r="N957">
        <f>LN(dataset[[#This Row],[soda_units_sold]])</f>
        <v>12.246364899762815</v>
      </c>
      <c r="O957">
        <f>LN(dataset[[#This Row],[soda_sales]])</f>
        <v>11.896479764929746</v>
      </c>
      <c r="P957">
        <f>LN(dataset[[#This Row],[soda_ppu]])</f>
        <v>-0.3498412043601673</v>
      </c>
      <c r="Q957">
        <f>IF(dataset[[#This Row],[state]]="VA",1,0)</f>
        <v>1</v>
      </c>
    </row>
    <row r="958" spans="1:17" x14ac:dyDescent="0.35">
      <c r="A958">
        <v>202309</v>
      </c>
      <c r="B958">
        <v>49</v>
      </c>
      <c r="C958" s="2">
        <v>2284717.8428000002</v>
      </c>
      <c r="D958" s="2">
        <v>0.70269999999999999</v>
      </c>
      <c r="E958" s="3">
        <v>202895</v>
      </c>
      <c r="F958" s="2">
        <v>142572.0043</v>
      </c>
      <c r="G958" t="s">
        <v>2425</v>
      </c>
      <c r="H958" t="s">
        <v>3</v>
      </c>
      <c r="I958">
        <f>HLOOKUP(G958,zip_tiers!$A$1:$EON$2,2,FALSE)</f>
        <v>76752</v>
      </c>
      <c r="J958" t="str">
        <f t="shared" si="14"/>
        <v>Med</v>
      </c>
      <c r="K958">
        <f>dataset[[#This Row],[soda_sales]]/dataset[[#This Row],[soda_units_sold]]</f>
        <v>0.70268860395771215</v>
      </c>
      <c r="L958" s="29">
        <f>dataset[[#This Row],[implied_soda_ppu]]-dataset[[#This Row],[soda_ppu]]</f>
        <v>-1.139604228783675E-5</v>
      </c>
      <c r="M958">
        <f>dataset[[#This Row],[soda_sales]]/dataset[[#This Row],[total_sales]]</f>
        <v>6.2402455843419642E-2</v>
      </c>
      <c r="N958">
        <f>LN(dataset[[#This Row],[soda_units_sold]])</f>
        <v>12.220443882829146</v>
      </c>
      <c r="O958">
        <f>LN(dataset[[#This Row],[soda_sales]])</f>
        <v>11.867602444406486</v>
      </c>
      <c r="P958">
        <f>LN(dataset[[#This Row],[soda_ppu]])</f>
        <v>-0.35282522078398504</v>
      </c>
      <c r="Q958">
        <f>IF(dataset[[#This Row],[state]]="VA",1,0)</f>
        <v>1</v>
      </c>
    </row>
    <row r="959" spans="1:17" x14ac:dyDescent="0.35">
      <c r="A959">
        <v>202310</v>
      </c>
      <c r="B959">
        <v>49</v>
      </c>
      <c r="C959" s="2">
        <v>2876584.7094999999</v>
      </c>
      <c r="D959" s="2">
        <v>0.71950000000000003</v>
      </c>
      <c r="E959" s="3">
        <v>198172</v>
      </c>
      <c r="F959" s="2">
        <v>142586.08970000001</v>
      </c>
      <c r="G959" t="s">
        <v>2425</v>
      </c>
      <c r="H959" t="s">
        <v>3</v>
      </c>
      <c r="I959">
        <f>HLOOKUP(G959,zip_tiers!$A$1:$EON$2,2,FALSE)</f>
        <v>76752</v>
      </c>
      <c r="J959" t="str">
        <f t="shared" si="14"/>
        <v>Med</v>
      </c>
      <c r="K959">
        <f>dataset[[#This Row],[soda_sales]]/dataset[[#This Row],[soda_units_sold]]</f>
        <v>0.71950674010455573</v>
      </c>
      <c r="L959" s="29">
        <f>dataset[[#This Row],[implied_soda_ppu]]-dataset[[#This Row],[soda_ppu]]</f>
        <v>6.7401045557025085E-6</v>
      </c>
      <c r="M959">
        <f>dataset[[#This Row],[soda_sales]]/dataset[[#This Row],[total_sales]]</f>
        <v>4.9567839677762848E-2</v>
      </c>
      <c r="N959">
        <f>LN(dataset[[#This Row],[soda_units_sold]])</f>
        <v>12.196890619455287</v>
      </c>
      <c r="O959">
        <f>LN(dataset[[#This Row],[soda_sales]])</f>
        <v>11.867701234518414</v>
      </c>
      <c r="P959">
        <f>LN(dataset[[#This Row],[soda_ppu]])</f>
        <v>-0.32919875265471449</v>
      </c>
      <c r="Q959">
        <f>IF(dataset[[#This Row],[state]]="VA",1,0)</f>
        <v>1</v>
      </c>
    </row>
    <row r="960" spans="1:17" x14ac:dyDescent="0.35">
      <c r="A960">
        <v>202311</v>
      </c>
      <c r="B960">
        <v>49</v>
      </c>
      <c r="C960" s="2">
        <v>3236696.5693999999</v>
      </c>
      <c r="D960" s="2">
        <v>0.72560000000000002</v>
      </c>
      <c r="E960" s="3">
        <v>185313</v>
      </c>
      <c r="F960" s="2">
        <v>134455.27220000001</v>
      </c>
      <c r="G960" t="s">
        <v>2425</v>
      </c>
      <c r="H960" t="s">
        <v>3</v>
      </c>
      <c r="I960">
        <f>HLOOKUP(G960,zip_tiers!$A$1:$EON$2,2,FALSE)</f>
        <v>76752</v>
      </c>
      <c r="J960" t="str">
        <f t="shared" si="14"/>
        <v>Med</v>
      </c>
      <c r="K960">
        <f>dataset[[#This Row],[soda_sales]]/dataset[[#This Row],[soda_units_sold]]</f>
        <v>0.72555768996238801</v>
      </c>
      <c r="L960" s="29">
        <f>dataset[[#This Row],[implied_soda_ppu]]-dataset[[#This Row],[soda_ppu]]</f>
        <v>-4.2310037612014462E-5</v>
      </c>
      <c r="M960">
        <f>dataset[[#This Row],[soda_sales]]/dataset[[#This Row],[total_sales]]</f>
        <v>4.1540894957887431E-2</v>
      </c>
      <c r="N960">
        <f>LN(dataset[[#This Row],[soda_units_sold]])</f>
        <v>12.129801566315567</v>
      </c>
      <c r="O960">
        <f>LN(dataset[[#This Row],[soda_sales]])</f>
        <v>11.808986874018565</v>
      </c>
      <c r="P960">
        <f>LN(dataset[[#This Row],[soda_ppu]])</f>
        <v>-0.32075638018121017</v>
      </c>
      <c r="Q960">
        <f>IF(dataset[[#This Row],[state]]="VA",1,0)</f>
        <v>1</v>
      </c>
    </row>
    <row r="961" spans="1:17" x14ac:dyDescent="0.35">
      <c r="A961">
        <v>202312</v>
      </c>
      <c r="B961">
        <v>49</v>
      </c>
      <c r="C961" s="2">
        <v>3379627.1162</v>
      </c>
      <c r="D961" s="2">
        <v>0.71940000000000004</v>
      </c>
      <c r="E961" s="3">
        <v>179013</v>
      </c>
      <c r="F961" s="2">
        <v>128789.0251</v>
      </c>
      <c r="G961" t="s">
        <v>2425</v>
      </c>
      <c r="H961" t="s">
        <v>3</v>
      </c>
      <c r="I961">
        <f>HLOOKUP(G961,zip_tiers!$A$1:$EON$2,2,FALSE)</f>
        <v>76752</v>
      </c>
      <c r="J961" t="str">
        <f t="shared" si="14"/>
        <v>Med</v>
      </c>
      <c r="K961">
        <f>dataset[[#This Row],[soda_sales]]/dataset[[#This Row],[soda_units_sold]]</f>
        <v>0.71943951053834077</v>
      </c>
      <c r="L961" s="29">
        <f>dataset[[#This Row],[implied_soda_ppu]]-dataset[[#This Row],[soda_ppu]]</f>
        <v>3.9510538340725709E-5</v>
      </c>
      <c r="M961">
        <f>dataset[[#This Row],[soda_sales]]/dataset[[#This Row],[total_sales]]</f>
        <v>3.8107465904347569E-2</v>
      </c>
      <c r="N961">
        <f>LN(dataset[[#This Row],[soda_units_sold]])</f>
        <v>12.095213707884097</v>
      </c>
      <c r="O961">
        <f>LN(dataset[[#This Row],[soda_sales]])</f>
        <v>11.765930880170979</v>
      </c>
      <c r="P961">
        <f>LN(dataset[[#This Row],[soda_ppu]])</f>
        <v>-0.32933774772061342</v>
      </c>
      <c r="Q961">
        <f>IF(dataset[[#This Row],[state]]="VA",1,0)</f>
        <v>1</v>
      </c>
    </row>
    <row r="962" spans="1:17" x14ac:dyDescent="0.35">
      <c r="A962">
        <v>202401</v>
      </c>
      <c r="B962">
        <v>49</v>
      </c>
      <c r="C962" s="2">
        <v>1971139.9583999999</v>
      </c>
      <c r="D962" s="2">
        <v>0.72019999999999995</v>
      </c>
      <c r="E962" s="3">
        <v>134257</v>
      </c>
      <c r="F962" s="2">
        <v>96689.772800000006</v>
      </c>
      <c r="G962" t="s">
        <v>2425</v>
      </c>
      <c r="H962" t="s">
        <v>3</v>
      </c>
      <c r="I962">
        <f>HLOOKUP(G962,zip_tiers!$A$1:$EON$2,2,FALSE)</f>
        <v>76752</v>
      </c>
      <c r="J962" t="str">
        <f t="shared" ref="J962:J1025" si="15">IF(I962="","No Data",IF(I962&gt;=100000,"High",IF(I962&gt;=40000,"Med","Low")))</f>
        <v>Med</v>
      </c>
      <c r="K962">
        <f>dataset[[#This Row],[soda_sales]]/dataset[[#This Row],[soda_units_sold]]</f>
        <v>0.72018421981721625</v>
      </c>
      <c r="L962" s="29">
        <f>dataset[[#This Row],[implied_soda_ppu]]-dataset[[#This Row],[soda_ppu]]</f>
        <v>-1.578018278369786E-5</v>
      </c>
      <c r="M962">
        <f>dataset[[#This Row],[soda_sales]]/dataset[[#This Row],[total_sales]]</f>
        <v>4.9052718143101498E-2</v>
      </c>
      <c r="N962">
        <f>LN(dataset[[#This Row],[soda_units_sold]])</f>
        <v>11.80751115253879</v>
      </c>
      <c r="O962">
        <f>LN(dataset[[#This Row],[soda_sales]])</f>
        <v>11.479262913697193</v>
      </c>
      <c r="P962">
        <f>LN(dataset[[#This Row],[soda_ppu]])</f>
        <v>-0.32822632776736227</v>
      </c>
      <c r="Q962">
        <f>IF(dataset[[#This Row],[state]]="VA",1,0)</f>
        <v>1</v>
      </c>
    </row>
    <row r="963" spans="1:17" x14ac:dyDescent="0.35">
      <c r="A963">
        <v>202402</v>
      </c>
      <c r="B963">
        <v>49</v>
      </c>
      <c r="C963" s="2">
        <v>2255293.2620000001</v>
      </c>
      <c r="D963" s="2">
        <v>0.7399</v>
      </c>
      <c r="E963" s="3">
        <v>150977</v>
      </c>
      <c r="F963" s="2">
        <v>111713.09540000001</v>
      </c>
      <c r="G963" t="s">
        <v>2425</v>
      </c>
      <c r="H963" t="s">
        <v>3</v>
      </c>
      <c r="I963">
        <f>HLOOKUP(G963,zip_tiers!$A$1:$EON$2,2,FALSE)</f>
        <v>76752</v>
      </c>
      <c r="J963" t="str">
        <f t="shared" si="15"/>
        <v>Med</v>
      </c>
      <c r="K963">
        <f>dataset[[#This Row],[soda_sales]]/dataset[[#This Row],[soda_units_sold]]</f>
        <v>0.73993452910045909</v>
      </c>
      <c r="L963" s="29">
        <f>dataset[[#This Row],[implied_soda_ppu]]-dataset[[#This Row],[soda_ppu]]</f>
        <v>3.4529100459090856E-5</v>
      </c>
      <c r="M963">
        <f>dataset[[#This Row],[soda_sales]]/dataset[[#This Row],[total_sales]]</f>
        <v>4.9533733498113915E-2</v>
      </c>
      <c r="N963">
        <f>LN(dataset[[#This Row],[soda_units_sold]])</f>
        <v>11.92488278631472</v>
      </c>
      <c r="O963">
        <f>LN(dataset[[#This Row],[soda_sales]])</f>
        <v>11.623689215428158</v>
      </c>
      <c r="P963">
        <f>LN(dataset[[#This Row],[soda_ppu]])</f>
        <v>-0.3012402370506318</v>
      </c>
      <c r="Q963">
        <f>IF(dataset[[#This Row],[state]]="VA",1,0)</f>
        <v>1</v>
      </c>
    </row>
    <row r="964" spans="1:17" x14ac:dyDescent="0.35">
      <c r="A964">
        <v>202403</v>
      </c>
      <c r="B964">
        <v>49</v>
      </c>
      <c r="C964" s="2">
        <v>2487616.7322999998</v>
      </c>
      <c r="D964" s="2">
        <v>0.74399999999999999</v>
      </c>
      <c r="E964" s="3">
        <v>174836</v>
      </c>
      <c r="F964" s="2">
        <v>130073.7191</v>
      </c>
      <c r="G964" t="s">
        <v>2425</v>
      </c>
      <c r="H964" t="s">
        <v>3</v>
      </c>
      <c r="I964">
        <f>HLOOKUP(G964,zip_tiers!$A$1:$EON$2,2,FALSE)</f>
        <v>76752</v>
      </c>
      <c r="J964" t="str">
        <f t="shared" si="15"/>
        <v>Med</v>
      </c>
      <c r="K964">
        <f>dataset[[#This Row],[soda_sales]]/dataset[[#This Row],[soda_units_sold]]</f>
        <v>0.74397560628245896</v>
      </c>
      <c r="L964" s="29">
        <f>dataset[[#This Row],[implied_soda_ppu]]-dataset[[#This Row],[soda_ppu]]</f>
        <v>-2.4393717541038029E-5</v>
      </c>
      <c r="M964">
        <f>dataset[[#This Row],[soda_sales]]/dataset[[#This Row],[total_sales]]</f>
        <v>5.2288488580689234E-2</v>
      </c>
      <c r="N964">
        <f>LN(dataset[[#This Row],[soda_units_sold]])</f>
        <v>12.071603670655604</v>
      </c>
      <c r="O964">
        <f>LN(dataset[[#This Row],[soda_sales]])</f>
        <v>11.775856638714286</v>
      </c>
      <c r="P964">
        <f>LN(dataset[[#This Row],[soda_ppu]])</f>
        <v>-0.29571424414904518</v>
      </c>
      <c r="Q964">
        <f>IF(dataset[[#This Row],[state]]="VA",1,0)</f>
        <v>1</v>
      </c>
    </row>
    <row r="965" spans="1:17" x14ac:dyDescent="0.35">
      <c r="A965">
        <v>202404</v>
      </c>
      <c r="B965">
        <v>49</v>
      </c>
      <c r="C965" s="2">
        <v>2537730.1948000002</v>
      </c>
      <c r="D965" s="2">
        <v>0.74960000000000004</v>
      </c>
      <c r="E965" s="3">
        <v>192812</v>
      </c>
      <c r="F965" s="2">
        <v>144536.38819999999</v>
      </c>
      <c r="G965" t="s">
        <v>2425</v>
      </c>
      <c r="H965" t="s">
        <v>3</v>
      </c>
      <c r="I965">
        <f>HLOOKUP(G965,zip_tiers!$A$1:$EON$2,2,FALSE)</f>
        <v>76752</v>
      </c>
      <c r="J965" t="str">
        <f t="shared" si="15"/>
        <v>Med</v>
      </c>
      <c r="K965">
        <f>dataset[[#This Row],[soda_sales]]/dataset[[#This Row],[soda_units_sold]]</f>
        <v>0.74962340621952983</v>
      </c>
      <c r="L965" s="29">
        <f>dataset[[#This Row],[implied_soda_ppu]]-dataset[[#This Row],[soda_ppu]]</f>
        <v>2.3406219529786831E-5</v>
      </c>
      <c r="M965">
        <f>dataset[[#This Row],[soda_sales]]/dataset[[#This Row],[total_sales]]</f>
        <v>5.6954986190480734E-2</v>
      </c>
      <c r="N965">
        <f>LN(dataset[[#This Row],[soda_units_sold]])</f>
        <v>12.169470899885614</v>
      </c>
      <c r="O965">
        <f>LN(dataset[[#This Row],[soda_sales]])</f>
        <v>11.881286576286211</v>
      </c>
      <c r="P965">
        <f>LN(dataset[[#This Row],[soda_ppu]])</f>
        <v>-0.28821554805792454</v>
      </c>
      <c r="Q965">
        <f>IF(dataset[[#This Row],[state]]="VA",1,0)</f>
        <v>1</v>
      </c>
    </row>
    <row r="966" spans="1:17" x14ac:dyDescent="0.35">
      <c r="A966">
        <v>202405</v>
      </c>
      <c r="B966">
        <v>49</v>
      </c>
      <c r="C966" s="2">
        <v>2755605.2733</v>
      </c>
      <c r="D966" s="2">
        <v>0.72850000000000004</v>
      </c>
      <c r="E966" s="3">
        <v>227419</v>
      </c>
      <c r="F966" s="2">
        <v>165663.8224</v>
      </c>
      <c r="G966" t="s">
        <v>2425</v>
      </c>
      <c r="H966" t="s">
        <v>3</v>
      </c>
      <c r="I966">
        <f>HLOOKUP(G966,zip_tiers!$A$1:$EON$2,2,FALSE)</f>
        <v>76752</v>
      </c>
      <c r="J966" t="str">
        <f t="shared" si="15"/>
        <v>Med</v>
      </c>
      <c r="K966">
        <f>dataset[[#This Row],[soda_sales]]/dataset[[#This Row],[soda_units_sold]]</f>
        <v>0.72845198686125612</v>
      </c>
      <c r="L966" s="29">
        <f>dataset[[#This Row],[implied_soda_ppu]]-dataset[[#This Row],[soda_ppu]]</f>
        <v>-4.801313874391866E-5</v>
      </c>
      <c r="M966">
        <f>dataset[[#This Row],[soda_sales]]/dataset[[#This Row],[total_sales]]</f>
        <v>6.0118850840203172E-2</v>
      </c>
      <c r="N966">
        <f>LN(dataset[[#This Row],[soda_units_sold]])</f>
        <v>12.334549410018401</v>
      </c>
      <c r="O966">
        <f>LN(dataset[[#This Row],[soda_sales]])</f>
        <v>12.017715847651603</v>
      </c>
      <c r="P966">
        <f>LN(dataset[[#This Row],[soda_ppu]])</f>
        <v>-0.31676765334687745</v>
      </c>
      <c r="Q966">
        <f>IF(dataset[[#This Row],[state]]="VA",1,0)</f>
        <v>1</v>
      </c>
    </row>
    <row r="967" spans="1:17" x14ac:dyDescent="0.35">
      <c r="A967">
        <v>202406</v>
      </c>
      <c r="B967">
        <v>49</v>
      </c>
      <c r="C967" s="2">
        <v>2605442.9837000002</v>
      </c>
      <c r="D967" s="2">
        <v>0.74039999999999995</v>
      </c>
      <c r="E967" s="3">
        <v>231585</v>
      </c>
      <c r="F967" s="2">
        <v>171454.95050000001</v>
      </c>
      <c r="G967" t="s">
        <v>2425</v>
      </c>
      <c r="H967" t="s">
        <v>3</v>
      </c>
      <c r="I967">
        <f>HLOOKUP(G967,zip_tiers!$A$1:$EON$2,2,FALSE)</f>
        <v>76752</v>
      </c>
      <c r="J967" t="str">
        <f t="shared" si="15"/>
        <v>Med</v>
      </c>
      <c r="K967">
        <f>dataset[[#This Row],[soda_sales]]/dataset[[#This Row],[soda_units_sold]]</f>
        <v>0.74035429971716649</v>
      </c>
      <c r="L967" s="29">
        <f>dataset[[#This Row],[implied_soda_ppu]]-dataset[[#This Row],[soda_ppu]]</f>
        <v>-4.5700282833460726E-5</v>
      </c>
      <c r="M967">
        <f>dataset[[#This Row],[soda_sales]]/dataset[[#This Row],[total_sales]]</f>
        <v>6.580644887362537E-2</v>
      </c>
      <c r="N967">
        <f>LN(dataset[[#This Row],[soda_units_sold]])</f>
        <v>12.352702255744136</v>
      </c>
      <c r="O967">
        <f>LN(dataset[[#This Row],[soda_sales]])</f>
        <v>12.05207583178159</v>
      </c>
      <c r="P967">
        <f>LN(dataset[[#This Row],[soda_ppu]])</f>
        <v>-0.3005646982827947</v>
      </c>
      <c r="Q967">
        <f>IF(dataset[[#This Row],[state]]="VA",1,0)</f>
        <v>1</v>
      </c>
    </row>
    <row r="968" spans="1:17" x14ac:dyDescent="0.35">
      <c r="A968">
        <v>202407</v>
      </c>
      <c r="B968">
        <v>49</v>
      </c>
      <c r="C968" s="2">
        <v>2517566.7618</v>
      </c>
      <c r="D968" s="2">
        <v>0.75190000000000001</v>
      </c>
      <c r="E968" s="3">
        <v>236118</v>
      </c>
      <c r="F968" s="2">
        <v>177543.61309999999</v>
      </c>
      <c r="G968" t="s">
        <v>2425</v>
      </c>
      <c r="H968" t="s">
        <v>3</v>
      </c>
      <c r="I968">
        <f>HLOOKUP(G968,zip_tiers!$A$1:$EON$2,2,FALSE)</f>
        <v>76752</v>
      </c>
      <c r="J968" t="str">
        <f t="shared" si="15"/>
        <v>Med</v>
      </c>
      <c r="K968">
        <f>dataset[[#This Row],[soda_sales]]/dataset[[#This Row],[soda_units_sold]]</f>
        <v>0.7519274815981839</v>
      </c>
      <c r="L968" s="29">
        <f>dataset[[#This Row],[implied_soda_ppu]]-dataset[[#This Row],[soda_ppu]]</f>
        <v>2.7481598183887179E-5</v>
      </c>
      <c r="M968">
        <f>dataset[[#This Row],[soda_sales]]/dataset[[#This Row],[total_sales]]</f>
        <v>7.0521908611893391E-2</v>
      </c>
      <c r="N968">
        <f>LN(dataset[[#This Row],[soda_units_sold]])</f>
        <v>12.372086959049398</v>
      </c>
      <c r="O968">
        <f>LN(dataset[[#This Row],[soda_sales]])</f>
        <v>12.086971565322072</v>
      </c>
      <c r="P968">
        <f>LN(dataset[[#This Row],[soda_ppu]])</f>
        <v>-0.28515194259815579</v>
      </c>
      <c r="Q968">
        <f>IF(dataset[[#This Row],[state]]="VA",1,0)</f>
        <v>1</v>
      </c>
    </row>
    <row r="969" spans="1:17" x14ac:dyDescent="0.35">
      <c r="A969">
        <v>202408</v>
      </c>
      <c r="B969">
        <v>49</v>
      </c>
      <c r="C969" s="2">
        <v>2371310.2812000001</v>
      </c>
      <c r="D969" s="2">
        <v>0.76859999999999995</v>
      </c>
      <c r="E969" s="3">
        <v>198966</v>
      </c>
      <c r="F969" s="2">
        <v>152917.37239999999</v>
      </c>
      <c r="G969" t="s">
        <v>2425</v>
      </c>
      <c r="H969" t="s">
        <v>3</v>
      </c>
      <c r="I969">
        <f>HLOOKUP(G969,zip_tiers!$A$1:$EON$2,2,FALSE)</f>
        <v>76752</v>
      </c>
      <c r="J969" t="str">
        <f t="shared" si="15"/>
        <v>Med</v>
      </c>
      <c r="K969">
        <f>dataset[[#This Row],[soda_sales]]/dataset[[#This Row],[soda_units_sold]]</f>
        <v>0.76856031884844644</v>
      </c>
      <c r="L969" s="29">
        <f>dataset[[#This Row],[implied_soda_ppu]]-dataset[[#This Row],[soda_ppu]]</f>
        <v>-3.96811515535056E-5</v>
      </c>
      <c r="M969">
        <f>dataset[[#This Row],[soda_sales]]/dataset[[#This Row],[total_sales]]</f>
        <v>6.4486446000907249E-2</v>
      </c>
      <c r="N969">
        <f>LN(dataset[[#This Row],[soda_units_sold]])</f>
        <v>12.200889234838019</v>
      </c>
      <c r="O969">
        <f>LN(dataset[[#This Row],[soda_sales]])</f>
        <v>11.937653004822021</v>
      </c>
      <c r="P969">
        <f>LN(dataset[[#This Row],[soda_ppu]])</f>
        <v>-0.26318460085139356</v>
      </c>
      <c r="Q969">
        <f>IF(dataset[[#This Row],[state]]="VA",1,0)</f>
        <v>1</v>
      </c>
    </row>
    <row r="970" spans="1:17" x14ac:dyDescent="0.35">
      <c r="A970">
        <v>202409</v>
      </c>
      <c r="B970">
        <v>49</v>
      </c>
      <c r="C970" s="2">
        <v>2330410.6921999999</v>
      </c>
      <c r="D970" s="2">
        <v>0.76939999999999997</v>
      </c>
      <c r="E970" s="3">
        <v>188418</v>
      </c>
      <c r="F970" s="2">
        <v>144964.73389999999</v>
      </c>
      <c r="G970" t="s">
        <v>2425</v>
      </c>
      <c r="H970" t="s">
        <v>3</v>
      </c>
      <c r="I970">
        <f>HLOOKUP(G970,zip_tiers!$A$1:$EON$2,2,FALSE)</f>
        <v>76752</v>
      </c>
      <c r="J970" t="str">
        <f t="shared" si="15"/>
        <v>Med</v>
      </c>
      <c r="K970">
        <f>dataset[[#This Row],[soda_sales]]/dataset[[#This Row],[soda_units_sold]]</f>
        <v>0.76937837096243455</v>
      </c>
      <c r="L970" s="29">
        <f>dataset[[#This Row],[implied_soda_ppu]]-dataset[[#This Row],[soda_ppu]]</f>
        <v>-2.162903756541823E-5</v>
      </c>
      <c r="M970">
        <f>dataset[[#This Row],[soda_sales]]/dataset[[#This Row],[total_sales]]</f>
        <v>6.2205659451016138E-2</v>
      </c>
      <c r="N970">
        <f>LN(dataset[[#This Row],[soda_units_sold]])</f>
        <v>12.146418177961884</v>
      </c>
      <c r="O970">
        <f>LN(dataset[[#This Row],[soda_sales]])</f>
        <v>11.884245777338514</v>
      </c>
      <c r="P970">
        <f>LN(dataset[[#This Row],[soda_ppu]])</f>
        <v>-0.26214428866394235</v>
      </c>
      <c r="Q970">
        <f>IF(dataset[[#This Row],[state]]="VA",1,0)</f>
        <v>1</v>
      </c>
    </row>
    <row r="971" spans="1:17" x14ac:dyDescent="0.35">
      <c r="A971">
        <v>202410</v>
      </c>
      <c r="B971">
        <v>49</v>
      </c>
      <c r="C971" s="2">
        <v>2897935.9103999999</v>
      </c>
      <c r="D971" s="2">
        <v>0.73419999999999996</v>
      </c>
      <c r="E971" s="3">
        <v>195583</v>
      </c>
      <c r="F971" s="2">
        <v>143589.18719999999</v>
      </c>
      <c r="G971" t="s">
        <v>2425</v>
      </c>
      <c r="H971" t="s">
        <v>3</v>
      </c>
      <c r="I971">
        <f>HLOOKUP(G971,zip_tiers!$A$1:$EON$2,2,FALSE)</f>
        <v>76752</v>
      </c>
      <c r="J971" t="str">
        <f t="shared" si="15"/>
        <v>Med</v>
      </c>
      <c r="K971">
        <f>dataset[[#This Row],[soda_sales]]/dataset[[#This Row],[soda_units_sold]]</f>
        <v>0.73415985642923964</v>
      </c>
      <c r="L971" s="29">
        <f>dataset[[#This Row],[implied_soda_ppu]]-dataset[[#This Row],[soda_ppu]]</f>
        <v>-4.014357076032038E-5</v>
      </c>
      <c r="M971">
        <f>dataset[[#This Row],[soda_sales]]/dataset[[#This Row],[total_sales]]</f>
        <v>4.9548779420791424E-2</v>
      </c>
      <c r="N971">
        <f>LN(dataset[[#This Row],[soda_units_sold]])</f>
        <v>12.183740120740342</v>
      </c>
      <c r="O971">
        <f>LN(dataset[[#This Row],[soda_sales]])</f>
        <v>11.874711634711081</v>
      </c>
      <c r="P971">
        <f>LN(dataset[[#This Row],[soda_ppu]])</f>
        <v>-0.30897380791940321</v>
      </c>
      <c r="Q971">
        <f>IF(dataset[[#This Row],[state]]="VA",1,0)</f>
        <v>1</v>
      </c>
    </row>
    <row r="972" spans="1:17" x14ac:dyDescent="0.35">
      <c r="A972">
        <v>202411</v>
      </c>
      <c r="B972">
        <v>49</v>
      </c>
      <c r="C972" s="2">
        <v>3241028.2744</v>
      </c>
      <c r="D972" s="2">
        <v>0.76490000000000002</v>
      </c>
      <c r="E972" s="3">
        <v>173656</v>
      </c>
      <c r="F972" s="2">
        <v>132820.88269999999</v>
      </c>
      <c r="G972" t="s">
        <v>2425</v>
      </c>
      <c r="H972" t="s">
        <v>3</v>
      </c>
      <c r="I972">
        <f>HLOOKUP(G972,zip_tiers!$A$1:$EON$2,2,FALSE)</f>
        <v>76752</v>
      </c>
      <c r="J972" t="str">
        <f t="shared" si="15"/>
        <v>Med</v>
      </c>
      <c r="K972">
        <f>dataset[[#This Row],[soda_sales]]/dataset[[#This Row],[soda_units_sold]]</f>
        <v>0.76485052460035929</v>
      </c>
      <c r="L972" s="29">
        <f>dataset[[#This Row],[implied_soda_ppu]]-dataset[[#This Row],[soda_ppu]]</f>
        <v>-4.9475399640730444E-5</v>
      </c>
      <c r="M972">
        <f>dataset[[#This Row],[soda_sales]]/dataset[[#This Row],[total_sales]]</f>
        <v>4.0981093484779497E-2</v>
      </c>
      <c r="N972">
        <f>LN(dataset[[#This Row],[soda_units_sold]])</f>
        <v>12.064831609835599</v>
      </c>
      <c r="O972">
        <f>LN(dataset[[#This Row],[soda_sales]])</f>
        <v>11.796756752909092</v>
      </c>
      <c r="P972">
        <f>LN(dataset[[#This Row],[soda_ppu]])</f>
        <v>-0.26801017265431665</v>
      </c>
      <c r="Q972">
        <f>IF(dataset[[#This Row],[state]]="VA",1,0)</f>
        <v>1</v>
      </c>
    </row>
    <row r="973" spans="1:17" x14ac:dyDescent="0.35">
      <c r="A973">
        <v>202412</v>
      </c>
      <c r="B973">
        <v>49</v>
      </c>
      <c r="C973" s="2">
        <v>3435731.0554999998</v>
      </c>
      <c r="D973" s="2">
        <v>0.75339999999999996</v>
      </c>
      <c r="E973" s="3">
        <v>172400</v>
      </c>
      <c r="F973" s="2">
        <v>129890.1087</v>
      </c>
      <c r="G973" t="s">
        <v>2425</v>
      </c>
      <c r="H973" t="s">
        <v>3</v>
      </c>
      <c r="I973">
        <f>HLOOKUP(G973,zip_tiers!$A$1:$EON$2,2,FALSE)</f>
        <v>76752</v>
      </c>
      <c r="J973" t="str">
        <f t="shared" si="15"/>
        <v>Med</v>
      </c>
      <c r="K973">
        <f>dataset[[#This Row],[soda_sales]]/dataset[[#This Row],[soda_units_sold]]</f>
        <v>0.75342290429234338</v>
      </c>
      <c r="L973" s="29">
        <f>dataset[[#This Row],[implied_soda_ppu]]-dataset[[#This Row],[soda_ppu]]</f>
        <v>2.2904292343417509E-5</v>
      </c>
      <c r="M973">
        <f>dataset[[#This Row],[soda_sales]]/dataset[[#This Row],[total_sales]]</f>
        <v>3.780566831390042E-2</v>
      </c>
      <c r="N973">
        <f>LN(dataset[[#This Row],[soda_units_sold]])</f>
        <v>12.057572637211729</v>
      </c>
      <c r="O973">
        <f>LN(dataset[[#This Row],[soda_sales]])</f>
        <v>11.77444405426294</v>
      </c>
      <c r="P973">
        <f>LN(dataset[[#This Row],[soda_ppu]])</f>
        <v>-0.2831589837241964</v>
      </c>
      <c r="Q973">
        <f>IF(dataset[[#This Row],[state]]="VA",1,0)</f>
        <v>1</v>
      </c>
    </row>
    <row r="974" spans="1:17" x14ac:dyDescent="0.35">
      <c r="A974">
        <v>202201</v>
      </c>
      <c r="B974">
        <v>36</v>
      </c>
      <c r="C974" s="2">
        <v>2249461.4500000002</v>
      </c>
      <c r="D974" s="2">
        <v>0.65080000000000005</v>
      </c>
      <c r="E974" s="3">
        <v>134578</v>
      </c>
      <c r="F974" s="2">
        <v>87579.468099999998</v>
      </c>
      <c r="G974" t="s">
        <v>2440</v>
      </c>
      <c r="H974" t="s">
        <v>3</v>
      </c>
      <c r="I974">
        <f>HLOOKUP(G974,zip_tiers!$A$1:$EON$2,2,FALSE)</f>
        <v>104337.66666666667</v>
      </c>
      <c r="J974" t="str">
        <f t="shared" si="15"/>
        <v>High</v>
      </c>
      <c r="K974">
        <f>dataset[[#This Row],[soda_sales]]/dataset[[#This Row],[soda_units_sold]]</f>
        <v>0.65077106287803355</v>
      </c>
      <c r="L974" s="29">
        <f>dataset[[#This Row],[implied_soda_ppu]]-dataset[[#This Row],[soda_ppu]]</f>
        <v>-2.8937121966499113E-5</v>
      </c>
      <c r="M974">
        <f>dataset[[#This Row],[soda_sales]]/dataset[[#This Row],[total_sales]]</f>
        <v>3.8933527000429367E-2</v>
      </c>
      <c r="N974">
        <f>LN(dataset[[#This Row],[soda_units_sold]])</f>
        <v>11.809899235582693</v>
      </c>
      <c r="O974">
        <f>LN(dataset[[#This Row],[soda_sales]])</f>
        <v>11.380301867032539</v>
      </c>
      <c r="P974">
        <f>LN(dataset[[#This Row],[soda_ppu]])</f>
        <v>-0.42955290363725424</v>
      </c>
      <c r="Q974">
        <f>IF(dataset[[#This Row],[state]]="VA",1,0)</f>
        <v>1</v>
      </c>
    </row>
    <row r="975" spans="1:17" x14ac:dyDescent="0.35">
      <c r="A975">
        <v>202202</v>
      </c>
      <c r="B975">
        <v>36</v>
      </c>
      <c r="C975" s="2">
        <v>2525011.2004</v>
      </c>
      <c r="D975" s="2">
        <v>0.69020000000000004</v>
      </c>
      <c r="E975" s="3">
        <v>141343</v>
      </c>
      <c r="F975" s="2">
        <v>97552.640499999994</v>
      </c>
      <c r="G975" t="s">
        <v>2440</v>
      </c>
      <c r="H975" t="s">
        <v>3</v>
      </c>
      <c r="I975">
        <f>HLOOKUP(G975,zip_tiers!$A$1:$EON$2,2,FALSE)</f>
        <v>104337.66666666667</v>
      </c>
      <c r="J975" t="str">
        <f t="shared" si="15"/>
        <v>High</v>
      </c>
      <c r="K975">
        <f>dataset[[#This Row],[soda_sales]]/dataset[[#This Row],[soda_units_sold]]</f>
        <v>0.6901837409705468</v>
      </c>
      <c r="L975" s="29">
        <f>dataset[[#This Row],[implied_soda_ppu]]-dataset[[#This Row],[soda_ppu]]</f>
        <v>-1.6259029453236096E-5</v>
      </c>
      <c r="M975">
        <f>dataset[[#This Row],[soda_sales]]/dataset[[#This Row],[total_sales]]</f>
        <v>3.8634537733751903E-2</v>
      </c>
      <c r="N975">
        <f>LN(dataset[[#This Row],[soda_units_sold]])</f>
        <v>11.858944839433486</v>
      </c>
      <c r="O975">
        <f>LN(dataset[[#This Row],[soda_sales]])</f>
        <v>11.48814741385509</v>
      </c>
      <c r="P975">
        <f>LN(dataset[[#This Row],[soda_ppu]])</f>
        <v>-0.37077386831823395</v>
      </c>
      <c r="Q975">
        <f>IF(dataset[[#This Row],[state]]="VA",1,0)</f>
        <v>1</v>
      </c>
    </row>
    <row r="976" spans="1:17" x14ac:dyDescent="0.35">
      <c r="A976">
        <v>202203</v>
      </c>
      <c r="B976">
        <v>36</v>
      </c>
      <c r="C976" s="2">
        <v>2774744.4759999998</v>
      </c>
      <c r="D976" s="2">
        <v>0.69120000000000004</v>
      </c>
      <c r="E976" s="3">
        <v>164759</v>
      </c>
      <c r="F976" s="2">
        <v>113876.4745</v>
      </c>
      <c r="G976" t="s">
        <v>2440</v>
      </c>
      <c r="H976" t="s">
        <v>3</v>
      </c>
      <c r="I976">
        <f>HLOOKUP(G976,zip_tiers!$A$1:$EON$2,2,FALSE)</f>
        <v>104337.66666666667</v>
      </c>
      <c r="J976" t="str">
        <f t="shared" si="15"/>
        <v>High</v>
      </c>
      <c r="K976">
        <f>dataset[[#This Row],[soda_sales]]/dataset[[#This Row],[soda_units_sold]]</f>
        <v>0.69116997857476681</v>
      </c>
      <c r="L976" s="29">
        <f>dataset[[#This Row],[implied_soda_ppu]]-dataset[[#This Row],[soda_ppu]]</f>
        <v>-3.0021425233228705E-5</v>
      </c>
      <c r="M976">
        <f>dataset[[#This Row],[soda_sales]]/dataset[[#This Row],[total_sales]]</f>
        <v>4.1040346412063639E-2</v>
      </c>
      <c r="N976">
        <f>LN(dataset[[#This Row],[soda_units_sold]])</f>
        <v>12.012239079097268</v>
      </c>
      <c r="O976">
        <f>LN(dataset[[#This Row],[soda_sales]])</f>
        <v>11.642869582886773</v>
      </c>
      <c r="P976">
        <f>LN(dataset[[#This Row],[soda_ppu]])</f>
        <v>-0.36932606149229114</v>
      </c>
      <c r="Q976">
        <f>IF(dataset[[#This Row],[state]]="VA",1,0)</f>
        <v>1</v>
      </c>
    </row>
    <row r="977" spans="1:17" x14ac:dyDescent="0.35">
      <c r="A977">
        <v>202204</v>
      </c>
      <c r="B977">
        <v>36</v>
      </c>
      <c r="C977" s="2">
        <v>2955976.4238</v>
      </c>
      <c r="D977" s="2">
        <v>0.6855</v>
      </c>
      <c r="E977" s="3">
        <v>196792</v>
      </c>
      <c r="F977" s="2">
        <v>134893.25409999999</v>
      </c>
      <c r="G977" t="s">
        <v>2440</v>
      </c>
      <c r="H977" t="s">
        <v>3</v>
      </c>
      <c r="I977">
        <f>HLOOKUP(G977,zip_tiers!$A$1:$EON$2,2,FALSE)</f>
        <v>104337.66666666667</v>
      </c>
      <c r="J977" t="str">
        <f t="shared" si="15"/>
        <v>High</v>
      </c>
      <c r="K977">
        <f>dataset[[#This Row],[soda_sales]]/dataset[[#This Row],[soda_units_sold]]</f>
        <v>0.68546106599861778</v>
      </c>
      <c r="L977" s="29">
        <f>dataset[[#This Row],[implied_soda_ppu]]-dataset[[#This Row],[soda_ppu]]</f>
        <v>-3.8934001382218142E-5</v>
      </c>
      <c r="M977">
        <f>dataset[[#This Row],[soda_sales]]/dataset[[#This Row],[total_sales]]</f>
        <v>4.5634076447264249E-2</v>
      </c>
      <c r="N977">
        <f>LN(dataset[[#This Row],[soda_units_sold]])</f>
        <v>12.189902612367536</v>
      </c>
      <c r="O977">
        <f>LN(dataset[[#This Row],[soda_sales]])</f>
        <v>11.812239034273864</v>
      </c>
      <c r="P977">
        <f>LN(dataset[[#This Row],[soda_ppu]])</f>
        <v>-0.37760677997976799</v>
      </c>
      <c r="Q977">
        <f>IF(dataset[[#This Row],[state]]="VA",1,0)</f>
        <v>1</v>
      </c>
    </row>
    <row r="978" spans="1:17" x14ac:dyDescent="0.35">
      <c r="A978">
        <v>202205</v>
      </c>
      <c r="B978">
        <v>36</v>
      </c>
      <c r="C978" s="2">
        <v>3129299.5213000001</v>
      </c>
      <c r="D978" s="2">
        <v>0.6956</v>
      </c>
      <c r="E978" s="3">
        <v>216492</v>
      </c>
      <c r="F978" s="2">
        <v>150587.2359</v>
      </c>
      <c r="G978" t="s">
        <v>2440</v>
      </c>
      <c r="H978" t="s">
        <v>3</v>
      </c>
      <c r="I978">
        <f>HLOOKUP(G978,zip_tiers!$A$1:$EON$2,2,FALSE)</f>
        <v>104337.66666666667</v>
      </c>
      <c r="J978" t="str">
        <f t="shared" si="15"/>
        <v>High</v>
      </c>
      <c r="K978">
        <f>dataset[[#This Row],[soda_sales]]/dataset[[#This Row],[soda_units_sold]]</f>
        <v>0.69557875533507008</v>
      </c>
      <c r="L978" s="29">
        <f>dataset[[#This Row],[implied_soda_ppu]]-dataset[[#This Row],[soda_ppu]]</f>
        <v>-2.1244664929920276E-5</v>
      </c>
      <c r="M978">
        <f>dataset[[#This Row],[soda_sales]]/dataset[[#This Row],[total_sales]]</f>
        <v>4.8121707390106835E-2</v>
      </c>
      <c r="N978">
        <f>LN(dataset[[#This Row],[soda_units_sold]])</f>
        <v>12.285308874240803</v>
      </c>
      <c r="O978">
        <f>LN(dataset[[#This Row],[soda_sales]])</f>
        <v>11.922297835775945</v>
      </c>
      <c r="P978">
        <f>LN(dataset[[#This Row],[soda_ppu]])</f>
        <v>-0.36298049650200909</v>
      </c>
      <c r="Q978">
        <f>IF(dataset[[#This Row],[state]]="VA",1,0)</f>
        <v>1</v>
      </c>
    </row>
    <row r="979" spans="1:17" x14ac:dyDescent="0.35">
      <c r="A979">
        <v>202206</v>
      </c>
      <c r="B979">
        <v>36</v>
      </c>
      <c r="C979" s="2">
        <v>3014636.3256999999</v>
      </c>
      <c r="D979" s="2">
        <v>0.65810000000000002</v>
      </c>
      <c r="E979" s="3">
        <v>232788</v>
      </c>
      <c r="F979" s="2">
        <v>153198.50339999999</v>
      </c>
      <c r="G979" t="s">
        <v>2440</v>
      </c>
      <c r="H979" t="s">
        <v>3</v>
      </c>
      <c r="I979">
        <f>HLOOKUP(G979,zip_tiers!$A$1:$EON$2,2,FALSE)</f>
        <v>104337.66666666667</v>
      </c>
      <c r="J979" t="str">
        <f t="shared" si="15"/>
        <v>High</v>
      </c>
      <c r="K979">
        <f>dataset[[#This Row],[soda_sales]]/dataset[[#This Row],[soda_units_sold]]</f>
        <v>0.65810309552038759</v>
      </c>
      <c r="L979" s="29">
        <f>dataset[[#This Row],[implied_soda_ppu]]-dataset[[#This Row],[soda_ppu]]</f>
        <v>3.0955203875748794E-6</v>
      </c>
      <c r="M979">
        <f>dataset[[#This Row],[soda_sales]]/dataset[[#This Row],[total_sales]]</f>
        <v>5.0818237043709483E-2</v>
      </c>
      <c r="N979">
        <f>LN(dataset[[#This Row],[soda_units_sold]])</f>
        <v>12.357883447119105</v>
      </c>
      <c r="O979">
        <f>LN(dataset[[#This Row],[soda_sales]])</f>
        <v>11.939489767311407</v>
      </c>
      <c r="P979">
        <f>LN(dataset[[#This Row],[soda_ppu]])</f>
        <v>-0.41839838352006359</v>
      </c>
      <c r="Q979">
        <f>IF(dataset[[#This Row],[state]]="VA",1,0)</f>
        <v>1</v>
      </c>
    </row>
    <row r="980" spans="1:17" x14ac:dyDescent="0.35">
      <c r="A980">
        <v>202207</v>
      </c>
      <c r="B980">
        <v>36</v>
      </c>
      <c r="C980" s="2">
        <v>2836238.4389999998</v>
      </c>
      <c r="D980" s="2">
        <v>0.68489999999999995</v>
      </c>
      <c r="E980" s="3">
        <v>231768</v>
      </c>
      <c r="F980" s="2">
        <v>158738.39610000001</v>
      </c>
      <c r="G980" t="s">
        <v>2440</v>
      </c>
      <c r="H980" t="s">
        <v>3</v>
      </c>
      <c r="I980">
        <f>HLOOKUP(G980,zip_tiers!$A$1:$EON$2,2,FALSE)</f>
        <v>104337.66666666667</v>
      </c>
      <c r="J980" t="str">
        <f t="shared" si="15"/>
        <v>High</v>
      </c>
      <c r="K980">
        <f>dataset[[#This Row],[soda_sales]]/dataset[[#This Row],[soda_units_sold]]</f>
        <v>0.6849021266956612</v>
      </c>
      <c r="L980" s="29">
        <f>dataset[[#This Row],[implied_soda_ppu]]-dataset[[#This Row],[soda_ppu]]</f>
        <v>2.1266956612420174E-6</v>
      </c>
      <c r="M980">
        <f>dataset[[#This Row],[soda_sales]]/dataset[[#This Row],[total_sales]]</f>
        <v>5.5967930593299464E-2</v>
      </c>
      <c r="N980">
        <f>LN(dataset[[#This Row],[soda_units_sold]])</f>
        <v>12.353492150314864</v>
      </c>
      <c r="O980">
        <f>LN(dataset[[#This Row],[soda_sales]])</f>
        <v>11.975012818650265</v>
      </c>
      <c r="P980">
        <f>LN(dataset[[#This Row],[soda_ppu]])</f>
        <v>-0.37848243677827759</v>
      </c>
      <c r="Q980">
        <f>IF(dataset[[#This Row],[state]]="VA",1,0)</f>
        <v>1</v>
      </c>
    </row>
    <row r="981" spans="1:17" x14ac:dyDescent="0.35">
      <c r="A981">
        <v>202208</v>
      </c>
      <c r="B981">
        <v>36</v>
      </c>
      <c r="C981" s="2">
        <v>2688312.2381000002</v>
      </c>
      <c r="D981" s="2">
        <v>0.65149999999999997</v>
      </c>
      <c r="E981" s="3">
        <v>210189</v>
      </c>
      <c r="F981" s="2">
        <v>136938.31049999999</v>
      </c>
      <c r="G981" t="s">
        <v>2440</v>
      </c>
      <c r="H981" t="s">
        <v>3</v>
      </c>
      <c r="I981">
        <f>HLOOKUP(G981,zip_tiers!$A$1:$EON$2,2,FALSE)</f>
        <v>104337.66666666667</v>
      </c>
      <c r="J981" t="str">
        <f t="shared" si="15"/>
        <v>High</v>
      </c>
      <c r="K981">
        <f>dataset[[#This Row],[soda_sales]]/dataset[[#This Row],[soda_units_sold]]</f>
        <v>0.65150084209925352</v>
      </c>
      <c r="L981" s="29">
        <f>dataset[[#This Row],[implied_soda_ppu]]-dataset[[#This Row],[soda_ppu]]</f>
        <v>8.4209925355072102E-7</v>
      </c>
      <c r="M981">
        <f>dataset[[#This Row],[soda_sales]]/dataset[[#This Row],[total_sales]]</f>
        <v>5.0938394937629319E-2</v>
      </c>
      <c r="N981">
        <f>LN(dataset[[#This Row],[soda_units_sold]])</f>
        <v>12.255762404942441</v>
      </c>
      <c r="O981">
        <f>LN(dataset[[#This Row],[soda_sales]])</f>
        <v>11.827285815078865</v>
      </c>
      <c r="P981">
        <f>LN(dataset[[#This Row],[soda_ppu]])</f>
        <v>-0.42847788241723728</v>
      </c>
      <c r="Q981">
        <f>IF(dataset[[#This Row],[state]]="VA",1,0)</f>
        <v>1</v>
      </c>
    </row>
    <row r="982" spans="1:17" x14ac:dyDescent="0.35">
      <c r="A982">
        <v>202209</v>
      </c>
      <c r="B982">
        <v>36</v>
      </c>
      <c r="C982" s="2">
        <v>2707958.7785999998</v>
      </c>
      <c r="D982" s="2">
        <v>0.68089999999999995</v>
      </c>
      <c r="E982" s="3">
        <v>199983</v>
      </c>
      <c r="F982" s="2">
        <v>136173.39480000001</v>
      </c>
      <c r="G982" t="s">
        <v>2440</v>
      </c>
      <c r="H982" t="s">
        <v>3</v>
      </c>
      <c r="I982">
        <f>HLOOKUP(G982,zip_tiers!$A$1:$EON$2,2,FALSE)</f>
        <v>104337.66666666667</v>
      </c>
      <c r="J982" t="str">
        <f t="shared" si="15"/>
        <v>High</v>
      </c>
      <c r="K982">
        <f>dataset[[#This Row],[soda_sales]]/dataset[[#This Row],[soda_units_sold]]</f>
        <v>0.68092485261247215</v>
      </c>
      <c r="L982" s="29">
        <f>dataset[[#This Row],[implied_soda_ppu]]-dataset[[#This Row],[soda_ppu]]</f>
        <v>2.4852612472203717E-5</v>
      </c>
      <c r="M982">
        <f>dataset[[#This Row],[soda_sales]]/dataset[[#This Row],[total_sales]]</f>
        <v>5.0286361770396269E-2</v>
      </c>
      <c r="N982">
        <f>LN(dataset[[#This Row],[soda_units_sold]])</f>
        <v>12.205987641917469</v>
      </c>
      <c r="O982">
        <f>LN(dataset[[#This Row],[soda_sales]])</f>
        <v>11.821684314409312</v>
      </c>
      <c r="P982">
        <f>LN(dataset[[#This Row],[soda_ppu]])</f>
        <v>-0.38433982649321619</v>
      </c>
      <c r="Q982">
        <f>IF(dataset[[#This Row],[state]]="VA",1,0)</f>
        <v>1</v>
      </c>
    </row>
    <row r="983" spans="1:17" x14ac:dyDescent="0.35">
      <c r="A983">
        <v>202210</v>
      </c>
      <c r="B983">
        <v>36</v>
      </c>
      <c r="C983" s="2">
        <v>3261367.2595000002</v>
      </c>
      <c r="D983" s="2">
        <v>0.68530000000000002</v>
      </c>
      <c r="E983" s="3">
        <v>183489</v>
      </c>
      <c r="F983" s="2">
        <v>125748.28879999999</v>
      </c>
      <c r="G983" t="s">
        <v>2440</v>
      </c>
      <c r="H983" t="s">
        <v>3</v>
      </c>
      <c r="I983">
        <f>HLOOKUP(G983,zip_tiers!$A$1:$EON$2,2,FALSE)</f>
        <v>104337.66666666667</v>
      </c>
      <c r="J983" t="str">
        <f t="shared" si="15"/>
        <v>High</v>
      </c>
      <c r="K983">
        <f>dataset[[#This Row],[soda_sales]]/dataset[[#This Row],[soda_units_sold]]</f>
        <v>0.68531785992620808</v>
      </c>
      <c r="L983" s="29">
        <f>dataset[[#This Row],[implied_soda_ppu]]-dataset[[#This Row],[soda_ppu]]</f>
        <v>1.7859926208063648E-5</v>
      </c>
      <c r="M983">
        <f>dataset[[#This Row],[soda_sales]]/dataset[[#This Row],[total_sales]]</f>
        <v>3.8556923766775796E-2</v>
      </c>
      <c r="N983">
        <f>LN(dataset[[#This Row],[soda_units_sold]])</f>
        <v>12.119909999175871</v>
      </c>
      <c r="O983">
        <f>LN(dataset[[#This Row],[soda_sales]])</f>
        <v>11.74203747991711</v>
      </c>
      <c r="P983">
        <f>LN(dataset[[#This Row],[soda_ppu]])</f>
        <v>-0.37789858039035901</v>
      </c>
      <c r="Q983">
        <f>IF(dataset[[#This Row],[state]]="VA",1,0)</f>
        <v>1</v>
      </c>
    </row>
    <row r="984" spans="1:17" x14ac:dyDescent="0.35">
      <c r="A984">
        <v>202211</v>
      </c>
      <c r="B984">
        <v>36</v>
      </c>
      <c r="C984" s="2">
        <v>3741727.7494999999</v>
      </c>
      <c r="D984" s="2">
        <v>0.68920000000000003</v>
      </c>
      <c r="E984" s="3">
        <v>177804</v>
      </c>
      <c r="F984" s="2">
        <v>122545.22259999999</v>
      </c>
      <c r="G984" t="s">
        <v>2440</v>
      </c>
      <c r="H984" t="s">
        <v>3</v>
      </c>
      <c r="I984">
        <f>HLOOKUP(G984,zip_tiers!$A$1:$EON$2,2,FALSE)</f>
        <v>104337.66666666667</v>
      </c>
      <c r="J984" t="str">
        <f t="shared" si="15"/>
        <v>High</v>
      </c>
      <c r="K984">
        <f>dataset[[#This Row],[soda_sales]]/dataset[[#This Row],[soda_units_sold]]</f>
        <v>0.68921521788036266</v>
      </c>
      <c r="L984" s="29">
        <f>dataset[[#This Row],[implied_soda_ppu]]-dataset[[#This Row],[soda_ppu]]</f>
        <v>1.5217880362627945E-5</v>
      </c>
      <c r="M984">
        <f>dataset[[#This Row],[soda_sales]]/dataset[[#This Row],[total_sales]]</f>
        <v>3.2750972492954757E-2</v>
      </c>
      <c r="N984">
        <f>LN(dataset[[#This Row],[soda_units_sold]])</f>
        <v>12.088437098996735</v>
      </c>
      <c r="O984">
        <f>LN(dataset[[#This Row],[soda_sales]])</f>
        <v>11.716235404924257</v>
      </c>
      <c r="P984">
        <f>LN(dataset[[#This Row],[soda_ppu]])</f>
        <v>-0.37222377432836246</v>
      </c>
      <c r="Q984">
        <f>IF(dataset[[#This Row],[state]]="VA",1,0)</f>
        <v>1</v>
      </c>
    </row>
    <row r="985" spans="1:17" x14ac:dyDescent="0.35">
      <c r="A985">
        <v>202212</v>
      </c>
      <c r="B985">
        <v>36</v>
      </c>
      <c r="C985" s="2">
        <v>3963587.9369000001</v>
      </c>
      <c r="D985" s="2">
        <v>0.68030000000000002</v>
      </c>
      <c r="E985" s="3">
        <v>178059</v>
      </c>
      <c r="F985" s="2">
        <v>121130.977</v>
      </c>
      <c r="G985" t="s">
        <v>2440</v>
      </c>
      <c r="H985" t="s">
        <v>3</v>
      </c>
      <c r="I985">
        <f>HLOOKUP(G985,zip_tiers!$A$1:$EON$2,2,FALSE)</f>
        <v>104337.66666666667</v>
      </c>
      <c r="J985" t="str">
        <f t="shared" si="15"/>
        <v>High</v>
      </c>
      <c r="K985">
        <f>dataset[[#This Row],[soda_sales]]/dataset[[#This Row],[soda_units_sold]]</f>
        <v>0.68028561881174221</v>
      </c>
      <c r="L985" s="29">
        <f>dataset[[#This Row],[implied_soda_ppu]]-dataset[[#This Row],[soda_ppu]]</f>
        <v>-1.4381188257805988E-5</v>
      </c>
      <c r="M985">
        <f>dataset[[#This Row],[soda_sales]]/dataset[[#This Row],[total_sales]]</f>
        <v>3.0560940977819938E-2</v>
      </c>
      <c r="N985">
        <f>LN(dataset[[#This Row],[soda_units_sold]])</f>
        <v>12.089870235027426</v>
      </c>
      <c r="O985">
        <f>LN(dataset[[#This Row],[soda_sales]])</f>
        <v>11.704627693692842</v>
      </c>
      <c r="P985">
        <f>LN(dataset[[#This Row],[soda_ppu]])</f>
        <v>-0.38522140163112195</v>
      </c>
      <c r="Q985">
        <f>IF(dataset[[#This Row],[state]]="VA",1,0)</f>
        <v>1</v>
      </c>
    </row>
    <row r="986" spans="1:17" x14ac:dyDescent="0.35">
      <c r="A986">
        <v>202301</v>
      </c>
      <c r="B986">
        <v>36</v>
      </c>
      <c r="C986" s="2">
        <v>2228414.0839999998</v>
      </c>
      <c r="D986" s="2">
        <v>0.69630000000000003</v>
      </c>
      <c r="E986" s="3">
        <v>125439</v>
      </c>
      <c r="F986" s="2">
        <v>87343.6</v>
      </c>
      <c r="G986" t="s">
        <v>2440</v>
      </c>
      <c r="H986" t="s">
        <v>3</v>
      </c>
      <c r="I986">
        <f>HLOOKUP(G986,zip_tiers!$A$1:$EON$2,2,FALSE)</f>
        <v>104337.66666666667</v>
      </c>
      <c r="J986" t="str">
        <f t="shared" si="15"/>
        <v>High</v>
      </c>
      <c r="K986">
        <f>dataset[[#This Row],[soda_sales]]/dataset[[#This Row],[soda_units_sold]]</f>
        <v>0.69630338252058777</v>
      </c>
      <c r="L986" s="29">
        <f>dataset[[#This Row],[implied_soda_ppu]]-dataset[[#This Row],[soda_ppu]]</f>
        <v>3.3825205877358044E-6</v>
      </c>
      <c r="M986">
        <f>dataset[[#This Row],[soda_sales]]/dataset[[#This Row],[total_sales]]</f>
        <v>3.9195408352122055E-2</v>
      </c>
      <c r="N986">
        <f>LN(dataset[[#This Row],[soda_units_sold]])</f>
        <v>11.739574863613683</v>
      </c>
      <c r="O986">
        <f>LN(dataset[[#This Row],[soda_sales]])</f>
        <v>11.37760504441772</v>
      </c>
      <c r="P986">
        <f>LN(dataset[[#This Row],[soda_ppu]])</f>
        <v>-0.36197467703363595</v>
      </c>
      <c r="Q986">
        <f>IF(dataset[[#This Row],[state]]="VA",1,0)</f>
        <v>1</v>
      </c>
    </row>
    <row r="987" spans="1:17" x14ac:dyDescent="0.35">
      <c r="A987">
        <v>202302</v>
      </c>
      <c r="B987">
        <v>36</v>
      </c>
      <c r="C987" s="2">
        <v>2561639.6009999998</v>
      </c>
      <c r="D987" s="2">
        <v>0.69040000000000001</v>
      </c>
      <c r="E987" s="3">
        <v>143514</v>
      </c>
      <c r="F987" s="2">
        <v>99086.650599999994</v>
      </c>
      <c r="G987" t="s">
        <v>2440</v>
      </c>
      <c r="H987" t="s">
        <v>3</v>
      </c>
      <c r="I987">
        <f>HLOOKUP(G987,zip_tiers!$A$1:$EON$2,2,FALSE)</f>
        <v>104337.66666666667</v>
      </c>
      <c r="J987" t="str">
        <f t="shared" si="15"/>
        <v>High</v>
      </c>
      <c r="K987">
        <f>dataset[[#This Row],[soda_sales]]/dataset[[#This Row],[soda_units_sold]]</f>
        <v>0.69043194810262409</v>
      </c>
      <c r="L987" s="29">
        <f>dataset[[#This Row],[implied_soda_ppu]]-dataset[[#This Row],[soda_ppu]]</f>
        <v>3.1948102624079766E-5</v>
      </c>
      <c r="M987">
        <f>dataset[[#This Row],[soda_sales]]/dataset[[#This Row],[total_sales]]</f>
        <v>3.8680948936501078E-2</v>
      </c>
      <c r="N987">
        <f>LN(dataset[[#This Row],[soda_units_sold]])</f>
        <v>11.874187870398661</v>
      </c>
      <c r="O987">
        <f>LN(dataset[[#This Row],[soda_sales]])</f>
        <v>11.503750004887149</v>
      </c>
      <c r="P987">
        <f>LN(dataset[[#This Row],[soda_ppu]])</f>
        <v>-0.37048413921291884</v>
      </c>
      <c r="Q987">
        <f>IF(dataset[[#This Row],[state]]="VA",1,0)</f>
        <v>1</v>
      </c>
    </row>
    <row r="988" spans="1:17" x14ac:dyDescent="0.35">
      <c r="A988">
        <v>202303</v>
      </c>
      <c r="B988">
        <v>36</v>
      </c>
      <c r="C988" s="2">
        <v>2864842.3624999998</v>
      </c>
      <c r="D988" s="2">
        <v>0.70520000000000005</v>
      </c>
      <c r="E988" s="3">
        <v>166786</v>
      </c>
      <c r="F988" s="2">
        <v>117620.50440000001</v>
      </c>
      <c r="G988" t="s">
        <v>2440</v>
      </c>
      <c r="H988" t="s">
        <v>3</v>
      </c>
      <c r="I988">
        <f>HLOOKUP(G988,zip_tiers!$A$1:$EON$2,2,FALSE)</f>
        <v>104337.66666666667</v>
      </c>
      <c r="J988" t="str">
        <f t="shared" si="15"/>
        <v>High</v>
      </c>
      <c r="K988">
        <f>dataset[[#This Row],[soda_sales]]/dataset[[#This Row],[soda_units_sold]]</f>
        <v>0.70521809024738291</v>
      </c>
      <c r="L988" s="29">
        <f>dataset[[#This Row],[implied_soda_ppu]]-dataset[[#This Row],[soda_ppu]]</f>
        <v>1.8090247382862579E-5</v>
      </c>
      <c r="M988">
        <f>dataset[[#This Row],[soda_sales]]/dataset[[#This Row],[total_sales]]</f>
        <v>4.1056536282631159E-2</v>
      </c>
      <c r="N988">
        <f>LN(dataset[[#This Row],[soda_units_sold]])</f>
        <v>12.024466832530507</v>
      </c>
      <c r="O988">
        <f>LN(dataset[[#This Row],[soda_sales]])</f>
        <v>11.675218656391081</v>
      </c>
      <c r="P988">
        <f>LN(dataset[[#This Row],[soda_ppu]])</f>
        <v>-0.34927382845842181</v>
      </c>
      <c r="Q988">
        <f>IF(dataset[[#This Row],[state]]="VA",1,0)</f>
        <v>1</v>
      </c>
    </row>
    <row r="989" spans="1:17" x14ac:dyDescent="0.35">
      <c r="A989">
        <v>202304</v>
      </c>
      <c r="B989">
        <v>36</v>
      </c>
      <c r="C989" s="2">
        <v>3035881.5173999998</v>
      </c>
      <c r="D989" s="2">
        <v>0.68159999999999998</v>
      </c>
      <c r="E989" s="3">
        <v>204720</v>
      </c>
      <c r="F989" s="2">
        <v>139538.43299999999</v>
      </c>
      <c r="G989" t="s">
        <v>2440</v>
      </c>
      <c r="H989" t="s">
        <v>3</v>
      </c>
      <c r="I989">
        <f>HLOOKUP(G989,zip_tiers!$A$1:$EON$2,2,FALSE)</f>
        <v>104337.66666666667</v>
      </c>
      <c r="J989" t="str">
        <f t="shared" si="15"/>
        <v>High</v>
      </c>
      <c r="K989">
        <f>dataset[[#This Row],[soda_sales]]/dataset[[#This Row],[soda_units_sold]]</f>
        <v>0.6816062573270808</v>
      </c>
      <c r="L989" s="29">
        <f>dataset[[#This Row],[implied_soda_ppu]]-dataset[[#This Row],[soda_ppu]]</f>
        <v>6.2573270808163883E-6</v>
      </c>
      <c r="M989">
        <f>dataset[[#This Row],[soda_sales]]/dataset[[#This Row],[total_sales]]</f>
        <v>4.5963069441360804E-2</v>
      </c>
      <c r="N989">
        <f>LN(dataset[[#This Row],[soda_units_sold]])</f>
        <v>12.22939847083367</v>
      </c>
      <c r="O989">
        <f>LN(dataset[[#This Row],[soda_sales]])</f>
        <v>11.846095347675265</v>
      </c>
      <c r="P989">
        <f>LN(dataset[[#This Row],[soda_ppu]])</f>
        <v>-0.3833123034670311</v>
      </c>
      <c r="Q989">
        <f>IF(dataset[[#This Row],[state]]="VA",1,0)</f>
        <v>1</v>
      </c>
    </row>
    <row r="990" spans="1:17" x14ac:dyDescent="0.35">
      <c r="A990">
        <v>202305</v>
      </c>
      <c r="B990">
        <v>36</v>
      </c>
      <c r="C990" s="2">
        <v>3191886.8616999998</v>
      </c>
      <c r="D990" s="2">
        <v>0.71140000000000003</v>
      </c>
      <c r="E990" s="3">
        <v>216527</v>
      </c>
      <c r="F990" s="2">
        <v>154029.1839</v>
      </c>
      <c r="G990" t="s">
        <v>2440</v>
      </c>
      <c r="H990" t="s">
        <v>3</v>
      </c>
      <c r="I990">
        <f>HLOOKUP(G990,zip_tiers!$A$1:$EON$2,2,FALSE)</f>
        <v>104337.66666666667</v>
      </c>
      <c r="J990" t="str">
        <f t="shared" si="15"/>
        <v>High</v>
      </c>
      <c r="K990">
        <f>dataset[[#This Row],[soda_sales]]/dataset[[#This Row],[soda_units_sold]]</f>
        <v>0.71136248089152854</v>
      </c>
      <c r="L990" s="29">
        <f>dataset[[#This Row],[implied_soda_ppu]]-dataset[[#This Row],[soda_ppu]]</f>
        <v>-3.7519108471495421E-5</v>
      </c>
      <c r="M990">
        <f>dataset[[#This Row],[soda_sales]]/dataset[[#This Row],[total_sales]]</f>
        <v>4.8256467279032572E-2</v>
      </c>
      <c r="N990">
        <f>LN(dataset[[#This Row],[soda_units_sold]])</f>
        <v>12.285470529965268</v>
      </c>
      <c r="O990">
        <f>LN(dataset[[#This Row],[soda_sales]])</f>
        <v>11.944897369285957</v>
      </c>
      <c r="P990">
        <f>LN(dataset[[#This Row],[soda_ppu]])</f>
        <v>-0.34052041946778216</v>
      </c>
      <c r="Q990">
        <f>IF(dataset[[#This Row],[state]]="VA",1,0)</f>
        <v>1</v>
      </c>
    </row>
    <row r="991" spans="1:17" x14ac:dyDescent="0.35">
      <c r="A991">
        <v>202306</v>
      </c>
      <c r="B991">
        <v>36</v>
      </c>
      <c r="C991" s="2">
        <v>3010372.8084999998</v>
      </c>
      <c r="D991" s="2">
        <v>0.68669999999999998</v>
      </c>
      <c r="E991" s="3">
        <v>230564</v>
      </c>
      <c r="F991" s="2">
        <v>158333.23499999999</v>
      </c>
      <c r="G991" t="s">
        <v>2440</v>
      </c>
      <c r="H991" t="s">
        <v>3</v>
      </c>
      <c r="I991">
        <f>HLOOKUP(G991,zip_tiers!$A$1:$EON$2,2,FALSE)</f>
        <v>104337.66666666667</v>
      </c>
      <c r="J991" t="str">
        <f t="shared" si="15"/>
        <v>High</v>
      </c>
      <c r="K991">
        <f>dataset[[#This Row],[soda_sales]]/dataset[[#This Row],[soda_units_sold]]</f>
        <v>0.68672140923995062</v>
      </c>
      <c r="L991" s="29">
        <f>dataset[[#This Row],[implied_soda_ppu]]-dataset[[#This Row],[soda_ppu]]</f>
        <v>2.14092399506427E-5</v>
      </c>
      <c r="M991">
        <f>dataset[[#This Row],[soda_sales]]/dataset[[#This Row],[total_sales]]</f>
        <v>5.2595889304120388E-2</v>
      </c>
      <c r="N991">
        <f>LN(dataset[[#This Row],[soda_units_sold]])</f>
        <v>12.348283760146007</v>
      </c>
      <c r="O991">
        <f>LN(dataset[[#This Row],[soda_sales]])</f>
        <v>11.972457173295844</v>
      </c>
      <c r="P991">
        <f>LN(dataset[[#This Row],[soda_ppu]])</f>
        <v>-0.37585776335550636</v>
      </c>
      <c r="Q991">
        <f>IF(dataset[[#This Row],[state]]="VA",1,0)</f>
        <v>1</v>
      </c>
    </row>
    <row r="992" spans="1:17" x14ac:dyDescent="0.35">
      <c r="A992">
        <v>202307</v>
      </c>
      <c r="B992">
        <v>36</v>
      </c>
      <c r="C992" s="2">
        <v>2850101.2324000001</v>
      </c>
      <c r="D992" s="2">
        <v>0.6694</v>
      </c>
      <c r="E992" s="3">
        <v>239652</v>
      </c>
      <c r="F992" s="2">
        <v>160416.75709999999</v>
      </c>
      <c r="G992" t="s">
        <v>2440</v>
      </c>
      <c r="H992" t="s">
        <v>3</v>
      </c>
      <c r="I992">
        <f>HLOOKUP(G992,zip_tiers!$A$1:$EON$2,2,FALSE)</f>
        <v>104337.66666666667</v>
      </c>
      <c r="J992" t="str">
        <f t="shared" si="15"/>
        <v>High</v>
      </c>
      <c r="K992">
        <f>dataset[[#This Row],[soda_sales]]/dataset[[#This Row],[soda_units_sold]]</f>
        <v>0.66937374651578119</v>
      </c>
      <c r="L992" s="29">
        <f>dataset[[#This Row],[implied_soda_ppu]]-dataset[[#This Row],[soda_ppu]]</f>
        <v>-2.6253484218807799E-5</v>
      </c>
      <c r="M992">
        <f>dataset[[#This Row],[soda_sales]]/dataset[[#This Row],[total_sales]]</f>
        <v>5.628458220233707E-2</v>
      </c>
      <c r="N992">
        <f>LN(dataset[[#This Row],[soda_units_sold]])</f>
        <v>12.386943150056814</v>
      </c>
      <c r="O992">
        <f>LN(dataset[[#This Row],[soda_sales]])</f>
        <v>11.985530439656122</v>
      </c>
      <c r="P992">
        <f>LN(dataset[[#This Row],[soda_ppu]])</f>
        <v>-0.40137349020491081</v>
      </c>
      <c r="Q992">
        <f>IF(dataset[[#This Row],[state]]="VA",1,0)</f>
        <v>1</v>
      </c>
    </row>
    <row r="993" spans="1:17" x14ac:dyDescent="0.35">
      <c r="A993">
        <v>202308</v>
      </c>
      <c r="B993">
        <v>36</v>
      </c>
      <c r="C993" s="2">
        <v>2721087.6963</v>
      </c>
      <c r="D993" s="2">
        <v>0.66969999999999996</v>
      </c>
      <c r="E993" s="3">
        <v>209485</v>
      </c>
      <c r="F993" s="2">
        <v>140289.51809999999</v>
      </c>
      <c r="G993" t="s">
        <v>2440</v>
      </c>
      <c r="H993" t="s">
        <v>3</v>
      </c>
      <c r="I993">
        <f>HLOOKUP(G993,zip_tiers!$A$1:$EON$2,2,FALSE)</f>
        <v>104337.66666666667</v>
      </c>
      <c r="J993" t="str">
        <f t="shared" si="15"/>
        <v>High</v>
      </c>
      <c r="K993">
        <f>dataset[[#This Row],[soda_sales]]/dataset[[#This Row],[soda_units_sold]]</f>
        <v>0.66968765353127901</v>
      </c>
      <c r="L993" s="29">
        <f>dataset[[#This Row],[implied_soda_ppu]]-dataset[[#This Row],[soda_ppu]]</f>
        <v>-1.2346468720947357E-5</v>
      </c>
      <c r="M993">
        <f>dataset[[#This Row],[soda_sales]]/dataset[[#This Row],[total_sales]]</f>
        <v>5.1556411904974148E-2</v>
      </c>
      <c r="N993">
        <f>LN(dataset[[#This Row],[soda_units_sold]])</f>
        <v>12.25240741673565</v>
      </c>
      <c r="O993">
        <f>LN(dataset[[#This Row],[soda_sales]])</f>
        <v>11.851463552679474</v>
      </c>
      <c r="P993">
        <f>LN(dataset[[#This Row],[soda_ppu]])</f>
        <v>-0.40092542806613263</v>
      </c>
      <c r="Q993">
        <f>IF(dataset[[#This Row],[state]]="VA",1,0)</f>
        <v>1</v>
      </c>
    </row>
    <row r="994" spans="1:17" x14ac:dyDescent="0.35">
      <c r="A994">
        <v>202309</v>
      </c>
      <c r="B994">
        <v>36</v>
      </c>
      <c r="C994" s="2">
        <v>2721469.8254</v>
      </c>
      <c r="D994" s="2">
        <v>0.68179999999999996</v>
      </c>
      <c r="E994" s="3">
        <v>198747</v>
      </c>
      <c r="F994" s="2">
        <v>135510.2194</v>
      </c>
      <c r="G994" t="s">
        <v>2440</v>
      </c>
      <c r="H994" t="s">
        <v>3</v>
      </c>
      <c r="I994">
        <f>HLOOKUP(G994,zip_tiers!$A$1:$EON$2,2,FALSE)</f>
        <v>104337.66666666667</v>
      </c>
      <c r="J994" t="str">
        <f t="shared" si="15"/>
        <v>High</v>
      </c>
      <c r="K994">
        <f>dataset[[#This Row],[soda_sales]]/dataset[[#This Row],[soda_units_sold]]</f>
        <v>0.68182271631773061</v>
      </c>
      <c r="L994" s="29">
        <f>dataset[[#This Row],[implied_soda_ppu]]-dataset[[#This Row],[soda_ppu]]</f>
        <v>2.2716317730653302E-5</v>
      </c>
      <c r="M994">
        <f>dataset[[#This Row],[soda_sales]]/dataset[[#This Row],[total_sales]]</f>
        <v>4.9793026597339834E-2</v>
      </c>
      <c r="N994">
        <f>LN(dataset[[#This Row],[soda_units_sold]])</f>
        <v>12.199787938063036</v>
      </c>
      <c r="O994">
        <f>LN(dataset[[#This Row],[soda_sales]])</f>
        <v>11.816802336384152</v>
      </c>
      <c r="P994">
        <f>LN(dataset[[#This Row],[soda_ppu]])</f>
        <v>-0.38301891927833437</v>
      </c>
      <c r="Q994">
        <f>IF(dataset[[#This Row],[state]]="VA",1,0)</f>
        <v>1</v>
      </c>
    </row>
    <row r="995" spans="1:17" x14ac:dyDescent="0.35">
      <c r="A995">
        <v>202310</v>
      </c>
      <c r="B995">
        <v>36</v>
      </c>
      <c r="C995" s="2">
        <v>3382306.1609</v>
      </c>
      <c r="D995" s="2">
        <v>0.71630000000000005</v>
      </c>
      <c r="E995" s="3">
        <v>193005</v>
      </c>
      <c r="F995" s="2">
        <v>138242.1819</v>
      </c>
      <c r="G995" t="s">
        <v>2440</v>
      </c>
      <c r="H995" t="s">
        <v>3</v>
      </c>
      <c r="I995">
        <f>HLOOKUP(G995,zip_tiers!$A$1:$EON$2,2,FALSE)</f>
        <v>104337.66666666667</v>
      </c>
      <c r="J995" t="str">
        <f t="shared" si="15"/>
        <v>High</v>
      </c>
      <c r="K995">
        <f>dataset[[#This Row],[soda_sales]]/dataset[[#This Row],[soda_units_sold]]</f>
        <v>0.71626217921815494</v>
      </c>
      <c r="L995" s="29">
        <f>dataset[[#This Row],[implied_soda_ppu]]-dataset[[#This Row],[soda_ppu]]</f>
        <v>-3.7820781845110396E-5</v>
      </c>
      <c r="M995">
        <f>dataset[[#This Row],[soda_sales]]/dataset[[#This Row],[total_sales]]</f>
        <v>4.0872166895505123E-2</v>
      </c>
      <c r="N995">
        <f>LN(dataset[[#This Row],[soda_units_sold]])</f>
        <v>12.170471374287199</v>
      </c>
      <c r="O995">
        <f>LN(dataset[[#This Row],[soda_sales]])</f>
        <v>11.836762367333465</v>
      </c>
      <c r="P995">
        <f>LN(dataset[[#This Row],[soda_ppu]])</f>
        <v>-0.33365620536173146</v>
      </c>
      <c r="Q995">
        <f>IF(dataset[[#This Row],[state]]="VA",1,0)</f>
        <v>1</v>
      </c>
    </row>
    <row r="996" spans="1:17" x14ac:dyDescent="0.35">
      <c r="A996">
        <v>202311</v>
      </c>
      <c r="B996">
        <v>36</v>
      </c>
      <c r="C996" s="2">
        <v>3823558.7708000001</v>
      </c>
      <c r="D996" s="2">
        <v>0.71130000000000004</v>
      </c>
      <c r="E996" s="3">
        <v>172287</v>
      </c>
      <c r="F996" s="2">
        <v>122546.54859999999</v>
      </c>
      <c r="G996" t="s">
        <v>2440</v>
      </c>
      <c r="H996" t="s">
        <v>3</v>
      </c>
      <c r="I996">
        <f>HLOOKUP(G996,zip_tiers!$A$1:$EON$2,2,FALSE)</f>
        <v>104337.66666666667</v>
      </c>
      <c r="J996" t="str">
        <f t="shared" si="15"/>
        <v>High</v>
      </c>
      <c r="K996">
        <f>dataset[[#This Row],[soda_sales]]/dataset[[#This Row],[soda_units_sold]]</f>
        <v>0.71129306680132565</v>
      </c>
      <c r="L996" s="29">
        <f>dataset[[#This Row],[implied_soda_ppu]]-dataset[[#This Row],[soda_ppu]]</f>
        <v>-6.933198674397012E-6</v>
      </c>
      <c r="M996">
        <f>dataset[[#This Row],[soda_sales]]/dataset[[#This Row],[total_sales]]</f>
        <v>3.2050389688232692E-2</v>
      </c>
      <c r="N996">
        <f>LN(dataset[[#This Row],[soda_units_sold]])</f>
        <v>12.056916969872676</v>
      </c>
      <c r="O996">
        <f>LN(dataset[[#This Row],[soda_sales]])</f>
        <v>11.716246225360974</v>
      </c>
      <c r="P996">
        <f>LN(dataset[[#This Row],[soda_ppu]])</f>
        <v>-0.34066099724266752</v>
      </c>
      <c r="Q996">
        <f>IF(dataset[[#This Row],[state]]="VA",1,0)</f>
        <v>1</v>
      </c>
    </row>
    <row r="997" spans="1:17" x14ac:dyDescent="0.35">
      <c r="A997">
        <v>202312</v>
      </c>
      <c r="B997">
        <v>36</v>
      </c>
      <c r="C997" s="2">
        <v>3979147.0414</v>
      </c>
      <c r="D997" s="2">
        <v>0.71020000000000005</v>
      </c>
      <c r="E997" s="3">
        <v>172630</v>
      </c>
      <c r="F997" s="2">
        <v>122596.3156</v>
      </c>
      <c r="G997" t="s">
        <v>2440</v>
      </c>
      <c r="H997" t="s">
        <v>3</v>
      </c>
      <c r="I997">
        <f>HLOOKUP(G997,zip_tiers!$A$1:$EON$2,2,FALSE)</f>
        <v>104337.66666666667</v>
      </c>
      <c r="J997" t="str">
        <f t="shared" si="15"/>
        <v>High</v>
      </c>
      <c r="K997">
        <f>dataset[[#This Row],[soda_sales]]/dataset[[#This Row],[soda_units_sold]]</f>
        <v>0.71016807970804607</v>
      </c>
      <c r="L997" s="29">
        <f>dataset[[#This Row],[implied_soda_ppu]]-dataset[[#This Row],[soda_ppu]]</f>
        <v>-3.1920291953979607E-5</v>
      </c>
      <c r="M997">
        <f>dataset[[#This Row],[soda_sales]]/dataset[[#This Row],[total_sales]]</f>
        <v>3.0809697235231203E-2</v>
      </c>
      <c r="N997">
        <f>LN(dataset[[#This Row],[soda_units_sold]])</f>
        <v>12.058905854810595</v>
      </c>
      <c r="O997">
        <f>LN(dataset[[#This Row],[soda_sales]])</f>
        <v>11.716652249830387</v>
      </c>
      <c r="P997">
        <f>LN(dataset[[#This Row],[soda_ppu]])</f>
        <v>-0.34220865847314946</v>
      </c>
      <c r="Q997">
        <f>IF(dataset[[#This Row],[state]]="VA",1,0)</f>
        <v>1</v>
      </c>
    </row>
    <row r="998" spans="1:17" x14ac:dyDescent="0.35">
      <c r="A998">
        <v>202401</v>
      </c>
      <c r="B998">
        <v>36</v>
      </c>
      <c r="C998" s="2">
        <v>2283987.4116000002</v>
      </c>
      <c r="D998" s="2">
        <v>0.69799999999999995</v>
      </c>
      <c r="E998" s="3">
        <v>125578</v>
      </c>
      <c r="F998" s="2">
        <v>87657.588699999993</v>
      </c>
      <c r="G998" t="s">
        <v>2440</v>
      </c>
      <c r="H998" t="s">
        <v>3</v>
      </c>
      <c r="I998">
        <f>HLOOKUP(G998,zip_tiers!$A$1:$EON$2,2,FALSE)</f>
        <v>104337.66666666667</v>
      </c>
      <c r="J998" t="str">
        <f t="shared" si="15"/>
        <v>High</v>
      </c>
      <c r="K998">
        <f>dataset[[#This Row],[soda_sales]]/dataset[[#This Row],[soda_units_sold]]</f>
        <v>0.69803300498494958</v>
      </c>
      <c r="L998" s="29">
        <f>dataset[[#This Row],[implied_soda_ppu]]-dataset[[#This Row],[soda_ppu]]</f>
        <v>3.3004984949625005E-5</v>
      </c>
      <c r="M998">
        <f>dataset[[#This Row],[soda_sales]]/dataset[[#This Row],[total_sales]]</f>
        <v>3.8379190819879908E-2</v>
      </c>
      <c r="N998">
        <f>LN(dataset[[#This Row],[soda_units_sold]])</f>
        <v>11.740682358438397</v>
      </c>
      <c r="O998">
        <f>LN(dataset[[#This Row],[soda_sales]])</f>
        <v>11.381193466179452</v>
      </c>
      <c r="P998">
        <f>LN(dataset[[#This Row],[soda_ppu]])</f>
        <v>-0.35953617621976464</v>
      </c>
      <c r="Q998">
        <f>IF(dataset[[#This Row],[state]]="VA",1,0)</f>
        <v>1</v>
      </c>
    </row>
    <row r="999" spans="1:17" x14ac:dyDescent="0.35">
      <c r="A999">
        <v>202402</v>
      </c>
      <c r="B999">
        <v>36</v>
      </c>
      <c r="C999" s="2">
        <v>2578523.3451999999</v>
      </c>
      <c r="D999" s="2">
        <v>0.70009999999999994</v>
      </c>
      <c r="E999" s="3">
        <v>140211</v>
      </c>
      <c r="F999" s="2">
        <v>98162.027499999997</v>
      </c>
      <c r="G999" t="s">
        <v>2440</v>
      </c>
      <c r="H999" t="s">
        <v>3</v>
      </c>
      <c r="I999">
        <f>HLOOKUP(G999,zip_tiers!$A$1:$EON$2,2,FALSE)</f>
        <v>104337.66666666667</v>
      </c>
      <c r="J999" t="str">
        <f t="shared" si="15"/>
        <v>High</v>
      </c>
      <c r="K999">
        <f>dataset[[#This Row],[soda_sales]]/dataset[[#This Row],[soda_units_sold]]</f>
        <v>0.70010218527790258</v>
      </c>
      <c r="L999" s="29">
        <f>dataset[[#This Row],[implied_soda_ppu]]-dataset[[#This Row],[soda_ppu]]</f>
        <v>2.1852779026332314E-6</v>
      </c>
      <c r="M999">
        <f>dataset[[#This Row],[soda_sales]]/dataset[[#This Row],[total_sales]]</f>
        <v>3.8069086201112594E-2</v>
      </c>
      <c r="N999">
        <f>LN(dataset[[#This Row],[soda_units_sold]])</f>
        <v>11.850903709848648</v>
      </c>
      <c r="O999">
        <f>LN(dataset[[#This Row],[soda_sales]])</f>
        <v>11.494374734224454</v>
      </c>
      <c r="P999">
        <f>LN(dataset[[#This Row],[soda_ppu]])</f>
        <v>-0.35653209699898525</v>
      </c>
      <c r="Q999">
        <f>IF(dataset[[#This Row],[state]]="VA",1,0)</f>
        <v>1</v>
      </c>
    </row>
    <row r="1000" spans="1:17" x14ac:dyDescent="0.35">
      <c r="A1000">
        <v>202403</v>
      </c>
      <c r="B1000">
        <v>36</v>
      </c>
      <c r="C1000" s="2">
        <v>2908244.6819000002</v>
      </c>
      <c r="D1000" s="2">
        <v>0.73509999999999998</v>
      </c>
      <c r="E1000" s="3">
        <v>163011</v>
      </c>
      <c r="F1000" s="2">
        <v>119826.065</v>
      </c>
      <c r="G1000" t="s">
        <v>2440</v>
      </c>
      <c r="H1000" t="s">
        <v>3</v>
      </c>
      <c r="I1000">
        <f>HLOOKUP(G1000,zip_tiers!$A$1:$EON$2,2,FALSE)</f>
        <v>104337.66666666667</v>
      </c>
      <c r="J1000" t="str">
        <f t="shared" si="15"/>
        <v>High</v>
      </c>
      <c r="K1000">
        <f>dataset[[#This Row],[soda_sales]]/dataset[[#This Row],[soda_units_sold]]</f>
        <v>0.73507962652827108</v>
      </c>
      <c r="L1000" s="29">
        <f>dataset[[#This Row],[implied_soda_ppu]]-dataset[[#This Row],[soda_ppu]]</f>
        <v>-2.0373471728896142E-5</v>
      </c>
      <c r="M1000">
        <f>dataset[[#This Row],[soda_sales]]/dataset[[#This Row],[total_sales]]</f>
        <v>4.1202195174896983E-2</v>
      </c>
      <c r="N1000">
        <f>LN(dataset[[#This Row],[soda_units_sold]])</f>
        <v>12.001572962174489</v>
      </c>
      <c r="O1000">
        <f>LN(dataset[[#This Row],[soda_sales]])</f>
        <v>11.693796511949945</v>
      </c>
      <c r="P1000">
        <f>LN(dataset[[#This Row],[soda_ppu]])</f>
        <v>-0.30774873460209512</v>
      </c>
      <c r="Q1000">
        <f>IF(dataset[[#This Row],[state]]="VA",1,0)</f>
        <v>1</v>
      </c>
    </row>
    <row r="1001" spans="1:17" x14ac:dyDescent="0.35">
      <c r="A1001">
        <v>202404</v>
      </c>
      <c r="B1001">
        <v>36</v>
      </c>
      <c r="C1001" s="2">
        <v>3037551.8528</v>
      </c>
      <c r="D1001" s="2">
        <v>0.74590000000000001</v>
      </c>
      <c r="E1001" s="3">
        <v>187427</v>
      </c>
      <c r="F1001" s="2">
        <v>139797.8437</v>
      </c>
      <c r="G1001" t="s">
        <v>2440</v>
      </c>
      <c r="H1001" t="s">
        <v>3</v>
      </c>
      <c r="I1001">
        <f>HLOOKUP(G1001,zip_tiers!$A$1:$EON$2,2,FALSE)</f>
        <v>104337.66666666667</v>
      </c>
      <c r="J1001" t="str">
        <f t="shared" si="15"/>
        <v>High</v>
      </c>
      <c r="K1001">
        <f>dataset[[#This Row],[soda_sales]]/dataset[[#This Row],[soda_units_sold]]</f>
        <v>0.74587889524988393</v>
      </c>
      <c r="L1001" s="29">
        <f>dataset[[#This Row],[implied_soda_ppu]]-dataset[[#This Row],[soda_ppu]]</f>
        <v>-2.1104750116074378E-5</v>
      </c>
      <c r="M1001">
        <f>dataset[[#This Row],[soda_sales]]/dataset[[#This Row],[total_sales]]</f>
        <v>4.6023195808537407E-2</v>
      </c>
      <c r="N1001">
        <f>LN(dataset[[#This Row],[soda_units_sold]])</f>
        <v>12.14114471524937</v>
      </c>
      <c r="O1001">
        <f>LN(dataset[[#This Row],[soda_sales]])</f>
        <v>11.847952684485497</v>
      </c>
      <c r="P1001">
        <f>LN(dataset[[#This Row],[soda_ppu]])</f>
        <v>-0.29316373602101947</v>
      </c>
      <c r="Q1001">
        <f>IF(dataset[[#This Row],[state]]="VA",1,0)</f>
        <v>1</v>
      </c>
    </row>
    <row r="1002" spans="1:17" x14ac:dyDescent="0.35">
      <c r="A1002">
        <v>202405</v>
      </c>
      <c r="B1002">
        <v>36</v>
      </c>
      <c r="C1002" s="2">
        <v>3232526.3557000002</v>
      </c>
      <c r="D1002" s="2">
        <v>0.70679999999999998</v>
      </c>
      <c r="E1002" s="3">
        <v>215054</v>
      </c>
      <c r="F1002" s="2">
        <v>152007.56649999999</v>
      </c>
      <c r="G1002" t="s">
        <v>2440</v>
      </c>
      <c r="H1002" t="s">
        <v>3</v>
      </c>
      <c r="I1002">
        <f>HLOOKUP(G1002,zip_tiers!$A$1:$EON$2,2,FALSE)</f>
        <v>104337.66666666667</v>
      </c>
      <c r="J1002" t="str">
        <f t="shared" si="15"/>
        <v>High</v>
      </c>
      <c r="K1002">
        <f>dataset[[#This Row],[soda_sales]]/dataset[[#This Row],[soda_units_sold]]</f>
        <v>0.70683440670715258</v>
      </c>
      <c r="L1002" s="29">
        <f>dataset[[#This Row],[implied_soda_ppu]]-dataset[[#This Row],[soda_ppu]]</f>
        <v>3.4406707152601079E-5</v>
      </c>
      <c r="M1002">
        <f>dataset[[#This Row],[soda_sales]]/dataset[[#This Row],[total_sales]]</f>
        <v>4.7024385812651143E-2</v>
      </c>
      <c r="N1002">
        <f>LN(dataset[[#This Row],[soda_units_sold]])</f>
        <v>12.278644438364404</v>
      </c>
      <c r="O1002">
        <f>LN(dataset[[#This Row],[soda_sales]])</f>
        <v>11.931685578194713</v>
      </c>
      <c r="P1002">
        <f>LN(dataset[[#This Row],[soda_ppu]])</f>
        <v>-0.34700753853659572</v>
      </c>
      <c r="Q1002">
        <f>IF(dataset[[#This Row],[state]]="VA",1,0)</f>
        <v>1</v>
      </c>
    </row>
    <row r="1003" spans="1:17" x14ac:dyDescent="0.35">
      <c r="A1003">
        <v>202406</v>
      </c>
      <c r="B1003">
        <v>36</v>
      </c>
      <c r="C1003" s="2">
        <v>3064296.2514</v>
      </c>
      <c r="D1003" s="2">
        <v>0.73719999999999997</v>
      </c>
      <c r="E1003" s="3">
        <v>217961</v>
      </c>
      <c r="F1003" s="2">
        <v>160685.40919999999</v>
      </c>
      <c r="G1003" t="s">
        <v>2440</v>
      </c>
      <c r="H1003" t="s">
        <v>3</v>
      </c>
      <c r="I1003">
        <f>HLOOKUP(G1003,zip_tiers!$A$1:$EON$2,2,FALSE)</f>
        <v>104337.66666666667</v>
      </c>
      <c r="J1003" t="str">
        <f t="shared" si="15"/>
        <v>High</v>
      </c>
      <c r="K1003">
        <f>dataset[[#This Row],[soda_sales]]/dataset[[#This Row],[soda_units_sold]]</f>
        <v>0.73722092117397142</v>
      </c>
      <c r="L1003" s="29">
        <f>dataset[[#This Row],[implied_soda_ppu]]-dataset[[#This Row],[soda_ppu]]</f>
        <v>2.0921173971455431E-5</v>
      </c>
      <c r="M1003">
        <f>dataset[[#This Row],[soda_sales]]/dataset[[#This Row],[total_sales]]</f>
        <v>5.2437948558853233E-2</v>
      </c>
      <c r="N1003">
        <f>LN(dataset[[#This Row],[soda_units_sold]])</f>
        <v>12.292071426684307</v>
      </c>
      <c r="O1003">
        <f>LN(dataset[[#This Row],[soda_sales]])</f>
        <v>11.987203752332773</v>
      </c>
      <c r="P1003">
        <f>LN(dataset[[#This Row],[soda_ppu]])</f>
        <v>-0.3048960531864689</v>
      </c>
      <c r="Q1003">
        <f>IF(dataset[[#This Row],[state]]="VA",1,0)</f>
        <v>1</v>
      </c>
    </row>
    <row r="1004" spans="1:17" x14ac:dyDescent="0.35">
      <c r="A1004">
        <v>202407</v>
      </c>
      <c r="B1004">
        <v>36</v>
      </c>
      <c r="C1004" s="2">
        <v>2927403.8917999999</v>
      </c>
      <c r="D1004" s="2">
        <v>0.73170000000000002</v>
      </c>
      <c r="E1004" s="3">
        <v>225285</v>
      </c>
      <c r="F1004" s="2">
        <v>164840.2187</v>
      </c>
      <c r="G1004" t="s">
        <v>2440</v>
      </c>
      <c r="H1004" t="s">
        <v>3</v>
      </c>
      <c r="I1004">
        <f>HLOOKUP(G1004,zip_tiers!$A$1:$EON$2,2,FALSE)</f>
        <v>104337.66666666667</v>
      </c>
      <c r="J1004" t="str">
        <f t="shared" si="15"/>
        <v>High</v>
      </c>
      <c r="K1004">
        <f>dataset[[#This Row],[soda_sales]]/dataset[[#This Row],[soda_units_sold]]</f>
        <v>0.73169637880906402</v>
      </c>
      <c r="L1004" s="29">
        <f>dataset[[#This Row],[implied_soda_ppu]]-dataset[[#This Row],[soda_ppu]]</f>
        <v>-3.6211909359984418E-6</v>
      </c>
      <c r="M1004">
        <f>dataset[[#This Row],[soda_sales]]/dataset[[#This Row],[total_sales]]</f>
        <v>5.6309352857573464E-2</v>
      </c>
      <c r="N1004">
        <f>LN(dataset[[#This Row],[soda_units_sold]])</f>
        <v>12.325121546307791</v>
      </c>
      <c r="O1004">
        <f>LN(dataset[[#This Row],[soda_sales]])</f>
        <v>12.012731912192956</v>
      </c>
      <c r="P1004">
        <f>LN(dataset[[#This Row],[soda_ppu]])</f>
        <v>-0.31238468509215273</v>
      </c>
      <c r="Q1004">
        <f>IF(dataset[[#This Row],[state]]="VA",1,0)</f>
        <v>1</v>
      </c>
    </row>
    <row r="1005" spans="1:17" x14ac:dyDescent="0.35">
      <c r="A1005">
        <v>202408</v>
      </c>
      <c r="B1005">
        <v>36</v>
      </c>
      <c r="C1005" s="2">
        <v>2768618.6762000001</v>
      </c>
      <c r="D1005" s="2">
        <v>0.73719999999999997</v>
      </c>
      <c r="E1005" s="3">
        <v>193065</v>
      </c>
      <c r="F1005" s="2">
        <v>142330.90220000001</v>
      </c>
      <c r="G1005" t="s">
        <v>2440</v>
      </c>
      <c r="H1005" t="s">
        <v>3</v>
      </c>
      <c r="I1005">
        <f>HLOOKUP(G1005,zip_tiers!$A$1:$EON$2,2,FALSE)</f>
        <v>104337.66666666667</v>
      </c>
      <c r="J1005" t="str">
        <f t="shared" si="15"/>
        <v>High</v>
      </c>
      <c r="K1005">
        <f>dataset[[#This Row],[soda_sales]]/dataset[[#This Row],[soda_units_sold]]</f>
        <v>0.73721752881154023</v>
      </c>
      <c r="L1005" s="29">
        <f>dataset[[#This Row],[implied_soda_ppu]]-dataset[[#This Row],[soda_ppu]]</f>
        <v>1.7528811540268308E-5</v>
      </c>
      <c r="M1005">
        <f>dataset[[#This Row],[soda_sales]]/dataset[[#This Row],[total_sales]]</f>
        <v>5.1408633273886895E-2</v>
      </c>
      <c r="N1005">
        <f>LN(dataset[[#This Row],[soda_units_sold]])</f>
        <v>12.170782198751589</v>
      </c>
      <c r="O1005">
        <f>LN(dataset[[#This Row],[soda_sales]])</f>
        <v>11.865909922834717</v>
      </c>
      <c r="P1005">
        <f>LN(dataset[[#This Row],[soda_ppu]])</f>
        <v>-0.3048960531864689</v>
      </c>
      <c r="Q1005">
        <f>IF(dataset[[#This Row],[state]]="VA",1,0)</f>
        <v>1</v>
      </c>
    </row>
    <row r="1006" spans="1:17" x14ac:dyDescent="0.35">
      <c r="A1006">
        <v>202409</v>
      </c>
      <c r="B1006">
        <v>36</v>
      </c>
      <c r="C1006" s="2">
        <v>2825718.4923</v>
      </c>
      <c r="D1006" s="2">
        <v>0.73260000000000003</v>
      </c>
      <c r="E1006" s="3">
        <v>195578</v>
      </c>
      <c r="F1006" s="2">
        <v>143271.20300000001</v>
      </c>
      <c r="G1006" t="s">
        <v>2440</v>
      </c>
      <c r="H1006" t="s">
        <v>3</v>
      </c>
      <c r="I1006">
        <f>HLOOKUP(G1006,zip_tiers!$A$1:$EON$2,2,FALSE)</f>
        <v>104337.66666666667</v>
      </c>
      <c r="J1006" t="str">
        <f t="shared" si="15"/>
        <v>High</v>
      </c>
      <c r="K1006">
        <f>dataset[[#This Row],[soda_sales]]/dataset[[#This Row],[soda_units_sold]]</f>
        <v>0.73255275644499895</v>
      </c>
      <c r="L1006" s="29">
        <f>dataset[[#This Row],[implied_soda_ppu]]-dataset[[#This Row],[soda_ppu]]</f>
        <v>-4.7243555001075244E-5</v>
      </c>
      <c r="M1006">
        <f>dataset[[#This Row],[soda_sales]]/dataset[[#This Row],[total_sales]]</f>
        <v>5.0702574722290929E-2</v>
      </c>
      <c r="N1006">
        <f>LN(dataset[[#This Row],[soda_units_sold]])</f>
        <v>12.183714555819503</v>
      </c>
      <c r="O1006">
        <f>LN(dataset[[#This Row],[soda_sales]])</f>
        <v>11.872494637585605</v>
      </c>
      <c r="P1006">
        <f>LN(dataset[[#This Row],[soda_ppu]])</f>
        <v>-0.31115542863742301</v>
      </c>
      <c r="Q1006">
        <f>IF(dataset[[#This Row],[state]]="VA",1,0)</f>
        <v>1</v>
      </c>
    </row>
    <row r="1007" spans="1:17" x14ac:dyDescent="0.35">
      <c r="A1007">
        <v>202410</v>
      </c>
      <c r="B1007">
        <v>36</v>
      </c>
      <c r="C1007" s="2">
        <v>3413981.5087000001</v>
      </c>
      <c r="D1007" s="2">
        <v>0.71650000000000003</v>
      </c>
      <c r="E1007" s="3">
        <v>184645</v>
      </c>
      <c r="F1007" s="2">
        <v>132298.04380000001</v>
      </c>
      <c r="G1007" t="s">
        <v>2440</v>
      </c>
      <c r="H1007" t="s">
        <v>3</v>
      </c>
      <c r="I1007">
        <f>HLOOKUP(G1007,zip_tiers!$A$1:$EON$2,2,FALSE)</f>
        <v>104337.66666666667</v>
      </c>
      <c r="J1007" t="str">
        <f t="shared" si="15"/>
        <v>High</v>
      </c>
      <c r="K1007">
        <f>dataset[[#This Row],[soda_sales]]/dataset[[#This Row],[soda_units_sold]]</f>
        <v>0.71649946546074905</v>
      </c>
      <c r="L1007" s="29">
        <f>dataset[[#This Row],[implied_soda_ppu]]-dataset[[#This Row],[soda_ppu]]</f>
        <v>-5.3453925097368682E-7</v>
      </c>
      <c r="M1007">
        <f>dataset[[#This Row],[soda_sales]]/dataset[[#This Row],[total_sales]]</f>
        <v>3.8751833735144452E-2</v>
      </c>
      <c r="N1007">
        <f>LN(dataset[[#This Row],[soda_units_sold]])</f>
        <v>12.126190341657926</v>
      </c>
      <c r="O1007">
        <f>LN(dataset[[#This Row],[soda_sales]])</f>
        <v>11.792812563901517</v>
      </c>
      <c r="P1007">
        <f>LN(dataset[[#This Row],[soda_ppu]])</f>
        <v>-0.33337703171391048</v>
      </c>
      <c r="Q1007">
        <f>IF(dataset[[#This Row],[state]]="VA",1,0)</f>
        <v>1</v>
      </c>
    </row>
    <row r="1008" spans="1:17" x14ac:dyDescent="0.35">
      <c r="A1008">
        <v>202411</v>
      </c>
      <c r="B1008">
        <v>36</v>
      </c>
      <c r="C1008" s="2">
        <v>3864369.0987</v>
      </c>
      <c r="D1008" s="2">
        <v>0.73089999999999999</v>
      </c>
      <c r="E1008" s="3">
        <v>168720</v>
      </c>
      <c r="F1008" s="2">
        <v>123316.4602</v>
      </c>
      <c r="G1008" t="s">
        <v>2440</v>
      </c>
      <c r="H1008" t="s">
        <v>3</v>
      </c>
      <c r="I1008">
        <f>HLOOKUP(G1008,zip_tiers!$A$1:$EON$2,2,FALSE)</f>
        <v>104337.66666666667</v>
      </c>
      <c r="J1008" t="str">
        <f t="shared" si="15"/>
        <v>High</v>
      </c>
      <c r="K1008">
        <f>dataset[[#This Row],[soda_sales]]/dataset[[#This Row],[soda_units_sold]]</f>
        <v>0.73089414532954011</v>
      </c>
      <c r="L1008" s="29">
        <f>dataset[[#This Row],[implied_soda_ppu]]-dataset[[#This Row],[soda_ppu]]</f>
        <v>-5.854670459881639E-6</v>
      </c>
      <c r="M1008">
        <f>dataset[[#This Row],[soda_sales]]/dataset[[#This Row],[total_sales]]</f>
        <v>3.1911149543526911E-2</v>
      </c>
      <c r="N1008">
        <f>LN(dataset[[#This Row],[soda_units_sold]])</f>
        <v>12.035995815152656</v>
      </c>
      <c r="O1008">
        <f>LN(dataset[[#This Row],[soda_sales]])</f>
        <v>11.722509177403877</v>
      </c>
      <c r="P1008">
        <f>LN(dataset[[#This Row],[soda_ppu]])</f>
        <v>-0.31347862749579103</v>
      </c>
      <c r="Q1008">
        <f>IF(dataset[[#This Row],[state]]="VA",1,0)</f>
        <v>1</v>
      </c>
    </row>
    <row r="1009" spans="1:17" x14ac:dyDescent="0.35">
      <c r="A1009">
        <v>202412</v>
      </c>
      <c r="B1009">
        <v>36</v>
      </c>
      <c r="C1009" s="2">
        <v>4045826.2947999998</v>
      </c>
      <c r="D1009" s="2">
        <v>0.77569999999999995</v>
      </c>
      <c r="E1009" s="3">
        <v>158033</v>
      </c>
      <c r="F1009" s="2">
        <v>122587.85679999999</v>
      </c>
      <c r="G1009" t="s">
        <v>2440</v>
      </c>
      <c r="H1009" t="s">
        <v>3</v>
      </c>
      <c r="I1009">
        <f>HLOOKUP(G1009,zip_tiers!$A$1:$EON$2,2,FALSE)</f>
        <v>104337.66666666667</v>
      </c>
      <c r="J1009" t="str">
        <f t="shared" si="15"/>
        <v>High</v>
      </c>
      <c r="K1009">
        <f>dataset[[#This Row],[soda_sales]]/dataset[[#This Row],[soda_units_sold]]</f>
        <v>0.77571049590908225</v>
      </c>
      <c r="L1009" s="29">
        <f>dataset[[#This Row],[implied_soda_ppu]]-dataset[[#This Row],[soda_ppu]]</f>
        <v>1.0495909082308685E-5</v>
      </c>
      <c r="M1009">
        <f>dataset[[#This Row],[soda_sales]]/dataset[[#This Row],[total_sales]]</f>
        <v>3.0299831942255932E-2</v>
      </c>
      <c r="N1009">
        <f>LN(dataset[[#This Row],[soda_units_sold]])</f>
        <v>11.970559150960225</v>
      </c>
      <c r="O1009">
        <f>LN(dataset[[#This Row],[soda_sales]])</f>
        <v>11.716583250270419</v>
      </c>
      <c r="P1009">
        <f>LN(dataset[[#This Row],[soda_ppu]])</f>
        <v>-0.25398943148531122</v>
      </c>
      <c r="Q1009">
        <f>IF(dataset[[#This Row],[state]]="VA",1,0)</f>
        <v>1</v>
      </c>
    </row>
    <row r="1010" spans="1:17" x14ac:dyDescent="0.35">
      <c r="A1010">
        <v>202201</v>
      </c>
      <c r="B1010">
        <v>34</v>
      </c>
      <c r="C1010" s="2">
        <v>2116639.8860999998</v>
      </c>
      <c r="D1010" s="2">
        <v>0.70089999999999997</v>
      </c>
      <c r="E1010" s="3">
        <v>143419</v>
      </c>
      <c r="F1010" s="2">
        <v>100520.9201</v>
      </c>
      <c r="G1010" t="s">
        <v>2464</v>
      </c>
      <c r="H1010" t="s">
        <v>3</v>
      </c>
      <c r="I1010">
        <f>HLOOKUP(G1010,zip_tiers!$A$1:$EON$2,2,FALSE)</f>
        <v>90636.666666666672</v>
      </c>
      <c r="J1010" t="str">
        <f t="shared" si="15"/>
        <v>Med</v>
      </c>
      <c r="K1010">
        <f>dataset[[#This Row],[soda_sales]]/dataset[[#This Row],[soda_units_sold]]</f>
        <v>0.70088984095552198</v>
      </c>
      <c r="L1010" s="29">
        <f>dataset[[#This Row],[implied_soda_ppu]]-dataset[[#This Row],[soda_ppu]]</f>
        <v>-1.0159044477986434E-5</v>
      </c>
      <c r="M1010">
        <f>dataset[[#This Row],[soda_sales]]/dataset[[#This Row],[total_sales]]</f>
        <v>4.7490799337252462E-2</v>
      </c>
      <c r="N1010">
        <f>LN(dataset[[#This Row],[soda_units_sold]])</f>
        <v>11.87352569488402</v>
      </c>
      <c r="O1010">
        <f>LN(dataset[[#This Row],[soda_sales]])</f>
        <v>11.518121145017945</v>
      </c>
      <c r="P1010">
        <f>LN(dataset[[#This Row],[soda_ppu]])</f>
        <v>-0.355390055475858</v>
      </c>
      <c r="Q1010">
        <f>IF(dataset[[#This Row],[state]]="VA",1,0)</f>
        <v>1</v>
      </c>
    </row>
    <row r="1011" spans="1:17" x14ac:dyDescent="0.35">
      <c r="A1011">
        <v>202202</v>
      </c>
      <c r="B1011">
        <v>34</v>
      </c>
      <c r="C1011" s="2">
        <v>2408147.0320000001</v>
      </c>
      <c r="D1011" s="2">
        <v>0.70860000000000001</v>
      </c>
      <c r="E1011" s="3">
        <v>164681</v>
      </c>
      <c r="F1011" s="2">
        <v>116697.2222</v>
      </c>
      <c r="G1011" t="s">
        <v>2464</v>
      </c>
      <c r="H1011" t="s">
        <v>3</v>
      </c>
      <c r="I1011">
        <f>HLOOKUP(G1011,zip_tiers!$A$1:$EON$2,2,FALSE)</f>
        <v>90636.666666666672</v>
      </c>
      <c r="J1011" t="str">
        <f t="shared" si="15"/>
        <v>Med</v>
      </c>
      <c r="K1011">
        <f>dataset[[#This Row],[soda_sales]]/dataset[[#This Row],[soda_units_sold]]</f>
        <v>0.70862590219879651</v>
      </c>
      <c r="L1011" s="29">
        <f>dataset[[#This Row],[implied_soda_ppu]]-dataset[[#This Row],[soda_ppu]]</f>
        <v>2.5902198796501352E-5</v>
      </c>
      <c r="M1011">
        <f>dataset[[#This Row],[soda_sales]]/dataset[[#This Row],[total_sales]]</f>
        <v>4.8459342660269925E-2</v>
      </c>
      <c r="N1011">
        <f>LN(dataset[[#This Row],[soda_units_sold]])</f>
        <v>12.011765548248206</v>
      </c>
      <c r="O1011">
        <f>LN(dataset[[#This Row],[soda_sales]])</f>
        <v>11.667338015077901</v>
      </c>
      <c r="P1011">
        <f>LN(dataset[[#This Row],[soda_ppu]])</f>
        <v>-0.34446408655076544</v>
      </c>
      <c r="Q1011">
        <f>IF(dataset[[#This Row],[state]]="VA",1,0)</f>
        <v>1</v>
      </c>
    </row>
    <row r="1012" spans="1:17" x14ac:dyDescent="0.35">
      <c r="A1012">
        <v>202203</v>
      </c>
      <c r="B1012">
        <v>34</v>
      </c>
      <c r="C1012" s="2">
        <v>2662483.6140999999</v>
      </c>
      <c r="D1012" s="2">
        <v>0.7198</v>
      </c>
      <c r="E1012" s="3">
        <v>188330</v>
      </c>
      <c r="F1012" s="2">
        <v>135566.06419999999</v>
      </c>
      <c r="G1012" t="s">
        <v>2464</v>
      </c>
      <c r="H1012" t="s">
        <v>3</v>
      </c>
      <c r="I1012">
        <f>HLOOKUP(G1012,zip_tiers!$A$1:$EON$2,2,FALSE)</f>
        <v>90636.666666666672</v>
      </c>
      <c r="J1012" t="str">
        <f t="shared" si="15"/>
        <v>Med</v>
      </c>
      <c r="K1012">
        <f>dataset[[#This Row],[soda_sales]]/dataset[[#This Row],[soda_units_sold]]</f>
        <v>0.71983255031062499</v>
      </c>
      <c r="L1012" s="29">
        <f>dataset[[#This Row],[implied_soda_ppu]]-dataset[[#This Row],[soda_ppu]]</f>
        <v>3.2550310624990253E-5</v>
      </c>
      <c r="M1012">
        <f>dataset[[#This Row],[soda_sales]]/dataset[[#This Row],[total_sales]]</f>
        <v>5.0917144985256721E-2</v>
      </c>
      <c r="N1012">
        <f>LN(dataset[[#This Row],[soda_units_sold]])</f>
        <v>12.145951022188793</v>
      </c>
      <c r="O1012">
        <f>LN(dataset[[#This Row],[soda_sales]])</f>
        <v>11.817214359155368</v>
      </c>
      <c r="P1012">
        <f>LN(dataset[[#This Row],[soda_ppu]])</f>
        <v>-0.32878188333720676</v>
      </c>
      <c r="Q1012">
        <f>IF(dataset[[#This Row],[state]]="VA",1,0)</f>
        <v>1</v>
      </c>
    </row>
    <row r="1013" spans="1:17" x14ac:dyDescent="0.35">
      <c r="A1013">
        <v>202204</v>
      </c>
      <c r="B1013">
        <v>34</v>
      </c>
      <c r="C1013" s="2">
        <v>2858293.3251</v>
      </c>
      <c r="D1013" s="2">
        <v>0.72470000000000001</v>
      </c>
      <c r="E1013" s="3">
        <v>217719</v>
      </c>
      <c r="F1013" s="2">
        <v>157771.6758</v>
      </c>
      <c r="G1013" t="s">
        <v>2464</v>
      </c>
      <c r="H1013" t="s">
        <v>3</v>
      </c>
      <c r="I1013">
        <f>HLOOKUP(G1013,zip_tiers!$A$1:$EON$2,2,FALSE)</f>
        <v>90636.666666666672</v>
      </c>
      <c r="J1013" t="str">
        <f t="shared" si="15"/>
        <v>Med</v>
      </c>
      <c r="K1013">
        <f>dataset[[#This Row],[soda_sales]]/dataset[[#This Row],[soda_units_sold]]</f>
        <v>0.72465736017527183</v>
      </c>
      <c r="L1013" s="29">
        <f>dataset[[#This Row],[implied_soda_ppu]]-dataset[[#This Row],[soda_ppu]]</f>
        <v>-4.2639824728185616E-5</v>
      </c>
      <c r="M1013">
        <f>dataset[[#This Row],[soda_sales]]/dataset[[#This Row],[total_sales]]</f>
        <v>5.5197860350627313E-2</v>
      </c>
      <c r="N1013">
        <f>LN(dataset[[#This Row],[soda_units_sold]])</f>
        <v>12.290960519482288</v>
      </c>
      <c r="O1013">
        <f>LN(dataset[[#This Row],[soda_sales]])</f>
        <v>11.968904176986303</v>
      </c>
      <c r="P1013">
        <f>LN(dataset[[#This Row],[soda_ppu]])</f>
        <v>-0.32199750286690132</v>
      </c>
      <c r="Q1013">
        <f>IF(dataset[[#This Row],[state]]="VA",1,0)</f>
        <v>1</v>
      </c>
    </row>
    <row r="1014" spans="1:17" x14ac:dyDescent="0.35">
      <c r="A1014">
        <v>202205</v>
      </c>
      <c r="B1014">
        <v>34</v>
      </c>
      <c r="C1014" s="2">
        <v>2956801.5614999998</v>
      </c>
      <c r="D1014" s="2">
        <v>0.71599999999999997</v>
      </c>
      <c r="E1014" s="3">
        <v>241890</v>
      </c>
      <c r="F1014" s="2">
        <v>173199.38130000001</v>
      </c>
      <c r="G1014" t="s">
        <v>2464</v>
      </c>
      <c r="H1014" t="s">
        <v>3</v>
      </c>
      <c r="I1014">
        <f>HLOOKUP(G1014,zip_tiers!$A$1:$EON$2,2,FALSE)</f>
        <v>90636.666666666672</v>
      </c>
      <c r="J1014" t="str">
        <f t="shared" si="15"/>
        <v>Med</v>
      </c>
      <c r="K1014">
        <f>dataset[[#This Row],[soda_sales]]/dataset[[#This Row],[soda_units_sold]]</f>
        <v>0.71602538881309685</v>
      </c>
      <c r="L1014" s="29">
        <f>dataset[[#This Row],[implied_soda_ppu]]-dataset[[#This Row],[soda_ppu]]</f>
        <v>2.5388813096882679E-5</v>
      </c>
      <c r="M1014">
        <f>dataset[[#This Row],[soda_sales]]/dataset[[#This Row],[total_sales]]</f>
        <v>5.8576599645779111E-2</v>
      </c>
      <c r="N1014">
        <f>LN(dataset[[#This Row],[soda_units_sold]])</f>
        <v>12.396238356347178</v>
      </c>
      <c r="O1014">
        <f>LN(dataset[[#This Row],[soda_sales]])</f>
        <v>12.062198702933191</v>
      </c>
      <c r="P1014">
        <f>LN(dataset[[#This Row],[soda_ppu]])</f>
        <v>-0.33407511202149148</v>
      </c>
      <c r="Q1014">
        <f>IF(dataset[[#This Row],[state]]="VA",1,0)</f>
        <v>1</v>
      </c>
    </row>
    <row r="1015" spans="1:17" x14ac:dyDescent="0.35">
      <c r="A1015">
        <v>202206</v>
      </c>
      <c r="B1015">
        <v>34</v>
      </c>
      <c r="C1015" s="2">
        <v>2805620.1858000001</v>
      </c>
      <c r="D1015" s="2">
        <v>0.71940000000000004</v>
      </c>
      <c r="E1015" s="3">
        <v>248329</v>
      </c>
      <c r="F1015" s="2">
        <v>178656.15770000001</v>
      </c>
      <c r="G1015" t="s">
        <v>2464</v>
      </c>
      <c r="H1015" t="s">
        <v>3</v>
      </c>
      <c r="I1015">
        <f>HLOOKUP(G1015,zip_tiers!$A$1:$EON$2,2,FALSE)</f>
        <v>90636.666666666672</v>
      </c>
      <c r="J1015" t="str">
        <f t="shared" si="15"/>
        <v>Med</v>
      </c>
      <c r="K1015">
        <f>dataset[[#This Row],[soda_sales]]/dataset[[#This Row],[soda_units_sold]]</f>
        <v>0.71943332313181307</v>
      </c>
      <c r="L1015" s="29">
        <f>dataset[[#This Row],[implied_soda_ppu]]-dataset[[#This Row],[soda_ppu]]</f>
        <v>3.3323131813034479E-5</v>
      </c>
      <c r="M1015">
        <f>dataset[[#This Row],[soda_sales]]/dataset[[#This Row],[total_sales]]</f>
        <v>6.3677955627859745E-2</v>
      </c>
      <c r="N1015">
        <f>LN(dataset[[#This Row],[soda_units_sold]])</f>
        <v>12.42250975887691</v>
      </c>
      <c r="O1015">
        <f>LN(dataset[[#This Row],[soda_sales]])</f>
        <v>12.09321833081165</v>
      </c>
      <c r="P1015">
        <f>LN(dataset[[#This Row],[soda_ppu]])</f>
        <v>-0.32933774772061342</v>
      </c>
      <c r="Q1015">
        <f>IF(dataset[[#This Row],[state]]="VA",1,0)</f>
        <v>1</v>
      </c>
    </row>
    <row r="1016" spans="1:17" x14ac:dyDescent="0.35">
      <c r="A1016">
        <v>202207</v>
      </c>
      <c r="B1016">
        <v>34</v>
      </c>
      <c r="C1016" s="2">
        <v>2680006.9082999998</v>
      </c>
      <c r="D1016" s="2">
        <v>0.66259999999999997</v>
      </c>
      <c r="E1016" s="3">
        <v>273107</v>
      </c>
      <c r="F1016" s="2">
        <v>180967.82029999999</v>
      </c>
      <c r="G1016" t="s">
        <v>2464</v>
      </c>
      <c r="H1016" t="s">
        <v>3</v>
      </c>
      <c r="I1016">
        <f>HLOOKUP(G1016,zip_tiers!$A$1:$EON$2,2,FALSE)</f>
        <v>90636.666666666672</v>
      </c>
      <c r="J1016" t="str">
        <f t="shared" si="15"/>
        <v>Med</v>
      </c>
      <c r="K1016">
        <f>dataset[[#This Row],[soda_sales]]/dataset[[#This Row],[soda_units_sold]]</f>
        <v>0.66262607805731821</v>
      </c>
      <c r="L1016" s="29">
        <f>dataset[[#This Row],[implied_soda_ppu]]-dataset[[#This Row],[soda_ppu]]</f>
        <v>2.6078057318246195E-5</v>
      </c>
      <c r="M1016">
        <f>dataset[[#This Row],[soda_sales]]/dataset[[#This Row],[total_sales]]</f>
        <v>6.7525132020944206E-2</v>
      </c>
      <c r="N1016">
        <f>LN(dataset[[#This Row],[soda_units_sold]])</f>
        <v>12.517618938770074</v>
      </c>
      <c r="O1016">
        <f>LN(dataset[[#This Row],[soda_sales]])</f>
        <v>12.106074506043942</v>
      </c>
      <c r="P1016">
        <f>LN(dataset[[#This Row],[soda_ppu]])</f>
        <v>-0.41158378911634164</v>
      </c>
      <c r="Q1016">
        <f>IF(dataset[[#This Row],[state]]="VA",1,0)</f>
        <v>1</v>
      </c>
    </row>
    <row r="1017" spans="1:17" x14ac:dyDescent="0.35">
      <c r="A1017">
        <v>202208</v>
      </c>
      <c r="B1017">
        <v>34</v>
      </c>
      <c r="C1017" s="2">
        <v>2551668.84</v>
      </c>
      <c r="D1017" s="2">
        <v>0.7077</v>
      </c>
      <c r="E1017" s="3">
        <v>228605</v>
      </c>
      <c r="F1017" s="2">
        <v>161778.33739999999</v>
      </c>
      <c r="G1017" t="s">
        <v>2464</v>
      </c>
      <c r="H1017" t="s">
        <v>3</v>
      </c>
      <c r="I1017">
        <f>HLOOKUP(G1017,zip_tiers!$A$1:$EON$2,2,FALSE)</f>
        <v>90636.666666666672</v>
      </c>
      <c r="J1017" t="str">
        <f t="shared" si="15"/>
        <v>Med</v>
      </c>
      <c r="K1017">
        <f>dataset[[#This Row],[soda_sales]]/dataset[[#This Row],[soda_units_sold]]</f>
        <v>0.70767628617046863</v>
      </c>
      <c r="L1017" s="29">
        <f>dataset[[#This Row],[implied_soda_ppu]]-dataset[[#This Row],[soda_ppu]]</f>
        <v>-2.3713829531368802E-5</v>
      </c>
      <c r="M1017">
        <f>dataset[[#This Row],[soda_sales]]/dataset[[#This Row],[total_sales]]</f>
        <v>6.3400992661727995E-2</v>
      </c>
      <c r="N1017">
        <f>LN(dataset[[#This Row],[soda_units_sold]])</f>
        <v>12.339750902369619</v>
      </c>
      <c r="O1017">
        <f>LN(dataset[[#This Row],[soda_sales]])</f>
        <v>11.993982389599863</v>
      </c>
      <c r="P1017">
        <f>LN(dataset[[#This Row],[soda_ppu]])</f>
        <v>-0.34573500390039802</v>
      </c>
      <c r="Q1017">
        <f>IF(dataset[[#This Row],[state]]="VA",1,0)</f>
        <v>1</v>
      </c>
    </row>
    <row r="1018" spans="1:17" x14ac:dyDescent="0.35">
      <c r="A1018">
        <v>202209</v>
      </c>
      <c r="B1018">
        <v>34</v>
      </c>
      <c r="C1018" s="2">
        <v>2535794.5765</v>
      </c>
      <c r="D1018" s="2">
        <v>0.70899999999999996</v>
      </c>
      <c r="E1018" s="3">
        <v>220232</v>
      </c>
      <c r="F1018" s="2">
        <v>156144.82870000001</v>
      </c>
      <c r="G1018" t="s">
        <v>2464</v>
      </c>
      <c r="H1018" t="s">
        <v>3</v>
      </c>
      <c r="I1018">
        <f>HLOOKUP(G1018,zip_tiers!$A$1:$EON$2,2,FALSE)</f>
        <v>90636.666666666672</v>
      </c>
      <c r="J1018" t="str">
        <f t="shared" si="15"/>
        <v>Med</v>
      </c>
      <c r="K1018">
        <f>dataset[[#This Row],[soda_sales]]/dataset[[#This Row],[soda_units_sold]]</f>
        <v>0.70900154700497664</v>
      </c>
      <c r="L1018" s="29">
        <f>dataset[[#This Row],[implied_soda_ppu]]-dataset[[#This Row],[soda_ppu]]</f>
        <v>1.5470049766763694E-6</v>
      </c>
      <c r="M1018">
        <f>dataset[[#This Row],[soda_sales]]/dataset[[#This Row],[total_sales]]</f>
        <v>6.1576292554232463E-2</v>
      </c>
      <c r="N1018">
        <f>LN(dataset[[#This Row],[soda_units_sold]])</f>
        <v>12.302436815146585</v>
      </c>
      <c r="O1018">
        <f>LN(dataset[[#This Row],[soda_sales]])</f>
        <v>11.958539244647618</v>
      </c>
      <c r="P1018">
        <f>LN(dataset[[#This Row],[soda_ppu]])</f>
        <v>-0.34389975245000959</v>
      </c>
      <c r="Q1018">
        <f>IF(dataset[[#This Row],[state]]="VA",1,0)</f>
        <v>1</v>
      </c>
    </row>
    <row r="1019" spans="1:17" x14ac:dyDescent="0.35">
      <c r="A1019">
        <v>202210</v>
      </c>
      <c r="B1019">
        <v>34</v>
      </c>
      <c r="C1019" s="2">
        <v>3127588.5720000002</v>
      </c>
      <c r="D1019" s="2">
        <v>0.69810000000000005</v>
      </c>
      <c r="E1019" s="3">
        <v>211453</v>
      </c>
      <c r="F1019" s="2">
        <v>147614.97560000001</v>
      </c>
      <c r="G1019" t="s">
        <v>2464</v>
      </c>
      <c r="H1019" t="s">
        <v>3</v>
      </c>
      <c r="I1019">
        <f>HLOOKUP(G1019,zip_tiers!$A$1:$EON$2,2,FALSE)</f>
        <v>90636.666666666672</v>
      </c>
      <c r="J1019" t="str">
        <f t="shared" si="15"/>
        <v>Med</v>
      </c>
      <c r="K1019">
        <f>dataset[[#This Row],[soda_sales]]/dataset[[#This Row],[soda_units_sold]]</f>
        <v>0.69809827999602747</v>
      </c>
      <c r="L1019" s="29">
        <f>dataset[[#This Row],[implied_soda_ppu]]-dataset[[#This Row],[soda_ppu]]</f>
        <v>-1.7200039725828731E-6</v>
      </c>
      <c r="M1019">
        <f>dataset[[#This Row],[soda_sales]]/dataset[[#This Row],[total_sales]]</f>
        <v>4.7197696308758606E-2</v>
      </c>
      <c r="N1019">
        <f>LN(dataset[[#This Row],[soda_units_sold]])</f>
        <v>12.261758030551231</v>
      </c>
      <c r="O1019">
        <f>LN(dataset[[#This Row],[soda_sales]])</f>
        <v>11.902362646706328</v>
      </c>
      <c r="P1019">
        <f>LN(dataset[[#This Row],[soda_ppu]])</f>
        <v>-0.35939292000578121</v>
      </c>
      <c r="Q1019">
        <f>IF(dataset[[#This Row],[state]]="VA",1,0)</f>
        <v>1</v>
      </c>
    </row>
    <row r="1020" spans="1:17" x14ac:dyDescent="0.35">
      <c r="A1020">
        <v>202211</v>
      </c>
      <c r="B1020">
        <v>34</v>
      </c>
      <c r="C1020" s="2">
        <v>3506286.4142999998</v>
      </c>
      <c r="D1020" s="2">
        <v>0.69089999999999996</v>
      </c>
      <c r="E1020" s="3">
        <v>200237</v>
      </c>
      <c r="F1020" s="2">
        <v>138335.42319999999</v>
      </c>
      <c r="G1020" t="s">
        <v>2464</v>
      </c>
      <c r="H1020" t="s">
        <v>3</v>
      </c>
      <c r="I1020">
        <f>HLOOKUP(G1020,zip_tiers!$A$1:$EON$2,2,FALSE)</f>
        <v>90636.666666666672</v>
      </c>
      <c r="J1020" t="str">
        <f t="shared" si="15"/>
        <v>Med</v>
      </c>
      <c r="K1020">
        <f>dataset[[#This Row],[soda_sales]]/dataset[[#This Row],[soda_units_sold]]</f>
        <v>0.69085844873824509</v>
      </c>
      <c r="L1020" s="29">
        <f>dataset[[#This Row],[implied_soda_ppu]]-dataset[[#This Row],[soda_ppu]]</f>
        <v>-4.1551261754868563E-5</v>
      </c>
      <c r="M1020">
        <f>dataset[[#This Row],[soda_sales]]/dataset[[#This Row],[total_sales]]</f>
        <v>3.9453543394462678E-2</v>
      </c>
      <c r="N1020">
        <f>LN(dataset[[#This Row],[soda_units_sold]])</f>
        <v>12.207256943971849</v>
      </c>
      <c r="O1020">
        <f>LN(dataset[[#This Row],[soda_sales]])</f>
        <v>11.837436617900488</v>
      </c>
      <c r="P1020">
        <f>LN(dataset[[#This Row],[soda_ppu]])</f>
        <v>-0.36976018348738793</v>
      </c>
      <c r="Q1020">
        <f>IF(dataset[[#This Row],[state]]="VA",1,0)</f>
        <v>1</v>
      </c>
    </row>
    <row r="1021" spans="1:17" x14ac:dyDescent="0.35">
      <c r="A1021">
        <v>202212</v>
      </c>
      <c r="B1021">
        <v>34</v>
      </c>
      <c r="C1021" s="2">
        <v>3681114.8128</v>
      </c>
      <c r="D1021" s="2">
        <v>0.71619999999999995</v>
      </c>
      <c r="E1021" s="3">
        <v>192814</v>
      </c>
      <c r="F1021" s="2">
        <v>138100.8517</v>
      </c>
      <c r="G1021" t="s">
        <v>2464</v>
      </c>
      <c r="H1021" t="s">
        <v>3</v>
      </c>
      <c r="I1021">
        <f>HLOOKUP(G1021,zip_tiers!$A$1:$EON$2,2,FALSE)</f>
        <v>90636.666666666672</v>
      </c>
      <c r="J1021" t="str">
        <f t="shared" si="15"/>
        <v>Med</v>
      </c>
      <c r="K1021">
        <f>dataset[[#This Row],[soda_sales]]/dataset[[#This Row],[soda_units_sold]]</f>
        <v>0.71623871554970076</v>
      </c>
      <c r="L1021" s="29">
        <f>dataset[[#This Row],[implied_soda_ppu]]-dataset[[#This Row],[soda_ppu]]</f>
        <v>3.8715549700807372E-5</v>
      </c>
      <c r="M1021">
        <f>dataset[[#This Row],[soda_sales]]/dataset[[#This Row],[total_sales]]</f>
        <v>3.7516040309254872E-2</v>
      </c>
      <c r="N1021">
        <f>LN(dataset[[#This Row],[soda_units_sold]])</f>
        <v>12.16948127263019</v>
      </c>
      <c r="O1021">
        <f>LN(dataset[[#This Row],[soda_sales]])</f>
        <v>11.83573950664846</v>
      </c>
      <c r="P1021">
        <f>LN(dataset[[#This Row],[soda_ppu]])</f>
        <v>-0.33379582141780478</v>
      </c>
      <c r="Q1021">
        <f>IF(dataset[[#This Row],[state]]="VA",1,0)</f>
        <v>1</v>
      </c>
    </row>
    <row r="1022" spans="1:17" x14ac:dyDescent="0.35">
      <c r="A1022">
        <v>202301</v>
      </c>
      <c r="B1022">
        <v>34</v>
      </c>
      <c r="C1022" s="2">
        <v>2171880.9476000001</v>
      </c>
      <c r="D1022" s="2">
        <v>0.75480000000000003</v>
      </c>
      <c r="E1022" s="3">
        <v>140562</v>
      </c>
      <c r="F1022" s="2">
        <v>106102.5033</v>
      </c>
      <c r="G1022" t="s">
        <v>2464</v>
      </c>
      <c r="H1022" t="s">
        <v>3</v>
      </c>
      <c r="I1022">
        <f>HLOOKUP(G1022,zip_tiers!$A$1:$EON$2,2,FALSE)</f>
        <v>90636.666666666672</v>
      </c>
      <c r="J1022" t="str">
        <f t="shared" si="15"/>
        <v>Med</v>
      </c>
      <c r="K1022">
        <f>dataset[[#This Row],[soda_sales]]/dataset[[#This Row],[soda_units_sold]]</f>
        <v>0.75484486063089595</v>
      </c>
      <c r="L1022" s="29">
        <f>dataset[[#This Row],[implied_soda_ppu]]-dataset[[#This Row],[soda_ppu]]</f>
        <v>4.4860630895926512E-5</v>
      </c>
      <c r="M1022">
        <f>dataset[[#This Row],[soda_sales]]/dataset[[#This Row],[total_sales]]</f>
        <v>4.8852817378064281E-2</v>
      </c>
      <c r="N1022">
        <f>LN(dataset[[#This Row],[soda_units_sold]])</f>
        <v>11.853403951558839</v>
      </c>
      <c r="O1022">
        <f>LN(dataset[[#This Row],[soda_sales]])</f>
        <v>11.572160918103199</v>
      </c>
      <c r="P1022">
        <f>LN(dataset[[#This Row],[soda_ppu]])</f>
        <v>-0.28130246548774185</v>
      </c>
      <c r="Q1022">
        <f>IF(dataset[[#This Row],[state]]="VA",1,0)</f>
        <v>1</v>
      </c>
    </row>
    <row r="1023" spans="1:17" x14ac:dyDescent="0.35">
      <c r="A1023">
        <v>202302</v>
      </c>
      <c r="B1023">
        <v>34</v>
      </c>
      <c r="C1023" s="2">
        <v>2409328.1874000002</v>
      </c>
      <c r="D1023" s="2">
        <v>0.7046</v>
      </c>
      <c r="E1023" s="3">
        <v>160689</v>
      </c>
      <c r="F1023" s="2">
        <v>113228.8325</v>
      </c>
      <c r="G1023" t="s">
        <v>2464</v>
      </c>
      <c r="H1023" t="s">
        <v>3</v>
      </c>
      <c r="I1023">
        <f>HLOOKUP(G1023,zip_tiers!$A$1:$EON$2,2,FALSE)</f>
        <v>90636.666666666672</v>
      </c>
      <c r="J1023" t="str">
        <f t="shared" si="15"/>
        <v>Med</v>
      </c>
      <c r="K1023">
        <f>dataset[[#This Row],[soda_sales]]/dataset[[#This Row],[soda_units_sold]]</f>
        <v>0.7046458220537809</v>
      </c>
      <c r="L1023" s="29">
        <f>dataset[[#This Row],[implied_soda_ppu]]-dataset[[#This Row],[soda_ppu]]</f>
        <v>4.5822053780897321E-5</v>
      </c>
      <c r="M1023">
        <f>dataset[[#This Row],[soda_sales]]/dataset[[#This Row],[total_sales]]</f>
        <v>4.6996018679460037E-2</v>
      </c>
      <c r="N1023">
        <f>LN(dataset[[#This Row],[soda_units_sold]])</f>
        <v>11.987226098853824</v>
      </c>
      <c r="O1023">
        <f>LN(dataset[[#This Row],[soda_sales]])</f>
        <v>11.63716611638325</v>
      </c>
      <c r="P1023">
        <f>LN(dataset[[#This Row],[soda_ppu]])</f>
        <v>-0.35012501307499977</v>
      </c>
      <c r="Q1023">
        <f>IF(dataset[[#This Row],[state]]="VA",1,0)</f>
        <v>1</v>
      </c>
    </row>
    <row r="1024" spans="1:17" x14ac:dyDescent="0.35">
      <c r="A1024">
        <v>202303</v>
      </c>
      <c r="B1024">
        <v>34</v>
      </c>
      <c r="C1024" s="2">
        <v>2677945.1838000002</v>
      </c>
      <c r="D1024" s="2">
        <v>0.72450000000000003</v>
      </c>
      <c r="E1024" s="3">
        <v>187416</v>
      </c>
      <c r="F1024" s="2">
        <v>135789.99979999999</v>
      </c>
      <c r="G1024" t="s">
        <v>2464</v>
      </c>
      <c r="H1024" t="s">
        <v>3</v>
      </c>
      <c r="I1024">
        <f>HLOOKUP(G1024,zip_tiers!$A$1:$EON$2,2,FALSE)</f>
        <v>90636.666666666672</v>
      </c>
      <c r="J1024" t="str">
        <f t="shared" si="15"/>
        <v>Med</v>
      </c>
      <c r="K1024">
        <f>dataset[[#This Row],[soda_sales]]/dataset[[#This Row],[soda_units_sold]]</f>
        <v>0.72453792525718186</v>
      </c>
      <c r="L1024" s="29">
        <f>dataset[[#This Row],[implied_soda_ppu]]-dataset[[#This Row],[soda_ppu]]</f>
        <v>3.79252571818256E-5</v>
      </c>
      <c r="M1024">
        <f>dataset[[#This Row],[soda_sales]]/dataset[[#This Row],[total_sales]]</f>
        <v>5.0706788406816521E-2</v>
      </c>
      <c r="N1024">
        <f>LN(dataset[[#This Row],[soda_units_sold]])</f>
        <v>12.141086024010621</v>
      </c>
      <c r="O1024">
        <f>LN(dataset[[#This Row],[soda_sales]])</f>
        <v>11.818864852219978</v>
      </c>
      <c r="P1024">
        <f>LN(dataset[[#This Row],[soda_ppu]])</f>
        <v>-0.32227351722139996</v>
      </c>
      <c r="Q1024">
        <f>IF(dataset[[#This Row],[state]]="VA",1,0)</f>
        <v>1</v>
      </c>
    </row>
    <row r="1025" spans="1:17" x14ac:dyDescent="0.35">
      <c r="A1025">
        <v>202304</v>
      </c>
      <c r="B1025">
        <v>34</v>
      </c>
      <c r="C1025" s="2">
        <v>2863163.22</v>
      </c>
      <c r="D1025" s="2">
        <v>0.69340000000000002</v>
      </c>
      <c r="E1025" s="3">
        <v>227468</v>
      </c>
      <c r="F1025" s="2">
        <v>157722.7028</v>
      </c>
      <c r="G1025" t="s">
        <v>2464</v>
      </c>
      <c r="H1025" t="s">
        <v>3</v>
      </c>
      <c r="I1025">
        <f>HLOOKUP(G1025,zip_tiers!$A$1:$EON$2,2,FALSE)</f>
        <v>90636.666666666672</v>
      </c>
      <c r="J1025" t="str">
        <f t="shared" si="15"/>
        <v>Med</v>
      </c>
      <c r="K1025">
        <f>dataset[[#This Row],[soda_sales]]/dataset[[#This Row],[soda_units_sold]]</f>
        <v>0.69338413666977328</v>
      </c>
      <c r="L1025" s="29">
        <f>dataset[[#This Row],[implied_soda_ppu]]-dataset[[#This Row],[soda_ppu]]</f>
        <v>-1.5863330226739691E-5</v>
      </c>
      <c r="M1025">
        <f>dataset[[#This Row],[soda_sales]]/dataset[[#This Row],[total_sales]]</f>
        <v>5.5086870946882305E-2</v>
      </c>
      <c r="N1025">
        <f>LN(dataset[[#This Row],[soda_units_sold]])</f>
        <v>12.334764848139031</v>
      </c>
      <c r="O1025">
        <f>LN(dataset[[#This Row],[soda_sales]])</f>
        <v>11.968593724542679</v>
      </c>
      <c r="P1025">
        <f>LN(dataset[[#This Row],[soda_ppu]])</f>
        <v>-0.36614824573121396</v>
      </c>
      <c r="Q1025">
        <f>IF(dataset[[#This Row],[state]]="VA",1,0)</f>
        <v>1</v>
      </c>
    </row>
    <row r="1026" spans="1:17" x14ac:dyDescent="0.35">
      <c r="A1026">
        <v>202305</v>
      </c>
      <c r="B1026">
        <v>34</v>
      </c>
      <c r="C1026" s="2">
        <v>2988876.4563000002</v>
      </c>
      <c r="D1026" s="2">
        <v>0.6774</v>
      </c>
      <c r="E1026" s="3">
        <v>253974</v>
      </c>
      <c r="F1026" s="2">
        <v>172038.4859</v>
      </c>
      <c r="G1026" t="s">
        <v>2464</v>
      </c>
      <c r="H1026" t="s">
        <v>3</v>
      </c>
      <c r="I1026">
        <f>HLOOKUP(G1026,zip_tiers!$A$1:$EON$2,2,FALSE)</f>
        <v>90636.666666666672</v>
      </c>
      <c r="J1026" t="str">
        <f t="shared" ref="J1026:J1089" si="16">IF(I1026="","No Data",IF(I1026&gt;=100000,"High",IF(I1026&gt;=40000,"Med","Low")))</f>
        <v>Med</v>
      </c>
      <c r="K1026">
        <f>dataset[[#This Row],[soda_sales]]/dataset[[#This Row],[soda_units_sold]]</f>
        <v>0.67738621236819518</v>
      </c>
      <c r="L1026" s="29">
        <f>dataset[[#This Row],[implied_soda_ppu]]-dataset[[#This Row],[soda_ppu]]</f>
        <v>-1.3787631804818012E-5</v>
      </c>
      <c r="M1026">
        <f>dataset[[#This Row],[soda_sales]]/dataset[[#This Row],[total_sales]]</f>
        <v>5.7559584149881673E-2</v>
      </c>
      <c r="N1026">
        <f>LN(dataset[[#This Row],[soda_units_sold]])</f>
        <v>12.44498717855658</v>
      </c>
      <c r="O1026">
        <f>LN(dataset[[#This Row],[soda_sales]])</f>
        <v>12.055473485998681</v>
      </c>
      <c r="P1026">
        <f>LN(dataset[[#This Row],[soda_ppu]])</f>
        <v>-0.38949333859846569</v>
      </c>
      <c r="Q1026">
        <f>IF(dataset[[#This Row],[state]]="VA",1,0)</f>
        <v>1</v>
      </c>
    </row>
    <row r="1027" spans="1:17" x14ac:dyDescent="0.35">
      <c r="A1027">
        <v>202306</v>
      </c>
      <c r="B1027">
        <v>34</v>
      </c>
      <c r="C1027" s="2">
        <v>2890553.8624</v>
      </c>
      <c r="D1027" s="2">
        <v>0.72330000000000005</v>
      </c>
      <c r="E1027" s="3">
        <v>252403</v>
      </c>
      <c r="F1027" s="2">
        <v>182560.36069999999</v>
      </c>
      <c r="G1027" t="s">
        <v>2464</v>
      </c>
      <c r="H1027" t="s">
        <v>3</v>
      </c>
      <c r="I1027">
        <f>HLOOKUP(G1027,zip_tiers!$A$1:$EON$2,2,FALSE)</f>
        <v>90636.666666666672</v>
      </c>
      <c r="J1027" t="str">
        <f t="shared" si="16"/>
        <v>Med</v>
      </c>
      <c r="K1027">
        <f>dataset[[#This Row],[soda_sales]]/dataset[[#This Row],[soda_units_sold]]</f>
        <v>0.72328918713327495</v>
      </c>
      <c r="L1027" s="29">
        <f>dataset[[#This Row],[implied_soda_ppu]]-dataset[[#This Row],[soda_ppu]]</f>
        <v>-1.0812866725107284E-5</v>
      </c>
      <c r="M1027">
        <f>dataset[[#This Row],[soda_sales]]/dataset[[#This Row],[total_sales]]</f>
        <v>6.3157570967531398E-2</v>
      </c>
      <c r="N1027">
        <f>LN(dataset[[#This Row],[soda_units_sold]])</f>
        <v>12.438782295473963</v>
      </c>
      <c r="O1027">
        <f>LN(dataset[[#This Row],[soda_sales]])</f>
        <v>12.114836140882732</v>
      </c>
      <c r="P1027">
        <f>LN(dataset[[#This Row],[soda_ppu]])</f>
        <v>-0.32393120512690193</v>
      </c>
      <c r="Q1027">
        <f>IF(dataset[[#This Row],[state]]="VA",1,0)</f>
        <v>1</v>
      </c>
    </row>
    <row r="1028" spans="1:17" x14ac:dyDescent="0.35">
      <c r="A1028">
        <v>202307</v>
      </c>
      <c r="B1028">
        <v>34</v>
      </c>
      <c r="C1028" s="2">
        <v>2716601.4471</v>
      </c>
      <c r="D1028" s="2">
        <v>0.69689999999999996</v>
      </c>
      <c r="E1028" s="3">
        <v>265865</v>
      </c>
      <c r="F1028" s="2">
        <v>185270.6703</v>
      </c>
      <c r="G1028" t="s">
        <v>2464</v>
      </c>
      <c r="H1028" t="s">
        <v>3</v>
      </c>
      <c r="I1028">
        <f>HLOOKUP(G1028,zip_tiers!$A$1:$EON$2,2,FALSE)</f>
        <v>90636.666666666672</v>
      </c>
      <c r="J1028" t="str">
        <f t="shared" si="16"/>
        <v>Med</v>
      </c>
      <c r="K1028">
        <f>dataset[[#This Row],[soda_sales]]/dataset[[#This Row],[soda_units_sold]]</f>
        <v>0.69685994884621894</v>
      </c>
      <c r="L1028" s="29">
        <f>dataset[[#This Row],[implied_soda_ppu]]-dataset[[#This Row],[soda_ppu]]</f>
        <v>-4.0051153781028859E-5</v>
      </c>
      <c r="M1028">
        <f>dataset[[#This Row],[soda_sales]]/dataset[[#This Row],[total_sales]]</f>
        <v>6.8199430025990132E-2</v>
      </c>
      <c r="N1028">
        <f>LN(dataset[[#This Row],[soda_units_sold]])</f>
        <v>12.490743940135587</v>
      </c>
      <c r="O1028">
        <f>LN(dataset[[#This Row],[soda_sales]])</f>
        <v>12.129573117500486</v>
      </c>
      <c r="P1028">
        <f>LN(dataset[[#This Row],[soda_ppu]])</f>
        <v>-0.36111335053766397</v>
      </c>
      <c r="Q1028">
        <f>IF(dataset[[#This Row],[state]]="VA",1,0)</f>
        <v>1</v>
      </c>
    </row>
    <row r="1029" spans="1:17" x14ac:dyDescent="0.35">
      <c r="A1029">
        <v>202308</v>
      </c>
      <c r="B1029">
        <v>34</v>
      </c>
      <c r="C1029" s="2">
        <v>2612480.5676000002</v>
      </c>
      <c r="D1029" s="2">
        <v>0.7</v>
      </c>
      <c r="E1029" s="3">
        <v>235491</v>
      </c>
      <c r="F1029" s="2">
        <v>164850.9601</v>
      </c>
      <c r="G1029" t="s">
        <v>2464</v>
      </c>
      <c r="H1029" t="s">
        <v>3</v>
      </c>
      <c r="I1029">
        <f>HLOOKUP(G1029,zip_tiers!$A$1:$EON$2,2,FALSE)</f>
        <v>90636.666666666672</v>
      </c>
      <c r="J1029" t="str">
        <f t="shared" si="16"/>
        <v>Med</v>
      </c>
      <c r="K1029">
        <f>dataset[[#This Row],[soda_sales]]/dataset[[#This Row],[soda_units_sold]]</f>
        <v>0.70003082962830854</v>
      </c>
      <c r="L1029" s="29">
        <f>dataset[[#This Row],[implied_soda_ppu]]-dataset[[#This Row],[soda_ppu]]</f>
        <v>3.0829628308581825E-5</v>
      </c>
      <c r="M1029">
        <f>dataset[[#This Row],[soda_sales]]/dataset[[#This Row],[total_sales]]</f>
        <v>6.3101315333971328E-2</v>
      </c>
      <c r="N1029">
        <f>LN(dataset[[#This Row],[soda_units_sold]])</f>
        <v>12.369427975147829</v>
      </c>
      <c r="O1029">
        <f>LN(dataset[[#This Row],[soda_sales]])</f>
        <v>12.012797072565416</v>
      </c>
      <c r="P1029">
        <f>LN(dataset[[#This Row],[soda_ppu]])</f>
        <v>-0.35667494393873245</v>
      </c>
      <c r="Q1029">
        <f>IF(dataset[[#This Row],[state]]="VA",1,0)</f>
        <v>1</v>
      </c>
    </row>
    <row r="1030" spans="1:17" x14ac:dyDescent="0.35">
      <c r="A1030">
        <v>202309</v>
      </c>
      <c r="B1030">
        <v>34</v>
      </c>
      <c r="C1030" s="2">
        <v>2586989.2157999999</v>
      </c>
      <c r="D1030" s="2">
        <v>0.73460000000000003</v>
      </c>
      <c r="E1030" s="3">
        <v>217694</v>
      </c>
      <c r="F1030" s="2">
        <v>159927.00580000001</v>
      </c>
      <c r="G1030" t="s">
        <v>2464</v>
      </c>
      <c r="H1030" t="s">
        <v>3</v>
      </c>
      <c r="I1030">
        <f>HLOOKUP(G1030,zip_tiers!$A$1:$EON$2,2,FALSE)</f>
        <v>90636.666666666672</v>
      </c>
      <c r="J1030" t="str">
        <f t="shared" si="16"/>
        <v>Med</v>
      </c>
      <c r="K1030">
        <f>dataset[[#This Row],[soda_sales]]/dataset[[#This Row],[soda_units_sold]]</f>
        <v>0.73464131211700834</v>
      </c>
      <c r="L1030" s="29">
        <f>dataset[[#This Row],[implied_soda_ppu]]-dataset[[#This Row],[soda_ppu]]</f>
        <v>4.1312117008307503E-5</v>
      </c>
      <c r="M1030">
        <f>dataset[[#This Row],[soda_sales]]/dataset[[#This Row],[total_sales]]</f>
        <v>6.181974197002759E-2</v>
      </c>
      <c r="N1030">
        <f>LN(dataset[[#This Row],[soda_units_sold]])</f>
        <v>12.290845685979258</v>
      </c>
      <c r="O1030">
        <f>LN(dataset[[#This Row],[soda_sales]])</f>
        <v>11.982472776368809</v>
      </c>
      <c r="P1030">
        <f>LN(dataset[[#This Row],[soda_ppu]])</f>
        <v>-0.30842914559657009</v>
      </c>
      <c r="Q1030">
        <f>IF(dataset[[#This Row],[state]]="VA",1,0)</f>
        <v>1</v>
      </c>
    </row>
    <row r="1031" spans="1:17" x14ac:dyDescent="0.35">
      <c r="A1031">
        <v>202310</v>
      </c>
      <c r="B1031">
        <v>34</v>
      </c>
      <c r="C1031" s="2">
        <v>3167255.6318000001</v>
      </c>
      <c r="D1031" s="2">
        <v>0.70740000000000003</v>
      </c>
      <c r="E1031" s="3">
        <v>214818</v>
      </c>
      <c r="F1031" s="2">
        <v>151970.69</v>
      </c>
      <c r="G1031" t="s">
        <v>2464</v>
      </c>
      <c r="H1031" t="s">
        <v>3</v>
      </c>
      <c r="I1031">
        <f>HLOOKUP(G1031,zip_tiers!$A$1:$EON$2,2,FALSE)</f>
        <v>90636.666666666672</v>
      </c>
      <c r="J1031" t="str">
        <f t="shared" si="16"/>
        <v>Med</v>
      </c>
      <c r="K1031">
        <f>dataset[[#This Row],[soda_sales]]/dataset[[#This Row],[soda_units_sold]]</f>
        <v>0.7074392741762795</v>
      </c>
      <c r="L1031" s="29">
        <f>dataset[[#This Row],[implied_soda_ppu]]-dataset[[#This Row],[soda_ppu]]</f>
        <v>3.9274176279469053E-5</v>
      </c>
      <c r="M1031">
        <f>dataset[[#This Row],[soda_sales]]/dataset[[#This Row],[total_sales]]</f>
        <v>4.7981820120289037E-2</v>
      </c>
      <c r="N1031">
        <f>LN(dataset[[#This Row],[soda_units_sold]])</f>
        <v>12.277546436988597</v>
      </c>
      <c r="O1031">
        <f>LN(dataset[[#This Row],[soda_sales]])</f>
        <v>11.931442952287153</v>
      </c>
      <c r="P1031">
        <f>LN(dataset[[#This Row],[soda_ppu]])</f>
        <v>-0.34615900221075679</v>
      </c>
      <c r="Q1031">
        <f>IF(dataset[[#This Row],[state]]="VA",1,0)</f>
        <v>1</v>
      </c>
    </row>
    <row r="1032" spans="1:17" x14ac:dyDescent="0.35">
      <c r="A1032">
        <v>202311</v>
      </c>
      <c r="B1032">
        <v>34</v>
      </c>
      <c r="C1032" s="2">
        <v>3521595.9648000002</v>
      </c>
      <c r="D1032" s="2">
        <v>0.72350000000000003</v>
      </c>
      <c r="E1032" s="3">
        <v>196122</v>
      </c>
      <c r="F1032" s="2">
        <v>141903.65669999999</v>
      </c>
      <c r="G1032" t="s">
        <v>2464</v>
      </c>
      <c r="H1032" t="s">
        <v>3</v>
      </c>
      <c r="I1032">
        <f>HLOOKUP(G1032,zip_tiers!$A$1:$EON$2,2,FALSE)</f>
        <v>90636.666666666672</v>
      </c>
      <c r="J1032" t="str">
        <f t="shared" si="16"/>
        <v>Med</v>
      </c>
      <c r="K1032">
        <f>dataset[[#This Row],[soda_sales]]/dataset[[#This Row],[soda_units_sold]]</f>
        <v>0.72354787683176791</v>
      </c>
      <c r="L1032" s="29">
        <f>dataset[[#This Row],[implied_soda_ppu]]-dataset[[#This Row],[soda_ppu]]</f>
        <v>4.7876831767879047E-5</v>
      </c>
      <c r="M1032">
        <f>dataset[[#This Row],[soda_sales]]/dataset[[#This Row],[total_sales]]</f>
        <v>4.0295268996896137E-2</v>
      </c>
      <c r="N1032">
        <f>LN(dataset[[#This Row],[soda_units_sold]])</f>
        <v>12.18649219355123</v>
      </c>
      <c r="O1032">
        <f>LN(dataset[[#This Row],[soda_sales]])</f>
        <v>11.862903632372131</v>
      </c>
      <c r="P1032">
        <f>LN(dataset[[#This Row],[soda_ppu]])</f>
        <v>-0.32365473291059843</v>
      </c>
      <c r="Q1032">
        <f>IF(dataset[[#This Row],[state]]="VA",1,0)</f>
        <v>1</v>
      </c>
    </row>
    <row r="1033" spans="1:17" x14ac:dyDescent="0.35">
      <c r="A1033">
        <v>202312</v>
      </c>
      <c r="B1033">
        <v>34</v>
      </c>
      <c r="C1033" s="2">
        <v>3835256.4893999998</v>
      </c>
      <c r="D1033" s="2">
        <v>0.7238</v>
      </c>
      <c r="E1033" s="3">
        <v>193338</v>
      </c>
      <c r="F1033" s="2">
        <v>139940.4835</v>
      </c>
      <c r="G1033" t="s">
        <v>2464</v>
      </c>
      <c r="H1033" t="s">
        <v>3</v>
      </c>
      <c r="I1033">
        <f>HLOOKUP(G1033,zip_tiers!$A$1:$EON$2,2,FALSE)</f>
        <v>90636.666666666672</v>
      </c>
      <c r="J1033" t="str">
        <f t="shared" si="16"/>
        <v>Med</v>
      </c>
      <c r="K1033">
        <f>dataset[[#This Row],[soda_sales]]/dataset[[#This Row],[soda_units_sold]]</f>
        <v>0.72381261572996514</v>
      </c>
      <c r="L1033" s="29">
        <f>dataset[[#This Row],[implied_soda_ppu]]-dataset[[#This Row],[soda_ppu]]</f>
        <v>1.261572996513749E-5</v>
      </c>
      <c r="M1033">
        <f>dataset[[#This Row],[soda_sales]]/dataset[[#This Row],[total_sales]]</f>
        <v>3.6487907363372395E-2</v>
      </c>
      <c r="N1033">
        <f>LN(dataset[[#This Row],[soda_units_sold]])</f>
        <v>12.172195231494213</v>
      </c>
      <c r="O1033">
        <f>LN(dataset[[#This Row],[soda_sales]])</f>
        <v>11.848972493346084</v>
      </c>
      <c r="P1033">
        <f>LN(dataset[[#This Row],[soda_ppu]])</f>
        <v>-0.32324016785249499</v>
      </c>
      <c r="Q1033">
        <f>IF(dataset[[#This Row],[state]]="VA",1,0)</f>
        <v>1</v>
      </c>
    </row>
    <row r="1034" spans="1:17" x14ac:dyDescent="0.35">
      <c r="A1034">
        <v>202401</v>
      </c>
      <c r="B1034">
        <v>34</v>
      </c>
      <c r="C1034" s="2">
        <v>2194750.2157000001</v>
      </c>
      <c r="D1034" s="2">
        <v>0.74280000000000002</v>
      </c>
      <c r="E1034" s="3">
        <v>141544</v>
      </c>
      <c r="F1034" s="2">
        <v>105142.1323</v>
      </c>
      <c r="G1034" t="s">
        <v>2464</v>
      </c>
      <c r="H1034" t="s">
        <v>3</v>
      </c>
      <c r="I1034">
        <f>HLOOKUP(G1034,zip_tiers!$A$1:$EON$2,2,FALSE)</f>
        <v>90636.666666666672</v>
      </c>
      <c r="J1034" t="str">
        <f t="shared" si="16"/>
        <v>Med</v>
      </c>
      <c r="K1034">
        <f>dataset[[#This Row],[soda_sales]]/dataset[[#This Row],[soda_units_sold]]</f>
        <v>0.74282295469959869</v>
      </c>
      <c r="L1034" s="29">
        <f>dataset[[#This Row],[implied_soda_ppu]]-dataset[[#This Row],[soda_ppu]]</f>
        <v>2.2954699598676243E-5</v>
      </c>
      <c r="M1034">
        <f>dataset[[#This Row],[soda_sales]]/dataset[[#This Row],[total_sales]]</f>
        <v>4.7906195223434873E-2</v>
      </c>
      <c r="N1034">
        <f>LN(dataset[[#This Row],[soda_units_sold]])</f>
        <v>11.860365901792839</v>
      </c>
      <c r="O1034">
        <f>LN(dataset[[#This Row],[soda_sales]])</f>
        <v>11.563068354746067</v>
      </c>
      <c r="P1034">
        <f>LN(dataset[[#This Row],[soda_ppu]])</f>
        <v>-0.29732844950358628</v>
      </c>
      <c r="Q1034">
        <f>IF(dataset[[#This Row],[state]]="VA",1,0)</f>
        <v>1</v>
      </c>
    </row>
    <row r="1035" spans="1:17" x14ac:dyDescent="0.35">
      <c r="A1035">
        <v>202402</v>
      </c>
      <c r="B1035">
        <v>34</v>
      </c>
      <c r="C1035" s="2">
        <v>2483022.8834000002</v>
      </c>
      <c r="D1035" s="2">
        <v>0.74750000000000005</v>
      </c>
      <c r="E1035" s="3">
        <v>159402</v>
      </c>
      <c r="F1035" s="2">
        <v>119157.5831</v>
      </c>
      <c r="G1035" t="s">
        <v>2464</v>
      </c>
      <c r="H1035" t="s">
        <v>3</v>
      </c>
      <c r="I1035">
        <f>HLOOKUP(G1035,zip_tiers!$A$1:$EON$2,2,FALSE)</f>
        <v>90636.666666666672</v>
      </c>
      <c r="J1035" t="str">
        <f t="shared" si="16"/>
        <v>Med</v>
      </c>
      <c r="K1035">
        <f>dataset[[#This Row],[soda_sales]]/dataset[[#This Row],[soda_units_sold]]</f>
        <v>0.74752878320221827</v>
      </c>
      <c r="L1035" s="29">
        <f>dataset[[#This Row],[implied_soda_ppu]]-dataset[[#This Row],[soda_ppu]]</f>
        <v>2.878320221821884E-5</v>
      </c>
      <c r="M1035">
        <f>dataset[[#This Row],[soda_sales]]/dataset[[#This Row],[total_sales]]</f>
        <v>4.7988918626814134E-2</v>
      </c>
      <c r="N1035">
        <f>LN(dataset[[#This Row],[soda_units_sold]])</f>
        <v>11.979184592310981</v>
      </c>
      <c r="O1035">
        <f>LN(dataset[[#This Row],[soda_sales]])</f>
        <v>11.688202123808495</v>
      </c>
      <c r="P1035">
        <f>LN(dataset[[#This Row],[soda_ppu]])</f>
        <v>-0.29102097371729546</v>
      </c>
      <c r="Q1035">
        <f>IF(dataset[[#This Row],[state]]="VA",1,0)</f>
        <v>1</v>
      </c>
    </row>
    <row r="1036" spans="1:17" x14ac:dyDescent="0.35">
      <c r="A1036">
        <v>202403</v>
      </c>
      <c r="B1036">
        <v>34</v>
      </c>
      <c r="C1036" s="2">
        <v>2819722.0169000002</v>
      </c>
      <c r="D1036" s="2">
        <v>0.74819999999999998</v>
      </c>
      <c r="E1036" s="3">
        <v>187939</v>
      </c>
      <c r="F1036" s="2">
        <v>140617.51449999999</v>
      </c>
      <c r="G1036" t="s">
        <v>2464</v>
      </c>
      <c r="H1036" t="s">
        <v>3</v>
      </c>
      <c r="I1036">
        <f>HLOOKUP(G1036,zip_tiers!$A$1:$EON$2,2,FALSE)</f>
        <v>90636.666666666672</v>
      </c>
      <c r="J1036" t="str">
        <f t="shared" si="16"/>
        <v>Med</v>
      </c>
      <c r="K1036">
        <f>dataset[[#This Row],[soda_sales]]/dataset[[#This Row],[soda_units_sold]]</f>
        <v>0.74820827236496945</v>
      </c>
      <c r="L1036" s="29">
        <f>dataset[[#This Row],[implied_soda_ppu]]-dataset[[#This Row],[soda_ppu]]</f>
        <v>8.2723649694749213E-6</v>
      </c>
      <c r="M1036">
        <f>dataset[[#This Row],[soda_sales]]/dataset[[#This Row],[total_sales]]</f>
        <v>4.9869282736812036E-2</v>
      </c>
      <c r="N1036">
        <f>LN(dataset[[#This Row],[soda_units_sold]])</f>
        <v>12.143872721075821</v>
      </c>
      <c r="O1036">
        <f>LN(dataset[[#This Row],[soda_sales]])</f>
        <v>11.853798820301821</v>
      </c>
      <c r="P1036">
        <f>LN(dataset[[#This Row],[soda_ppu]])</f>
        <v>-0.29008495706809134</v>
      </c>
      <c r="Q1036">
        <f>IF(dataset[[#This Row],[state]]="VA",1,0)</f>
        <v>1</v>
      </c>
    </row>
    <row r="1037" spans="1:17" x14ac:dyDescent="0.35">
      <c r="A1037">
        <v>202404</v>
      </c>
      <c r="B1037">
        <v>34</v>
      </c>
      <c r="C1037" s="2">
        <v>2969571.7204</v>
      </c>
      <c r="D1037" s="2">
        <v>0.74560000000000004</v>
      </c>
      <c r="E1037" s="3">
        <v>224161</v>
      </c>
      <c r="F1037" s="2">
        <v>167135.09650000001</v>
      </c>
      <c r="G1037" t="s">
        <v>2464</v>
      </c>
      <c r="H1037" t="s">
        <v>3</v>
      </c>
      <c r="I1037">
        <f>HLOOKUP(G1037,zip_tiers!$A$1:$EON$2,2,FALSE)</f>
        <v>90636.666666666672</v>
      </c>
      <c r="J1037" t="str">
        <f t="shared" si="16"/>
        <v>Med</v>
      </c>
      <c r="K1037">
        <f>dataset[[#This Row],[soda_sales]]/dataset[[#This Row],[soda_units_sold]]</f>
        <v>0.74560292156084251</v>
      </c>
      <c r="L1037" s="29">
        <f>dataset[[#This Row],[implied_soda_ppu]]-dataset[[#This Row],[soda_ppu]]</f>
        <v>2.9215608424726369E-6</v>
      </c>
      <c r="M1037">
        <f>dataset[[#This Row],[soda_sales]]/dataset[[#This Row],[total_sales]]</f>
        <v>5.6282559317168801E-2</v>
      </c>
      <c r="N1037">
        <f>LN(dataset[[#This Row],[soda_units_sold]])</f>
        <v>12.320119822660098</v>
      </c>
      <c r="O1037">
        <f>LN(dataset[[#This Row],[soda_sales]])</f>
        <v>12.026557725444084</v>
      </c>
      <c r="P1037">
        <f>LN(dataset[[#This Row],[soda_ppu]])</f>
        <v>-0.29356601561075557</v>
      </c>
      <c r="Q1037">
        <f>IF(dataset[[#This Row],[state]]="VA",1,0)</f>
        <v>1</v>
      </c>
    </row>
    <row r="1038" spans="1:17" x14ac:dyDescent="0.35">
      <c r="A1038">
        <v>202405</v>
      </c>
      <c r="B1038">
        <v>34</v>
      </c>
      <c r="C1038" s="2">
        <v>3120187.0806</v>
      </c>
      <c r="D1038" s="2">
        <v>0.72970000000000002</v>
      </c>
      <c r="E1038" s="3">
        <v>252046</v>
      </c>
      <c r="F1038" s="2">
        <v>183923.31289999999</v>
      </c>
      <c r="G1038" t="s">
        <v>2464</v>
      </c>
      <c r="H1038" t="s">
        <v>3</v>
      </c>
      <c r="I1038">
        <f>HLOOKUP(G1038,zip_tiers!$A$1:$EON$2,2,FALSE)</f>
        <v>90636.666666666672</v>
      </c>
      <c r="J1038" t="str">
        <f t="shared" si="16"/>
        <v>Med</v>
      </c>
      <c r="K1038">
        <f>dataset[[#This Row],[soda_sales]]/dataset[[#This Row],[soda_units_sold]]</f>
        <v>0.72972121319124283</v>
      </c>
      <c r="L1038" s="29">
        <f>dataset[[#This Row],[implied_soda_ppu]]-dataset[[#This Row],[soda_ppu]]</f>
        <v>2.1213191242819285E-5</v>
      </c>
      <c r="M1038">
        <f>dataset[[#This Row],[soda_sales]]/dataset[[#This Row],[total_sales]]</f>
        <v>5.8946245256753078E-2</v>
      </c>
      <c r="N1038">
        <f>LN(dataset[[#This Row],[soda_units_sold]])</f>
        <v>12.43736688951776</v>
      </c>
      <c r="O1038">
        <f>LN(dataset[[#This Row],[soda_sales]])</f>
        <v>12.122274171997759</v>
      </c>
      <c r="P1038">
        <f>LN(dataset[[#This Row],[soda_ppu]])</f>
        <v>-0.31512178821056264</v>
      </c>
      <c r="Q1038">
        <f>IF(dataset[[#This Row],[state]]="VA",1,0)</f>
        <v>1</v>
      </c>
    </row>
    <row r="1039" spans="1:17" x14ac:dyDescent="0.35">
      <c r="A1039">
        <v>202406</v>
      </c>
      <c r="B1039">
        <v>34</v>
      </c>
      <c r="C1039" s="2">
        <v>2934733.0572000002</v>
      </c>
      <c r="D1039" s="2">
        <v>0.72689999999999999</v>
      </c>
      <c r="E1039" s="3">
        <v>255027</v>
      </c>
      <c r="F1039" s="2">
        <v>185391.02050000001</v>
      </c>
      <c r="G1039" t="s">
        <v>2464</v>
      </c>
      <c r="H1039" t="s">
        <v>3</v>
      </c>
      <c r="I1039">
        <f>HLOOKUP(G1039,zip_tiers!$A$1:$EON$2,2,FALSE)</f>
        <v>90636.666666666672</v>
      </c>
      <c r="J1039" t="str">
        <f t="shared" si="16"/>
        <v>Med</v>
      </c>
      <c r="K1039">
        <f>dataset[[#This Row],[soda_sales]]/dataset[[#This Row],[soda_units_sold]]</f>
        <v>0.72694663898332335</v>
      </c>
      <c r="L1039" s="29">
        <f>dataset[[#This Row],[implied_soda_ppu]]-dataset[[#This Row],[soda_ppu]]</f>
        <v>4.6638983323354921E-5</v>
      </c>
      <c r="M1039">
        <f>dataset[[#This Row],[soda_sales]]/dataset[[#This Row],[total_sales]]</f>
        <v>6.3171340250237185E-2</v>
      </c>
      <c r="N1039">
        <f>LN(dataset[[#This Row],[soda_units_sold]])</f>
        <v>12.449124700888364</v>
      </c>
      <c r="O1039">
        <f>LN(dataset[[#This Row],[soda_sales]])</f>
        <v>12.130222497823388</v>
      </c>
      <c r="P1039">
        <f>LN(dataset[[#This Row],[soda_ppu]])</f>
        <v>-0.31896636249154731</v>
      </c>
      <c r="Q1039">
        <f>IF(dataset[[#This Row],[state]]="VA",1,0)</f>
        <v>1</v>
      </c>
    </row>
    <row r="1040" spans="1:17" x14ac:dyDescent="0.35">
      <c r="A1040">
        <v>202407</v>
      </c>
      <c r="B1040">
        <v>34</v>
      </c>
      <c r="C1040" s="2">
        <v>2803431.1055000001</v>
      </c>
      <c r="D1040" s="2">
        <v>0.73029999999999995</v>
      </c>
      <c r="E1040" s="3">
        <v>263191</v>
      </c>
      <c r="F1040" s="2">
        <v>192214.8449</v>
      </c>
      <c r="G1040" t="s">
        <v>2464</v>
      </c>
      <c r="H1040" t="s">
        <v>3</v>
      </c>
      <c r="I1040">
        <f>HLOOKUP(G1040,zip_tiers!$A$1:$EON$2,2,FALSE)</f>
        <v>90636.666666666672</v>
      </c>
      <c r="J1040" t="str">
        <f t="shared" si="16"/>
        <v>Med</v>
      </c>
      <c r="K1040">
        <f>dataset[[#This Row],[soda_sales]]/dataset[[#This Row],[soda_units_sold]]</f>
        <v>0.73032453579339718</v>
      </c>
      <c r="L1040" s="29">
        <f>dataset[[#This Row],[implied_soda_ppu]]-dataset[[#This Row],[soda_ppu]]</f>
        <v>2.4535793397229E-5</v>
      </c>
      <c r="M1040">
        <f>dataset[[#This Row],[soda_sales]]/dataset[[#This Row],[total_sales]]</f>
        <v>6.8564140749846583E-2</v>
      </c>
      <c r="N1040">
        <f>LN(dataset[[#This Row],[soda_units_sold]])</f>
        <v>12.480635283319778</v>
      </c>
      <c r="O1040">
        <f>LN(dataset[[#This Row],[soda_sales]])</f>
        <v>12.166369009268296</v>
      </c>
      <c r="P1040">
        <f>LN(dataset[[#This Row],[soda_ppu]])</f>
        <v>-0.31429987035607304</v>
      </c>
      <c r="Q1040">
        <f>IF(dataset[[#This Row],[state]]="VA",1,0)</f>
        <v>1</v>
      </c>
    </row>
    <row r="1041" spans="1:17" x14ac:dyDescent="0.35">
      <c r="A1041">
        <v>202408</v>
      </c>
      <c r="B1041">
        <v>34</v>
      </c>
      <c r="C1041" s="2">
        <v>2640350.9194</v>
      </c>
      <c r="D1041" s="2">
        <v>0.73719999999999997</v>
      </c>
      <c r="E1041" s="3">
        <v>226764</v>
      </c>
      <c r="F1041" s="2">
        <v>167164.45009999999</v>
      </c>
      <c r="G1041" t="s">
        <v>2464</v>
      </c>
      <c r="H1041" t="s">
        <v>3</v>
      </c>
      <c r="I1041">
        <f>HLOOKUP(G1041,zip_tiers!$A$1:$EON$2,2,FALSE)</f>
        <v>90636.666666666672</v>
      </c>
      <c r="J1041" t="str">
        <f t="shared" si="16"/>
        <v>Med</v>
      </c>
      <c r="K1041">
        <f>dataset[[#This Row],[soda_sales]]/dataset[[#This Row],[soda_units_sold]]</f>
        <v>0.73717366998288969</v>
      </c>
      <c r="L1041" s="29">
        <f>dataset[[#This Row],[implied_soda_ppu]]-dataset[[#This Row],[soda_ppu]]</f>
        <v>-2.6330017110276493E-5</v>
      </c>
      <c r="M1041">
        <f>dataset[[#This Row],[soda_sales]]/dataset[[#This Row],[total_sales]]</f>
        <v>6.3311451849736272E-2</v>
      </c>
      <c r="N1041">
        <f>LN(dataset[[#This Row],[soda_units_sold]])</f>
        <v>12.331665108078038</v>
      </c>
      <c r="O1041">
        <f>LN(dataset[[#This Row],[soda_sales]])</f>
        <v>12.026733338006972</v>
      </c>
      <c r="P1041">
        <f>LN(dataset[[#This Row],[soda_ppu]])</f>
        <v>-0.3048960531864689</v>
      </c>
      <c r="Q1041">
        <f>IF(dataset[[#This Row],[state]]="VA",1,0)</f>
        <v>1</v>
      </c>
    </row>
    <row r="1042" spans="1:17" x14ac:dyDescent="0.35">
      <c r="A1042">
        <v>202409</v>
      </c>
      <c r="B1042">
        <v>34</v>
      </c>
      <c r="C1042" s="2">
        <v>2663534.2077000001</v>
      </c>
      <c r="D1042" s="2">
        <v>0.74129999999999996</v>
      </c>
      <c r="E1042" s="3">
        <v>216391</v>
      </c>
      <c r="F1042" s="2">
        <v>160419.94270000001</v>
      </c>
      <c r="G1042" t="s">
        <v>2464</v>
      </c>
      <c r="H1042" t="s">
        <v>3</v>
      </c>
      <c r="I1042">
        <f>HLOOKUP(G1042,zip_tiers!$A$1:$EON$2,2,FALSE)</f>
        <v>90636.666666666672</v>
      </c>
      <c r="J1042" t="str">
        <f t="shared" si="16"/>
        <v>Med</v>
      </c>
      <c r="K1042">
        <f>dataset[[#This Row],[soda_sales]]/dataset[[#This Row],[soda_units_sold]]</f>
        <v>0.74134295187877508</v>
      </c>
      <c r="L1042" s="29">
        <f>dataset[[#This Row],[implied_soda_ppu]]-dataset[[#This Row],[soda_ppu]]</f>
        <v>4.2951878775121521E-5</v>
      </c>
      <c r="M1042">
        <f>dataset[[#This Row],[soda_sales]]/dataset[[#This Row],[total_sales]]</f>
        <v>6.0228226931061238E-2</v>
      </c>
      <c r="N1042">
        <f>LN(dataset[[#This Row],[soda_units_sold]])</f>
        <v>12.284842235440792</v>
      </c>
      <c r="O1042">
        <f>LN(dataset[[#This Row],[soda_sales]])</f>
        <v>11.985550297733468</v>
      </c>
      <c r="P1042">
        <f>LN(dataset[[#This Row],[soda_ppu]])</f>
        <v>-0.29934987731946305</v>
      </c>
      <c r="Q1042">
        <f>IF(dataset[[#This Row],[state]]="VA",1,0)</f>
        <v>1</v>
      </c>
    </row>
    <row r="1043" spans="1:17" x14ac:dyDescent="0.35">
      <c r="A1043">
        <v>202410</v>
      </c>
      <c r="B1043">
        <v>34</v>
      </c>
      <c r="C1043" s="2">
        <v>3250776.6642</v>
      </c>
      <c r="D1043" s="2">
        <v>0.75049999999999994</v>
      </c>
      <c r="E1043" s="3">
        <v>204624</v>
      </c>
      <c r="F1043" s="2">
        <v>153568.29810000001</v>
      </c>
      <c r="G1043" t="s">
        <v>2464</v>
      </c>
      <c r="H1043" t="s">
        <v>3</v>
      </c>
      <c r="I1043">
        <f>HLOOKUP(G1043,zip_tiers!$A$1:$EON$2,2,FALSE)</f>
        <v>90636.666666666672</v>
      </c>
      <c r="J1043" t="str">
        <f t="shared" si="16"/>
        <v>Med</v>
      </c>
      <c r="K1043">
        <f>dataset[[#This Row],[soda_sales]]/dataset[[#This Row],[soda_units_sold]]</f>
        <v>0.75049015804597707</v>
      </c>
      <c r="L1043" s="29">
        <f>dataset[[#This Row],[implied_soda_ppu]]-dataset[[#This Row],[soda_ppu]]</f>
        <v>-9.8419540228711355E-6</v>
      </c>
      <c r="M1043">
        <f>dataset[[#This Row],[soda_sales]]/dataset[[#This Row],[total_sales]]</f>
        <v>4.7240494799661178E-2</v>
      </c>
      <c r="N1043">
        <f>LN(dataset[[#This Row],[soda_units_sold]])</f>
        <v>12.228929427673101</v>
      </c>
      <c r="O1043">
        <f>LN(dataset[[#This Row],[soda_sales]])</f>
        <v>11.941900685815705</v>
      </c>
      <c r="P1043">
        <f>LN(dataset[[#This Row],[soda_ppu]])</f>
        <v>-0.28701562790862051</v>
      </c>
      <c r="Q1043">
        <f>IF(dataset[[#This Row],[state]]="VA",1,0)</f>
        <v>1</v>
      </c>
    </row>
    <row r="1044" spans="1:17" x14ac:dyDescent="0.35">
      <c r="A1044">
        <v>202411</v>
      </c>
      <c r="B1044">
        <v>34</v>
      </c>
      <c r="C1044" s="2">
        <v>3687969.6277000001</v>
      </c>
      <c r="D1044" s="2">
        <v>0.76639999999999997</v>
      </c>
      <c r="E1044" s="3">
        <v>191470</v>
      </c>
      <c r="F1044" s="2">
        <v>146736.92819999999</v>
      </c>
      <c r="G1044" t="s">
        <v>2464</v>
      </c>
      <c r="H1044" t="s">
        <v>3</v>
      </c>
      <c r="I1044">
        <f>HLOOKUP(G1044,zip_tiers!$A$1:$EON$2,2,FALSE)</f>
        <v>90636.666666666672</v>
      </c>
      <c r="J1044" t="str">
        <f t="shared" si="16"/>
        <v>Med</v>
      </c>
      <c r="K1044">
        <f>dataset[[#This Row],[soda_sales]]/dataset[[#This Row],[soda_units_sold]]</f>
        <v>0.76637033582284431</v>
      </c>
      <c r="L1044" s="29">
        <f>dataset[[#This Row],[implied_soda_ppu]]-dataset[[#This Row],[soda_ppu]]</f>
        <v>-2.9664177155663829E-5</v>
      </c>
      <c r="M1044">
        <f>dataset[[#This Row],[soda_sales]]/dataset[[#This Row],[total_sales]]</f>
        <v>3.9787998007866567E-2</v>
      </c>
      <c r="N1044">
        <f>LN(dataset[[#This Row],[soda_units_sold]])</f>
        <v>12.162486417367251</v>
      </c>
      <c r="O1044">
        <f>LN(dataset[[#This Row],[soda_sales]])</f>
        <v>11.896396658424777</v>
      </c>
      <c r="P1044">
        <f>LN(dataset[[#This Row],[soda_ppu]])</f>
        <v>-0.26605105232548631</v>
      </c>
      <c r="Q1044">
        <f>IF(dataset[[#This Row],[state]]="VA",1,0)</f>
        <v>1</v>
      </c>
    </row>
    <row r="1045" spans="1:17" x14ac:dyDescent="0.35">
      <c r="A1045">
        <v>202412</v>
      </c>
      <c r="B1045">
        <v>34</v>
      </c>
      <c r="C1045" s="2">
        <v>3855010.5622999999</v>
      </c>
      <c r="D1045" s="2">
        <v>0.77190000000000003</v>
      </c>
      <c r="E1045" s="3">
        <v>184161</v>
      </c>
      <c r="F1045" s="2">
        <v>142159.2052</v>
      </c>
      <c r="G1045" t="s">
        <v>2464</v>
      </c>
      <c r="H1045" t="s">
        <v>3</v>
      </c>
      <c r="I1045">
        <f>HLOOKUP(G1045,zip_tiers!$A$1:$EON$2,2,FALSE)</f>
        <v>90636.666666666672</v>
      </c>
      <c r="J1045" t="str">
        <f t="shared" si="16"/>
        <v>Med</v>
      </c>
      <c r="K1045">
        <f>dataset[[#This Row],[soda_sales]]/dataset[[#This Row],[soda_units_sold]]</f>
        <v>0.77192893826597375</v>
      </c>
      <c r="L1045" s="29">
        <f>dataset[[#This Row],[implied_soda_ppu]]-dataset[[#This Row],[soda_ppu]]</f>
        <v>2.89382659737214E-5</v>
      </c>
      <c r="M1045">
        <f>dataset[[#This Row],[soda_sales]]/dataset[[#This Row],[total_sales]]</f>
        <v>3.6876476186665522E-2</v>
      </c>
      <c r="N1045">
        <f>LN(dataset[[#This Row],[soda_units_sold]])</f>
        <v>12.123565654001784</v>
      </c>
      <c r="O1045">
        <f>LN(dataset[[#This Row],[soda_sales]])</f>
        <v>11.864702871929392</v>
      </c>
      <c r="P1045">
        <f>LN(dataset[[#This Row],[soda_ppu]])</f>
        <v>-0.25890027102632884</v>
      </c>
      <c r="Q1045">
        <f>IF(dataset[[#This Row],[state]]="VA",1,0)</f>
        <v>1</v>
      </c>
    </row>
    <row r="1046" spans="1:17" x14ac:dyDescent="0.35">
      <c r="A1046">
        <v>202201</v>
      </c>
      <c r="B1046">
        <v>37</v>
      </c>
      <c r="C1046" s="2">
        <v>1874357.3821</v>
      </c>
      <c r="D1046" s="2">
        <v>0.73750000000000004</v>
      </c>
      <c r="E1046" s="3">
        <v>143527</v>
      </c>
      <c r="F1046" s="2">
        <v>105847.25780000001</v>
      </c>
      <c r="G1046" t="s">
        <v>2495</v>
      </c>
      <c r="H1046" t="s">
        <v>3</v>
      </c>
      <c r="I1046">
        <f>HLOOKUP(G1046,zip_tiers!$A$1:$EON$2,2,FALSE)</f>
        <v>74166.666666666672</v>
      </c>
      <c r="J1046" t="str">
        <f t="shared" si="16"/>
        <v>Med</v>
      </c>
      <c r="K1046">
        <f>dataset[[#This Row],[soda_sales]]/dataset[[#This Row],[soda_units_sold]]</f>
        <v>0.73747279466581206</v>
      </c>
      <c r="L1046" s="29">
        <f>dataset[[#This Row],[implied_soda_ppu]]-dataset[[#This Row],[soda_ppu]]</f>
        <v>-2.7205334187985208E-5</v>
      </c>
      <c r="M1046">
        <f>dataset[[#This Row],[soda_sales]]/dataset[[#This Row],[total_sales]]</f>
        <v>5.6471225184073714E-2</v>
      </c>
      <c r="N1046">
        <f>LN(dataset[[#This Row],[soda_units_sold]])</f>
        <v>11.874278449793303</v>
      </c>
      <c r="O1046">
        <f>LN(dataset[[#This Row],[soda_sales]])</f>
        <v>11.569752369756012</v>
      </c>
      <c r="P1046">
        <f>LN(dataset[[#This Row],[soda_ppu]])</f>
        <v>-0.30448919076816211</v>
      </c>
      <c r="Q1046">
        <f>IF(dataset[[#This Row],[state]]="VA",1,0)</f>
        <v>1</v>
      </c>
    </row>
    <row r="1047" spans="1:17" x14ac:dyDescent="0.35">
      <c r="A1047">
        <v>202202</v>
      </c>
      <c r="B1047">
        <v>37</v>
      </c>
      <c r="C1047" s="2">
        <v>2154861.2237999998</v>
      </c>
      <c r="D1047" s="2">
        <v>0.72250000000000003</v>
      </c>
      <c r="E1047" s="3">
        <v>167529</v>
      </c>
      <c r="F1047" s="2">
        <v>121043.7687</v>
      </c>
      <c r="G1047" t="s">
        <v>2495</v>
      </c>
      <c r="H1047" t="s">
        <v>3</v>
      </c>
      <c r="I1047">
        <f>HLOOKUP(G1047,zip_tiers!$A$1:$EON$2,2,FALSE)</f>
        <v>74166.666666666672</v>
      </c>
      <c r="J1047" t="str">
        <f t="shared" si="16"/>
        <v>Med</v>
      </c>
      <c r="K1047">
        <f>dataset[[#This Row],[soda_sales]]/dataset[[#This Row],[soda_units_sold]]</f>
        <v>0.72252427161864519</v>
      </c>
      <c r="L1047" s="29">
        <f>dataset[[#This Row],[implied_soda_ppu]]-dataset[[#This Row],[soda_ppu]]</f>
        <v>2.4271618645155257E-5</v>
      </c>
      <c r="M1047">
        <f>dataset[[#This Row],[soda_sales]]/dataset[[#This Row],[total_sales]]</f>
        <v>5.6172419533609137E-2</v>
      </c>
      <c r="N1047">
        <f>LN(dataset[[#This Row],[soda_units_sold]])</f>
        <v>12.028911749589598</v>
      </c>
      <c r="O1047">
        <f>LN(dataset[[#This Row],[soda_sales]])</f>
        <v>11.703907483965626</v>
      </c>
      <c r="P1047">
        <f>LN(dataset[[#This Row],[soda_ppu]])</f>
        <v>-0.32503785899554977</v>
      </c>
      <c r="Q1047">
        <f>IF(dataset[[#This Row],[state]]="VA",1,0)</f>
        <v>1</v>
      </c>
    </row>
    <row r="1048" spans="1:17" x14ac:dyDescent="0.35">
      <c r="A1048">
        <v>202203</v>
      </c>
      <c r="B1048">
        <v>37</v>
      </c>
      <c r="C1048" s="2">
        <v>2365561.1480999999</v>
      </c>
      <c r="D1048" s="2">
        <v>0.73929999999999996</v>
      </c>
      <c r="E1048" s="3">
        <v>190861</v>
      </c>
      <c r="F1048" s="2">
        <v>141094.4399</v>
      </c>
      <c r="G1048" t="s">
        <v>2495</v>
      </c>
      <c r="H1048" t="s">
        <v>3</v>
      </c>
      <c r="I1048">
        <f>HLOOKUP(G1048,zip_tiers!$A$1:$EON$2,2,FALSE)</f>
        <v>74166.666666666672</v>
      </c>
      <c r="J1048" t="str">
        <f t="shared" si="16"/>
        <v>Med</v>
      </c>
      <c r="K1048">
        <f>dataset[[#This Row],[soda_sales]]/dataset[[#This Row],[soda_units_sold]]</f>
        <v>0.73925233494532672</v>
      </c>
      <c r="L1048" s="29">
        <f>dataset[[#This Row],[implied_soda_ppu]]-dataset[[#This Row],[soda_ppu]]</f>
        <v>-4.7665054673240448E-5</v>
      </c>
      <c r="M1048">
        <f>dataset[[#This Row],[soda_sales]]/dataset[[#This Row],[total_sales]]</f>
        <v>5.9645230482976923E-2</v>
      </c>
      <c r="N1048">
        <f>LN(dataset[[#This Row],[soda_units_sold]])</f>
        <v>12.159300693400043</v>
      </c>
      <c r="O1048">
        <f>LN(dataset[[#This Row],[soda_sales]])</f>
        <v>11.857184731678242</v>
      </c>
      <c r="P1048">
        <f>LN(dataset[[#This Row],[soda_ppu]])</f>
        <v>-0.30205148641908275</v>
      </c>
      <c r="Q1048">
        <f>IF(dataset[[#This Row],[state]]="VA",1,0)</f>
        <v>1</v>
      </c>
    </row>
    <row r="1049" spans="1:17" x14ac:dyDescent="0.35">
      <c r="A1049">
        <v>202204</v>
      </c>
      <c r="B1049">
        <v>37</v>
      </c>
      <c r="C1049" s="2">
        <v>2518456.2766999998</v>
      </c>
      <c r="D1049" s="2">
        <v>0.72289999999999999</v>
      </c>
      <c r="E1049" s="3">
        <v>229063</v>
      </c>
      <c r="F1049" s="2">
        <v>165581.826</v>
      </c>
      <c r="G1049" t="s">
        <v>2495</v>
      </c>
      <c r="H1049" t="s">
        <v>3</v>
      </c>
      <c r="I1049">
        <f>HLOOKUP(G1049,zip_tiers!$A$1:$EON$2,2,FALSE)</f>
        <v>74166.666666666672</v>
      </c>
      <c r="J1049" t="str">
        <f t="shared" si="16"/>
        <v>Med</v>
      </c>
      <c r="K1049">
        <f>dataset[[#This Row],[soda_sales]]/dataset[[#This Row],[soda_units_sold]]</f>
        <v>0.72286587532687518</v>
      </c>
      <c r="L1049" s="29">
        <f>dataset[[#This Row],[implied_soda_ppu]]-dataset[[#This Row],[soda_ppu]]</f>
        <v>-3.4124673124802385E-5</v>
      </c>
      <c r="M1049">
        <f>dataset[[#This Row],[soda_sales]]/dataset[[#This Row],[total_sales]]</f>
        <v>6.57473498872755E-2</v>
      </c>
      <c r="N1049">
        <f>LN(dataset[[#This Row],[soda_units_sold]])</f>
        <v>12.341752353871094</v>
      </c>
      <c r="O1049">
        <f>LN(dataset[[#This Row],[soda_sales]])</f>
        <v>12.01722076853391</v>
      </c>
      <c r="P1049">
        <f>LN(dataset[[#This Row],[soda_ppu]])</f>
        <v>-0.32448437897588561</v>
      </c>
      <c r="Q1049">
        <f>IF(dataset[[#This Row],[state]]="VA",1,0)</f>
        <v>1</v>
      </c>
    </row>
    <row r="1050" spans="1:17" x14ac:dyDescent="0.35">
      <c r="A1050">
        <v>202205</v>
      </c>
      <c r="B1050">
        <v>37</v>
      </c>
      <c r="C1050" s="2">
        <v>2637191.7275999999</v>
      </c>
      <c r="D1050" s="2">
        <v>0.7611</v>
      </c>
      <c r="E1050" s="3">
        <v>233768</v>
      </c>
      <c r="F1050" s="2">
        <v>177918.3817</v>
      </c>
      <c r="G1050" t="s">
        <v>2495</v>
      </c>
      <c r="H1050" t="s">
        <v>3</v>
      </c>
      <c r="I1050">
        <f>HLOOKUP(G1050,zip_tiers!$A$1:$EON$2,2,FALSE)</f>
        <v>74166.666666666672</v>
      </c>
      <c r="J1050" t="str">
        <f t="shared" si="16"/>
        <v>Med</v>
      </c>
      <c r="K1050">
        <f>dataset[[#This Row],[soda_sales]]/dataset[[#This Row],[soda_units_sold]]</f>
        <v>0.76108954904007386</v>
      </c>
      <c r="L1050" s="29">
        <f>dataset[[#This Row],[implied_soda_ppu]]-dataset[[#This Row],[soda_ppu]]</f>
        <v>-1.0450959926133763E-5</v>
      </c>
      <c r="M1050">
        <f>dataset[[#This Row],[soda_sales]]/dataset[[#This Row],[total_sales]]</f>
        <v>6.7465091687480841E-2</v>
      </c>
      <c r="N1050">
        <f>LN(dataset[[#This Row],[soda_units_sold]])</f>
        <v>12.362084449533768</v>
      </c>
      <c r="O1050">
        <f>LN(dataset[[#This Row],[soda_sales]])</f>
        <v>12.089080194342017</v>
      </c>
      <c r="P1050">
        <f>LN(dataset[[#This Row],[soda_ppu]])</f>
        <v>-0.27299052370879118</v>
      </c>
      <c r="Q1050">
        <f>IF(dataset[[#This Row],[state]]="VA",1,0)</f>
        <v>1</v>
      </c>
    </row>
    <row r="1051" spans="1:17" x14ac:dyDescent="0.35">
      <c r="A1051">
        <v>202206</v>
      </c>
      <c r="B1051">
        <v>37</v>
      </c>
      <c r="C1051" s="2">
        <v>2513102.7866000002</v>
      </c>
      <c r="D1051" s="2">
        <v>0.72719999999999996</v>
      </c>
      <c r="E1051" s="3">
        <v>260323</v>
      </c>
      <c r="F1051" s="2">
        <v>189305.71239999999</v>
      </c>
      <c r="G1051" t="s">
        <v>2495</v>
      </c>
      <c r="H1051" t="s">
        <v>3</v>
      </c>
      <c r="I1051">
        <f>HLOOKUP(G1051,zip_tiers!$A$1:$EON$2,2,FALSE)</f>
        <v>74166.666666666672</v>
      </c>
      <c r="J1051" t="str">
        <f t="shared" si="16"/>
        <v>Med</v>
      </c>
      <c r="K1051">
        <f>dataset[[#This Row],[soda_sales]]/dataset[[#This Row],[soda_units_sold]]</f>
        <v>0.72719549329102684</v>
      </c>
      <c r="L1051" s="29">
        <f>dataset[[#This Row],[implied_soda_ppu]]-dataset[[#This Row],[soda_ppu]]</f>
        <v>-4.5067089731176679E-6</v>
      </c>
      <c r="M1051">
        <f>dataset[[#This Row],[soda_sales]]/dataset[[#This Row],[total_sales]]</f>
        <v>7.5327484975699466E-2</v>
      </c>
      <c r="N1051">
        <f>LN(dataset[[#This Row],[soda_units_sold]])</f>
        <v>12.469678446664272</v>
      </c>
      <c r="O1051">
        <f>LN(dataset[[#This Row],[soda_sales]])</f>
        <v>12.151118513181629</v>
      </c>
      <c r="P1051">
        <f>LN(dataset[[#This Row],[soda_ppu]])</f>
        <v>-0.31855373611886806</v>
      </c>
      <c r="Q1051">
        <f>IF(dataset[[#This Row],[state]]="VA",1,0)</f>
        <v>1</v>
      </c>
    </row>
    <row r="1052" spans="1:17" x14ac:dyDescent="0.35">
      <c r="A1052">
        <v>202207</v>
      </c>
      <c r="B1052">
        <v>37</v>
      </c>
      <c r="C1052" s="2">
        <v>2364057.4342999998</v>
      </c>
      <c r="D1052" s="2">
        <v>0.72360000000000002</v>
      </c>
      <c r="E1052" s="3">
        <v>263948</v>
      </c>
      <c r="F1052" s="2">
        <v>191004.4222</v>
      </c>
      <c r="G1052" t="s">
        <v>2495</v>
      </c>
      <c r="H1052" t="s">
        <v>3</v>
      </c>
      <c r="I1052">
        <f>HLOOKUP(G1052,zip_tiers!$A$1:$EON$2,2,FALSE)</f>
        <v>74166.666666666672</v>
      </c>
      <c r="J1052" t="str">
        <f t="shared" si="16"/>
        <v>Med</v>
      </c>
      <c r="K1052">
        <f>dataset[[#This Row],[soda_sales]]/dataset[[#This Row],[soda_units_sold]]</f>
        <v>0.72364413520845017</v>
      </c>
      <c r="L1052" s="29">
        <f>dataset[[#This Row],[implied_soda_ppu]]-dataset[[#This Row],[soda_ppu]]</f>
        <v>4.4135208450146735E-5</v>
      </c>
      <c r="M1052">
        <f>dataset[[#This Row],[soda_sales]]/dataset[[#This Row],[total_sales]]</f>
        <v>8.0795169960224178E-2</v>
      </c>
      <c r="N1052">
        <f>LN(dataset[[#This Row],[soda_units_sold]])</f>
        <v>12.483507393030406</v>
      </c>
      <c r="O1052">
        <f>LN(dataset[[#This Row],[soda_sales]])</f>
        <v>12.160051859640324</v>
      </c>
      <c r="P1052">
        <f>LN(dataset[[#This Row],[soda_ppu]])</f>
        <v>-0.32351652546099696</v>
      </c>
      <c r="Q1052">
        <f>IF(dataset[[#This Row],[state]]="VA",1,0)</f>
        <v>1</v>
      </c>
    </row>
    <row r="1053" spans="1:17" x14ac:dyDescent="0.35">
      <c r="A1053">
        <v>202208</v>
      </c>
      <c r="B1053">
        <v>37</v>
      </c>
      <c r="C1053" s="2">
        <v>2267123.0318999998</v>
      </c>
      <c r="D1053" s="2">
        <v>0.77280000000000004</v>
      </c>
      <c r="E1053" s="3">
        <v>220221</v>
      </c>
      <c r="F1053" s="2">
        <v>170185.962</v>
      </c>
      <c r="G1053" t="s">
        <v>2495</v>
      </c>
      <c r="H1053" t="s">
        <v>3</v>
      </c>
      <c r="I1053">
        <f>HLOOKUP(G1053,zip_tiers!$A$1:$EON$2,2,FALSE)</f>
        <v>74166.666666666672</v>
      </c>
      <c r="J1053" t="str">
        <f t="shared" si="16"/>
        <v>Med</v>
      </c>
      <c r="K1053">
        <f>dataset[[#This Row],[soda_sales]]/dataset[[#This Row],[soda_units_sold]]</f>
        <v>0.77279624558965765</v>
      </c>
      <c r="L1053" s="29">
        <f>dataset[[#This Row],[implied_soda_ppu]]-dataset[[#This Row],[soda_ppu]]</f>
        <v>-3.7544103423936548E-6</v>
      </c>
      <c r="M1053">
        <f>dataset[[#This Row],[soda_sales]]/dataset[[#This Row],[total_sales]]</f>
        <v>7.5066928263426813E-2</v>
      </c>
      <c r="N1053">
        <f>LN(dataset[[#This Row],[soda_units_sold]])</f>
        <v>12.302386866570904</v>
      </c>
      <c r="O1053">
        <f>LN(dataset[[#This Row],[soda_sales]])</f>
        <v>12.044647012283837</v>
      </c>
      <c r="P1053">
        <f>LN(dataset[[#This Row],[soda_ppu]])</f>
        <v>-0.25773499608382877</v>
      </c>
      <c r="Q1053">
        <f>IF(dataset[[#This Row],[state]]="VA",1,0)</f>
        <v>1</v>
      </c>
    </row>
    <row r="1054" spans="1:17" x14ac:dyDescent="0.35">
      <c r="A1054">
        <v>202209</v>
      </c>
      <c r="B1054">
        <v>37</v>
      </c>
      <c r="C1054" s="2">
        <v>2270777.3007</v>
      </c>
      <c r="D1054" s="2">
        <v>0.72760000000000002</v>
      </c>
      <c r="E1054" s="3">
        <v>223732</v>
      </c>
      <c r="F1054" s="2">
        <v>162785.6421</v>
      </c>
      <c r="G1054" t="s">
        <v>2495</v>
      </c>
      <c r="H1054" t="s">
        <v>3</v>
      </c>
      <c r="I1054">
        <f>HLOOKUP(G1054,zip_tiers!$A$1:$EON$2,2,FALSE)</f>
        <v>74166.666666666672</v>
      </c>
      <c r="J1054" t="str">
        <f t="shared" si="16"/>
        <v>Med</v>
      </c>
      <c r="K1054">
        <f>dataset[[#This Row],[soda_sales]]/dataset[[#This Row],[soda_units_sold]]</f>
        <v>0.72759212852877553</v>
      </c>
      <c r="L1054" s="29">
        <f>dataset[[#This Row],[implied_soda_ppu]]-dataset[[#This Row],[soda_ppu]]</f>
        <v>-7.8714712244964957E-6</v>
      </c>
      <c r="M1054">
        <f>dataset[[#This Row],[soda_sales]]/dataset[[#This Row],[total_sales]]</f>
        <v>7.1687189250050617E-2</v>
      </c>
      <c r="N1054">
        <f>LN(dataset[[#This Row],[soda_units_sold]])</f>
        <v>12.3182041859737</v>
      </c>
      <c r="O1054">
        <f>LN(dataset[[#This Row],[soda_sales]])</f>
        <v>12.000189535172359</v>
      </c>
      <c r="P1054">
        <f>LN(dataset[[#This Row],[soda_ppu]])</f>
        <v>-0.31800383233816981</v>
      </c>
      <c r="Q1054">
        <f>IF(dataset[[#This Row],[state]]="VA",1,0)</f>
        <v>1</v>
      </c>
    </row>
    <row r="1055" spans="1:17" x14ac:dyDescent="0.35">
      <c r="A1055">
        <v>202210</v>
      </c>
      <c r="B1055">
        <v>37</v>
      </c>
      <c r="C1055" s="2">
        <v>2796748.8903999999</v>
      </c>
      <c r="D1055" s="2">
        <v>0.72009999999999996</v>
      </c>
      <c r="E1055" s="3">
        <v>219431</v>
      </c>
      <c r="F1055" s="2">
        <v>158018.78349999999</v>
      </c>
      <c r="G1055" t="s">
        <v>2495</v>
      </c>
      <c r="H1055" t="s">
        <v>3</v>
      </c>
      <c r="I1055">
        <f>HLOOKUP(G1055,zip_tiers!$A$1:$EON$2,2,FALSE)</f>
        <v>74166.666666666672</v>
      </c>
      <c r="J1055" t="str">
        <f t="shared" si="16"/>
        <v>Med</v>
      </c>
      <c r="K1055">
        <f>dataset[[#This Row],[soda_sales]]/dataset[[#This Row],[soda_units_sold]]</f>
        <v>0.72012971503570589</v>
      </c>
      <c r="L1055" s="29">
        <f>dataset[[#This Row],[implied_soda_ppu]]-dataset[[#This Row],[soda_ppu]]</f>
        <v>2.9715035705923931E-5</v>
      </c>
      <c r="M1055">
        <f>dataset[[#This Row],[soda_sales]]/dataset[[#This Row],[total_sales]]</f>
        <v>5.6500883594665388E-2</v>
      </c>
      <c r="N1055">
        <f>LN(dataset[[#This Row],[soda_units_sold]])</f>
        <v>12.298793111281528</v>
      </c>
      <c r="O1055">
        <f>LN(dataset[[#This Row],[soda_sales]])</f>
        <v>11.970469187854484</v>
      </c>
      <c r="P1055">
        <f>LN(dataset[[#This Row],[soda_ppu]])</f>
        <v>-0.32836518772731599</v>
      </c>
      <c r="Q1055">
        <f>IF(dataset[[#This Row],[state]]="VA",1,0)</f>
        <v>1</v>
      </c>
    </row>
    <row r="1056" spans="1:17" x14ac:dyDescent="0.35">
      <c r="A1056">
        <v>202211</v>
      </c>
      <c r="B1056">
        <v>37</v>
      </c>
      <c r="C1056" s="2">
        <v>3113385.2765000002</v>
      </c>
      <c r="D1056" s="2">
        <v>0.74680000000000002</v>
      </c>
      <c r="E1056" s="3">
        <v>194964</v>
      </c>
      <c r="F1056" s="2">
        <v>145604.23430000001</v>
      </c>
      <c r="G1056" t="s">
        <v>2495</v>
      </c>
      <c r="H1056" t="s">
        <v>3</v>
      </c>
      <c r="I1056">
        <f>HLOOKUP(G1056,zip_tiers!$A$1:$EON$2,2,FALSE)</f>
        <v>74166.666666666672</v>
      </c>
      <c r="J1056" t="str">
        <f t="shared" si="16"/>
        <v>Med</v>
      </c>
      <c r="K1056">
        <f>dataset[[#This Row],[soda_sales]]/dataset[[#This Row],[soda_units_sold]]</f>
        <v>0.746826256642252</v>
      </c>
      <c r="L1056" s="29">
        <f>dataset[[#This Row],[implied_soda_ppu]]-dataset[[#This Row],[soda_ppu]]</f>
        <v>2.6256642251976103E-5</v>
      </c>
      <c r="M1056">
        <f>dataset[[#This Row],[soda_sales]]/dataset[[#This Row],[total_sales]]</f>
        <v>4.6767175074356716E-2</v>
      </c>
      <c r="N1056">
        <f>LN(dataset[[#This Row],[soda_units_sold]])</f>
        <v>12.18057020511775</v>
      </c>
      <c r="O1056">
        <f>LN(dataset[[#This Row],[soda_sales]])</f>
        <v>11.888647496052627</v>
      </c>
      <c r="P1056">
        <f>LN(dataset[[#This Row],[soda_ppu]])</f>
        <v>-0.29195786731456946</v>
      </c>
      <c r="Q1056">
        <f>IF(dataset[[#This Row],[state]]="VA",1,0)</f>
        <v>1</v>
      </c>
    </row>
    <row r="1057" spans="1:17" x14ac:dyDescent="0.35">
      <c r="A1057">
        <v>202212</v>
      </c>
      <c r="B1057">
        <v>37</v>
      </c>
      <c r="C1057" s="2">
        <v>3249791.0356000001</v>
      </c>
      <c r="D1057" s="2">
        <v>0.75080000000000002</v>
      </c>
      <c r="E1057" s="3">
        <v>188224</v>
      </c>
      <c r="F1057" s="2">
        <v>141326.20869999999</v>
      </c>
      <c r="G1057" t="s">
        <v>2495</v>
      </c>
      <c r="H1057" t="s">
        <v>3</v>
      </c>
      <c r="I1057">
        <f>HLOOKUP(G1057,zip_tiers!$A$1:$EON$2,2,FALSE)</f>
        <v>74166.666666666672</v>
      </c>
      <c r="J1057" t="str">
        <f t="shared" si="16"/>
        <v>Med</v>
      </c>
      <c r="K1057">
        <f>dataset[[#This Row],[soda_sales]]/dataset[[#This Row],[soda_units_sold]]</f>
        <v>0.75084053415079899</v>
      </c>
      <c r="L1057" s="29">
        <f>dataset[[#This Row],[implied_soda_ppu]]-dataset[[#This Row],[soda_ppu]]</f>
        <v>4.0534150798965385E-5</v>
      </c>
      <c r="M1057">
        <f>dataset[[#This Row],[soda_sales]]/dataset[[#This Row],[total_sales]]</f>
        <v>4.3487783414944192E-2</v>
      </c>
      <c r="N1057">
        <f>LN(dataset[[#This Row],[soda_units_sold]])</f>
        <v>12.145388021913666</v>
      </c>
      <c r="O1057">
        <f>LN(dataset[[#This Row],[soda_sales]])</f>
        <v>11.858826034133841</v>
      </c>
      <c r="P1057">
        <f>LN(dataset[[#This Row],[soda_ppu]])</f>
        <v>-0.28661597426978325</v>
      </c>
      <c r="Q1057">
        <f>IF(dataset[[#This Row],[state]]="VA",1,0)</f>
        <v>1</v>
      </c>
    </row>
    <row r="1058" spans="1:17" x14ac:dyDescent="0.35">
      <c r="A1058">
        <v>202301</v>
      </c>
      <c r="B1058">
        <v>37</v>
      </c>
      <c r="C1058" s="2">
        <v>1909819.8237999999</v>
      </c>
      <c r="D1058" s="2">
        <v>0.74429999999999996</v>
      </c>
      <c r="E1058" s="3">
        <v>142618</v>
      </c>
      <c r="F1058" s="2">
        <v>106148.99860000001</v>
      </c>
      <c r="G1058" t="s">
        <v>2495</v>
      </c>
      <c r="H1058" t="s">
        <v>3</v>
      </c>
      <c r="I1058">
        <f>HLOOKUP(G1058,zip_tiers!$A$1:$EON$2,2,FALSE)</f>
        <v>74166.666666666672</v>
      </c>
      <c r="J1058" t="str">
        <f t="shared" si="16"/>
        <v>Med</v>
      </c>
      <c r="K1058">
        <f>dataset[[#This Row],[soda_sales]]/dataset[[#This Row],[soda_units_sold]]</f>
        <v>0.74428892986860007</v>
      </c>
      <c r="L1058" s="29">
        <f>dataset[[#This Row],[implied_soda_ppu]]-dataset[[#This Row],[soda_ppu]]</f>
        <v>-1.107013139989288E-5</v>
      </c>
      <c r="M1058">
        <f>dataset[[#This Row],[soda_sales]]/dataset[[#This Row],[total_sales]]</f>
        <v>5.5580635030164048E-2</v>
      </c>
      <c r="N1058">
        <f>LN(dataset[[#This Row],[soda_units_sold]])</f>
        <v>11.867925006205326</v>
      </c>
      <c r="O1058">
        <f>LN(dataset[[#This Row],[soda_sales]])</f>
        <v>11.572599033266837</v>
      </c>
      <c r="P1058">
        <f>LN(dataset[[#This Row],[soda_ppu]])</f>
        <v>-0.29531109961627211</v>
      </c>
      <c r="Q1058">
        <f>IF(dataset[[#This Row],[state]]="VA",1,0)</f>
        <v>1</v>
      </c>
    </row>
    <row r="1059" spans="1:17" x14ac:dyDescent="0.35">
      <c r="A1059">
        <v>202302</v>
      </c>
      <c r="B1059">
        <v>37</v>
      </c>
      <c r="C1059" s="2">
        <v>2142319.3925000001</v>
      </c>
      <c r="D1059" s="2">
        <v>0.74929999999999997</v>
      </c>
      <c r="E1059" s="3">
        <v>159563</v>
      </c>
      <c r="F1059" s="2">
        <v>119559.59699999999</v>
      </c>
      <c r="G1059" t="s">
        <v>2495</v>
      </c>
      <c r="H1059" t="s">
        <v>3</v>
      </c>
      <c r="I1059">
        <f>HLOOKUP(G1059,zip_tiers!$A$1:$EON$2,2,FALSE)</f>
        <v>74166.666666666672</v>
      </c>
      <c r="J1059" t="str">
        <f t="shared" si="16"/>
        <v>Med</v>
      </c>
      <c r="K1059">
        <f>dataset[[#This Row],[soda_sales]]/dataset[[#This Row],[soda_units_sold]]</f>
        <v>0.74929399046144785</v>
      </c>
      <c r="L1059" s="29">
        <f>dataset[[#This Row],[implied_soda_ppu]]-dataset[[#This Row],[soda_ppu]]</f>
        <v>-6.00953855212083E-6</v>
      </c>
      <c r="M1059">
        <f>dataset[[#This Row],[soda_sales]]/dataset[[#This Row],[total_sales]]</f>
        <v>5.5808483748298048E-2</v>
      </c>
      <c r="N1059">
        <f>LN(dataset[[#This Row],[soda_units_sold]])</f>
        <v>11.98019410754728</v>
      </c>
      <c r="O1059">
        <f>LN(dataset[[#This Row],[soda_sales]])</f>
        <v>11.691570245699655</v>
      </c>
      <c r="P1059">
        <f>LN(dataset[[#This Row],[soda_ppu]])</f>
        <v>-0.28861584161187204</v>
      </c>
      <c r="Q1059">
        <f>IF(dataset[[#This Row],[state]]="VA",1,0)</f>
        <v>1</v>
      </c>
    </row>
    <row r="1060" spans="1:17" x14ac:dyDescent="0.35">
      <c r="A1060">
        <v>202303</v>
      </c>
      <c r="B1060">
        <v>37</v>
      </c>
      <c r="C1060" s="2">
        <v>2411817.9805000001</v>
      </c>
      <c r="D1060" s="2">
        <v>0.76529999999999998</v>
      </c>
      <c r="E1060" s="3">
        <v>187433</v>
      </c>
      <c r="F1060" s="2">
        <v>143447.56400000001</v>
      </c>
      <c r="G1060" t="s">
        <v>2495</v>
      </c>
      <c r="H1060" t="s">
        <v>3</v>
      </c>
      <c r="I1060">
        <f>HLOOKUP(G1060,zip_tiers!$A$1:$EON$2,2,FALSE)</f>
        <v>74166.666666666672</v>
      </c>
      <c r="J1060" t="str">
        <f t="shared" si="16"/>
        <v>Med</v>
      </c>
      <c r="K1060">
        <f>dataset[[#This Row],[soda_sales]]/dataset[[#This Row],[soda_units_sold]]</f>
        <v>0.76532715156882736</v>
      </c>
      <c r="L1060" s="29">
        <f>dataset[[#This Row],[implied_soda_ppu]]-dataset[[#This Row],[soda_ppu]]</f>
        <v>2.7151568827377126E-5</v>
      </c>
      <c r="M1060">
        <f>dataset[[#This Row],[soda_sales]]/dataset[[#This Row],[total_sales]]</f>
        <v>5.9476944429389125E-2</v>
      </c>
      <c r="N1060">
        <f>LN(dataset[[#This Row],[soda_units_sold]])</f>
        <v>12.1411767272005</v>
      </c>
      <c r="O1060">
        <f>LN(dataset[[#This Row],[soda_sales]])</f>
        <v>11.873724839738658</v>
      </c>
      <c r="P1060">
        <f>LN(dataset[[#This Row],[soda_ppu]])</f>
        <v>-0.26748736516626165</v>
      </c>
      <c r="Q1060">
        <f>IF(dataset[[#This Row],[state]]="VA",1,0)</f>
        <v>1</v>
      </c>
    </row>
    <row r="1061" spans="1:17" x14ac:dyDescent="0.35">
      <c r="A1061">
        <v>202304</v>
      </c>
      <c r="B1061">
        <v>37</v>
      </c>
      <c r="C1061" s="2">
        <v>2502673.9692000002</v>
      </c>
      <c r="D1061" s="2">
        <v>0.76990000000000003</v>
      </c>
      <c r="E1061" s="3">
        <v>215917</v>
      </c>
      <c r="F1061" s="2">
        <v>166229.79209999999</v>
      </c>
      <c r="G1061" t="s">
        <v>2495</v>
      </c>
      <c r="H1061" t="s">
        <v>3</v>
      </c>
      <c r="I1061">
        <f>HLOOKUP(G1061,zip_tiers!$A$1:$EON$2,2,FALSE)</f>
        <v>74166.666666666672</v>
      </c>
      <c r="J1061" t="str">
        <f t="shared" si="16"/>
        <v>Med</v>
      </c>
      <c r="K1061">
        <f>dataset[[#This Row],[soda_sales]]/dataset[[#This Row],[soda_units_sold]]</f>
        <v>0.7698782036615921</v>
      </c>
      <c r="L1061" s="29">
        <f>dataset[[#This Row],[implied_soda_ppu]]-dataset[[#This Row],[soda_ppu]]</f>
        <v>-2.179633840793116E-5</v>
      </c>
      <c r="M1061">
        <f>dataset[[#This Row],[soda_sales]]/dataset[[#This Row],[total_sales]]</f>
        <v>6.6420873891590709E-2</v>
      </c>
      <c r="N1061">
        <f>LN(dataset[[#This Row],[soda_units_sold]])</f>
        <v>12.282649353560535</v>
      </c>
      <c r="O1061">
        <f>LN(dataset[[#This Row],[soda_sales]])</f>
        <v>12.02112639985195</v>
      </c>
      <c r="P1061">
        <f>LN(dataset[[#This Row],[soda_ppu]])</f>
        <v>-0.26149464269813316</v>
      </c>
      <c r="Q1061">
        <f>IF(dataset[[#This Row],[state]]="VA",1,0)</f>
        <v>1</v>
      </c>
    </row>
    <row r="1062" spans="1:17" x14ac:dyDescent="0.35">
      <c r="A1062">
        <v>202305</v>
      </c>
      <c r="B1062">
        <v>37</v>
      </c>
      <c r="C1062" s="2">
        <v>2632921.4119000002</v>
      </c>
      <c r="D1062" s="2">
        <v>0.73460000000000003</v>
      </c>
      <c r="E1062" s="3">
        <v>242695</v>
      </c>
      <c r="F1062" s="2">
        <v>178286.6911</v>
      </c>
      <c r="G1062" t="s">
        <v>2495</v>
      </c>
      <c r="H1062" t="s">
        <v>3</v>
      </c>
      <c r="I1062">
        <f>HLOOKUP(G1062,zip_tiers!$A$1:$EON$2,2,FALSE)</f>
        <v>74166.666666666672</v>
      </c>
      <c r="J1062" t="str">
        <f t="shared" si="16"/>
        <v>Med</v>
      </c>
      <c r="K1062">
        <f>dataset[[#This Row],[soda_sales]]/dataset[[#This Row],[soda_units_sold]]</f>
        <v>0.73461213086384147</v>
      </c>
      <c r="L1062" s="29">
        <f>dataset[[#This Row],[implied_soda_ppu]]-dataset[[#This Row],[soda_ppu]]</f>
        <v>1.2130863841441908E-5</v>
      </c>
      <c r="M1062">
        <f>dataset[[#This Row],[soda_sales]]/dataset[[#This Row],[total_sales]]</f>
        <v>6.7714399029989519E-2</v>
      </c>
      <c r="N1062">
        <f>LN(dataset[[#This Row],[soda_units_sold]])</f>
        <v>12.399560789936759</v>
      </c>
      <c r="O1062">
        <f>LN(dataset[[#This Row],[soda_sales]])</f>
        <v>12.091148157767469</v>
      </c>
      <c r="P1062">
        <f>LN(dataset[[#This Row],[soda_ppu]])</f>
        <v>-0.30842914559657009</v>
      </c>
      <c r="Q1062">
        <f>IF(dataset[[#This Row],[state]]="VA",1,0)</f>
        <v>1</v>
      </c>
    </row>
    <row r="1063" spans="1:17" x14ac:dyDescent="0.35">
      <c r="A1063">
        <v>202306</v>
      </c>
      <c r="B1063">
        <v>37</v>
      </c>
      <c r="C1063" s="2">
        <v>2501657.8585999999</v>
      </c>
      <c r="D1063" s="2">
        <v>0.75639999999999996</v>
      </c>
      <c r="E1063" s="3">
        <v>247507</v>
      </c>
      <c r="F1063" s="2">
        <v>187212.9871</v>
      </c>
      <c r="G1063" t="s">
        <v>2495</v>
      </c>
      <c r="H1063" t="s">
        <v>3</v>
      </c>
      <c r="I1063">
        <f>HLOOKUP(G1063,zip_tiers!$A$1:$EON$2,2,FALSE)</f>
        <v>74166.666666666672</v>
      </c>
      <c r="J1063" t="str">
        <f t="shared" si="16"/>
        <v>Med</v>
      </c>
      <c r="K1063">
        <f>dataset[[#This Row],[soda_sales]]/dataset[[#This Row],[soda_units_sold]]</f>
        <v>0.75639471651306833</v>
      </c>
      <c r="L1063" s="29">
        <f>dataset[[#This Row],[implied_soda_ppu]]-dataset[[#This Row],[soda_ppu]]</f>
        <v>-5.2834869316287225E-6</v>
      </c>
      <c r="M1063">
        <f>dataset[[#This Row],[soda_sales]]/dataset[[#This Row],[total_sales]]</f>
        <v>7.4835568123919949E-2</v>
      </c>
      <c r="N1063">
        <f>LN(dataset[[#This Row],[soda_units_sold]])</f>
        <v>12.419194143419213</v>
      </c>
      <c r="O1063">
        <f>LN(dataset[[#This Row],[soda_sales]])</f>
        <v>12.140002216153446</v>
      </c>
      <c r="P1063">
        <f>LN(dataset[[#This Row],[soda_ppu]])</f>
        <v>-0.27918494219783468</v>
      </c>
      <c r="Q1063">
        <f>IF(dataset[[#This Row],[state]]="VA",1,0)</f>
        <v>1</v>
      </c>
    </row>
    <row r="1064" spans="1:17" x14ac:dyDescent="0.35">
      <c r="A1064">
        <v>202307</v>
      </c>
      <c r="B1064">
        <v>37</v>
      </c>
      <c r="C1064" s="2">
        <v>2407539.7661000001</v>
      </c>
      <c r="D1064" s="2">
        <v>0.72689999999999999</v>
      </c>
      <c r="E1064" s="3">
        <v>267894</v>
      </c>
      <c r="F1064" s="2">
        <v>194745.2126</v>
      </c>
      <c r="G1064" t="s">
        <v>2495</v>
      </c>
      <c r="H1064" t="s">
        <v>3</v>
      </c>
      <c r="I1064">
        <f>HLOOKUP(G1064,zip_tiers!$A$1:$EON$2,2,FALSE)</f>
        <v>74166.666666666672</v>
      </c>
      <c r="J1064" t="str">
        <f t="shared" si="16"/>
        <v>Med</v>
      </c>
      <c r="K1064">
        <f>dataset[[#This Row],[soda_sales]]/dataset[[#This Row],[soda_units_sold]]</f>
        <v>0.7269487655565261</v>
      </c>
      <c r="L1064" s="29">
        <f>dataset[[#This Row],[implied_soda_ppu]]-dataset[[#This Row],[soda_ppu]]</f>
        <v>4.8765556526109144E-5</v>
      </c>
      <c r="M1064">
        <f>dataset[[#This Row],[soda_sales]]/dataset[[#This Row],[total_sales]]</f>
        <v>8.0889717936194219E-2</v>
      </c>
      <c r="N1064">
        <f>LN(dataset[[#This Row],[soda_units_sold]])</f>
        <v>12.498346658865323</v>
      </c>
      <c r="O1064">
        <f>LN(dataset[[#This Row],[soda_sales]])</f>
        <v>12.179447381145865</v>
      </c>
      <c r="P1064">
        <f>LN(dataset[[#This Row],[soda_ppu]])</f>
        <v>-0.31896636249154731</v>
      </c>
      <c r="Q1064">
        <f>IF(dataset[[#This Row],[state]]="VA",1,0)</f>
        <v>1</v>
      </c>
    </row>
    <row r="1065" spans="1:17" x14ac:dyDescent="0.35">
      <c r="A1065">
        <v>202308</v>
      </c>
      <c r="B1065">
        <v>37</v>
      </c>
      <c r="C1065" s="2">
        <v>2273659.4863999998</v>
      </c>
      <c r="D1065" s="2">
        <v>0.76329999999999998</v>
      </c>
      <c r="E1065" s="3">
        <v>223215</v>
      </c>
      <c r="F1065" s="2">
        <v>170385.40169999999</v>
      </c>
      <c r="G1065" t="s">
        <v>2495</v>
      </c>
      <c r="H1065" t="s">
        <v>3</v>
      </c>
      <c r="I1065">
        <f>HLOOKUP(G1065,zip_tiers!$A$1:$EON$2,2,FALSE)</f>
        <v>74166.666666666672</v>
      </c>
      <c r="J1065" t="str">
        <f t="shared" si="16"/>
        <v>Med</v>
      </c>
      <c r="K1065">
        <f>dataset[[#This Row],[soda_sales]]/dataset[[#This Row],[soda_units_sold]]</f>
        <v>0.7633241569786976</v>
      </c>
      <c r="L1065" s="29">
        <f>dataset[[#This Row],[implied_soda_ppu]]-dataset[[#This Row],[soda_ppu]]</f>
        <v>2.4156978697620346E-5</v>
      </c>
      <c r="M1065">
        <f>dataset[[#This Row],[soda_sales]]/dataset[[#This Row],[total_sales]]</f>
        <v>7.4938838783541781E-2</v>
      </c>
      <c r="N1065">
        <f>LN(dataset[[#This Row],[soda_units_sold]])</f>
        <v>12.31589071153226</v>
      </c>
      <c r="O1065">
        <f>LN(dataset[[#This Row],[soda_sales]])</f>
        <v>12.045818218932753</v>
      </c>
      <c r="P1065">
        <f>LN(dataset[[#This Row],[soda_ppu]])</f>
        <v>-0.27010414017771239</v>
      </c>
      <c r="Q1065">
        <f>IF(dataset[[#This Row],[state]]="VA",1,0)</f>
        <v>1</v>
      </c>
    </row>
    <row r="1066" spans="1:17" x14ac:dyDescent="0.35">
      <c r="A1066">
        <v>202309</v>
      </c>
      <c r="B1066">
        <v>37</v>
      </c>
      <c r="C1066" s="2">
        <v>2308822.5052999998</v>
      </c>
      <c r="D1066" s="2">
        <v>0.77790000000000004</v>
      </c>
      <c r="E1066" s="3">
        <v>212963</v>
      </c>
      <c r="F1066" s="2">
        <v>165657.7322</v>
      </c>
      <c r="G1066" t="s">
        <v>2495</v>
      </c>
      <c r="H1066" t="s">
        <v>3</v>
      </c>
      <c r="I1066">
        <f>HLOOKUP(G1066,zip_tiers!$A$1:$EON$2,2,FALSE)</f>
        <v>74166.666666666672</v>
      </c>
      <c r="J1066" t="str">
        <f t="shared" si="16"/>
        <v>Med</v>
      </c>
      <c r="K1066">
        <f>dataset[[#This Row],[soda_sales]]/dataset[[#This Row],[soda_units_sold]]</f>
        <v>0.77787095504852954</v>
      </c>
      <c r="L1066" s="29">
        <f>dataset[[#This Row],[implied_soda_ppu]]-dataset[[#This Row],[soda_ppu]]</f>
        <v>-2.9044951470491576E-5</v>
      </c>
      <c r="M1066">
        <f>dataset[[#This Row],[soda_sales]]/dataset[[#This Row],[total_sales]]</f>
        <v>7.174987761931706E-2</v>
      </c>
      <c r="N1066">
        <f>LN(dataset[[#This Row],[soda_units_sold]])</f>
        <v>12.268873720682233</v>
      </c>
      <c r="O1066">
        <f>LN(dataset[[#This Row],[soda_sales]])</f>
        <v>12.017679084574066</v>
      </c>
      <c r="P1066">
        <f>LN(dataset[[#This Row],[soda_ppu]])</f>
        <v>-0.25115729776940859</v>
      </c>
      <c r="Q1066">
        <f>IF(dataset[[#This Row],[state]]="VA",1,0)</f>
        <v>1</v>
      </c>
    </row>
    <row r="1067" spans="1:17" x14ac:dyDescent="0.35">
      <c r="A1067">
        <v>202310</v>
      </c>
      <c r="B1067">
        <v>37</v>
      </c>
      <c r="C1067" s="2">
        <v>2827339.3561999998</v>
      </c>
      <c r="D1067" s="2">
        <v>0.74399999999999999</v>
      </c>
      <c r="E1067" s="3">
        <v>217021</v>
      </c>
      <c r="F1067" s="2">
        <v>161469.79999999999</v>
      </c>
      <c r="G1067" t="s">
        <v>2495</v>
      </c>
      <c r="H1067" t="s">
        <v>3</v>
      </c>
      <c r="I1067">
        <f>HLOOKUP(G1067,zip_tiers!$A$1:$EON$2,2,FALSE)</f>
        <v>74166.666666666672</v>
      </c>
      <c r="J1067" t="str">
        <f t="shared" si="16"/>
        <v>Med</v>
      </c>
      <c r="K1067">
        <f>dataset[[#This Row],[soda_sales]]/dataset[[#This Row],[soda_units_sold]]</f>
        <v>0.74402845807548568</v>
      </c>
      <c r="L1067" s="29">
        <f>dataset[[#This Row],[implied_soda_ppu]]-dataset[[#This Row],[soda_ppu]]</f>
        <v>2.8458075485682244E-5</v>
      </c>
      <c r="M1067">
        <f>dataset[[#This Row],[soda_sales]]/dataset[[#This Row],[total_sales]]</f>
        <v>5.7110158936498734E-2</v>
      </c>
      <c r="N1067">
        <f>LN(dataset[[#This Row],[soda_units_sold]])</f>
        <v>12.287749402033825</v>
      </c>
      <c r="O1067">
        <f>LN(dataset[[#This Row],[soda_sales]])</f>
        <v>11.992073407254722</v>
      </c>
      <c r="P1067">
        <f>LN(dataset[[#This Row],[soda_ppu]])</f>
        <v>-0.29571424414904518</v>
      </c>
      <c r="Q1067">
        <f>IF(dataset[[#This Row],[state]]="VA",1,0)</f>
        <v>1</v>
      </c>
    </row>
    <row r="1068" spans="1:17" x14ac:dyDescent="0.35">
      <c r="A1068">
        <v>202311</v>
      </c>
      <c r="B1068">
        <v>37</v>
      </c>
      <c r="C1068" s="2">
        <v>3177804.5241999999</v>
      </c>
      <c r="D1068" s="2">
        <v>0.75449999999999995</v>
      </c>
      <c r="E1068" s="3">
        <v>196232</v>
      </c>
      <c r="F1068" s="2">
        <v>148056.4682</v>
      </c>
      <c r="G1068" t="s">
        <v>2495</v>
      </c>
      <c r="H1068" t="s">
        <v>3</v>
      </c>
      <c r="I1068">
        <f>HLOOKUP(G1068,zip_tiers!$A$1:$EON$2,2,FALSE)</f>
        <v>74166.666666666672</v>
      </c>
      <c r="J1068" t="str">
        <f t="shared" si="16"/>
        <v>Med</v>
      </c>
      <c r="K1068">
        <f>dataset[[#This Row],[soda_sales]]/dataset[[#This Row],[soda_units_sold]]</f>
        <v>0.75449706571812958</v>
      </c>
      <c r="L1068" s="29">
        <f>dataset[[#This Row],[implied_soda_ppu]]-dataset[[#This Row],[soda_ppu]]</f>
        <v>-2.9342818703703699E-6</v>
      </c>
      <c r="M1068">
        <f>dataset[[#This Row],[soda_sales]]/dataset[[#This Row],[total_sales]]</f>
        <v>4.659080414559881E-2</v>
      </c>
      <c r="N1068">
        <f>LN(dataset[[#This Row],[soda_units_sold]])</f>
        <v>12.187052911692918</v>
      </c>
      <c r="O1068">
        <f>LN(dataset[[#This Row],[soda_sales]])</f>
        <v>11.905349021869545</v>
      </c>
      <c r="P1068">
        <f>LN(dataset[[#This Row],[soda_ppu]])</f>
        <v>-0.28170000077423352</v>
      </c>
      <c r="Q1068">
        <f>IF(dataset[[#This Row],[state]]="VA",1,0)</f>
        <v>1</v>
      </c>
    </row>
    <row r="1069" spans="1:17" x14ac:dyDescent="0.35">
      <c r="A1069">
        <v>202312</v>
      </c>
      <c r="B1069">
        <v>37</v>
      </c>
      <c r="C1069" s="2">
        <v>3309239.6688000001</v>
      </c>
      <c r="D1069" s="2">
        <v>0.75009999999999999</v>
      </c>
      <c r="E1069" s="3">
        <v>195622</v>
      </c>
      <c r="F1069" s="2">
        <v>146741.54810000001</v>
      </c>
      <c r="G1069" t="s">
        <v>2495</v>
      </c>
      <c r="H1069" t="s">
        <v>3</v>
      </c>
      <c r="I1069">
        <f>HLOOKUP(G1069,zip_tiers!$A$1:$EON$2,2,FALSE)</f>
        <v>74166.666666666672</v>
      </c>
      <c r="J1069" t="str">
        <f t="shared" si="16"/>
        <v>Med</v>
      </c>
      <c r="K1069">
        <f>dataset[[#This Row],[soda_sales]]/dataset[[#This Row],[soda_units_sold]]</f>
        <v>0.75012804336935524</v>
      </c>
      <c r="L1069" s="29">
        <f>dataset[[#This Row],[implied_soda_ppu]]-dataset[[#This Row],[soda_ppu]]</f>
        <v>2.8043369355246206E-5</v>
      </c>
      <c r="M1069">
        <f>dataset[[#This Row],[soda_sales]]/dataset[[#This Row],[total_sales]]</f>
        <v>4.4342979894596631E-2</v>
      </c>
      <c r="N1069">
        <f>LN(dataset[[#This Row],[soda_units_sold]])</f>
        <v>12.183939504695706</v>
      </c>
      <c r="O1069">
        <f>LN(dataset[[#This Row],[soda_sales]])</f>
        <v>11.896428142164632</v>
      </c>
      <c r="P1069">
        <f>LN(dataset[[#This Row],[soda_ppu]])</f>
        <v>-0.28754874800654645</v>
      </c>
      <c r="Q1069">
        <f>IF(dataset[[#This Row],[state]]="VA",1,0)</f>
        <v>1</v>
      </c>
    </row>
    <row r="1070" spans="1:17" x14ac:dyDescent="0.35">
      <c r="A1070">
        <v>202401</v>
      </c>
      <c r="B1070">
        <v>37</v>
      </c>
      <c r="C1070" s="2">
        <v>1964081.8202</v>
      </c>
      <c r="D1070" s="2">
        <v>0.77100000000000002</v>
      </c>
      <c r="E1070" s="3">
        <v>143702</v>
      </c>
      <c r="F1070" s="2">
        <v>110793.7539</v>
      </c>
      <c r="G1070" t="s">
        <v>2495</v>
      </c>
      <c r="H1070" t="s">
        <v>3</v>
      </c>
      <c r="I1070">
        <f>HLOOKUP(G1070,zip_tiers!$A$1:$EON$2,2,FALSE)</f>
        <v>74166.666666666672</v>
      </c>
      <c r="J1070" t="str">
        <f t="shared" si="16"/>
        <v>Med</v>
      </c>
      <c r="K1070">
        <f>dataset[[#This Row],[soda_sales]]/dataset[[#This Row],[soda_units_sold]]</f>
        <v>0.77099660338756593</v>
      </c>
      <c r="L1070" s="29">
        <f>dataset[[#This Row],[implied_soda_ppu]]-dataset[[#This Row],[soda_ppu]]</f>
        <v>-3.3966124340922832E-6</v>
      </c>
      <c r="M1070">
        <f>dataset[[#This Row],[soda_sales]]/dataset[[#This Row],[total_sales]]</f>
        <v>5.640994828245903E-2</v>
      </c>
      <c r="N1070">
        <f>LN(dataset[[#This Row],[soda_units_sold]])</f>
        <v>11.875496989854746</v>
      </c>
      <c r="O1070">
        <f>LN(dataset[[#This Row],[soda_sales]])</f>
        <v>11.615425678962636</v>
      </c>
      <c r="P1070">
        <f>LN(dataset[[#This Row],[soda_ppu]])</f>
        <v>-0.26006690541880756</v>
      </c>
      <c r="Q1070">
        <f>IF(dataset[[#This Row],[state]]="VA",1,0)</f>
        <v>1</v>
      </c>
    </row>
    <row r="1071" spans="1:17" x14ac:dyDescent="0.35">
      <c r="A1071">
        <v>202402</v>
      </c>
      <c r="B1071">
        <v>37</v>
      </c>
      <c r="C1071" s="2">
        <v>2141104.2497</v>
      </c>
      <c r="D1071" s="2">
        <v>0.77300000000000002</v>
      </c>
      <c r="E1071" s="3">
        <v>157520</v>
      </c>
      <c r="F1071" s="2">
        <v>121755.1863</v>
      </c>
      <c r="G1071" t="s">
        <v>2495</v>
      </c>
      <c r="H1071" t="s">
        <v>3</v>
      </c>
      <c r="I1071">
        <f>HLOOKUP(G1071,zip_tiers!$A$1:$EON$2,2,FALSE)</f>
        <v>74166.666666666672</v>
      </c>
      <c r="J1071" t="str">
        <f t="shared" si="16"/>
        <v>Med</v>
      </c>
      <c r="K1071">
        <f>dataset[[#This Row],[soda_sales]]/dataset[[#This Row],[soda_units_sold]]</f>
        <v>0.77295064944134084</v>
      </c>
      <c r="L1071" s="29">
        <f>dataset[[#This Row],[implied_soda_ppu]]-dataset[[#This Row],[soda_ppu]]</f>
        <v>-4.9350558659178034E-5</v>
      </c>
      <c r="M1071">
        <f>dataset[[#This Row],[soda_sales]]/dataset[[#This Row],[total_sales]]</f>
        <v>5.6865603959760334E-2</v>
      </c>
      <c r="N1071">
        <f>LN(dataset[[#This Row],[soda_units_sold]])</f>
        <v>11.967307713313007</v>
      </c>
      <c r="O1071">
        <f>LN(dataset[[#This Row],[soda_sales]])</f>
        <v>11.709767637984182</v>
      </c>
      <c r="P1071">
        <f>LN(dataset[[#This Row],[soda_ppu]])</f>
        <v>-0.25747623039471507</v>
      </c>
      <c r="Q1071">
        <f>IF(dataset[[#This Row],[state]]="VA",1,0)</f>
        <v>1</v>
      </c>
    </row>
    <row r="1072" spans="1:17" x14ac:dyDescent="0.35">
      <c r="A1072">
        <v>202403</v>
      </c>
      <c r="B1072">
        <v>37</v>
      </c>
      <c r="C1072" s="2">
        <v>2467659.5841000001</v>
      </c>
      <c r="D1072" s="2">
        <v>0.77929999999999999</v>
      </c>
      <c r="E1072" s="3">
        <v>186049</v>
      </c>
      <c r="F1072" s="2">
        <v>144991.98689999999</v>
      </c>
      <c r="G1072" t="s">
        <v>2495</v>
      </c>
      <c r="H1072" t="s">
        <v>3</v>
      </c>
      <c r="I1072">
        <f>HLOOKUP(G1072,zip_tiers!$A$1:$EON$2,2,FALSE)</f>
        <v>74166.666666666672</v>
      </c>
      <c r="J1072" t="str">
        <f t="shared" si="16"/>
        <v>Med</v>
      </c>
      <c r="K1072">
        <f>dataset[[#This Row],[soda_sales]]/dataset[[#This Row],[soda_units_sold]]</f>
        <v>0.77932150616235507</v>
      </c>
      <c r="L1072" s="29">
        <f>dataset[[#This Row],[implied_soda_ppu]]-dataset[[#This Row],[soda_ppu]]</f>
        <v>2.1506162355078295E-5</v>
      </c>
      <c r="M1072">
        <f>dataset[[#This Row],[soda_sales]]/dataset[[#This Row],[total_sales]]</f>
        <v>5.8756883580796331E-2</v>
      </c>
      <c r="N1072">
        <f>LN(dataset[[#This Row],[soda_units_sold]])</f>
        <v>12.133765358861103</v>
      </c>
      <c r="O1072">
        <f>LN(dataset[[#This Row],[soda_sales]])</f>
        <v>11.884433757117048</v>
      </c>
      <c r="P1072">
        <f>LN(dataset[[#This Row],[soda_ppu]])</f>
        <v>-0.24935919813262181</v>
      </c>
      <c r="Q1072">
        <f>IF(dataset[[#This Row],[state]]="VA",1,0)</f>
        <v>1</v>
      </c>
    </row>
    <row r="1073" spans="1:17" x14ac:dyDescent="0.35">
      <c r="A1073">
        <v>202404</v>
      </c>
      <c r="B1073">
        <v>37</v>
      </c>
      <c r="C1073" s="2">
        <v>2600060.014</v>
      </c>
      <c r="D1073" s="2">
        <v>0.77239999999999998</v>
      </c>
      <c r="E1073" s="3">
        <v>225866</v>
      </c>
      <c r="F1073" s="2">
        <v>174467.47839999999</v>
      </c>
      <c r="G1073" t="s">
        <v>2495</v>
      </c>
      <c r="H1073" t="s">
        <v>3</v>
      </c>
      <c r="I1073">
        <f>HLOOKUP(G1073,zip_tiers!$A$1:$EON$2,2,FALSE)</f>
        <v>74166.666666666672</v>
      </c>
      <c r="J1073" t="str">
        <f t="shared" si="16"/>
        <v>Med</v>
      </c>
      <c r="K1073">
        <f>dataset[[#This Row],[soda_sales]]/dataset[[#This Row],[soda_units_sold]]</f>
        <v>0.77243798712510958</v>
      </c>
      <c r="L1073" s="29">
        <f>dataset[[#This Row],[implied_soda_ppu]]-dataset[[#This Row],[soda_ppu]]</f>
        <v>3.7987125109606446E-5</v>
      </c>
      <c r="M1073">
        <f>dataset[[#This Row],[soda_sales]]/dataset[[#This Row],[total_sales]]</f>
        <v>6.7101327454205439E-2</v>
      </c>
      <c r="N1073">
        <f>LN(dataset[[#This Row],[soda_units_sold]])</f>
        <v>12.327697182053655</v>
      </c>
      <c r="O1073">
        <f>LN(dataset[[#This Row],[soda_sales]])</f>
        <v>12.069493633054963</v>
      </c>
      <c r="P1073">
        <f>LN(dataset[[#This Row],[soda_ppu]])</f>
        <v>-0.25825272842777769</v>
      </c>
      <c r="Q1073">
        <f>IF(dataset[[#This Row],[state]]="VA",1,0)</f>
        <v>1</v>
      </c>
    </row>
    <row r="1074" spans="1:17" x14ac:dyDescent="0.35">
      <c r="A1074">
        <v>202405</v>
      </c>
      <c r="B1074">
        <v>37</v>
      </c>
      <c r="C1074" s="2">
        <v>2667079.0150000001</v>
      </c>
      <c r="D1074" s="2">
        <v>0.7843</v>
      </c>
      <c r="E1074" s="3">
        <v>232980</v>
      </c>
      <c r="F1074" s="2">
        <v>182733.571</v>
      </c>
      <c r="G1074" t="s">
        <v>2495</v>
      </c>
      <c r="H1074" t="s">
        <v>3</v>
      </c>
      <c r="I1074">
        <f>HLOOKUP(G1074,zip_tiers!$A$1:$EON$2,2,FALSE)</f>
        <v>74166.666666666672</v>
      </c>
      <c r="J1074" t="str">
        <f t="shared" si="16"/>
        <v>Med</v>
      </c>
      <c r="K1074">
        <f>dataset[[#This Row],[soda_sales]]/dataset[[#This Row],[soda_units_sold]]</f>
        <v>0.78433157781783847</v>
      </c>
      <c r="L1074" s="29">
        <f>dataset[[#This Row],[implied_soda_ppu]]-dataset[[#This Row],[soda_ppu]]</f>
        <v>3.1577817838468469E-5</v>
      </c>
      <c r="M1074">
        <f>dataset[[#This Row],[soda_sales]]/dataset[[#This Row],[total_sales]]</f>
        <v>6.8514494685865165E-2</v>
      </c>
      <c r="N1074">
        <f>LN(dataset[[#This Row],[soda_units_sold]])</f>
        <v>12.358707891953769</v>
      </c>
      <c r="O1074">
        <f>LN(dataset[[#This Row],[soda_sales]])</f>
        <v>12.115784474802078</v>
      </c>
      <c r="P1074">
        <f>LN(dataset[[#This Row],[soda_ppu]])</f>
        <v>-0.24296367876351627</v>
      </c>
      <c r="Q1074">
        <f>IF(dataset[[#This Row],[state]]="VA",1,0)</f>
        <v>1</v>
      </c>
    </row>
    <row r="1075" spans="1:17" x14ac:dyDescent="0.35">
      <c r="A1075">
        <v>202406</v>
      </c>
      <c r="B1075">
        <v>37</v>
      </c>
      <c r="C1075" s="2">
        <v>2583376.9043999999</v>
      </c>
      <c r="D1075" s="2">
        <v>0.8044</v>
      </c>
      <c r="E1075" s="3">
        <v>239080</v>
      </c>
      <c r="F1075" s="2">
        <v>192308.1569</v>
      </c>
      <c r="G1075" t="s">
        <v>2495</v>
      </c>
      <c r="H1075" t="s">
        <v>3</v>
      </c>
      <c r="I1075">
        <f>HLOOKUP(G1075,zip_tiers!$A$1:$EON$2,2,FALSE)</f>
        <v>74166.666666666672</v>
      </c>
      <c r="J1075" t="str">
        <f t="shared" si="16"/>
        <v>Med</v>
      </c>
      <c r="K1075">
        <f>dataset[[#This Row],[soda_sales]]/dataset[[#This Row],[soda_units_sold]]</f>
        <v>0.80436739543249125</v>
      </c>
      <c r="L1075" s="29">
        <f>dataset[[#This Row],[implied_soda_ppu]]-dataset[[#This Row],[soda_ppu]]</f>
        <v>-3.2604567508753846E-5</v>
      </c>
      <c r="M1075">
        <f>dataset[[#This Row],[soda_sales]]/dataset[[#This Row],[total_sales]]</f>
        <v>7.4440611655411687E-2</v>
      </c>
      <c r="N1075">
        <f>LN(dataset[[#This Row],[soda_units_sold]])</f>
        <v>12.384553502938191</v>
      </c>
      <c r="O1075">
        <f>LN(dataset[[#This Row],[soda_sales]])</f>
        <v>12.166854348253974</v>
      </c>
      <c r="P1075">
        <f>LN(dataset[[#This Row],[soda_ppu]])</f>
        <v>-0.21765862108364006</v>
      </c>
      <c r="Q1075">
        <f>IF(dataset[[#This Row],[state]]="VA",1,0)</f>
        <v>1</v>
      </c>
    </row>
    <row r="1076" spans="1:17" x14ac:dyDescent="0.35">
      <c r="A1076">
        <v>202407</v>
      </c>
      <c r="B1076">
        <v>37</v>
      </c>
      <c r="C1076" s="2">
        <v>2456180.8949000002</v>
      </c>
      <c r="D1076" s="2">
        <v>0.78039999999999998</v>
      </c>
      <c r="E1076" s="3">
        <v>258082</v>
      </c>
      <c r="F1076" s="2">
        <v>201415.4252</v>
      </c>
      <c r="G1076" t="s">
        <v>2495</v>
      </c>
      <c r="H1076" t="s">
        <v>3</v>
      </c>
      <c r="I1076">
        <f>HLOOKUP(G1076,zip_tiers!$A$1:$EON$2,2,FALSE)</f>
        <v>74166.666666666672</v>
      </c>
      <c r="J1076" t="str">
        <f t="shared" si="16"/>
        <v>Med</v>
      </c>
      <c r="K1076">
        <f>dataset[[#This Row],[soda_sales]]/dataset[[#This Row],[soda_units_sold]]</f>
        <v>0.78043189838888416</v>
      </c>
      <c r="L1076" s="29">
        <f>dataset[[#This Row],[implied_soda_ppu]]-dataset[[#This Row],[soda_ppu]]</f>
        <v>3.1898388884177287E-5</v>
      </c>
      <c r="M1076">
        <f>dataset[[#This Row],[soda_sales]]/dataset[[#This Row],[total_sales]]</f>
        <v>8.2003498039667125E-2</v>
      </c>
      <c r="N1076">
        <f>LN(dataset[[#This Row],[soda_units_sold]])</f>
        <v>12.461032642864037</v>
      </c>
      <c r="O1076">
        <f>LN(dataset[[#This Row],[soda_sales]])</f>
        <v>12.213124846204648</v>
      </c>
      <c r="P1076">
        <f>LN(dataset[[#This Row],[soda_ppu]])</f>
        <v>-0.24794867023318093</v>
      </c>
      <c r="Q1076">
        <f>IF(dataset[[#This Row],[state]]="VA",1,0)</f>
        <v>1</v>
      </c>
    </row>
    <row r="1077" spans="1:17" x14ac:dyDescent="0.35">
      <c r="A1077">
        <v>202408</v>
      </c>
      <c r="B1077">
        <v>37</v>
      </c>
      <c r="C1077" s="2">
        <v>2355888.5493000001</v>
      </c>
      <c r="D1077" s="2">
        <v>0.78749999999999998</v>
      </c>
      <c r="E1077" s="3">
        <v>225602</v>
      </c>
      <c r="F1077" s="2">
        <v>177664.7801</v>
      </c>
      <c r="G1077" t="s">
        <v>2495</v>
      </c>
      <c r="H1077" t="s">
        <v>3</v>
      </c>
      <c r="I1077">
        <f>HLOOKUP(G1077,zip_tiers!$A$1:$EON$2,2,FALSE)</f>
        <v>74166.666666666672</v>
      </c>
      <c r="J1077" t="str">
        <f t="shared" si="16"/>
        <v>Med</v>
      </c>
      <c r="K1077">
        <f>dataset[[#This Row],[soda_sales]]/dataset[[#This Row],[soda_units_sold]]</f>
        <v>0.78751420687759865</v>
      </c>
      <c r="L1077" s="29">
        <f>dataset[[#This Row],[implied_soda_ppu]]-dataset[[#This Row],[soda_ppu]]</f>
        <v>1.4206877598677004E-5</v>
      </c>
      <c r="M1077">
        <f>dataset[[#This Row],[soda_sales]]/dataset[[#This Row],[total_sales]]</f>
        <v>7.5413066612505561E-2</v>
      </c>
      <c r="N1077">
        <f>LN(dataset[[#This Row],[soda_units_sold]])</f>
        <v>12.326527663814971</v>
      </c>
      <c r="O1077">
        <f>LN(dataset[[#This Row],[soda_sales]])</f>
        <v>12.087653795849386</v>
      </c>
      <c r="P1077">
        <f>LN(dataset[[#This Row],[soda_ppu]])</f>
        <v>-0.23889190828234896</v>
      </c>
      <c r="Q1077">
        <f>IF(dataset[[#This Row],[state]]="VA",1,0)</f>
        <v>1</v>
      </c>
    </row>
    <row r="1078" spans="1:17" x14ac:dyDescent="0.35">
      <c r="A1078">
        <v>202409</v>
      </c>
      <c r="B1078">
        <v>37</v>
      </c>
      <c r="C1078" s="2">
        <v>2338477.3697000002</v>
      </c>
      <c r="D1078" s="2">
        <v>0.79059999999999997</v>
      </c>
      <c r="E1078" s="3">
        <v>217363</v>
      </c>
      <c r="F1078" s="2">
        <v>171854.77840000001</v>
      </c>
      <c r="G1078" t="s">
        <v>2495</v>
      </c>
      <c r="H1078" t="s">
        <v>3</v>
      </c>
      <c r="I1078">
        <f>HLOOKUP(G1078,zip_tiers!$A$1:$EON$2,2,FALSE)</f>
        <v>74166.666666666672</v>
      </c>
      <c r="J1078" t="str">
        <f t="shared" si="16"/>
        <v>Med</v>
      </c>
      <c r="K1078">
        <f>dataset[[#This Row],[soda_sales]]/dataset[[#This Row],[soda_units_sold]]</f>
        <v>0.79063492130675417</v>
      </c>
      <c r="L1078" s="29">
        <f>dataset[[#This Row],[implied_soda_ppu]]-dataset[[#This Row],[soda_ppu]]</f>
        <v>3.4921306754198689E-5</v>
      </c>
      <c r="M1078">
        <f>dataset[[#This Row],[soda_sales]]/dataset[[#This Row],[total_sales]]</f>
        <v>7.3490032713913758E-2</v>
      </c>
      <c r="N1078">
        <f>LN(dataset[[#This Row],[soda_units_sold]])</f>
        <v>12.289324045992469</v>
      </c>
      <c r="O1078">
        <f>LN(dataset[[#This Row],[soda_sales]])</f>
        <v>12.054405087535867</v>
      </c>
      <c r="P1078">
        <f>LN(dataset[[#This Row],[soda_ppu]])</f>
        <v>-0.23496312811955194</v>
      </c>
      <c r="Q1078">
        <f>IF(dataset[[#This Row],[state]]="VA",1,0)</f>
        <v>1</v>
      </c>
    </row>
    <row r="1079" spans="1:17" x14ac:dyDescent="0.35">
      <c r="A1079">
        <v>202410</v>
      </c>
      <c r="B1079">
        <v>37</v>
      </c>
      <c r="C1079" s="2">
        <v>2873304.7151000001</v>
      </c>
      <c r="D1079" s="2">
        <v>0.78720000000000001</v>
      </c>
      <c r="E1079" s="3">
        <v>201164</v>
      </c>
      <c r="F1079" s="2">
        <v>158355.31020000001</v>
      </c>
      <c r="G1079" t="s">
        <v>2495</v>
      </c>
      <c r="H1079" t="s">
        <v>3</v>
      </c>
      <c r="I1079">
        <f>HLOOKUP(G1079,zip_tiers!$A$1:$EON$2,2,FALSE)</f>
        <v>74166.666666666672</v>
      </c>
      <c r="J1079" t="str">
        <f t="shared" si="16"/>
        <v>Med</v>
      </c>
      <c r="K1079">
        <f>dataset[[#This Row],[soda_sales]]/dataset[[#This Row],[soda_units_sold]]</f>
        <v>0.78719507565966085</v>
      </c>
      <c r="L1079" s="29">
        <f>dataset[[#This Row],[implied_soda_ppu]]-dataset[[#This Row],[soda_ppu]]</f>
        <v>-4.9243403391630025E-6</v>
      </c>
      <c r="M1079">
        <f>dataset[[#This Row],[soda_sales]]/dataset[[#This Row],[total_sales]]</f>
        <v>5.5112605832510438E-2</v>
      </c>
      <c r="N1079">
        <f>LN(dataset[[#This Row],[soda_units_sold]])</f>
        <v>12.211875774757123</v>
      </c>
      <c r="O1079">
        <f>LN(dataset[[#This Row],[soda_sales]])</f>
        <v>11.972596585979822</v>
      </c>
      <c r="P1079">
        <f>LN(dataset[[#This Row],[soda_ppu]])</f>
        <v>-0.23927293324409338</v>
      </c>
      <c r="Q1079">
        <f>IF(dataset[[#This Row],[state]]="VA",1,0)</f>
        <v>1</v>
      </c>
    </row>
    <row r="1080" spans="1:17" x14ac:dyDescent="0.35">
      <c r="A1080">
        <v>202411</v>
      </c>
      <c r="B1080">
        <v>37</v>
      </c>
      <c r="C1080" s="2">
        <v>3308578.8300999999</v>
      </c>
      <c r="D1080" s="2">
        <v>0.81720000000000004</v>
      </c>
      <c r="E1080" s="3">
        <v>189054</v>
      </c>
      <c r="F1080" s="2">
        <v>154488.85329999999</v>
      </c>
      <c r="G1080" t="s">
        <v>2495</v>
      </c>
      <c r="H1080" t="s">
        <v>3</v>
      </c>
      <c r="I1080">
        <f>HLOOKUP(G1080,zip_tiers!$A$1:$EON$2,2,FALSE)</f>
        <v>74166.666666666672</v>
      </c>
      <c r="J1080" t="str">
        <f t="shared" si="16"/>
        <v>Med</v>
      </c>
      <c r="K1080">
        <f>dataset[[#This Row],[soda_sales]]/dataset[[#This Row],[soda_units_sold]]</f>
        <v>0.81716786367916039</v>
      </c>
      <c r="L1080" s="29">
        <f>dataset[[#This Row],[implied_soda_ppu]]-dataset[[#This Row],[soda_ppu]]</f>
        <v>-3.2136320839648569E-5</v>
      </c>
      <c r="M1080">
        <f>dataset[[#This Row],[soda_sales]]/dataset[[#This Row],[total_sales]]</f>
        <v>4.6693417697812767E-2</v>
      </c>
      <c r="N1080">
        <f>LN(dataset[[#This Row],[soda_units_sold]])</f>
        <v>12.14978796751894</v>
      </c>
      <c r="O1080">
        <f>LN(dataset[[#This Row],[soda_sales]])</f>
        <v>11.947877225791656</v>
      </c>
      <c r="P1080">
        <f>LN(dataset[[#This Row],[soda_ppu]])</f>
        <v>-0.20187141603867001</v>
      </c>
      <c r="Q1080">
        <f>IF(dataset[[#This Row],[state]]="VA",1,0)</f>
        <v>1</v>
      </c>
    </row>
    <row r="1081" spans="1:17" x14ac:dyDescent="0.35">
      <c r="A1081">
        <v>202412</v>
      </c>
      <c r="B1081">
        <v>37</v>
      </c>
      <c r="C1081" s="2">
        <v>3441953.085</v>
      </c>
      <c r="D1081" s="2">
        <v>0.78120000000000001</v>
      </c>
      <c r="E1081" s="3">
        <v>195072</v>
      </c>
      <c r="F1081" s="2">
        <v>152386.6189</v>
      </c>
      <c r="G1081" t="s">
        <v>2495</v>
      </c>
      <c r="H1081" t="s">
        <v>3</v>
      </c>
      <c r="I1081">
        <f>HLOOKUP(G1081,zip_tiers!$A$1:$EON$2,2,FALSE)</f>
        <v>74166.666666666672</v>
      </c>
      <c r="J1081" t="str">
        <f t="shared" si="16"/>
        <v>Med</v>
      </c>
      <c r="K1081">
        <f>dataset[[#This Row],[soda_sales]]/dataset[[#This Row],[soda_units_sold]]</f>
        <v>0.78118140430200134</v>
      </c>
      <c r="L1081" s="29">
        <f>dataset[[#This Row],[implied_soda_ppu]]-dataset[[#This Row],[soda_ppu]]</f>
        <v>-1.8595697998669003E-5</v>
      </c>
      <c r="M1081">
        <f>dataset[[#This Row],[soda_sales]]/dataset[[#This Row],[total_sales]]</f>
        <v>4.4273299239347419E-2</v>
      </c>
      <c r="N1081">
        <f>LN(dataset[[#This Row],[soda_units_sold]])</f>
        <v>12.181124000166209</v>
      </c>
      <c r="O1081">
        <f>LN(dataset[[#This Row],[soda_sales]])</f>
        <v>11.93417611588638</v>
      </c>
      <c r="P1081">
        <f>LN(dataset[[#This Row],[soda_ppu]])</f>
        <v>-0.24692407997961319</v>
      </c>
      <c r="Q1081">
        <f>IF(dataset[[#This Row],[state]]="VA",1,0)</f>
        <v>1</v>
      </c>
    </row>
    <row r="1082" spans="1:17" x14ac:dyDescent="0.35">
      <c r="A1082">
        <v>202201</v>
      </c>
      <c r="B1082">
        <v>7</v>
      </c>
      <c r="C1082" s="2">
        <v>1631645.2009999999</v>
      </c>
      <c r="D1082" s="2">
        <v>0.68820000000000003</v>
      </c>
      <c r="E1082" s="3">
        <v>145954</v>
      </c>
      <c r="F1082" s="2">
        <v>100449.56080000001</v>
      </c>
      <c r="G1082" t="s">
        <v>2550</v>
      </c>
      <c r="H1082" t="s">
        <v>3</v>
      </c>
      <c r="I1082">
        <f>HLOOKUP(G1082,zip_tiers!$A$1:$EON$2,2,FALSE)</f>
        <v>55273.333333333336</v>
      </c>
      <c r="J1082" t="str">
        <f t="shared" si="16"/>
        <v>Med</v>
      </c>
      <c r="K1082">
        <f>dataset[[#This Row],[soda_sales]]/dataset[[#This Row],[soda_units_sold]]</f>
        <v>0.68822752922153563</v>
      </c>
      <c r="L1082" s="29">
        <f>dataset[[#This Row],[implied_soda_ppu]]-dataset[[#This Row],[soda_ppu]]</f>
        <v>2.7529221535593784E-5</v>
      </c>
      <c r="M1082">
        <f>dataset[[#This Row],[soda_sales]]/dataset[[#This Row],[total_sales]]</f>
        <v>6.1563359937832476E-2</v>
      </c>
      <c r="N1082">
        <f>LN(dataset[[#This Row],[soda_units_sold]])</f>
        <v>11.891046782552817</v>
      </c>
      <c r="O1082">
        <f>LN(dataset[[#This Row],[soda_sales]])</f>
        <v>11.517410997908982</v>
      </c>
      <c r="P1082">
        <f>LN(dataset[[#This Row],[soda_ppu]])</f>
        <v>-0.37367578561875697</v>
      </c>
      <c r="Q1082">
        <f>IF(dataset[[#This Row],[state]]="VA",1,0)</f>
        <v>1</v>
      </c>
    </row>
    <row r="1083" spans="1:17" x14ac:dyDescent="0.35">
      <c r="A1083">
        <v>202202</v>
      </c>
      <c r="B1083">
        <v>7</v>
      </c>
      <c r="C1083" s="2">
        <v>1870481.1783</v>
      </c>
      <c r="D1083" s="2">
        <v>0.68230000000000002</v>
      </c>
      <c r="E1083" s="3">
        <v>170661</v>
      </c>
      <c r="F1083" s="2">
        <v>116446.378</v>
      </c>
      <c r="G1083" t="s">
        <v>2550</v>
      </c>
      <c r="H1083" t="s">
        <v>3</v>
      </c>
      <c r="I1083">
        <f>HLOOKUP(G1083,zip_tiers!$A$1:$EON$2,2,FALSE)</f>
        <v>55273.333333333336</v>
      </c>
      <c r="J1083" t="str">
        <f t="shared" si="16"/>
        <v>Med</v>
      </c>
      <c r="K1083">
        <f>dataset[[#This Row],[soda_sales]]/dataset[[#This Row],[soda_units_sold]]</f>
        <v>0.68232565143764534</v>
      </c>
      <c r="L1083" s="29">
        <f>dataset[[#This Row],[implied_soda_ppu]]-dataset[[#This Row],[soda_ppu]]</f>
        <v>2.5651437645324293E-5</v>
      </c>
      <c r="M1083">
        <f>dataset[[#This Row],[soda_sales]]/dataset[[#This Row],[total_sales]]</f>
        <v>6.225477131281968E-2</v>
      </c>
      <c r="N1083">
        <f>LN(dataset[[#This Row],[soda_units_sold]])</f>
        <v>12.047434411677299</v>
      </c>
      <c r="O1083">
        <f>LN(dataset[[#This Row],[soda_sales]])</f>
        <v>11.665186171350877</v>
      </c>
      <c r="P1083">
        <f>LN(dataset[[#This Row],[soda_ppu]])</f>
        <v>-0.38228583516075909</v>
      </c>
      <c r="Q1083">
        <f>IF(dataset[[#This Row],[state]]="VA",1,0)</f>
        <v>1</v>
      </c>
    </row>
    <row r="1084" spans="1:17" x14ac:dyDescent="0.35">
      <c r="A1084">
        <v>202203</v>
      </c>
      <c r="B1084">
        <v>7</v>
      </c>
      <c r="C1084" s="2">
        <v>2105437.2259</v>
      </c>
      <c r="D1084" s="2">
        <v>0.70579999999999998</v>
      </c>
      <c r="E1084" s="3">
        <v>194983</v>
      </c>
      <c r="F1084" s="2">
        <v>137622.3211</v>
      </c>
      <c r="G1084" t="s">
        <v>2550</v>
      </c>
      <c r="H1084" t="s">
        <v>3</v>
      </c>
      <c r="I1084">
        <f>HLOOKUP(G1084,zip_tiers!$A$1:$EON$2,2,FALSE)</f>
        <v>55273.333333333336</v>
      </c>
      <c r="J1084" t="str">
        <f t="shared" si="16"/>
        <v>Med</v>
      </c>
      <c r="K1084">
        <f>dataset[[#This Row],[soda_sales]]/dataset[[#This Row],[soda_units_sold]]</f>
        <v>0.705817025586846</v>
      </c>
      <c r="L1084" s="29">
        <f>dataset[[#This Row],[implied_soda_ppu]]-dataset[[#This Row],[soda_ppu]]</f>
        <v>1.7025586846020069E-5</v>
      </c>
      <c r="M1084">
        <f>dataset[[#This Row],[soda_sales]]/dataset[[#This Row],[total_sales]]</f>
        <v>6.5365197977427861E-2</v>
      </c>
      <c r="N1084">
        <f>LN(dataset[[#This Row],[soda_units_sold]])</f>
        <v>12.180667654258352</v>
      </c>
      <c r="O1084">
        <f>LN(dataset[[#This Row],[soda_sales]])</f>
        <v>11.832268408622088</v>
      </c>
      <c r="P1084">
        <f>LN(dataset[[#This Row],[soda_ppu]])</f>
        <v>-0.34842336774096738</v>
      </c>
      <c r="Q1084">
        <f>IF(dataset[[#This Row],[state]]="VA",1,0)</f>
        <v>1</v>
      </c>
    </row>
    <row r="1085" spans="1:17" x14ac:dyDescent="0.35">
      <c r="A1085">
        <v>202204</v>
      </c>
      <c r="B1085">
        <v>7</v>
      </c>
      <c r="C1085" s="2">
        <v>2197263.7555</v>
      </c>
      <c r="D1085" s="2">
        <v>0.70799999999999996</v>
      </c>
      <c r="E1085" s="3">
        <v>227966</v>
      </c>
      <c r="F1085" s="2">
        <v>161388.64449999999</v>
      </c>
      <c r="G1085" t="s">
        <v>2550</v>
      </c>
      <c r="H1085" t="s">
        <v>3</v>
      </c>
      <c r="I1085">
        <f>HLOOKUP(G1085,zip_tiers!$A$1:$EON$2,2,FALSE)</f>
        <v>55273.333333333336</v>
      </c>
      <c r="J1085" t="str">
        <f t="shared" si="16"/>
        <v>Med</v>
      </c>
      <c r="K1085">
        <f>dataset[[#This Row],[soda_sales]]/dataset[[#This Row],[soda_units_sold]]</f>
        <v>0.7079505035838678</v>
      </c>
      <c r="L1085" s="29">
        <f>dataset[[#This Row],[implied_soda_ppu]]-dataset[[#This Row],[soda_ppu]]</f>
        <v>-4.9496416132166488E-5</v>
      </c>
      <c r="M1085">
        <f>dataset[[#This Row],[soda_sales]]/dataset[[#This Row],[total_sales]]</f>
        <v>7.3449827812444426E-2</v>
      </c>
      <c r="N1085">
        <f>LN(dataset[[#This Row],[soda_units_sold]])</f>
        <v>12.336951774009648</v>
      </c>
      <c r="O1085">
        <f>LN(dataset[[#This Row],[soda_sales]])</f>
        <v>11.991570676085123</v>
      </c>
      <c r="P1085">
        <f>LN(dataset[[#This Row],[soda_ppu]])</f>
        <v>-0.34531118528841737</v>
      </c>
      <c r="Q1085">
        <f>IF(dataset[[#This Row],[state]]="VA",1,0)</f>
        <v>1</v>
      </c>
    </row>
    <row r="1086" spans="1:17" x14ac:dyDescent="0.35">
      <c r="A1086">
        <v>202205</v>
      </c>
      <c r="B1086">
        <v>7</v>
      </c>
      <c r="C1086" s="2">
        <v>2307180.7650000001</v>
      </c>
      <c r="D1086" s="2">
        <v>0.71120000000000005</v>
      </c>
      <c r="E1086" s="3">
        <v>243313</v>
      </c>
      <c r="F1086" s="2">
        <v>173040.94020000001</v>
      </c>
      <c r="G1086" t="s">
        <v>2550</v>
      </c>
      <c r="H1086" t="s">
        <v>3</v>
      </c>
      <c r="I1086">
        <f>HLOOKUP(G1086,zip_tiers!$A$1:$EON$2,2,FALSE)</f>
        <v>55273.333333333336</v>
      </c>
      <c r="J1086" t="str">
        <f t="shared" si="16"/>
        <v>Med</v>
      </c>
      <c r="K1086">
        <f>dataset[[#This Row],[soda_sales]]/dataset[[#This Row],[soda_units_sold]]</f>
        <v>0.7111865794265001</v>
      </c>
      <c r="L1086" s="29">
        <f>dataset[[#This Row],[implied_soda_ppu]]-dataset[[#This Row],[soda_ppu]]</f>
        <v>-1.3420573499955957E-5</v>
      </c>
      <c r="M1086">
        <f>dataset[[#This Row],[soda_sales]]/dataset[[#This Row],[total_sales]]</f>
        <v>7.5001032786436217E-2</v>
      </c>
      <c r="N1086">
        <f>LN(dataset[[#This Row],[soda_units_sold]])</f>
        <v>12.40210395932116</v>
      </c>
      <c r="O1086">
        <f>LN(dataset[[#This Row],[soda_sales]])</f>
        <v>12.061283494037976</v>
      </c>
      <c r="P1086">
        <f>LN(dataset[[#This Row],[soda_ppu]])</f>
        <v>-0.34080159478244215</v>
      </c>
      <c r="Q1086">
        <f>IF(dataset[[#This Row],[state]]="VA",1,0)</f>
        <v>1</v>
      </c>
    </row>
    <row r="1087" spans="1:17" x14ac:dyDescent="0.35">
      <c r="A1087">
        <v>202206</v>
      </c>
      <c r="B1087">
        <v>7</v>
      </c>
      <c r="C1087" s="2">
        <v>2199562.4786999999</v>
      </c>
      <c r="D1087" s="2">
        <v>0.69720000000000004</v>
      </c>
      <c r="E1087" s="3">
        <v>263046</v>
      </c>
      <c r="F1087" s="2">
        <v>183399.91800000001</v>
      </c>
      <c r="G1087" t="s">
        <v>2550</v>
      </c>
      <c r="H1087" t="s">
        <v>3</v>
      </c>
      <c r="I1087">
        <f>HLOOKUP(G1087,zip_tiers!$A$1:$EON$2,2,FALSE)</f>
        <v>55273.333333333336</v>
      </c>
      <c r="J1087" t="str">
        <f t="shared" si="16"/>
        <v>Med</v>
      </c>
      <c r="K1087">
        <f>dataset[[#This Row],[soda_sales]]/dataset[[#This Row],[soda_units_sold]]</f>
        <v>0.69721614470472848</v>
      </c>
      <c r="L1087" s="29">
        <f>dataset[[#This Row],[implied_soda_ppu]]-dataset[[#This Row],[soda_ppu]]</f>
        <v>1.6144704728437986E-5</v>
      </c>
      <c r="M1087">
        <f>dataset[[#This Row],[soda_sales]]/dataset[[#This Row],[total_sales]]</f>
        <v>8.338018118421181E-2</v>
      </c>
      <c r="N1087">
        <f>LN(dataset[[#This Row],[soda_units_sold]])</f>
        <v>12.480084200808781</v>
      </c>
      <c r="O1087">
        <f>LN(dataset[[#This Row],[soda_sales]])</f>
        <v>12.11942439169426</v>
      </c>
      <c r="P1087">
        <f>LN(dataset[[#This Row],[soda_ppu]])</f>
        <v>-0.36068296533627114</v>
      </c>
      <c r="Q1087">
        <f>IF(dataset[[#This Row],[state]]="VA",1,0)</f>
        <v>1</v>
      </c>
    </row>
    <row r="1088" spans="1:17" x14ac:dyDescent="0.35">
      <c r="A1088">
        <v>202207</v>
      </c>
      <c r="B1088">
        <v>7</v>
      </c>
      <c r="C1088" s="2">
        <v>2092135.4678</v>
      </c>
      <c r="D1088" s="2">
        <v>0.69189999999999996</v>
      </c>
      <c r="E1088" s="3">
        <v>274265</v>
      </c>
      <c r="F1088" s="2">
        <v>189770.3314</v>
      </c>
      <c r="G1088" t="s">
        <v>2550</v>
      </c>
      <c r="H1088" t="s">
        <v>3</v>
      </c>
      <c r="I1088">
        <f>HLOOKUP(G1088,zip_tiers!$A$1:$EON$2,2,FALSE)</f>
        <v>55273.333333333336</v>
      </c>
      <c r="J1088" t="str">
        <f t="shared" si="16"/>
        <v>Med</v>
      </c>
      <c r="K1088">
        <f>dataset[[#This Row],[soda_sales]]/dataset[[#This Row],[soda_units_sold]]</f>
        <v>0.69192325451661707</v>
      </c>
      <c r="L1088" s="29">
        <f>dataset[[#This Row],[implied_soda_ppu]]-dataset[[#This Row],[soda_ppu]]</f>
        <v>2.3254516617110532E-5</v>
      </c>
      <c r="M1088">
        <f>dataset[[#This Row],[soda_sales]]/dataset[[#This Row],[total_sales]]</f>
        <v>9.0706521791131603E-2</v>
      </c>
      <c r="N1088">
        <f>LN(dataset[[#This Row],[soda_units_sold]])</f>
        <v>12.521850071263476</v>
      </c>
      <c r="O1088">
        <f>LN(dataset[[#This Row],[soda_sales]])</f>
        <v>12.153569837870998</v>
      </c>
      <c r="P1088">
        <f>LN(dataset[[#This Row],[soda_ppu]])</f>
        <v>-0.3683138424773717</v>
      </c>
      <c r="Q1088">
        <f>IF(dataset[[#This Row],[state]]="VA",1,0)</f>
        <v>1</v>
      </c>
    </row>
    <row r="1089" spans="1:17" x14ac:dyDescent="0.35">
      <c r="A1089">
        <v>202208</v>
      </c>
      <c r="B1089">
        <v>7</v>
      </c>
      <c r="C1089" s="2">
        <v>2019802.6618999999</v>
      </c>
      <c r="D1089" s="2">
        <v>0.69630000000000003</v>
      </c>
      <c r="E1089" s="3">
        <v>241683</v>
      </c>
      <c r="F1089" s="2">
        <v>168276.05720000001</v>
      </c>
      <c r="G1089" t="s">
        <v>2550</v>
      </c>
      <c r="H1089" t="s">
        <v>3</v>
      </c>
      <c r="I1089">
        <f>HLOOKUP(G1089,zip_tiers!$A$1:$EON$2,2,FALSE)</f>
        <v>55273.333333333336</v>
      </c>
      <c r="J1089" t="str">
        <f t="shared" si="16"/>
        <v>Med</v>
      </c>
      <c r="K1089">
        <f>dataset[[#This Row],[soda_sales]]/dataset[[#This Row],[soda_units_sold]]</f>
        <v>0.69626766135805995</v>
      </c>
      <c r="L1089" s="29">
        <f>dataset[[#This Row],[implied_soda_ppu]]-dataset[[#This Row],[soda_ppu]]</f>
        <v>-3.2338641940077295E-5</v>
      </c>
      <c r="M1089">
        <f>dataset[[#This Row],[soda_sales]]/dataset[[#This Row],[total_sales]]</f>
        <v>8.3313117847713447E-2</v>
      </c>
      <c r="N1089">
        <f>LN(dataset[[#This Row],[soda_units_sold]])</f>
        <v>12.395382229091753</v>
      </c>
      <c r="O1089">
        <f>LN(dataset[[#This Row],[soda_sales]])</f>
        <v>12.033361107432347</v>
      </c>
      <c r="P1089">
        <f>LN(dataset[[#This Row],[soda_ppu]])</f>
        <v>-0.36197467703363595</v>
      </c>
      <c r="Q1089">
        <f>IF(dataset[[#This Row],[state]]="VA",1,0)</f>
        <v>1</v>
      </c>
    </row>
    <row r="1090" spans="1:17" x14ac:dyDescent="0.35">
      <c r="A1090">
        <v>202209</v>
      </c>
      <c r="B1090">
        <v>7</v>
      </c>
      <c r="C1090" s="2">
        <v>1986349.5581</v>
      </c>
      <c r="D1090" s="2">
        <v>0.69920000000000004</v>
      </c>
      <c r="E1090" s="3">
        <v>227440</v>
      </c>
      <c r="F1090" s="2">
        <v>159014.7635</v>
      </c>
      <c r="G1090" t="s">
        <v>2550</v>
      </c>
      <c r="H1090" t="s">
        <v>3</v>
      </c>
      <c r="I1090">
        <f>HLOOKUP(G1090,zip_tiers!$A$1:$EON$2,2,FALSE)</f>
        <v>55273.333333333336</v>
      </c>
      <c r="J1090" t="str">
        <f t="shared" ref="J1090:J1153" si="17">IF(I1090="","No Data",IF(I1090&gt;=100000,"High",IF(I1090&gt;=40000,"Med","Low")))</f>
        <v>Med</v>
      </c>
      <c r="K1090">
        <f>dataset[[#This Row],[soda_sales]]/dataset[[#This Row],[soda_units_sold]]</f>
        <v>0.69915038471684843</v>
      </c>
      <c r="L1090" s="29">
        <f>dataset[[#This Row],[implied_soda_ppu]]-dataset[[#This Row],[soda_ppu]]</f>
        <v>-4.9615283151616119E-5</v>
      </c>
      <c r="M1090">
        <f>dataset[[#This Row],[soda_sales]]/dataset[[#This Row],[total_sales]]</f>
        <v>8.0053766393515427E-2</v>
      </c>
      <c r="N1090">
        <f>LN(dataset[[#This Row],[soda_units_sold]])</f>
        <v>12.334641746324881</v>
      </c>
      <c r="O1090">
        <f>LN(dataset[[#This Row],[soda_sales]])</f>
        <v>11.976752329093127</v>
      </c>
      <c r="P1090">
        <f>LN(dataset[[#This Row],[soda_ppu]])</f>
        <v>-0.3578184546408113</v>
      </c>
      <c r="Q1090">
        <f>IF(dataset[[#This Row],[state]]="VA",1,0)</f>
        <v>1</v>
      </c>
    </row>
    <row r="1091" spans="1:17" x14ac:dyDescent="0.35">
      <c r="A1091">
        <v>202210</v>
      </c>
      <c r="B1091">
        <v>7</v>
      </c>
      <c r="C1091" s="2">
        <v>2433664.3747999999</v>
      </c>
      <c r="D1091" s="2">
        <v>0.67700000000000005</v>
      </c>
      <c r="E1091" s="3">
        <v>227404</v>
      </c>
      <c r="F1091" s="2">
        <v>153960.4743</v>
      </c>
      <c r="G1091" t="s">
        <v>2550</v>
      </c>
      <c r="H1091" t="s">
        <v>3</v>
      </c>
      <c r="I1091">
        <f>HLOOKUP(G1091,zip_tiers!$A$1:$EON$2,2,FALSE)</f>
        <v>55273.333333333336</v>
      </c>
      <c r="J1091" t="str">
        <f t="shared" si="17"/>
        <v>Med</v>
      </c>
      <c r="K1091">
        <f>dataset[[#This Row],[soda_sales]]/dataset[[#This Row],[soda_units_sold]]</f>
        <v>0.67703503148581379</v>
      </c>
      <c r="L1091" s="29">
        <f>dataset[[#This Row],[implied_soda_ppu]]-dataset[[#This Row],[soda_ppu]]</f>
        <v>3.503148581374127E-5</v>
      </c>
      <c r="M1091">
        <f>dataset[[#This Row],[soda_sales]]/dataset[[#This Row],[total_sales]]</f>
        <v>6.3262821239536193E-2</v>
      </c>
      <c r="N1091">
        <f>LN(dataset[[#This Row],[soda_units_sold]])</f>
        <v>12.334483450293384</v>
      </c>
      <c r="O1091">
        <f>LN(dataset[[#This Row],[soda_sales]])</f>
        <v>11.94445118806324</v>
      </c>
      <c r="P1091">
        <f>LN(dataset[[#This Row],[soda_ppu]])</f>
        <v>-0.39008400606986199</v>
      </c>
      <c r="Q1091">
        <f>IF(dataset[[#This Row],[state]]="VA",1,0)</f>
        <v>1</v>
      </c>
    </row>
    <row r="1092" spans="1:17" x14ac:dyDescent="0.35">
      <c r="A1092">
        <v>202211</v>
      </c>
      <c r="B1092">
        <v>7</v>
      </c>
      <c r="C1092" s="2">
        <v>2800698.8772</v>
      </c>
      <c r="D1092" s="2">
        <v>0.70150000000000001</v>
      </c>
      <c r="E1092" s="3">
        <v>207363</v>
      </c>
      <c r="F1092" s="2">
        <v>145457.70000000001</v>
      </c>
      <c r="G1092" t="s">
        <v>2550</v>
      </c>
      <c r="H1092" t="s">
        <v>3</v>
      </c>
      <c r="I1092">
        <f>HLOOKUP(G1092,zip_tiers!$A$1:$EON$2,2,FALSE)</f>
        <v>55273.333333333336</v>
      </c>
      <c r="J1092" t="str">
        <f t="shared" si="17"/>
        <v>Med</v>
      </c>
      <c r="K1092">
        <f>dataset[[#This Row],[soda_sales]]/dataset[[#This Row],[soda_units_sold]]</f>
        <v>0.70146409918837982</v>
      </c>
      <c r="L1092" s="29">
        <f>dataset[[#This Row],[implied_soda_ppu]]-dataset[[#This Row],[soda_ppu]]</f>
        <v>-3.5900811620193096E-5</v>
      </c>
      <c r="M1092">
        <f>dataset[[#This Row],[soda_sales]]/dataset[[#This Row],[total_sales]]</f>
        <v>5.1936215344014922E-2</v>
      </c>
      <c r="N1092">
        <f>LN(dataset[[#This Row],[soda_units_sold]])</f>
        <v>12.242226159633985</v>
      </c>
      <c r="O1092">
        <f>LN(dataset[[#This Row],[soda_sales]])</f>
        <v>11.887640601676468</v>
      </c>
      <c r="P1092">
        <f>LN(dataset[[#This Row],[soda_ppu]])</f>
        <v>-0.35453437943962141</v>
      </c>
      <c r="Q1092">
        <f>IF(dataset[[#This Row],[state]]="VA",1,0)</f>
        <v>1</v>
      </c>
    </row>
    <row r="1093" spans="1:17" x14ac:dyDescent="0.35">
      <c r="A1093">
        <v>202212</v>
      </c>
      <c r="B1093">
        <v>7</v>
      </c>
      <c r="C1093" s="2">
        <v>2901192.1088</v>
      </c>
      <c r="D1093" s="2">
        <v>0.70899999999999996</v>
      </c>
      <c r="E1093" s="3">
        <v>197005</v>
      </c>
      <c r="F1093" s="2">
        <v>139677.3126</v>
      </c>
      <c r="G1093" t="s">
        <v>2550</v>
      </c>
      <c r="H1093" t="s">
        <v>3</v>
      </c>
      <c r="I1093">
        <f>HLOOKUP(G1093,zip_tiers!$A$1:$EON$2,2,FALSE)</f>
        <v>55273.333333333336</v>
      </c>
      <c r="J1093" t="str">
        <f t="shared" si="17"/>
        <v>Med</v>
      </c>
      <c r="K1093">
        <f>dataset[[#This Row],[soda_sales]]/dataset[[#This Row],[soda_units_sold]]</f>
        <v>0.70900389634780847</v>
      </c>
      <c r="L1093" s="29">
        <f>dataset[[#This Row],[implied_soda_ppu]]-dataset[[#This Row],[soda_ppu]]</f>
        <v>3.8963478085074499E-6</v>
      </c>
      <c r="M1093">
        <f>dataset[[#This Row],[soda_sales]]/dataset[[#This Row],[total_sales]]</f>
        <v>4.8144799572674202E-2</v>
      </c>
      <c r="N1093">
        <f>LN(dataset[[#This Row],[soda_units_sold]])</f>
        <v>12.190984388108701</v>
      </c>
      <c r="O1093">
        <f>LN(dataset[[#This Row],[soda_sales]])</f>
        <v>11.847090131197623</v>
      </c>
      <c r="P1093">
        <f>LN(dataset[[#This Row],[soda_ppu]])</f>
        <v>-0.34389975245000959</v>
      </c>
      <c r="Q1093">
        <f>IF(dataset[[#This Row],[state]]="VA",1,0)</f>
        <v>1</v>
      </c>
    </row>
    <row r="1094" spans="1:17" x14ac:dyDescent="0.35">
      <c r="A1094">
        <v>202301</v>
      </c>
      <c r="B1094">
        <v>7</v>
      </c>
      <c r="C1094" s="2">
        <v>1653387.2248</v>
      </c>
      <c r="D1094" s="2">
        <v>0.73040000000000005</v>
      </c>
      <c r="E1094" s="3">
        <v>139572</v>
      </c>
      <c r="F1094" s="2">
        <v>101937.2632</v>
      </c>
      <c r="G1094" t="s">
        <v>2550</v>
      </c>
      <c r="H1094" t="s">
        <v>3</v>
      </c>
      <c r="I1094">
        <f>HLOOKUP(G1094,zip_tiers!$A$1:$EON$2,2,FALSE)</f>
        <v>55273.333333333336</v>
      </c>
      <c r="J1094" t="str">
        <f t="shared" si="17"/>
        <v>Med</v>
      </c>
      <c r="K1094">
        <f>dataset[[#This Row],[soda_sales]]/dataset[[#This Row],[soda_units_sold]]</f>
        <v>0.73035611154099678</v>
      </c>
      <c r="L1094" s="29">
        <f>dataset[[#This Row],[implied_soda_ppu]]-dataset[[#This Row],[soda_ppu]]</f>
        <v>-4.3888459003271763E-5</v>
      </c>
      <c r="M1094">
        <f>dataset[[#This Row],[soda_sales]]/dataset[[#This Row],[total_sales]]</f>
        <v>6.1653593103291771E-2</v>
      </c>
      <c r="N1094">
        <f>LN(dataset[[#This Row],[soda_units_sold]])</f>
        <v>11.846335876127039</v>
      </c>
      <c r="O1094">
        <f>LN(dataset[[#This Row],[soda_sales]])</f>
        <v>11.532112836368642</v>
      </c>
      <c r="P1094">
        <f>LN(dataset[[#This Row],[soda_ppu]])</f>
        <v>-0.31416294970137826</v>
      </c>
      <c r="Q1094">
        <f>IF(dataset[[#This Row],[state]]="VA",1,0)</f>
        <v>1</v>
      </c>
    </row>
    <row r="1095" spans="1:17" x14ac:dyDescent="0.35">
      <c r="A1095">
        <v>202302</v>
      </c>
      <c r="B1095">
        <v>7</v>
      </c>
      <c r="C1095" s="2">
        <v>1906617.4717999999</v>
      </c>
      <c r="D1095" s="2">
        <v>0.72619999999999996</v>
      </c>
      <c r="E1095" s="3">
        <v>166420</v>
      </c>
      <c r="F1095" s="2">
        <v>120854.06759999999</v>
      </c>
      <c r="G1095" t="s">
        <v>2550</v>
      </c>
      <c r="H1095" t="s">
        <v>3</v>
      </c>
      <c r="I1095">
        <f>HLOOKUP(G1095,zip_tiers!$A$1:$EON$2,2,FALSE)</f>
        <v>55273.333333333336</v>
      </c>
      <c r="J1095" t="str">
        <f t="shared" si="17"/>
        <v>Med</v>
      </c>
      <c r="K1095">
        <f>dataset[[#This Row],[soda_sales]]/dataset[[#This Row],[soda_units_sold]]</f>
        <v>0.72619918038697273</v>
      </c>
      <c r="L1095" s="29">
        <f>dataset[[#This Row],[implied_soda_ppu]]-dataset[[#This Row],[soda_ppu]]</f>
        <v>-8.1961302722532992E-7</v>
      </c>
      <c r="M1095">
        <f>dataset[[#This Row],[soda_sales]]/dataset[[#This Row],[total_sales]]</f>
        <v>6.3386635960019838E-2</v>
      </c>
      <c r="N1095">
        <f>LN(dataset[[#This Row],[soda_units_sold]])</f>
        <v>12.022269992454421</v>
      </c>
      <c r="O1095">
        <f>LN(dataset[[#This Row],[soda_sales]])</f>
        <v>11.702339043819237</v>
      </c>
      <c r="P1095">
        <f>LN(dataset[[#This Row],[soda_ppu]])</f>
        <v>-0.31992982000190168</v>
      </c>
      <c r="Q1095">
        <f>IF(dataset[[#This Row],[state]]="VA",1,0)</f>
        <v>1</v>
      </c>
    </row>
    <row r="1096" spans="1:17" x14ac:dyDescent="0.35">
      <c r="A1096">
        <v>202303</v>
      </c>
      <c r="B1096">
        <v>7</v>
      </c>
      <c r="C1096" s="2">
        <v>2123198.8572</v>
      </c>
      <c r="D1096" s="2">
        <v>0.70540000000000003</v>
      </c>
      <c r="E1096" s="3">
        <v>196652</v>
      </c>
      <c r="F1096" s="2">
        <v>138726.55319999999</v>
      </c>
      <c r="G1096" t="s">
        <v>2550</v>
      </c>
      <c r="H1096" t="s">
        <v>3</v>
      </c>
      <c r="I1096">
        <f>HLOOKUP(G1096,zip_tiers!$A$1:$EON$2,2,FALSE)</f>
        <v>55273.333333333336</v>
      </c>
      <c r="J1096" t="str">
        <f t="shared" si="17"/>
        <v>Med</v>
      </c>
      <c r="K1096">
        <f>dataset[[#This Row],[soda_sales]]/dataset[[#This Row],[soda_units_sold]]</f>
        <v>0.70544186278298715</v>
      </c>
      <c r="L1096" s="29">
        <f>dataset[[#This Row],[implied_soda_ppu]]-dataset[[#This Row],[soda_ppu]]</f>
        <v>4.1862782987123204E-5</v>
      </c>
      <c r="M1096">
        <f>dataset[[#This Row],[soda_sales]]/dataset[[#This Row],[total_sales]]</f>
        <v>6.5338464519968567E-2</v>
      </c>
      <c r="N1096">
        <f>LN(dataset[[#This Row],[soda_units_sold]])</f>
        <v>12.189190948161658</v>
      </c>
      <c r="O1096">
        <f>LN(dataset[[#This Row],[soda_sales]])</f>
        <v>11.840260031383002</v>
      </c>
      <c r="P1096">
        <f>LN(dataset[[#This Row],[soda_ppu]])</f>
        <v>-0.34899026118018539</v>
      </c>
      <c r="Q1096">
        <f>IF(dataset[[#This Row],[state]]="VA",1,0)</f>
        <v>1</v>
      </c>
    </row>
    <row r="1097" spans="1:17" x14ac:dyDescent="0.35">
      <c r="A1097">
        <v>202304</v>
      </c>
      <c r="B1097">
        <v>7</v>
      </c>
      <c r="C1097" s="2">
        <v>2244533.7656</v>
      </c>
      <c r="D1097" s="2">
        <v>0.70589999999999997</v>
      </c>
      <c r="E1097" s="3">
        <v>233372</v>
      </c>
      <c r="F1097" s="2">
        <v>164730.6495</v>
      </c>
      <c r="G1097" t="s">
        <v>2550</v>
      </c>
      <c r="H1097" t="s">
        <v>3</v>
      </c>
      <c r="I1097">
        <f>HLOOKUP(G1097,zip_tiers!$A$1:$EON$2,2,FALSE)</f>
        <v>55273.333333333336</v>
      </c>
      <c r="J1097" t="str">
        <f t="shared" si="17"/>
        <v>Med</v>
      </c>
      <c r="K1097">
        <f>dataset[[#This Row],[soda_sales]]/dataset[[#This Row],[soda_units_sold]]</f>
        <v>0.70587152486159432</v>
      </c>
      <c r="L1097" s="29">
        <f>dataset[[#This Row],[implied_soda_ppu]]-dataset[[#This Row],[soda_ppu]]</f>
        <v>-2.8475138405648082E-5</v>
      </c>
      <c r="M1097">
        <f>dataset[[#This Row],[soda_sales]]/dataset[[#This Row],[total_sales]]</f>
        <v>7.3391923090969785E-2</v>
      </c>
      <c r="N1097">
        <f>LN(dataset[[#This Row],[soda_units_sold]])</f>
        <v>12.360389025914051</v>
      </c>
      <c r="O1097">
        <f>LN(dataset[[#This Row],[soda_sales]])</f>
        <v>12.012066991748771</v>
      </c>
      <c r="P1097">
        <f>LN(dataset[[#This Row],[soda_ppu]])</f>
        <v>-0.34828169458071062</v>
      </c>
      <c r="Q1097">
        <f>IF(dataset[[#This Row],[state]]="VA",1,0)</f>
        <v>1</v>
      </c>
    </row>
    <row r="1098" spans="1:17" x14ac:dyDescent="0.35">
      <c r="A1098">
        <v>202305</v>
      </c>
      <c r="B1098">
        <v>7</v>
      </c>
      <c r="C1098" s="2">
        <v>2358619.5186999999</v>
      </c>
      <c r="D1098" s="2">
        <v>0.72170000000000001</v>
      </c>
      <c r="E1098" s="3">
        <v>250167</v>
      </c>
      <c r="F1098" s="2">
        <v>180537.12450000001</v>
      </c>
      <c r="G1098" t="s">
        <v>2550</v>
      </c>
      <c r="H1098" t="s">
        <v>3</v>
      </c>
      <c r="I1098">
        <f>HLOOKUP(G1098,zip_tiers!$A$1:$EON$2,2,FALSE)</f>
        <v>55273.333333333336</v>
      </c>
      <c r="J1098" t="str">
        <f t="shared" si="17"/>
        <v>Med</v>
      </c>
      <c r="K1098">
        <f>dataset[[#This Row],[soda_sales]]/dataset[[#This Row],[soda_units_sold]]</f>
        <v>0.72166642482821475</v>
      </c>
      <c r="L1098" s="29">
        <f>dataset[[#This Row],[implied_soda_ppu]]-dataset[[#This Row],[soda_ppu]]</f>
        <v>-3.3575171785260594E-5</v>
      </c>
      <c r="M1098">
        <f>dataset[[#This Row],[soda_sales]]/dataset[[#This Row],[total_sales]]</f>
        <v>7.6543555697998561E-2</v>
      </c>
      <c r="N1098">
        <f>LN(dataset[[#This Row],[soda_units_sold]])</f>
        <v>12.429883973831693</v>
      </c>
      <c r="O1098">
        <f>LN(dataset[[#This Row],[soda_sales]])</f>
        <v>12.103691711506961</v>
      </c>
      <c r="P1098">
        <f>LN(dataset[[#This Row],[soda_ppu]])</f>
        <v>-0.32614573890390952</v>
      </c>
      <c r="Q1098">
        <f>IF(dataset[[#This Row],[state]]="VA",1,0)</f>
        <v>1</v>
      </c>
    </row>
    <row r="1099" spans="1:17" x14ac:dyDescent="0.35">
      <c r="A1099">
        <v>202306</v>
      </c>
      <c r="B1099">
        <v>7</v>
      </c>
      <c r="C1099" s="2">
        <v>2237694.2590999999</v>
      </c>
      <c r="D1099" s="2">
        <v>0.72019999999999995</v>
      </c>
      <c r="E1099" s="3">
        <v>255200</v>
      </c>
      <c r="F1099" s="2">
        <v>183802.59229999999</v>
      </c>
      <c r="G1099" t="s">
        <v>2550</v>
      </c>
      <c r="H1099" t="s">
        <v>3</v>
      </c>
      <c r="I1099">
        <f>HLOOKUP(G1099,zip_tiers!$A$1:$EON$2,2,FALSE)</f>
        <v>55273.333333333336</v>
      </c>
      <c r="J1099" t="str">
        <f t="shared" si="17"/>
        <v>Med</v>
      </c>
      <c r="K1099">
        <f>dataset[[#This Row],[soda_sales]]/dataset[[#This Row],[soda_units_sold]]</f>
        <v>0.72022959365203754</v>
      </c>
      <c r="L1099" s="29">
        <f>dataset[[#This Row],[implied_soda_ppu]]-dataset[[#This Row],[soda_ppu]]</f>
        <v>2.9593652037585017E-5</v>
      </c>
      <c r="M1099">
        <f>dataset[[#This Row],[soda_sales]]/dataset[[#This Row],[total_sales]]</f>
        <v>8.2139278658169029E-2</v>
      </c>
      <c r="N1099">
        <f>LN(dataset[[#This Row],[soda_units_sold]])</f>
        <v>12.449802830452771</v>
      </c>
      <c r="O1099">
        <f>LN(dataset[[#This Row],[soda_sales]])</f>
        <v>12.121617592721567</v>
      </c>
      <c r="P1099">
        <f>LN(dataset[[#This Row],[soda_ppu]])</f>
        <v>-0.32822632776736227</v>
      </c>
      <c r="Q1099">
        <f>IF(dataset[[#This Row],[state]]="VA",1,0)</f>
        <v>1</v>
      </c>
    </row>
    <row r="1100" spans="1:17" x14ac:dyDescent="0.35">
      <c r="A1100">
        <v>202307</v>
      </c>
      <c r="B1100">
        <v>7</v>
      </c>
      <c r="C1100" s="2">
        <v>2117119.3036000002</v>
      </c>
      <c r="D1100" s="2">
        <v>0.72909999999999997</v>
      </c>
      <c r="E1100" s="3">
        <v>260842</v>
      </c>
      <c r="F1100" s="2">
        <v>190190.20509999999</v>
      </c>
      <c r="G1100" t="s">
        <v>2550</v>
      </c>
      <c r="H1100" t="s">
        <v>3</v>
      </c>
      <c r="I1100">
        <f>HLOOKUP(G1100,zip_tiers!$A$1:$EON$2,2,FALSE)</f>
        <v>55273.333333333336</v>
      </c>
      <c r="J1100" t="str">
        <f t="shared" si="17"/>
        <v>Med</v>
      </c>
      <c r="K1100">
        <f>dataset[[#This Row],[soda_sales]]/dataset[[#This Row],[soda_units_sold]]</f>
        <v>0.72913949862368788</v>
      </c>
      <c r="L1100" s="29">
        <f>dataset[[#This Row],[implied_soda_ppu]]-dataset[[#This Row],[soda_ppu]]</f>
        <v>3.9498623687905798E-5</v>
      </c>
      <c r="M1100">
        <f>dataset[[#This Row],[soda_sales]]/dataset[[#This Row],[total_sales]]</f>
        <v>8.9834429631148335E-2</v>
      </c>
      <c r="N1100">
        <f>LN(dataset[[#This Row],[soda_units_sold]])</f>
        <v>12.471670139013398</v>
      </c>
      <c r="O1100">
        <f>LN(dataset[[#This Row],[soda_sales]])</f>
        <v>12.155779929870414</v>
      </c>
      <c r="P1100">
        <f>LN(dataset[[#This Row],[soda_ppu]])</f>
        <v>-0.31594438216975246</v>
      </c>
      <c r="Q1100">
        <f>IF(dataset[[#This Row],[state]]="VA",1,0)</f>
        <v>1</v>
      </c>
    </row>
    <row r="1101" spans="1:17" x14ac:dyDescent="0.35">
      <c r="A1101">
        <v>202308</v>
      </c>
      <c r="B1101">
        <v>7</v>
      </c>
      <c r="C1101" s="2">
        <v>2058324.5719999999</v>
      </c>
      <c r="D1101" s="2">
        <v>0.73799999999999999</v>
      </c>
      <c r="E1101" s="3">
        <v>228754</v>
      </c>
      <c r="F1101" s="2">
        <v>168827.07949999999</v>
      </c>
      <c r="G1101" t="s">
        <v>2550</v>
      </c>
      <c r="H1101" t="s">
        <v>3</v>
      </c>
      <c r="I1101">
        <f>HLOOKUP(G1101,zip_tiers!$A$1:$EON$2,2,FALSE)</f>
        <v>55273.333333333336</v>
      </c>
      <c r="J1101" t="str">
        <f t="shared" si="17"/>
        <v>Med</v>
      </c>
      <c r="K1101">
        <f>dataset[[#This Row],[soda_sales]]/dataset[[#This Row],[soda_units_sold]]</f>
        <v>0.7380289721709784</v>
      </c>
      <c r="L1101" s="29">
        <f>dataset[[#This Row],[implied_soda_ppu]]-dataset[[#This Row],[soda_ppu]]</f>
        <v>2.8972170978414091E-5</v>
      </c>
      <c r="M1101">
        <f>dataset[[#This Row],[soda_sales]]/dataset[[#This Row],[total_sales]]</f>
        <v>8.202160232482518E-2</v>
      </c>
      <c r="N1101">
        <f>LN(dataset[[#This Row],[soda_units_sold]])</f>
        <v>12.340402469323681</v>
      </c>
      <c r="O1101">
        <f>LN(dataset[[#This Row],[soda_sales]])</f>
        <v>12.036630271855707</v>
      </c>
      <c r="P1101">
        <f>LN(dataset[[#This Row],[soda_ppu]])</f>
        <v>-0.30381145438166457</v>
      </c>
      <c r="Q1101">
        <f>IF(dataset[[#This Row],[state]]="VA",1,0)</f>
        <v>1</v>
      </c>
    </row>
    <row r="1102" spans="1:17" x14ac:dyDescent="0.35">
      <c r="A1102">
        <v>202309</v>
      </c>
      <c r="B1102">
        <v>7</v>
      </c>
      <c r="C1102" s="2">
        <v>2032746.2361999999</v>
      </c>
      <c r="D1102" s="2">
        <v>0.70689999999999997</v>
      </c>
      <c r="E1102" s="3">
        <v>228667</v>
      </c>
      <c r="F1102" s="2">
        <v>161655.49460000001</v>
      </c>
      <c r="G1102" t="s">
        <v>2550</v>
      </c>
      <c r="H1102" t="s">
        <v>3</v>
      </c>
      <c r="I1102">
        <f>HLOOKUP(G1102,zip_tiers!$A$1:$EON$2,2,FALSE)</f>
        <v>55273.333333333336</v>
      </c>
      <c r="J1102" t="str">
        <f t="shared" si="17"/>
        <v>Med</v>
      </c>
      <c r="K1102">
        <f>dataset[[#This Row],[soda_sales]]/dataset[[#This Row],[soda_units_sold]]</f>
        <v>0.70694719657843064</v>
      </c>
      <c r="L1102" s="29">
        <f>dataset[[#This Row],[implied_soda_ppu]]-dataset[[#This Row],[soda_ppu]]</f>
        <v>4.7196578430663827E-5</v>
      </c>
      <c r="M1102">
        <f>dataset[[#This Row],[soda_sales]]/dataset[[#This Row],[total_sales]]</f>
        <v>7.9525664207942423E-2</v>
      </c>
      <c r="N1102">
        <f>LN(dataset[[#This Row],[soda_units_sold]])</f>
        <v>12.340022075764798</v>
      </c>
      <c r="O1102">
        <f>LN(dataset[[#This Row],[soda_sales]])</f>
        <v>11.993222773296601</v>
      </c>
      <c r="P1102">
        <f>LN(dataset[[#This Row],[soda_ppu]])</f>
        <v>-0.34686606580522872</v>
      </c>
      <c r="Q1102">
        <f>IF(dataset[[#This Row],[state]]="VA",1,0)</f>
        <v>1</v>
      </c>
    </row>
    <row r="1103" spans="1:17" x14ac:dyDescent="0.35">
      <c r="A1103">
        <v>202310</v>
      </c>
      <c r="B1103">
        <v>7</v>
      </c>
      <c r="C1103" s="2">
        <v>2436211.3739</v>
      </c>
      <c r="D1103" s="2">
        <v>0.73499999999999999</v>
      </c>
      <c r="E1103" s="3">
        <v>200364</v>
      </c>
      <c r="F1103" s="2">
        <v>147266.84909999999</v>
      </c>
      <c r="G1103" t="s">
        <v>2550</v>
      </c>
      <c r="H1103" t="s">
        <v>3</v>
      </c>
      <c r="I1103">
        <f>HLOOKUP(G1103,zip_tiers!$A$1:$EON$2,2,FALSE)</f>
        <v>55273.333333333336</v>
      </c>
      <c r="J1103" t="str">
        <f t="shared" si="17"/>
        <v>Med</v>
      </c>
      <c r="K1103">
        <f>dataset[[#This Row],[soda_sales]]/dataset[[#This Row],[soda_units_sold]]</f>
        <v>0.73499655177576806</v>
      </c>
      <c r="L1103" s="29">
        <f>dataset[[#This Row],[implied_soda_ppu]]-dataset[[#This Row],[soda_ppu]]</f>
        <v>-3.44822423192781E-6</v>
      </c>
      <c r="M1103">
        <f>dataset[[#This Row],[soda_sales]]/dataset[[#This Row],[total_sales]]</f>
        <v>6.0449126326936241E-2</v>
      </c>
      <c r="N1103">
        <f>LN(dataset[[#This Row],[soda_units_sold]])</f>
        <v>12.207890991336958</v>
      </c>
      <c r="O1103">
        <f>LN(dataset[[#This Row],[soda_sales]])</f>
        <v>11.900001520095111</v>
      </c>
      <c r="P1103">
        <f>LN(dataset[[#This Row],[soda_ppu]])</f>
        <v>-0.3078847797693004</v>
      </c>
      <c r="Q1103">
        <f>IF(dataset[[#This Row],[state]]="VA",1,0)</f>
        <v>1</v>
      </c>
    </row>
    <row r="1104" spans="1:17" x14ac:dyDescent="0.35">
      <c r="A1104">
        <v>202311</v>
      </c>
      <c r="B1104">
        <v>7</v>
      </c>
      <c r="C1104" s="2">
        <v>2778849.6162999999</v>
      </c>
      <c r="D1104" s="2">
        <v>0.71599999999999997</v>
      </c>
      <c r="E1104" s="3">
        <v>198343</v>
      </c>
      <c r="F1104" s="2">
        <v>142004.70759999999</v>
      </c>
      <c r="G1104" t="s">
        <v>2550</v>
      </c>
      <c r="H1104" t="s">
        <v>3</v>
      </c>
      <c r="I1104">
        <f>HLOOKUP(G1104,zip_tiers!$A$1:$EON$2,2,FALSE)</f>
        <v>55273.333333333336</v>
      </c>
      <c r="J1104" t="str">
        <f t="shared" si="17"/>
        <v>Med</v>
      </c>
      <c r="K1104">
        <f>dataset[[#This Row],[soda_sales]]/dataset[[#This Row],[soda_units_sold]]</f>
        <v>0.71595522705616021</v>
      </c>
      <c r="L1104" s="29">
        <f>dataset[[#This Row],[implied_soda_ppu]]-dataset[[#This Row],[soda_ppu]]</f>
        <v>-4.4772943839754831E-5</v>
      </c>
      <c r="M1104">
        <f>dataset[[#This Row],[soda_sales]]/dataset[[#This Row],[total_sales]]</f>
        <v>5.110197643191549E-2</v>
      </c>
      <c r="N1104">
        <f>LN(dataset[[#This Row],[soda_units_sold]])</f>
        <v>12.197753134167725</v>
      </c>
      <c r="O1104">
        <f>LN(dataset[[#This Row],[soda_sales]])</f>
        <v>11.863615488146555</v>
      </c>
      <c r="P1104">
        <f>LN(dataset[[#This Row],[soda_ppu]])</f>
        <v>-0.33407511202149148</v>
      </c>
      <c r="Q1104">
        <f>IF(dataset[[#This Row],[state]]="VA",1,0)</f>
        <v>1</v>
      </c>
    </row>
    <row r="1105" spans="1:17" x14ac:dyDescent="0.35">
      <c r="A1105">
        <v>202312</v>
      </c>
      <c r="B1105">
        <v>7</v>
      </c>
      <c r="C1105" s="2">
        <v>2918019.7429</v>
      </c>
      <c r="D1105" s="2">
        <v>0.71970000000000001</v>
      </c>
      <c r="E1105" s="3">
        <v>196115</v>
      </c>
      <c r="F1105" s="2">
        <v>141144.54319999999</v>
      </c>
      <c r="G1105" t="s">
        <v>2550</v>
      </c>
      <c r="H1105" t="s">
        <v>3</v>
      </c>
      <c r="I1105">
        <f>HLOOKUP(G1105,zip_tiers!$A$1:$EON$2,2,FALSE)</f>
        <v>55273.333333333336</v>
      </c>
      <c r="J1105" t="str">
        <f t="shared" si="17"/>
        <v>Med</v>
      </c>
      <c r="K1105">
        <f>dataset[[#This Row],[soda_sales]]/dataset[[#This Row],[soda_units_sold]]</f>
        <v>0.71970294572062299</v>
      </c>
      <c r="L1105" s="29">
        <f>dataset[[#This Row],[implied_soda_ppu]]-dataset[[#This Row],[soda_ppu]]</f>
        <v>2.9457206229821509E-6</v>
      </c>
      <c r="M1105">
        <f>dataset[[#This Row],[soda_sales]]/dataset[[#This Row],[total_sales]]</f>
        <v>4.8369975406584144E-2</v>
      </c>
      <c r="N1105">
        <f>LN(dataset[[#This Row],[soda_units_sold]])</f>
        <v>12.186456500845031</v>
      </c>
      <c r="O1105">
        <f>LN(dataset[[#This Row],[soda_sales]])</f>
        <v>11.857539773352329</v>
      </c>
      <c r="P1105">
        <f>LN(dataset[[#This Row],[soda_ppu]])</f>
        <v>-0.32892082046837845</v>
      </c>
      <c r="Q1105">
        <f>IF(dataset[[#This Row],[state]]="VA",1,0)</f>
        <v>1</v>
      </c>
    </row>
    <row r="1106" spans="1:17" x14ac:dyDescent="0.35">
      <c r="A1106">
        <v>202401</v>
      </c>
      <c r="B1106">
        <v>7</v>
      </c>
      <c r="C1106" s="2">
        <v>1701037.7666</v>
      </c>
      <c r="D1106" s="2">
        <v>0.73509999999999998</v>
      </c>
      <c r="E1106" s="3">
        <v>142586</v>
      </c>
      <c r="F1106" s="2">
        <v>104821.7792</v>
      </c>
      <c r="G1106" t="s">
        <v>2550</v>
      </c>
      <c r="H1106" t="s">
        <v>3</v>
      </c>
      <c r="I1106">
        <f>HLOOKUP(G1106,zip_tiers!$A$1:$EON$2,2,FALSE)</f>
        <v>55273.333333333336</v>
      </c>
      <c r="J1106" t="str">
        <f t="shared" si="17"/>
        <v>Med</v>
      </c>
      <c r="K1106">
        <f>dataset[[#This Row],[soda_sales]]/dataset[[#This Row],[soda_units_sold]]</f>
        <v>0.73514776485769995</v>
      </c>
      <c r="L1106" s="29">
        <f>dataset[[#This Row],[implied_soda_ppu]]-dataset[[#This Row],[soda_ppu]]</f>
        <v>4.7764857699972296E-5</v>
      </c>
      <c r="M1106">
        <f>dataset[[#This Row],[soda_sales]]/dataset[[#This Row],[total_sales]]</f>
        <v>6.1622252755455083E-2</v>
      </c>
      <c r="N1106">
        <f>LN(dataset[[#This Row],[soda_units_sold]])</f>
        <v>11.867700605424591</v>
      </c>
      <c r="O1106">
        <f>LN(dataset[[#This Row],[soda_sales]])</f>
        <v>11.560016846072052</v>
      </c>
      <c r="P1106">
        <f>LN(dataset[[#This Row],[soda_ppu]])</f>
        <v>-0.30774873460209512</v>
      </c>
      <c r="Q1106">
        <f>IF(dataset[[#This Row],[state]]="VA",1,0)</f>
        <v>1</v>
      </c>
    </row>
    <row r="1107" spans="1:17" x14ac:dyDescent="0.35">
      <c r="A1107">
        <v>202402</v>
      </c>
      <c r="B1107">
        <v>7</v>
      </c>
      <c r="C1107" s="2">
        <v>1925519.4513000001</v>
      </c>
      <c r="D1107" s="2">
        <v>0.72270000000000001</v>
      </c>
      <c r="E1107" s="3">
        <v>167572</v>
      </c>
      <c r="F1107" s="2">
        <v>121102.53290000001</v>
      </c>
      <c r="G1107" t="s">
        <v>2550</v>
      </c>
      <c r="H1107" t="s">
        <v>3</v>
      </c>
      <c r="I1107">
        <f>HLOOKUP(G1107,zip_tiers!$A$1:$EON$2,2,FALSE)</f>
        <v>55273.333333333336</v>
      </c>
      <c r="J1107" t="str">
        <f t="shared" si="17"/>
        <v>Med</v>
      </c>
      <c r="K1107">
        <f>dataset[[#This Row],[soda_sales]]/dataset[[#This Row],[soda_units_sold]]</f>
        <v>0.7226895477764782</v>
      </c>
      <c r="L1107" s="29">
        <f>dataset[[#This Row],[implied_soda_ppu]]-dataset[[#This Row],[soda_ppu]]</f>
        <v>-1.0452223521806303E-5</v>
      </c>
      <c r="M1107">
        <f>dataset[[#This Row],[soda_sales]]/dataset[[#This Row],[total_sales]]</f>
        <v>6.2893435232886652E-2</v>
      </c>
      <c r="N1107">
        <f>LN(dataset[[#This Row],[soda_units_sold]])</f>
        <v>12.029168388634162</v>
      </c>
      <c r="O1107">
        <f>LN(dataset[[#This Row],[soda_sales]])</f>
        <v>11.70439284509454</v>
      </c>
      <c r="P1107">
        <f>LN(dataset[[#This Row],[soda_ppu]])</f>
        <v>-0.32476108069320164</v>
      </c>
      <c r="Q1107">
        <f>IF(dataset[[#This Row],[state]]="VA",1,0)</f>
        <v>1</v>
      </c>
    </row>
    <row r="1108" spans="1:17" x14ac:dyDescent="0.35">
      <c r="A1108">
        <v>202403</v>
      </c>
      <c r="B1108">
        <v>7</v>
      </c>
      <c r="C1108" s="2">
        <v>2172515.6430000002</v>
      </c>
      <c r="D1108" s="2">
        <v>0.72540000000000004</v>
      </c>
      <c r="E1108" s="3">
        <v>197550</v>
      </c>
      <c r="F1108" s="2">
        <v>143293.07629999999</v>
      </c>
      <c r="G1108" t="s">
        <v>2550</v>
      </c>
      <c r="H1108" t="s">
        <v>3</v>
      </c>
      <c r="I1108">
        <f>HLOOKUP(G1108,zip_tiers!$A$1:$EON$2,2,FALSE)</f>
        <v>55273.333333333336</v>
      </c>
      <c r="J1108" t="str">
        <f t="shared" si="17"/>
        <v>Med</v>
      </c>
      <c r="K1108">
        <f>dataset[[#This Row],[soda_sales]]/dataset[[#This Row],[soda_units_sold]]</f>
        <v>0.72535093039736764</v>
      </c>
      <c r="L1108" s="29">
        <f>dataset[[#This Row],[implied_soda_ppu]]-dataset[[#This Row],[soda_ppu]]</f>
        <v>-4.9069602632401121E-5</v>
      </c>
      <c r="M1108">
        <f>dataset[[#This Row],[soda_sales]]/dataset[[#This Row],[total_sales]]</f>
        <v>6.5957212672645399E-2</v>
      </c>
      <c r="N1108">
        <f>LN(dataset[[#This Row],[soda_units_sold]])</f>
        <v>12.193746995839536</v>
      </c>
      <c r="O1108">
        <f>LN(dataset[[#This Row],[soda_sales]])</f>
        <v>11.872647296528974</v>
      </c>
      <c r="P1108">
        <f>LN(dataset[[#This Row],[soda_ppu]])</f>
        <v>-0.32103205213333502</v>
      </c>
      <c r="Q1108">
        <f>IF(dataset[[#This Row],[state]]="VA",1,0)</f>
        <v>1</v>
      </c>
    </row>
    <row r="1109" spans="1:17" x14ac:dyDescent="0.35">
      <c r="A1109">
        <v>202404</v>
      </c>
      <c r="B1109">
        <v>7</v>
      </c>
      <c r="C1109" s="2">
        <v>2261195.3174999999</v>
      </c>
      <c r="D1109" s="2">
        <v>0.74209999999999998</v>
      </c>
      <c r="E1109" s="3">
        <v>219261</v>
      </c>
      <c r="F1109" s="2">
        <v>162707.31419999999</v>
      </c>
      <c r="G1109" t="s">
        <v>2550</v>
      </c>
      <c r="H1109" t="s">
        <v>3</v>
      </c>
      <c r="I1109">
        <f>HLOOKUP(G1109,zip_tiers!$A$1:$EON$2,2,FALSE)</f>
        <v>55273.333333333336</v>
      </c>
      <c r="J1109" t="str">
        <f t="shared" si="17"/>
        <v>Med</v>
      </c>
      <c r="K1109">
        <f>dataset[[#This Row],[soda_sales]]/dataset[[#This Row],[soda_units_sold]]</f>
        <v>0.7420713861562247</v>
      </c>
      <c r="L1109" s="29">
        <f>dataset[[#This Row],[implied_soda_ppu]]-dataset[[#This Row],[soda_ppu]]</f>
        <v>-2.8613843775282533E-5</v>
      </c>
      <c r="M1109">
        <f>dataset[[#This Row],[soda_sales]]/dataset[[#This Row],[total_sales]]</f>
        <v>7.1956329000314234E-2</v>
      </c>
      <c r="N1109">
        <f>LN(dataset[[#This Row],[soda_units_sold]])</f>
        <v>12.298018080013533</v>
      </c>
      <c r="O1109">
        <f>LN(dataset[[#This Row],[soda_sales]])</f>
        <v>11.999708247328822</v>
      </c>
      <c r="P1109">
        <f>LN(dataset[[#This Row],[soda_ppu]])</f>
        <v>-0.29827127400604919</v>
      </c>
      <c r="Q1109">
        <f>IF(dataset[[#This Row],[state]]="VA",1,0)</f>
        <v>1</v>
      </c>
    </row>
    <row r="1110" spans="1:17" x14ac:dyDescent="0.35">
      <c r="A1110">
        <v>202405</v>
      </c>
      <c r="B1110">
        <v>7</v>
      </c>
      <c r="C1110" s="2">
        <v>2380500.7451999998</v>
      </c>
      <c r="D1110" s="2">
        <v>0.72470000000000001</v>
      </c>
      <c r="E1110" s="3">
        <v>254480</v>
      </c>
      <c r="F1110" s="2">
        <v>184428.41260000001</v>
      </c>
      <c r="G1110" t="s">
        <v>2550</v>
      </c>
      <c r="H1110" t="s">
        <v>3</v>
      </c>
      <c r="I1110">
        <f>HLOOKUP(G1110,zip_tiers!$A$1:$EON$2,2,FALSE)</f>
        <v>55273.333333333336</v>
      </c>
      <c r="J1110" t="str">
        <f t="shared" si="17"/>
        <v>Med</v>
      </c>
      <c r="K1110">
        <f>dataset[[#This Row],[soda_sales]]/dataset[[#This Row],[soda_units_sold]]</f>
        <v>0.72472655061301483</v>
      </c>
      <c r="L1110" s="29">
        <f>dataset[[#This Row],[implied_soda_ppu]]-dataset[[#This Row],[soda_ppu]]</f>
        <v>2.6550613014819646E-5</v>
      </c>
      <c r="M1110">
        <f>dataset[[#This Row],[soda_sales]]/dataset[[#This Row],[total_sales]]</f>
        <v>7.7474629223233074E-2</v>
      </c>
      <c r="N1110">
        <f>LN(dataset[[#This Row],[soda_units_sold]])</f>
        <v>12.446977526423026</v>
      </c>
      <c r="O1110">
        <f>LN(dataset[[#This Row],[soda_sales]])</f>
        <v>12.125016659580222</v>
      </c>
      <c r="P1110">
        <f>LN(dataset[[#This Row],[soda_ppu]])</f>
        <v>-0.32199750286690132</v>
      </c>
      <c r="Q1110">
        <f>IF(dataset[[#This Row],[state]]="VA",1,0)</f>
        <v>1</v>
      </c>
    </row>
    <row r="1111" spans="1:17" x14ac:dyDescent="0.35">
      <c r="A1111">
        <v>202406</v>
      </c>
      <c r="B1111">
        <v>7</v>
      </c>
      <c r="C1111" s="2">
        <v>2326515.4552000002</v>
      </c>
      <c r="D1111" s="2">
        <v>0.72789999999999999</v>
      </c>
      <c r="E1111" s="3">
        <v>266549</v>
      </c>
      <c r="F1111" s="2">
        <v>194017.15220000001</v>
      </c>
      <c r="G1111" t="s">
        <v>2550</v>
      </c>
      <c r="H1111" t="s">
        <v>3</v>
      </c>
      <c r="I1111">
        <f>HLOOKUP(G1111,zip_tiers!$A$1:$EON$2,2,FALSE)</f>
        <v>55273.333333333336</v>
      </c>
      <c r="J1111" t="str">
        <f t="shared" si="17"/>
        <v>Med</v>
      </c>
      <c r="K1111">
        <f>dataset[[#This Row],[soda_sales]]/dataset[[#This Row],[soda_units_sold]]</f>
        <v>0.72788550022697518</v>
      </c>
      <c r="L1111" s="29">
        <f>dataset[[#This Row],[implied_soda_ppu]]-dataset[[#This Row],[soda_ppu]]</f>
        <v>-1.4499773024811979E-5</v>
      </c>
      <c r="M1111">
        <f>dataset[[#This Row],[soda_sales]]/dataset[[#This Row],[total_sales]]</f>
        <v>8.3393880649428667E-2</v>
      </c>
      <c r="N1111">
        <f>LN(dataset[[#This Row],[soda_units_sold]])</f>
        <v>12.493313370602527</v>
      </c>
      <c r="O1111">
        <f>LN(dataset[[#This Row],[soda_sales]])</f>
        <v>12.175701847539292</v>
      </c>
      <c r="P1111">
        <f>LN(dataset[[#This Row],[soda_ppu]])</f>
        <v>-0.31759160285792482</v>
      </c>
      <c r="Q1111">
        <f>IF(dataset[[#This Row],[state]]="VA",1,0)</f>
        <v>1</v>
      </c>
    </row>
    <row r="1112" spans="1:17" x14ac:dyDescent="0.35">
      <c r="A1112">
        <v>202407</v>
      </c>
      <c r="B1112">
        <v>7</v>
      </c>
      <c r="C1112" s="2">
        <v>2185459.6688000001</v>
      </c>
      <c r="D1112" s="2">
        <v>0.7419</v>
      </c>
      <c r="E1112" s="3">
        <v>265638</v>
      </c>
      <c r="F1112" s="2">
        <v>197067.78330000001</v>
      </c>
      <c r="G1112" t="s">
        <v>2550</v>
      </c>
      <c r="H1112" t="s">
        <v>3</v>
      </c>
      <c r="I1112">
        <f>HLOOKUP(G1112,zip_tiers!$A$1:$EON$2,2,FALSE)</f>
        <v>55273.333333333336</v>
      </c>
      <c r="J1112" t="str">
        <f t="shared" si="17"/>
        <v>Med</v>
      </c>
      <c r="K1112">
        <f>dataset[[#This Row],[soda_sales]]/dataset[[#This Row],[soda_units_sold]]</f>
        <v>0.74186593522011157</v>
      </c>
      <c r="L1112" s="29">
        <f>dataset[[#This Row],[implied_soda_ppu]]-dataset[[#This Row],[soda_ppu]]</f>
        <v>-3.4064779888431929E-5</v>
      </c>
      <c r="M1112">
        <f>dataset[[#This Row],[soda_sales]]/dataset[[#This Row],[total_sales]]</f>
        <v>9.017223521137166E-2</v>
      </c>
      <c r="N1112">
        <f>LN(dataset[[#This Row],[soda_units_sold]])</f>
        <v>12.489889758639709</v>
      </c>
      <c r="O1112">
        <f>LN(dataset[[#This Row],[soda_sales]])</f>
        <v>12.191303026203956</v>
      </c>
      <c r="P1112">
        <f>LN(dataset[[#This Row],[soda_ppu]])</f>
        <v>-0.29854081578665681</v>
      </c>
      <c r="Q1112">
        <f>IF(dataset[[#This Row],[state]]="VA",1,0)</f>
        <v>1</v>
      </c>
    </row>
    <row r="1113" spans="1:17" x14ac:dyDescent="0.35">
      <c r="A1113">
        <v>202408</v>
      </c>
      <c r="B1113">
        <v>7</v>
      </c>
      <c r="C1113" s="2">
        <v>2059662.9072</v>
      </c>
      <c r="D1113" s="2">
        <v>0.76439999999999997</v>
      </c>
      <c r="E1113" s="3">
        <v>218600</v>
      </c>
      <c r="F1113" s="2">
        <v>167090.0111</v>
      </c>
      <c r="G1113" t="s">
        <v>2550</v>
      </c>
      <c r="H1113" t="s">
        <v>3</v>
      </c>
      <c r="I1113">
        <f>HLOOKUP(G1113,zip_tiers!$A$1:$EON$2,2,FALSE)</f>
        <v>55273.333333333336</v>
      </c>
      <c r="J1113" t="str">
        <f t="shared" si="17"/>
        <v>Med</v>
      </c>
      <c r="K1113">
        <f>dataset[[#This Row],[soda_sales]]/dataset[[#This Row],[soda_units_sold]]</f>
        <v>0.7643641861848125</v>
      </c>
      <c r="L1113" s="29">
        <f>dataset[[#This Row],[implied_soda_ppu]]-dataset[[#This Row],[soda_ppu]]</f>
        <v>-3.5813815187468734E-5</v>
      </c>
      <c r="M1113">
        <f>dataset[[#This Row],[soda_sales]]/dataset[[#This Row],[total_sales]]</f>
        <v>8.112493093695114E-2</v>
      </c>
      <c r="N1113">
        <f>LN(dataset[[#This Row],[soda_units_sold]])</f>
        <v>12.294998854724575</v>
      </c>
      <c r="O1113">
        <f>LN(dataset[[#This Row],[soda_sales]])</f>
        <v>12.026287934819452</v>
      </c>
      <c r="P1113">
        <f>LN(dataset[[#This Row],[soda_ppu]])</f>
        <v>-0.2686640666160191</v>
      </c>
      <c r="Q1113">
        <f>IF(dataset[[#This Row],[state]]="VA",1,0)</f>
        <v>1</v>
      </c>
    </row>
    <row r="1114" spans="1:17" x14ac:dyDescent="0.35">
      <c r="A1114">
        <v>202409</v>
      </c>
      <c r="B1114">
        <v>7</v>
      </c>
      <c r="C1114" s="2">
        <v>2063084.8543</v>
      </c>
      <c r="D1114" s="2">
        <v>0.74760000000000004</v>
      </c>
      <c r="E1114" s="3">
        <v>219365</v>
      </c>
      <c r="F1114" s="2">
        <v>163999.65909999999</v>
      </c>
      <c r="G1114" t="s">
        <v>2550</v>
      </c>
      <c r="H1114" t="s">
        <v>3</v>
      </c>
      <c r="I1114">
        <f>HLOOKUP(G1114,zip_tiers!$A$1:$EON$2,2,FALSE)</f>
        <v>55273.333333333336</v>
      </c>
      <c r="J1114" t="str">
        <f t="shared" si="17"/>
        <v>Med</v>
      </c>
      <c r="K1114">
        <f>dataset[[#This Row],[soda_sales]]/dataset[[#This Row],[soda_units_sold]]</f>
        <v>0.74761087274633597</v>
      </c>
      <c r="L1114" s="29">
        <f>dataset[[#This Row],[implied_soda_ppu]]-dataset[[#This Row],[soda_ppu]]</f>
        <v>1.0872746335932604E-5</v>
      </c>
      <c r="M1114">
        <f>dataset[[#This Row],[soda_sales]]/dataset[[#This Row],[total_sales]]</f>
        <v>7.9492444897834649E-2</v>
      </c>
      <c r="N1114">
        <f>LN(dataset[[#This Row],[soda_units_sold]])</f>
        <v>12.2984922881177</v>
      </c>
      <c r="O1114">
        <f>LN(dataset[[#This Row],[soda_sales]])</f>
        <v>12.007619628145639</v>
      </c>
      <c r="P1114">
        <f>LN(dataset[[#This Row],[soda_ppu]])</f>
        <v>-0.29088720340072921</v>
      </c>
      <c r="Q1114">
        <f>IF(dataset[[#This Row],[state]]="VA",1,0)</f>
        <v>1</v>
      </c>
    </row>
    <row r="1115" spans="1:17" x14ac:dyDescent="0.35">
      <c r="A1115">
        <v>202410</v>
      </c>
      <c r="B1115">
        <v>7</v>
      </c>
      <c r="C1115" s="2">
        <v>2529025.4692000002</v>
      </c>
      <c r="D1115" s="2">
        <v>0.75480000000000003</v>
      </c>
      <c r="E1115" s="3">
        <v>205142</v>
      </c>
      <c r="F1115" s="2">
        <v>154848.67319999999</v>
      </c>
      <c r="G1115" t="s">
        <v>2550</v>
      </c>
      <c r="H1115" t="s">
        <v>3</v>
      </c>
      <c r="I1115">
        <f>HLOOKUP(G1115,zip_tiers!$A$1:$EON$2,2,FALSE)</f>
        <v>55273.333333333336</v>
      </c>
      <c r="J1115" t="str">
        <f t="shared" si="17"/>
        <v>Med</v>
      </c>
      <c r="K1115">
        <f>dataset[[#This Row],[soda_sales]]/dataset[[#This Row],[soda_units_sold]]</f>
        <v>0.75483651909409089</v>
      </c>
      <c r="L1115" s="29">
        <f>dataset[[#This Row],[implied_soda_ppu]]-dataset[[#This Row],[soda_ppu]]</f>
        <v>3.651909409085885E-5</v>
      </c>
      <c r="M1115">
        <f>dataset[[#This Row],[soda_sales]]/dataset[[#This Row],[total_sales]]</f>
        <v>6.122859381443195E-2</v>
      </c>
      <c r="N1115">
        <f>LN(dataset[[#This Row],[soda_units_sold]])</f>
        <v>12.231457701253284</v>
      </c>
      <c r="O1115">
        <f>LN(dataset[[#This Row],[soda_sales]])</f>
        <v>11.950203617072745</v>
      </c>
      <c r="P1115">
        <f>LN(dataset[[#This Row],[soda_ppu]])</f>
        <v>-0.28130246548774185</v>
      </c>
      <c r="Q1115">
        <f>IF(dataset[[#This Row],[state]]="VA",1,0)</f>
        <v>1</v>
      </c>
    </row>
    <row r="1116" spans="1:17" x14ac:dyDescent="0.35">
      <c r="A1116">
        <v>202411</v>
      </c>
      <c r="B1116">
        <v>7</v>
      </c>
      <c r="C1116" s="2">
        <v>2842701.9035999998</v>
      </c>
      <c r="D1116" s="2">
        <v>0.75590000000000002</v>
      </c>
      <c r="E1116" s="3">
        <v>195231</v>
      </c>
      <c r="F1116" s="2">
        <v>147578.52799999999</v>
      </c>
      <c r="G1116" t="s">
        <v>2550</v>
      </c>
      <c r="H1116" t="s">
        <v>3</v>
      </c>
      <c r="I1116">
        <f>HLOOKUP(G1116,zip_tiers!$A$1:$EON$2,2,FALSE)</f>
        <v>55273.333333333336</v>
      </c>
      <c r="J1116" t="str">
        <f t="shared" si="17"/>
        <v>Med</v>
      </c>
      <c r="K1116">
        <f>dataset[[#This Row],[soda_sales]]/dataset[[#This Row],[soda_units_sold]]</f>
        <v>0.7559174926113168</v>
      </c>
      <c r="L1116" s="29">
        <f>dataset[[#This Row],[implied_soda_ppu]]-dataset[[#This Row],[soda_ppu]]</f>
        <v>1.7492611316782813E-5</v>
      </c>
      <c r="M1116">
        <f>dataset[[#This Row],[soda_sales]]/dataset[[#This Row],[total_sales]]</f>
        <v>5.1914879929234381E-2</v>
      </c>
      <c r="N1116">
        <f>LN(dataset[[#This Row],[soda_units_sold]])</f>
        <v>12.181938751827332</v>
      </c>
      <c r="O1116">
        <f>LN(dataset[[#This Row],[soda_sales]])</f>
        <v>11.902115706311362</v>
      </c>
      <c r="P1116">
        <f>LN(dataset[[#This Row],[soda_ppu]])</f>
        <v>-0.27984618668400602</v>
      </c>
      <c r="Q1116">
        <f>IF(dataset[[#This Row],[state]]="VA",1,0)</f>
        <v>1</v>
      </c>
    </row>
    <row r="1117" spans="1:17" x14ac:dyDescent="0.35">
      <c r="A1117">
        <v>202412</v>
      </c>
      <c r="B1117">
        <v>7</v>
      </c>
      <c r="C1117" s="2">
        <v>3018129.1548000001</v>
      </c>
      <c r="D1117" s="2">
        <v>0.75109999999999999</v>
      </c>
      <c r="E1117" s="3">
        <v>190845</v>
      </c>
      <c r="F1117" s="2">
        <v>143338.5227</v>
      </c>
      <c r="G1117" t="s">
        <v>2550</v>
      </c>
      <c r="H1117" t="s">
        <v>3</v>
      </c>
      <c r="I1117">
        <f>HLOOKUP(G1117,zip_tiers!$A$1:$EON$2,2,FALSE)</f>
        <v>55273.333333333336</v>
      </c>
      <c r="J1117" t="str">
        <f t="shared" si="17"/>
        <v>Med</v>
      </c>
      <c r="K1117">
        <f>dataset[[#This Row],[soda_sales]]/dataset[[#This Row],[soda_units_sold]]</f>
        <v>0.75107297911918047</v>
      </c>
      <c r="L1117" s="29">
        <f>dataset[[#This Row],[implied_soda_ppu]]-dataset[[#This Row],[soda_ppu]]</f>
        <v>-2.7020880819517146E-5</v>
      </c>
      <c r="M1117">
        <f>dataset[[#This Row],[soda_sales]]/dataset[[#This Row],[total_sales]]</f>
        <v>4.7492507890868736E-2</v>
      </c>
      <c r="N1117">
        <f>LN(dataset[[#This Row],[soda_units_sold]])</f>
        <v>12.159216859244911</v>
      </c>
      <c r="O1117">
        <f>LN(dataset[[#This Row],[soda_sales]])</f>
        <v>11.872964403229975</v>
      </c>
      <c r="P1117">
        <f>LN(dataset[[#This Row],[soda_ppu]])</f>
        <v>-0.28621648029017099</v>
      </c>
      <c r="Q1117">
        <f>IF(dataset[[#This Row],[state]]="VA",1,0)</f>
        <v>1</v>
      </c>
    </row>
    <row r="1118" spans="1:17" x14ac:dyDescent="0.35">
      <c r="A1118">
        <v>202201</v>
      </c>
      <c r="B1118">
        <v>68</v>
      </c>
      <c r="C1118" s="2">
        <v>2432408.5447</v>
      </c>
      <c r="D1118" s="2">
        <v>0.74299999999999999</v>
      </c>
      <c r="E1118" s="3">
        <v>116580</v>
      </c>
      <c r="F1118" s="2">
        <v>86616.813299999994</v>
      </c>
      <c r="G1118" t="s">
        <v>2591</v>
      </c>
      <c r="H1118" t="s">
        <v>3</v>
      </c>
      <c r="I1118">
        <f>HLOOKUP(G1118,zip_tiers!$A$1:$EON$2,2,FALSE)</f>
        <v>123264</v>
      </c>
      <c r="J1118" t="str">
        <f t="shared" si="17"/>
        <v>High</v>
      </c>
      <c r="K1118">
        <f>dataset[[#This Row],[soda_sales]]/dataset[[#This Row],[soda_units_sold]]</f>
        <v>0.74298175759135354</v>
      </c>
      <c r="L1118" s="29">
        <f>dataset[[#This Row],[implied_soda_ppu]]-dataset[[#This Row],[soda_ppu]]</f>
        <v>-1.8242408646451658E-5</v>
      </c>
      <c r="M1118">
        <f>dataset[[#This Row],[soda_sales]]/dataset[[#This Row],[total_sales]]</f>
        <v>3.5609484060040102E-2</v>
      </c>
      <c r="N1118">
        <f>LN(dataset[[#This Row],[soda_units_sold]])</f>
        <v>11.666333011599541</v>
      </c>
      <c r="O1118">
        <f>LN(dataset[[#This Row],[soda_sales]])</f>
        <v>11.369249224666795</v>
      </c>
      <c r="P1118">
        <f>LN(dataset[[#This Row],[soda_ppu]])</f>
        <v>-0.29705923426437791</v>
      </c>
      <c r="Q1118">
        <f>IF(dataset[[#This Row],[state]]="VA",1,0)</f>
        <v>1</v>
      </c>
    </row>
    <row r="1119" spans="1:17" x14ac:dyDescent="0.35">
      <c r="A1119">
        <v>202202</v>
      </c>
      <c r="B1119">
        <v>68</v>
      </c>
      <c r="C1119" s="2">
        <v>2792798.3731</v>
      </c>
      <c r="D1119" s="2">
        <v>0.71879999999999999</v>
      </c>
      <c r="E1119" s="3">
        <v>137198</v>
      </c>
      <c r="F1119" s="2">
        <v>98613.165999999997</v>
      </c>
      <c r="G1119" t="s">
        <v>2591</v>
      </c>
      <c r="H1119" t="s">
        <v>3</v>
      </c>
      <c r="I1119">
        <f>HLOOKUP(G1119,zip_tiers!$A$1:$EON$2,2,FALSE)</f>
        <v>123264</v>
      </c>
      <c r="J1119" t="str">
        <f t="shared" si="17"/>
        <v>High</v>
      </c>
      <c r="K1119">
        <f>dataset[[#This Row],[soda_sales]]/dataset[[#This Row],[soda_units_sold]]</f>
        <v>0.71876533185614944</v>
      </c>
      <c r="L1119" s="29">
        <f>dataset[[#This Row],[implied_soda_ppu]]-dataset[[#This Row],[soda_ppu]]</f>
        <v>-3.4668143850558053E-5</v>
      </c>
      <c r="M1119">
        <f>dataset[[#This Row],[soda_sales]]/dataset[[#This Row],[total_sales]]</f>
        <v>3.5309805014867433E-2</v>
      </c>
      <c r="N1119">
        <f>LN(dataset[[#This Row],[soda_units_sold]])</f>
        <v>11.829180416908198</v>
      </c>
      <c r="O1119">
        <f>LN(dataset[[#This Row],[soda_sales]])</f>
        <v>11.498960061088233</v>
      </c>
      <c r="P1119">
        <f>LN(dataset[[#This Row],[soda_ppu]])</f>
        <v>-0.33017212407273311</v>
      </c>
      <c r="Q1119">
        <f>IF(dataset[[#This Row],[state]]="VA",1,0)</f>
        <v>1</v>
      </c>
    </row>
    <row r="1120" spans="1:17" x14ac:dyDescent="0.35">
      <c r="A1120">
        <v>202203</v>
      </c>
      <c r="B1120">
        <v>68</v>
      </c>
      <c r="C1120" s="2">
        <v>3143504.7171999998</v>
      </c>
      <c r="D1120" s="2">
        <v>0.7419</v>
      </c>
      <c r="E1120" s="3">
        <v>159311</v>
      </c>
      <c r="F1120" s="2">
        <v>118194.21430000001</v>
      </c>
      <c r="G1120" t="s">
        <v>2591</v>
      </c>
      <c r="H1120" t="s">
        <v>3</v>
      </c>
      <c r="I1120">
        <f>HLOOKUP(G1120,zip_tiers!$A$1:$EON$2,2,FALSE)</f>
        <v>123264</v>
      </c>
      <c r="J1120" t="str">
        <f t="shared" si="17"/>
        <v>High</v>
      </c>
      <c r="K1120">
        <f>dataset[[#This Row],[soda_sales]]/dataset[[#This Row],[soda_units_sold]]</f>
        <v>0.7419086836439418</v>
      </c>
      <c r="L1120" s="29">
        <f>dataset[[#This Row],[implied_soda_ppu]]-dataset[[#This Row],[soda_ppu]]</f>
        <v>8.6836439417981026E-6</v>
      </c>
      <c r="M1120">
        <f>dataset[[#This Row],[soda_sales]]/dataset[[#This Row],[total_sales]]</f>
        <v>3.7599502763042969E-2</v>
      </c>
      <c r="N1120">
        <f>LN(dataset[[#This Row],[soda_units_sold]])</f>
        <v>11.978613545617103</v>
      </c>
      <c r="O1120">
        <f>LN(dataset[[#This Row],[soda_sales]])</f>
        <v>11.680084434363568</v>
      </c>
      <c r="P1120">
        <f>LN(dataset[[#This Row],[soda_ppu]])</f>
        <v>-0.29854081578665681</v>
      </c>
      <c r="Q1120">
        <f>IF(dataset[[#This Row],[state]]="VA",1,0)</f>
        <v>1</v>
      </c>
    </row>
    <row r="1121" spans="1:17" x14ac:dyDescent="0.35">
      <c r="A1121">
        <v>202204</v>
      </c>
      <c r="B1121">
        <v>68</v>
      </c>
      <c r="C1121" s="2">
        <v>3329712.6663000002</v>
      </c>
      <c r="D1121" s="2">
        <v>0.72619999999999996</v>
      </c>
      <c r="E1121" s="3">
        <v>190078</v>
      </c>
      <c r="F1121" s="2">
        <v>138027.35389999999</v>
      </c>
      <c r="G1121" t="s">
        <v>2591</v>
      </c>
      <c r="H1121" t="s">
        <v>3</v>
      </c>
      <c r="I1121">
        <f>HLOOKUP(G1121,zip_tiers!$A$1:$EON$2,2,FALSE)</f>
        <v>123264</v>
      </c>
      <c r="J1121" t="str">
        <f t="shared" si="17"/>
        <v>High</v>
      </c>
      <c r="K1121">
        <f>dataset[[#This Row],[soda_sales]]/dataset[[#This Row],[soda_units_sold]]</f>
        <v>0.72616164890202961</v>
      </c>
      <c r="L1121" s="29">
        <f>dataset[[#This Row],[implied_soda_ppu]]-dataset[[#This Row],[soda_ppu]]</f>
        <v>-3.8351097970346082E-5</v>
      </c>
      <c r="M1121">
        <f>dataset[[#This Row],[soda_sales]]/dataset[[#This Row],[total_sales]]</f>
        <v>4.1453232675892404E-2</v>
      </c>
      <c r="N1121">
        <f>LN(dataset[[#This Row],[soda_units_sold]])</f>
        <v>12.155189793215539</v>
      </c>
      <c r="O1121">
        <f>LN(dataset[[#This Row],[soda_sales]])</f>
        <v>11.83520716116368</v>
      </c>
      <c r="P1121">
        <f>LN(dataset[[#This Row],[soda_ppu]])</f>
        <v>-0.31992982000190168</v>
      </c>
      <c r="Q1121">
        <f>IF(dataset[[#This Row],[state]]="VA",1,0)</f>
        <v>1</v>
      </c>
    </row>
    <row r="1122" spans="1:17" x14ac:dyDescent="0.35">
      <c r="A1122">
        <v>202205</v>
      </c>
      <c r="B1122">
        <v>68</v>
      </c>
      <c r="C1122" s="2">
        <v>3439333.1412</v>
      </c>
      <c r="D1122" s="2">
        <v>0.75900000000000001</v>
      </c>
      <c r="E1122" s="3">
        <v>200496</v>
      </c>
      <c r="F1122" s="2">
        <v>152169.31169999999</v>
      </c>
      <c r="G1122" t="s">
        <v>2591</v>
      </c>
      <c r="H1122" t="s">
        <v>3</v>
      </c>
      <c r="I1122">
        <f>HLOOKUP(G1122,zip_tiers!$A$1:$EON$2,2,FALSE)</f>
        <v>123264</v>
      </c>
      <c r="J1122" t="str">
        <f t="shared" si="17"/>
        <v>High</v>
      </c>
      <c r="K1122">
        <f>dataset[[#This Row],[soda_sales]]/dataset[[#This Row],[soda_units_sold]]</f>
        <v>0.75896432696911653</v>
      </c>
      <c r="L1122" s="29">
        <f>dataset[[#This Row],[implied_soda_ppu]]-dataset[[#This Row],[soda_ppu]]</f>
        <v>-3.5673030883476287E-5</v>
      </c>
      <c r="M1122">
        <f>dataset[[#This Row],[soda_sales]]/dataset[[#This Row],[total_sales]]</f>
        <v>4.4243841888171202E-2</v>
      </c>
      <c r="N1122">
        <f>LN(dataset[[#This Row],[soda_units_sold]])</f>
        <v>12.208549575405065</v>
      </c>
      <c r="O1122">
        <f>LN(dataset[[#This Row],[soda_sales]])</f>
        <v>11.932749072673333</v>
      </c>
      <c r="P1122">
        <f>LN(dataset[[#This Row],[soda_ppu]])</f>
        <v>-0.27575350158650713</v>
      </c>
      <c r="Q1122">
        <f>IF(dataset[[#This Row],[state]]="VA",1,0)</f>
        <v>1</v>
      </c>
    </row>
    <row r="1123" spans="1:17" x14ac:dyDescent="0.35">
      <c r="A1123">
        <v>202206</v>
      </c>
      <c r="B1123">
        <v>68</v>
      </c>
      <c r="C1123" s="2">
        <v>3332450.3330000001</v>
      </c>
      <c r="D1123" s="2">
        <v>0.75180000000000002</v>
      </c>
      <c r="E1123" s="3">
        <v>212203</v>
      </c>
      <c r="F1123" s="2">
        <v>159535.0459</v>
      </c>
      <c r="G1123" t="s">
        <v>2591</v>
      </c>
      <c r="H1123" t="s">
        <v>3</v>
      </c>
      <c r="I1123">
        <f>HLOOKUP(G1123,zip_tiers!$A$1:$EON$2,2,FALSE)</f>
        <v>123264</v>
      </c>
      <c r="J1123" t="str">
        <f t="shared" si="17"/>
        <v>High</v>
      </c>
      <c r="K1123">
        <f>dataset[[#This Row],[soda_sales]]/dataset[[#This Row],[soda_units_sold]]</f>
        <v>0.75180391370527277</v>
      </c>
      <c r="L1123" s="29">
        <f>dataset[[#This Row],[implied_soda_ppu]]-dataset[[#This Row],[soda_ppu]]</f>
        <v>3.9137052727511445E-6</v>
      </c>
      <c r="M1123">
        <f>dataset[[#This Row],[soda_sales]]/dataset[[#This Row],[total_sales]]</f>
        <v>4.7873195384244602E-2</v>
      </c>
      <c r="N1123">
        <f>LN(dataset[[#This Row],[soda_units_sold]])</f>
        <v>12.265298642668117</v>
      </c>
      <c r="O1123">
        <f>LN(dataset[[#This Row],[soda_sales]])</f>
        <v>11.980018900582333</v>
      </c>
      <c r="P1123">
        <f>LN(dataset[[#This Row],[soda_ppu]])</f>
        <v>-0.28528494785205938</v>
      </c>
      <c r="Q1123">
        <f>IF(dataset[[#This Row],[state]]="VA",1,0)</f>
        <v>1</v>
      </c>
    </row>
    <row r="1124" spans="1:17" x14ac:dyDescent="0.35">
      <c r="A1124">
        <v>202207</v>
      </c>
      <c r="B1124">
        <v>68</v>
      </c>
      <c r="C1124" s="2">
        <v>3157170.7074000002</v>
      </c>
      <c r="D1124" s="2">
        <v>0.75029999999999997</v>
      </c>
      <c r="E1124" s="3">
        <v>218113</v>
      </c>
      <c r="F1124" s="2">
        <v>163650.35339999999</v>
      </c>
      <c r="G1124" t="s">
        <v>2591</v>
      </c>
      <c r="H1124" t="s">
        <v>3</v>
      </c>
      <c r="I1124">
        <f>HLOOKUP(G1124,zip_tiers!$A$1:$EON$2,2,FALSE)</f>
        <v>123264</v>
      </c>
      <c r="J1124" t="str">
        <f t="shared" si="17"/>
        <v>High</v>
      </c>
      <c r="K1124">
        <f>dataset[[#This Row],[soda_sales]]/dataset[[#This Row],[soda_units_sold]]</f>
        <v>0.75030077712011656</v>
      </c>
      <c r="L1124" s="29">
        <f>dataset[[#This Row],[implied_soda_ppu]]-dataset[[#This Row],[soda_ppu]]</f>
        <v>7.7712011659070157E-7</v>
      </c>
      <c r="M1124">
        <f>dataset[[#This Row],[soda_sales]]/dataset[[#This Row],[total_sales]]</f>
        <v>5.1834496315458875E-2</v>
      </c>
      <c r="N1124">
        <f>LN(dataset[[#This Row],[soda_units_sold]])</f>
        <v>12.292768556098837</v>
      </c>
      <c r="O1124">
        <f>LN(dataset[[#This Row],[soda_sales]])</f>
        <v>12.005487439413704</v>
      </c>
      <c r="P1124">
        <f>LN(dataset[[#This Row],[soda_ppu]])</f>
        <v>-0.28728215243045402</v>
      </c>
      <c r="Q1124">
        <f>IF(dataset[[#This Row],[state]]="VA",1,0)</f>
        <v>1</v>
      </c>
    </row>
    <row r="1125" spans="1:17" x14ac:dyDescent="0.35">
      <c r="A1125">
        <v>202208</v>
      </c>
      <c r="B1125">
        <v>68</v>
      </c>
      <c r="C1125" s="2">
        <v>2971093.1535</v>
      </c>
      <c r="D1125" s="2">
        <v>0.74390000000000001</v>
      </c>
      <c r="E1125" s="3">
        <v>187358</v>
      </c>
      <c r="F1125" s="2">
        <v>139372.38680000001</v>
      </c>
      <c r="G1125" t="s">
        <v>2591</v>
      </c>
      <c r="H1125" t="s">
        <v>3</v>
      </c>
      <c r="I1125">
        <f>HLOOKUP(G1125,zip_tiers!$A$1:$EON$2,2,FALSE)</f>
        <v>123264</v>
      </c>
      <c r="J1125" t="str">
        <f t="shared" si="17"/>
        <v>High</v>
      </c>
      <c r="K1125">
        <f>dataset[[#This Row],[soda_sales]]/dataset[[#This Row],[soda_units_sold]]</f>
        <v>0.74388276347954185</v>
      </c>
      <c r="L1125" s="29">
        <f>dataset[[#This Row],[implied_soda_ppu]]-dataset[[#This Row],[soda_ppu]]</f>
        <v>-1.7236520458152604E-5</v>
      </c>
      <c r="M1125">
        <f>dataset[[#This Row],[soda_sales]]/dataset[[#This Row],[total_sales]]</f>
        <v>4.6909463823379918E-2</v>
      </c>
      <c r="N1125">
        <f>LN(dataset[[#This Row],[soda_units_sold]])</f>
        <v>12.140776504137508</v>
      </c>
      <c r="O1125">
        <f>LN(dataset[[#This Row],[soda_sales]])</f>
        <v>11.844904671603707</v>
      </c>
      <c r="P1125">
        <f>LN(dataset[[#This Row],[soda_ppu]])</f>
        <v>-0.29584866178484137</v>
      </c>
      <c r="Q1125">
        <f>IF(dataset[[#This Row],[state]]="VA",1,0)</f>
        <v>1</v>
      </c>
    </row>
    <row r="1126" spans="1:17" x14ac:dyDescent="0.35">
      <c r="A1126">
        <v>202209</v>
      </c>
      <c r="B1126">
        <v>68</v>
      </c>
      <c r="C1126" s="2">
        <v>3048565.9315999998</v>
      </c>
      <c r="D1126" s="2">
        <v>0.74919999999999998</v>
      </c>
      <c r="E1126" s="3">
        <v>185454</v>
      </c>
      <c r="F1126" s="2">
        <v>138942.53839999999</v>
      </c>
      <c r="G1126" t="s">
        <v>2591</v>
      </c>
      <c r="H1126" t="s">
        <v>3</v>
      </c>
      <c r="I1126">
        <f>HLOOKUP(G1126,zip_tiers!$A$1:$EON$2,2,FALSE)</f>
        <v>123264</v>
      </c>
      <c r="J1126" t="str">
        <f t="shared" si="17"/>
        <v>High</v>
      </c>
      <c r="K1126">
        <f>dataset[[#This Row],[soda_sales]]/dataset[[#This Row],[soda_units_sold]]</f>
        <v>0.74920216549656515</v>
      </c>
      <c r="L1126" s="29">
        <f>dataset[[#This Row],[implied_soda_ppu]]-dataset[[#This Row],[soda_ppu]]</f>
        <v>2.1654965651762836E-6</v>
      </c>
      <c r="M1126">
        <f>dataset[[#This Row],[soda_sales]]/dataset[[#This Row],[total_sales]]</f>
        <v>4.5576360005793883E-2</v>
      </c>
      <c r="N1126">
        <f>LN(dataset[[#This Row],[soda_units_sold]])</f>
        <v>12.130562151841232</v>
      </c>
      <c r="O1126">
        <f>LN(dataset[[#This Row],[soda_sales]])</f>
        <v>11.841815733836711</v>
      </c>
      <c r="P1126">
        <f>LN(dataset[[#This Row],[soda_ppu]])</f>
        <v>-0.28874930841220364</v>
      </c>
      <c r="Q1126">
        <f>IF(dataset[[#This Row],[state]]="VA",1,0)</f>
        <v>1</v>
      </c>
    </row>
    <row r="1127" spans="1:17" x14ac:dyDescent="0.35">
      <c r="A1127">
        <v>202210</v>
      </c>
      <c r="B1127">
        <v>68</v>
      </c>
      <c r="C1127" s="2">
        <v>3609758.6272</v>
      </c>
      <c r="D1127" s="2">
        <v>0.72919999999999996</v>
      </c>
      <c r="E1127" s="3">
        <v>172574</v>
      </c>
      <c r="F1127" s="2">
        <v>125839.51210000001</v>
      </c>
      <c r="G1127" t="s">
        <v>2591</v>
      </c>
      <c r="H1127" t="s">
        <v>3</v>
      </c>
      <c r="I1127">
        <f>HLOOKUP(G1127,zip_tiers!$A$1:$EON$2,2,FALSE)</f>
        <v>123264</v>
      </c>
      <c r="J1127" t="str">
        <f t="shared" si="17"/>
        <v>High</v>
      </c>
      <c r="K1127">
        <f>dataset[[#This Row],[soda_sales]]/dataset[[#This Row],[soda_units_sold]]</f>
        <v>0.72919160534031779</v>
      </c>
      <c r="L1127" s="29">
        <f>dataset[[#This Row],[implied_soda_ppu]]-dataset[[#This Row],[soda_ppu]]</f>
        <v>-8.3946596821649067E-6</v>
      </c>
      <c r="M1127">
        <f>dataset[[#This Row],[soda_sales]]/dataset[[#This Row],[total_sales]]</f>
        <v>3.4860921489814567E-2</v>
      </c>
      <c r="N1127">
        <f>LN(dataset[[#This Row],[soda_units_sold]])</f>
        <v>12.058581408972822</v>
      </c>
      <c r="O1127">
        <f>LN(dataset[[#This Row],[soda_sales]])</f>
        <v>11.742762660579062</v>
      </c>
      <c r="P1127">
        <f>LN(dataset[[#This Row],[soda_ppu]])</f>
        <v>-0.31580723617762912</v>
      </c>
      <c r="Q1127">
        <f>IF(dataset[[#This Row],[state]]="VA",1,0)</f>
        <v>1</v>
      </c>
    </row>
    <row r="1128" spans="1:17" x14ac:dyDescent="0.35">
      <c r="A1128">
        <v>202211</v>
      </c>
      <c r="B1128">
        <v>68</v>
      </c>
      <c r="C1128" s="2">
        <v>4232167.2528999997</v>
      </c>
      <c r="D1128" s="2">
        <v>0.75739999999999996</v>
      </c>
      <c r="E1128" s="3">
        <v>169341</v>
      </c>
      <c r="F1128" s="2">
        <v>128264.3888</v>
      </c>
      <c r="G1128" t="s">
        <v>2591</v>
      </c>
      <c r="H1128" t="s">
        <v>3</v>
      </c>
      <c r="I1128">
        <f>HLOOKUP(G1128,zip_tiers!$A$1:$EON$2,2,FALSE)</f>
        <v>123264</v>
      </c>
      <c r="J1128" t="str">
        <f t="shared" si="17"/>
        <v>High</v>
      </c>
      <c r="K1128">
        <f>dataset[[#This Row],[soda_sales]]/dataset[[#This Row],[soda_units_sold]]</f>
        <v>0.75743256978522622</v>
      </c>
      <c r="L1128" s="29">
        <f>dataset[[#This Row],[implied_soda_ppu]]-dataset[[#This Row],[soda_ppu]]</f>
        <v>3.2569785226255199E-5</v>
      </c>
      <c r="M1128">
        <f>dataset[[#This Row],[soda_sales]]/dataset[[#This Row],[total_sales]]</f>
        <v>3.0307022651836275E-2</v>
      </c>
      <c r="N1128">
        <f>LN(dataset[[#This Row],[soda_units_sold]])</f>
        <v>12.039669712458151</v>
      </c>
      <c r="O1128">
        <f>LN(dataset[[#This Row],[soda_sales]])</f>
        <v>11.76184895011213</v>
      </c>
      <c r="P1128">
        <f>LN(dataset[[#This Row],[soda_ppu]])</f>
        <v>-0.27786376351444264</v>
      </c>
      <c r="Q1128">
        <f>IF(dataset[[#This Row],[state]]="VA",1,0)</f>
        <v>1</v>
      </c>
    </row>
    <row r="1129" spans="1:17" x14ac:dyDescent="0.35">
      <c r="A1129">
        <v>202212</v>
      </c>
      <c r="B1129">
        <v>68</v>
      </c>
      <c r="C1129" s="2">
        <v>4409538.8168000001</v>
      </c>
      <c r="D1129" s="2">
        <v>0.75680000000000003</v>
      </c>
      <c r="E1129" s="3">
        <v>161466</v>
      </c>
      <c r="F1129" s="2">
        <v>122204.8817</v>
      </c>
      <c r="G1129" t="s">
        <v>2591</v>
      </c>
      <c r="H1129" t="s">
        <v>3</v>
      </c>
      <c r="I1129">
        <f>HLOOKUP(G1129,zip_tiers!$A$1:$EON$2,2,FALSE)</f>
        <v>123264</v>
      </c>
      <c r="J1129" t="str">
        <f t="shared" si="17"/>
        <v>High</v>
      </c>
      <c r="K1129">
        <f>dataset[[#This Row],[soda_sales]]/dataset[[#This Row],[soda_units_sold]]</f>
        <v>0.75684590997485535</v>
      </c>
      <c r="L1129" s="29">
        <f>dataset[[#This Row],[implied_soda_ppu]]-dataset[[#This Row],[soda_ppu]]</f>
        <v>4.5909974855318225E-5</v>
      </c>
      <c r="M1129">
        <f>dataset[[#This Row],[soda_sales]]/dataset[[#This Row],[total_sales]]</f>
        <v>2.7713755741169327E-2</v>
      </c>
      <c r="N1129">
        <f>LN(dataset[[#This Row],[soda_units_sold]])</f>
        <v>11.992049873165284</v>
      </c>
      <c r="O1129">
        <f>LN(dataset[[#This Row],[soda_sales]])</f>
        <v>11.713454273366885</v>
      </c>
      <c r="P1129">
        <f>LN(dataset[[#This Row],[soda_ppu]])</f>
        <v>-0.27865626124446852</v>
      </c>
      <c r="Q1129">
        <f>IF(dataset[[#This Row],[state]]="VA",1,0)</f>
        <v>1</v>
      </c>
    </row>
    <row r="1130" spans="1:17" x14ac:dyDescent="0.35">
      <c r="A1130">
        <v>202301</v>
      </c>
      <c r="B1130">
        <v>68</v>
      </c>
      <c r="C1130" s="2">
        <v>2564246.0521</v>
      </c>
      <c r="D1130" s="2">
        <v>0.74109999999999998</v>
      </c>
      <c r="E1130" s="3">
        <v>122430</v>
      </c>
      <c r="F1130" s="2">
        <v>90730.314700000003</v>
      </c>
      <c r="G1130" t="s">
        <v>2591</v>
      </c>
      <c r="H1130" t="s">
        <v>3</v>
      </c>
      <c r="I1130">
        <f>HLOOKUP(G1130,zip_tiers!$A$1:$EON$2,2,FALSE)</f>
        <v>123264</v>
      </c>
      <c r="J1130" t="str">
        <f t="shared" si="17"/>
        <v>High</v>
      </c>
      <c r="K1130">
        <f>dataset[[#This Row],[soda_sales]]/dataset[[#This Row],[soda_units_sold]]</f>
        <v>0.7410791039777832</v>
      </c>
      <c r="L1130" s="29">
        <f>dataset[[#This Row],[implied_soda_ppu]]-dataset[[#This Row],[soda_ppu]]</f>
        <v>-2.0896022216776444E-5</v>
      </c>
      <c r="M1130">
        <f>dataset[[#This Row],[soda_sales]]/dataset[[#This Row],[total_sales]]</f>
        <v>3.5382842697835502E-2</v>
      </c>
      <c r="N1130">
        <f>LN(dataset[[#This Row],[soda_units_sold]])</f>
        <v>11.715294717067961</v>
      </c>
      <c r="O1130">
        <f>LN(dataset[[#This Row],[soda_sales]])</f>
        <v>11.415646810690669</v>
      </c>
      <c r="P1130">
        <f>LN(dataset[[#This Row],[soda_ppu]])</f>
        <v>-0.2996197100248239</v>
      </c>
      <c r="Q1130">
        <f>IF(dataset[[#This Row],[state]]="VA",1,0)</f>
        <v>1</v>
      </c>
    </row>
    <row r="1131" spans="1:17" x14ac:dyDescent="0.35">
      <c r="A1131">
        <v>202302</v>
      </c>
      <c r="B1131">
        <v>68</v>
      </c>
      <c r="C1131" s="2">
        <v>2791912.1957999999</v>
      </c>
      <c r="D1131" s="2">
        <v>0.75280000000000002</v>
      </c>
      <c r="E1131" s="3">
        <v>132011</v>
      </c>
      <c r="F1131" s="2">
        <v>99382.144799999995</v>
      </c>
      <c r="G1131" t="s">
        <v>2591</v>
      </c>
      <c r="H1131" t="s">
        <v>3</v>
      </c>
      <c r="I1131">
        <f>HLOOKUP(G1131,zip_tiers!$A$1:$EON$2,2,FALSE)</f>
        <v>123264</v>
      </c>
      <c r="J1131" t="str">
        <f t="shared" si="17"/>
        <v>High</v>
      </c>
      <c r="K1131">
        <f>dataset[[#This Row],[soda_sales]]/dataset[[#This Row],[soda_units_sold]]</f>
        <v>0.75283230033860815</v>
      </c>
      <c r="L1131" s="29">
        <f>dataset[[#This Row],[implied_soda_ppu]]-dataset[[#This Row],[soda_ppu]]</f>
        <v>3.2300338608126644E-5</v>
      </c>
      <c r="M1131">
        <f>dataset[[#This Row],[soda_sales]]/dataset[[#This Row],[total_sales]]</f>
        <v>3.5596443523369062E-2</v>
      </c>
      <c r="N1131">
        <f>LN(dataset[[#This Row],[soda_units_sold]])</f>
        <v>11.790640531429812</v>
      </c>
      <c r="O1131">
        <f>LN(dataset[[#This Row],[soda_sales]])</f>
        <v>11.506727746730633</v>
      </c>
      <c r="P1131">
        <f>LN(dataset[[#This Row],[soda_ppu]])</f>
        <v>-0.28395569071096716</v>
      </c>
      <c r="Q1131">
        <f>IF(dataset[[#This Row],[state]]="VA",1,0)</f>
        <v>1</v>
      </c>
    </row>
    <row r="1132" spans="1:17" x14ac:dyDescent="0.35">
      <c r="A1132">
        <v>202303</v>
      </c>
      <c r="B1132">
        <v>68</v>
      </c>
      <c r="C1132" s="2">
        <v>3215202.3424</v>
      </c>
      <c r="D1132" s="2">
        <v>0.73519999999999996</v>
      </c>
      <c r="E1132" s="3">
        <v>161392</v>
      </c>
      <c r="F1132" s="2">
        <v>118661.78969999999</v>
      </c>
      <c r="G1132" t="s">
        <v>2591</v>
      </c>
      <c r="H1132" t="s">
        <v>3</v>
      </c>
      <c r="I1132">
        <f>HLOOKUP(G1132,zip_tiers!$A$1:$EON$2,2,FALSE)</f>
        <v>123264</v>
      </c>
      <c r="J1132" t="str">
        <f t="shared" si="17"/>
        <v>High</v>
      </c>
      <c r="K1132">
        <f>dataset[[#This Row],[soda_sales]]/dataset[[#This Row],[soda_units_sold]]</f>
        <v>0.73523960109546938</v>
      </c>
      <c r="L1132" s="29">
        <f>dataset[[#This Row],[implied_soda_ppu]]-dataset[[#This Row],[soda_ppu]]</f>
        <v>3.9601095469410375E-5</v>
      </c>
      <c r="M1132">
        <f>dataset[[#This Row],[soda_sales]]/dataset[[#This Row],[total_sales]]</f>
        <v>3.6906476502323163E-2</v>
      </c>
      <c r="N1132">
        <f>LN(dataset[[#This Row],[soda_units_sold]])</f>
        <v>11.991591467294617</v>
      </c>
      <c r="O1132">
        <f>LN(dataset[[#This Row],[soda_sales]])</f>
        <v>11.684032622287802</v>
      </c>
      <c r="P1132">
        <f>LN(dataset[[#This Row],[soda_ppu]])</f>
        <v>-0.30761270794065981</v>
      </c>
      <c r="Q1132">
        <f>IF(dataset[[#This Row],[state]]="VA",1,0)</f>
        <v>1</v>
      </c>
    </row>
    <row r="1133" spans="1:17" x14ac:dyDescent="0.35">
      <c r="A1133">
        <v>202304</v>
      </c>
      <c r="B1133">
        <v>68</v>
      </c>
      <c r="C1133" s="2">
        <v>3375491.8171999999</v>
      </c>
      <c r="D1133" s="2">
        <v>0.77249999999999996</v>
      </c>
      <c r="E1133" s="3">
        <v>177805</v>
      </c>
      <c r="F1133" s="2">
        <v>137352.9241</v>
      </c>
      <c r="G1133" t="s">
        <v>2591</v>
      </c>
      <c r="H1133" t="s">
        <v>3</v>
      </c>
      <c r="I1133">
        <f>HLOOKUP(G1133,zip_tiers!$A$1:$EON$2,2,FALSE)</f>
        <v>123264</v>
      </c>
      <c r="J1133" t="str">
        <f t="shared" si="17"/>
        <v>High</v>
      </c>
      <c r="K1133">
        <f>dataset[[#This Row],[soda_sales]]/dataset[[#This Row],[soda_units_sold]]</f>
        <v>0.77249191023874475</v>
      </c>
      <c r="L1133" s="29">
        <f>dataset[[#This Row],[implied_soda_ppu]]-dataset[[#This Row],[soda_ppu]]</f>
        <v>-8.0897612552144338E-6</v>
      </c>
      <c r="M1133">
        <f>dataset[[#This Row],[soda_sales]]/dataset[[#This Row],[total_sales]]</f>
        <v>4.0691233022728951E-2</v>
      </c>
      <c r="N1133">
        <f>LN(dataset[[#This Row],[soda_units_sold]])</f>
        <v>12.088442723151354</v>
      </c>
      <c r="O1133">
        <f>LN(dataset[[#This Row],[soda_sales]])</f>
        <v>11.830308980703428</v>
      </c>
      <c r="P1133">
        <f>LN(dataset[[#This Row],[soda_ppu]])</f>
        <v>-0.25812327021023657</v>
      </c>
      <c r="Q1133">
        <f>IF(dataset[[#This Row],[state]]="VA",1,0)</f>
        <v>1</v>
      </c>
    </row>
    <row r="1134" spans="1:17" x14ac:dyDescent="0.35">
      <c r="A1134">
        <v>202305</v>
      </c>
      <c r="B1134">
        <v>68</v>
      </c>
      <c r="C1134" s="2">
        <v>3516007.6957999999</v>
      </c>
      <c r="D1134" s="2">
        <v>0.73899999999999999</v>
      </c>
      <c r="E1134" s="3">
        <v>202317</v>
      </c>
      <c r="F1134" s="2">
        <v>149510.30549999999</v>
      </c>
      <c r="G1134" t="s">
        <v>2591</v>
      </c>
      <c r="H1134" t="s">
        <v>3</v>
      </c>
      <c r="I1134">
        <f>HLOOKUP(G1134,zip_tiers!$A$1:$EON$2,2,FALSE)</f>
        <v>123264</v>
      </c>
      <c r="J1134" t="str">
        <f t="shared" si="17"/>
        <v>High</v>
      </c>
      <c r="K1134">
        <f>dataset[[#This Row],[soda_sales]]/dataset[[#This Row],[soda_units_sold]]</f>
        <v>0.7389903245896291</v>
      </c>
      <c r="L1134" s="29">
        <f>dataset[[#This Row],[implied_soda_ppu]]-dataset[[#This Row],[soda_ppu]]</f>
        <v>-9.6754103708907024E-6</v>
      </c>
      <c r="M1134">
        <f>dataset[[#This Row],[soda_sales]]/dataset[[#This Row],[total_sales]]</f>
        <v>4.2522746943527888E-2</v>
      </c>
      <c r="N1134">
        <f>LN(dataset[[#This Row],[soda_units_sold]])</f>
        <v>12.217591053238657</v>
      </c>
      <c r="O1134">
        <f>LN(dataset[[#This Row],[soda_sales]])</f>
        <v>11.915120602547468</v>
      </c>
      <c r="P1134">
        <f>LN(dataset[[#This Row],[soda_ppu]])</f>
        <v>-0.30245735803393531</v>
      </c>
      <c r="Q1134">
        <f>IF(dataset[[#This Row],[state]]="VA",1,0)</f>
        <v>1</v>
      </c>
    </row>
    <row r="1135" spans="1:17" x14ac:dyDescent="0.35">
      <c r="A1135">
        <v>202306</v>
      </c>
      <c r="B1135">
        <v>68</v>
      </c>
      <c r="C1135" s="2">
        <v>3271874.6592999999</v>
      </c>
      <c r="D1135" s="2">
        <v>0.75190000000000001</v>
      </c>
      <c r="E1135" s="3">
        <v>203795</v>
      </c>
      <c r="F1135" s="2">
        <v>153223.43539999999</v>
      </c>
      <c r="G1135" t="s">
        <v>2591</v>
      </c>
      <c r="H1135" t="s">
        <v>3</v>
      </c>
      <c r="I1135">
        <f>HLOOKUP(G1135,zip_tiers!$A$1:$EON$2,2,FALSE)</f>
        <v>123264</v>
      </c>
      <c r="J1135" t="str">
        <f t="shared" si="17"/>
        <v>High</v>
      </c>
      <c r="K1135">
        <f>dataset[[#This Row],[soda_sales]]/dataset[[#This Row],[soda_units_sold]]</f>
        <v>0.75185080791972314</v>
      </c>
      <c r="L1135" s="29">
        <f>dataset[[#This Row],[implied_soda_ppu]]-dataset[[#This Row],[soda_ppu]]</f>
        <v>-4.9192080276871941E-5</v>
      </c>
      <c r="M1135">
        <f>dataset[[#This Row],[soda_sales]]/dataset[[#This Row],[total_sales]]</f>
        <v>4.6830472238438781E-2</v>
      </c>
      <c r="N1135">
        <f>LN(dataset[[#This Row],[soda_units_sold]])</f>
        <v>12.22486986561308</v>
      </c>
      <c r="O1135">
        <f>LN(dataset[[#This Row],[soda_sales]])</f>
        <v>11.939652497174372</v>
      </c>
      <c r="P1135">
        <f>LN(dataset[[#This Row],[soda_ppu]])</f>
        <v>-0.28515194259815579</v>
      </c>
      <c r="Q1135">
        <f>IF(dataset[[#This Row],[state]]="VA",1,0)</f>
        <v>1</v>
      </c>
    </row>
    <row r="1136" spans="1:17" x14ac:dyDescent="0.35">
      <c r="A1136">
        <v>202307</v>
      </c>
      <c r="B1136">
        <v>68</v>
      </c>
      <c r="C1136" s="2">
        <v>3193177.2688000002</v>
      </c>
      <c r="D1136" s="2">
        <v>0.73150000000000004</v>
      </c>
      <c r="E1136" s="3">
        <v>221036</v>
      </c>
      <c r="F1136" s="2">
        <v>161676.94289999999</v>
      </c>
      <c r="G1136" t="s">
        <v>2591</v>
      </c>
      <c r="H1136" t="s">
        <v>3</v>
      </c>
      <c r="I1136">
        <f>HLOOKUP(G1136,zip_tiers!$A$1:$EON$2,2,FALSE)</f>
        <v>123264</v>
      </c>
      <c r="J1136" t="str">
        <f t="shared" si="17"/>
        <v>High</v>
      </c>
      <c r="K1136">
        <f>dataset[[#This Row],[soda_sales]]/dataset[[#This Row],[soda_units_sold]]</f>
        <v>0.73145072703089087</v>
      </c>
      <c r="L1136" s="29">
        <f>dataset[[#This Row],[implied_soda_ppu]]-dataset[[#This Row],[soda_ppu]]</f>
        <v>-4.9272969109170894E-5</v>
      </c>
      <c r="M1136">
        <f>dataset[[#This Row],[soda_sales]]/dataset[[#This Row],[total_sales]]</f>
        <v>5.0631997314937165E-2</v>
      </c>
      <c r="N1136">
        <f>LN(dataset[[#This Row],[soda_units_sold]])</f>
        <v>12.306080863161391</v>
      </c>
      <c r="O1136">
        <f>LN(dataset[[#This Row],[soda_sales]])</f>
        <v>11.993355443561281</v>
      </c>
      <c r="P1136">
        <f>LN(dataset[[#This Row],[soda_ppu]])</f>
        <v>-0.31265805852195799</v>
      </c>
      <c r="Q1136">
        <f>IF(dataset[[#This Row],[state]]="VA",1,0)</f>
        <v>1</v>
      </c>
    </row>
    <row r="1137" spans="1:17" x14ac:dyDescent="0.35">
      <c r="A1137">
        <v>202308</v>
      </c>
      <c r="B1137">
        <v>68</v>
      </c>
      <c r="C1137" s="2">
        <v>3079005.2801000001</v>
      </c>
      <c r="D1137" s="2">
        <v>0.76170000000000004</v>
      </c>
      <c r="E1137" s="3">
        <v>194174</v>
      </c>
      <c r="F1137" s="2">
        <v>147906.40410000001</v>
      </c>
      <c r="G1137" t="s">
        <v>2591</v>
      </c>
      <c r="H1137" t="s">
        <v>3</v>
      </c>
      <c r="I1137">
        <f>HLOOKUP(G1137,zip_tiers!$A$1:$EON$2,2,FALSE)</f>
        <v>123264</v>
      </c>
      <c r="J1137" t="str">
        <f t="shared" si="17"/>
        <v>High</v>
      </c>
      <c r="K1137">
        <f>dataset[[#This Row],[soda_sales]]/dataset[[#This Row],[soda_units_sold]]</f>
        <v>0.76172095182671218</v>
      </c>
      <c r="L1137" s="29">
        <f>dataset[[#This Row],[implied_soda_ppu]]-dataset[[#This Row],[soda_ppu]]</f>
        <v>2.0951826712134469E-5</v>
      </c>
      <c r="M1137">
        <f>dataset[[#This Row],[soda_sales]]/dataset[[#This Row],[total_sales]]</f>
        <v>4.8037073874454772E-2</v>
      </c>
      <c r="N1137">
        <f>LN(dataset[[#This Row],[soda_units_sold]])</f>
        <v>12.176509943281024</v>
      </c>
      <c r="O1137">
        <f>LN(dataset[[#This Row],[soda_sales]])</f>
        <v>11.904334947964305</v>
      </c>
      <c r="P1137">
        <f>LN(dataset[[#This Row],[soda_ppu]])</f>
        <v>-0.27220250160339454</v>
      </c>
      <c r="Q1137">
        <f>IF(dataset[[#This Row],[state]]="VA",1,0)</f>
        <v>1</v>
      </c>
    </row>
    <row r="1138" spans="1:17" x14ac:dyDescent="0.35">
      <c r="A1138">
        <v>202309</v>
      </c>
      <c r="B1138">
        <v>68</v>
      </c>
      <c r="C1138" s="2">
        <v>2987011.898</v>
      </c>
      <c r="D1138" s="2">
        <v>0.75090000000000001</v>
      </c>
      <c r="E1138" s="3">
        <v>176605</v>
      </c>
      <c r="F1138" s="2">
        <v>132619.53969999999</v>
      </c>
      <c r="G1138" t="s">
        <v>2591</v>
      </c>
      <c r="H1138" t="s">
        <v>3</v>
      </c>
      <c r="I1138">
        <f>HLOOKUP(G1138,zip_tiers!$A$1:$EON$2,2,FALSE)</f>
        <v>123264</v>
      </c>
      <c r="J1138" t="str">
        <f t="shared" si="17"/>
        <v>High</v>
      </c>
      <c r="K1138">
        <f>dataset[[#This Row],[soda_sales]]/dataset[[#This Row],[soda_units_sold]]</f>
        <v>0.75093875994450887</v>
      </c>
      <c r="L1138" s="29">
        <f>dataset[[#This Row],[implied_soda_ppu]]-dataset[[#This Row],[soda_ppu]]</f>
        <v>3.8759944508859334E-5</v>
      </c>
      <c r="M1138">
        <f>dataset[[#This Row],[soda_sales]]/dataset[[#This Row],[total_sales]]</f>
        <v>4.4398731651788016E-2</v>
      </c>
      <c r="N1138">
        <f>LN(dataset[[#This Row],[soda_units_sold]])</f>
        <v>12.081670879321985</v>
      </c>
      <c r="O1138">
        <f>LN(dataset[[#This Row],[soda_sales]])</f>
        <v>11.795239704097954</v>
      </c>
      <c r="P1138">
        <f>LN(dataset[[#This Row],[soda_ppu]])</f>
        <v>-0.28648279187629883</v>
      </c>
      <c r="Q1138">
        <f>IF(dataset[[#This Row],[state]]="VA",1,0)</f>
        <v>1</v>
      </c>
    </row>
    <row r="1139" spans="1:17" x14ac:dyDescent="0.35">
      <c r="A1139">
        <v>202310</v>
      </c>
      <c r="B1139">
        <v>68</v>
      </c>
      <c r="C1139" s="2">
        <v>3686185.3566000001</v>
      </c>
      <c r="D1139" s="2">
        <v>0.77529999999999999</v>
      </c>
      <c r="E1139" s="3">
        <v>168352</v>
      </c>
      <c r="F1139" s="2">
        <v>130523.3763</v>
      </c>
      <c r="G1139" t="s">
        <v>2591</v>
      </c>
      <c r="H1139" t="s">
        <v>3</v>
      </c>
      <c r="I1139">
        <f>HLOOKUP(G1139,zip_tiers!$A$1:$EON$2,2,FALSE)</f>
        <v>123264</v>
      </c>
      <c r="J1139" t="str">
        <f t="shared" si="17"/>
        <v>High</v>
      </c>
      <c r="K1139">
        <f>dataset[[#This Row],[soda_sales]]/dataset[[#This Row],[soda_units_sold]]</f>
        <v>0.77530041995343091</v>
      </c>
      <c r="L1139" s="29">
        <f>dataset[[#This Row],[implied_soda_ppu]]-dataset[[#This Row],[soda_ppu]]</f>
        <v>4.1995343091905113E-7</v>
      </c>
      <c r="M1139">
        <f>dataset[[#This Row],[soda_sales]]/dataset[[#This Row],[total_sales]]</f>
        <v>3.5408793555728811E-2</v>
      </c>
      <c r="N1139">
        <f>LN(dataset[[#This Row],[soda_units_sold]])</f>
        <v>12.033812304530533</v>
      </c>
      <c r="O1139">
        <f>LN(dataset[[#This Row],[soda_sales]])</f>
        <v>11.779307618438882</v>
      </c>
      <c r="P1139">
        <f>LN(dataset[[#This Row],[soda_ppu]])</f>
        <v>-0.25450522775722373</v>
      </c>
      <c r="Q1139">
        <f>IF(dataset[[#This Row],[state]]="VA",1,0)</f>
        <v>1</v>
      </c>
    </row>
    <row r="1140" spans="1:17" x14ac:dyDescent="0.35">
      <c r="A1140">
        <v>202311</v>
      </c>
      <c r="B1140">
        <v>68</v>
      </c>
      <c r="C1140" s="2">
        <v>4218662.6540999999</v>
      </c>
      <c r="D1140" s="2">
        <v>0.73299999999999998</v>
      </c>
      <c r="E1140" s="3">
        <v>168496</v>
      </c>
      <c r="F1140" s="2">
        <v>123504.10709999999</v>
      </c>
      <c r="G1140" t="s">
        <v>2591</v>
      </c>
      <c r="H1140" t="s">
        <v>3</v>
      </c>
      <c r="I1140">
        <f>HLOOKUP(G1140,zip_tiers!$A$1:$EON$2,2,FALSE)</f>
        <v>123264</v>
      </c>
      <c r="J1140" t="str">
        <f t="shared" si="17"/>
        <v>High</v>
      </c>
      <c r="K1140">
        <f>dataset[[#This Row],[soda_sales]]/dataset[[#This Row],[soda_units_sold]]</f>
        <v>0.73297946004652925</v>
      </c>
      <c r="L1140" s="29">
        <f>dataset[[#This Row],[implied_soda_ppu]]-dataset[[#This Row],[soda_ppu]]</f>
        <v>-2.0539953470732897E-5</v>
      </c>
      <c r="M1140">
        <f>dataset[[#This Row],[soda_sales]]/dataset[[#This Row],[total_sales]]</f>
        <v>2.9275653738269358E-2</v>
      </c>
      <c r="N1140">
        <f>LN(dataset[[#This Row],[soda_units_sold]])</f>
        <v>12.034667289620378</v>
      </c>
      <c r="O1140">
        <f>LN(dataset[[#This Row],[soda_sales]])</f>
        <v>11.724029690367651</v>
      </c>
      <c r="P1140">
        <f>LN(dataset[[#This Row],[soda_ppu]])</f>
        <v>-0.31060957709548559</v>
      </c>
      <c r="Q1140">
        <f>IF(dataset[[#This Row],[state]]="VA",1,0)</f>
        <v>1</v>
      </c>
    </row>
    <row r="1141" spans="1:17" x14ac:dyDescent="0.35">
      <c r="A1141">
        <v>202312</v>
      </c>
      <c r="B1141">
        <v>68</v>
      </c>
      <c r="C1141" s="2">
        <v>4370862.8318999996</v>
      </c>
      <c r="D1141" s="2">
        <v>0.75349999999999995</v>
      </c>
      <c r="E1141" s="3">
        <v>158910</v>
      </c>
      <c r="F1141" s="2">
        <v>119738.57309999999</v>
      </c>
      <c r="G1141" t="s">
        <v>2591</v>
      </c>
      <c r="H1141" t="s">
        <v>3</v>
      </c>
      <c r="I1141">
        <f>HLOOKUP(G1141,zip_tiers!$A$1:$EON$2,2,FALSE)</f>
        <v>123264</v>
      </c>
      <c r="J1141" t="str">
        <f t="shared" si="17"/>
        <v>High</v>
      </c>
      <c r="K1141">
        <f>dataset[[#This Row],[soda_sales]]/dataset[[#This Row],[soda_units_sold]]</f>
        <v>0.75349929582782704</v>
      </c>
      <c r="L1141" s="29">
        <f>dataset[[#This Row],[implied_soda_ppu]]-dataset[[#This Row],[soda_ppu]]</f>
        <v>-7.0417217290508205E-7</v>
      </c>
      <c r="M1141">
        <f>dataset[[#This Row],[soda_sales]]/dataset[[#This Row],[total_sales]]</f>
        <v>2.7394722210477156E-2</v>
      </c>
      <c r="N1141">
        <f>LN(dataset[[#This Row],[soda_units_sold]])</f>
        <v>11.976093283206682</v>
      </c>
      <c r="O1141">
        <f>LN(dataset[[#This Row],[soda_sales]])</f>
        <v>11.693066087755591</v>
      </c>
      <c r="P1141">
        <f>LN(dataset[[#This Row],[soda_ppu]])</f>
        <v>-0.28302626091558697</v>
      </c>
      <c r="Q1141">
        <f>IF(dataset[[#This Row],[state]]="VA",1,0)</f>
        <v>1</v>
      </c>
    </row>
    <row r="1142" spans="1:17" x14ac:dyDescent="0.35">
      <c r="A1142">
        <v>202401</v>
      </c>
      <c r="B1142">
        <v>68</v>
      </c>
      <c r="C1142" s="2">
        <v>2605062.3350999998</v>
      </c>
      <c r="D1142" s="2">
        <v>0.73880000000000001</v>
      </c>
      <c r="E1142" s="3">
        <v>123414</v>
      </c>
      <c r="F1142" s="2">
        <v>91181.748900000006</v>
      </c>
      <c r="G1142" t="s">
        <v>2591</v>
      </c>
      <c r="H1142" t="s">
        <v>3</v>
      </c>
      <c r="I1142">
        <f>HLOOKUP(G1142,zip_tiers!$A$1:$EON$2,2,FALSE)</f>
        <v>123264</v>
      </c>
      <c r="J1142" t="str">
        <f t="shared" si="17"/>
        <v>High</v>
      </c>
      <c r="K1142">
        <f>dataset[[#This Row],[soda_sales]]/dataset[[#This Row],[soda_units_sold]]</f>
        <v>0.73882824395935631</v>
      </c>
      <c r="L1142" s="29">
        <f>dataset[[#This Row],[implied_soda_ppu]]-dataset[[#This Row],[soda_ppu]]</f>
        <v>2.8243959356299975E-5</v>
      </c>
      <c r="M1142">
        <f>dataset[[#This Row],[soda_sales]]/dataset[[#This Row],[total_sales]]</f>
        <v>3.5001753190869359E-2</v>
      </c>
      <c r="N1142">
        <f>LN(dataset[[#This Row],[soda_units_sold]])</f>
        <v>11.723299836206218</v>
      </c>
      <c r="O1142">
        <f>LN(dataset[[#This Row],[soda_sales]])</f>
        <v>11.420610034324875</v>
      </c>
      <c r="P1142">
        <f>LN(dataset[[#This Row],[soda_ppu]])</f>
        <v>-0.30272803065705212</v>
      </c>
      <c r="Q1142">
        <f>IF(dataset[[#This Row],[state]]="VA",1,0)</f>
        <v>1</v>
      </c>
    </row>
    <row r="1143" spans="1:17" x14ac:dyDescent="0.35">
      <c r="A1143">
        <v>202402</v>
      </c>
      <c r="B1143">
        <v>68</v>
      </c>
      <c r="C1143" s="2">
        <v>2908708.611</v>
      </c>
      <c r="D1143" s="2">
        <v>0.77529999999999999</v>
      </c>
      <c r="E1143" s="3">
        <v>133745</v>
      </c>
      <c r="F1143" s="2">
        <v>103695.6134</v>
      </c>
      <c r="G1143" t="s">
        <v>2591</v>
      </c>
      <c r="H1143" t="s">
        <v>3</v>
      </c>
      <c r="I1143">
        <f>HLOOKUP(G1143,zip_tiers!$A$1:$EON$2,2,FALSE)</f>
        <v>123264</v>
      </c>
      <c r="J1143" t="str">
        <f t="shared" si="17"/>
        <v>High</v>
      </c>
      <c r="K1143">
        <f>dataset[[#This Row],[soda_sales]]/dataset[[#This Row],[soda_units_sold]]</f>
        <v>0.77532328984261101</v>
      </c>
      <c r="L1143" s="29">
        <f>dataset[[#This Row],[implied_soda_ppu]]-dataset[[#This Row],[soda_ppu]]</f>
        <v>2.3289842611018408E-5</v>
      </c>
      <c r="M1143">
        <f>dataset[[#This Row],[soda_sales]]/dataset[[#This Row],[total_sales]]</f>
        <v>3.5650052056726972E-2</v>
      </c>
      <c r="N1143">
        <f>LN(dataset[[#This Row],[soda_units_sold]])</f>
        <v>11.803690280881915</v>
      </c>
      <c r="O1143">
        <f>LN(dataset[[#This Row],[soda_sales]])</f>
        <v>11.549215092455023</v>
      </c>
      <c r="P1143">
        <f>LN(dataset[[#This Row],[soda_ppu]])</f>
        <v>-0.25450522775722373</v>
      </c>
      <c r="Q1143">
        <f>IF(dataset[[#This Row],[state]]="VA",1,0)</f>
        <v>1</v>
      </c>
    </row>
    <row r="1144" spans="1:17" x14ac:dyDescent="0.35">
      <c r="A1144">
        <v>202403</v>
      </c>
      <c r="B1144">
        <v>68</v>
      </c>
      <c r="C1144" s="2">
        <v>3225496.9660999998</v>
      </c>
      <c r="D1144" s="2">
        <v>0.78690000000000004</v>
      </c>
      <c r="E1144" s="3">
        <v>156666</v>
      </c>
      <c r="F1144" s="2">
        <v>123273.7895</v>
      </c>
      <c r="G1144" t="s">
        <v>2591</v>
      </c>
      <c r="H1144" t="s">
        <v>3</v>
      </c>
      <c r="I1144">
        <f>HLOOKUP(G1144,zip_tiers!$A$1:$EON$2,2,FALSE)</f>
        <v>123264</v>
      </c>
      <c r="J1144" t="str">
        <f t="shared" si="17"/>
        <v>High</v>
      </c>
      <c r="K1144">
        <f>dataset[[#This Row],[soda_sales]]/dataset[[#This Row],[soda_units_sold]]</f>
        <v>0.78685732386095264</v>
      </c>
      <c r="L1144" s="29">
        <f>dataset[[#This Row],[implied_soda_ppu]]-dataset[[#This Row],[soda_ppu]]</f>
        <v>-4.2676139047403971E-5</v>
      </c>
      <c r="M1144">
        <f>dataset[[#This Row],[soda_sales]]/dataset[[#This Row],[total_sales]]</f>
        <v>3.821854145132008E-2</v>
      </c>
      <c r="N1144">
        <f>LN(dataset[[#This Row],[soda_units_sold]])</f>
        <v>11.961871429689928</v>
      </c>
      <c r="O1144">
        <f>LN(dataset[[#This Row],[soda_sales]])</f>
        <v>11.722163091534888</v>
      </c>
      <c r="P1144">
        <f>LN(dataset[[#This Row],[soda_ppu]])</f>
        <v>-0.23965410344119931</v>
      </c>
      <c r="Q1144">
        <f>IF(dataset[[#This Row],[state]]="VA",1,0)</f>
        <v>1</v>
      </c>
    </row>
    <row r="1145" spans="1:17" x14ac:dyDescent="0.35">
      <c r="A1145">
        <v>202404</v>
      </c>
      <c r="B1145">
        <v>68</v>
      </c>
      <c r="C1145" s="2">
        <v>3408282.3533000001</v>
      </c>
      <c r="D1145" s="2">
        <v>0.75929999999999997</v>
      </c>
      <c r="E1145" s="3">
        <v>185070</v>
      </c>
      <c r="F1145" s="2">
        <v>140527.69099999999</v>
      </c>
      <c r="G1145" t="s">
        <v>2591</v>
      </c>
      <c r="H1145" t="s">
        <v>3</v>
      </c>
      <c r="I1145">
        <f>HLOOKUP(G1145,zip_tiers!$A$1:$EON$2,2,FALSE)</f>
        <v>123264</v>
      </c>
      <c r="J1145" t="str">
        <f t="shared" si="17"/>
        <v>High</v>
      </c>
      <c r="K1145">
        <f>dataset[[#This Row],[soda_sales]]/dataset[[#This Row],[soda_units_sold]]</f>
        <v>0.75932182957799743</v>
      </c>
      <c r="L1145" s="29">
        <f>dataset[[#This Row],[implied_soda_ppu]]-dataset[[#This Row],[soda_ppu]]</f>
        <v>2.182957799745644E-5</v>
      </c>
      <c r="M1145">
        <f>dataset[[#This Row],[soda_sales]]/dataset[[#This Row],[total_sales]]</f>
        <v>4.1231235101146159E-2</v>
      </c>
      <c r="N1145">
        <f>LN(dataset[[#This Row],[soda_units_sold]])</f>
        <v>12.128489410871794</v>
      </c>
      <c r="O1145">
        <f>LN(dataset[[#This Row],[soda_sales]])</f>
        <v>11.85315983730443</v>
      </c>
      <c r="P1145">
        <f>LN(dataset[[#This Row],[soda_ppu]])</f>
        <v>-0.27535832276294903</v>
      </c>
      <c r="Q1145">
        <f>IF(dataset[[#This Row],[state]]="VA",1,0)</f>
        <v>1</v>
      </c>
    </row>
    <row r="1146" spans="1:17" x14ac:dyDescent="0.35">
      <c r="A1146">
        <v>202405</v>
      </c>
      <c r="B1146">
        <v>68</v>
      </c>
      <c r="C1146" s="2">
        <v>3565815.8624</v>
      </c>
      <c r="D1146" s="2">
        <v>0.75129999999999997</v>
      </c>
      <c r="E1146" s="3">
        <v>202928</v>
      </c>
      <c r="F1146" s="2">
        <v>152463.2752</v>
      </c>
      <c r="G1146" t="s">
        <v>2591</v>
      </c>
      <c r="H1146" t="s">
        <v>3</v>
      </c>
      <c r="I1146">
        <f>HLOOKUP(G1146,zip_tiers!$A$1:$EON$2,2,FALSE)</f>
        <v>123264</v>
      </c>
      <c r="J1146" t="str">
        <f t="shared" si="17"/>
        <v>High</v>
      </c>
      <c r="K1146">
        <f>dataset[[#This Row],[soda_sales]]/dataset[[#This Row],[soda_units_sold]]</f>
        <v>0.75131709374753608</v>
      </c>
      <c r="L1146" s="29">
        <f>dataset[[#This Row],[implied_soda_ppu]]-dataset[[#This Row],[soda_ppu]]</f>
        <v>1.7093747536112147E-5</v>
      </c>
      <c r="M1146">
        <f>dataset[[#This Row],[soda_sales]]/dataset[[#This Row],[total_sales]]</f>
        <v>4.2756912045756455E-2</v>
      </c>
      <c r="N1146">
        <f>LN(dataset[[#This Row],[soda_units_sold]])</f>
        <v>12.22060651530721</v>
      </c>
      <c r="O1146">
        <f>LN(dataset[[#This Row],[soda_sales]])</f>
        <v>11.934679027667551</v>
      </c>
      <c r="P1146">
        <f>LN(dataset[[#This Row],[soda_ppu]])</f>
        <v>-0.28595023960702215</v>
      </c>
      <c r="Q1146">
        <f>IF(dataset[[#This Row],[state]]="VA",1,0)</f>
        <v>1</v>
      </c>
    </row>
    <row r="1147" spans="1:17" x14ac:dyDescent="0.35">
      <c r="A1147">
        <v>202406</v>
      </c>
      <c r="B1147">
        <v>68</v>
      </c>
      <c r="C1147" s="2">
        <v>3401469.7541999999</v>
      </c>
      <c r="D1147" s="2">
        <v>0.79679999999999995</v>
      </c>
      <c r="E1147" s="3">
        <v>200802</v>
      </c>
      <c r="F1147" s="2">
        <v>160001.87609999999</v>
      </c>
      <c r="G1147" t="s">
        <v>2591</v>
      </c>
      <c r="H1147" t="s">
        <v>3</v>
      </c>
      <c r="I1147">
        <f>HLOOKUP(G1147,zip_tiers!$A$1:$EON$2,2,FALSE)</f>
        <v>123264</v>
      </c>
      <c r="J1147" t="str">
        <f t="shared" si="17"/>
        <v>High</v>
      </c>
      <c r="K1147">
        <f>dataset[[#This Row],[soda_sales]]/dataset[[#This Row],[soda_units_sold]]</f>
        <v>0.79681415573550063</v>
      </c>
      <c r="L1147" s="29">
        <f>dataset[[#This Row],[implied_soda_ppu]]-dataset[[#This Row],[soda_ppu]]</f>
        <v>1.4155735500676059E-5</v>
      </c>
      <c r="M1147">
        <f>dataset[[#This Row],[soda_sales]]/dataset[[#This Row],[total_sales]]</f>
        <v>4.7039041256338093E-2</v>
      </c>
      <c r="N1147">
        <f>LN(dataset[[#This Row],[soda_units_sold]])</f>
        <v>12.210074626909472</v>
      </c>
      <c r="O1147">
        <f>LN(dataset[[#This Row],[soda_sales]])</f>
        <v>11.982940819772219</v>
      </c>
      <c r="P1147">
        <f>LN(dataset[[#This Row],[soda_ppu]])</f>
        <v>-0.22715157271174863</v>
      </c>
      <c r="Q1147">
        <f>IF(dataset[[#This Row],[state]]="VA",1,0)</f>
        <v>1</v>
      </c>
    </row>
    <row r="1148" spans="1:17" x14ac:dyDescent="0.35">
      <c r="A1148">
        <v>202407</v>
      </c>
      <c r="B1148">
        <v>68</v>
      </c>
      <c r="C1148" s="2">
        <v>3193351.2946000001</v>
      </c>
      <c r="D1148" s="2">
        <v>0.79190000000000005</v>
      </c>
      <c r="E1148" s="3">
        <v>206964</v>
      </c>
      <c r="F1148" s="2">
        <v>163893.15539999999</v>
      </c>
      <c r="G1148" t="s">
        <v>2591</v>
      </c>
      <c r="H1148" t="s">
        <v>3</v>
      </c>
      <c r="I1148">
        <f>HLOOKUP(G1148,zip_tiers!$A$1:$EON$2,2,FALSE)</f>
        <v>123264</v>
      </c>
      <c r="J1148" t="str">
        <f t="shared" si="17"/>
        <v>High</v>
      </c>
      <c r="K1148">
        <f>dataset[[#This Row],[soda_sales]]/dataset[[#This Row],[soda_units_sold]]</f>
        <v>0.79189209427726559</v>
      </c>
      <c r="L1148" s="29">
        <f>dataset[[#This Row],[implied_soda_ppu]]-dataset[[#This Row],[soda_ppu]]</f>
        <v>-7.9057227344581094E-6</v>
      </c>
      <c r="M1148">
        <f>dataset[[#This Row],[soda_sales]]/dataset[[#This Row],[total_sales]]</f>
        <v>5.132324642050673E-2</v>
      </c>
      <c r="N1148">
        <f>LN(dataset[[#This Row],[soda_units_sold]])</f>
        <v>12.2403001440794</v>
      </c>
      <c r="O1148">
        <f>LN(dataset[[#This Row],[soda_sales]])</f>
        <v>12.006970003030139</v>
      </c>
      <c r="P1148">
        <f>LN(dataset[[#This Row],[soda_ppu]])</f>
        <v>-0.2333201577657702</v>
      </c>
      <c r="Q1148">
        <f>IF(dataset[[#This Row],[state]]="VA",1,0)</f>
        <v>1</v>
      </c>
    </row>
    <row r="1149" spans="1:17" x14ac:dyDescent="0.35">
      <c r="A1149">
        <v>202408</v>
      </c>
      <c r="B1149">
        <v>68</v>
      </c>
      <c r="C1149" s="2">
        <v>3070252.4615000002</v>
      </c>
      <c r="D1149" s="2">
        <v>0.80030000000000001</v>
      </c>
      <c r="E1149" s="3">
        <v>185893</v>
      </c>
      <c r="F1149" s="2">
        <v>148763.4945</v>
      </c>
      <c r="G1149" t="s">
        <v>2591</v>
      </c>
      <c r="H1149" t="s">
        <v>3</v>
      </c>
      <c r="I1149">
        <f>HLOOKUP(G1149,zip_tiers!$A$1:$EON$2,2,FALSE)</f>
        <v>123264</v>
      </c>
      <c r="J1149" t="str">
        <f t="shared" si="17"/>
        <v>High</v>
      </c>
      <c r="K1149">
        <f>dataset[[#This Row],[soda_sales]]/dataset[[#This Row],[soda_units_sold]]</f>
        <v>0.80026410085371691</v>
      </c>
      <c r="L1149" s="29">
        <f>dataset[[#This Row],[implied_soda_ppu]]-dataset[[#This Row],[soda_ppu]]</f>
        <v>-3.5899146283102645E-5</v>
      </c>
      <c r="M1149">
        <f>dataset[[#This Row],[soda_sales]]/dataset[[#This Row],[total_sales]]</f>
        <v>4.8453179784218856E-2</v>
      </c>
      <c r="N1149">
        <f>LN(dataset[[#This Row],[soda_units_sold]])</f>
        <v>12.132926518347542</v>
      </c>
      <c r="O1149">
        <f>LN(dataset[[#This Row],[soda_sales]])</f>
        <v>11.910113038620858</v>
      </c>
      <c r="P1149">
        <f>LN(dataset[[#This Row],[soda_ppu]])</f>
        <v>-0.22276862160913655</v>
      </c>
      <c r="Q1149">
        <f>IF(dataset[[#This Row],[state]]="VA",1,0)</f>
        <v>1</v>
      </c>
    </row>
    <row r="1150" spans="1:17" x14ac:dyDescent="0.35">
      <c r="A1150">
        <v>202409</v>
      </c>
      <c r="B1150">
        <v>68</v>
      </c>
      <c r="C1150" s="2">
        <v>3170508.6087000002</v>
      </c>
      <c r="D1150" s="2">
        <v>0.81669999999999998</v>
      </c>
      <c r="E1150" s="3">
        <v>179246</v>
      </c>
      <c r="F1150" s="2">
        <v>146391.84539999999</v>
      </c>
      <c r="G1150" t="s">
        <v>2591</v>
      </c>
      <c r="H1150" t="s">
        <v>3</v>
      </c>
      <c r="I1150">
        <f>HLOOKUP(G1150,zip_tiers!$A$1:$EON$2,2,FALSE)</f>
        <v>123264</v>
      </c>
      <c r="J1150" t="str">
        <f t="shared" si="17"/>
        <v>High</v>
      </c>
      <c r="K1150">
        <f>dataset[[#This Row],[soda_sales]]/dataset[[#This Row],[soda_units_sold]]</f>
        <v>0.81670913381609622</v>
      </c>
      <c r="L1150" s="29">
        <f>dataset[[#This Row],[implied_soda_ppu]]-dataset[[#This Row],[soda_ppu]]</f>
        <v>9.1338160962406434E-6</v>
      </c>
      <c r="M1150">
        <f>dataset[[#This Row],[soda_sales]]/dataset[[#This Row],[total_sales]]</f>
        <v>4.6172984674539286E-2</v>
      </c>
      <c r="N1150">
        <f>LN(dataset[[#This Row],[soda_units_sold]])</f>
        <v>12.096514443010648</v>
      </c>
      <c r="O1150">
        <f>LN(dataset[[#This Row],[soda_sales]])</f>
        <v>11.894042178138328</v>
      </c>
      <c r="P1150">
        <f>LN(dataset[[#This Row],[soda_ppu]])</f>
        <v>-0.20248344861790707</v>
      </c>
      <c r="Q1150">
        <f>IF(dataset[[#This Row],[state]]="VA",1,0)</f>
        <v>1</v>
      </c>
    </row>
    <row r="1151" spans="1:17" x14ac:dyDescent="0.35">
      <c r="A1151">
        <v>202410</v>
      </c>
      <c r="B1151">
        <v>68</v>
      </c>
      <c r="C1151" s="2">
        <v>3737296.2100999998</v>
      </c>
      <c r="D1151" s="2">
        <v>0.79959999999999998</v>
      </c>
      <c r="E1151" s="3">
        <v>163423</v>
      </c>
      <c r="F1151" s="2">
        <v>130680.7641</v>
      </c>
      <c r="G1151" t="s">
        <v>2591</v>
      </c>
      <c r="H1151" t="s">
        <v>3</v>
      </c>
      <c r="I1151">
        <f>HLOOKUP(G1151,zip_tiers!$A$1:$EON$2,2,FALSE)</f>
        <v>123264</v>
      </c>
      <c r="J1151" t="str">
        <f t="shared" si="17"/>
        <v>High</v>
      </c>
      <c r="K1151">
        <f>dataset[[#This Row],[soda_sales]]/dataset[[#This Row],[soda_units_sold]]</f>
        <v>0.79964732075656431</v>
      </c>
      <c r="L1151" s="29">
        <f>dataset[[#This Row],[implied_soda_ppu]]-dataset[[#This Row],[soda_ppu]]</f>
        <v>4.7320756564328548E-5</v>
      </c>
      <c r="M1151">
        <f>dataset[[#This Row],[soda_sales]]/dataset[[#This Row],[total_sales]]</f>
        <v>3.4966659518942261E-2</v>
      </c>
      <c r="N1151">
        <f>LN(dataset[[#This Row],[soda_units_sold]])</f>
        <v>12.004097210376369</v>
      </c>
      <c r="O1151">
        <f>LN(dataset[[#This Row],[soda_sales]])</f>
        <v>11.780512712805351</v>
      </c>
      <c r="P1151">
        <f>LN(dataset[[#This Row],[soda_ppu]])</f>
        <v>-0.22364367635589208</v>
      </c>
      <c r="Q1151">
        <f>IF(dataset[[#This Row],[state]]="VA",1,0)</f>
        <v>1</v>
      </c>
    </row>
    <row r="1152" spans="1:17" x14ac:dyDescent="0.35">
      <c r="A1152">
        <v>202411</v>
      </c>
      <c r="B1152">
        <v>68</v>
      </c>
      <c r="C1152" s="2">
        <v>4304499.2313000001</v>
      </c>
      <c r="D1152" s="2">
        <v>0.83450000000000002</v>
      </c>
      <c r="E1152" s="3">
        <v>154368</v>
      </c>
      <c r="F1152" s="2">
        <v>128818.69899999999</v>
      </c>
      <c r="G1152" t="s">
        <v>2591</v>
      </c>
      <c r="H1152" t="s">
        <v>3</v>
      </c>
      <c r="I1152">
        <f>HLOOKUP(G1152,zip_tiers!$A$1:$EON$2,2,FALSE)</f>
        <v>123264</v>
      </c>
      <c r="J1152" t="str">
        <f t="shared" si="17"/>
        <v>High</v>
      </c>
      <c r="K1152">
        <f>dataset[[#This Row],[soda_sales]]/dataset[[#This Row],[soda_units_sold]]</f>
        <v>0.83449095019693198</v>
      </c>
      <c r="L1152" s="29">
        <f>dataset[[#This Row],[implied_soda_ppu]]-dataset[[#This Row],[soda_ppu]]</f>
        <v>-9.0498030680397079E-6</v>
      </c>
      <c r="M1152">
        <f>dataset[[#This Row],[soda_sales]]/dataset[[#This Row],[total_sales]]</f>
        <v>2.9926523871418025E-2</v>
      </c>
      <c r="N1152">
        <f>LN(dataset[[#This Row],[soda_units_sold]])</f>
        <v>11.947094641206748</v>
      </c>
      <c r="O1152">
        <f>LN(dataset[[#This Row],[soda_sales]])</f>
        <v>11.766161260686429</v>
      </c>
      <c r="P1152">
        <f>LN(dataset[[#This Row],[soda_ppu]])</f>
        <v>-0.18092253588024726</v>
      </c>
      <c r="Q1152">
        <f>IF(dataset[[#This Row],[state]]="VA",1,0)</f>
        <v>1</v>
      </c>
    </row>
    <row r="1153" spans="1:17" x14ac:dyDescent="0.35">
      <c r="A1153">
        <v>202412</v>
      </c>
      <c r="B1153">
        <v>68</v>
      </c>
      <c r="C1153" s="2">
        <v>4546406.3465999998</v>
      </c>
      <c r="D1153" s="2">
        <v>0.78190000000000004</v>
      </c>
      <c r="E1153" s="3">
        <v>161102</v>
      </c>
      <c r="F1153" s="2">
        <v>125961.1106</v>
      </c>
      <c r="G1153" t="s">
        <v>2591</v>
      </c>
      <c r="H1153" t="s">
        <v>3</v>
      </c>
      <c r="I1153">
        <f>HLOOKUP(G1153,zip_tiers!$A$1:$EON$2,2,FALSE)</f>
        <v>123264</v>
      </c>
      <c r="J1153" t="str">
        <f t="shared" si="17"/>
        <v>High</v>
      </c>
      <c r="K1153">
        <f>dataset[[#This Row],[soda_sales]]/dataset[[#This Row],[soda_units_sold]]</f>
        <v>0.78187179923278416</v>
      </c>
      <c r="L1153" s="29">
        <f>dataset[[#This Row],[implied_soda_ppu]]-dataset[[#This Row],[soda_ppu]]</f>
        <v>-2.8200767215880163E-5</v>
      </c>
      <c r="M1153">
        <f>dataset[[#This Row],[soda_sales]]/dataset[[#This Row],[total_sales]]</f>
        <v>2.7705642874222888E-2</v>
      </c>
      <c r="N1153">
        <f>LN(dataset[[#This Row],[soda_units_sold]])</f>
        <v>11.98979298373729</v>
      </c>
      <c r="O1153">
        <f>LN(dataset[[#This Row],[soda_sales]])</f>
        <v>11.74372849226088</v>
      </c>
      <c r="P1153">
        <f>LN(dataset[[#This Row],[soda_ppu]])</f>
        <v>-0.24602842385166868</v>
      </c>
      <c r="Q1153">
        <f>IF(dataset[[#This Row],[state]]="VA",1,0)</f>
        <v>1</v>
      </c>
    </row>
    <row r="1154" spans="1:17" x14ac:dyDescent="0.35">
      <c r="A1154">
        <v>202201</v>
      </c>
      <c r="B1154">
        <v>55</v>
      </c>
      <c r="C1154" s="2">
        <v>2225321.1790999998</v>
      </c>
      <c r="D1154" s="2">
        <v>0.73399999999999999</v>
      </c>
      <c r="E1154" s="3">
        <v>138675</v>
      </c>
      <c r="F1154" s="2">
        <v>101784.17750000001</v>
      </c>
      <c r="G1154" t="s">
        <v>2632</v>
      </c>
      <c r="H1154" t="s">
        <v>3</v>
      </c>
      <c r="I1154">
        <f>HLOOKUP(G1154,zip_tiers!$A$1:$EON$2,2,FALSE)</f>
        <v>101048.66666666667</v>
      </c>
      <c r="J1154" t="str">
        <f t="shared" ref="J1154:J1217" si="18">IF(I1154="","No Data",IF(I1154&gt;=100000,"High",IF(I1154&gt;=40000,"Med","Low")))</f>
        <v>High</v>
      </c>
      <c r="K1154">
        <f>dataset[[#This Row],[soda_sales]]/dataset[[#This Row],[soda_units_sold]]</f>
        <v>0.73397640165855416</v>
      </c>
      <c r="L1154" s="29">
        <f>dataset[[#This Row],[implied_soda_ppu]]-dataset[[#This Row],[soda_ppu]]</f>
        <v>-2.3598341445829618E-5</v>
      </c>
      <c r="M1154">
        <f>dataset[[#This Row],[soda_sales]]/dataset[[#This Row],[total_sales]]</f>
        <v>4.5739095307206483E-2</v>
      </c>
      <c r="N1154">
        <f>LN(dataset[[#This Row],[soda_units_sold]])</f>
        <v>11.839888344923436</v>
      </c>
      <c r="O1154">
        <f>LN(dataset[[#This Row],[soda_sales]])</f>
        <v>11.530609943710036</v>
      </c>
      <c r="P1154">
        <f>LN(dataset[[#This Row],[soda_ppu]])</f>
        <v>-0.30924625036762149</v>
      </c>
      <c r="Q1154">
        <f>IF(dataset[[#This Row],[state]]="VA",1,0)</f>
        <v>1</v>
      </c>
    </row>
    <row r="1155" spans="1:17" x14ac:dyDescent="0.35">
      <c r="A1155">
        <v>202202</v>
      </c>
      <c r="B1155">
        <v>55</v>
      </c>
      <c r="C1155" s="2">
        <v>2535279.4391000001</v>
      </c>
      <c r="D1155" s="2">
        <v>0.72409999999999997</v>
      </c>
      <c r="E1155" s="3">
        <v>158561</v>
      </c>
      <c r="F1155" s="2">
        <v>114812.4311</v>
      </c>
      <c r="G1155" t="s">
        <v>2632</v>
      </c>
      <c r="H1155" t="s">
        <v>3</v>
      </c>
      <c r="I1155">
        <f>HLOOKUP(G1155,zip_tiers!$A$1:$EON$2,2,FALSE)</f>
        <v>101048.66666666667</v>
      </c>
      <c r="J1155" t="str">
        <f t="shared" si="18"/>
        <v>High</v>
      </c>
      <c r="K1155">
        <f>dataset[[#This Row],[soda_sales]]/dataset[[#This Row],[soda_units_sold]]</f>
        <v>0.72408997862021562</v>
      </c>
      <c r="L1155" s="29">
        <f>dataset[[#This Row],[implied_soda_ppu]]-dataset[[#This Row],[soda_ppu]]</f>
        <v>-1.0021379784341811E-5</v>
      </c>
      <c r="M1155">
        <f>dataset[[#This Row],[soda_sales]]/dataset[[#This Row],[total_sales]]</f>
        <v>4.5285907868505934E-2</v>
      </c>
      <c r="N1155">
        <f>LN(dataset[[#This Row],[soda_units_sold]])</f>
        <v>11.973894656304775</v>
      </c>
      <c r="O1155">
        <f>LN(dataset[[#This Row],[soda_sales]])</f>
        <v>11.651055041848428</v>
      </c>
      <c r="P1155">
        <f>LN(dataset[[#This Row],[soda_ppu]])</f>
        <v>-0.322825774587362</v>
      </c>
      <c r="Q1155">
        <f>IF(dataset[[#This Row],[state]]="VA",1,0)</f>
        <v>1</v>
      </c>
    </row>
    <row r="1156" spans="1:17" x14ac:dyDescent="0.35">
      <c r="A1156">
        <v>202203</v>
      </c>
      <c r="B1156">
        <v>55</v>
      </c>
      <c r="C1156" s="2">
        <v>2912657.2499000002</v>
      </c>
      <c r="D1156" s="2">
        <v>0.72009999999999996</v>
      </c>
      <c r="E1156" s="3">
        <v>192179</v>
      </c>
      <c r="F1156" s="2">
        <v>138382.696</v>
      </c>
      <c r="G1156" t="s">
        <v>2632</v>
      </c>
      <c r="H1156" t="s">
        <v>3</v>
      </c>
      <c r="I1156">
        <f>HLOOKUP(G1156,zip_tiers!$A$1:$EON$2,2,FALSE)</f>
        <v>101048.66666666667</v>
      </c>
      <c r="J1156" t="str">
        <f t="shared" si="18"/>
        <v>High</v>
      </c>
      <c r="K1156">
        <f>dataset[[#This Row],[soda_sales]]/dataset[[#This Row],[soda_units_sold]]</f>
        <v>0.72007189130966442</v>
      </c>
      <c r="L1156" s="29">
        <f>dataset[[#This Row],[implied_soda_ppu]]-dataset[[#This Row],[soda_ppu]]</f>
        <v>-2.8108690335537645E-5</v>
      </c>
      <c r="M1156">
        <f>dataset[[#This Row],[soda_sales]]/dataset[[#This Row],[total_sales]]</f>
        <v>4.7510806843047211E-2</v>
      </c>
      <c r="N1156">
        <f>LN(dataset[[#This Row],[soda_units_sold]])</f>
        <v>12.166182508362626</v>
      </c>
      <c r="O1156">
        <f>LN(dataset[[#This Row],[soda_sales]])</f>
        <v>11.837778285447207</v>
      </c>
      <c r="P1156">
        <f>LN(dataset[[#This Row],[soda_ppu]])</f>
        <v>-0.32836518772731599</v>
      </c>
      <c r="Q1156">
        <f>IF(dataset[[#This Row],[state]]="VA",1,0)</f>
        <v>1</v>
      </c>
    </row>
    <row r="1157" spans="1:17" x14ac:dyDescent="0.35">
      <c r="A1157">
        <v>202204</v>
      </c>
      <c r="B1157">
        <v>55</v>
      </c>
      <c r="C1157" s="2">
        <v>2990920.2985</v>
      </c>
      <c r="D1157" s="2">
        <v>0.72670000000000001</v>
      </c>
      <c r="E1157" s="3">
        <v>219664</v>
      </c>
      <c r="F1157" s="2">
        <v>159631.1415</v>
      </c>
      <c r="G1157" t="s">
        <v>2632</v>
      </c>
      <c r="H1157" t="s">
        <v>3</v>
      </c>
      <c r="I1157">
        <f>HLOOKUP(G1157,zip_tiers!$A$1:$EON$2,2,FALSE)</f>
        <v>101048.66666666667</v>
      </c>
      <c r="J1157" t="str">
        <f t="shared" si="18"/>
        <v>High</v>
      </c>
      <c r="K1157">
        <f>dataset[[#This Row],[soda_sales]]/dataset[[#This Row],[soda_units_sold]]</f>
        <v>0.7267059759450798</v>
      </c>
      <c r="L1157" s="29">
        <f>dataset[[#This Row],[implied_soda_ppu]]-dataset[[#This Row],[soda_ppu]]</f>
        <v>5.9759450797836067E-6</v>
      </c>
      <c r="M1157">
        <f>dataset[[#This Row],[soda_sales]]/dataset[[#This Row],[total_sales]]</f>
        <v>5.3371914183088683E-2</v>
      </c>
      <c r="N1157">
        <f>LN(dataset[[#This Row],[soda_units_sold]])</f>
        <v>12.299854385137387</v>
      </c>
      <c r="O1157">
        <f>LN(dataset[[#This Row],[soda_sales]])</f>
        <v>11.98062106714444</v>
      </c>
      <c r="P1157">
        <f>LN(dataset[[#This Row],[soda_ppu]])</f>
        <v>-0.3192415413595468</v>
      </c>
      <c r="Q1157">
        <f>IF(dataset[[#This Row],[state]]="VA",1,0)</f>
        <v>1</v>
      </c>
    </row>
    <row r="1158" spans="1:17" x14ac:dyDescent="0.35">
      <c r="A1158">
        <v>202205</v>
      </c>
      <c r="B1158">
        <v>55</v>
      </c>
      <c r="C1158" s="2">
        <v>3163228.9084000001</v>
      </c>
      <c r="D1158" s="2">
        <v>0.72350000000000003</v>
      </c>
      <c r="E1158" s="3">
        <v>238646</v>
      </c>
      <c r="F1158" s="2">
        <v>172650.97089999999</v>
      </c>
      <c r="G1158" t="s">
        <v>2632</v>
      </c>
      <c r="H1158" t="s">
        <v>3</v>
      </c>
      <c r="I1158">
        <f>HLOOKUP(G1158,zip_tiers!$A$1:$EON$2,2,FALSE)</f>
        <v>101048.66666666667</v>
      </c>
      <c r="J1158" t="str">
        <f t="shared" si="18"/>
        <v>High</v>
      </c>
      <c r="K1158">
        <f>dataset[[#This Row],[soda_sales]]/dataset[[#This Row],[soda_units_sold]]</f>
        <v>0.72346056879226961</v>
      </c>
      <c r="L1158" s="29">
        <f>dataset[[#This Row],[implied_soda_ppu]]-dataset[[#This Row],[soda_ppu]]</f>
        <v>-3.9431207730422635E-5</v>
      </c>
      <c r="M1158">
        <f>dataset[[#This Row],[soda_sales]]/dataset[[#This Row],[total_sales]]</f>
        <v>5.4580612374122796E-2</v>
      </c>
      <c r="N1158">
        <f>LN(dataset[[#This Row],[soda_units_sold]])</f>
        <v>12.382736561346583</v>
      </c>
      <c r="O1158">
        <f>LN(dataset[[#This Row],[soda_sales]])</f>
        <v>12.059027326318109</v>
      </c>
      <c r="P1158">
        <f>LN(dataset[[#This Row],[soda_ppu]])</f>
        <v>-0.32365473291059843</v>
      </c>
      <c r="Q1158">
        <f>IF(dataset[[#This Row],[state]]="VA",1,0)</f>
        <v>1</v>
      </c>
    </row>
    <row r="1159" spans="1:17" x14ac:dyDescent="0.35">
      <c r="A1159">
        <v>202206</v>
      </c>
      <c r="B1159">
        <v>55</v>
      </c>
      <c r="C1159" s="2">
        <v>2968917.8132000002</v>
      </c>
      <c r="D1159" s="2">
        <v>0.72009999999999996</v>
      </c>
      <c r="E1159" s="3">
        <v>244324</v>
      </c>
      <c r="F1159" s="2">
        <v>175925.83670000001</v>
      </c>
      <c r="G1159" t="s">
        <v>2632</v>
      </c>
      <c r="H1159" t="s">
        <v>3</v>
      </c>
      <c r="I1159">
        <f>HLOOKUP(G1159,zip_tiers!$A$1:$EON$2,2,FALSE)</f>
        <v>101048.66666666667</v>
      </c>
      <c r="J1159" t="str">
        <f t="shared" si="18"/>
        <v>High</v>
      </c>
      <c r="K1159">
        <f>dataset[[#This Row],[soda_sales]]/dataset[[#This Row],[soda_units_sold]]</f>
        <v>0.72005139364123061</v>
      </c>
      <c r="L1159" s="29">
        <f>dataset[[#This Row],[implied_soda_ppu]]-dataset[[#This Row],[soda_ppu]]</f>
        <v>-4.8606358769354152E-5</v>
      </c>
      <c r="M1159">
        <f>dataset[[#This Row],[soda_sales]]/dataset[[#This Row],[total_sales]]</f>
        <v>5.9255879673671796E-2</v>
      </c>
      <c r="N1159">
        <f>LN(dataset[[#This Row],[soda_units_sold]])</f>
        <v>12.406250492289626</v>
      </c>
      <c r="O1159">
        <f>LN(dataset[[#This Row],[soda_sales]])</f>
        <v>12.077817802827418</v>
      </c>
      <c r="P1159">
        <f>LN(dataset[[#This Row],[soda_ppu]])</f>
        <v>-0.32836518772731599</v>
      </c>
      <c r="Q1159">
        <f>IF(dataset[[#This Row],[state]]="VA",1,0)</f>
        <v>1</v>
      </c>
    </row>
    <row r="1160" spans="1:17" x14ac:dyDescent="0.35">
      <c r="A1160">
        <v>202207</v>
      </c>
      <c r="B1160">
        <v>55</v>
      </c>
      <c r="C1160" s="2">
        <v>2891666.1178000001</v>
      </c>
      <c r="D1160" s="2">
        <v>0.73809999999999998</v>
      </c>
      <c r="E1160" s="3">
        <v>257362</v>
      </c>
      <c r="F1160" s="2">
        <v>189969.28469999999</v>
      </c>
      <c r="G1160" t="s">
        <v>2632</v>
      </c>
      <c r="H1160" t="s">
        <v>3</v>
      </c>
      <c r="I1160">
        <f>HLOOKUP(G1160,zip_tiers!$A$1:$EON$2,2,FALSE)</f>
        <v>101048.66666666667</v>
      </c>
      <c r="J1160" t="str">
        <f t="shared" si="18"/>
        <v>High</v>
      </c>
      <c r="K1160">
        <f>dataset[[#This Row],[soda_sales]]/dataset[[#This Row],[soda_units_sold]]</f>
        <v>0.73814038086430778</v>
      </c>
      <c r="L1160" s="29">
        <f>dataset[[#This Row],[implied_soda_ppu]]-dataset[[#This Row],[soda_ppu]]</f>
        <v>4.0380864307798525E-5</v>
      </c>
      <c r="M1160">
        <f>dataset[[#This Row],[soda_sales]]/dataset[[#This Row],[total_sales]]</f>
        <v>6.5695442337073806E-2</v>
      </c>
      <c r="N1160">
        <f>LN(dataset[[#This Row],[soda_units_sold]])</f>
        <v>12.45823893309813</v>
      </c>
      <c r="O1160">
        <f>LN(dataset[[#This Row],[soda_sales]])</f>
        <v>12.154617678600637</v>
      </c>
      <c r="P1160">
        <f>LN(dataset[[#This Row],[soda_ppu]])</f>
        <v>-0.30367596220613041</v>
      </c>
      <c r="Q1160">
        <f>IF(dataset[[#This Row],[state]]="VA",1,0)</f>
        <v>1</v>
      </c>
    </row>
    <row r="1161" spans="1:17" x14ac:dyDescent="0.35">
      <c r="A1161">
        <v>202208</v>
      </c>
      <c r="B1161">
        <v>55</v>
      </c>
      <c r="C1161" s="2">
        <v>2705138.0940999999</v>
      </c>
      <c r="D1161" s="2">
        <v>0.75580000000000003</v>
      </c>
      <c r="E1161" s="3">
        <v>217010</v>
      </c>
      <c r="F1161" s="2">
        <v>164019.28750000001</v>
      </c>
      <c r="G1161" t="s">
        <v>2632</v>
      </c>
      <c r="H1161" t="s">
        <v>3</v>
      </c>
      <c r="I1161">
        <f>HLOOKUP(G1161,zip_tiers!$A$1:$EON$2,2,FALSE)</f>
        <v>101048.66666666667</v>
      </c>
      <c r="J1161" t="str">
        <f t="shared" si="18"/>
        <v>High</v>
      </c>
      <c r="K1161">
        <f>dataset[[#This Row],[soda_sales]]/dataset[[#This Row],[soda_units_sold]]</f>
        <v>0.7558144209944242</v>
      </c>
      <c r="L1161" s="29">
        <f>dataset[[#This Row],[implied_soda_ppu]]-dataset[[#This Row],[soda_ppu]]</f>
        <v>1.4420994424169109E-5</v>
      </c>
      <c r="M1161">
        <f>dataset[[#This Row],[soda_sales]]/dataset[[#This Row],[total_sales]]</f>
        <v>6.0632500742838887E-2</v>
      </c>
      <c r="N1161">
        <f>LN(dataset[[#This Row],[soda_units_sold]])</f>
        <v>12.287698714410119</v>
      </c>
      <c r="O1161">
        <f>LN(dataset[[#This Row],[soda_sales]])</f>
        <v>12.007739306598525</v>
      </c>
      <c r="P1161">
        <f>LN(dataset[[#This Row],[soda_ppu]])</f>
        <v>-0.27997848806674841</v>
      </c>
      <c r="Q1161">
        <f>IF(dataset[[#This Row],[state]]="VA",1,0)</f>
        <v>1</v>
      </c>
    </row>
    <row r="1162" spans="1:17" x14ac:dyDescent="0.35">
      <c r="A1162">
        <v>202209</v>
      </c>
      <c r="B1162">
        <v>55</v>
      </c>
      <c r="C1162" s="2">
        <v>2715737.8365000002</v>
      </c>
      <c r="D1162" s="2">
        <v>0.72270000000000001</v>
      </c>
      <c r="E1162" s="3">
        <v>219018</v>
      </c>
      <c r="F1162" s="2">
        <v>158291.14569999999</v>
      </c>
      <c r="G1162" t="s">
        <v>2632</v>
      </c>
      <c r="H1162" t="s">
        <v>3</v>
      </c>
      <c r="I1162">
        <f>HLOOKUP(G1162,zip_tiers!$A$1:$EON$2,2,FALSE)</f>
        <v>101048.66666666667</v>
      </c>
      <c r="J1162" t="str">
        <f t="shared" si="18"/>
        <v>High</v>
      </c>
      <c r="K1162">
        <f>dataset[[#This Row],[soda_sales]]/dataset[[#This Row],[soda_units_sold]]</f>
        <v>0.72273121706891663</v>
      </c>
      <c r="L1162" s="29">
        <f>dataset[[#This Row],[implied_soda_ppu]]-dataset[[#This Row],[soda_ppu]]</f>
        <v>3.1217068916622459E-5</v>
      </c>
      <c r="M1162">
        <f>dataset[[#This Row],[soda_sales]]/dataset[[#This Row],[total_sales]]</f>
        <v>5.8286607629255964E-2</v>
      </c>
      <c r="N1162">
        <f>LN(dataset[[#This Row],[soda_units_sold]])</f>
        <v>12.2969091972019</v>
      </c>
      <c r="O1162">
        <f>LN(dataset[[#This Row],[soda_sales]])</f>
        <v>11.972191310634511</v>
      </c>
      <c r="P1162">
        <f>LN(dataset[[#This Row],[soda_ppu]])</f>
        <v>-0.32476108069320164</v>
      </c>
      <c r="Q1162">
        <f>IF(dataset[[#This Row],[state]]="VA",1,0)</f>
        <v>1</v>
      </c>
    </row>
    <row r="1163" spans="1:17" x14ac:dyDescent="0.35">
      <c r="A1163">
        <v>202210</v>
      </c>
      <c r="B1163">
        <v>55</v>
      </c>
      <c r="C1163" s="2">
        <v>3271134.9975999999</v>
      </c>
      <c r="D1163" s="2">
        <v>0.72560000000000002</v>
      </c>
      <c r="E1163" s="3">
        <v>204008</v>
      </c>
      <c r="F1163" s="2">
        <v>148033.19390000001</v>
      </c>
      <c r="G1163" t="s">
        <v>2632</v>
      </c>
      <c r="H1163" t="s">
        <v>3</v>
      </c>
      <c r="I1163">
        <f>HLOOKUP(G1163,zip_tiers!$A$1:$EON$2,2,FALSE)</f>
        <v>101048.66666666667</v>
      </c>
      <c r="J1163" t="str">
        <f t="shared" si="18"/>
        <v>High</v>
      </c>
      <c r="K1163">
        <f>dataset[[#This Row],[soda_sales]]/dataset[[#This Row],[soda_units_sold]]</f>
        <v>0.72562445541351328</v>
      </c>
      <c r="L1163" s="29">
        <f>dataset[[#This Row],[implied_soda_ppu]]-dataset[[#This Row],[soda_ppu]]</f>
        <v>2.4455413513257973E-5</v>
      </c>
      <c r="M1163">
        <f>dataset[[#This Row],[soda_sales]]/dataset[[#This Row],[total_sales]]</f>
        <v>4.5254382350043802E-2</v>
      </c>
      <c r="N1163">
        <f>LN(dataset[[#This Row],[soda_units_sold]])</f>
        <v>12.225914487743713</v>
      </c>
      <c r="O1163">
        <f>LN(dataset[[#This Row],[soda_sales]])</f>
        <v>11.905191810706665</v>
      </c>
      <c r="P1163">
        <f>LN(dataset[[#This Row],[soda_ppu]])</f>
        <v>-0.32075638018121017</v>
      </c>
      <c r="Q1163">
        <f>IF(dataset[[#This Row],[state]]="VA",1,0)</f>
        <v>1</v>
      </c>
    </row>
    <row r="1164" spans="1:17" x14ac:dyDescent="0.35">
      <c r="A1164">
        <v>202211</v>
      </c>
      <c r="B1164">
        <v>55</v>
      </c>
      <c r="C1164" s="2">
        <v>3826217.4504999998</v>
      </c>
      <c r="D1164" s="2">
        <v>0.75139999999999996</v>
      </c>
      <c r="E1164" s="3">
        <v>196520</v>
      </c>
      <c r="F1164" s="2">
        <v>147671.845</v>
      </c>
      <c r="G1164" t="s">
        <v>2632</v>
      </c>
      <c r="H1164" t="s">
        <v>3</v>
      </c>
      <c r="I1164">
        <f>HLOOKUP(G1164,zip_tiers!$A$1:$EON$2,2,FALSE)</f>
        <v>101048.66666666667</v>
      </c>
      <c r="J1164" t="str">
        <f t="shared" si="18"/>
        <v>High</v>
      </c>
      <c r="K1164">
        <f>dataset[[#This Row],[soda_sales]]/dataset[[#This Row],[soda_units_sold]]</f>
        <v>0.75143417972725424</v>
      </c>
      <c r="L1164" s="29">
        <f>dataset[[#This Row],[implied_soda_ppu]]-dataset[[#This Row],[soda_ppu]]</f>
        <v>3.4179727254279868E-5</v>
      </c>
      <c r="M1164">
        <f>dataset[[#This Row],[soda_sales]]/dataset[[#This Row],[total_sales]]</f>
        <v>3.8594734071034732E-2</v>
      </c>
      <c r="N1164">
        <f>LN(dataset[[#This Row],[soda_units_sold]])</f>
        <v>12.188519486282585</v>
      </c>
      <c r="O1164">
        <f>LN(dataset[[#This Row],[soda_sales]])</f>
        <v>11.902747827464395</v>
      </c>
      <c r="P1164">
        <f>LN(dataset[[#This Row],[soda_ppu]])</f>
        <v>-0.28581714584226858</v>
      </c>
      <c r="Q1164">
        <f>IF(dataset[[#This Row],[state]]="VA",1,0)</f>
        <v>1</v>
      </c>
    </row>
    <row r="1165" spans="1:17" x14ac:dyDescent="0.35">
      <c r="A1165">
        <v>202212</v>
      </c>
      <c r="B1165">
        <v>55</v>
      </c>
      <c r="C1165" s="2">
        <v>3854433.4448000002</v>
      </c>
      <c r="D1165" s="2">
        <v>0.69310000000000005</v>
      </c>
      <c r="E1165" s="3">
        <v>194261</v>
      </c>
      <c r="F1165" s="2">
        <v>134636.7666</v>
      </c>
      <c r="G1165" t="s">
        <v>2632</v>
      </c>
      <c r="H1165" t="s">
        <v>3</v>
      </c>
      <c r="I1165">
        <f>HLOOKUP(G1165,zip_tiers!$A$1:$EON$2,2,FALSE)</f>
        <v>101048.66666666667</v>
      </c>
      <c r="J1165" t="str">
        <f t="shared" si="18"/>
        <v>High</v>
      </c>
      <c r="K1165">
        <f>dataset[[#This Row],[soda_sales]]/dataset[[#This Row],[soda_units_sold]]</f>
        <v>0.69307152027427021</v>
      </c>
      <c r="L1165" s="29">
        <f>dataset[[#This Row],[implied_soda_ppu]]-dataset[[#This Row],[soda_ppu]]</f>
        <v>-2.8479725729835259E-5</v>
      </c>
      <c r="M1165">
        <f>dataset[[#This Row],[soda_sales]]/dataset[[#This Row],[total_sales]]</f>
        <v>3.4930364871557942E-2</v>
      </c>
      <c r="N1165">
        <f>LN(dataset[[#This Row],[soda_units_sold]])</f>
        <v>12.176957894683214</v>
      </c>
      <c r="O1165">
        <f>LN(dataset[[#This Row],[soda_sales]])</f>
        <v>11.810335813424803</v>
      </c>
      <c r="P1165">
        <f>LN(dataset[[#This Row],[soda_ppu]])</f>
        <v>-0.366580990058198</v>
      </c>
      <c r="Q1165">
        <f>IF(dataset[[#This Row],[state]]="VA",1,0)</f>
        <v>1</v>
      </c>
    </row>
    <row r="1166" spans="1:17" x14ac:dyDescent="0.35">
      <c r="A1166">
        <v>202301</v>
      </c>
      <c r="B1166">
        <v>55</v>
      </c>
      <c r="C1166" s="2">
        <v>2243113.4915</v>
      </c>
      <c r="D1166" s="2">
        <v>0.73819999999999997</v>
      </c>
      <c r="E1166" s="3">
        <v>139701</v>
      </c>
      <c r="F1166" s="2">
        <v>103130.4596</v>
      </c>
      <c r="G1166" t="s">
        <v>2632</v>
      </c>
      <c r="H1166" t="s">
        <v>3</v>
      </c>
      <c r="I1166">
        <f>HLOOKUP(G1166,zip_tiers!$A$1:$EON$2,2,FALSE)</f>
        <v>101048.66666666667</v>
      </c>
      <c r="J1166" t="str">
        <f t="shared" si="18"/>
        <v>High</v>
      </c>
      <c r="K1166">
        <f>dataset[[#This Row],[soda_sales]]/dataset[[#This Row],[soda_units_sold]]</f>
        <v>0.73822277292216953</v>
      </c>
      <c r="L1166" s="29">
        <f>dataset[[#This Row],[implied_soda_ppu]]-dataset[[#This Row],[soda_ppu]]</f>
        <v>2.2772922169567167E-5</v>
      </c>
      <c r="M1166">
        <f>dataset[[#This Row],[soda_sales]]/dataset[[#This Row],[total_sales]]</f>
        <v>4.5976478671632119E-2</v>
      </c>
      <c r="N1166">
        <f>LN(dataset[[#This Row],[soda_units_sold]])</f>
        <v>11.847259703415569</v>
      </c>
      <c r="O1166">
        <f>LN(dataset[[#This Row],[soda_sales]])</f>
        <v>11.543750063811384</v>
      </c>
      <c r="P1166">
        <f>LN(dataset[[#This Row],[soda_ppu]])</f>
        <v>-0.30354048838623893</v>
      </c>
      <c r="Q1166">
        <f>IF(dataset[[#This Row],[state]]="VA",1,0)</f>
        <v>1</v>
      </c>
    </row>
    <row r="1167" spans="1:17" x14ac:dyDescent="0.35">
      <c r="A1167">
        <v>202302</v>
      </c>
      <c r="B1167">
        <v>55</v>
      </c>
      <c r="C1167" s="2">
        <v>2604067.1168</v>
      </c>
      <c r="D1167" s="2">
        <v>0.72670000000000001</v>
      </c>
      <c r="E1167" s="3">
        <v>161748</v>
      </c>
      <c r="F1167" s="2">
        <v>117540.9183</v>
      </c>
      <c r="G1167" t="s">
        <v>2632</v>
      </c>
      <c r="H1167" t="s">
        <v>3</v>
      </c>
      <c r="I1167">
        <f>HLOOKUP(G1167,zip_tiers!$A$1:$EON$2,2,FALSE)</f>
        <v>101048.66666666667</v>
      </c>
      <c r="J1167" t="str">
        <f t="shared" si="18"/>
        <v>High</v>
      </c>
      <c r="K1167">
        <f>dataset[[#This Row],[soda_sales]]/dataset[[#This Row],[soda_units_sold]]</f>
        <v>0.72669163328140074</v>
      </c>
      <c r="L1167" s="29">
        <f>dataset[[#This Row],[implied_soda_ppu]]-dataset[[#This Row],[soda_ppu]]</f>
        <v>-8.3667185992730708E-6</v>
      </c>
      <c r="M1167">
        <f>dataset[[#This Row],[soda_sales]]/dataset[[#This Row],[total_sales]]</f>
        <v>4.5137438102762807E-2</v>
      </c>
      <c r="N1167">
        <f>LN(dataset[[#This Row],[soda_units_sold]])</f>
        <v>11.993794847526271</v>
      </c>
      <c r="O1167">
        <f>LN(dataset[[#This Row],[soda_sales]])</f>
        <v>11.674541792795644</v>
      </c>
      <c r="P1167">
        <f>LN(dataset[[#This Row],[soda_ppu]])</f>
        <v>-0.3192415413595468</v>
      </c>
      <c r="Q1167">
        <f>IF(dataset[[#This Row],[state]]="VA",1,0)</f>
        <v>1</v>
      </c>
    </row>
    <row r="1168" spans="1:17" x14ac:dyDescent="0.35">
      <c r="A1168">
        <v>202303</v>
      </c>
      <c r="B1168">
        <v>55</v>
      </c>
      <c r="C1168" s="2">
        <v>2947357.4334999998</v>
      </c>
      <c r="D1168" s="2">
        <v>0.7752</v>
      </c>
      <c r="E1168" s="3">
        <v>182403</v>
      </c>
      <c r="F1168" s="2">
        <v>141399.20319999999</v>
      </c>
      <c r="G1168" t="s">
        <v>2632</v>
      </c>
      <c r="H1168" t="s">
        <v>3</v>
      </c>
      <c r="I1168">
        <f>HLOOKUP(G1168,zip_tiers!$A$1:$EON$2,2,FALSE)</f>
        <v>101048.66666666667</v>
      </c>
      <c r="J1168" t="str">
        <f t="shared" si="18"/>
        <v>High</v>
      </c>
      <c r="K1168">
        <f>dataset[[#This Row],[soda_sales]]/dataset[[#This Row],[soda_units_sold]]</f>
        <v>0.77520217978870953</v>
      </c>
      <c r="L1168" s="29">
        <f>dataset[[#This Row],[implied_soda_ppu]]-dataset[[#This Row],[soda_ppu]]</f>
        <v>2.1797887095331703E-6</v>
      </c>
      <c r="M1168">
        <f>dataset[[#This Row],[soda_sales]]/dataset[[#This Row],[total_sales]]</f>
        <v>4.7974908503746631E-2</v>
      </c>
      <c r="N1168">
        <f>LN(dataset[[#This Row],[soda_units_sold]])</f>
        <v>12.113973803855533</v>
      </c>
      <c r="O1168">
        <f>LN(dataset[[#This Row],[soda_sales]])</f>
        <v>11.85934239735094</v>
      </c>
      <c r="P1168">
        <f>LN(dataset[[#This Row],[soda_ppu]])</f>
        <v>-0.25463421840558059</v>
      </c>
      <c r="Q1168">
        <f>IF(dataset[[#This Row],[state]]="VA",1,0)</f>
        <v>1</v>
      </c>
    </row>
    <row r="1169" spans="1:17" x14ac:dyDescent="0.35">
      <c r="A1169">
        <v>202304</v>
      </c>
      <c r="B1169">
        <v>55</v>
      </c>
      <c r="C1169" s="2">
        <v>3089843.3835999998</v>
      </c>
      <c r="D1169" s="2">
        <v>0.75190000000000001</v>
      </c>
      <c r="E1169" s="3">
        <v>217798</v>
      </c>
      <c r="F1169" s="2">
        <v>163772.33989999999</v>
      </c>
      <c r="G1169" t="s">
        <v>2632</v>
      </c>
      <c r="H1169" t="s">
        <v>3</v>
      </c>
      <c r="I1169">
        <f>HLOOKUP(G1169,zip_tiers!$A$1:$EON$2,2,FALSE)</f>
        <v>101048.66666666667</v>
      </c>
      <c r="J1169" t="str">
        <f t="shared" si="18"/>
        <v>High</v>
      </c>
      <c r="K1169">
        <f>dataset[[#This Row],[soda_sales]]/dataset[[#This Row],[soda_units_sold]]</f>
        <v>0.75194602292032064</v>
      </c>
      <c r="L1169" s="29">
        <f>dataset[[#This Row],[implied_soda_ppu]]-dataset[[#This Row],[soda_ppu]]</f>
        <v>4.6022920320631933E-5</v>
      </c>
      <c r="M1169">
        <f>dataset[[#This Row],[soda_sales]]/dataset[[#This Row],[total_sales]]</f>
        <v>5.3003443724447805E-2</v>
      </c>
      <c r="N1169">
        <f>LN(dataset[[#This Row],[soda_units_sold]])</f>
        <v>12.291323306702379</v>
      </c>
      <c r="O1169">
        <f>LN(dataset[[#This Row],[soda_sales]])</f>
        <v>12.006232571062428</v>
      </c>
      <c r="P1169">
        <f>LN(dataset[[#This Row],[soda_ppu]])</f>
        <v>-0.28515194259815579</v>
      </c>
      <c r="Q1169">
        <f>IF(dataset[[#This Row],[state]]="VA",1,0)</f>
        <v>1</v>
      </c>
    </row>
    <row r="1170" spans="1:17" x14ac:dyDescent="0.35">
      <c r="A1170">
        <v>202305</v>
      </c>
      <c r="B1170">
        <v>55</v>
      </c>
      <c r="C1170" s="2">
        <v>3209283.1839000001</v>
      </c>
      <c r="D1170" s="2">
        <v>0.71519999999999995</v>
      </c>
      <c r="E1170" s="3">
        <v>248267</v>
      </c>
      <c r="F1170" s="2">
        <v>177549.41310000001</v>
      </c>
      <c r="G1170" t="s">
        <v>2632</v>
      </c>
      <c r="H1170" t="s">
        <v>3</v>
      </c>
      <c r="I1170">
        <f>HLOOKUP(G1170,zip_tiers!$A$1:$EON$2,2,FALSE)</f>
        <v>101048.66666666667</v>
      </c>
      <c r="J1170" t="str">
        <f t="shared" si="18"/>
        <v>High</v>
      </c>
      <c r="K1170">
        <f>dataset[[#This Row],[soda_sales]]/dataset[[#This Row],[soda_units_sold]]</f>
        <v>0.71515510760592427</v>
      </c>
      <c r="L1170" s="29">
        <f>dataset[[#This Row],[implied_soda_ppu]]-dataset[[#This Row],[soda_ppu]]</f>
        <v>-4.4892394075679576E-5</v>
      </c>
      <c r="M1170">
        <f>dataset[[#This Row],[soda_sales]]/dataset[[#This Row],[total_sales]]</f>
        <v>5.5323697824707876E-2</v>
      </c>
      <c r="N1170">
        <f>LN(dataset[[#This Row],[soda_units_sold]])</f>
        <v>12.422260058918303</v>
      </c>
      <c r="O1170">
        <f>LN(dataset[[#This Row],[soda_sales]])</f>
        <v>12.087004232818037</v>
      </c>
      <c r="P1170">
        <f>LN(dataset[[#This Row],[soda_ppu]])</f>
        <v>-0.33519305512283276</v>
      </c>
      <c r="Q1170">
        <f>IF(dataset[[#This Row],[state]]="VA",1,0)</f>
        <v>1</v>
      </c>
    </row>
    <row r="1171" spans="1:17" x14ac:dyDescent="0.35">
      <c r="A1171">
        <v>202306</v>
      </c>
      <c r="B1171">
        <v>55</v>
      </c>
      <c r="C1171" s="2">
        <v>3083184.0033999998</v>
      </c>
      <c r="D1171" s="2">
        <v>0.745</v>
      </c>
      <c r="E1171" s="3">
        <v>254284</v>
      </c>
      <c r="F1171" s="2">
        <v>189435.64300000001</v>
      </c>
      <c r="G1171" t="s">
        <v>2632</v>
      </c>
      <c r="H1171" t="s">
        <v>3</v>
      </c>
      <c r="I1171">
        <f>HLOOKUP(G1171,zip_tiers!$A$1:$EON$2,2,FALSE)</f>
        <v>101048.66666666667</v>
      </c>
      <c r="J1171" t="str">
        <f t="shared" si="18"/>
        <v>High</v>
      </c>
      <c r="K1171">
        <f>dataset[[#This Row],[soda_sales]]/dataset[[#This Row],[soda_units_sold]]</f>
        <v>0.74497665208978936</v>
      </c>
      <c r="L1171" s="29">
        <f>dataset[[#This Row],[implied_soda_ppu]]-dataset[[#This Row],[soda_ppu]]</f>
        <v>-2.334791021063598E-5</v>
      </c>
      <c r="M1171">
        <f>dataset[[#This Row],[soda_sales]]/dataset[[#This Row],[total_sales]]</f>
        <v>6.1441562615497068E-2</v>
      </c>
      <c r="N1171">
        <f>LN(dataset[[#This Row],[soda_units_sold]])</f>
        <v>12.446207031617197</v>
      </c>
      <c r="O1171">
        <f>LN(dataset[[#This Row],[soda_sales]])</f>
        <v>12.151804631046735</v>
      </c>
      <c r="P1171">
        <f>LN(dataset[[#This Row],[soda_ppu]])</f>
        <v>-0.29437106060257756</v>
      </c>
      <c r="Q1171">
        <f>IF(dataset[[#This Row],[state]]="VA",1,0)</f>
        <v>1</v>
      </c>
    </row>
    <row r="1172" spans="1:17" x14ac:dyDescent="0.35">
      <c r="A1172">
        <v>202307</v>
      </c>
      <c r="B1172">
        <v>55</v>
      </c>
      <c r="C1172" s="2">
        <v>2849459.4071</v>
      </c>
      <c r="D1172" s="2">
        <v>0.72750000000000004</v>
      </c>
      <c r="E1172" s="3">
        <v>258301</v>
      </c>
      <c r="F1172" s="2">
        <v>187905.96789999999</v>
      </c>
      <c r="G1172" t="s">
        <v>2632</v>
      </c>
      <c r="H1172" t="s">
        <v>3</v>
      </c>
      <c r="I1172">
        <f>HLOOKUP(G1172,zip_tiers!$A$1:$EON$2,2,FALSE)</f>
        <v>101048.66666666667</v>
      </c>
      <c r="J1172" t="str">
        <f t="shared" si="18"/>
        <v>High</v>
      </c>
      <c r="K1172">
        <f>dataset[[#This Row],[soda_sales]]/dataset[[#This Row],[soda_units_sold]]</f>
        <v>0.72746899121567465</v>
      </c>
      <c r="L1172" s="29">
        <f>dataset[[#This Row],[implied_soda_ppu]]-dataset[[#This Row],[soda_ppu]]</f>
        <v>-3.1008784325381455E-5</v>
      </c>
      <c r="M1172">
        <f>dataset[[#This Row],[soda_sales]]/dataset[[#This Row],[total_sales]]</f>
        <v>6.5944427013697599E-2</v>
      </c>
      <c r="N1172">
        <f>LN(dataset[[#This Row],[soda_units_sold]])</f>
        <v>12.461880850543723</v>
      </c>
      <c r="O1172">
        <f>LN(dataset[[#This Row],[soda_sales]])</f>
        <v>12.143696945940293</v>
      </c>
      <c r="P1172">
        <f>LN(dataset[[#This Row],[soda_ppu]])</f>
        <v>-0.31814127993648944</v>
      </c>
      <c r="Q1172">
        <f>IF(dataset[[#This Row],[state]]="VA",1,0)</f>
        <v>1</v>
      </c>
    </row>
    <row r="1173" spans="1:17" x14ac:dyDescent="0.35">
      <c r="A1173">
        <v>202308</v>
      </c>
      <c r="B1173">
        <v>55</v>
      </c>
      <c r="C1173" s="2">
        <v>2736487.2499000002</v>
      </c>
      <c r="D1173" s="2">
        <v>0.73619999999999997</v>
      </c>
      <c r="E1173" s="3">
        <v>226993</v>
      </c>
      <c r="F1173" s="2">
        <v>167107.86660000001</v>
      </c>
      <c r="G1173" t="s">
        <v>2632</v>
      </c>
      <c r="H1173" t="s">
        <v>3</v>
      </c>
      <c r="I1173">
        <f>HLOOKUP(G1173,zip_tiers!$A$1:$EON$2,2,FALSE)</f>
        <v>101048.66666666667</v>
      </c>
      <c r="J1173" t="str">
        <f t="shared" si="18"/>
        <v>High</v>
      </c>
      <c r="K1173">
        <f>dataset[[#This Row],[soda_sales]]/dataset[[#This Row],[soda_units_sold]]</f>
        <v>0.73618070425079196</v>
      </c>
      <c r="L1173" s="29">
        <f>dataset[[#This Row],[implied_soda_ppu]]-dataset[[#This Row],[soda_ppu]]</f>
        <v>-1.9295749208003699E-5</v>
      </c>
      <c r="M1173">
        <f>dataset[[#This Row],[soda_sales]]/dataset[[#This Row],[total_sales]]</f>
        <v>6.1066561375758888E-2</v>
      </c>
      <c r="N1173">
        <f>LN(dataset[[#This Row],[soda_units_sold]])</f>
        <v>12.332674458983664</v>
      </c>
      <c r="O1173">
        <f>LN(dataset[[#This Row],[soda_sales]])</f>
        <v>12.02639479067467</v>
      </c>
      <c r="P1173">
        <f>LN(dataset[[#This Row],[soda_ppu]])</f>
        <v>-0.30625345803721632</v>
      </c>
      <c r="Q1173">
        <f>IF(dataset[[#This Row],[state]]="VA",1,0)</f>
        <v>1</v>
      </c>
    </row>
    <row r="1174" spans="1:17" x14ac:dyDescent="0.35">
      <c r="A1174">
        <v>202309</v>
      </c>
      <c r="B1174">
        <v>55</v>
      </c>
      <c r="C1174" s="2">
        <v>2720462.4002999999</v>
      </c>
      <c r="D1174" s="2">
        <v>0.70350000000000001</v>
      </c>
      <c r="E1174" s="3">
        <v>222667</v>
      </c>
      <c r="F1174" s="2">
        <v>156654.4216</v>
      </c>
      <c r="G1174" t="s">
        <v>2632</v>
      </c>
      <c r="H1174" t="s">
        <v>3</v>
      </c>
      <c r="I1174">
        <f>HLOOKUP(G1174,zip_tiers!$A$1:$EON$2,2,FALSE)</f>
        <v>101048.66666666667</v>
      </c>
      <c r="J1174" t="str">
        <f t="shared" si="18"/>
        <v>High</v>
      </c>
      <c r="K1174">
        <f>dataset[[#This Row],[soda_sales]]/dataset[[#This Row],[soda_units_sold]]</f>
        <v>0.70353676835813117</v>
      </c>
      <c r="L1174" s="29">
        <f>dataset[[#This Row],[implied_soda_ppu]]-dataset[[#This Row],[soda_ppu]]</f>
        <v>3.6768358131156198E-5</v>
      </c>
      <c r="M1174">
        <f>dataset[[#This Row],[soda_sales]]/dataset[[#This Row],[total_sales]]</f>
        <v>5.7583748109411428E-2</v>
      </c>
      <c r="N1174">
        <f>LN(dataset[[#This Row],[soda_units_sold]])</f>
        <v>12.31343266085554</v>
      </c>
      <c r="O1174">
        <f>LN(dataset[[#This Row],[soda_sales]])</f>
        <v>11.961797521963479</v>
      </c>
      <c r="P1174">
        <f>LN(dataset[[#This Row],[soda_ppu]])</f>
        <v>-0.35168740242769331</v>
      </c>
      <c r="Q1174">
        <f>IF(dataset[[#This Row],[state]]="VA",1,0)</f>
        <v>1</v>
      </c>
    </row>
    <row r="1175" spans="1:17" x14ac:dyDescent="0.35">
      <c r="A1175">
        <v>202310</v>
      </c>
      <c r="B1175">
        <v>55</v>
      </c>
      <c r="C1175" s="2">
        <v>3352293.8857999998</v>
      </c>
      <c r="D1175" s="2">
        <v>0.76370000000000005</v>
      </c>
      <c r="E1175" s="3">
        <v>201745</v>
      </c>
      <c r="F1175" s="2">
        <v>154080.5963</v>
      </c>
      <c r="G1175" t="s">
        <v>2632</v>
      </c>
      <c r="H1175" t="s">
        <v>3</v>
      </c>
      <c r="I1175">
        <f>HLOOKUP(G1175,zip_tiers!$A$1:$EON$2,2,FALSE)</f>
        <v>101048.66666666667</v>
      </c>
      <c r="J1175" t="str">
        <f t="shared" si="18"/>
        <v>High</v>
      </c>
      <c r="K1175">
        <f>dataset[[#This Row],[soda_sales]]/dataset[[#This Row],[soda_units_sold]]</f>
        <v>0.76373935562219641</v>
      </c>
      <c r="L1175" s="29">
        <f>dataset[[#This Row],[implied_soda_ppu]]-dataset[[#This Row],[soda_ppu]]</f>
        <v>3.9355622196368678E-5</v>
      </c>
      <c r="M1175">
        <f>dataset[[#This Row],[soda_sales]]/dataset[[#This Row],[total_sales]]</f>
        <v>4.5962735234124565E-2</v>
      </c>
      <c r="N1175">
        <f>LN(dataset[[#This Row],[soda_units_sold]])</f>
        <v>12.214759802677628</v>
      </c>
      <c r="O1175">
        <f>LN(dataset[[#This Row],[soda_sales]])</f>
        <v>11.945231097091961</v>
      </c>
      <c r="P1175">
        <f>LN(dataset[[#This Row],[soda_ppu]])</f>
        <v>-0.26958023708779855</v>
      </c>
      <c r="Q1175">
        <f>IF(dataset[[#This Row],[state]]="VA",1,0)</f>
        <v>1</v>
      </c>
    </row>
    <row r="1176" spans="1:17" x14ac:dyDescent="0.35">
      <c r="A1176">
        <v>202311</v>
      </c>
      <c r="B1176">
        <v>55</v>
      </c>
      <c r="C1176" s="2">
        <v>3855713.7031999999</v>
      </c>
      <c r="D1176" s="2">
        <v>0.73850000000000005</v>
      </c>
      <c r="E1176" s="3">
        <v>196804</v>
      </c>
      <c r="F1176" s="2">
        <v>145349.0785</v>
      </c>
      <c r="G1176" t="s">
        <v>2632</v>
      </c>
      <c r="H1176" t="s">
        <v>3</v>
      </c>
      <c r="I1176">
        <f>HLOOKUP(G1176,zip_tiers!$A$1:$EON$2,2,FALSE)</f>
        <v>101048.66666666667</v>
      </c>
      <c r="J1176" t="str">
        <f t="shared" si="18"/>
        <v>High</v>
      </c>
      <c r="K1176">
        <f>dataset[[#This Row],[soda_sales]]/dataset[[#This Row],[soda_units_sold]]</f>
        <v>0.73854737962643036</v>
      </c>
      <c r="L1176" s="29">
        <f>dataset[[#This Row],[implied_soda_ppu]]-dataset[[#This Row],[soda_ppu]]</f>
        <v>4.7379626430310573E-5</v>
      </c>
      <c r="M1176">
        <f>dataset[[#This Row],[soda_sales]]/dataset[[#This Row],[total_sales]]</f>
        <v>3.7697061993832534E-2</v>
      </c>
      <c r="N1176">
        <f>LN(dataset[[#This Row],[soda_units_sold]])</f>
        <v>12.189963588596989</v>
      </c>
      <c r="O1176">
        <f>LN(dataset[[#This Row],[soda_sales]])</f>
        <v>11.886893566097644</v>
      </c>
      <c r="P1176">
        <f>LN(dataset[[#This Row],[soda_ppu]])</f>
        <v>-0.3031341770107025</v>
      </c>
      <c r="Q1176">
        <f>IF(dataset[[#This Row],[state]]="VA",1,0)</f>
        <v>1</v>
      </c>
    </row>
    <row r="1177" spans="1:17" x14ac:dyDescent="0.35">
      <c r="A1177">
        <v>202312</v>
      </c>
      <c r="B1177">
        <v>55</v>
      </c>
      <c r="C1177" s="2">
        <v>3993187.3434000001</v>
      </c>
      <c r="D1177" s="2">
        <v>0.71719999999999995</v>
      </c>
      <c r="E1177" s="3">
        <v>195560</v>
      </c>
      <c r="F1177" s="2">
        <v>140259.6678</v>
      </c>
      <c r="G1177" t="s">
        <v>2632</v>
      </c>
      <c r="H1177" t="s">
        <v>3</v>
      </c>
      <c r="I1177">
        <f>HLOOKUP(G1177,zip_tiers!$A$1:$EON$2,2,FALSE)</f>
        <v>101048.66666666667</v>
      </c>
      <c r="J1177" t="str">
        <f t="shared" si="18"/>
        <v>High</v>
      </c>
      <c r="K1177">
        <f>dataset[[#This Row],[soda_sales]]/dataset[[#This Row],[soda_units_sold]]</f>
        <v>0.71722063714461037</v>
      </c>
      <c r="L1177" s="29">
        <f>dataset[[#This Row],[implied_soda_ppu]]-dataset[[#This Row],[soda_ppu]]</f>
        <v>2.0637144610424762E-5</v>
      </c>
      <c r="M1177">
        <f>dataset[[#This Row],[soda_sales]]/dataset[[#This Row],[total_sales]]</f>
        <v>3.5124740148198476E-2</v>
      </c>
      <c r="N1177">
        <f>LN(dataset[[#This Row],[soda_units_sold]])</f>
        <v>12.183622516692582</v>
      </c>
      <c r="O1177">
        <f>LN(dataset[[#This Row],[soda_sales]])</f>
        <v>11.85125075362952</v>
      </c>
      <c r="P1177">
        <f>LN(dataset[[#This Row],[soda_ppu]])</f>
        <v>-0.33240053725115931</v>
      </c>
      <c r="Q1177">
        <f>IF(dataset[[#This Row],[state]]="VA",1,0)</f>
        <v>1</v>
      </c>
    </row>
    <row r="1178" spans="1:17" x14ac:dyDescent="0.35">
      <c r="A1178">
        <v>202401</v>
      </c>
      <c r="B1178">
        <v>55</v>
      </c>
      <c r="C1178" s="2">
        <v>2310684.9860999999</v>
      </c>
      <c r="D1178" s="2">
        <v>0.78449999999999998</v>
      </c>
      <c r="E1178" s="3">
        <v>134699</v>
      </c>
      <c r="F1178" s="2">
        <v>105669.2066</v>
      </c>
      <c r="G1178" t="s">
        <v>2632</v>
      </c>
      <c r="H1178" t="s">
        <v>3</v>
      </c>
      <c r="I1178">
        <f>HLOOKUP(G1178,zip_tiers!$A$1:$EON$2,2,FALSE)</f>
        <v>101048.66666666667</v>
      </c>
      <c r="J1178" t="str">
        <f t="shared" si="18"/>
        <v>High</v>
      </c>
      <c r="K1178">
        <f>dataset[[#This Row],[soda_sales]]/dataset[[#This Row],[soda_units_sold]]</f>
        <v>0.7844839724125644</v>
      </c>
      <c r="L1178" s="29">
        <f>dataset[[#This Row],[implied_soda_ppu]]-dataset[[#This Row],[soda_ppu]]</f>
        <v>-1.6027587435574198E-5</v>
      </c>
      <c r="M1178">
        <f>dataset[[#This Row],[soda_sales]]/dataset[[#This Row],[total_sales]]</f>
        <v>4.573068472580924E-2</v>
      </c>
      <c r="N1178">
        <f>LN(dataset[[#This Row],[soda_units_sold]])</f>
        <v>11.810797938465925</v>
      </c>
      <c r="O1178">
        <f>LN(dataset[[#This Row],[soda_sales]])</f>
        <v>11.568068801126394</v>
      </c>
      <c r="P1178">
        <f>LN(dataset[[#This Row],[soda_ppu]])</f>
        <v>-0.2427087068090498</v>
      </c>
      <c r="Q1178">
        <f>IF(dataset[[#This Row],[state]]="VA",1,0)</f>
        <v>1</v>
      </c>
    </row>
    <row r="1179" spans="1:17" x14ac:dyDescent="0.35">
      <c r="A1179">
        <v>202402</v>
      </c>
      <c r="B1179">
        <v>55</v>
      </c>
      <c r="C1179" s="2">
        <v>2659232.1376999998</v>
      </c>
      <c r="D1179" s="2">
        <v>0.74880000000000002</v>
      </c>
      <c r="E1179" s="3">
        <v>161608</v>
      </c>
      <c r="F1179" s="2">
        <v>121007.62480000001</v>
      </c>
      <c r="G1179" t="s">
        <v>2632</v>
      </c>
      <c r="H1179" t="s">
        <v>3</v>
      </c>
      <c r="I1179">
        <f>HLOOKUP(G1179,zip_tiers!$A$1:$EON$2,2,FALSE)</f>
        <v>101048.66666666667</v>
      </c>
      <c r="J1179" t="str">
        <f t="shared" si="18"/>
        <v>High</v>
      </c>
      <c r="K1179">
        <f>dataset[[#This Row],[soda_sales]]/dataset[[#This Row],[soda_units_sold]]</f>
        <v>0.74877249146081881</v>
      </c>
      <c r="L1179" s="29">
        <f>dataset[[#This Row],[implied_soda_ppu]]-dataset[[#This Row],[soda_ppu]]</f>
        <v>-2.7508539181209102E-5</v>
      </c>
      <c r="M1179">
        <f>dataset[[#This Row],[soda_sales]]/dataset[[#This Row],[total_sales]]</f>
        <v>4.5504724121099439E-2</v>
      </c>
      <c r="N1179">
        <f>LN(dataset[[#This Row],[soda_units_sold]])</f>
        <v>11.992928928794298</v>
      </c>
      <c r="O1179">
        <f>LN(dataset[[#This Row],[soda_sales]])</f>
        <v>11.703608837469558</v>
      </c>
      <c r="P1179">
        <f>LN(dataset[[#This Row],[soda_ppu]])</f>
        <v>-0.28928335381875475</v>
      </c>
      <c r="Q1179">
        <f>IF(dataset[[#This Row],[state]]="VA",1,0)</f>
        <v>1</v>
      </c>
    </row>
    <row r="1180" spans="1:17" x14ac:dyDescent="0.35">
      <c r="A1180">
        <v>202403</v>
      </c>
      <c r="B1180">
        <v>55</v>
      </c>
      <c r="C1180" s="2">
        <v>2921050.9112</v>
      </c>
      <c r="D1180" s="2">
        <v>0.77229999999999999</v>
      </c>
      <c r="E1180" s="3">
        <v>182104</v>
      </c>
      <c r="F1180" s="2">
        <v>140636.78090000001</v>
      </c>
      <c r="G1180" t="s">
        <v>2632</v>
      </c>
      <c r="H1180" t="s">
        <v>3</v>
      </c>
      <c r="I1180">
        <f>HLOOKUP(G1180,zip_tiers!$A$1:$EON$2,2,FALSE)</f>
        <v>101048.66666666667</v>
      </c>
      <c r="J1180" t="str">
        <f t="shared" si="18"/>
        <v>High</v>
      </c>
      <c r="K1180">
        <f>dataset[[#This Row],[soda_sales]]/dataset[[#This Row],[soda_units_sold]]</f>
        <v>0.77228825780872479</v>
      </c>
      <c r="L1180" s="29">
        <f>dataset[[#This Row],[implied_soda_ppu]]-dataset[[#This Row],[soda_ppu]]</f>
        <v>-1.1742191275199154E-5</v>
      </c>
      <c r="M1180">
        <f>dataset[[#This Row],[soda_sales]]/dataset[[#This Row],[total_sales]]</f>
        <v>4.8145953348764085E-2</v>
      </c>
      <c r="N1180">
        <f>LN(dataset[[#This Row],[soda_units_sold]])</f>
        <v>12.112333231427225</v>
      </c>
      <c r="O1180">
        <f>LN(dataset[[#This Row],[soda_sales]])</f>
        <v>11.853935823720757</v>
      </c>
      <c r="P1180">
        <f>LN(dataset[[#This Row],[soda_ppu]])</f>
        <v>-0.25838220340691886</v>
      </c>
      <c r="Q1180">
        <f>IF(dataset[[#This Row],[state]]="VA",1,0)</f>
        <v>1</v>
      </c>
    </row>
    <row r="1181" spans="1:17" x14ac:dyDescent="0.35">
      <c r="A1181">
        <v>202404</v>
      </c>
      <c r="B1181">
        <v>55</v>
      </c>
      <c r="C1181" s="2">
        <v>3111038.7691000002</v>
      </c>
      <c r="D1181" s="2">
        <v>0.78290000000000004</v>
      </c>
      <c r="E1181" s="3">
        <v>211309</v>
      </c>
      <c r="F1181" s="2">
        <v>165438.99549999999</v>
      </c>
      <c r="G1181" t="s">
        <v>2632</v>
      </c>
      <c r="H1181" t="s">
        <v>3</v>
      </c>
      <c r="I1181">
        <f>HLOOKUP(G1181,zip_tiers!$A$1:$EON$2,2,FALSE)</f>
        <v>101048.66666666667</v>
      </c>
      <c r="J1181" t="str">
        <f t="shared" si="18"/>
        <v>High</v>
      </c>
      <c r="K1181">
        <f>dataset[[#This Row],[soda_sales]]/dataset[[#This Row],[soda_units_sold]]</f>
        <v>0.78292451102413996</v>
      </c>
      <c r="L1181" s="29">
        <f>dataset[[#This Row],[implied_soda_ppu]]-dataset[[#This Row],[soda_ppu]]</f>
        <v>2.4511024139917126E-5</v>
      </c>
      <c r="M1181">
        <f>dataset[[#This Row],[soda_sales]]/dataset[[#This Row],[total_sales]]</f>
        <v>5.3178056520285739E-2</v>
      </c>
      <c r="N1181">
        <f>LN(dataset[[#This Row],[soda_units_sold]])</f>
        <v>12.261076796166073</v>
      </c>
      <c r="O1181">
        <f>LN(dataset[[#This Row],[soda_sales]])</f>
        <v>12.016357798596148</v>
      </c>
      <c r="P1181">
        <f>LN(dataset[[#This Row],[soda_ppu]])</f>
        <v>-0.2447503050682685</v>
      </c>
      <c r="Q1181">
        <f>IF(dataset[[#This Row],[state]]="VA",1,0)</f>
        <v>1</v>
      </c>
    </row>
    <row r="1182" spans="1:17" x14ac:dyDescent="0.35">
      <c r="A1182">
        <v>202405</v>
      </c>
      <c r="B1182">
        <v>55</v>
      </c>
      <c r="C1182" s="2">
        <v>3293810.7470999998</v>
      </c>
      <c r="D1182" s="2">
        <v>0.75309999999999999</v>
      </c>
      <c r="E1182" s="3">
        <v>241628</v>
      </c>
      <c r="F1182" s="2">
        <v>181979.4951</v>
      </c>
      <c r="G1182" t="s">
        <v>2632</v>
      </c>
      <c r="H1182" t="s">
        <v>3</v>
      </c>
      <c r="I1182">
        <f>HLOOKUP(G1182,zip_tiers!$A$1:$EON$2,2,FALSE)</f>
        <v>101048.66666666667</v>
      </c>
      <c r="J1182" t="str">
        <f t="shared" si="18"/>
        <v>High</v>
      </c>
      <c r="K1182">
        <f>dataset[[#This Row],[soda_sales]]/dataset[[#This Row],[soda_units_sold]]</f>
        <v>0.75313910267022033</v>
      </c>
      <c r="L1182" s="29">
        <f>dataset[[#This Row],[implied_soda_ppu]]-dataset[[#This Row],[soda_ppu]]</f>
        <v>3.9102670220336755E-5</v>
      </c>
      <c r="M1182">
        <f>dataset[[#This Row],[soda_sales]]/dataset[[#This Row],[total_sales]]</f>
        <v>5.5248922622595086E-2</v>
      </c>
      <c r="N1182">
        <f>LN(dataset[[#This Row],[soda_units_sold]])</f>
        <v>12.395154632367337</v>
      </c>
      <c r="O1182">
        <f>LN(dataset[[#This Row],[soda_sales]])</f>
        <v>12.111649295426121</v>
      </c>
      <c r="P1182">
        <f>LN(dataset[[#This Row],[soda_ppu]])</f>
        <v>-0.28355725787483105</v>
      </c>
      <c r="Q1182">
        <f>IF(dataset[[#This Row],[state]]="VA",1,0)</f>
        <v>1</v>
      </c>
    </row>
    <row r="1183" spans="1:17" x14ac:dyDescent="0.35">
      <c r="A1183">
        <v>202406</v>
      </c>
      <c r="B1183">
        <v>55</v>
      </c>
      <c r="C1183" s="2">
        <v>3131097.0885000001</v>
      </c>
      <c r="D1183" s="2">
        <v>0.75700000000000001</v>
      </c>
      <c r="E1183" s="3">
        <v>244987</v>
      </c>
      <c r="F1183" s="2">
        <v>185450.3254</v>
      </c>
      <c r="G1183" t="s">
        <v>2632</v>
      </c>
      <c r="H1183" t="s">
        <v>3</v>
      </c>
      <c r="I1183">
        <f>HLOOKUP(G1183,zip_tiers!$A$1:$EON$2,2,FALSE)</f>
        <v>101048.66666666667</v>
      </c>
      <c r="J1183" t="str">
        <f t="shared" si="18"/>
        <v>High</v>
      </c>
      <c r="K1183">
        <f>dataset[[#This Row],[soda_sales]]/dataset[[#This Row],[soda_units_sold]]</f>
        <v>0.75698026997350876</v>
      </c>
      <c r="L1183" s="29">
        <f>dataset[[#This Row],[implied_soda_ppu]]-dataset[[#This Row],[soda_ppu]]</f>
        <v>-1.973002649124922E-5</v>
      </c>
      <c r="M1183">
        <f>dataset[[#This Row],[soda_sales]]/dataset[[#This Row],[total_sales]]</f>
        <v>5.9228545189840415E-2</v>
      </c>
      <c r="N1183">
        <f>LN(dataset[[#This Row],[soda_units_sold]])</f>
        <v>12.408960426894577</v>
      </c>
      <c r="O1183">
        <f>LN(dataset[[#This Row],[soda_sales]])</f>
        <v>12.130542337567046</v>
      </c>
      <c r="P1183">
        <f>LN(dataset[[#This Row],[soda_ppu]])</f>
        <v>-0.27839202554468828</v>
      </c>
      <c r="Q1183">
        <f>IF(dataset[[#This Row],[state]]="VA",1,0)</f>
        <v>1</v>
      </c>
    </row>
    <row r="1184" spans="1:17" x14ac:dyDescent="0.35">
      <c r="A1184">
        <v>202407</v>
      </c>
      <c r="B1184">
        <v>55</v>
      </c>
      <c r="C1184" s="2">
        <v>2923072.0684000002</v>
      </c>
      <c r="D1184" s="2">
        <v>0.76370000000000005</v>
      </c>
      <c r="E1184" s="3">
        <v>251027</v>
      </c>
      <c r="F1184" s="2">
        <v>191706.45759999999</v>
      </c>
      <c r="G1184" t="s">
        <v>2632</v>
      </c>
      <c r="H1184" t="s">
        <v>3</v>
      </c>
      <c r="I1184">
        <f>HLOOKUP(G1184,zip_tiers!$A$1:$EON$2,2,FALSE)</f>
        <v>101048.66666666667</v>
      </c>
      <c r="J1184" t="str">
        <f t="shared" si="18"/>
        <v>High</v>
      </c>
      <c r="K1184">
        <f>dataset[[#This Row],[soda_sales]]/dataset[[#This Row],[soda_units_sold]]</f>
        <v>0.76368859764089114</v>
      </c>
      <c r="L1184" s="29">
        <f>dataset[[#This Row],[implied_soda_ppu]]-dataset[[#This Row],[soda_ppu]]</f>
        <v>-1.1402359108902971E-5</v>
      </c>
      <c r="M1184">
        <f>dataset[[#This Row],[soda_sales]]/dataset[[#This Row],[total_sales]]</f>
        <v>6.5583897048742359E-2</v>
      </c>
      <c r="N1184">
        <f>LN(dataset[[#This Row],[soda_units_sold]])</f>
        <v>12.43331578204983</v>
      </c>
      <c r="O1184">
        <f>LN(dataset[[#This Row],[soda_sales]])</f>
        <v>12.163720614434034</v>
      </c>
      <c r="P1184">
        <f>LN(dataset[[#This Row],[soda_ppu]])</f>
        <v>-0.26958023708779855</v>
      </c>
      <c r="Q1184">
        <f>IF(dataset[[#This Row],[state]]="VA",1,0)</f>
        <v>1</v>
      </c>
    </row>
    <row r="1185" spans="1:17" x14ac:dyDescent="0.35">
      <c r="A1185">
        <v>202408</v>
      </c>
      <c r="B1185">
        <v>55</v>
      </c>
      <c r="C1185" s="2">
        <v>2823951.4352000002</v>
      </c>
      <c r="D1185" s="2">
        <v>0.7732</v>
      </c>
      <c r="E1185" s="3">
        <v>222623</v>
      </c>
      <c r="F1185" s="2">
        <v>172121.60699999999</v>
      </c>
      <c r="G1185" t="s">
        <v>2632</v>
      </c>
      <c r="H1185" t="s">
        <v>3</v>
      </c>
      <c r="I1185">
        <f>HLOOKUP(G1185,zip_tiers!$A$1:$EON$2,2,FALSE)</f>
        <v>101048.66666666667</v>
      </c>
      <c r="J1185" t="str">
        <f t="shared" si="18"/>
        <v>High</v>
      </c>
      <c r="K1185">
        <f>dataset[[#This Row],[soda_sales]]/dataset[[#This Row],[soda_units_sold]]</f>
        <v>0.77315285033442183</v>
      </c>
      <c r="L1185" s="29">
        <f>dataset[[#This Row],[implied_soda_ppu]]-dataset[[#This Row],[soda_ppu]]</f>
        <v>-4.714966557817224E-5</v>
      </c>
      <c r="M1185">
        <f>dataset[[#This Row],[soda_sales]]/dataset[[#This Row],[total_sales]]</f>
        <v>6.0950625727672916E-2</v>
      </c>
      <c r="N1185">
        <f>LN(dataset[[#This Row],[soda_units_sold]])</f>
        <v>12.313235036834596</v>
      </c>
      <c r="O1185">
        <f>LN(dataset[[#This Row],[soda_sales]])</f>
        <v>12.055956523418363</v>
      </c>
      <c r="P1185">
        <f>LN(dataset[[#This Row],[soda_ppu]])</f>
        <v>-0.25721753164796124</v>
      </c>
      <c r="Q1185">
        <f>IF(dataset[[#This Row],[state]]="VA",1,0)</f>
        <v>1</v>
      </c>
    </row>
    <row r="1186" spans="1:17" x14ac:dyDescent="0.35">
      <c r="A1186">
        <v>202409</v>
      </c>
      <c r="B1186">
        <v>55</v>
      </c>
      <c r="C1186" s="2">
        <v>2872935.2026</v>
      </c>
      <c r="D1186" s="2">
        <v>0.7752</v>
      </c>
      <c r="E1186" s="3">
        <v>215848</v>
      </c>
      <c r="F1186" s="2">
        <v>167326.34570000001</v>
      </c>
      <c r="G1186" t="s">
        <v>2632</v>
      </c>
      <c r="H1186" t="s">
        <v>3</v>
      </c>
      <c r="I1186">
        <f>HLOOKUP(G1186,zip_tiers!$A$1:$EON$2,2,FALSE)</f>
        <v>101048.66666666667</v>
      </c>
      <c r="J1186" t="str">
        <f t="shared" si="18"/>
        <v>High</v>
      </c>
      <c r="K1186">
        <f>dataset[[#This Row],[soda_sales]]/dataset[[#This Row],[soda_units_sold]]</f>
        <v>0.77520452216374491</v>
      </c>
      <c r="L1186" s="29">
        <f>dataset[[#This Row],[implied_soda_ppu]]-dataset[[#This Row],[soda_ppu]]</f>
        <v>4.5221637449133212E-6</v>
      </c>
      <c r="M1186">
        <f>dataset[[#This Row],[soda_sales]]/dataset[[#This Row],[total_sales]]</f>
        <v>5.824229712823667E-2</v>
      </c>
      <c r="N1186">
        <f>LN(dataset[[#This Row],[soda_units_sold]])</f>
        <v>12.282329735246927</v>
      </c>
      <c r="O1186">
        <f>LN(dataset[[#This Row],[soda_sales]])</f>
        <v>12.027701350368895</v>
      </c>
      <c r="P1186">
        <f>LN(dataset[[#This Row],[soda_ppu]])</f>
        <v>-0.25463421840558059</v>
      </c>
      <c r="Q1186">
        <f>IF(dataset[[#This Row],[state]]="VA",1,0)</f>
        <v>1</v>
      </c>
    </row>
    <row r="1187" spans="1:17" x14ac:dyDescent="0.35">
      <c r="A1187">
        <v>202410</v>
      </c>
      <c r="B1187">
        <v>55</v>
      </c>
      <c r="C1187" s="2">
        <v>3475425.1976999999</v>
      </c>
      <c r="D1187" s="2">
        <v>0.80030000000000001</v>
      </c>
      <c r="E1187" s="3">
        <v>198169</v>
      </c>
      <c r="F1187" s="2">
        <v>158604.39619999999</v>
      </c>
      <c r="G1187" t="s">
        <v>2632</v>
      </c>
      <c r="H1187" t="s">
        <v>3</v>
      </c>
      <c r="I1187">
        <f>HLOOKUP(G1187,zip_tiers!$A$1:$EON$2,2,FALSE)</f>
        <v>101048.66666666667</v>
      </c>
      <c r="J1187" t="str">
        <f t="shared" si="18"/>
        <v>High</v>
      </c>
      <c r="K1187">
        <f>dataset[[#This Row],[soda_sales]]/dataset[[#This Row],[soda_units_sold]]</f>
        <v>0.80034917772204528</v>
      </c>
      <c r="L1187" s="29">
        <f>dataset[[#This Row],[implied_soda_ppu]]-dataset[[#This Row],[soda_ppu]]</f>
        <v>4.9177722045268268E-5</v>
      </c>
      <c r="M1187">
        <f>dataset[[#This Row],[soda_sales]]/dataset[[#This Row],[total_sales]]</f>
        <v>4.5635968889493783E-2</v>
      </c>
      <c r="N1187">
        <f>LN(dataset[[#This Row],[soda_units_sold]])</f>
        <v>12.196875480976049</v>
      </c>
      <c r="O1187">
        <f>LN(dataset[[#This Row],[soda_sales]])</f>
        <v>11.974168306588133</v>
      </c>
      <c r="P1187">
        <f>LN(dataset[[#This Row],[soda_ppu]])</f>
        <v>-0.22276862160913655</v>
      </c>
      <c r="Q1187">
        <f>IF(dataset[[#This Row],[state]]="VA",1,0)</f>
        <v>1</v>
      </c>
    </row>
    <row r="1188" spans="1:17" x14ac:dyDescent="0.35">
      <c r="A1188">
        <v>202411</v>
      </c>
      <c r="B1188">
        <v>55</v>
      </c>
      <c r="C1188" s="2">
        <v>3954736.7982000001</v>
      </c>
      <c r="D1188" s="2">
        <v>0.78090000000000004</v>
      </c>
      <c r="E1188" s="3">
        <v>191897</v>
      </c>
      <c r="F1188" s="2">
        <v>149853.00779999999</v>
      </c>
      <c r="G1188" t="s">
        <v>2632</v>
      </c>
      <c r="H1188" t="s">
        <v>3</v>
      </c>
      <c r="I1188">
        <f>HLOOKUP(G1188,zip_tiers!$A$1:$EON$2,2,FALSE)</f>
        <v>101048.66666666667</v>
      </c>
      <c r="J1188" t="str">
        <f t="shared" si="18"/>
        <v>High</v>
      </c>
      <c r="K1188">
        <f>dataset[[#This Row],[soda_sales]]/dataset[[#This Row],[soda_units_sold]]</f>
        <v>0.78090333772805198</v>
      </c>
      <c r="L1188" s="29">
        <f>dataset[[#This Row],[implied_soda_ppu]]-dataset[[#This Row],[soda_ppu]]</f>
        <v>3.337728051944211E-6</v>
      </c>
      <c r="M1188">
        <f>dataset[[#This Row],[soda_sales]]/dataset[[#This Row],[total_sales]]</f>
        <v>3.7892030606994032E-2</v>
      </c>
      <c r="N1188">
        <f>LN(dataset[[#This Row],[soda_units_sold]])</f>
        <v>12.16471404873133</v>
      </c>
      <c r="O1188">
        <f>LN(dataset[[#This Row],[soda_sales]])</f>
        <v>11.91741014461544</v>
      </c>
      <c r="P1188">
        <f>LN(dataset[[#This Row],[soda_ppu]])</f>
        <v>-0.24730817831350763</v>
      </c>
      <c r="Q1188">
        <f>IF(dataset[[#This Row],[state]]="VA",1,0)</f>
        <v>1</v>
      </c>
    </row>
    <row r="1189" spans="1:17" x14ac:dyDescent="0.35">
      <c r="A1189">
        <v>202412</v>
      </c>
      <c r="B1189">
        <v>55</v>
      </c>
      <c r="C1189" s="2">
        <v>4176811.4767</v>
      </c>
      <c r="D1189" s="2">
        <v>0.79630000000000001</v>
      </c>
      <c r="E1189" s="3">
        <v>187526</v>
      </c>
      <c r="F1189" s="2">
        <v>149330.08720000001</v>
      </c>
      <c r="G1189" t="s">
        <v>2632</v>
      </c>
      <c r="H1189" t="s">
        <v>3</v>
      </c>
      <c r="I1189">
        <f>HLOOKUP(G1189,zip_tiers!$A$1:$EON$2,2,FALSE)</f>
        <v>101048.66666666667</v>
      </c>
      <c r="J1189" t="str">
        <f t="shared" si="18"/>
        <v>High</v>
      </c>
      <c r="K1189">
        <f>dataset[[#This Row],[soda_sales]]/dataset[[#This Row],[soda_units_sold]]</f>
        <v>0.79631670914966468</v>
      </c>
      <c r="L1189" s="29">
        <f>dataset[[#This Row],[implied_soda_ppu]]-dataset[[#This Row],[soda_ppu]]</f>
        <v>1.6709149664673184E-5</v>
      </c>
      <c r="M1189">
        <f>dataset[[#This Row],[soda_sales]]/dataset[[#This Row],[total_sales]]</f>
        <v>3.575217316678659E-2</v>
      </c>
      <c r="N1189">
        <f>LN(dataset[[#This Row],[soda_units_sold]])</f>
        <v>12.141672781445935</v>
      </c>
      <c r="O1189">
        <f>LN(dataset[[#This Row],[soda_sales]])</f>
        <v>11.91391448499275</v>
      </c>
      <c r="P1189">
        <f>LN(dataset[[#This Row],[soda_ppu]])</f>
        <v>-0.22777927971873788</v>
      </c>
      <c r="Q1189">
        <f>IF(dataset[[#This Row],[state]]="VA",1,0)</f>
        <v>1</v>
      </c>
    </row>
    <row r="1190" spans="1:17" x14ac:dyDescent="0.35">
      <c r="A1190">
        <v>202201</v>
      </c>
      <c r="B1190">
        <v>1</v>
      </c>
      <c r="C1190" s="2">
        <v>1918181.5015</v>
      </c>
      <c r="D1190" s="2">
        <v>0.72130000000000005</v>
      </c>
      <c r="E1190" s="3">
        <v>141066</v>
      </c>
      <c r="F1190" s="2">
        <v>101748.94650000001</v>
      </c>
      <c r="G1190" t="s">
        <v>2644</v>
      </c>
      <c r="H1190" t="s">
        <v>3</v>
      </c>
      <c r="I1190">
        <f>HLOOKUP(G1190,zip_tiers!$A$1:$EON$2,2,FALSE)</f>
        <v>72992</v>
      </c>
      <c r="J1190" t="str">
        <f t="shared" si="18"/>
        <v>Med</v>
      </c>
      <c r="K1190">
        <f>dataset[[#This Row],[soda_sales]]/dataset[[#This Row],[soda_units_sold]]</f>
        <v>0.72128611075666715</v>
      </c>
      <c r="L1190" s="29">
        <f>dataset[[#This Row],[implied_soda_ppu]]-dataset[[#This Row],[soda_ppu]]</f>
        <v>-1.3889243332898538E-5</v>
      </c>
      <c r="M1190">
        <f>dataset[[#This Row],[soda_sales]]/dataset[[#This Row],[total_sales]]</f>
        <v>5.3044483236040635E-2</v>
      </c>
      <c r="N1190">
        <f>LN(dataset[[#This Row],[soda_units_sold]])</f>
        <v>11.85698314494903</v>
      </c>
      <c r="O1190">
        <f>LN(dataset[[#This Row],[soda_sales]])</f>
        <v>11.530263749442886</v>
      </c>
      <c r="P1190">
        <f>LN(dataset[[#This Row],[soda_ppu]])</f>
        <v>-0.32670013947251003</v>
      </c>
      <c r="Q1190">
        <f>IF(dataset[[#This Row],[state]]="VA",1,0)</f>
        <v>1</v>
      </c>
    </row>
    <row r="1191" spans="1:17" x14ac:dyDescent="0.35">
      <c r="A1191">
        <v>202202</v>
      </c>
      <c r="B1191">
        <v>1</v>
      </c>
      <c r="C1191" s="2">
        <v>2127771.7315000002</v>
      </c>
      <c r="D1191" s="2">
        <v>0.73250000000000004</v>
      </c>
      <c r="E1191" s="3">
        <v>149265</v>
      </c>
      <c r="F1191" s="2">
        <v>109343.61380000001</v>
      </c>
      <c r="G1191" t="s">
        <v>2644</v>
      </c>
      <c r="H1191" t="s">
        <v>3</v>
      </c>
      <c r="I1191">
        <f>HLOOKUP(G1191,zip_tiers!$A$1:$EON$2,2,FALSE)</f>
        <v>72992</v>
      </c>
      <c r="J1191" t="str">
        <f t="shared" si="18"/>
        <v>Med</v>
      </c>
      <c r="K1191">
        <f>dataset[[#This Row],[soda_sales]]/dataset[[#This Row],[soda_units_sold]]</f>
        <v>0.73254690516865983</v>
      </c>
      <c r="L1191" s="29">
        <f>dataset[[#This Row],[implied_soda_ppu]]-dataset[[#This Row],[soda_ppu]]</f>
        <v>4.6905168659794327E-5</v>
      </c>
      <c r="M1191">
        <f>dataset[[#This Row],[soda_sales]]/dataset[[#This Row],[total_sales]]</f>
        <v>5.13887895873665E-2</v>
      </c>
      <c r="N1191">
        <f>LN(dataset[[#This Row],[soda_units_sold]])</f>
        <v>11.913478528717372</v>
      </c>
      <c r="O1191">
        <f>LN(dataset[[#This Row],[soda_sales]])</f>
        <v>11.602250622936291</v>
      </c>
      <c r="P1191">
        <f>LN(dataset[[#This Row],[soda_ppu]])</f>
        <v>-0.3112919380909146</v>
      </c>
      <c r="Q1191">
        <f>IF(dataset[[#This Row],[state]]="VA",1,0)</f>
        <v>1</v>
      </c>
    </row>
    <row r="1192" spans="1:17" x14ac:dyDescent="0.35">
      <c r="A1192">
        <v>202203</v>
      </c>
      <c r="B1192">
        <v>1</v>
      </c>
      <c r="C1192" s="2">
        <v>2380487.1592999999</v>
      </c>
      <c r="D1192" s="2">
        <v>0.74709999999999999</v>
      </c>
      <c r="E1192" s="3">
        <v>169964</v>
      </c>
      <c r="F1192" s="2">
        <v>126977.71950000001</v>
      </c>
      <c r="G1192" t="s">
        <v>2644</v>
      </c>
      <c r="H1192" t="s">
        <v>3</v>
      </c>
      <c r="I1192">
        <f>HLOOKUP(G1192,zip_tiers!$A$1:$EON$2,2,FALSE)</f>
        <v>72992</v>
      </c>
      <c r="J1192" t="str">
        <f t="shared" si="18"/>
        <v>Med</v>
      </c>
      <c r="K1192">
        <f>dataset[[#This Row],[soda_sales]]/dataset[[#This Row],[soda_units_sold]]</f>
        <v>0.7470859682050317</v>
      </c>
      <c r="L1192" s="29">
        <f>dataset[[#This Row],[implied_soda_ppu]]-dataset[[#This Row],[soda_ppu]]</f>
        <v>-1.4031794968283329E-5</v>
      </c>
      <c r="M1192">
        <f>dataset[[#This Row],[soda_sales]]/dataset[[#This Row],[total_sales]]</f>
        <v>5.3341064665662283E-2</v>
      </c>
      <c r="N1192">
        <f>LN(dataset[[#This Row],[soda_units_sold]])</f>
        <v>12.043341928901205</v>
      </c>
      <c r="O1192">
        <f>LN(dataset[[#This Row],[soda_sales]])</f>
        <v>11.751766913041982</v>
      </c>
      <c r="P1192">
        <f>LN(dataset[[#This Row],[soda_ppu]])</f>
        <v>-0.2915562340003815</v>
      </c>
      <c r="Q1192">
        <f>IF(dataset[[#This Row],[state]]="VA",1,0)</f>
        <v>1</v>
      </c>
    </row>
    <row r="1193" spans="1:17" x14ac:dyDescent="0.35">
      <c r="A1193">
        <v>202204</v>
      </c>
      <c r="B1193">
        <v>1</v>
      </c>
      <c r="C1193" s="2">
        <v>2497642.6581000001</v>
      </c>
      <c r="D1193" s="2">
        <v>0.71940000000000004</v>
      </c>
      <c r="E1193" s="3">
        <v>209250</v>
      </c>
      <c r="F1193" s="2">
        <v>150537.75709999999</v>
      </c>
      <c r="G1193" t="s">
        <v>2644</v>
      </c>
      <c r="H1193" t="s">
        <v>3</v>
      </c>
      <c r="I1193">
        <f>HLOOKUP(G1193,zip_tiers!$A$1:$EON$2,2,FALSE)</f>
        <v>72992</v>
      </c>
      <c r="J1193" t="str">
        <f t="shared" si="18"/>
        <v>Med</v>
      </c>
      <c r="K1193">
        <f>dataset[[#This Row],[soda_sales]]/dataset[[#This Row],[soda_units_sold]]</f>
        <v>0.71941580454002385</v>
      </c>
      <c r="L1193" s="29">
        <f>dataset[[#This Row],[implied_soda_ppu]]-dataset[[#This Row],[soda_ppu]]</f>
        <v>1.5804540023811597E-5</v>
      </c>
      <c r="M1193">
        <f>dataset[[#This Row],[soda_sales]]/dataset[[#This Row],[total_sales]]</f>
        <v>6.0271935463544916E-2</v>
      </c>
      <c r="N1193">
        <f>LN(dataset[[#This Row],[soda_units_sold]])</f>
        <v>12.251284988351722</v>
      </c>
      <c r="O1193">
        <f>LN(dataset[[#This Row],[soda_sales]])</f>
        <v>11.921969209447374</v>
      </c>
      <c r="P1193">
        <f>LN(dataset[[#This Row],[soda_ppu]])</f>
        <v>-0.32933774772061342</v>
      </c>
      <c r="Q1193">
        <f>IF(dataset[[#This Row],[state]]="VA",1,0)</f>
        <v>1</v>
      </c>
    </row>
    <row r="1194" spans="1:17" x14ac:dyDescent="0.35">
      <c r="A1194">
        <v>202205</v>
      </c>
      <c r="B1194">
        <v>1</v>
      </c>
      <c r="C1194" s="2">
        <v>2665976.4078000002</v>
      </c>
      <c r="D1194" s="2">
        <v>0.74670000000000003</v>
      </c>
      <c r="E1194" s="3">
        <v>230459</v>
      </c>
      <c r="F1194" s="2">
        <v>172083.43040000001</v>
      </c>
      <c r="G1194" t="s">
        <v>2644</v>
      </c>
      <c r="H1194" t="s">
        <v>3</v>
      </c>
      <c r="I1194">
        <f>HLOOKUP(G1194,zip_tiers!$A$1:$EON$2,2,FALSE)</f>
        <v>72992</v>
      </c>
      <c r="J1194" t="str">
        <f t="shared" si="18"/>
        <v>Med</v>
      </c>
      <c r="K1194">
        <f>dataset[[#This Row],[soda_sales]]/dataset[[#This Row],[soda_units_sold]]</f>
        <v>0.74669867698809766</v>
      </c>
      <c r="L1194" s="29">
        <f>dataset[[#This Row],[implied_soda_ppu]]-dataset[[#This Row],[soda_ppu]]</f>
        <v>-1.3230119023655007E-6</v>
      </c>
      <c r="M1194">
        <f>dataset[[#This Row],[soda_sales]]/dataset[[#This Row],[total_sales]]</f>
        <v>6.4547994459562968E-2</v>
      </c>
      <c r="N1194">
        <f>LN(dataset[[#This Row],[soda_units_sold]])</f>
        <v>12.3478282514108</v>
      </c>
      <c r="O1194">
        <f>LN(dataset[[#This Row],[soda_sales]])</f>
        <v>12.055734698656908</v>
      </c>
      <c r="P1194">
        <f>LN(dataset[[#This Row],[soda_ppu]])</f>
        <v>-0.29209178094048099</v>
      </c>
      <c r="Q1194">
        <f>IF(dataset[[#This Row],[state]]="VA",1,0)</f>
        <v>1</v>
      </c>
    </row>
    <row r="1195" spans="1:17" x14ac:dyDescent="0.35">
      <c r="A1195">
        <v>202206</v>
      </c>
      <c r="B1195">
        <v>1</v>
      </c>
      <c r="C1195" s="2">
        <v>2481630.6474000001</v>
      </c>
      <c r="D1195" s="2">
        <v>0.72529999999999994</v>
      </c>
      <c r="E1195" s="3">
        <v>240831</v>
      </c>
      <c r="F1195" s="2">
        <v>174666.4437</v>
      </c>
      <c r="G1195" t="s">
        <v>2644</v>
      </c>
      <c r="H1195" t="s">
        <v>3</v>
      </c>
      <c r="I1195">
        <f>HLOOKUP(G1195,zip_tiers!$A$1:$EON$2,2,FALSE)</f>
        <v>72992</v>
      </c>
      <c r="J1195" t="str">
        <f t="shared" si="18"/>
        <v>Med</v>
      </c>
      <c r="K1195">
        <f>dataset[[#This Row],[soda_sales]]/dataset[[#This Row],[soda_units_sold]]</f>
        <v>0.72526561655268629</v>
      </c>
      <c r="L1195" s="29">
        <f>dataset[[#This Row],[implied_soda_ppu]]-dataset[[#This Row],[soda_ppu]]</f>
        <v>-3.4383447313657278E-5</v>
      </c>
      <c r="M1195">
        <f>dataset[[#This Row],[soda_sales]]/dataset[[#This Row],[total_sales]]</f>
        <v>7.0383738967359111E-2</v>
      </c>
      <c r="N1195">
        <f>LN(dataset[[#This Row],[soda_units_sold]])</f>
        <v>12.391850721672364</v>
      </c>
      <c r="O1195">
        <f>LN(dataset[[#This Row],[soda_sales]])</f>
        <v>12.070633398107537</v>
      </c>
      <c r="P1195">
        <f>LN(dataset[[#This Row],[soda_ppu]])</f>
        <v>-0.32116991661277045</v>
      </c>
      <c r="Q1195">
        <f>IF(dataset[[#This Row],[state]]="VA",1,0)</f>
        <v>1</v>
      </c>
    </row>
    <row r="1196" spans="1:17" x14ac:dyDescent="0.35">
      <c r="A1196">
        <v>202207</v>
      </c>
      <c r="B1196">
        <v>1</v>
      </c>
      <c r="C1196" s="2">
        <v>2434362.5468000001</v>
      </c>
      <c r="D1196" s="2">
        <v>0.74299999999999999</v>
      </c>
      <c r="E1196" s="3">
        <v>242066</v>
      </c>
      <c r="F1196" s="2">
        <v>179850.97320000001</v>
      </c>
      <c r="G1196" t="s">
        <v>2644</v>
      </c>
      <c r="H1196" t="s">
        <v>3</v>
      </c>
      <c r="I1196">
        <f>HLOOKUP(G1196,zip_tiers!$A$1:$EON$2,2,FALSE)</f>
        <v>72992</v>
      </c>
      <c r="J1196" t="str">
        <f t="shared" si="18"/>
        <v>Med</v>
      </c>
      <c r="K1196">
        <f>dataset[[#This Row],[soda_sales]]/dataset[[#This Row],[soda_units_sold]]</f>
        <v>0.7429832078854528</v>
      </c>
      <c r="L1196" s="29">
        <f>dataset[[#This Row],[implied_soda_ppu]]-dataset[[#This Row],[soda_ppu]]</f>
        <v>-1.679211454719276E-5</v>
      </c>
      <c r="M1196">
        <f>dataset[[#This Row],[soda_sales]]/dataset[[#This Row],[total_sales]]</f>
        <v>7.388011019000286E-2</v>
      </c>
      <c r="N1196">
        <f>LN(dataset[[#This Row],[soda_units_sold]])</f>
        <v>12.396965695228229</v>
      </c>
      <c r="O1196">
        <f>LN(dataset[[#This Row],[soda_sales]])</f>
        <v>12.099883860285109</v>
      </c>
      <c r="P1196">
        <f>LN(dataset[[#This Row],[soda_ppu]])</f>
        <v>-0.29705923426437791</v>
      </c>
      <c r="Q1196">
        <f>IF(dataset[[#This Row],[state]]="VA",1,0)</f>
        <v>1</v>
      </c>
    </row>
    <row r="1197" spans="1:17" x14ac:dyDescent="0.35">
      <c r="A1197">
        <v>202208</v>
      </c>
      <c r="B1197">
        <v>1</v>
      </c>
      <c r="C1197" s="2">
        <v>2301597.3467000001</v>
      </c>
      <c r="D1197" s="2">
        <v>0.69989999999999997</v>
      </c>
      <c r="E1197" s="3">
        <v>229065</v>
      </c>
      <c r="F1197" s="2">
        <v>160313.5814</v>
      </c>
      <c r="G1197" t="s">
        <v>2644</v>
      </c>
      <c r="H1197" t="s">
        <v>3</v>
      </c>
      <c r="I1197">
        <f>HLOOKUP(G1197,zip_tiers!$A$1:$EON$2,2,FALSE)</f>
        <v>72992</v>
      </c>
      <c r="J1197" t="str">
        <f t="shared" si="18"/>
        <v>Med</v>
      </c>
      <c r="K1197">
        <f>dataset[[#This Row],[soda_sales]]/dataset[[#This Row],[soda_units_sold]]</f>
        <v>0.69986065701875011</v>
      </c>
      <c r="L1197" s="29">
        <f>dataset[[#This Row],[implied_soda_ppu]]-dataset[[#This Row],[soda_ppu]]</f>
        <v>-3.9342981249856912E-5</v>
      </c>
      <c r="M1197">
        <f>dataset[[#This Row],[soda_sales]]/dataset[[#This Row],[total_sales]]</f>
        <v>6.9653183094712676E-2</v>
      </c>
      <c r="N1197">
        <f>LN(dataset[[#This Row],[soda_units_sold]])</f>
        <v>12.341761085055392</v>
      </c>
      <c r="O1197">
        <f>LN(dataset[[#This Row],[soda_sales]])</f>
        <v>11.984887059899522</v>
      </c>
      <c r="P1197">
        <f>LN(dataset[[#This Row],[soda_ppu]])</f>
        <v>-0.35681781128664314</v>
      </c>
      <c r="Q1197">
        <f>IF(dataset[[#This Row],[state]]="VA",1,0)</f>
        <v>1</v>
      </c>
    </row>
    <row r="1198" spans="1:17" x14ac:dyDescent="0.35">
      <c r="A1198">
        <v>202209</v>
      </c>
      <c r="B1198">
        <v>1</v>
      </c>
      <c r="C1198" s="2">
        <v>2291536.8813999998</v>
      </c>
      <c r="D1198" s="2">
        <v>0.71709999999999996</v>
      </c>
      <c r="E1198" s="3">
        <v>212133</v>
      </c>
      <c r="F1198" s="2">
        <v>152126.02679999999</v>
      </c>
      <c r="G1198" t="s">
        <v>2644</v>
      </c>
      <c r="H1198" t="s">
        <v>3</v>
      </c>
      <c r="I1198">
        <f>HLOOKUP(G1198,zip_tiers!$A$1:$EON$2,2,FALSE)</f>
        <v>72992</v>
      </c>
      <c r="J1198" t="str">
        <f t="shared" si="18"/>
        <v>Med</v>
      </c>
      <c r="K1198">
        <f>dataset[[#This Row],[soda_sales]]/dataset[[#This Row],[soda_units_sold]]</f>
        <v>0.71712570321449276</v>
      </c>
      <c r="L1198" s="29">
        <f>dataset[[#This Row],[implied_soda_ppu]]-dataset[[#This Row],[soda_ppu]]</f>
        <v>2.5703214492800441E-5</v>
      </c>
      <c r="M1198">
        <f>dataset[[#This Row],[soda_sales]]/dataset[[#This Row],[total_sales]]</f>
        <v>6.638602591770619E-2</v>
      </c>
      <c r="N1198">
        <f>LN(dataset[[#This Row],[soda_units_sold]])</f>
        <v>12.264968715437645</v>
      </c>
      <c r="O1198">
        <f>LN(dataset[[#This Row],[soda_sales]])</f>
        <v>11.932464579979456</v>
      </c>
      <c r="P1198">
        <f>LN(dataset[[#This Row],[soda_ppu]])</f>
        <v>-0.33253997809360791</v>
      </c>
      <c r="Q1198">
        <f>IF(dataset[[#This Row],[state]]="VA",1,0)</f>
        <v>1</v>
      </c>
    </row>
    <row r="1199" spans="1:17" x14ac:dyDescent="0.35">
      <c r="A1199">
        <v>202210</v>
      </c>
      <c r="B1199">
        <v>1</v>
      </c>
      <c r="C1199" s="2">
        <v>2803750.4959</v>
      </c>
      <c r="D1199" s="2">
        <v>0.72729999999999995</v>
      </c>
      <c r="E1199" s="3">
        <v>202011</v>
      </c>
      <c r="F1199" s="2">
        <v>146927.65289999999</v>
      </c>
      <c r="G1199" t="s">
        <v>2644</v>
      </c>
      <c r="H1199" t="s">
        <v>3</v>
      </c>
      <c r="I1199">
        <f>HLOOKUP(G1199,zip_tiers!$A$1:$EON$2,2,FALSE)</f>
        <v>72992</v>
      </c>
      <c r="J1199" t="str">
        <f t="shared" si="18"/>
        <v>Med</v>
      </c>
      <c r="K1199">
        <f>dataset[[#This Row],[soda_sales]]/dataset[[#This Row],[soda_units_sold]]</f>
        <v>0.7273250115092742</v>
      </c>
      <c r="L1199" s="29">
        <f>dataset[[#This Row],[implied_soda_ppu]]-dataset[[#This Row],[soda_ppu]]</f>
        <v>2.5011509274253108E-5</v>
      </c>
      <c r="M1199">
        <f>dataset[[#This Row],[soda_sales]]/dataset[[#This Row],[total_sales]]</f>
        <v>5.2403968582388577E-2</v>
      </c>
      <c r="N1199">
        <f>LN(dataset[[#This Row],[soda_units_sold]])</f>
        <v>12.216077430346242</v>
      </c>
      <c r="O1199">
        <f>LN(dataset[[#This Row],[soda_sales]])</f>
        <v>11.897695587468938</v>
      </c>
      <c r="P1199">
        <f>LN(dataset[[#This Row],[soda_ppu]])</f>
        <v>-0.31841623182164214</v>
      </c>
      <c r="Q1199">
        <f>IF(dataset[[#This Row],[state]]="VA",1,0)</f>
        <v>1</v>
      </c>
    </row>
    <row r="1200" spans="1:17" x14ac:dyDescent="0.35">
      <c r="A1200">
        <v>202211</v>
      </c>
      <c r="B1200">
        <v>1</v>
      </c>
      <c r="C1200" s="2">
        <v>3106804.7429</v>
      </c>
      <c r="D1200" s="2">
        <v>0.70309999999999995</v>
      </c>
      <c r="E1200" s="3">
        <v>191296</v>
      </c>
      <c r="F1200" s="2">
        <v>134492.6158</v>
      </c>
      <c r="G1200" t="s">
        <v>2644</v>
      </c>
      <c r="H1200" t="s">
        <v>3</v>
      </c>
      <c r="I1200">
        <f>HLOOKUP(G1200,zip_tiers!$A$1:$EON$2,2,FALSE)</f>
        <v>72992</v>
      </c>
      <c r="J1200" t="str">
        <f t="shared" si="18"/>
        <v>Med</v>
      </c>
      <c r="K1200">
        <f>dataset[[#This Row],[soda_sales]]/dataset[[#This Row],[soda_units_sold]]</f>
        <v>0.70306026158414181</v>
      </c>
      <c r="L1200" s="29">
        <f>dataset[[#This Row],[implied_soda_ppu]]-dataset[[#This Row],[soda_ppu]]</f>
        <v>-3.9738415858137088E-5</v>
      </c>
      <c r="M1200">
        <f>dataset[[#This Row],[soda_sales]]/dataset[[#This Row],[total_sales]]</f>
        <v>4.328969051156395E-2</v>
      </c>
      <c r="N1200">
        <f>LN(dataset[[#This Row],[soda_units_sold]])</f>
        <v>12.16157724564361</v>
      </c>
      <c r="O1200">
        <f>LN(dataset[[#This Row],[soda_sales]])</f>
        <v>11.809264575401668</v>
      </c>
      <c r="P1200">
        <f>LN(dataset[[#This Row],[soda_ppu]])</f>
        <v>-0.35225614977702147</v>
      </c>
      <c r="Q1200">
        <f>IF(dataset[[#This Row],[state]]="VA",1,0)</f>
        <v>1</v>
      </c>
    </row>
    <row r="1201" spans="1:17" x14ac:dyDescent="0.35">
      <c r="A1201">
        <v>202212</v>
      </c>
      <c r="B1201">
        <v>1</v>
      </c>
      <c r="C1201" s="2">
        <v>3346291.9105000002</v>
      </c>
      <c r="D1201" s="2">
        <v>0.73029999999999995</v>
      </c>
      <c r="E1201" s="3">
        <v>183842</v>
      </c>
      <c r="F1201" s="2">
        <v>134256.84529999999</v>
      </c>
      <c r="G1201" t="s">
        <v>2644</v>
      </c>
      <c r="H1201" t="s">
        <v>3</v>
      </c>
      <c r="I1201">
        <f>HLOOKUP(G1201,zip_tiers!$A$1:$EON$2,2,FALSE)</f>
        <v>72992</v>
      </c>
      <c r="J1201" t="str">
        <f t="shared" si="18"/>
        <v>Med</v>
      </c>
      <c r="K1201">
        <f>dataset[[#This Row],[soda_sales]]/dataset[[#This Row],[soda_units_sold]]</f>
        <v>0.73028385950979635</v>
      </c>
      <c r="L1201" s="29">
        <f>dataset[[#This Row],[implied_soda_ppu]]-dataset[[#This Row],[soda_ppu]]</f>
        <v>-1.6140490203597757E-5</v>
      </c>
      <c r="M1201">
        <f>dataset[[#This Row],[soda_sales]]/dataset[[#This Row],[total_sales]]</f>
        <v>4.0121079956810891E-2</v>
      </c>
      <c r="N1201">
        <f>LN(dataset[[#This Row],[soda_units_sold]])</f>
        <v>12.121831972048646</v>
      </c>
      <c r="O1201">
        <f>LN(dataset[[#This Row],[soda_sales]])</f>
        <v>11.807510000270462</v>
      </c>
      <c r="P1201">
        <f>LN(dataset[[#This Row],[soda_ppu]])</f>
        <v>-0.31429987035607304</v>
      </c>
      <c r="Q1201">
        <f>IF(dataset[[#This Row],[state]]="VA",1,0)</f>
        <v>1</v>
      </c>
    </row>
    <row r="1202" spans="1:17" x14ac:dyDescent="0.35">
      <c r="A1202">
        <v>202301</v>
      </c>
      <c r="B1202">
        <v>1</v>
      </c>
      <c r="C1202" s="2">
        <v>1915508.6209</v>
      </c>
      <c r="D1202" s="2">
        <v>0.73050000000000004</v>
      </c>
      <c r="E1202" s="3">
        <v>137437</v>
      </c>
      <c r="F1202" s="2">
        <v>100395.8015</v>
      </c>
      <c r="G1202" t="s">
        <v>2644</v>
      </c>
      <c r="H1202" t="s">
        <v>3</v>
      </c>
      <c r="I1202">
        <f>HLOOKUP(G1202,zip_tiers!$A$1:$EON$2,2,FALSE)</f>
        <v>72992</v>
      </c>
      <c r="J1202" t="str">
        <f t="shared" si="18"/>
        <v>Med</v>
      </c>
      <c r="K1202">
        <f>dataset[[#This Row],[soda_sales]]/dataset[[#This Row],[soda_units_sold]]</f>
        <v>0.73048597903039214</v>
      </c>
      <c r="L1202" s="29">
        <f>dataset[[#This Row],[implied_soda_ppu]]-dataset[[#This Row],[soda_ppu]]</f>
        <v>-1.4020969607897449E-5</v>
      </c>
      <c r="M1202">
        <f>dataset[[#This Row],[soda_sales]]/dataset[[#This Row],[total_sales]]</f>
        <v>5.2412085440173652E-2</v>
      </c>
      <c r="N1202">
        <f>LN(dataset[[#This Row],[soda_units_sold]])</f>
        <v>11.830920909273219</v>
      </c>
      <c r="O1202">
        <f>LN(dataset[[#This Row],[soda_sales]])</f>
        <v>11.516875667636297</v>
      </c>
      <c r="P1202">
        <f>LN(dataset[[#This Row],[soda_ppu]])</f>
        <v>-0.31402604779138282</v>
      </c>
      <c r="Q1202">
        <f>IF(dataset[[#This Row],[state]]="VA",1,0)</f>
        <v>1</v>
      </c>
    </row>
    <row r="1203" spans="1:17" x14ac:dyDescent="0.35">
      <c r="A1203">
        <v>202302</v>
      </c>
      <c r="B1203">
        <v>1</v>
      </c>
      <c r="C1203" s="2">
        <v>2135282.1798</v>
      </c>
      <c r="D1203" s="2">
        <v>0.70230000000000004</v>
      </c>
      <c r="E1203" s="3">
        <v>156622</v>
      </c>
      <c r="F1203" s="2">
        <v>109995.5101</v>
      </c>
      <c r="G1203" t="s">
        <v>2644</v>
      </c>
      <c r="H1203" t="s">
        <v>3</v>
      </c>
      <c r="I1203">
        <f>HLOOKUP(G1203,zip_tiers!$A$1:$EON$2,2,FALSE)</f>
        <v>72992</v>
      </c>
      <c r="J1203" t="str">
        <f t="shared" si="18"/>
        <v>Med</v>
      </c>
      <c r="K1203">
        <f>dataset[[#This Row],[soda_sales]]/dataset[[#This Row],[soda_units_sold]]</f>
        <v>0.70229923063171207</v>
      </c>
      <c r="L1203" s="29">
        <f>dataset[[#This Row],[implied_soda_ppu]]-dataset[[#This Row],[soda_ppu]]</f>
        <v>-7.6936828796725365E-7</v>
      </c>
      <c r="M1203">
        <f>dataset[[#This Row],[soda_sales]]/dataset[[#This Row],[total_sales]]</f>
        <v>5.1513336804179514E-2</v>
      </c>
      <c r="N1203">
        <f>LN(dataset[[#This Row],[soda_units_sold]])</f>
        <v>11.961590537984602</v>
      </c>
      <c r="O1203">
        <f>LN(dataset[[#This Row],[soda_sales]])</f>
        <v>11.608194826668779</v>
      </c>
      <c r="P1203">
        <f>LN(dataset[[#This Row],[soda_ppu]])</f>
        <v>-0.35339461581716225</v>
      </c>
      <c r="Q1203">
        <f>IF(dataset[[#This Row],[state]]="VA",1,0)</f>
        <v>1</v>
      </c>
    </row>
    <row r="1204" spans="1:17" x14ac:dyDescent="0.35">
      <c r="A1204">
        <v>202303</v>
      </c>
      <c r="B1204">
        <v>1</v>
      </c>
      <c r="C1204" s="2">
        <v>2423268.0383000001</v>
      </c>
      <c r="D1204" s="2">
        <v>0.77300000000000002</v>
      </c>
      <c r="E1204" s="3">
        <v>168201</v>
      </c>
      <c r="F1204" s="2">
        <v>130027.03449999999</v>
      </c>
      <c r="G1204" t="s">
        <v>2644</v>
      </c>
      <c r="H1204" t="s">
        <v>3</v>
      </c>
      <c r="I1204">
        <f>HLOOKUP(G1204,zip_tiers!$A$1:$EON$2,2,FALSE)</f>
        <v>72992</v>
      </c>
      <c r="J1204" t="str">
        <f t="shared" si="18"/>
        <v>Med</v>
      </c>
      <c r="K1204">
        <f>dataset[[#This Row],[soda_sales]]/dataset[[#This Row],[soda_units_sold]]</f>
        <v>0.77304554966974037</v>
      </c>
      <c r="L1204" s="29">
        <f>dataset[[#This Row],[implied_soda_ppu]]-dataset[[#This Row],[soda_ppu]]</f>
        <v>4.554966974035235E-5</v>
      </c>
      <c r="M1204">
        <f>dataset[[#This Row],[soda_sales]]/dataset[[#This Row],[total_sales]]</f>
        <v>5.3657718603517798E-2</v>
      </c>
      <c r="N1204">
        <f>LN(dataset[[#This Row],[soda_units_sold]])</f>
        <v>12.032914971806521</v>
      </c>
      <c r="O1204">
        <f>LN(dataset[[#This Row],[soda_sales]])</f>
        <v>11.775497665509823</v>
      </c>
      <c r="P1204">
        <f>LN(dataset[[#This Row],[soda_ppu]])</f>
        <v>-0.25747623039471507</v>
      </c>
      <c r="Q1204">
        <f>IF(dataset[[#This Row],[state]]="VA",1,0)</f>
        <v>1</v>
      </c>
    </row>
    <row r="1205" spans="1:17" x14ac:dyDescent="0.35">
      <c r="A1205">
        <v>202304</v>
      </c>
      <c r="B1205">
        <v>1</v>
      </c>
      <c r="C1205" s="2">
        <v>2580266.5737000001</v>
      </c>
      <c r="D1205" s="2">
        <v>0.7409</v>
      </c>
      <c r="E1205" s="3">
        <v>209465</v>
      </c>
      <c r="F1205" s="2">
        <v>155196.61079999999</v>
      </c>
      <c r="G1205" t="s">
        <v>2644</v>
      </c>
      <c r="H1205" t="s">
        <v>3</v>
      </c>
      <c r="I1205">
        <f>HLOOKUP(G1205,zip_tiers!$A$1:$EON$2,2,FALSE)</f>
        <v>72992</v>
      </c>
      <c r="J1205" t="str">
        <f t="shared" si="18"/>
        <v>Med</v>
      </c>
      <c r="K1205">
        <f>dataset[[#This Row],[soda_sales]]/dataset[[#This Row],[soda_units_sold]]</f>
        <v>0.74091905950874848</v>
      </c>
      <c r="L1205" s="29">
        <f>dataset[[#This Row],[implied_soda_ppu]]-dataset[[#This Row],[soda_ppu]]</f>
        <v>1.9059508748475729E-5</v>
      </c>
      <c r="M1205">
        <f>dataset[[#This Row],[soda_sales]]/dataset[[#This Row],[total_sales]]</f>
        <v>6.014751048666038E-2</v>
      </c>
      <c r="N1205">
        <f>LN(dataset[[#This Row],[soda_units_sold]])</f>
        <v>12.25231193994837</v>
      </c>
      <c r="O1205">
        <f>LN(dataset[[#This Row],[soda_sales]])</f>
        <v>11.952448048863944</v>
      </c>
      <c r="P1205">
        <f>LN(dataset[[#This Row],[soda_ppu]])</f>
        <v>-0.29988961555952581</v>
      </c>
      <c r="Q1205">
        <f>IF(dataset[[#This Row],[state]]="VA",1,0)</f>
        <v>1</v>
      </c>
    </row>
    <row r="1206" spans="1:17" x14ac:dyDescent="0.35">
      <c r="A1206">
        <v>202305</v>
      </c>
      <c r="B1206">
        <v>1</v>
      </c>
      <c r="C1206" s="2">
        <v>2691863.0351</v>
      </c>
      <c r="D1206" s="2">
        <v>0.7278</v>
      </c>
      <c r="E1206" s="3">
        <v>233849</v>
      </c>
      <c r="F1206" s="2">
        <v>170193.2555</v>
      </c>
      <c r="G1206" t="s">
        <v>2644</v>
      </c>
      <c r="H1206" t="s">
        <v>3</v>
      </c>
      <c r="I1206">
        <f>HLOOKUP(G1206,zip_tiers!$A$1:$EON$2,2,FALSE)</f>
        <v>72992</v>
      </c>
      <c r="J1206" t="str">
        <f t="shared" si="18"/>
        <v>Med</v>
      </c>
      <c r="K1206">
        <f>dataset[[#This Row],[soda_sales]]/dataset[[#This Row],[soda_units_sold]]</f>
        <v>0.72779124777099757</v>
      </c>
      <c r="L1206" s="29">
        <f>dataset[[#This Row],[implied_soda_ppu]]-dataset[[#This Row],[soda_ppu]]</f>
        <v>-8.7522290024288907E-6</v>
      </c>
      <c r="M1206">
        <f>dataset[[#This Row],[soda_sales]]/dataset[[#This Row],[total_sales]]</f>
        <v>6.3225079909638673E-2</v>
      </c>
      <c r="N1206">
        <f>LN(dataset[[#This Row],[soda_units_sold]])</f>
        <v>12.362430886899432</v>
      </c>
      <c r="O1206">
        <f>LN(dataset[[#This Row],[soda_sales]])</f>
        <v>12.044689867426726</v>
      </c>
      <c r="P1206">
        <f>LN(dataset[[#This Row],[soda_ppu]])</f>
        <v>-0.3177289938040776</v>
      </c>
      <c r="Q1206">
        <f>IF(dataset[[#This Row],[state]]="VA",1,0)</f>
        <v>1</v>
      </c>
    </row>
    <row r="1207" spans="1:17" x14ac:dyDescent="0.35">
      <c r="A1207">
        <v>202306</v>
      </c>
      <c r="B1207">
        <v>1</v>
      </c>
      <c r="C1207" s="2">
        <v>2579720.5375999999</v>
      </c>
      <c r="D1207" s="2">
        <v>0.71489999999999998</v>
      </c>
      <c r="E1207" s="3">
        <v>248819</v>
      </c>
      <c r="F1207" s="2">
        <v>177892.23</v>
      </c>
      <c r="G1207" t="s">
        <v>2644</v>
      </c>
      <c r="H1207" t="s">
        <v>3</v>
      </c>
      <c r="I1207">
        <f>HLOOKUP(G1207,zip_tiers!$A$1:$EON$2,2,FALSE)</f>
        <v>72992</v>
      </c>
      <c r="J1207" t="str">
        <f t="shared" si="18"/>
        <v>Med</v>
      </c>
      <c r="K1207">
        <f>dataset[[#This Row],[soda_sales]]/dataset[[#This Row],[soda_units_sold]]</f>
        <v>0.71494632644613154</v>
      </c>
      <c r="L1207" s="29">
        <f>dataset[[#This Row],[implied_soda_ppu]]-dataset[[#This Row],[soda_ppu]]</f>
        <v>4.6326446131561561E-5</v>
      </c>
      <c r="M1207">
        <f>dataset[[#This Row],[soda_sales]]/dataset[[#This Row],[total_sales]]</f>
        <v>6.8957946183387395E-2</v>
      </c>
      <c r="N1207">
        <f>LN(dataset[[#This Row],[soda_units_sold]])</f>
        <v>12.42448100349087</v>
      </c>
      <c r="O1207">
        <f>LN(dataset[[#This Row],[soda_sales]])</f>
        <v>12.088933196477496</v>
      </c>
      <c r="P1207">
        <f>LN(dataset[[#This Row],[soda_ppu]])</f>
        <v>-0.33561260620933098</v>
      </c>
      <c r="Q1207">
        <f>IF(dataset[[#This Row],[state]]="VA",1,0)</f>
        <v>1</v>
      </c>
    </row>
    <row r="1208" spans="1:17" x14ac:dyDescent="0.35">
      <c r="A1208">
        <v>202307</v>
      </c>
      <c r="B1208">
        <v>1</v>
      </c>
      <c r="C1208" s="2">
        <v>2435618.8289000001</v>
      </c>
      <c r="D1208" s="2">
        <v>0.74850000000000005</v>
      </c>
      <c r="E1208" s="3">
        <v>243801</v>
      </c>
      <c r="F1208" s="2">
        <v>182483.3982</v>
      </c>
      <c r="G1208" t="s">
        <v>2644</v>
      </c>
      <c r="H1208" t="s">
        <v>3</v>
      </c>
      <c r="I1208">
        <f>HLOOKUP(G1208,zip_tiers!$A$1:$EON$2,2,FALSE)</f>
        <v>72992</v>
      </c>
      <c r="J1208" t="str">
        <f t="shared" si="18"/>
        <v>Med</v>
      </c>
      <c r="K1208">
        <f>dataset[[#This Row],[soda_sales]]/dataset[[#This Row],[soda_units_sold]]</f>
        <v>0.74849323095475406</v>
      </c>
      <c r="L1208" s="29">
        <f>dataset[[#This Row],[implied_soda_ppu]]-dataset[[#This Row],[soda_ppu]]</f>
        <v>-6.7690452459912009E-6</v>
      </c>
      <c r="M1208">
        <f>dataset[[#This Row],[soda_sales]]/dataset[[#This Row],[total_sales]]</f>
        <v>7.4922806489558583E-2</v>
      </c>
      <c r="N1208">
        <f>LN(dataset[[#This Row],[soda_units_sold]])</f>
        <v>12.40410759774362</v>
      </c>
      <c r="O1208">
        <f>LN(dataset[[#This Row],[soda_sales]])</f>
        <v>12.114414479099651</v>
      </c>
      <c r="P1208">
        <f>LN(dataset[[#This Row],[soda_ppu]])</f>
        <v>-0.28968407512245392</v>
      </c>
      <c r="Q1208">
        <f>IF(dataset[[#This Row],[state]]="VA",1,0)</f>
        <v>1</v>
      </c>
    </row>
    <row r="1209" spans="1:17" x14ac:dyDescent="0.35">
      <c r="A1209">
        <v>202308</v>
      </c>
      <c r="B1209">
        <v>1</v>
      </c>
      <c r="C1209" s="2">
        <v>2285156.1386000002</v>
      </c>
      <c r="D1209" s="2">
        <v>0.75870000000000004</v>
      </c>
      <c r="E1209" s="3">
        <v>209185</v>
      </c>
      <c r="F1209" s="2">
        <v>158707.16800000001</v>
      </c>
      <c r="G1209" t="s">
        <v>2644</v>
      </c>
      <c r="H1209" t="s">
        <v>3</v>
      </c>
      <c r="I1209">
        <f>HLOOKUP(G1209,zip_tiers!$A$1:$EON$2,2,FALSE)</f>
        <v>72992</v>
      </c>
      <c r="J1209" t="str">
        <f t="shared" si="18"/>
        <v>Med</v>
      </c>
      <c r="K1209">
        <f>dataset[[#This Row],[soda_sales]]/dataset[[#This Row],[soda_units_sold]]</f>
        <v>0.75869286994765406</v>
      </c>
      <c r="L1209" s="29">
        <f>dataset[[#This Row],[implied_soda_ppu]]-dataset[[#This Row],[soda_ppu]]</f>
        <v>-7.1300523459827403E-6</v>
      </c>
      <c r="M1209">
        <f>dataset[[#This Row],[soda_sales]]/dataset[[#This Row],[total_sales]]</f>
        <v>6.9451345279728627E-2</v>
      </c>
      <c r="N1209">
        <f>LN(dataset[[#This Row],[soda_units_sold]])</f>
        <v>12.250974306881373</v>
      </c>
      <c r="O1209">
        <f>LN(dataset[[#This Row],[soda_sales]])</f>
        <v>11.97481607247623</v>
      </c>
      <c r="P1209">
        <f>LN(dataset[[#This Row],[soda_ppu]])</f>
        <v>-0.27614883663810785</v>
      </c>
      <c r="Q1209">
        <f>IF(dataset[[#This Row],[state]]="VA",1,0)</f>
        <v>1</v>
      </c>
    </row>
    <row r="1210" spans="1:17" x14ac:dyDescent="0.35">
      <c r="A1210">
        <v>202309</v>
      </c>
      <c r="B1210">
        <v>1</v>
      </c>
      <c r="C1210" s="2">
        <v>2308893.5976</v>
      </c>
      <c r="D1210" s="2">
        <v>0.74760000000000004</v>
      </c>
      <c r="E1210" s="3">
        <v>203123</v>
      </c>
      <c r="F1210" s="2">
        <v>151847.7291</v>
      </c>
      <c r="G1210" t="s">
        <v>2644</v>
      </c>
      <c r="H1210" t="s">
        <v>3</v>
      </c>
      <c r="I1210">
        <f>HLOOKUP(G1210,zip_tiers!$A$1:$EON$2,2,FALSE)</f>
        <v>72992</v>
      </c>
      <c r="J1210" t="str">
        <f t="shared" si="18"/>
        <v>Med</v>
      </c>
      <c r="K1210">
        <f>dataset[[#This Row],[soda_sales]]/dataset[[#This Row],[soda_units_sold]]</f>
        <v>0.7475654115978988</v>
      </c>
      <c r="L1210" s="29">
        <f>dataset[[#This Row],[implied_soda_ppu]]-dataset[[#This Row],[soda_ppu]]</f>
        <v>-3.4588402101243254E-5</v>
      </c>
      <c r="M1210">
        <f>dataset[[#This Row],[soda_sales]]/dataset[[#This Row],[total_sales]]</f>
        <v>6.5766447296592395E-2</v>
      </c>
      <c r="N1210">
        <f>LN(dataset[[#This Row],[soda_units_sold]])</f>
        <v>12.221566985863818</v>
      </c>
      <c r="O1210">
        <f>LN(dataset[[#This Row],[soda_sales]])</f>
        <v>11.930633515472376</v>
      </c>
      <c r="P1210">
        <f>LN(dataset[[#This Row],[soda_ppu]])</f>
        <v>-0.29088720340072921</v>
      </c>
      <c r="Q1210">
        <f>IF(dataset[[#This Row],[state]]="VA",1,0)</f>
        <v>1</v>
      </c>
    </row>
    <row r="1211" spans="1:17" x14ac:dyDescent="0.35">
      <c r="A1211">
        <v>202310</v>
      </c>
      <c r="B1211">
        <v>1</v>
      </c>
      <c r="C1211" s="2">
        <v>2779055.9230999998</v>
      </c>
      <c r="D1211" s="2">
        <v>0.72729999999999995</v>
      </c>
      <c r="E1211" s="3">
        <v>198150</v>
      </c>
      <c r="F1211" s="2">
        <v>144106.60320000001</v>
      </c>
      <c r="G1211" t="s">
        <v>2644</v>
      </c>
      <c r="H1211" t="s">
        <v>3</v>
      </c>
      <c r="I1211">
        <f>HLOOKUP(G1211,zip_tiers!$A$1:$EON$2,2,FALSE)</f>
        <v>72992</v>
      </c>
      <c r="J1211" t="str">
        <f t="shared" si="18"/>
        <v>Med</v>
      </c>
      <c r="K1211">
        <f>dataset[[#This Row],[soda_sales]]/dataset[[#This Row],[soda_units_sold]]</f>
        <v>0.72726017259651787</v>
      </c>
      <c r="L1211" s="29">
        <f>dataset[[#This Row],[implied_soda_ppu]]-dataset[[#This Row],[soda_ppu]]</f>
        <v>-3.9827403482073365E-5</v>
      </c>
      <c r="M1211">
        <f>dataset[[#This Row],[soda_sales]]/dataset[[#This Row],[total_sales]]</f>
        <v>5.1854517212899777E-2</v>
      </c>
      <c r="N1211">
        <f>LN(dataset[[#This Row],[soda_units_sold]])</f>
        <v>12.196779598618582</v>
      </c>
      <c r="O1211">
        <f>LN(dataset[[#This Row],[soda_sales]])</f>
        <v>11.878308604671258</v>
      </c>
      <c r="P1211">
        <f>LN(dataset[[#This Row],[soda_ppu]])</f>
        <v>-0.31841623182164214</v>
      </c>
      <c r="Q1211">
        <f>IF(dataset[[#This Row],[state]]="VA",1,0)</f>
        <v>1</v>
      </c>
    </row>
    <row r="1212" spans="1:17" x14ac:dyDescent="0.35">
      <c r="A1212">
        <v>202311</v>
      </c>
      <c r="B1212">
        <v>1</v>
      </c>
      <c r="C1212" s="2">
        <v>3217423.7880000002</v>
      </c>
      <c r="D1212" s="2">
        <v>0.76090000000000002</v>
      </c>
      <c r="E1212" s="3">
        <v>182964</v>
      </c>
      <c r="F1212" s="2">
        <v>139211.79399999999</v>
      </c>
      <c r="G1212" t="s">
        <v>2644</v>
      </c>
      <c r="H1212" t="s">
        <v>3</v>
      </c>
      <c r="I1212">
        <f>HLOOKUP(G1212,zip_tiers!$A$1:$EON$2,2,FALSE)</f>
        <v>72992</v>
      </c>
      <c r="J1212" t="str">
        <f t="shared" si="18"/>
        <v>Med</v>
      </c>
      <c r="K1212">
        <f>dataset[[#This Row],[soda_sales]]/dataset[[#This Row],[soda_units_sold]]</f>
        <v>0.76086986511007626</v>
      </c>
      <c r="L1212" s="29">
        <f>dataset[[#This Row],[implied_soda_ppu]]-dataset[[#This Row],[soda_ppu]]</f>
        <v>-3.0134889923760788E-5</v>
      </c>
      <c r="M1212">
        <f>dataset[[#This Row],[soda_sales]]/dataset[[#This Row],[total_sales]]</f>
        <v>4.3268093721199274E-2</v>
      </c>
      <c r="N1212">
        <f>LN(dataset[[#This Row],[soda_units_sold]])</f>
        <v>12.117044691159908</v>
      </c>
      <c r="O1212">
        <f>LN(dataset[[#This Row],[soda_sales]])</f>
        <v>11.84375175030482</v>
      </c>
      <c r="P1212">
        <f>LN(dataset[[#This Row],[soda_ppu]])</f>
        <v>-0.27325333579965994</v>
      </c>
      <c r="Q1212">
        <f>IF(dataset[[#This Row],[state]]="VA",1,0)</f>
        <v>1</v>
      </c>
    </row>
    <row r="1213" spans="1:17" x14ac:dyDescent="0.35">
      <c r="A1213">
        <v>202312</v>
      </c>
      <c r="B1213">
        <v>1</v>
      </c>
      <c r="C1213" s="2">
        <v>3415944.3224999998</v>
      </c>
      <c r="D1213" s="2">
        <v>0.75009999999999999</v>
      </c>
      <c r="E1213" s="3">
        <v>185427</v>
      </c>
      <c r="F1213" s="2">
        <v>139085.0675</v>
      </c>
      <c r="G1213" t="s">
        <v>2644</v>
      </c>
      <c r="H1213" t="s">
        <v>3</v>
      </c>
      <c r="I1213">
        <f>HLOOKUP(G1213,zip_tiers!$A$1:$EON$2,2,FALSE)</f>
        <v>72992</v>
      </c>
      <c r="J1213" t="str">
        <f t="shared" si="18"/>
        <v>Med</v>
      </c>
      <c r="K1213">
        <f>dataset[[#This Row],[soda_sales]]/dataset[[#This Row],[soda_units_sold]]</f>
        <v>0.75007991015332187</v>
      </c>
      <c r="L1213" s="29">
        <f>dataset[[#This Row],[implied_soda_ppu]]-dataset[[#This Row],[soda_ppu]]</f>
        <v>-2.0089846678117418E-5</v>
      </c>
      <c r="M1213">
        <f>dataset[[#This Row],[soda_sales]]/dataset[[#This Row],[total_sales]]</f>
        <v>4.0716432812994134E-2</v>
      </c>
      <c r="N1213">
        <f>LN(dataset[[#This Row],[soda_units_sold]])</f>
        <v>12.130416552578678</v>
      </c>
      <c r="O1213">
        <f>LN(dataset[[#This Row],[soda_sales]])</f>
        <v>11.842841021322279</v>
      </c>
      <c r="P1213">
        <f>LN(dataset[[#This Row],[soda_ppu]])</f>
        <v>-0.28754874800654645</v>
      </c>
      <c r="Q1213">
        <f>IF(dataset[[#This Row],[state]]="VA",1,0)</f>
        <v>1</v>
      </c>
    </row>
    <row r="1214" spans="1:17" x14ac:dyDescent="0.35">
      <c r="A1214">
        <v>202401</v>
      </c>
      <c r="B1214">
        <v>1</v>
      </c>
      <c r="C1214" s="2">
        <v>1948058.6140999999</v>
      </c>
      <c r="D1214" s="2">
        <v>0.75839999999999996</v>
      </c>
      <c r="E1214" s="3">
        <v>133641</v>
      </c>
      <c r="F1214" s="2">
        <v>101357.5819</v>
      </c>
      <c r="G1214" t="s">
        <v>2644</v>
      </c>
      <c r="H1214" t="s">
        <v>3</v>
      </c>
      <c r="I1214">
        <f>HLOOKUP(G1214,zip_tiers!$A$1:$EON$2,2,FALSE)</f>
        <v>72992</v>
      </c>
      <c r="J1214" t="str">
        <f t="shared" si="18"/>
        <v>Med</v>
      </c>
      <c r="K1214">
        <f>dataset[[#This Row],[soda_sales]]/dataset[[#This Row],[soda_units_sold]]</f>
        <v>0.75843178291093305</v>
      </c>
      <c r="L1214" s="29">
        <f>dataset[[#This Row],[implied_soda_ppu]]-dataset[[#This Row],[soda_ppu]]</f>
        <v>3.1782910933086939E-5</v>
      </c>
      <c r="M1214">
        <f>dataset[[#This Row],[soda_sales]]/dataset[[#This Row],[total_sales]]</f>
        <v>5.2030047333471559E-2</v>
      </c>
      <c r="N1214">
        <f>LN(dataset[[#This Row],[soda_units_sold]])</f>
        <v>11.80291237923228</v>
      </c>
      <c r="O1214">
        <f>LN(dataset[[#This Row],[soda_sales]])</f>
        <v>11.52640995815954</v>
      </c>
      <c r="P1214">
        <f>LN(dataset[[#This Row],[soda_ppu]])</f>
        <v>-0.27654432804132506</v>
      </c>
      <c r="Q1214">
        <f>IF(dataset[[#This Row],[state]]="VA",1,0)</f>
        <v>1</v>
      </c>
    </row>
    <row r="1215" spans="1:17" x14ac:dyDescent="0.35">
      <c r="A1215">
        <v>202402</v>
      </c>
      <c r="B1215">
        <v>1</v>
      </c>
      <c r="C1215" s="2">
        <v>2215864.6658999999</v>
      </c>
      <c r="D1215" s="2">
        <v>0.77410000000000001</v>
      </c>
      <c r="E1215" s="3">
        <v>146119</v>
      </c>
      <c r="F1215" s="2">
        <v>113107.2605</v>
      </c>
      <c r="G1215" t="s">
        <v>2644</v>
      </c>
      <c r="H1215" t="s">
        <v>3</v>
      </c>
      <c r="I1215">
        <f>HLOOKUP(G1215,zip_tiers!$A$1:$EON$2,2,FALSE)</f>
        <v>72992</v>
      </c>
      <c r="J1215" t="str">
        <f t="shared" si="18"/>
        <v>Med</v>
      </c>
      <c r="K1215">
        <f>dataset[[#This Row],[soda_sales]]/dataset[[#This Row],[soda_units_sold]]</f>
        <v>0.77407633846385482</v>
      </c>
      <c r="L1215" s="29">
        <f>dataset[[#This Row],[implied_soda_ppu]]-dataset[[#This Row],[soda_ppu]]</f>
        <v>-2.3661536145191953E-5</v>
      </c>
      <c r="M1215">
        <f>dataset[[#This Row],[soda_sales]]/dataset[[#This Row],[total_sales]]</f>
        <v>5.1044299880137374E-2</v>
      </c>
      <c r="N1215">
        <f>LN(dataset[[#This Row],[soda_units_sold]])</f>
        <v>11.892176637195682</v>
      </c>
      <c r="O1215">
        <f>LN(dataset[[#This Row],[soda_sales]])</f>
        <v>11.636091855446073</v>
      </c>
      <c r="P1215">
        <f>LN(dataset[[#This Row],[soda_ppu]])</f>
        <v>-0.25605421477146928</v>
      </c>
      <c r="Q1215">
        <f>IF(dataset[[#This Row],[state]]="VA",1,0)</f>
        <v>1</v>
      </c>
    </row>
    <row r="1216" spans="1:17" x14ac:dyDescent="0.35">
      <c r="A1216">
        <v>202403</v>
      </c>
      <c r="B1216">
        <v>1</v>
      </c>
      <c r="C1216" s="2">
        <v>2456276.2631000001</v>
      </c>
      <c r="D1216" s="2">
        <v>0.77300000000000002</v>
      </c>
      <c r="E1216" s="3">
        <v>170294</v>
      </c>
      <c r="F1216" s="2">
        <v>131631.25440000001</v>
      </c>
      <c r="G1216" t="s">
        <v>2644</v>
      </c>
      <c r="H1216" t="s">
        <v>3</v>
      </c>
      <c r="I1216">
        <f>HLOOKUP(G1216,zip_tiers!$A$1:$EON$2,2,FALSE)</f>
        <v>72992</v>
      </c>
      <c r="J1216" t="str">
        <f t="shared" si="18"/>
        <v>Med</v>
      </c>
      <c r="K1216">
        <f>dataset[[#This Row],[soda_sales]]/dataset[[#This Row],[soda_units_sold]]</f>
        <v>0.77296472218633661</v>
      </c>
      <c r="L1216" s="29">
        <f>dataset[[#This Row],[implied_soda_ppu]]-dataset[[#This Row],[soda_ppu]]</f>
        <v>-3.5277813663414648E-5</v>
      </c>
      <c r="M1216">
        <f>dataset[[#This Row],[soda_sales]]/dataset[[#This Row],[total_sales]]</f>
        <v>5.3589759579352747E-2</v>
      </c>
      <c r="N1216">
        <f>LN(dataset[[#This Row],[soda_units_sold]])</f>
        <v>12.045281634086491</v>
      </c>
      <c r="O1216">
        <f>LN(dataset[[#This Row],[soda_sales]])</f>
        <v>11.787759765116506</v>
      </c>
      <c r="P1216">
        <f>LN(dataset[[#This Row],[soda_ppu]])</f>
        <v>-0.25747623039471507</v>
      </c>
      <c r="Q1216">
        <f>IF(dataset[[#This Row],[state]]="VA",1,0)</f>
        <v>1</v>
      </c>
    </row>
    <row r="1217" spans="1:17" x14ac:dyDescent="0.35">
      <c r="A1217">
        <v>202404</v>
      </c>
      <c r="B1217">
        <v>1</v>
      </c>
      <c r="C1217" s="2">
        <v>2601716.9635999999</v>
      </c>
      <c r="D1217" s="2">
        <v>0.75939999999999996</v>
      </c>
      <c r="E1217" s="3">
        <v>209176</v>
      </c>
      <c r="F1217" s="2">
        <v>158842.4301</v>
      </c>
      <c r="G1217" t="s">
        <v>2644</v>
      </c>
      <c r="H1217" t="s">
        <v>3</v>
      </c>
      <c r="I1217">
        <f>HLOOKUP(G1217,zip_tiers!$A$1:$EON$2,2,FALSE)</f>
        <v>72992</v>
      </c>
      <c r="J1217" t="str">
        <f t="shared" si="18"/>
        <v>Med</v>
      </c>
      <c r="K1217">
        <f>dataset[[#This Row],[soda_sales]]/dataset[[#This Row],[soda_units_sold]]</f>
        <v>0.75937215598347807</v>
      </c>
      <c r="L1217" s="29">
        <f>dataset[[#This Row],[implied_soda_ppu]]-dataset[[#This Row],[soda_ppu]]</f>
        <v>-2.7844016521894055E-5</v>
      </c>
      <c r="M1217">
        <f>dataset[[#This Row],[soda_sales]]/dataset[[#This Row],[total_sales]]</f>
        <v>6.1052924788640141E-2</v>
      </c>
      <c r="N1217">
        <f>LN(dataset[[#This Row],[soda_units_sold]])</f>
        <v>12.250931281838401</v>
      </c>
      <c r="O1217">
        <f>LN(dataset[[#This Row],[soda_sales]])</f>
        <v>11.975667984171221</v>
      </c>
      <c r="P1217">
        <f>LN(dataset[[#This Row],[soda_ppu]])</f>
        <v>-0.27522663118443513</v>
      </c>
      <c r="Q1217">
        <f>IF(dataset[[#This Row],[state]]="VA",1,0)</f>
        <v>1</v>
      </c>
    </row>
    <row r="1218" spans="1:17" x14ac:dyDescent="0.35">
      <c r="A1218">
        <v>202405</v>
      </c>
      <c r="B1218">
        <v>1</v>
      </c>
      <c r="C1218" s="2">
        <v>2729071.7681</v>
      </c>
      <c r="D1218" s="2">
        <v>0.75639999999999996</v>
      </c>
      <c r="E1218" s="3">
        <v>224565</v>
      </c>
      <c r="F1218" s="2">
        <v>169870.4509</v>
      </c>
      <c r="G1218" t="s">
        <v>2644</v>
      </c>
      <c r="H1218" t="s">
        <v>3</v>
      </c>
      <c r="I1218">
        <f>HLOOKUP(G1218,zip_tiers!$A$1:$EON$2,2,FALSE)</f>
        <v>72992</v>
      </c>
      <c r="J1218" t="str">
        <f t="shared" ref="J1218:J1281" si="19">IF(I1218="","No Data",IF(I1218&gt;=100000,"High",IF(I1218&gt;=40000,"Med","Low")))</f>
        <v>Med</v>
      </c>
      <c r="K1218">
        <f>dataset[[#This Row],[soda_sales]]/dataset[[#This Row],[soda_units_sold]]</f>
        <v>0.75644223676886424</v>
      </c>
      <c r="L1218" s="29">
        <f>dataset[[#This Row],[implied_soda_ppu]]-dataset[[#This Row],[soda_ppu]]</f>
        <v>4.2236768864278851E-5</v>
      </c>
      <c r="M1218">
        <f>dataset[[#This Row],[soda_sales]]/dataset[[#This Row],[total_sales]]</f>
        <v>6.22447723382024E-2</v>
      </c>
      <c r="N1218">
        <f>LN(dataset[[#This Row],[soda_units_sold]])</f>
        <v>12.321920476552046</v>
      </c>
      <c r="O1218">
        <f>LN(dataset[[#This Row],[soda_sales]])</f>
        <v>12.042791371992598</v>
      </c>
      <c r="P1218">
        <f>LN(dataset[[#This Row],[soda_ppu]])</f>
        <v>-0.27918494219783468</v>
      </c>
      <c r="Q1218">
        <f>IF(dataset[[#This Row],[state]]="VA",1,0)</f>
        <v>1</v>
      </c>
    </row>
    <row r="1219" spans="1:17" x14ac:dyDescent="0.35">
      <c r="A1219">
        <v>202406</v>
      </c>
      <c r="B1219">
        <v>1</v>
      </c>
      <c r="C1219" s="2">
        <v>2599715.65</v>
      </c>
      <c r="D1219" s="2">
        <v>0.75119999999999998</v>
      </c>
      <c r="E1219" s="3">
        <v>241100</v>
      </c>
      <c r="F1219" s="2">
        <v>181106.2445</v>
      </c>
      <c r="G1219" t="s">
        <v>2644</v>
      </c>
      <c r="H1219" t="s">
        <v>3</v>
      </c>
      <c r="I1219">
        <f>HLOOKUP(G1219,zip_tiers!$A$1:$EON$2,2,FALSE)</f>
        <v>72992</v>
      </c>
      <c r="J1219" t="str">
        <f t="shared" si="19"/>
        <v>Med</v>
      </c>
      <c r="K1219">
        <f>dataset[[#This Row],[soda_sales]]/dataset[[#This Row],[soda_units_sold]]</f>
        <v>0.7511665055993364</v>
      </c>
      <c r="L1219" s="29">
        <f>dataset[[#This Row],[implied_soda_ppu]]-dataset[[#This Row],[soda_ppu]]</f>
        <v>-3.349440066358067E-5</v>
      </c>
      <c r="M1219">
        <f>dataset[[#This Row],[soda_sales]]/dataset[[#This Row],[total_sales]]</f>
        <v>6.9663866700190855E-2</v>
      </c>
      <c r="N1219">
        <f>LN(dataset[[#This Row],[soda_units_sold]])</f>
        <v>12.392967064169262</v>
      </c>
      <c r="O1219">
        <f>LN(dataset[[#This Row],[soda_sales]])</f>
        <v>12.106839124226802</v>
      </c>
      <c r="P1219">
        <f>LN(dataset[[#This Row],[soda_ppu]])</f>
        <v>-0.28608335108808391</v>
      </c>
      <c r="Q1219">
        <f>IF(dataset[[#This Row],[state]]="VA",1,0)</f>
        <v>1</v>
      </c>
    </row>
    <row r="1220" spans="1:17" x14ac:dyDescent="0.35">
      <c r="A1220">
        <v>202407</v>
      </c>
      <c r="B1220">
        <v>1</v>
      </c>
      <c r="C1220" s="2">
        <v>2521593.7821999998</v>
      </c>
      <c r="D1220" s="2">
        <v>0.75939999999999996</v>
      </c>
      <c r="E1220" s="3">
        <v>250702</v>
      </c>
      <c r="F1220" s="2">
        <v>190377.0895</v>
      </c>
      <c r="G1220" t="s">
        <v>2644</v>
      </c>
      <c r="H1220" t="s">
        <v>3</v>
      </c>
      <c r="I1220">
        <f>HLOOKUP(G1220,zip_tiers!$A$1:$EON$2,2,FALSE)</f>
        <v>72992</v>
      </c>
      <c r="J1220" t="str">
        <f t="shared" si="19"/>
        <v>Med</v>
      </c>
      <c r="K1220">
        <f>dataset[[#This Row],[soda_sales]]/dataset[[#This Row],[soda_units_sold]]</f>
        <v>0.75937603010745824</v>
      </c>
      <c r="L1220" s="29">
        <f>dataset[[#This Row],[implied_soda_ppu]]-dataset[[#This Row],[soda_ppu]]</f>
        <v>-2.3969892541719773E-5</v>
      </c>
      <c r="M1220">
        <f>dataset[[#This Row],[soda_sales]]/dataset[[#This Row],[total_sales]]</f>
        <v>7.5498714679532106E-2</v>
      </c>
      <c r="N1220">
        <f>LN(dataset[[#This Row],[soda_units_sold]])</f>
        <v>12.432020261777108</v>
      </c>
      <c r="O1220">
        <f>LN(dataset[[#This Row],[soda_sales]])</f>
        <v>12.156762065843074</v>
      </c>
      <c r="P1220">
        <f>LN(dataset[[#This Row],[soda_ppu]])</f>
        <v>-0.27522663118443513</v>
      </c>
      <c r="Q1220">
        <f>IF(dataset[[#This Row],[state]]="VA",1,0)</f>
        <v>1</v>
      </c>
    </row>
    <row r="1221" spans="1:17" x14ac:dyDescent="0.35">
      <c r="A1221">
        <v>202408</v>
      </c>
      <c r="B1221">
        <v>1</v>
      </c>
      <c r="C1221" s="2">
        <v>2369145.7651</v>
      </c>
      <c r="D1221" s="2">
        <v>0.79820000000000002</v>
      </c>
      <c r="E1221" s="3">
        <v>202811</v>
      </c>
      <c r="F1221" s="2">
        <v>161881.234</v>
      </c>
      <c r="G1221" t="s">
        <v>2644</v>
      </c>
      <c r="H1221" t="s">
        <v>3</v>
      </c>
      <c r="I1221">
        <f>HLOOKUP(G1221,zip_tiers!$A$1:$EON$2,2,FALSE)</f>
        <v>72992</v>
      </c>
      <c r="J1221" t="str">
        <f t="shared" si="19"/>
        <v>Med</v>
      </c>
      <c r="K1221">
        <f>dataset[[#This Row],[soda_sales]]/dataset[[#This Row],[soda_units_sold]]</f>
        <v>0.79818764268210307</v>
      </c>
      <c r="L1221" s="29">
        <f>dataset[[#This Row],[implied_soda_ppu]]-dataset[[#This Row],[soda_ppu]]</f>
        <v>-1.2357317896949382E-5</v>
      </c>
      <c r="M1221">
        <f>dataset[[#This Row],[soda_sales]]/dataset[[#This Row],[total_sales]]</f>
        <v>6.8328946401137583E-2</v>
      </c>
      <c r="N1221">
        <f>LN(dataset[[#This Row],[soda_units_sold]])</f>
        <v>12.220029789859359</v>
      </c>
      <c r="O1221">
        <f>LN(dataset[[#This Row],[soda_sales]])</f>
        <v>11.994618221891313</v>
      </c>
      <c r="P1221">
        <f>LN(dataset[[#This Row],[soda_ppu]])</f>
        <v>-0.22539608636750352</v>
      </c>
      <c r="Q1221">
        <f>IF(dataset[[#This Row],[state]]="VA",1,0)</f>
        <v>1</v>
      </c>
    </row>
    <row r="1222" spans="1:17" x14ac:dyDescent="0.35">
      <c r="A1222">
        <v>202409</v>
      </c>
      <c r="B1222">
        <v>1</v>
      </c>
      <c r="C1222" s="2">
        <v>2343906.2570000002</v>
      </c>
      <c r="D1222" s="2">
        <v>0.75870000000000004</v>
      </c>
      <c r="E1222" s="3">
        <v>206579</v>
      </c>
      <c r="F1222" s="2">
        <v>156723.4381</v>
      </c>
      <c r="G1222" t="s">
        <v>2644</v>
      </c>
      <c r="H1222" t="s">
        <v>3</v>
      </c>
      <c r="I1222">
        <f>HLOOKUP(G1222,zip_tiers!$A$1:$EON$2,2,FALSE)</f>
        <v>72992</v>
      </c>
      <c r="J1222" t="str">
        <f t="shared" si="19"/>
        <v>Med</v>
      </c>
      <c r="K1222">
        <f>dataset[[#This Row],[soda_sales]]/dataset[[#This Row],[soda_units_sold]]</f>
        <v>0.75866103572967247</v>
      </c>
      <c r="L1222" s="29">
        <f>dataset[[#This Row],[implied_soda_ppu]]-dataset[[#This Row],[soda_ppu]]</f>
        <v>-3.8964270327568329E-5</v>
      </c>
      <c r="M1222">
        <f>dataset[[#This Row],[soda_sales]]/dataset[[#This Row],[total_sales]]</f>
        <v>6.686420910902495E-2</v>
      </c>
      <c r="N1222">
        <f>LN(dataset[[#This Row],[soda_units_sold]])</f>
        <v>12.238438184809244</v>
      </c>
      <c r="O1222">
        <f>LN(dataset[[#This Row],[soda_sales]])</f>
        <v>11.962237990228736</v>
      </c>
      <c r="P1222">
        <f>LN(dataset[[#This Row],[soda_ppu]])</f>
        <v>-0.27614883663810785</v>
      </c>
      <c r="Q1222">
        <f>IF(dataset[[#This Row],[state]]="VA",1,0)</f>
        <v>1</v>
      </c>
    </row>
    <row r="1223" spans="1:17" x14ac:dyDescent="0.35">
      <c r="A1223">
        <v>202410</v>
      </c>
      <c r="B1223">
        <v>1</v>
      </c>
      <c r="C1223" s="2">
        <v>2892899.3250000002</v>
      </c>
      <c r="D1223" s="2">
        <v>0.77380000000000004</v>
      </c>
      <c r="E1223" s="3">
        <v>194077</v>
      </c>
      <c r="F1223" s="2">
        <v>150168.32089999999</v>
      </c>
      <c r="G1223" t="s">
        <v>2644</v>
      </c>
      <c r="H1223" t="s">
        <v>3</v>
      </c>
      <c r="I1223">
        <f>HLOOKUP(G1223,zip_tiers!$A$1:$EON$2,2,FALSE)</f>
        <v>72992</v>
      </c>
      <c r="J1223" t="str">
        <f t="shared" si="19"/>
        <v>Med</v>
      </c>
      <c r="K1223">
        <f>dataset[[#This Row],[soda_sales]]/dataset[[#This Row],[soda_units_sold]]</f>
        <v>0.77375640029472836</v>
      </c>
      <c r="L1223" s="29">
        <f>dataset[[#This Row],[implied_soda_ppu]]-dataset[[#This Row],[soda_ppu]]</f>
        <v>-4.3599705271679667E-5</v>
      </c>
      <c r="M1223">
        <f>dataset[[#This Row],[soda_sales]]/dataset[[#This Row],[total_sales]]</f>
        <v>5.190927994011682E-2</v>
      </c>
      <c r="N1223">
        <f>LN(dataset[[#This Row],[soda_units_sold]])</f>
        <v>12.176010266515126</v>
      </c>
      <c r="O1223">
        <f>LN(dataset[[#This Row],[soda_sales]])</f>
        <v>11.919512083283987</v>
      </c>
      <c r="P1223">
        <f>LN(dataset[[#This Row],[soda_ppu]])</f>
        <v>-0.2564418367157244</v>
      </c>
      <c r="Q1223">
        <f>IF(dataset[[#This Row],[state]]="VA",1,0)</f>
        <v>1</v>
      </c>
    </row>
    <row r="1224" spans="1:17" x14ac:dyDescent="0.35">
      <c r="A1224">
        <v>202411</v>
      </c>
      <c r="B1224">
        <v>1</v>
      </c>
      <c r="C1224" s="2">
        <v>3241456.3679</v>
      </c>
      <c r="D1224" s="2">
        <v>0.77859999999999996</v>
      </c>
      <c r="E1224" s="3">
        <v>179870</v>
      </c>
      <c r="F1224" s="2">
        <v>140048.67189999999</v>
      </c>
      <c r="G1224" t="s">
        <v>2644</v>
      </c>
      <c r="H1224" t="s">
        <v>3</v>
      </c>
      <c r="I1224">
        <f>HLOOKUP(G1224,zip_tiers!$A$1:$EON$2,2,FALSE)</f>
        <v>72992</v>
      </c>
      <c r="J1224" t="str">
        <f t="shared" si="19"/>
        <v>Med</v>
      </c>
      <c r="K1224">
        <f>dataset[[#This Row],[soda_sales]]/dataset[[#This Row],[soda_units_sold]]</f>
        <v>0.77861050703285695</v>
      </c>
      <c r="L1224" s="29">
        <f>dataset[[#This Row],[implied_soda_ppu]]-dataset[[#This Row],[soda_ppu]]</f>
        <v>1.0507032856987841E-5</v>
      </c>
      <c r="M1224">
        <f>dataset[[#This Row],[soda_sales]]/dataset[[#This Row],[total_sales]]</f>
        <v>4.3205478033545609E-2</v>
      </c>
      <c r="N1224">
        <f>LN(dataset[[#This Row],[soda_units_sold]])</f>
        <v>12.099989646722017</v>
      </c>
      <c r="O1224">
        <f>LN(dataset[[#This Row],[soda_sales]])</f>
        <v>11.849745297601519</v>
      </c>
      <c r="P1224">
        <f>LN(dataset[[#This Row],[soda_ppu]])</f>
        <v>-0.25025784380578175</v>
      </c>
      <c r="Q1224">
        <f>IF(dataset[[#This Row],[state]]="VA",1,0)</f>
        <v>1</v>
      </c>
    </row>
    <row r="1225" spans="1:17" x14ac:dyDescent="0.35">
      <c r="A1225">
        <v>202412</v>
      </c>
      <c r="B1225">
        <v>1</v>
      </c>
      <c r="C1225" s="2">
        <v>3465029.0529</v>
      </c>
      <c r="D1225" s="2">
        <v>0.77610000000000001</v>
      </c>
      <c r="E1225" s="3">
        <v>177938</v>
      </c>
      <c r="F1225" s="2">
        <v>138093.0147</v>
      </c>
      <c r="G1225" t="s">
        <v>2644</v>
      </c>
      <c r="H1225" t="s">
        <v>3</v>
      </c>
      <c r="I1225">
        <f>HLOOKUP(G1225,zip_tiers!$A$1:$EON$2,2,FALSE)</f>
        <v>72992</v>
      </c>
      <c r="J1225" t="str">
        <f t="shared" si="19"/>
        <v>Med</v>
      </c>
      <c r="K1225">
        <f>dataset[[#This Row],[soda_sales]]/dataset[[#This Row],[soda_units_sold]]</f>
        <v>0.77607377120120491</v>
      </c>
      <c r="L1225" s="29">
        <f>dataset[[#This Row],[implied_soda_ppu]]-dataset[[#This Row],[soda_ppu]]</f>
        <v>-2.6228798795102648E-5</v>
      </c>
      <c r="M1225">
        <f>dataset[[#This Row],[soda_sales]]/dataset[[#This Row],[total_sales]]</f>
        <v>3.9853349738705739E-2</v>
      </c>
      <c r="N1225">
        <f>LN(dataset[[#This Row],[soda_units_sold]])</f>
        <v>12.089190453991858</v>
      </c>
      <c r="O1225">
        <f>LN(dataset[[#This Row],[soda_sales]])</f>
        <v>11.835682756655389</v>
      </c>
      <c r="P1225">
        <f>LN(dataset[[#This Row],[soda_ppu]])</f>
        <v>-0.25347390112204388</v>
      </c>
      <c r="Q1225">
        <f>IF(dataset[[#This Row],[state]]="VA",1,0)</f>
        <v>1</v>
      </c>
    </row>
    <row r="1226" spans="1:17" x14ac:dyDescent="0.35">
      <c r="A1226">
        <v>202201</v>
      </c>
      <c r="B1226">
        <v>6</v>
      </c>
      <c r="C1226" s="2">
        <v>2518868.4966000002</v>
      </c>
      <c r="D1226" s="2">
        <v>0.72450000000000003</v>
      </c>
      <c r="E1226" s="3">
        <v>122288</v>
      </c>
      <c r="F1226" s="2">
        <v>88596.745200000005</v>
      </c>
      <c r="G1226" t="s">
        <v>2646</v>
      </c>
      <c r="H1226" t="s">
        <v>3</v>
      </c>
      <c r="I1226">
        <f>HLOOKUP(G1226,zip_tiers!$A$1:$EON$2,2,FALSE)</f>
        <v>119878</v>
      </c>
      <c r="J1226" t="str">
        <f t="shared" si="19"/>
        <v>High</v>
      </c>
      <c r="K1226">
        <f>dataset[[#This Row],[soda_sales]]/dataset[[#This Row],[soda_units_sold]]</f>
        <v>0.7244925520083737</v>
      </c>
      <c r="L1226" s="29">
        <f>dataset[[#This Row],[implied_soda_ppu]]-dataset[[#This Row],[soda_ppu]]</f>
        <v>-7.4479916263303636E-6</v>
      </c>
      <c r="M1226">
        <f>dataset[[#This Row],[soda_sales]]/dataset[[#This Row],[total_sales]]</f>
        <v>3.517323167906105E-2</v>
      </c>
      <c r="N1226">
        <f>LN(dataset[[#This Row],[soda_units_sold]])</f>
        <v>11.714134197482664</v>
      </c>
      <c r="O1226">
        <f>LN(dataset[[#This Row],[soda_sales]])</f>
        <v>11.391850400026746</v>
      </c>
      <c r="P1226">
        <f>LN(dataset[[#This Row],[soda_ppu]])</f>
        <v>-0.32227351722139996</v>
      </c>
      <c r="Q1226">
        <f>IF(dataset[[#This Row],[state]]="VA",1,0)</f>
        <v>1</v>
      </c>
    </row>
    <row r="1227" spans="1:17" x14ac:dyDescent="0.35">
      <c r="A1227">
        <v>202202</v>
      </c>
      <c r="B1227">
        <v>6</v>
      </c>
      <c r="C1227" s="2">
        <v>2828153.7705000001</v>
      </c>
      <c r="D1227" s="2">
        <v>0.71479999999999999</v>
      </c>
      <c r="E1227" s="3">
        <v>135320</v>
      </c>
      <c r="F1227" s="2">
        <v>96726.4571</v>
      </c>
      <c r="G1227" t="s">
        <v>2646</v>
      </c>
      <c r="H1227" t="s">
        <v>3</v>
      </c>
      <c r="I1227">
        <f>HLOOKUP(G1227,zip_tiers!$A$1:$EON$2,2,FALSE)</f>
        <v>119878</v>
      </c>
      <c r="J1227" t="str">
        <f t="shared" si="19"/>
        <v>High</v>
      </c>
      <c r="K1227">
        <f>dataset[[#This Row],[soda_sales]]/dataset[[#This Row],[soda_units_sold]]</f>
        <v>0.71479793895950339</v>
      </c>
      <c r="L1227" s="29">
        <f>dataset[[#This Row],[implied_soda_ppu]]-dataset[[#This Row],[soda_ppu]]</f>
        <v>-2.0610404966037166E-6</v>
      </c>
      <c r="M1227">
        <f>dataset[[#This Row],[soda_sales]]/dataset[[#This Row],[total_sales]]</f>
        <v>3.42012722607015E-2</v>
      </c>
      <c r="N1227">
        <f>LN(dataset[[#This Row],[soda_units_sold]])</f>
        <v>11.815397622894645</v>
      </c>
      <c r="O1227">
        <f>LN(dataset[[#This Row],[soda_sales]])</f>
        <v>11.479642243812963</v>
      </c>
      <c r="P1227">
        <f>LN(dataset[[#This Row],[soda_ppu]])</f>
        <v>-0.33575249569686411</v>
      </c>
      <c r="Q1227">
        <f>IF(dataset[[#This Row],[state]]="VA",1,0)</f>
        <v>1</v>
      </c>
    </row>
    <row r="1228" spans="1:17" x14ac:dyDescent="0.35">
      <c r="A1228">
        <v>202203</v>
      </c>
      <c r="B1228">
        <v>6</v>
      </c>
      <c r="C1228" s="2">
        <v>3156156.6044000001</v>
      </c>
      <c r="D1228" s="2">
        <v>0.72109999999999996</v>
      </c>
      <c r="E1228" s="3">
        <v>159115</v>
      </c>
      <c r="F1228" s="2">
        <v>114735.5114</v>
      </c>
      <c r="G1228" t="s">
        <v>2646</v>
      </c>
      <c r="H1228" t="s">
        <v>3</v>
      </c>
      <c r="I1228">
        <f>HLOOKUP(G1228,zip_tiers!$A$1:$EON$2,2,FALSE)</f>
        <v>119878</v>
      </c>
      <c r="J1228" t="str">
        <f t="shared" si="19"/>
        <v>High</v>
      </c>
      <c r="K1228">
        <f>dataset[[#This Row],[soda_sales]]/dataset[[#This Row],[soda_units_sold]]</f>
        <v>0.7210854501461208</v>
      </c>
      <c r="L1228" s="29">
        <f>dataset[[#This Row],[implied_soda_ppu]]-dataset[[#This Row],[soda_ppu]]</f>
        <v>-1.4549853879164409E-5</v>
      </c>
      <c r="M1228">
        <f>dataset[[#This Row],[soda_sales]]/dataset[[#This Row],[total_sales]]</f>
        <v>3.6352920903876297E-2</v>
      </c>
      <c r="N1228">
        <f>LN(dataset[[#This Row],[soda_units_sold]])</f>
        <v>11.977382490208607</v>
      </c>
      <c r="O1228">
        <f>LN(dataset[[#This Row],[soda_sales]])</f>
        <v>11.650384857641667</v>
      </c>
      <c r="P1228">
        <f>LN(dataset[[#This Row],[soda_ppu]])</f>
        <v>-0.32697745505942327</v>
      </c>
      <c r="Q1228">
        <f>IF(dataset[[#This Row],[state]]="VA",1,0)</f>
        <v>1</v>
      </c>
    </row>
    <row r="1229" spans="1:17" x14ac:dyDescent="0.35">
      <c r="A1229">
        <v>202204</v>
      </c>
      <c r="B1229">
        <v>6</v>
      </c>
      <c r="C1229" s="2">
        <v>3338951.2272999999</v>
      </c>
      <c r="D1229" s="2">
        <v>0.72189999999999999</v>
      </c>
      <c r="E1229" s="3">
        <v>186966</v>
      </c>
      <c r="F1229" s="2">
        <v>134978.1361</v>
      </c>
      <c r="G1229" t="s">
        <v>2646</v>
      </c>
      <c r="H1229" t="s">
        <v>3</v>
      </c>
      <c r="I1229">
        <f>HLOOKUP(G1229,zip_tiers!$A$1:$EON$2,2,FALSE)</f>
        <v>119878</v>
      </c>
      <c r="J1229" t="str">
        <f t="shared" si="19"/>
        <v>High</v>
      </c>
      <c r="K1229">
        <f>dataset[[#This Row],[soda_sales]]/dataset[[#This Row],[soda_units_sold]]</f>
        <v>0.72193947616144116</v>
      </c>
      <c r="L1229" s="29">
        <f>dataset[[#This Row],[implied_soda_ppu]]-dataset[[#This Row],[soda_ppu]]</f>
        <v>3.9476161441176494E-5</v>
      </c>
      <c r="M1229">
        <f>dataset[[#This Row],[soda_sales]]/dataset[[#This Row],[total_sales]]</f>
        <v>4.0425309299635483E-2</v>
      </c>
      <c r="N1229">
        <f>LN(dataset[[#This Row],[soda_units_sold]])</f>
        <v>12.138682061123976</v>
      </c>
      <c r="O1229">
        <f>LN(dataset[[#This Row],[soda_sales]])</f>
        <v>11.812868089489655</v>
      </c>
      <c r="P1229">
        <f>LN(dataset[[#This Row],[soda_ppu]])</f>
        <v>-0.32586865383702174</v>
      </c>
      <c r="Q1229">
        <f>IF(dataset[[#This Row],[state]]="VA",1,0)</f>
        <v>1</v>
      </c>
    </row>
    <row r="1230" spans="1:17" x14ac:dyDescent="0.35">
      <c r="A1230">
        <v>202205</v>
      </c>
      <c r="B1230">
        <v>6</v>
      </c>
      <c r="C1230" s="2">
        <v>3498835.932</v>
      </c>
      <c r="D1230" s="2">
        <v>0.69779999999999998</v>
      </c>
      <c r="E1230" s="3">
        <v>213921</v>
      </c>
      <c r="F1230" s="2">
        <v>149266.73250000001</v>
      </c>
      <c r="G1230" t="s">
        <v>2646</v>
      </c>
      <c r="H1230" t="s">
        <v>3</v>
      </c>
      <c r="I1230">
        <f>HLOOKUP(G1230,zip_tiers!$A$1:$EON$2,2,FALSE)</f>
        <v>119878</v>
      </c>
      <c r="J1230" t="str">
        <f t="shared" si="19"/>
        <v>High</v>
      </c>
      <c r="K1230">
        <f>dataset[[#This Row],[soda_sales]]/dataset[[#This Row],[soda_units_sold]]</f>
        <v>0.69776568219108925</v>
      </c>
      <c r="L1230" s="29">
        <f>dataset[[#This Row],[implied_soda_ppu]]-dataset[[#This Row],[soda_ppu]]</f>
        <v>-3.4317808910722114E-5</v>
      </c>
      <c r="M1230">
        <f>dataset[[#This Row],[soda_sales]]/dataset[[#This Row],[total_sales]]</f>
        <v>4.2661826790682457E-2</v>
      </c>
      <c r="N1230">
        <f>LN(dataset[[#This Row],[soda_units_sold]])</f>
        <v>12.273362066969572</v>
      </c>
      <c r="O1230">
        <f>LN(dataset[[#This Row],[soda_sales]])</f>
        <v>11.913490135523695</v>
      </c>
      <c r="P1230">
        <f>LN(dataset[[#This Row],[soda_ppu]])</f>
        <v>-0.35982275022946336</v>
      </c>
      <c r="Q1230">
        <f>IF(dataset[[#This Row],[state]]="VA",1,0)</f>
        <v>1</v>
      </c>
    </row>
    <row r="1231" spans="1:17" x14ac:dyDescent="0.35">
      <c r="A1231">
        <v>202206</v>
      </c>
      <c r="B1231">
        <v>6</v>
      </c>
      <c r="C1231" s="2">
        <v>3305643.1316999998</v>
      </c>
      <c r="D1231" s="2">
        <v>0.72219999999999995</v>
      </c>
      <c r="E1231" s="3">
        <v>214291</v>
      </c>
      <c r="F1231" s="2">
        <v>154751.4742</v>
      </c>
      <c r="G1231" t="s">
        <v>2646</v>
      </c>
      <c r="H1231" t="s">
        <v>3</v>
      </c>
      <c r="I1231">
        <f>HLOOKUP(G1231,zip_tiers!$A$1:$EON$2,2,FALSE)</f>
        <v>119878</v>
      </c>
      <c r="J1231" t="str">
        <f t="shared" si="19"/>
        <v>High</v>
      </c>
      <c r="K1231">
        <f>dataset[[#This Row],[soda_sales]]/dataset[[#This Row],[soda_units_sold]]</f>
        <v>0.72215573309191705</v>
      </c>
      <c r="L1231" s="29">
        <f>dataset[[#This Row],[implied_soda_ppu]]-dataset[[#This Row],[soda_ppu]]</f>
        <v>-4.4266908082901679E-5</v>
      </c>
      <c r="M1231">
        <f>dataset[[#This Row],[soda_sales]]/dataset[[#This Row],[total_sales]]</f>
        <v>4.6814331745609707E-2</v>
      </c>
      <c r="N1231">
        <f>LN(dataset[[#This Row],[soda_units_sold]])</f>
        <v>12.275090183379575</v>
      </c>
      <c r="O1231">
        <f>LN(dataset[[#This Row],[soda_sales]])</f>
        <v>11.949575716834262</v>
      </c>
      <c r="P1231">
        <f>LN(dataset[[#This Row],[soda_ppu]])</f>
        <v>-0.32545317013877972</v>
      </c>
      <c r="Q1231">
        <f>IF(dataset[[#This Row],[state]]="VA",1,0)</f>
        <v>1</v>
      </c>
    </row>
    <row r="1232" spans="1:17" x14ac:dyDescent="0.35">
      <c r="A1232">
        <v>202207</v>
      </c>
      <c r="B1232">
        <v>6</v>
      </c>
      <c r="C1232" s="2">
        <v>3167383.8220000002</v>
      </c>
      <c r="D1232" s="2">
        <v>0.71150000000000002</v>
      </c>
      <c r="E1232" s="3">
        <v>220984</v>
      </c>
      <c r="F1232" s="2">
        <v>157222.141</v>
      </c>
      <c r="G1232" t="s">
        <v>2646</v>
      </c>
      <c r="H1232" t="s">
        <v>3</v>
      </c>
      <c r="I1232">
        <f>HLOOKUP(G1232,zip_tiers!$A$1:$EON$2,2,FALSE)</f>
        <v>119878</v>
      </c>
      <c r="J1232" t="str">
        <f t="shared" si="19"/>
        <v>High</v>
      </c>
      <c r="K1232">
        <f>dataset[[#This Row],[soda_sales]]/dataset[[#This Row],[soda_units_sold]]</f>
        <v>0.71146391141440102</v>
      </c>
      <c r="L1232" s="29">
        <f>dataset[[#This Row],[implied_soda_ppu]]-dataset[[#This Row],[soda_ppu]]</f>
        <v>-3.6088585599003409E-5</v>
      </c>
      <c r="M1232">
        <f>dataset[[#This Row],[soda_sales]]/dataset[[#This Row],[total_sales]]</f>
        <v>4.9637855667496678E-2</v>
      </c>
      <c r="N1232">
        <f>LN(dataset[[#This Row],[soda_units_sold]])</f>
        <v>12.305845579688969</v>
      </c>
      <c r="O1232">
        <f>LN(dataset[[#This Row],[soda_sales]])</f>
        <v>11.965414995115349</v>
      </c>
      <c r="P1232">
        <f>LN(dataset[[#This Row],[soda_ppu]])</f>
        <v>-0.34037986145222998</v>
      </c>
      <c r="Q1232">
        <f>IF(dataset[[#This Row],[state]]="VA",1,0)</f>
        <v>1</v>
      </c>
    </row>
    <row r="1233" spans="1:17" x14ac:dyDescent="0.35">
      <c r="A1233">
        <v>202208</v>
      </c>
      <c r="B1233">
        <v>6</v>
      </c>
      <c r="C1233" s="2">
        <v>3030108.9611999998</v>
      </c>
      <c r="D1233" s="2">
        <v>0.7419</v>
      </c>
      <c r="E1233" s="3">
        <v>192797</v>
      </c>
      <c r="F1233" s="2">
        <v>143034.2867</v>
      </c>
      <c r="G1233" t="s">
        <v>2646</v>
      </c>
      <c r="H1233" t="s">
        <v>3</v>
      </c>
      <c r="I1233">
        <f>HLOOKUP(G1233,zip_tiers!$A$1:$EON$2,2,FALSE)</f>
        <v>119878</v>
      </c>
      <c r="J1233" t="str">
        <f t="shared" si="19"/>
        <v>High</v>
      </c>
      <c r="K1233">
        <f>dataset[[#This Row],[soda_sales]]/dataset[[#This Row],[soda_units_sold]]</f>
        <v>0.74189062433544084</v>
      </c>
      <c r="L1233" s="29">
        <f>dataset[[#This Row],[implied_soda_ppu]]-dataset[[#This Row],[soda_ppu]]</f>
        <v>-9.3756645591636101E-6</v>
      </c>
      <c r="M1233">
        <f>dataset[[#This Row],[soda_sales]]/dataset[[#This Row],[total_sales]]</f>
        <v>4.7204337709147857E-2</v>
      </c>
      <c r="N1233">
        <f>LN(dataset[[#This Row],[soda_units_sold]])</f>
        <v>12.169393100871547</v>
      </c>
      <c r="O1233">
        <f>LN(dataset[[#This Row],[soda_sales]])</f>
        <v>11.870839647635366</v>
      </c>
      <c r="P1233">
        <f>LN(dataset[[#This Row],[soda_ppu]])</f>
        <v>-0.29854081578665681</v>
      </c>
      <c r="Q1233">
        <f>IF(dataset[[#This Row],[state]]="VA",1,0)</f>
        <v>1</v>
      </c>
    </row>
    <row r="1234" spans="1:17" x14ac:dyDescent="0.35">
      <c r="A1234">
        <v>202209</v>
      </c>
      <c r="B1234">
        <v>6</v>
      </c>
      <c r="C1234" s="2">
        <v>3034079.7418999998</v>
      </c>
      <c r="D1234" s="2">
        <v>0.7107</v>
      </c>
      <c r="E1234" s="3">
        <v>186116</v>
      </c>
      <c r="F1234" s="2">
        <v>132278.1421</v>
      </c>
      <c r="G1234" t="s">
        <v>2646</v>
      </c>
      <c r="H1234" t="s">
        <v>3</v>
      </c>
      <c r="I1234">
        <f>HLOOKUP(G1234,zip_tiers!$A$1:$EON$2,2,FALSE)</f>
        <v>119878</v>
      </c>
      <c r="J1234" t="str">
        <f t="shared" si="19"/>
        <v>High</v>
      </c>
      <c r="K1234">
        <f>dataset[[#This Row],[soda_sales]]/dataset[[#This Row],[soda_units_sold]]</f>
        <v>0.71072955629822265</v>
      </c>
      <c r="L1234" s="29">
        <f>dataset[[#This Row],[implied_soda_ppu]]-dataset[[#This Row],[soda_ppu]]</f>
        <v>2.9556298222654931E-5</v>
      </c>
      <c r="M1234">
        <f>dataset[[#This Row],[soda_sales]]/dataset[[#This Row],[total_sales]]</f>
        <v>4.3597450743718701E-2</v>
      </c>
      <c r="N1234">
        <f>LN(dataset[[#This Row],[soda_units_sold]])</f>
        <v>12.134125414216786</v>
      </c>
      <c r="O1234">
        <f>LN(dataset[[#This Row],[soda_sales]])</f>
        <v>11.792662121789958</v>
      </c>
      <c r="P1234">
        <f>LN(dataset[[#This Row],[soda_ppu]])</f>
        <v>-0.34150487914928757</v>
      </c>
      <c r="Q1234">
        <f>IF(dataset[[#This Row],[state]]="VA",1,0)</f>
        <v>1</v>
      </c>
    </row>
    <row r="1235" spans="1:17" x14ac:dyDescent="0.35">
      <c r="A1235">
        <v>202210</v>
      </c>
      <c r="B1235">
        <v>6</v>
      </c>
      <c r="C1235" s="2">
        <v>3742261.6993</v>
      </c>
      <c r="D1235" s="2">
        <v>0.72330000000000005</v>
      </c>
      <c r="E1235" s="3">
        <v>180259</v>
      </c>
      <c r="F1235" s="2">
        <v>130383.73020000001</v>
      </c>
      <c r="G1235" t="s">
        <v>2646</v>
      </c>
      <c r="H1235" t="s">
        <v>3</v>
      </c>
      <c r="I1235">
        <f>HLOOKUP(G1235,zip_tiers!$A$1:$EON$2,2,FALSE)</f>
        <v>119878</v>
      </c>
      <c r="J1235" t="str">
        <f t="shared" si="19"/>
        <v>High</v>
      </c>
      <c r="K1235">
        <f>dataset[[#This Row],[soda_sales]]/dataset[[#This Row],[soda_units_sold]]</f>
        <v>0.7233132892116344</v>
      </c>
      <c r="L1235" s="29">
        <f>dataset[[#This Row],[implied_soda_ppu]]-dataset[[#This Row],[soda_ppu]]</f>
        <v>1.3289211634348597E-5</v>
      </c>
      <c r="M1235">
        <f>dataset[[#This Row],[soda_sales]]/dataset[[#This Row],[total_sales]]</f>
        <v>3.4840890530020555E-2</v>
      </c>
      <c r="N1235">
        <f>LN(dataset[[#This Row],[soda_units_sold]])</f>
        <v>12.102149984552575</v>
      </c>
      <c r="O1235">
        <f>LN(dataset[[#This Row],[soda_sales]])</f>
        <v>11.778237152285557</v>
      </c>
      <c r="P1235">
        <f>LN(dataset[[#This Row],[soda_ppu]])</f>
        <v>-0.32393120512690193</v>
      </c>
      <c r="Q1235">
        <f>IF(dataset[[#This Row],[state]]="VA",1,0)</f>
        <v>1</v>
      </c>
    </row>
    <row r="1236" spans="1:17" x14ac:dyDescent="0.35">
      <c r="A1236">
        <v>202211</v>
      </c>
      <c r="B1236">
        <v>6</v>
      </c>
      <c r="C1236" s="2">
        <v>4244388.6339999996</v>
      </c>
      <c r="D1236" s="2">
        <v>0.69920000000000004</v>
      </c>
      <c r="E1236" s="3">
        <v>174650</v>
      </c>
      <c r="F1236" s="2">
        <v>122116.8659</v>
      </c>
      <c r="G1236" t="s">
        <v>2646</v>
      </c>
      <c r="H1236" t="s">
        <v>3</v>
      </c>
      <c r="I1236">
        <f>HLOOKUP(G1236,zip_tiers!$A$1:$EON$2,2,FALSE)</f>
        <v>119878</v>
      </c>
      <c r="J1236" t="str">
        <f t="shared" si="19"/>
        <v>High</v>
      </c>
      <c r="K1236">
        <f>dataset[[#This Row],[soda_sales]]/dataset[[#This Row],[soda_units_sold]]</f>
        <v>0.69920908044660757</v>
      </c>
      <c r="L1236" s="29">
        <f>dataset[[#This Row],[implied_soda_ppu]]-dataset[[#This Row],[soda_ppu]]</f>
        <v>9.0804466075233847E-6</v>
      </c>
      <c r="M1236">
        <f>dataset[[#This Row],[soda_sales]]/dataset[[#This Row],[total_sales]]</f>
        <v>2.8771367664537955E-2</v>
      </c>
      <c r="N1236">
        <f>LN(dataset[[#This Row],[soda_units_sold]])</f>
        <v>12.070539250234978</v>
      </c>
      <c r="O1236">
        <f>LN(dataset[[#This Row],[soda_sales]])</f>
        <v>11.712733782418601</v>
      </c>
      <c r="P1236">
        <f>LN(dataset[[#This Row],[soda_ppu]])</f>
        <v>-0.3578184546408113</v>
      </c>
      <c r="Q1236">
        <f>IF(dataset[[#This Row],[state]]="VA",1,0)</f>
        <v>1</v>
      </c>
    </row>
    <row r="1237" spans="1:17" x14ac:dyDescent="0.35">
      <c r="A1237">
        <v>202212</v>
      </c>
      <c r="B1237">
        <v>6</v>
      </c>
      <c r="C1237" s="2">
        <v>4311191.0170999998</v>
      </c>
      <c r="D1237" s="2">
        <v>0.72309999999999997</v>
      </c>
      <c r="E1237" s="3">
        <v>161085</v>
      </c>
      <c r="F1237" s="2">
        <v>116482.6446</v>
      </c>
      <c r="G1237" t="s">
        <v>2646</v>
      </c>
      <c r="H1237" t="s">
        <v>3</v>
      </c>
      <c r="I1237">
        <f>HLOOKUP(G1237,zip_tiers!$A$1:$EON$2,2,FALSE)</f>
        <v>119878</v>
      </c>
      <c r="J1237" t="str">
        <f t="shared" si="19"/>
        <v>High</v>
      </c>
      <c r="K1237">
        <f>dataset[[#This Row],[soda_sales]]/dataset[[#This Row],[soda_units_sold]]</f>
        <v>0.7231129192662259</v>
      </c>
      <c r="L1237" s="29">
        <f>dataset[[#This Row],[implied_soda_ppu]]-dataset[[#This Row],[soda_ppu]]</f>
        <v>1.2919266225930315E-5</v>
      </c>
      <c r="M1237">
        <f>dataset[[#This Row],[soda_sales]]/dataset[[#This Row],[total_sales]]</f>
        <v>2.7018669350993903E-2</v>
      </c>
      <c r="N1237">
        <f>LN(dataset[[#This Row],[soda_units_sold]])</f>
        <v>11.989687454960427</v>
      </c>
      <c r="O1237">
        <f>LN(dataset[[#This Row],[soda_sales]])</f>
        <v>11.665497567499697</v>
      </c>
      <c r="P1237">
        <f>LN(dataset[[#This Row],[soda_ppu]])</f>
        <v>-0.32420775380123096</v>
      </c>
      <c r="Q1237">
        <f>IF(dataset[[#This Row],[state]]="VA",1,0)</f>
        <v>1</v>
      </c>
    </row>
    <row r="1238" spans="1:17" x14ac:dyDescent="0.35">
      <c r="A1238">
        <v>202301</v>
      </c>
      <c r="B1238">
        <v>6</v>
      </c>
      <c r="C1238" s="2">
        <v>2561490.6227000002</v>
      </c>
      <c r="D1238" s="2">
        <v>0.71289999999999998</v>
      </c>
      <c r="E1238" s="3">
        <v>125065</v>
      </c>
      <c r="F1238" s="2">
        <v>89164.177299999996</v>
      </c>
      <c r="G1238" t="s">
        <v>2646</v>
      </c>
      <c r="H1238" t="s">
        <v>3</v>
      </c>
      <c r="I1238">
        <f>HLOOKUP(G1238,zip_tiers!$A$1:$EON$2,2,FALSE)</f>
        <v>119878</v>
      </c>
      <c r="J1238" t="str">
        <f t="shared" si="19"/>
        <v>High</v>
      </c>
      <c r="K1238">
        <f>dataset[[#This Row],[soda_sales]]/dataset[[#This Row],[soda_units_sold]]</f>
        <v>0.71294268820213491</v>
      </c>
      <c r="L1238" s="29">
        <f>dataset[[#This Row],[implied_soda_ppu]]-dataset[[#This Row],[soda_ppu]]</f>
        <v>4.2688202134932851E-5</v>
      </c>
      <c r="M1238">
        <f>dataset[[#This Row],[soda_sales]]/dataset[[#This Row],[total_sales]]</f>
        <v>3.4809488080816929E-2</v>
      </c>
      <c r="N1238">
        <f>LN(dataset[[#This Row],[soda_units_sold]])</f>
        <v>11.73658888113129</v>
      </c>
      <c r="O1238">
        <f>LN(dataset[[#This Row],[soda_sales]])</f>
        <v>11.398234638129528</v>
      </c>
      <c r="P1238">
        <f>LN(dataset[[#This Row],[soda_ppu]])</f>
        <v>-0.33841412085855432</v>
      </c>
      <c r="Q1238">
        <f>IF(dataset[[#This Row],[state]]="VA",1,0)</f>
        <v>1</v>
      </c>
    </row>
    <row r="1239" spans="1:17" x14ac:dyDescent="0.35">
      <c r="A1239">
        <v>202302</v>
      </c>
      <c r="B1239">
        <v>6</v>
      </c>
      <c r="C1239" s="2">
        <v>2873916.7280999999</v>
      </c>
      <c r="D1239" s="2">
        <v>0.72260000000000002</v>
      </c>
      <c r="E1239" s="3">
        <v>135878</v>
      </c>
      <c r="F1239" s="2">
        <v>98187.358600000007</v>
      </c>
      <c r="G1239" t="s">
        <v>2646</v>
      </c>
      <c r="H1239" t="s">
        <v>3</v>
      </c>
      <c r="I1239">
        <f>HLOOKUP(G1239,zip_tiers!$A$1:$EON$2,2,FALSE)</f>
        <v>119878</v>
      </c>
      <c r="J1239" t="str">
        <f t="shared" si="19"/>
        <v>High</v>
      </c>
      <c r="K1239">
        <f>dataset[[#This Row],[soda_sales]]/dataset[[#This Row],[soda_units_sold]]</f>
        <v>0.72261409941270849</v>
      </c>
      <c r="L1239" s="29">
        <f>dataset[[#This Row],[implied_soda_ppu]]-dataset[[#This Row],[soda_ppu]]</f>
        <v>1.4099412708468151E-5</v>
      </c>
      <c r="M1239">
        <f>dataset[[#This Row],[soda_sales]]/dataset[[#This Row],[total_sales]]</f>
        <v>3.4164997767667925E-2</v>
      </c>
      <c r="N1239">
        <f>LN(dataset[[#This Row],[soda_units_sold]])</f>
        <v>11.819512703296606</v>
      </c>
      <c r="O1239">
        <f>LN(dataset[[#This Row],[soda_sales]])</f>
        <v>11.494632754895093</v>
      </c>
      <c r="P1239">
        <f>LN(dataset[[#This Row],[soda_ppu]])</f>
        <v>-0.32489946026859717</v>
      </c>
      <c r="Q1239">
        <f>IF(dataset[[#This Row],[state]]="VA",1,0)</f>
        <v>1</v>
      </c>
    </row>
    <row r="1240" spans="1:17" x14ac:dyDescent="0.35">
      <c r="A1240">
        <v>202303</v>
      </c>
      <c r="B1240">
        <v>6</v>
      </c>
      <c r="C1240" s="2">
        <v>3179558.8357000002</v>
      </c>
      <c r="D1240" s="2">
        <v>0.73019999999999996</v>
      </c>
      <c r="E1240" s="3">
        <v>157080</v>
      </c>
      <c r="F1240" s="2">
        <v>114701.3665</v>
      </c>
      <c r="G1240" t="s">
        <v>2646</v>
      </c>
      <c r="H1240" t="s">
        <v>3</v>
      </c>
      <c r="I1240">
        <f>HLOOKUP(G1240,zip_tiers!$A$1:$EON$2,2,FALSE)</f>
        <v>119878</v>
      </c>
      <c r="J1240" t="str">
        <f t="shared" si="19"/>
        <v>High</v>
      </c>
      <c r="K1240">
        <f>dataset[[#This Row],[soda_sales]]/dataset[[#This Row],[soda_units_sold]]</f>
        <v>0.73020987076648847</v>
      </c>
      <c r="L1240" s="29">
        <f>dataset[[#This Row],[implied_soda_ppu]]-dataset[[#This Row],[soda_ppu]]</f>
        <v>9.8707664885067103E-6</v>
      </c>
      <c r="M1240">
        <f>dataset[[#This Row],[soda_sales]]/dataset[[#This Row],[total_sales]]</f>
        <v>3.6074616771401169E-2</v>
      </c>
      <c r="N1240">
        <f>LN(dataset[[#This Row],[soda_units_sold]])</f>
        <v>11.964510508691946</v>
      </c>
      <c r="O1240">
        <f>LN(dataset[[#This Row],[soda_sales]])</f>
        <v>11.650087216734375</v>
      </c>
      <c r="P1240">
        <f>LN(dataset[[#This Row],[soda_ppu]])</f>
        <v>-0.31443680976060062</v>
      </c>
      <c r="Q1240">
        <f>IF(dataset[[#This Row],[state]]="VA",1,0)</f>
        <v>1</v>
      </c>
    </row>
    <row r="1241" spans="1:17" x14ac:dyDescent="0.35">
      <c r="A1241">
        <v>202304</v>
      </c>
      <c r="B1241">
        <v>6</v>
      </c>
      <c r="C1241" s="2">
        <v>3346800.8136</v>
      </c>
      <c r="D1241" s="2">
        <v>0.74229999999999996</v>
      </c>
      <c r="E1241" s="3">
        <v>185734</v>
      </c>
      <c r="F1241" s="2">
        <v>137879.4797</v>
      </c>
      <c r="G1241" t="s">
        <v>2646</v>
      </c>
      <c r="H1241" t="s">
        <v>3</v>
      </c>
      <c r="I1241">
        <f>HLOOKUP(G1241,zip_tiers!$A$1:$EON$2,2,FALSE)</f>
        <v>119878</v>
      </c>
      <c r="J1241" t="str">
        <f t="shared" si="19"/>
        <v>High</v>
      </c>
      <c r="K1241">
        <f>dataset[[#This Row],[soda_sales]]/dataset[[#This Row],[soda_units_sold]]</f>
        <v>0.74234916439639487</v>
      </c>
      <c r="L1241" s="29">
        <f>dataset[[#This Row],[implied_soda_ppu]]-dataset[[#This Row],[soda_ppu]]</f>
        <v>4.9164396394907328E-5</v>
      </c>
      <c r="M1241">
        <f>dataset[[#This Row],[soda_sales]]/dataset[[#This Row],[total_sales]]</f>
        <v>4.1197396373191794E-2</v>
      </c>
      <c r="N1241">
        <f>LN(dataset[[#This Row],[soda_units_sold]])</f>
        <v>12.132070821588686</v>
      </c>
      <c r="O1241">
        <f>LN(dataset[[#This Row],[soda_sales]])</f>
        <v>11.83413524705246</v>
      </c>
      <c r="P1241">
        <f>LN(dataset[[#This Row],[soda_ppu]])</f>
        <v>-0.29800180485863581</v>
      </c>
      <c r="Q1241">
        <f>IF(dataset[[#This Row],[state]]="VA",1,0)</f>
        <v>1</v>
      </c>
    </row>
    <row r="1242" spans="1:17" x14ac:dyDescent="0.35">
      <c r="A1242">
        <v>202305</v>
      </c>
      <c r="B1242">
        <v>6</v>
      </c>
      <c r="C1242" s="2">
        <v>3623217.6423999998</v>
      </c>
      <c r="D1242" s="2">
        <v>0.71519999999999995</v>
      </c>
      <c r="E1242" s="3">
        <v>215344</v>
      </c>
      <c r="F1242" s="2">
        <v>154023.86120000001</v>
      </c>
      <c r="G1242" t="s">
        <v>2646</v>
      </c>
      <c r="H1242" t="s">
        <v>3</v>
      </c>
      <c r="I1242">
        <f>HLOOKUP(G1242,zip_tiers!$A$1:$EON$2,2,FALSE)</f>
        <v>119878</v>
      </c>
      <c r="J1242" t="str">
        <f t="shared" si="19"/>
        <v>High</v>
      </c>
      <c r="K1242">
        <f>dataset[[#This Row],[soda_sales]]/dataset[[#This Row],[soda_units_sold]]</f>
        <v>0.71524565903856163</v>
      </c>
      <c r="L1242" s="29">
        <f>dataset[[#This Row],[implied_soda_ppu]]-dataset[[#This Row],[soda_ppu]]</f>
        <v>4.5659038561685072E-5</v>
      </c>
      <c r="M1242">
        <f>dataset[[#This Row],[soda_sales]]/dataset[[#This Row],[total_sales]]</f>
        <v>4.2510242663196862E-2</v>
      </c>
      <c r="N1242">
        <f>LN(dataset[[#This Row],[soda_units_sold]])</f>
        <v>12.279992028473497</v>
      </c>
      <c r="O1242">
        <f>LN(dataset[[#This Row],[soda_sales]])</f>
        <v>11.944862812250504</v>
      </c>
      <c r="P1242">
        <f>LN(dataset[[#This Row],[soda_ppu]])</f>
        <v>-0.33519305512283276</v>
      </c>
      <c r="Q1242">
        <f>IF(dataset[[#This Row],[state]]="VA",1,0)</f>
        <v>1</v>
      </c>
    </row>
    <row r="1243" spans="1:17" x14ac:dyDescent="0.35">
      <c r="A1243">
        <v>202306</v>
      </c>
      <c r="B1243">
        <v>6</v>
      </c>
      <c r="C1243" s="2">
        <v>3411960.4331</v>
      </c>
      <c r="D1243" s="2">
        <v>0.73380000000000001</v>
      </c>
      <c r="E1243" s="3">
        <v>216957</v>
      </c>
      <c r="F1243" s="2">
        <v>159192.20980000001</v>
      </c>
      <c r="G1243" t="s">
        <v>2646</v>
      </c>
      <c r="H1243" t="s">
        <v>3</v>
      </c>
      <c r="I1243">
        <f>HLOOKUP(G1243,zip_tiers!$A$1:$EON$2,2,FALSE)</f>
        <v>119878</v>
      </c>
      <c r="J1243" t="str">
        <f t="shared" si="19"/>
        <v>High</v>
      </c>
      <c r="K1243">
        <f>dataset[[#This Row],[soda_sales]]/dataset[[#This Row],[soda_units_sold]]</f>
        <v>0.7337500509317515</v>
      </c>
      <c r="L1243" s="29">
        <f>dataset[[#This Row],[implied_soda_ppu]]-dataset[[#This Row],[soda_ppu]]</f>
        <v>-4.994906824851153E-5</v>
      </c>
      <c r="M1243">
        <f>dataset[[#This Row],[soda_sales]]/dataset[[#This Row],[total_sales]]</f>
        <v>4.6657108990962995E-2</v>
      </c>
      <c r="N1243">
        <f>LN(dataset[[#This Row],[soda_units_sold]])</f>
        <v>12.287454456204939</v>
      </c>
      <c r="O1243">
        <f>LN(dataset[[#This Row],[soda_sales]])</f>
        <v>11.977867617778056</v>
      </c>
      <c r="P1243">
        <f>LN(dataset[[#This Row],[soda_ppu]])</f>
        <v>-0.30951876706095538</v>
      </c>
      <c r="Q1243">
        <f>IF(dataset[[#This Row],[state]]="VA",1,0)</f>
        <v>1</v>
      </c>
    </row>
    <row r="1244" spans="1:17" x14ac:dyDescent="0.35">
      <c r="A1244">
        <v>202307</v>
      </c>
      <c r="B1244">
        <v>6</v>
      </c>
      <c r="C1244" s="2">
        <v>3212495.7519</v>
      </c>
      <c r="D1244" s="2">
        <v>0.75349999999999995</v>
      </c>
      <c r="E1244" s="3">
        <v>212348</v>
      </c>
      <c r="F1244" s="2">
        <v>160014.51550000001</v>
      </c>
      <c r="G1244" t="s">
        <v>2646</v>
      </c>
      <c r="H1244" t="s">
        <v>3</v>
      </c>
      <c r="I1244">
        <f>HLOOKUP(G1244,zip_tiers!$A$1:$EON$2,2,FALSE)</f>
        <v>119878</v>
      </c>
      <c r="J1244" t="str">
        <f t="shared" si="19"/>
        <v>High</v>
      </c>
      <c r="K1244">
        <f>dataset[[#This Row],[soda_sales]]/dataset[[#This Row],[soda_units_sold]]</f>
        <v>0.75354849351065234</v>
      </c>
      <c r="L1244" s="29">
        <f>dataset[[#This Row],[implied_soda_ppu]]-dataset[[#This Row],[soda_ppu]]</f>
        <v>4.8493510652392047E-5</v>
      </c>
      <c r="M1244">
        <f>dataset[[#This Row],[soda_sales]]/dataset[[#This Row],[total_sales]]</f>
        <v>4.981003178147736E-2</v>
      </c>
      <c r="N1244">
        <f>LN(dataset[[#This Row],[soda_units_sold]])</f>
        <v>12.265981717284067</v>
      </c>
      <c r="O1244">
        <f>LN(dataset[[#This Row],[soda_sales]])</f>
        <v>11.983019811975984</v>
      </c>
      <c r="P1244">
        <f>LN(dataset[[#This Row],[soda_ppu]])</f>
        <v>-0.28302626091558697</v>
      </c>
      <c r="Q1244">
        <f>IF(dataset[[#This Row],[state]]="VA",1,0)</f>
        <v>1</v>
      </c>
    </row>
    <row r="1245" spans="1:17" x14ac:dyDescent="0.35">
      <c r="A1245">
        <v>202308</v>
      </c>
      <c r="B1245">
        <v>6</v>
      </c>
      <c r="C1245" s="2">
        <v>3067400.0750000002</v>
      </c>
      <c r="D1245" s="2">
        <v>0.7218</v>
      </c>
      <c r="E1245" s="3">
        <v>198302</v>
      </c>
      <c r="F1245" s="2">
        <v>143131.1379</v>
      </c>
      <c r="G1245" t="s">
        <v>2646</v>
      </c>
      <c r="H1245" t="s">
        <v>3</v>
      </c>
      <c r="I1245">
        <f>HLOOKUP(G1245,zip_tiers!$A$1:$EON$2,2,FALSE)</f>
        <v>119878</v>
      </c>
      <c r="J1245" t="str">
        <f t="shared" si="19"/>
        <v>High</v>
      </c>
      <c r="K1245">
        <f>dataset[[#This Row],[soda_sales]]/dataset[[#This Row],[soda_units_sold]]</f>
        <v>0.7217836325402669</v>
      </c>
      <c r="L1245" s="29">
        <f>dataset[[#This Row],[implied_soda_ppu]]-dataset[[#This Row],[soda_ppu]]</f>
        <v>-1.6367459733102052E-5</v>
      </c>
      <c r="M1245">
        <f>dataset[[#This Row],[soda_sales]]/dataset[[#This Row],[total_sales]]</f>
        <v>4.6662037686753331E-2</v>
      </c>
      <c r="N1245">
        <f>LN(dataset[[#This Row],[soda_units_sold]])</f>
        <v>12.19754640018572</v>
      </c>
      <c r="O1245">
        <f>LN(dataset[[#This Row],[soda_sales]])</f>
        <v>11.87151653726194</v>
      </c>
      <c r="P1245">
        <f>LN(dataset[[#This Row],[soda_ppu]])</f>
        <v>-0.32600718677344886</v>
      </c>
      <c r="Q1245">
        <f>IF(dataset[[#This Row],[state]]="VA",1,0)</f>
        <v>1</v>
      </c>
    </row>
    <row r="1246" spans="1:17" x14ac:dyDescent="0.35">
      <c r="A1246">
        <v>202309</v>
      </c>
      <c r="B1246">
        <v>6</v>
      </c>
      <c r="C1246" s="2">
        <v>3138213.6112000002</v>
      </c>
      <c r="D1246" s="2">
        <v>0.74980000000000002</v>
      </c>
      <c r="E1246" s="3">
        <v>185162</v>
      </c>
      <c r="F1246" s="2">
        <v>138837.9307</v>
      </c>
      <c r="G1246" t="s">
        <v>2646</v>
      </c>
      <c r="H1246" t="s">
        <v>3</v>
      </c>
      <c r="I1246">
        <f>HLOOKUP(G1246,zip_tiers!$A$1:$EON$2,2,FALSE)</f>
        <v>119878</v>
      </c>
      <c r="J1246" t="str">
        <f t="shared" si="19"/>
        <v>High</v>
      </c>
      <c r="K1246">
        <f>dataset[[#This Row],[soda_sales]]/dataset[[#This Row],[soda_units_sold]]</f>
        <v>0.74981870308162579</v>
      </c>
      <c r="L1246" s="29">
        <f>dataset[[#This Row],[implied_soda_ppu]]-dataset[[#This Row],[soda_ppu]]</f>
        <v>1.8703081625770501E-5</v>
      </c>
      <c r="M1246">
        <f>dataset[[#This Row],[soda_sales]]/dataset[[#This Row],[total_sales]]</f>
        <v>4.424107084505019E-2</v>
      </c>
      <c r="N1246">
        <f>LN(dataset[[#This Row],[soda_units_sold]])</f>
        <v>12.128986396555872</v>
      </c>
      <c r="O1246">
        <f>LN(dataset[[#This Row],[soda_sales]])</f>
        <v>11.841062565658373</v>
      </c>
      <c r="P1246">
        <f>LN(dataset[[#This Row],[soda_ppu]])</f>
        <v>-0.28794877468032537</v>
      </c>
      <c r="Q1246">
        <f>IF(dataset[[#This Row],[state]]="VA",1,0)</f>
        <v>1</v>
      </c>
    </row>
    <row r="1247" spans="1:17" x14ac:dyDescent="0.35">
      <c r="A1247">
        <v>202310</v>
      </c>
      <c r="B1247">
        <v>6</v>
      </c>
      <c r="C1247" s="2">
        <v>3742664.9130000002</v>
      </c>
      <c r="D1247" s="2">
        <v>0.73819999999999997</v>
      </c>
      <c r="E1247" s="3">
        <v>175913</v>
      </c>
      <c r="F1247" s="2">
        <v>129862.97900000001</v>
      </c>
      <c r="G1247" t="s">
        <v>2646</v>
      </c>
      <c r="H1247" t="s">
        <v>3</v>
      </c>
      <c r="I1247">
        <f>HLOOKUP(G1247,zip_tiers!$A$1:$EON$2,2,FALSE)</f>
        <v>119878</v>
      </c>
      <c r="J1247" t="str">
        <f t="shared" si="19"/>
        <v>High</v>
      </c>
      <c r="K1247">
        <f>dataset[[#This Row],[soda_sales]]/dataset[[#This Row],[soda_units_sold]]</f>
        <v>0.73822275215589528</v>
      </c>
      <c r="L1247" s="29">
        <f>dataset[[#This Row],[implied_soda_ppu]]-dataset[[#This Row],[soda_ppu]]</f>
        <v>2.2752155895311432E-5</v>
      </c>
      <c r="M1247">
        <f>dataset[[#This Row],[soda_sales]]/dataset[[#This Row],[total_sales]]</f>
        <v>3.4697997822066846E-2</v>
      </c>
      <c r="N1247">
        <f>LN(dataset[[#This Row],[soda_units_sold]])</f>
        <v>12.077744833622962</v>
      </c>
      <c r="O1247">
        <f>LN(dataset[[#This Row],[soda_sales]])</f>
        <v>11.774235165888685</v>
      </c>
      <c r="P1247">
        <f>LN(dataset[[#This Row],[soda_ppu]])</f>
        <v>-0.30354048838623893</v>
      </c>
      <c r="Q1247">
        <f>IF(dataset[[#This Row],[state]]="VA",1,0)</f>
        <v>1</v>
      </c>
    </row>
    <row r="1248" spans="1:17" x14ac:dyDescent="0.35">
      <c r="A1248">
        <v>202311</v>
      </c>
      <c r="B1248">
        <v>6</v>
      </c>
      <c r="C1248" s="2">
        <v>4230614.8214999996</v>
      </c>
      <c r="D1248" s="2">
        <v>0.74080000000000001</v>
      </c>
      <c r="E1248" s="3">
        <v>165867</v>
      </c>
      <c r="F1248" s="2">
        <v>122873.6701</v>
      </c>
      <c r="G1248" t="s">
        <v>2646</v>
      </c>
      <c r="H1248" t="s">
        <v>3</v>
      </c>
      <c r="I1248">
        <f>HLOOKUP(G1248,zip_tiers!$A$1:$EON$2,2,FALSE)</f>
        <v>119878</v>
      </c>
      <c r="J1248" t="str">
        <f t="shared" si="19"/>
        <v>High</v>
      </c>
      <c r="K1248">
        <f>dataset[[#This Row],[soda_sales]]/dataset[[#This Row],[soda_units_sold]]</f>
        <v>0.7407963615426818</v>
      </c>
      <c r="L1248" s="29">
        <f>dataset[[#This Row],[implied_soda_ppu]]-dataset[[#This Row],[soda_ppu]]</f>
        <v>-3.63845731821133E-6</v>
      </c>
      <c r="M1248">
        <f>dataset[[#This Row],[soda_sales]]/dataset[[#This Row],[total_sales]]</f>
        <v>2.9043927486746269E-2</v>
      </c>
      <c r="N1248">
        <f>LN(dataset[[#This Row],[soda_units_sold]])</f>
        <v>12.018941541383279</v>
      </c>
      <c r="O1248">
        <f>LN(dataset[[#This Row],[soda_sales]])</f>
        <v>11.718912034196594</v>
      </c>
      <c r="P1248">
        <f>LN(dataset[[#This Row],[soda_ppu]])</f>
        <v>-0.30002459565016742</v>
      </c>
      <c r="Q1248">
        <f>IF(dataset[[#This Row],[state]]="VA",1,0)</f>
        <v>1</v>
      </c>
    </row>
    <row r="1249" spans="1:17" x14ac:dyDescent="0.35">
      <c r="A1249">
        <v>202312</v>
      </c>
      <c r="B1249">
        <v>6</v>
      </c>
      <c r="C1249" s="2">
        <v>4422433.3316000002</v>
      </c>
      <c r="D1249" s="2">
        <v>0.71830000000000005</v>
      </c>
      <c r="E1249" s="3">
        <v>165247</v>
      </c>
      <c r="F1249" s="2">
        <v>118690.883</v>
      </c>
      <c r="G1249" t="s">
        <v>2646</v>
      </c>
      <c r="H1249" t="s">
        <v>3</v>
      </c>
      <c r="I1249">
        <f>HLOOKUP(G1249,zip_tiers!$A$1:$EON$2,2,FALSE)</f>
        <v>119878</v>
      </c>
      <c r="J1249" t="str">
        <f t="shared" si="19"/>
        <v>High</v>
      </c>
      <c r="K1249">
        <f>dataset[[#This Row],[soda_sales]]/dataset[[#This Row],[soda_units_sold]]</f>
        <v>0.71826346620513537</v>
      </c>
      <c r="L1249" s="29">
        <f>dataset[[#This Row],[implied_soda_ppu]]-dataset[[#This Row],[soda_ppu]]</f>
        <v>-3.6533794864679336E-5</v>
      </c>
      <c r="M1249">
        <f>dataset[[#This Row],[soda_sales]]/dataset[[#This Row],[total_sales]]</f>
        <v>2.6838365691554386E-2</v>
      </c>
      <c r="N1249">
        <f>LN(dataset[[#This Row],[soda_units_sold]])</f>
        <v>12.015196603237492</v>
      </c>
      <c r="O1249">
        <f>LN(dataset[[#This Row],[soda_sales]])</f>
        <v>11.684277770571281</v>
      </c>
      <c r="P1249">
        <f>LN(dataset[[#This Row],[soda_ppu]])</f>
        <v>-0.33086796990138106</v>
      </c>
      <c r="Q1249">
        <f>IF(dataset[[#This Row],[state]]="VA",1,0)</f>
        <v>1</v>
      </c>
    </row>
    <row r="1250" spans="1:17" x14ac:dyDescent="0.35">
      <c r="A1250">
        <v>202401</v>
      </c>
      <c r="B1250">
        <v>6</v>
      </c>
      <c r="C1250" s="2">
        <v>2554484.048</v>
      </c>
      <c r="D1250" s="2">
        <v>0.71060000000000001</v>
      </c>
      <c r="E1250" s="3">
        <v>121447</v>
      </c>
      <c r="F1250" s="2">
        <v>86304.859200000006</v>
      </c>
      <c r="G1250" t="s">
        <v>2646</v>
      </c>
      <c r="H1250" t="s">
        <v>3</v>
      </c>
      <c r="I1250">
        <f>HLOOKUP(G1250,zip_tiers!$A$1:$EON$2,2,FALSE)</f>
        <v>119878</v>
      </c>
      <c r="J1250" t="str">
        <f t="shared" si="19"/>
        <v>High</v>
      </c>
      <c r="K1250">
        <f>dataset[[#This Row],[soda_sales]]/dataset[[#This Row],[soda_units_sold]]</f>
        <v>0.71063804951954357</v>
      </c>
      <c r="L1250" s="29">
        <f>dataset[[#This Row],[implied_soda_ppu]]-dataset[[#This Row],[soda_ppu]]</f>
        <v>3.8049519543559285E-5</v>
      </c>
      <c r="M1250">
        <f>dataset[[#This Row],[soda_sales]]/dataset[[#This Row],[total_sales]]</f>
        <v>3.3785632471485298E-2</v>
      </c>
      <c r="N1250">
        <f>LN(dataset[[#This Row],[soda_units_sold]])</f>
        <v>11.70723323260197</v>
      </c>
      <c r="O1250">
        <f>LN(dataset[[#This Row],[soda_sales]])</f>
        <v>11.365641181396018</v>
      </c>
      <c r="P1250">
        <f>LN(dataset[[#This Row],[soda_ppu]])</f>
        <v>-0.34164559539521033</v>
      </c>
      <c r="Q1250">
        <f>IF(dataset[[#This Row],[state]]="VA",1,0)</f>
        <v>1</v>
      </c>
    </row>
    <row r="1251" spans="1:17" x14ac:dyDescent="0.35">
      <c r="A1251">
        <v>202402</v>
      </c>
      <c r="B1251">
        <v>6</v>
      </c>
      <c r="C1251" s="2">
        <v>2948328.2149</v>
      </c>
      <c r="D1251" s="2">
        <v>0.77180000000000004</v>
      </c>
      <c r="E1251" s="3">
        <v>134482</v>
      </c>
      <c r="F1251" s="2">
        <v>103796.393</v>
      </c>
      <c r="G1251" t="s">
        <v>2646</v>
      </c>
      <c r="H1251" t="s">
        <v>3</v>
      </c>
      <c r="I1251">
        <f>HLOOKUP(G1251,zip_tiers!$A$1:$EON$2,2,FALSE)</f>
        <v>119878</v>
      </c>
      <c r="J1251" t="str">
        <f t="shared" si="19"/>
        <v>High</v>
      </c>
      <c r="K1251">
        <f>dataset[[#This Row],[soda_sales]]/dataset[[#This Row],[soda_units_sold]]</f>
        <v>0.77182368644130805</v>
      </c>
      <c r="L1251" s="29">
        <f>dataset[[#This Row],[implied_soda_ppu]]-dataset[[#This Row],[soda_ppu]]</f>
        <v>2.3686441308012895E-5</v>
      </c>
      <c r="M1251">
        <f>dataset[[#This Row],[soda_sales]]/dataset[[#This Row],[total_sales]]</f>
        <v>3.5205168975232466E-2</v>
      </c>
      <c r="N1251">
        <f>LN(dataset[[#This Row],[soda_units_sold]])</f>
        <v>11.809185640071849</v>
      </c>
      <c r="O1251">
        <f>LN(dataset[[#This Row],[soda_sales]])</f>
        <v>11.550186499591842</v>
      </c>
      <c r="P1251">
        <f>LN(dataset[[#This Row],[soda_ppu]])</f>
        <v>-0.25902982987861861</v>
      </c>
      <c r="Q1251">
        <f>IF(dataset[[#This Row],[state]]="VA",1,0)</f>
        <v>1</v>
      </c>
    </row>
    <row r="1252" spans="1:17" x14ac:dyDescent="0.35">
      <c r="A1252">
        <v>202403</v>
      </c>
      <c r="B1252">
        <v>6</v>
      </c>
      <c r="C1252" s="2">
        <v>3246942.9797</v>
      </c>
      <c r="D1252" s="2">
        <v>0.73260000000000003</v>
      </c>
      <c r="E1252" s="3">
        <v>160258</v>
      </c>
      <c r="F1252" s="2">
        <v>117404.1306</v>
      </c>
      <c r="G1252" t="s">
        <v>2646</v>
      </c>
      <c r="H1252" t="s">
        <v>3</v>
      </c>
      <c r="I1252">
        <f>HLOOKUP(G1252,zip_tiers!$A$1:$EON$2,2,FALSE)</f>
        <v>119878</v>
      </c>
      <c r="J1252" t="str">
        <f t="shared" si="19"/>
        <v>High</v>
      </c>
      <c r="K1252">
        <f>dataset[[#This Row],[soda_sales]]/dataset[[#This Row],[soda_units_sold]]</f>
        <v>0.73259450760648459</v>
      </c>
      <c r="L1252" s="29">
        <f>dataset[[#This Row],[implied_soda_ppu]]-dataset[[#This Row],[soda_ppu]]</f>
        <v>-5.4923935154382875E-6</v>
      </c>
      <c r="M1252">
        <f>dataset[[#This Row],[soda_sales]]/dataset[[#This Row],[total_sales]]</f>
        <v>3.6158359211730759E-2</v>
      </c>
      <c r="N1252">
        <f>LN(dataset[[#This Row],[soda_units_sold]])</f>
        <v>11.984540295533735</v>
      </c>
      <c r="O1252">
        <f>LN(dataset[[#This Row],[soda_sales]])</f>
        <v>11.673377369743562</v>
      </c>
      <c r="P1252">
        <f>LN(dataset[[#This Row],[soda_ppu]])</f>
        <v>-0.31115542863742301</v>
      </c>
      <c r="Q1252">
        <f>IF(dataset[[#This Row],[state]]="VA",1,0)</f>
        <v>1</v>
      </c>
    </row>
    <row r="1253" spans="1:17" x14ac:dyDescent="0.35">
      <c r="A1253">
        <v>202404</v>
      </c>
      <c r="B1253">
        <v>6</v>
      </c>
      <c r="C1253" s="2">
        <v>3445828.6109000002</v>
      </c>
      <c r="D1253" s="2">
        <v>0.77229999999999999</v>
      </c>
      <c r="E1253" s="3">
        <v>183143</v>
      </c>
      <c r="F1253" s="2">
        <v>141446.1208</v>
      </c>
      <c r="G1253" t="s">
        <v>2646</v>
      </c>
      <c r="H1253" t="s">
        <v>3</v>
      </c>
      <c r="I1253">
        <f>HLOOKUP(G1253,zip_tiers!$A$1:$EON$2,2,FALSE)</f>
        <v>119878</v>
      </c>
      <c r="J1253" t="str">
        <f t="shared" si="19"/>
        <v>High</v>
      </c>
      <c r="K1253">
        <f>dataset[[#This Row],[soda_sales]]/dataset[[#This Row],[soda_units_sold]]</f>
        <v>0.77232611019804198</v>
      </c>
      <c r="L1253" s="29">
        <f>dataset[[#This Row],[implied_soda_ppu]]-dataset[[#This Row],[soda_ppu]]</f>
        <v>2.6110198041995325E-5</v>
      </c>
      <c r="M1253">
        <f>dataset[[#This Row],[soda_sales]]/dataset[[#This Row],[total_sales]]</f>
        <v>4.1048507274149174E-2</v>
      </c>
      <c r="N1253">
        <f>LN(dataset[[#This Row],[soda_units_sold]])</f>
        <v>12.118022547438336</v>
      </c>
      <c r="O1253">
        <f>LN(dataset[[#This Row],[soda_sales]])</f>
        <v>11.859674151822018</v>
      </c>
      <c r="P1253">
        <f>LN(dataset[[#This Row],[soda_ppu]])</f>
        <v>-0.25838220340691886</v>
      </c>
      <c r="Q1253">
        <f>IF(dataset[[#This Row],[state]]="VA",1,0)</f>
        <v>1</v>
      </c>
    </row>
    <row r="1254" spans="1:17" x14ac:dyDescent="0.35">
      <c r="A1254">
        <v>202405</v>
      </c>
      <c r="B1254">
        <v>6</v>
      </c>
      <c r="C1254" s="2">
        <v>3657236.4918</v>
      </c>
      <c r="D1254" s="2">
        <v>0.76439999999999997</v>
      </c>
      <c r="E1254" s="3">
        <v>202638</v>
      </c>
      <c r="F1254" s="2">
        <v>154904.23449999999</v>
      </c>
      <c r="G1254" t="s">
        <v>2646</v>
      </c>
      <c r="H1254" t="s">
        <v>3</v>
      </c>
      <c r="I1254">
        <f>HLOOKUP(G1254,zip_tiers!$A$1:$EON$2,2,FALSE)</f>
        <v>119878</v>
      </c>
      <c r="J1254" t="str">
        <f t="shared" si="19"/>
        <v>High</v>
      </c>
      <c r="K1254">
        <f>dataset[[#This Row],[soda_sales]]/dataset[[#This Row],[soda_units_sold]]</f>
        <v>0.76443823221705698</v>
      </c>
      <c r="L1254" s="29">
        <f>dataset[[#This Row],[implied_soda_ppu]]-dataset[[#This Row],[soda_ppu]]</f>
        <v>3.8232217057010409E-5</v>
      </c>
      <c r="M1254">
        <f>dataset[[#This Row],[soda_sales]]/dataset[[#This Row],[total_sales]]</f>
        <v>4.2355542182551068E-2</v>
      </c>
      <c r="N1254">
        <f>LN(dataset[[#This Row],[soda_units_sold]])</f>
        <v>12.219176414907151</v>
      </c>
      <c r="O1254">
        <f>LN(dataset[[#This Row],[soda_sales]])</f>
        <v>11.950562363022918</v>
      </c>
      <c r="P1254">
        <f>LN(dataset[[#This Row],[soda_ppu]])</f>
        <v>-0.2686640666160191</v>
      </c>
      <c r="Q1254">
        <f>IF(dataset[[#This Row],[state]]="VA",1,0)</f>
        <v>1</v>
      </c>
    </row>
    <row r="1255" spans="1:17" x14ac:dyDescent="0.35">
      <c r="A1255">
        <v>202406</v>
      </c>
      <c r="B1255">
        <v>6</v>
      </c>
      <c r="C1255" s="2">
        <v>3427761.3124000002</v>
      </c>
      <c r="D1255" s="2">
        <v>0.76490000000000002</v>
      </c>
      <c r="E1255" s="3">
        <v>208291</v>
      </c>
      <c r="F1255" s="2">
        <v>159324.0675</v>
      </c>
      <c r="G1255" t="s">
        <v>2646</v>
      </c>
      <c r="H1255" t="s">
        <v>3</v>
      </c>
      <c r="I1255">
        <f>HLOOKUP(G1255,zip_tiers!$A$1:$EON$2,2,FALSE)</f>
        <v>119878</v>
      </c>
      <c r="J1255" t="str">
        <f t="shared" si="19"/>
        <v>High</v>
      </c>
      <c r="K1255">
        <f>dataset[[#This Row],[soda_sales]]/dataset[[#This Row],[soda_units_sold]]</f>
        <v>0.76491095390583363</v>
      </c>
      <c r="L1255" s="29">
        <f>dataset[[#This Row],[implied_soda_ppu]]-dataset[[#This Row],[soda_ppu]]</f>
        <v>1.0953905833610555E-5</v>
      </c>
      <c r="M1255">
        <f>dataset[[#This Row],[soda_sales]]/dataset[[#This Row],[total_sales]]</f>
        <v>4.6480502281078258E-2</v>
      </c>
      <c r="N1255">
        <f>LN(dataset[[#This Row],[soda_units_sold]])</f>
        <v>12.246691419402511</v>
      </c>
      <c r="O1255">
        <f>LN(dataset[[#This Row],[soda_sales]])</f>
        <v>11.978695567348797</v>
      </c>
      <c r="P1255">
        <f>LN(dataset[[#This Row],[soda_ppu]])</f>
        <v>-0.26801017265431665</v>
      </c>
      <c r="Q1255">
        <f>IF(dataset[[#This Row],[state]]="VA",1,0)</f>
        <v>1</v>
      </c>
    </row>
    <row r="1256" spans="1:17" x14ac:dyDescent="0.35">
      <c r="A1256">
        <v>202407</v>
      </c>
      <c r="B1256">
        <v>6</v>
      </c>
      <c r="C1256" s="2">
        <v>3327110.7653000001</v>
      </c>
      <c r="D1256" s="2">
        <v>0.76529999999999998</v>
      </c>
      <c r="E1256" s="3">
        <v>220893</v>
      </c>
      <c r="F1256" s="2">
        <v>169048.11600000001</v>
      </c>
      <c r="G1256" t="s">
        <v>2646</v>
      </c>
      <c r="H1256" t="s">
        <v>3</v>
      </c>
      <c r="I1256">
        <f>HLOOKUP(G1256,zip_tiers!$A$1:$EON$2,2,FALSE)</f>
        <v>119878</v>
      </c>
      <c r="J1256" t="str">
        <f t="shared" si="19"/>
        <v>High</v>
      </c>
      <c r="K1256">
        <f>dataset[[#This Row],[soda_sales]]/dataset[[#This Row],[soda_units_sold]]</f>
        <v>0.7652941288316063</v>
      </c>
      <c r="L1256" s="29">
        <f>dataset[[#This Row],[implied_soda_ppu]]-dataset[[#This Row],[soda_ppu]]</f>
        <v>-5.8711683936785164E-6</v>
      </c>
      <c r="M1256">
        <f>dataset[[#This Row],[soda_sales]]/dataset[[#This Row],[total_sales]]</f>
        <v>5.0809284068051526E-2</v>
      </c>
      <c r="N1256">
        <f>LN(dataset[[#This Row],[soda_units_sold]])</f>
        <v>12.305433700359263</v>
      </c>
      <c r="O1256">
        <f>LN(dataset[[#This Row],[soda_sales]])</f>
        <v>12.037938663442164</v>
      </c>
      <c r="P1256">
        <f>LN(dataset[[#This Row],[soda_ppu]])</f>
        <v>-0.26748736516626165</v>
      </c>
      <c r="Q1256">
        <f>IF(dataset[[#This Row],[state]]="VA",1,0)</f>
        <v>1</v>
      </c>
    </row>
    <row r="1257" spans="1:17" x14ac:dyDescent="0.35">
      <c r="A1257">
        <v>202408</v>
      </c>
      <c r="B1257">
        <v>6</v>
      </c>
      <c r="C1257" s="2">
        <v>3136615.7666000002</v>
      </c>
      <c r="D1257" s="2">
        <v>0.75590000000000002</v>
      </c>
      <c r="E1257" s="3">
        <v>189604</v>
      </c>
      <c r="F1257" s="2">
        <v>143323.62700000001</v>
      </c>
      <c r="G1257" t="s">
        <v>2646</v>
      </c>
      <c r="H1257" t="s">
        <v>3</v>
      </c>
      <c r="I1257">
        <f>HLOOKUP(G1257,zip_tiers!$A$1:$EON$2,2,FALSE)</f>
        <v>119878</v>
      </c>
      <c r="J1257" t="str">
        <f t="shared" si="19"/>
        <v>High</v>
      </c>
      <c r="K1257">
        <f>dataset[[#This Row],[soda_sales]]/dataset[[#This Row],[soda_units_sold]]</f>
        <v>0.75591035526676653</v>
      </c>
      <c r="L1257" s="29">
        <f>dataset[[#This Row],[implied_soda_ppu]]-dataset[[#This Row],[soda_ppu]]</f>
        <v>1.0355266766515214E-5</v>
      </c>
      <c r="M1257">
        <f>dataset[[#This Row],[soda_sales]]/dataset[[#This Row],[total_sales]]</f>
        <v>4.5693715030757059E-2</v>
      </c>
      <c r="N1257">
        <f>LN(dataset[[#This Row],[soda_units_sold]])</f>
        <v>12.152692965626933</v>
      </c>
      <c r="O1257">
        <f>LN(dataset[[#This Row],[soda_sales]])</f>
        <v>11.872860478103975</v>
      </c>
      <c r="P1257">
        <f>LN(dataset[[#This Row],[soda_ppu]])</f>
        <v>-0.27984618668400602</v>
      </c>
      <c r="Q1257">
        <f>IF(dataset[[#This Row],[state]]="VA",1,0)</f>
        <v>1</v>
      </c>
    </row>
    <row r="1258" spans="1:17" x14ac:dyDescent="0.35">
      <c r="A1258">
        <v>202409</v>
      </c>
      <c r="B1258">
        <v>6</v>
      </c>
      <c r="C1258" s="2">
        <v>3112999.6677999999</v>
      </c>
      <c r="D1258" s="2">
        <v>0.75070000000000003</v>
      </c>
      <c r="E1258" s="3">
        <v>180319</v>
      </c>
      <c r="F1258" s="2">
        <v>135372.9688</v>
      </c>
      <c r="G1258" t="s">
        <v>2646</v>
      </c>
      <c r="H1258" t="s">
        <v>3</v>
      </c>
      <c r="I1258">
        <f>HLOOKUP(G1258,zip_tiers!$A$1:$EON$2,2,FALSE)</f>
        <v>119878</v>
      </c>
      <c r="J1258" t="str">
        <f t="shared" si="19"/>
        <v>High</v>
      </c>
      <c r="K1258">
        <f>dataset[[#This Row],[soda_sales]]/dataset[[#This Row],[soda_units_sold]]</f>
        <v>0.75074156799893521</v>
      </c>
      <c r="L1258" s="29">
        <f>dataset[[#This Row],[implied_soda_ppu]]-dataset[[#This Row],[soda_ppu]]</f>
        <v>4.1567998935176931E-5</v>
      </c>
      <c r="M1258">
        <f>dataset[[#This Row],[soda_sales]]/dataset[[#This Row],[total_sales]]</f>
        <v>4.3486342192792446E-2</v>
      </c>
      <c r="N1258">
        <f>LN(dataset[[#This Row],[soda_units_sold]])</f>
        <v>12.102482783561687</v>
      </c>
      <c r="O1258">
        <f>LN(dataset[[#This Row],[soda_sales]])</f>
        <v>11.815788979943266</v>
      </c>
      <c r="P1258">
        <f>LN(dataset[[#This Row],[soda_ppu]])</f>
        <v>-0.28674917440318032</v>
      </c>
      <c r="Q1258">
        <f>IF(dataset[[#This Row],[state]]="VA",1,0)</f>
        <v>1</v>
      </c>
    </row>
    <row r="1259" spans="1:17" x14ac:dyDescent="0.35">
      <c r="A1259">
        <v>202410</v>
      </c>
      <c r="B1259">
        <v>6</v>
      </c>
      <c r="C1259" s="2">
        <v>3866875.0641000001</v>
      </c>
      <c r="D1259" s="2">
        <v>0.76060000000000005</v>
      </c>
      <c r="E1259" s="3">
        <v>176576</v>
      </c>
      <c r="F1259" s="2">
        <v>134300.02660000001</v>
      </c>
      <c r="G1259" t="s">
        <v>2646</v>
      </c>
      <c r="H1259" t="s">
        <v>3</v>
      </c>
      <c r="I1259">
        <f>HLOOKUP(G1259,zip_tiers!$A$1:$EON$2,2,FALSE)</f>
        <v>119878</v>
      </c>
      <c r="J1259" t="str">
        <f t="shared" si="19"/>
        <v>High</v>
      </c>
      <c r="K1259">
        <f>dataset[[#This Row],[soda_sales]]/dataset[[#This Row],[soda_units_sold]]</f>
        <v>0.76057916477890541</v>
      </c>
      <c r="L1259" s="29">
        <f>dataset[[#This Row],[implied_soda_ppu]]-dataset[[#This Row],[soda_ppu]]</f>
        <v>-2.0835221094639422E-5</v>
      </c>
      <c r="M1259">
        <f>dataset[[#This Row],[soda_sales]]/dataset[[#This Row],[total_sales]]</f>
        <v>3.4730893647648226E-2</v>
      </c>
      <c r="N1259">
        <f>LN(dataset[[#This Row],[soda_units_sold]])</f>
        <v>12.081506657576957</v>
      </c>
      <c r="O1259">
        <f>LN(dataset[[#This Row],[soda_sales]])</f>
        <v>11.807831580575344</v>
      </c>
      <c r="P1259">
        <f>LN(dataset[[#This Row],[soda_ppu]])</f>
        <v>-0.27364768348797769</v>
      </c>
      <c r="Q1259">
        <f>IF(dataset[[#This Row],[state]]="VA",1,0)</f>
        <v>1</v>
      </c>
    </row>
    <row r="1260" spans="1:17" x14ac:dyDescent="0.35">
      <c r="A1260">
        <v>202411</v>
      </c>
      <c r="B1260">
        <v>6</v>
      </c>
      <c r="C1260" s="2">
        <v>4340663.6573999999</v>
      </c>
      <c r="D1260" s="2">
        <v>0.77</v>
      </c>
      <c r="E1260" s="3">
        <v>159624</v>
      </c>
      <c r="F1260" s="2">
        <v>122903.62790000001</v>
      </c>
      <c r="G1260" t="s">
        <v>2646</v>
      </c>
      <c r="H1260" t="s">
        <v>3</v>
      </c>
      <c r="I1260">
        <f>HLOOKUP(G1260,zip_tiers!$A$1:$EON$2,2,FALSE)</f>
        <v>119878</v>
      </c>
      <c r="J1260" t="str">
        <f t="shared" si="19"/>
        <v>High</v>
      </c>
      <c r="K1260">
        <f>dataset[[#This Row],[soda_sales]]/dataset[[#This Row],[soda_units_sold]]</f>
        <v>0.76995707349771969</v>
      </c>
      <c r="L1260" s="29">
        <f>dataset[[#This Row],[implied_soda_ppu]]-dataset[[#This Row],[soda_ppu]]</f>
        <v>-4.2926502280327128E-5</v>
      </c>
      <c r="M1260">
        <f>dataset[[#This Row],[soda_sales]]/dataset[[#This Row],[total_sales]]</f>
        <v>2.8314478522304502E-2</v>
      </c>
      <c r="N1260">
        <f>LN(dataset[[#This Row],[soda_units_sold]])</f>
        <v>11.980576328632367</v>
      </c>
      <c r="O1260">
        <f>LN(dataset[[#This Row],[soda_sales]])</f>
        <v>11.719155814239683</v>
      </c>
      <c r="P1260">
        <f>LN(dataset[[#This Row],[soda_ppu]])</f>
        <v>-0.26136476413440751</v>
      </c>
      <c r="Q1260">
        <f>IF(dataset[[#This Row],[state]]="VA",1,0)</f>
        <v>1</v>
      </c>
    </row>
    <row r="1261" spans="1:17" x14ac:dyDescent="0.35">
      <c r="A1261">
        <v>202412</v>
      </c>
      <c r="B1261">
        <v>6</v>
      </c>
      <c r="C1261" s="2">
        <v>4497095.0436000004</v>
      </c>
      <c r="D1261" s="2">
        <v>0.77139999999999997</v>
      </c>
      <c r="E1261" s="3">
        <v>156171</v>
      </c>
      <c r="F1261" s="2">
        <v>120469.3553</v>
      </c>
      <c r="G1261" t="s">
        <v>2646</v>
      </c>
      <c r="H1261" t="s">
        <v>3</v>
      </c>
      <c r="I1261">
        <f>HLOOKUP(G1261,zip_tiers!$A$1:$EON$2,2,FALSE)</f>
        <v>119878</v>
      </c>
      <c r="J1261" t="str">
        <f t="shared" si="19"/>
        <v>High</v>
      </c>
      <c r="K1261">
        <f>dataset[[#This Row],[soda_sales]]/dataset[[#This Row],[soda_units_sold]]</f>
        <v>0.77139389067112329</v>
      </c>
      <c r="L1261" s="29">
        <f>dataset[[#This Row],[implied_soda_ppu]]-dataset[[#This Row],[soda_ppu]]</f>
        <v>-6.1093288766800313E-6</v>
      </c>
      <c r="M1261">
        <f>dataset[[#This Row],[soda_sales]]/dataset[[#This Row],[total_sales]]</f>
        <v>2.6788260895540747E-2</v>
      </c>
      <c r="N1261">
        <f>LN(dataset[[#This Row],[soda_units_sold]])</f>
        <v>11.95870683973987</v>
      </c>
      <c r="O1261">
        <f>LN(dataset[[#This Row],[soda_sales]])</f>
        <v>11.699150686706776</v>
      </c>
      <c r="P1261">
        <f>LN(dataset[[#This Row],[soda_ppu]])</f>
        <v>-0.25954823320800968</v>
      </c>
      <c r="Q1261">
        <f>IF(dataset[[#This Row],[state]]="VA",1,0)</f>
        <v>1</v>
      </c>
    </row>
    <row r="1262" spans="1:17" x14ac:dyDescent="0.35">
      <c r="A1262">
        <v>202201</v>
      </c>
      <c r="B1262">
        <v>75</v>
      </c>
      <c r="C1262" s="2">
        <v>1721795.5364999999</v>
      </c>
      <c r="D1262" s="2">
        <v>0.71879999999999999</v>
      </c>
      <c r="E1262" s="3">
        <v>148225</v>
      </c>
      <c r="F1262" s="2">
        <v>106545.4002</v>
      </c>
      <c r="G1262" t="s">
        <v>2673</v>
      </c>
      <c r="H1262" t="s">
        <v>3</v>
      </c>
      <c r="I1262">
        <f>HLOOKUP(G1262,zip_tiers!$A$1:$EON$2,2,FALSE)</f>
        <v>57821.333333333336</v>
      </c>
      <c r="J1262" t="str">
        <f t="shared" si="19"/>
        <v>Med</v>
      </c>
      <c r="K1262">
        <f>dataset[[#This Row],[soda_sales]]/dataset[[#This Row],[soda_units_sold]]</f>
        <v>0.71880856940462134</v>
      </c>
      <c r="L1262" s="29">
        <f>dataset[[#This Row],[implied_soda_ppu]]-dataset[[#This Row],[soda_ppu]]</f>
        <v>8.5694046213502517E-6</v>
      </c>
      <c r="M1262">
        <f>dataset[[#This Row],[soda_sales]]/dataset[[#This Row],[total_sales]]</f>
        <v>6.188040213914215E-2</v>
      </c>
      <c r="N1262">
        <f>LN(dataset[[#This Row],[soda_units_sold]])</f>
        <v>11.906486668575569</v>
      </c>
      <c r="O1262">
        <f>LN(dataset[[#This Row],[soda_sales]])</f>
        <v>11.576326466252334</v>
      </c>
      <c r="P1262">
        <f>LN(dataset[[#This Row],[soda_ppu]])</f>
        <v>-0.33017212407273311</v>
      </c>
      <c r="Q1262">
        <f>IF(dataset[[#This Row],[state]]="VA",1,0)</f>
        <v>1</v>
      </c>
    </row>
    <row r="1263" spans="1:17" x14ac:dyDescent="0.35">
      <c r="A1263">
        <v>202202</v>
      </c>
      <c r="B1263">
        <v>75</v>
      </c>
      <c r="C1263" s="2">
        <v>1934469.6798</v>
      </c>
      <c r="D1263" s="2">
        <v>0.75180000000000002</v>
      </c>
      <c r="E1263" s="3">
        <v>157192</v>
      </c>
      <c r="F1263" s="2">
        <v>118180.0076</v>
      </c>
      <c r="G1263" t="s">
        <v>2673</v>
      </c>
      <c r="H1263" t="s">
        <v>3</v>
      </c>
      <c r="I1263">
        <f>HLOOKUP(G1263,zip_tiers!$A$1:$EON$2,2,FALSE)</f>
        <v>57821.333333333336</v>
      </c>
      <c r="J1263" t="str">
        <f t="shared" si="19"/>
        <v>Med</v>
      </c>
      <c r="K1263">
        <f>dataset[[#This Row],[soda_sales]]/dataset[[#This Row],[soda_units_sold]]</f>
        <v>0.75181947936281746</v>
      </c>
      <c r="L1263" s="29">
        <f>dataset[[#This Row],[implied_soda_ppu]]-dataset[[#This Row],[soda_ppu]]</f>
        <v>1.9479362817431678E-5</v>
      </c>
      <c r="M1263">
        <f>dataset[[#This Row],[soda_sales]]/dataset[[#This Row],[total_sales]]</f>
        <v>6.1091682559851923E-2</v>
      </c>
      <c r="N1263">
        <f>LN(dataset[[#This Row],[soda_units_sold]])</f>
        <v>11.965223267097032</v>
      </c>
      <c r="O1263">
        <f>LN(dataset[[#This Row],[soda_sales]])</f>
        <v>11.679964229208345</v>
      </c>
      <c r="P1263">
        <f>LN(dataset[[#This Row],[soda_ppu]])</f>
        <v>-0.28528494785205938</v>
      </c>
      <c r="Q1263">
        <f>IF(dataset[[#This Row],[state]]="VA",1,0)</f>
        <v>1</v>
      </c>
    </row>
    <row r="1264" spans="1:17" x14ac:dyDescent="0.35">
      <c r="A1264">
        <v>202203</v>
      </c>
      <c r="B1264">
        <v>75</v>
      </c>
      <c r="C1264" s="2">
        <v>2198714.6518999999</v>
      </c>
      <c r="D1264" s="2">
        <v>0.74380000000000002</v>
      </c>
      <c r="E1264" s="3">
        <v>194078</v>
      </c>
      <c r="F1264" s="2">
        <v>144355.47270000001</v>
      </c>
      <c r="G1264" t="s">
        <v>2673</v>
      </c>
      <c r="H1264" t="s">
        <v>3</v>
      </c>
      <c r="I1264">
        <f>HLOOKUP(G1264,zip_tiers!$A$1:$EON$2,2,FALSE)</f>
        <v>57821.333333333336</v>
      </c>
      <c r="J1264" t="str">
        <f t="shared" si="19"/>
        <v>Med</v>
      </c>
      <c r="K1264">
        <f>dataset[[#This Row],[soda_sales]]/dataset[[#This Row],[soda_units_sold]]</f>
        <v>0.74380132060305659</v>
      </c>
      <c r="L1264" s="29">
        <f>dataset[[#This Row],[implied_soda_ppu]]-dataset[[#This Row],[soda_ppu]]</f>
        <v>1.3206030565759974E-6</v>
      </c>
      <c r="M1264">
        <f>dataset[[#This Row],[soda_sales]]/dataset[[#This Row],[total_sales]]</f>
        <v>6.5654482529261579E-2</v>
      </c>
      <c r="N1264">
        <f>LN(dataset[[#This Row],[soda_units_sold]])</f>
        <v>12.176015419095926</v>
      </c>
      <c r="O1264">
        <f>LN(dataset[[#This Row],[soda_sales]])</f>
        <v>11.88003409708457</v>
      </c>
      <c r="P1264">
        <f>LN(dataset[[#This Row],[soda_ppu]])</f>
        <v>-0.29598309749116736</v>
      </c>
      <c r="Q1264">
        <f>IF(dataset[[#This Row],[state]]="VA",1,0)</f>
        <v>1</v>
      </c>
    </row>
    <row r="1265" spans="1:17" x14ac:dyDescent="0.35">
      <c r="A1265">
        <v>202204</v>
      </c>
      <c r="B1265">
        <v>75</v>
      </c>
      <c r="C1265" s="2">
        <v>2293471.0893999999</v>
      </c>
      <c r="D1265" s="2">
        <v>0.73750000000000004</v>
      </c>
      <c r="E1265" s="3">
        <v>224587</v>
      </c>
      <c r="F1265" s="2">
        <v>165629.7721</v>
      </c>
      <c r="G1265" t="s">
        <v>2673</v>
      </c>
      <c r="H1265" t="s">
        <v>3</v>
      </c>
      <c r="I1265">
        <f>HLOOKUP(G1265,zip_tiers!$A$1:$EON$2,2,FALSE)</f>
        <v>57821.333333333336</v>
      </c>
      <c r="J1265" t="str">
        <f t="shared" si="19"/>
        <v>Med</v>
      </c>
      <c r="K1265">
        <f>dataset[[#This Row],[soda_sales]]/dataset[[#This Row],[soda_units_sold]]</f>
        <v>0.73748601700009353</v>
      </c>
      <c r="L1265" s="29">
        <f>dataset[[#This Row],[implied_soda_ppu]]-dataset[[#This Row],[soda_ppu]]</f>
        <v>-1.3982999906514415E-5</v>
      </c>
      <c r="M1265">
        <f>dataset[[#This Row],[soda_sales]]/dataset[[#This Row],[total_sales]]</f>
        <v>7.221794635454977E-2</v>
      </c>
      <c r="N1265">
        <f>LN(dataset[[#This Row],[soda_units_sold]])</f>
        <v>12.32201843893457</v>
      </c>
      <c r="O1265">
        <f>LN(dataset[[#This Row],[soda_sales]])</f>
        <v>12.017510287986791</v>
      </c>
      <c r="P1265">
        <f>LN(dataset[[#This Row],[soda_ppu]])</f>
        <v>-0.30448919076816211</v>
      </c>
      <c r="Q1265">
        <f>IF(dataset[[#This Row],[state]]="VA",1,0)</f>
        <v>1</v>
      </c>
    </row>
    <row r="1266" spans="1:17" x14ac:dyDescent="0.35">
      <c r="A1266">
        <v>202205</v>
      </c>
      <c r="B1266">
        <v>75</v>
      </c>
      <c r="C1266" s="2">
        <v>2363051.7571999999</v>
      </c>
      <c r="D1266" s="2">
        <v>0.72929999999999995</v>
      </c>
      <c r="E1266" s="3">
        <v>246261</v>
      </c>
      <c r="F1266" s="2">
        <v>179590.3646</v>
      </c>
      <c r="G1266" t="s">
        <v>2673</v>
      </c>
      <c r="H1266" t="s">
        <v>3</v>
      </c>
      <c r="I1266">
        <f>HLOOKUP(G1266,zip_tiers!$A$1:$EON$2,2,FALSE)</f>
        <v>57821.333333333336</v>
      </c>
      <c r="J1266" t="str">
        <f t="shared" si="19"/>
        <v>Med</v>
      </c>
      <c r="K1266">
        <f>dataset[[#This Row],[soda_sales]]/dataset[[#This Row],[soda_units_sold]]</f>
        <v>0.72926839653863174</v>
      </c>
      <c r="L1266" s="29">
        <f>dataset[[#This Row],[implied_soda_ppu]]-dataset[[#This Row],[soda_ppu]]</f>
        <v>-3.1603461368212571E-5</v>
      </c>
      <c r="M1266">
        <f>dataset[[#This Row],[soda_sales]]/dataset[[#This Row],[total_sales]]</f>
        <v>7.5999336050429189E-2</v>
      </c>
      <c r="N1266">
        <f>LN(dataset[[#This Row],[soda_units_sold]])</f>
        <v>12.414147228087419</v>
      </c>
      <c r="O1266">
        <f>LN(dataset[[#This Row],[soda_sales]])</f>
        <v>12.098433784190576</v>
      </c>
      <c r="P1266">
        <f>LN(dataset[[#This Row],[soda_ppu]])</f>
        <v>-0.31567010899194975</v>
      </c>
      <c r="Q1266">
        <f>IF(dataset[[#This Row],[state]]="VA",1,0)</f>
        <v>1</v>
      </c>
    </row>
    <row r="1267" spans="1:17" x14ac:dyDescent="0.35">
      <c r="A1267">
        <v>202206</v>
      </c>
      <c r="B1267">
        <v>75</v>
      </c>
      <c r="C1267" s="2">
        <v>2303837.9698999999</v>
      </c>
      <c r="D1267" s="2">
        <v>0.73650000000000004</v>
      </c>
      <c r="E1267" s="3">
        <v>260838</v>
      </c>
      <c r="F1267" s="2">
        <v>192109.8665</v>
      </c>
      <c r="G1267" t="s">
        <v>2673</v>
      </c>
      <c r="H1267" t="s">
        <v>3</v>
      </c>
      <c r="I1267">
        <f>HLOOKUP(G1267,zip_tiers!$A$1:$EON$2,2,FALSE)</f>
        <v>57821.333333333336</v>
      </c>
      <c r="J1267" t="str">
        <f t="shared" si="19"/>
        <v>Med</v>
      </c>
      <c r="K1267">
        <f>dataset[[#This Row],[soda_sales]]/dataset[[#This Row],[soda_units_sold]]</f>
        <v>0.73651027265965852</v>
      </c>
      <c r="L1267" s="29">
        <f>dataset[[#This Row],[implied_soda_ppu]]-dataset[[#This Row],[soda_ppu]]</f>
        <v>1.027265965847235E-5</v>
      </c>
      <c r="M1267">
        <f>dataset[[#This Row],[soda_sales]]/dataset[[#This Row],[total_sales]]</f>
        <v>8.3386882675754628E-2</v>
      </c>
      <c r="N1267">
        <f>LN(dataset[[#This Row],[soda_units_sold]])</f>
        <v>12.471654803942089</v>
      </c>
      <c r="O1267">
        <f>LN(dataset[[#This Row],[soda_sales]])</f>
        <v>12.165822708707875</v>
      </c>
      <c r="P1267">
        <f>LN(dataset[[#This Row],[soda_ppu]])</f>
        <v>-0.30584604307945201</v>
      </c>
      <c r="Q1267">
        <f>IF(dataset[[#This Row],[state]]="VA",1,0)</f>
        <v>1</v>
      </c>
    </row>
    <row r="1268" spans="1:17" x14ac:dyDescent="0.35">
      <c r="A1268">
        <v>202207</v>
      </c>
      <c r="B1268">
        <v>75</v>
      </c>
      <c r="C1268" s="2">
        <v>2143951.2980999998</v>
      </c>
      <c r="D1268" s="2">
        <v>0.7581</v>
      </c>
      <c r="E1268" s="3">
        <v>248474</v>
      </c>
      <c r="F1268" s="2">
        <v>188356.9357</v>
      </c>
      <c r="G1268" t="s">
        <v>2673</v>
      </c>
      <c r="H1268" t="s">
        <v>3</v>
      </c>
      <c r="I1268">
        <f>HLOOKUP(G1268,zip_tiers!$A$1:$EON$2,2,FALSE)</f>
        <v>57821.333333333336</v>
      </c>
      <c r="J1268" t="str">
        <f t="shared" si="19"/>
        <v>Med</v>
      </c>
      <c r="K1268">
        <f>dataset[[#This Row],[soda_sales]]/dataset[[#This Row],[soda_units_sold]]</f>
        <v>0.75805490997045966</v>
      </c>
      <c r="L1268" s="29">
        <f>dataset[[#This Row],[implied_soda_ppu]]-dataset[[#This Row],[soda_ppu]]</f>
        <v>-4.5090029540340026E-5</v>
      </c>
      <c r="M1268">
        <f>dataset[[#This Row],[soda_sales]]/dataset[[#This Row],[total_sales]]</f>
        <v>8.7855044033381083E-2</v>
      </c>
      <c r="N1268">
        <f>LN(dataset[[#This Row],[soda_units_sold]])</f>
        <v>12.423093491278355</v>
      </c>
      <c r="O1268">
        <f>LN(dataset[[#This Row],[soda_sales]])</f>
        <v>12.14609403590917</v>
      </c>
      <c r="P1268">
        <f>LN(dataset[[#This Row],[soda_ppu]])</f>
        <v>-0.27693997591987884</v>
      </c>
      <c r="Q1268">
        <f>IF(dataset[[#This Row],[state]]="VA",1,0)</f>
        <v>1</v>
      </c>
    </row>
    <row r="1269" spans="1:17" x14ac:dyDescent="0.35">
      <c r="A1269">
        <v>202208</v>
      </c>
      <c r="B1269">
        <v>75</v>
      </c>
      <c r="C1269" s="2">
        <v>2086500.162</v>
      </c>
      <c r="D1269" s="2">
        <v>0.73899999999999999</v>
      </c>
      <c r="E1269" s="3">
        <v>235364</v>
      </c>
      <c r="F1269" s="2">
        <v>173932.8437</v>
      </c>
      <c r="G1269" t="s">
        <v>2673</v>
      </c>
      <c r="H1269" t="s">
        <v>3</v>
      </c>
      <c r="I1269">
        <f>HLOOKUP(G1269,zip_tiers!$A$1:$EON$2,2,FALSE)</f>
        <v>57821.333333333336</v>
      </c>
      <c r="J1269" t="str">
        <f t="shared" si="19"/>
        <v>Med</v>
      </c>
      <c r="K1269">
        <f>dataset[[#This Row],[soda_sales]]/dataset[[#This Row],[soda_units_sold]]</f>
        <v>0.73899510417905878</v>
      </c>
      <c r="L1269" s="29">
        <f>dataset[[#This Row],[implied_soda_ppu]]-dataset[[#This Row],[soda_ppu]]</f>
        <v>-4.8958209412086617E-6</v>
      </c>
      <c r="M1269">
        <f>dataset[[#This Row],[soda_sales]]/dataset[[#This Row],[total_sales]]</f>
        <v>8.3361049698303352E-2</v>
      </c>
      <c r="N1269">
        <f>LN(dataset[[#This Row],[soda_units_sold]])</f>
        <v>12.36888853093218</v>
      </c>
      <c r="O1269">
        <f>LN(dataset[[#This Row],[soda_sales]])</f>
        <v>12.066424547949451</v>
      </c>
      <c r="P1269">
        <f>LN(dataset[[#This Row],[soda_ppu]])</f>
        <v>-0.30245735803393531</v>
      </c>
      <c r="Q1269">
        <f>IF(dataset[[#This Row],[state]]="VA",1,0)</f>
        <v>1</v>
      </c>
    </row>
    <row r="1270" spans="1:17" x14ac:dyDescent="0.35">
      <c r="A1270">
        <v>202209</v>
      </c>
      <c r="B1270">
        <v>75</v>
      </c>
      <c r="C1270" s="2">
        <v>2071367.8984000001</v>
      </c>
      <c r="D1270" s="2">
        <v>0.74009999999999998</v>
      </c>
      <c r="E1270" s="3">
        <v>218894</v>
      </c>
      <c r="F1270" s="2">
        <v>162002.52770000001</v>
      </c>
      <c r="G1270" t="s">
        <v>2673</v>
      </c>
      <c r="H1270" t="s">
        <v>3</v>
      </c>
      <c r="I1270">
        <f>HLOOKUP(G1270,zip_tiers!$A$1:$EON$2,2,FALSE)</f>
        <v>57821.333333333336</v>
      </c>
      <c r="J1270" t="str">
        <f t="shared" si="19"/>
        <v>Med</v>
      </c>
      <c r="K1270">
        <f>dataset[[#This Row],[soda_sales]]/dataset[[#This Row],[soda_units_sold]]</f>
        <v>0.74009578928613851</v>
      </c>
      <c r="L1270" s="29">
        <f>dataset[[#This Row],[implied_soda_ppu]]-dataset[[#This Row],[soda_ppu]]</f>
        <v>-4.2107138614744244E-6</v>
      </c>
      <c r="M1270">
        <f>dataset[[#This Row],[soda_sales]]/dataset[[#This Row],[total_sales]]</f>
        <v>7.8210407636971027E-2</v>
      </c>
      <c r="N1270">
        <f>LN(dataset[[#This Row],[soda_units_sold]])</f>
        <v>12.296342873359146</v>
      </c>
      <c r="O1270">
        <f>LN(dataset[[#This Row],[soda_sales]])</f>
        <v>11.995367217179213</v>
      </c>
      <c r="P1270">
        <f>LN(dataset[[#This Row],[soda_ppu]])</f>
        <v>-0.30096996677871635</v>
      </c>
      <c r="Q1270">
        <f>IF(dataset[[#This Row],[state]]="VA",1,0)</f>
        <v>1</v>
      </c>
    </row>
    <row r="1271" spans="1:17" x14ac:dyDescent="0.35">
      <c r="A1271">
        <v>202210</v>
      </c>
      <c r="B1271">
        <v>75</v>
      </c>
      <c r="C1271" s="2">
        <v>2542382.8324000002</v>
      </c>
      <c r="D1271" s="2">
        <v>0.72219999999999995</v>
      </c>
      <c r="E1271" s="3">
        <v>223377</v>
      </c>
      <c r="F1271" s="2">
        <v>161332.399</v>
      </c>
      <c r="G1271" t="s">
        <v>2673</v>
      </c>
      <c r="H1271" t="s">
        <v>3</v>
      </c>
      <c r="I1271">
        <f>HLOOKUP(G1271,zip_tiers!$A$1:$EON$2,2,FALSE)</f>
        <v>57821.333333333336</v>
      </c>
      <c r="J1271" t="str">
        <f t="shared" si="19"/>
        <v>Med</v>
      </c>
      <c r="K1271">
        <f>dataset[[#This Row],[soda_sales]]/dataset[[#This Row],[soda_units_sold]]</f>
        <v>0.72224266150946603</v>
      </c>
      <c r="L1271" s="29">
        <f>dataset[[#This Row],[implied_soda_ppu]]-dataset[[#This Row],[soda_ppu]]</f>
        <v>4.2661509466079828E-5</v>
      </c>
      <c r="M1271">
        <f>dataset[[#This Row],[soda_sales]]/dataset[[#This Row],[total_sales]]</f>
        <v>6.3457161897094314E-2</v>
      </c>
      <c r="N1271">
        <f>LN(dataset[[#This Row],[soda_units_sold]])</f>
        <v>12.316616205975087</v>
      </c>
      <c r="O1271">
        <f>LN(dataset[[#This Row],[soda_sales]])</f>
        <v>11.991222105691575</v>
      </c>
      <c r="P1271">
        <f>LN(dataset[[#This Row],[soda_ppu]])</f>
        <v>-0.32545317013877972</v>
      </c>
      <c r="Q1271">
        <f>IF(dataset[[#This Row],[state]]="VA",1,0)</f>
        <v>1</v>
      </c>
    </row>
    <row r="1272" spans="1:17" x14ac:dyDescent="0.35">
      <c r="A1272">
        <v>202211</v>
      </c>
      <c r="B1272">
        <v>75</v>
      </c>
      <c r="C1272" s="2">
        <v>2896143.3188</v>
      </c>
      <c r="D1272" s="2">
        <v>0.75380000000000003</v>
      </c>
      <c r="E1272" s="3">
        <v>197469</v>
      </c>
      <c r="F1272" s="2">
        <v>148854.2242</v>
      </c>
      <c r="G1272" t="s">
        <v>2673</v>
      </c>
      <c r="H1272" t="s">
        <v>3</v>
      </c>
      <c r="I1272">
        <f>HLOOKUP(G1272,zip_tiers!$A$1:$EON$2,2,FALSE)</f>
        <v>57821.333333333336</v>
      </c>
      <c r="J1272" t="str">
        <f t="shared" si="19"/>
        <v>Med</v>
      </c>
      <c r="K1272">
        <f>dataset[[#This Row],[soda_sales]]/dataset[[#This Row],[soda_units_sold]]</f>
        <v>0.75381059406792961</v>
      </c>
      <c r="L1272" s="29">
        <f>dataset[[#This Row],[implied_soda_ppu]]-dataset[[#This Row],[soda_ppu]]</f>
        <v>1.0594067929581286E-5</v>
      </c>
      <c r="M1272">
        <f>dataset[[#This Row],[soda_sales]]/dataset[[#This Row],[total_sales]]</f>
        <v>5.139739571371657E-2</v>
      </c>
      <c r="N1272">
        <f>LN(dataset[[#This Row],[soda_units_sold]])</f>
        <v>12.19333688897817</v>
      </c>
      <c r="O1272">
        <f>LN(dataset[[#This Row],[soda_sales]])</f>
        <v>11.910722744946186</v>
      </c>
      <c r="P1272">
        <f>LN(dataset[[#This Row],[soda_ppu]])</f>
        <v>-0.28262819814910195</v>
      </c>
      <c r="Q1272">
        <f>IF(dataset[[#This Row],[state]]="VA",1,0)</f>
        <v>1</v>
      </c>
    </row>
    <row r="1273" spans="1:17" x14ac:dyDescent="0.35">
      <c r="A1273">
        <v>202212</v>
      </c>
      <c r="B1273">
        <v>75</v>
      </c>
      <c r="C1273" s="2">
        <v>3031303.5041999999</v>
      </c>
      <c r="D1273" s="2">
        <v>0.70120000000000005</v>
      </c>
      <c r="E1273" s="3">
        <v>213002</v>
      </c>
      <c r="F1273" s="2">
        <v>149356.0239</v>
      </c>
      <c r="G1273" t="s">
        <v>2673</v>
      </c>
      <c r="H1273" t="s">
        <v>3</v>
      </c>
      <c r="I1273">
        <f>HLOOKUP(G1273,zip_tiers!$A$1:$EON$2,2,FALSE)</f>
        <v>57821.333333333336</v>
      </c>
      <c r="J1273" t="str">
        <f t="shared" si="19"/>
        <v>Med</v>
      </c>
      <c r="K1273">
        <f>dataset[[#This Row],[soda_sales]]/dataset[[#This Row],[soda_units_sold]]</f>
        <v>0.70119540614642117</v>
      </c>
      <c r="L1273" s="29">
        <f>dataset[[#This Row],[implied_soda_ppu]]-dataset[[#This Row],[soda_ppu]]</f>
        <v>-4.5938535788714319E-6</v>
      </c>
      <c r="M1273">
        <f>dataset[[#This Row],[soda_sales]]/dataset[[#This Row],[total_sales]]</f>
        <v>4.9271220678846865E-2</v>
      </c>
      <c r="N1273">
        <f>LN(dataset[[#This Row],[soda_units_sold]])</f>
        <v>12.269056834318841</v>
      </c>
      <c r="O1273">
        <f>LN(dataset[[#This Row],[soda_sales]])</f>
        <v>11.914088156945354</v>
      </c>
      <c r="P1273">
        <f>LN(dataset[[#This Row],[soda_ppu]])</f>
        <v>-0.35496212593505755</v>
      </c>
      <c r="Q1273">
        <f>IF(dataset[[#This Row],[state]]="VA",1,0)</f>
        <v>1</v>
      </c>
    </row>
    <row r="1274" spans="1:17" x14ac:dyDescent="0.35">
      <c r="A1274">
        <v>202301</v>
      </c>
      <c r="B1274">
        <v>75</v>
      </c>
      <c r="C1274" s="2">
        <v>1707903.0719000001</v>
      </c>
      <c r="D1274" s="2">
        <v>0.77600000000000002</v>
      </c>
      <c r="E1274" s="3">
        <v>134020</v>
      </c>
      <c r="F1274" s="2">
        <v>104000.1972</v>
      </c>
      <c r="G1274" t="s">
        <v>2673</v>
      </c>
      <c r="H1274" t="s">
        <v>3</v>
      </c>
      <c r="I1274">
        <f>HLOOKUP(G1274,zip_tiers!$A$1:$EON$2,2,FALSE)</f>
        <v>57821.333333333336</v>
      </c>
      <c r="J1274" t="str">
        <f t="shared" si="19"/>
        <v>Med</v>
      </c>
      <c r="K1274">
        <f>dataset[[#This Row],[soda_sales]]/dataset[[#This Row],[soda_units_sold]]</f>
        <v>0.7760050529771676</v>
      </c>
      <c r="L1274" s="29">
        <f>dataset[[#This Row],[implied_soda_ppu]]-dataset[[#This Row],[soda_ppu]]</f>
        <v>5.0529771675744684E-6</v>
      </c>
      <c r="M1274">
        <f>dataset[[#This Row],[soda_sales]]/dataset[[#This Row],[total_sales]]</f>
        <v>6.0893500873151041E-2</v>
      </c>
      <c r="N1274">
        <f>LN(dataset[[#This Row],[soda_units_sold]])</f>
        <v>11.805744321527161</v>
      </c>
      <c r="O1274">
        <f>LN(dataset[[#This Row],[soda_sales]])</f>
        <v>11.552148074275559</v>
      </c>
      <c r="P1274">
        <f>LN(dataset[[#This Row],[soda_ppu]])</f>
        <v>-0.25360275879891825</v>
      </c>
      <c r="Q1274">
        <f>IF(dataset[[#This Row],[state]]="VA",1,0)</f>
        <v>1</v>
      </c>
    </row>
    <row r="1275" spans="1:17" x14ac:dyDescent="0.35">
      <c r="A1275">
        <v>202302</v>
      </c>
      <c r="B1275">
        <v>75</v>
      </c>
      <c r="C1275" s="2">
        <v>1982869.9118999999</v>
      </c>
      <c r="D1275" s="2">
        <v>0.7409</v>
      </c>
      <c r="E1275" s="3">
        <v>165509</v>
      </c>
      <c r="F1275" s="2">
        <v>122623.621</v>
      </c>
      <c r="G1275" t="s">
        <v>2673</v>
      </c>
      <c r="H1275" t="s">
        <v>3</v>
      </c>
      <c r="I1275">
        <f>HLOOKUP(G1275,zip_tiers!$A$1:$EON$2,2,FALSE)</f>
        <v>57821.333333333336</v>
      </c>
      <c r="J1275" t="str">
        <f t="shared" si="19"/>
        <v>Med</v>
      </c>
      <c r="K1275">
        <f>dataset[[#This Row],[soda_sales]]/dataset[[#This Row],[soda_units_sold]]</f>
        <v>0.74088793358669314</v>
      </c>
      <c r="L1275" s="29">
        <f>dataset[[#This Row],[implied_soda_ppu]]-dataset[[#This Row],[soda_ppu]]</f>
        <v>-1.2066413306865975E-5</v>
      </c>
      <c r="M1275">
        <f>dataset[[#This Row],[soda_sales]]/dataset[[#This Row],[total_sales]]</f>
        <v>6.184148554783464E-2</v>
      </c>
      <c r="N1275">
        <f>LN(dataset[[#This Row],[soda_units_sold]])</f>
        <v>12.016780852985333</v>
      </c>
      <c r="O1275">
        <f>LN(dataset[[#This Row],[soda_sales]])</f>
        <v>11.716874951136745</v>
      </c>
      <c r="P1275">
        <f>LN(dataset[[#This Row],[soda_ppu]])</f>
        <v>-0.29988961555952581</v>
      </c>
      <c r="Q1275">
        <f>IF(dataset[[#This Row],[state]]="VA",1,0)</f>
        <v>1</v>
      </c>
    </row>
    <row r="1276" spans="1:17" x14ac:dyDescent="0.35">
      <c r="A1276">
        <v>202303</v>
      </c>
      <c r="B1276">
        <v>75</v>
      </c>
      <c r="C1276" s="2">
        <v>2204674.9010000001</v>
      </c>
      <c r="D1276" s="2">
        <v>0.75370000000000004</v>
      </c>
      <c r="E1276" s="3">
        <v>188520</v>
      </c>
      <c r="F1276" s="2">
        <v>142082.69519999999</v>
      </c>
      <c r="G1276" t="s">
        <v>2673</v>
      </c>
      <c r="H1276" t="s">
        <v>3</v>
      </c>
      <c r="I1276">
        <f>HLOOKUP(G1276,zip_tiers!$A$1:$EON$2,2,FALSE)</f>
        <v>57821.333333333336</v>
      </c>
      <c r="J1276" t="str">
        <f t="shared" si="19"/>
        <v>Med</v>
      </c>
      <c r="K1276">
        <f>dataset[[#This Row],[soda_sales]]/dataset[[#This Row],[soda_units_sold]]</f>
        <v>0.75367438574156587</v>
      </c>
      <c r="L1276" s="29">
        <f>dataset[[#This Row],[implied_soda_ppu]]-dataset[[#This Row],[soda_ppu]]</f>
        <v>-2.561425843417009E-5</v>
      </c>
      <c r="M1276">
        <f>dataset[[#This Row],[soda_sales]]/dataset[[#This Row],[total_sales]]</f>
        <v>6.4446098214096734E-2</v>
      </c>
      <c r="N1276">
        <f>LN(dataset[[#This Row],[soda_units_sold]])</f>
        <v>12.146959381037668</v>
      </c>
      <c r="O1276">
        <f>LN(dataset[[#This Row],[soda_sales]])</f>
        <v>11.864164527640671</v>
      </c>
      <c r="P1276">
        <f>LN(dataset[[#This Row],[soda_ppu]])</f>
        <v>-0.28276086813271278</v>
      </c>
      <c r="Q1276">
        <f>IF(dataset[[#This Row],[state]]="VA",1,0)</f>
        <v>1</v>
      </c>
    </row>
    <row r="1277" spans="1:17" x14ac:dyDescent="0.35">
      <c r="A1277">
        <v>202304</v>
      </c>
      <c r="B1277">
        <v>75</v>
      </c>
      <c r="C1277" s="2">
        <v>2290480.5115</v>
      </c>
      <c r="D1277" s="2">
        <v>0.74370000000000003</v>
      </c>
      <c r="E1277" s="3">
        <v>226745</v>
      </c>
      <c r="F1277" s="2">
        <v>168629.0944</v>
      </c>
      <c r="G1277" t="s">
        <v>2673</v>
      </c>
      <c r="H1277" t="s">
        <v>3</v>
      </c>
      <c r="I1277">
        <f>HLOOKUP(G1277,zip_tiers!$A$1:$EON$2,2,FALSE)</f>
        <v>57821.333333333336</v>
      </c>
      <c r="J1277" t="str">
        <f t="shared" si="19"/>
        <v>Med</v>
      </c>
      <c r="K1277">
        <f>dataset[[#This Row],[soda_sales]]/dataset[[#This Row],[soda_units_sold]]</f>
        <v>0.74369487485942354</v>
      </c>
      <c r="L1277" s="29">
        <f>dataset[[#This Row],[implied_soda_ppu]]-dataset[[#This Row],[soda_ppu]]</f>
        <v>-5.1251405764896063E-6</v>
      </c>
      <c r="M1277">
        <f>dataset[[#This Row],[soda_sales]]/dataset[[#This Row],[total_sales]]</f>
        <v>7.3621711057287029E-2</v>
      </c>
      <c r="N1277">
        <f>LN(dataset[[#This Row],[soda_units_sold]])</f>
        <v>12.331581317017614</v>
      </c>
      <c r="O1277">
        <f>LN(dataset[[#This Row],[soda_sales]])</f>
        <v>12.035456874312384</v>
      </c>
      <c r="P1277">
        <f>LN(dataset[[#This Row],[soda_ppu]])</f>
        <v>-0.29611755127288253</v>
      </c>
      <c r="Q1277">
        <f>IF(dataset[[#This Row],[state]]="VA",1,0)</f>
        <v>1</v>
      </c>
    </row>
    <row r="1278" spans="1:17" x14ac:dyDescent="0.35">
      <c r="A1278">
        <v>202305</v>
      </c>
      <c r="B1278">
        <v>75</v>
      </c>
      <c r="C1278" s="2">
        <v>2447919.9153999998</v>
      </c>
      <c r="D1278" s="2">
        <v>0.73229999999999995</v>
      </c>
      <c r="E1278" s="3">
        <v>254867</v>
      </c>
      <c r="F1278" s="2">
        <v>186631.33</v>
      </c>
      <c r="G1278" t="s">
        <v>2673</v>
      </c>
      <c r="H1278" t="s">
        <v>3</v>
      </c>
      <c r="I1278">
        <f>HLOOKUP(G1278,zip_tiers!$A$1:$EON$2,2,FALSE)</f>
        <v>57821.333333333336</v>
      </c>
      <c r="J1278" t="str">
        <f t="shared" si="19"/>
        <v>Med</v>
      </c>
      <c r="K1278">
        <f>dataset[[#This Row],[soda_sales]]/dataset[[#This Row],[soda_units_sold]]</f>
        <v>0.73226949742414671</v>
      </c>
      <c r="L1278" s="29">
        <f>dataset[[#This Row],[implied_soda_ppu]]-dataset[[#This Row],[soda_ppu]]</f>
        <v>-3.0502575853241787E-5</v>
      </c>
      <c r="M1278">
        <f>dataset[[#This Row],[soda_sales]]/dataset[[#This Row],[total_sales]]</f>
        <v>7.624078256232647E-2</v>
      </c>
      <c r="N1278">
        <f>LN(dataset[[#This Row],[soda_units_sold]])</f>
        <v>12.448497119448882</v>
      </c>
      <c r="O1278">
        <f>LN(dataset[[#This Row],[soda_sales]])</f>
        <v>12.136890452551611</v>
      </c>
      <c r="P1278">
        <f>LN(dataset[[#This Row],[soda_ppu]])</f>
        <v>-0.31156501291511302</v>
      </c>
      <c r="Q1278">
        <f>IF(dataset[[#This Row],[state]]="VA",1,0)</f>
        <v>1</v>
      </c>
    </row>
    <row r="1279" spans="1:17" x14ac:dyDescent="0.35">
      <c r="A1279">
        <v>202306</v>
      </c>
      <c r="B1279">
        <v>75</v>
      </c>
      <c r="C1279" s="2">
        <v>2273763.4375999998</v>
      </c>
      <c r="D1279" s="2">
        <v>0.74729999999999996</v>
      </c>
      <c r="E1279" s="3">
        <v>253810</v>
      </c>
      <c r="F1279" s="2">
        <v>189662.52220000001</v>
      </c>
      <c r="G1279" t="s">
        <v>2673</v>
      </c>
      <c r="H1279" t="s">
        <v>3</v>
      </c>
      <c r="I1279">
        <f>HLOOKUP(G1279,zip_tiers!$A$1:$EON$2,2,FALSE)</f>
        <v>57821.333333333336</v>
      </c>
      <c r="J1279" t="str">
        <f t="shared" si="19"/>
        <v>Med</v>
      </c>
      <c r="K1279">
        <f>dataset[[#This Row],[soda_sales]]/dataset[[#This Row],[soda_units_sold]]</f>
        <v>0.74726181868326702</v>
      </c>
      <c r="L1279" s="29">
        <f>dataset[[#This Row],[implied_soda_ppu]]-dataset[[#This Row],[soda_ppu]]</f>
        <v>-3.8181316732943671E-5</v>
      </c>
      <c r="M1279">
        <f>dataset[[#This Row],[soda_sales]]/dataset[[#This Row],[total_sales]]</f>
        <v>8.3413480515894117E-2</v>
      </c>
      <c r="N1279">
        <f>LN(dataset[[#This Row],[soda_units_sold]])</f>
        <v>12.444341234589452</v>
      </c>
      <c r="O1279">
        <f>LN(dataset[[#This Row],[soda_sales]])</f>
        <v>12.153001572883513</v>
      </c>
      <c r="P1279">
        <f>LN(dataset[[#This Row],[soda_ppu]])</f>
        <v>-0.29128856804589265</v>
      </c>
      <c r="Q1279">
        <f>IF(dataset[[#This Row],[state]]="VA",1,0)</f>
        <v>1</v>
      </c>
    </row>
    <row r="1280" spans="1:17" x14ac:dyDescent="0.35">
      <c r="A1280">
        <v>202307</v>
      </c>
      <c r="B1280">
        <v>75</v>
      </c>
      <c r="C1280" s="2">
        <v>2207828.2239000001</v>
      </c>
      <c r="D1280" s="2">
        <v>0.75649999999999995</v>
      </c>
      <c r="E1280" s="3">
        <v>264056</v>
      </c>
      <c r="F1280" s="2">
        <v>199762.34890000001</v>
      </c>
      <c r="G1280" t="s">
        <v>2673</v>
      </c>
      <c r="H1280" t="s">
        <v>3</v>
      </c>
      <c r="I1280">
        <f>HLOOKUP(G1280,zip_tiers!$A$1:$EON$2,2,FALSE)</f>
        <v>57821.333333333336</v>
      </c>
      <c r="J1280" t="str">
        <f t="shared" si="19"/>
        <v>Med</v>
      </c>
      <c r="K1280">
        <f>dataset[[#This Row],[soda_sales]]/dataset[[#This Row],[soda_units_sold]]</f>
        <v>0.75651509111703585</v>
      </c>
      <c r="L1280" s="29">
        <f>dataset[[#This Row],[implied_soda_ppu]]-dataset[[#This Row],[soda_ppu]]</f>
        <v>1.5091117035903601E-5</v>
      </c>
      <c r="M1280">
        <f>dataset[[#This Row],[soda_sales]]/dataset[[#This Row],[total_sales]]</f>
        <v>9.0479117323326655E-2</v>
      </c>
      <c r="N1280">
        <f>LN(dataset[[#This Row],[soda_units_sold]])</f>
        <v>12.483916480846052</v>
      </c>
      <c r="O1280">
        <f>LN(dataset[[#This Row],[soda_sales]])</f>
        <v>12.204883683494856</v>
      </c>
      <c r="P1280">
        <f>LN(dataset[[#This Row],[soda_ppu]])</f>
        <v>-0.27905274575372652</v>
      </c>
      <c r="Q1280">
        <f>IF(dataset[[#This Row],[state]]="VA",1,0)</f>
        <v>1</v>
      </c>
    </row>
    <row r="1281" spans="1:17" x14ac:dyDescent="0.35">
      <c r="A1281">
        <v>202308</v>
      </c>
      <c r="B1281">
        <v>75</v>
      </c>
      <c r="C1281" s="2">
        <v>2089835.2782999999</v>
      </c>
      <c r="D1281" s="2">
        <v>0.73480000000000001</v>
      </c>
      <c r="E1281" s="3">
        <v>237333</v>
      </c>
      <c r="F1281" s="2">
        <v>174396.7101</v>
      </c>
      <c r="G1281" t="s">
        <v>2673</v>
      </c>
      <c r="H1281" t="s">
        <v>3</v>
      </c>
      <c r="I1281">
        <f>HLOOKUP(G1281,zip_tiers!$A$1:$EON$2,2,FALSE)</f>
        <v>57821.333333333336</v>
      </c>
      <c r="J1281" t="str">
        <f t="shared" si="19"/>
        <v>Med</v>
      </c>
      <c r="K1281">
        <f>dataset[[#This Row],[soda_sales]]/dataset[[#This Row],[soda_units_sold]]</f>
        <v>0.73481863078459375</v>
      </c>
      <c r="L1281" s="29">
        <f>dataset[[#This Row],[implied_soda_ppu]]-dataset[[#This Row],[soda_ppu]]</f>
        <v>1.8630784593742789E-5</v>
      </c>
      <c r="M1281">
        <f>dataset[[#This Row],[soda_sales]]/dataset[[#This Row],[total_sales]]</f>
        <v>8.3449979005936287E-2</v>
      </c>
      <c r="N1281">
        <f>LN(dataset[[#This Row],[soda_units_sold]])</f>
        <v>12.377219497230636</v>
      </c>
      <c r="O1281">
        <f>LN(dataset[[#This Row],[soda_sales]])</f>
        <v>12.069087926173582</v>
      </c>
      <c r="P1281">
        <f>LN(dataset[[#This Row],[soda_ppu]])</f>
        <v>-0.30815692564116648</v>
      </c>
      <c r="Q1281">
        <f>IF(dataset[[#This Row],[state]]="VA",1,0)</f>
        <v>1</v>
      </c>
    </row>
    <row r="1282" spans="1:17" x14ac:dyDescent="0.35">
      <c r="A1282">
        <v>202309</v>
      </c>
      <c r="B1282">
        <v>75</v>
      </c>
      <c r="C1282" s="2">
        <v>2094673.8784</v>
      </c>
      <c r="D1282" s="2">
        <v>0.75600000000000001</v>
      </c>
      <c r="E1282" s="3">
        <v>222465</v>
      </c>
      <c r="F1282" s="2">
        <v>168179.2035</v>
      </c>
      <c r="G1282" t="s">
        <v>2673</v>
      </c>
      <c r="H1282" t="s">
        <v>3</v>
      </c>
      <c r="I1282">
        <f>HLOOKUP(G1282,zip_tiers!$A$1:$EON$2,2,FALSE)</f>
        <v>57821.333333333336</v>
      </c>
      <c r="J1282" t="str">
        <f t="shared" ref="J1282:J1345" si="20">IF(I1282="","No Data",IF(I1282&gt;=100000,"High",IF(I1282&gt;=40000,"Med","Low")))</f>
        <v>Med</v>
      </c>
      <c r="K1282">
        <f>dataset[[#This Row],[soda_sales]]/dataset[[#This Row],[soda_units_sold]]</f>
        <v>0.75598050704605224</v>
      </c>
      <c r="L1282" s="29">
        <f>dataset[[#This Row],[implied_soda_ppu]]-dataset[[#This Row],[soda_ppu]]</f>
        <v>-1.9492953947763958E-5</v>
      </c>
      <c r="M1282">
        <f>dataset[[#This Row],[soda_sales]]/dataset[[#This Row],[total_sales]]</f>
        <v>8.0288967764501049E-2</v>
      </c>
      <c r="N1282">
        <f>LN(dataset[[#This Row],[soda_units_sold]])</f>
        <v>12.312525064844172</v>
      </c>
      <c r="O1282">
        <f>LN(dataset[[#This Row],[soda_sales]])</f>
        <v>12.032785377378529</v>
      </c>
      <c r="P1282">
        <f>LN(dataset[[#This Row],[soda_ppu]])</f>
        <v>-0.27971390280260405</v>
      </c>
      <c r="Q1282">
        <f>IF(dataset[[#This Row],[state]]="VA",1,0)</f>
        <v>1</v>
      </c>
    </row>
    <row r="1283" spans="1:17" x14ac:dyDescent="0.35">
      <c r="A1283">
        <v>202310</v>
      </c>
      <c r="B1283">
        <v>75</v>
      </c>
      <c r="C1283" s="2">
        <v>2510069.7286999999</v>
      </c>
      <c r="D1283" s="2">
        <v>0.73270000000000002</v>
      </c>
      <c r="E1283" s="3">
        <v>215699</v>
      </c>
      <c r="F1283" s="2">
        <v>158044.22270000001</v>
      </c>
      <c r="G1283" t="s">
        <v>2673</v>
      </c>
      <c r="H1283" t="s">
        <v>3</v>
      </c>
      <c r="I1283">
        <f>HLOOKUP(G1283,zip_tiers!$A$1:$EON$2,2,FALSE)</f>
        <v>57821.333333333336</v>
      </c>
      <c r="J1283" t="str">
        <f t="shared" si="20"/>
        <v>Med</v>
      </c>
      <c r="K1283">
        <f>dataset[[#This Row],[soda_sales]]/dataset[[#This Row],[soda_units_sold]]</f>
        <v>0.73270725733545361</v>
      </c>
      <c r="L1283" s="29">
        <f>dataset[[#This Row],[implied_soda_ppu]]-dataset[[#This Row],[soda_ppu]]</f>
        <v>7.2573354535920842E-6</v>
      </c>
      <c r="M1283">
        <f>dataset[[#This Row],[soda_sales]]/dataset[[#This Row],[total_sales]]</f>
        <v>6.2964076612267383E-2</v>
      </c>
      <c r="N1283">
        <f>LN(dataset[[#This Row],[soda_units_sold]])</f>
        <v>12.281639196297887</v>
      </c>
      <c r="O1283">
        <f>LN(dataset[[#This Row],[soda_sales]])</f>
        <v>11.970630163353393</v>
      </c>
      <c r="P1283">
        <f>LN(dataset[[#This Row],[soda_ppu]])</f>
        <v>-0.31101893781621887</v>
      </c>
      <c r="Q1283">
        <f>IF(dataset[[#This Row],[state]]="VA",1,0)</f>
        <v>1</v>
      </c>
    </row>
    <row r="1284" spans="1:17" x14ac:dyDescent="0.35">
      <c r="A1284">
        <v>202311</v>
      </c>
      <c r="B1284">
        <v>75</v>
      </c>
      <c r="C1284" s="2">
        <v>2904786.0314000002</v>
      </c>
      <c r="D1284" s="2">
        <v>0.77439999999999998</v>
      </c>
      <c r="E1284" s="3">
        <v>190928</v>
      </c>
      <c r="F1284" s="2">
        <v>147850.34270000001</v>
      </c>
      <c r="G1284" t="s">
        <v>2673</v>
      </c>
      <c r="H1284" t="s">
        <v>3</v>
      </c>
      <c r="I1284">
        <f>HLOOKUP(G1284,zip_tiers!$A$1:$EON$2,2,FALSE)</f>
        <v>57821.333333333336</v>
      </c>
      <c r="J1284" t="str">
        <f t="shared" si="20"/>
        <v>Med</v>
      </c>
      <c r="K1284">
        <f>dataset[[#This Row],[soda_sales]]/dataset[[#This Row],[soda_units_sold]]</f>
        <v>0.7743774758023968</v>
      </c>
      <c r="L1284" s="29">
        <f>dataset[[#This Row],[implied_soda_ppu]]-dataset[[#This Row],[soda_ppu]]</f>
        <v>-2.2524197603179807E-5</v>
      </c>
      <c r="M1284">
        <f>dataset[[#This Row],[soda_sales]]/dataset[[#This Row],[total_sales]]</f>
        <v>5.0898875546004183E-2</v>
      </c>
      <c r="N1284">
        <f>LN(dataset[[#This Row],[soda_units_sold]])</f>
        <v>12.159651672609437</v>
      </c>
      <c r="O1284">
        <f>LN(dataset[[#This Row],[soda_sales]])</f>
        <v>11.90395584316769</v>
      </c>
      <c r="P1284">
        <f>LN(dataset[[#This Row],[soda_ppu]])</f>
        <v>-0.25566674301976983</v>
      </c>
      <c r="Q1284">
        <f>IF(dataset[[#This Row],[state]]="VA",1,0)</f>
        <v>1</v>
      </c>
    </row>
    <row r="1285" spans="1:17" x14ac:dyDescent="0.35">
      <c r="A1285">
        <v>202312</v>
      </c>
      <c r="B1285">
        <v>75</v>
      </c>
      <c r="C1285" s="2">
        <v>3088449.5619000001</v>
      </c>
      <c r="D1285" s="2">
        <v>0.76370000000000005</v>
      </c>
      <c r="E1285" s="3">
        <v>192532</v>
      </c>
      <c r="F1285" s="2">
        <v>147027.12959999999</v>
      </c>
      <c r="G1285" t="s">
        <v>2673</v>
      </c>
      <c r="H1285" t="s">
        <v>3</v>
      </c>
      <c r="I1285">
        <f>HLOOKUP(G1285,zip_tiers!$A$1:$EON$2,2,FALSE)</f>
        <v>57821.333333333336</v>
      </c>
      <c r="J1285" t="str">
        <f t="shared" si="20"/>
        <v>Med</v>
      </c>
      <c r="K1285">
        <f>dataset[[#This Row],[soda_sales]]/dataset[[#This Row],[soda_units_sold]]</f>
        <v>0.76365035214925303</v>
      </c>
      <c r="L1285" s="29">
        <f>dataset[[#This Row],[implied_soda_ppu]]-dataset[[#This Row],[soda_ppu]]</f>
        <v>-4.9647850747014388E-5</v>
      </c>
      <c r="M1285">
        <f>dataset[[#This Row],[soda_sales]]/dataset[[#This Row],[total_sales]]</f>
        <v>4.7605481861762888E-2</v>
      </c>
      <c r="N1285">
        <f>LN(dataset[[#This Row],[soda_units_sold]])</f>
        <v>12.168017652660907</v>
      </c>
      <c r="O1285">
        <f>LN(dataset[[#This Row],[soda_sales]])</f>
        <v>11.898372403834717</v>
      </c>
      <c r="P1285">
        <f>LN(dataset[[#This Row],[soda_ppu]])</f>
        <v>-0.26958023708779855</v>
      </c>
      <c r="Q1285">
        <f>IF(dataset[[#This Row],[state]]="VA",1,0)</f>
        <v>1</v>
      </c>
    </row>
    <row r="1286" spans="1:17" x14ac:dyDescent="0.35">
      <c r="A1286">
        <v>202401</v>
      </c>
      <c r="B1286">
        <v>75</v>
      </c>
      <c r="C1286" s="2">
        <v>1767230.9997</v>
      </c>
      <c r="D1286" s="2">
        <v>0.77839999999999998</v>
      </c>
      <c r="E1286" s="3">
        <v>138654</v>
      </c>
      <c r="F1286" s="2">
        <v>107926.4734</v>
      </c>
      <c r="G1286" t="s">
        <v>2673</v>
      </c>
      <c r="H1286" t="s">
        <v>3</v>
      </c>
      <c r="I1286">
        <f>HLOOKUP(G1286,zip_tiers!$A$1:$EON$2,2,FALSE)</f>
        <v>57821.333333333336</v>
      </c>
      <c r="J1286" t="str">
        <f t="shared" si="20"/>
        <v>Med</v>
      </c>
      <c r="K1286">
        <f>dataset[[#This Row],[soda_sales]]/dataset[[#This Row],[soda_units_sold]]</f>
        <v>0.77838701660247811</v>
      </c>
      <c r="L1286" s="29">
        <f>dataset[[#This Row],[implied_soda_ppu]]-dataset[[#This Row],[soda_ppu]]</f>
        <v>-1.2983397521870721E-5</v>
      </c>
      <c r="M1286">
        <f>dataset[[#This Row],[soda_sales]]/dataset[[#This Row],[total_sales]]</f>
        <v>6.1070948516816013E-2</v>
      </c>
      <c r="N1286">
        <f>LN(dataset[[#This Row],[soda_units_sold]])</f>
        <v>11.839736900249131</v>
      </c>
      <c r="O1286">
        <f>LN(dataset[[#This Row],[soda_sales]])</f>
        <v>11.589205472403689</v>
      </c>
      <c r="P1286">
        <f>LN(dataset[[#This Row],[soda_ppu]])</f>
        <v>-0.25051474811034175</v>
      </c>
      <c r="Q1286">
        <f>IF(dataset[[#This Row],[state]]="VA",1,0)</f>
        <v>1</v>
      </c>
    </row>
    <row r="1287" spans="1:17" x14ac:dyDescent="0.35">
      <c r="A1287">
        <v>202402</v>
      </c>
      <c r="B1287">
        <v>75</v>
      </c>
      <c r="C1287" s="2">
        <v>2002567.3861</v>
      </c>
      <c r="D1287" s="2">
        <v>0.77800000000000002</v>
      </c>
      <c r="E1287" s="3">
        <v>159562</v>
      </c>
      <c r="F1287" s="2">
        <v>124133.7369</v>
      </c>
      <c r="G1287" t="s">
        <v>2673</v>
      </c>
      <c r="H1287" t="s">
        <v>3</v>
      </c>
      <c r="I1287">
        <f>HLOOKUP(G1287,zip_tiers!$A$1:$EON$2,2,FALSE)</f>
        <v>57821.333333333336</v>
      </c>
      <c r="J1287" t="str">
        <f t="shared" si="20"/>
        <v>Med</v>
      </c>
      <c r="K1287">
        <f>dataset[[#This Row],[soda_sales]]/dataset[[#This Row],[soda_units_sold]]</f>
        <v>0.77796553628056808</v>
      </c>
      <c r="L1287" s="29">
        <f>dataset[[#This Row],[implied_soda_ppu]]-dataset[[#This Row],[soda_ppu]]</f>
        <v>-3.4463719431943041E-5</v>
      </c>
      <c r="M1287">
        <f>dataset[[#This Row],[soda_sales]]/dataset[[#This Row],[total_sales]]</f>
        <v>6.19872957892071E-2</v>
      </c>
      <c r="N1287">
        <f>LN(dataset[[#This Row],[soda_units_sold]])</f>
        <v>11.980187840410579</v>
      </c>
      <c r="O1287">
        <f>LN(dataset[[#This Row],[soda_sales]])</f>
        <v>11.729114786785768</v>
      </c>
      <c r="P1287">
        <f>LN(dataset[[#This Row],[soda_ppu]])</f>
        <v>-0.25102875480374542</v>
      </c>
      <c r="Q1287">
        <f>IF(dataset[[#This Row],[state]]="VA",1,0)</f>
        <v>1</v>
      </c>
    </row>
    <row r="1288" spans="1:17" x14ac:dyDescent="0.35">
      <c r="A1288">
        <v>202403</v>
      </c>
      <c r="B1288">
        <v>75</v>
      </c>
      <c r="C1288" s="2">
        <v>2207262.165</v>
      </c>
      <c r="D1288" s="2">
        <v>0.75890000000000002</v>
      </c>
      <c r="E1288" s="3">
        <v>189920</v>
      </c>
      <c r="F1288" s="2">
        <v>144139.6194</v>
      </c>
      <c r="G1288" t="s">
        <v>2673</v>
      </c>
      <c r="H1288" t="s">
        <v>3</v>
      </c>
      <c r="I1288">
        <f>HLOOKUP(G1288,zip_tiers!$A$1:$EON$2,2,FALSE)</f>
        <v>57821.333333333336</v>
      </c>
      <c r="J1288" t="str">
        <f t="shared" si="20"/>
        <v>Med</v>
      </c>
      <c r="K1288">
        <f>dataset[[#This Row],[soda_sales]]/dataset[[#This Row],[soda_units_sold]]</f>
        <v>0.75894913331929226</v>
      </c>
      <c r="L1288" s="29">
        <f>dataset[[#This Row],[implied_soda_ppu]]-dataset[[#This Row],[soda_ppu]]</f>
        <v>4.9133319292238298E-5</v>
      </c>
      <c r="M1288">
        <f>dataset[[#This Row],[soda_sales]]/dataset[[#This Row],[total_sales]]</f>
        <v>6.5302446481249762E-2</v>
      </c>
      <c r="N1288">
        <f>LN(dataset[[#This Row],[soda_units_sold]])</f>
        <v>12.154358209843496</v>
      </c>
      <c r="O1288">
        <f>LN(dataset[[#This Row],[soda_sales]])</f>
        <v>11.878537687986531</v>
      </c>
      <c r="P1288">
        <f>LN(dataset[[#This Row],[soda_ppu]])</f>
        <v>-0.27588526257226992</v>
      </c>
      <c r="Q1288">
        <f>IF(dataset[[#This Row],[state]]="VA",1,0)</f>
        <v>1</v>
      </c>
    </row>
    <row r="1289" spans="1:17" x14ac:dyDescent="0.35">
      <c r="A1289">
        <v>202404</v>
      </c>
      <c r="B1289">
        <v>75</v>
      </c>
      <c r="C1289" s="2">
        <v>2354543.3454999998</v>
      </c>
      <c r="D1289" s="2">
        <v>0.76280000000000003</v>
      </c>
      <c r="E1289" s="3">
        <v>226762</v>
      </c>
      <c r="F1289" s="2">
        <v>172978.4118</v>
      </c>
      <c r="G1289" t="s">
        <v>2673</v>
      </c>
      <c r="H1289" t="s">
        <v>3</v>
      </c>
      <c r="I1289">
        <f>HLOOKUP(G1289,zip_tiers!$A$1:$EON$2,2,FALSE)</f>
        <v>57821.333333333336</v>
      </c>
      <c r="J1289" t="str">
        <f t="shared" si="20"/>
        <v>Med</v>
      </c>
      <c r="K1289">
        <f>dataset[[#This Row],[soda_sales]]/dataset[[#This Row],[soda_units_sold]]</f>
        <v>0.76281921926954255</v>
      </c>
      <c r="L1289" s="29">
        <f>dataset[[#This Row],[implied_soda_ppu]]-dataset[[#This Row],[soda_ppu]]</f>
        <v>1.9219269542514184E-5</v>
      </c>
      <c r="M1289">
        <f>dataset[[#This Row],[soda_sales]]/dataset[[#This Row],[total_sales]]</f>
        <v>7.3465800547098073E-2</v>
      </c>
      <c r="N1289">
        <f>LN(dataset[[#This Row],[soda_units_sold]])</f>
        <v>12.331656288297035</v>
      </c>
      <c r="O1289">
        <f>LN(dataset[[#This Row],[soda_sales]])</f>
        <v>12.060922078410098</v>
      </c>
      <c r="P1289">
        <f>LN(dataset[[#This Row],[soda_ppu]])</f>
        <v>-0.270759405255873</v>
      </c>
      <c r="Q1289">
        <f>IF(dataset[[#This Row],[state]]="VA",1,0)</f>
        <v>1</v>
      </c>
    </row>
    <row r="1290" spans="1:17" x14ac:dyDescent="0.35">
      <c r="A1290">
        <v>202405</v>
      </c>
      <c r="B1290">
        <v>75</v>
      </c>
      <c r="C1290" s="2">
        <v>2531495.9567999998</v>
      </c>
      <c r="D1290" s="2">
        <v>0.78990000000000005</v>
      </c>
      <c r="E1290" s="3">
        <v>245751</v>
      </c>
      <c r="F1290" s="2">
        <v>194122.4645</v>
      </c>
      <c r="G1290" t="s">
        <v>2673</v>
      </c>
      <c r="H1290" t="s">
        <v>3</v>
      </c>
      <c r="I1290">
        <f>HLOOKUP(G1290,zip_tiers!$A$1:$EON$2,2,FALSE)</f>
        <v>57821.333333333336</v>
      </c>
      <c r="J1290" t="str">
        <f t="shared" si="20"/>
        <v>Med</v>
      </c>
      <c r="K1290">
        <f>dataset[[#This Row],[soda_sales]]/dataset[[#This Row],[soda_units_sold]]</f>
        <v>0.78991525772021276</v>
      </c>
      <c r="L1290" s="29">
        <f>dataset[[#This Row],[implied_soda_ppu]]-dataset[[#This Row],[soda_ppu]]</f>
        <v>1.5257720212713544E-5</v>
      </c>
      <c r="M1290">
        <f>dataset[[#This Row],[soda_sales]]/dataset[[#This Row],[total_sales]]</f>
        <v>7.6682905212057034E-2</v>
      </c>
      <c r="N1290">
        <f>LN(dataset[[#This Row],[soda_units_sold]])</f>
        <v>12.412074107177126</v>
      </c>
      <c r="O1290">
        <f>LN(dataset[[#This Row],[soda_sales]])</f>
        <v>12.176244499193764</v>
      </c>
      <c r="P1290">
        <f>LN(dataset[[#This Row],[soda_ppu]])</f>
        <v>-0.23584892381176359</v>
      </c>
      <c r="Q1290">
        <f>IF(dataset[[#This Row],[state]]="VA",1,0)</f>
        <v>1</v>
      </c>
    </row>
    <row r="1291" spans="1:17" x14ac:dyDescent="0.35">
      <c r="A1291">
        <v>202406</v>
      </c>
      <c r="B1291">
        <v>75</v>
      </c>
      <c r="C1291" s="2">
        <v>2367503.5375000001</v>
      </c>
      <c r="D1291" s="2">
        <v>0.77380000000000004</v>
      </c>
      <c r="E1291" s="3">
        <v>258015</v>
      </c>
      <c r="F1291" s="2">
        <v>199663.1942</v>
      </c>
      <c r="G1291" t="s">
        <v>2673</v>
      </c>
      <c r="H1291" t="s">
        <v>3</v>
      </c>
      <c r="I1291">
        <f>HLOOKUP(G1291,zip_tiers!$A$1:$EON$2,2,FALSE)</f>
        <v>57821.333333333336</v>
      </c>
      <c r="J1291" t="str">
        <f t="shared" si="20"/>
        <v>Med</v>
      </c>
      <c r="K1291">
        <f>dataset[[#This Row],[soda_sales]]/dataset[[#This Row],[soda_units_sold]]</f>
        <v>0.77384335871945431</v>
      </c>
      <c r="L1291" s="29">
        <f>dataset[[#This Row],[implied_soda_ppu]]-dataset[[#This Row],[soda_ppu]]</f>
        <v>4.335871945426728E-5</v>
      </c>
      <c r="M1291">
        <f>dataset[[#This Row],[soda_sales]]/dataset[[#This Row],[total_sales]]</f>
        <v>8.4334908496414437E-2</v>
      </c>
      <c r="N1291">
        <f>LN(dataset[[#This Row],[soda_units_sold]])</f>
        <v>12.460773001748601</v>
      </c>
      <c r="O1291">
        <f>LN(dataset[[#This Row],[soda_sales]])</f>
        <v>12.204387196959381</v>
      </c>
      <c r="P1291">
        <f>LN(dataset[[#This Row],[soda_ppu]])</f>
        <v>-0.2564418367157244</v>
      </c>
      <c r="Q1291">
        <f>IF(dataset[[#This Row],[state]]="VA",1,0)</f>
        <v>1</v>
      </c>
    </row>
    <row r="1292" spans="1:17" x14ac:dyDescent="0.35">
      <c r="A1292">
        <v>202407</v>
      </c>
      <c r="B1292">
        <v>75</v>
      </c>
      <c r="C1292" s="2">
        <v>2245568.4824000001</v>
      </c>
      <c r="D1292" s="2">
        <v>0.77929999999999999</v>
      </c>
      <c r="E1292" s="3">
        <v>261130</v>
      </c>
      <c r="F1292" s="2">
        <v>203492.43770000001</v>
      </c>
      <c r="G1292" t="s">
        <v>2673</v>
      </c>
      <c r="H1292" t="s">
        <v>3</v>
      </c>
      <c r="I1292">
        <f>HLOOKUP(G1292,zip_tiers!$A$1:$EON$2,2,FALSE)</f>
        <v>57821.333333333336</v>
      </c>
      <c r="J1292" t="str">
        <f t="shared" si="20"/>
        <v>Med</v>
      </c>
      <c r="K1292">
        <f>dataset[[#This Row],[soda_sales]]/dataset[[#This Row],[soda_units_sold]]</f>
        <v>0.77927636694366798</v>
      </c>
      <c r="L1292" s="29">
        <f>dataset[[#This Row],[implied_soda_ppu]]-dataset[[#This Row],[soda_ppu]]</f>
        <v>-2.363305633201751E-5</v>
      </c>
      <c r="M1292">
        <f>dataset[[#This Row],[soda_sales]]/dataset[[#This Row],[total_sales]]</f>
        <v>9.0619564397569852E-2</v>
      </c>
      <c r="N1292">
        <f>LN(dataset[[#This Row],[soda_units_sold]])</f>
        <v>12.472773646593211</v>
      </c>
      <c r="O1292">
        <f>LN(dataset[[#This Row],[soda_sales]])</f>
        <v>12.223384121994933</v>
      </c>
      <c r="P1292">
        <f>LN(dataset[[#This Row],[soda_ppu]])</f>
        <v>-0.24935919813262181</v>
      </c>
      <c r="Q1292">
        <f>IF(dataset[[#This Row],[state]]="VA",1,0)</f>
        <v>1</v>
      </c>
    </row>
    <row r="1293" spans="1:17" x14ac:dyDescent="0.35">
      <c r="A1293">
        <v>202408</v>
      </c>
      <c r="B1293">
        <v>75</v>
      </c>
      <c r="C1293" s="2">
        <v>2128649.7914999998</v>
      </c>
      <c r="D1293" s="2">
        <v>0.81559999999999999</v>
      </c>
      <c r="E1293" s="3">
        <v>212059</v>
      </c>
      <c r="F1293" s="2">
        <v>172959.9768</v>
      </c>
      <c r="G1293" t="s">
        <v>2673</v>
      </c>
      <c r="H1293" t="s">
        <v>3</v>
      </c>
      <c r="I1293">
        <f>HLOOKUP(G1293,zip_tiers!$A$1:$EON$2,2,FALSE)</f>
        <v>57821.333333333336</v>
      </c>
      <c r="J1293" t="str">
        <f t="shared" si="20"/>
        <v>Med</v>
      </c>
      <c r="K1293">
        <f>dataset[[#This Row],[soda_sales]]/dataset[[#This Row],[soda_units_sold]]</f>
        <v>0.8156219580399795</v>
      </c>
      <c r="L1293" s="29">
        <f>dataset[[#This Row],[implied_soda_ppu]]-dataset[[#This Row],[soda_ppu]]</f>
        <v>2.1958039979508293E-5</v>
      </c>
      <c r="M1293">
        <f>dataset[[#This Row],[soda_sales]]/dataset[[#This Row],[total_sales]]</f>
        <v>8.1253373613007496E-2</v>
      </c>
      <c r="N1293">
        <f>LN(dataset[[#This Row],[soda_units_sold]])</f>
        <v>12.264619816822155</v>
      </c>
      <c r="O1293">
        <f>LN(dataset[[#This Row],[soda_sales]])</f>
        <v>12.060815498737966</v>
      </c>
      <c r="P1293">
        <f>LN(dataset[[#This Row],[soda_ppu]])</f>
        <v>-0.20383124028183694</v>
      </c>
      <c r="Q1293">
        <f>IF(dataset[[#This Row],[state]]="VA",1,0)</f>
        <v>1</v>
      </c>
    </row>
    <row r="1294" spans="1:17" x14ac:dyDescent="0.35">
      <c r="A1294">
        <v>202409</v>
      </c>
      <c r="B1294">
        <v>75</v>
      </c>
      <c r="C1294" s="2">
        <v>2131129.1222000001</v>
      </c>
      <c r="D1294" s="2">
        <v>0.81620000000000004</v>
      </c>
      <c r="E1294" s="3">
        <v>204038</v>
      </c>
      <c r="F1294" s="2">
        <v>166526.4914</v>
      </c>
      <c r="G1294" t="s">
        <v>2673</v>
      </c>
      <c r="H1294" t="s">
        <v>3</v>
      </c>
      <c r="I1294">
        <f>HLOOKUP(G1294,zip_tiers!$A$1:$EON$2,2,FALSE)</f>
        <v>57821.333333333336</v>
      </c>
      <c r="J1294" t="str">
        <f t="shared" si="20"/>
        <v>Med</v>
      </c>
      <c r="K1294">
        <f>dataset[[#This Row],[soda_sales]]/dataset[[#This Row],[soda_units_sold]]</f>
        <v>0.81615430164969271</v>
      </c>
      <c r="L1294" s="29">
        <f>dataset[[#This Row],[implied_soda_ppu]]-dataset[[#This Row],[soda_ppu]]</f>
        <v>-4.5698350307321611E-5</v>
      </c>
      <c r="M1294">
        <f>dataset[[#This Row],[soda_sales]]/dataset[[#This Row],[total_sales]]</f>
        <v>7.8140028994626062E-2</v>
      </c>
      <c r="N1294">
        <f>LN(dataset[[#This Row],[soda_units_sold]])</f>
        <v>12.226061529989215</v>
      </c>
      <c r="O1294">
        <f>LN(dataset[[#This Row],[soda_sales]])</f>
        <v>12.022909683253886</v>
      </c>
      <c r="P1294">
        <f>LN(dataset[[#This Row],[soda_ppu]])</f>
        <v>-0.2030958560104317</v>
      </c>
      <c r="Q1294">
        <f>IF(dataset[[#This Row],[state]]="VA",1,0)</f>
        <v>1</v>
      </c>
    </row>
    <row r="1295" spans="1:17" x14ac:dyDescent="0.35">
      <c r="A1295">
        <v>202410</v>
      </c>
      <c r="B1295">
        <v>75</v>
      </c>
      <c r="C1295" s="2">
        <v>2605505.068</v>
      </c>
      <c r="D1295" s="2">
        <v>0.78420000000000001</v>
      </c>
      <c r="E1295" s="3">
        <v>208465</v>
      </c>
      <c r="F1295" s="2">
        <v>163478.35769999999</v>
      </c>
      <c r="G1295" t="s">
        <v>2673</v>
      </c>
      <c r="H1295" t="s">
        <v>3</v>
      </c>
      <c r="I1295">
        <f>HLOOKUP(G1295,zip_tiers!$A$1:$EON$2,2,FALSE)</f>
        <v>57821.333333333336</v>
      </c>
      <c r="J1295" t="str">
        <f t="shared" si="20"/>
        <v>Med</v>
      </c>
      <c r="K1295">
        <f>dataset[[#This Row],[soda_sales]]/dataset[[#This Row],[soda_units_sold]]</f>
        <v>0.78420050224258264</v>
      </c>
      <c r="L1295" s="29">
        <f>dataset[[#This Row],[implied_soda_ppu]]-dataset[[#This Row],[soda_ppu]]</f>
        <v>5.0224258263398269E-7</v>
      </c>
      <c r="M1295">
        <f>dataset[[#This Row],[soda_sales]]/dataset[[#This Row],[total_sales]]</f>
        <v>6.274344260841791E-2</v>
      </c>
      <c r="N1295">
        <f>LN(dataset[[#This Row],[soda_units_sold]])</f>
        <v>12.247526440422535</v>
      </c>
      <c r="O1295">
        <f>LN(dataset[[#This Row],[soda_sales]])</f>
        <v>12.004435891750582</v>
      </c>
      <c r="P1295">
        <f>LN(dataset[[#This Row],[soda_ppu]])</f>
        <v>-0.24309118912390579</v>
      </c>
      <c r="Q1295">
        <f>IF(dataset[[#This Row],[state]]="VA",1,0)</f>
        <v>1</v>
      </c>
    </row>
    <row r="1296" spans="1:17" x14ac:dyDescent="0.35">
      <c r="A1296">
        <v>202411</v>
      </c>
      <c r="B1296">
        <v>75</v>
      </c>
      <c r="C1296" s="2">
        <v>2963181.1195</v>
      </c>
      <c r="D1296" s="2">
        <v>0.82420000000000004</v>
      </c>
      <c r="E1296" s="3">
        <v>184522</v>
      </c>
      <c r="F1296" s="2">
        <v>152089.56150000001</v>
      </c>
      <c r="G1296" t="s">
        <v>2673</v>
      </c>
      <c r="H1296" t="s">
        <v>3</v>
      </c>
      <c r="I1296">
        <f>HLOOKUP(G1296,zip_tiers!$A$1:$EON$2,2,FALSE)</f>
        <v>57821.333333333336</v>
      </c>
      <c r="J1296" t="str">
        <f t="shared" si="20"/>
        <v>Med</v>
      </c>
      <c r="K1296">
        <f>dataset[[#This Row],[soda_sales]]/dataset[[#This Row],[soda_units_sold]]</f>
        <v>0.8242353838566675</v>
      </c>
      <c r="L1296" s="29">
        <f>dataset[[#This Row],[implied_soda_ppu]]-dataset[[#This Row],[soda_ppu]]</f>
        <v>3.5383856667459135E-5</v>
      </c>
      <c r="M1296">
        <f>dataset[[#This Row],[soda_sales]]/dataset[[#This Row],[total_sales]]</f>
        <v>5.1326447951201587E-2</v>
      </c>
      <c r="N1296">
        <f>LN(dataset[[#This Row],[soda_units_sold]])</f>
        <v>12.125523976546464</v>
      </c>
      <c r="O1296">
        <f>LN(dataset[[#This Row],[soda_sales]])</f>
        <v>11.932224846700972</v>
      </c>
      <c r="P1296">
        <f>LN(dataset[[#This Row],[soda_ppu]])</f>
        <v>-0.19334206007742002</v>
      </c>
      <c r="Q1296">
        <f>IF(dataset[[#This Row],[state]]="VA",1,0)</f>
        <v>1</v>
      </c>
    </row>
    <row r="1297" spans="1:17" x14ac:dyDescent="0.35">
      <c r="A1297">
        <v>202412</v>
      </c>
      <c r="B1297">
        <v>75</v>
      </c>
      <c r="C1297" s="2">
        <v>3134155.9571000002</v>
      </c>
      <c r="D1297" s="2">
        <v>0.8024</v>
      </c>
      <c r="E1297" s="3">
        <v>187537</v>
      </c>
      <c r="F1297" s="2">
        <v>150486.5013</v>
      </c>
      <c r="G1297" t="s">
        <v>2673</v>
      </c>
      <c r="H1297" t="s">
        <v>3</v>
      </c>
      <c r="I1297">
        <f>HLOOKUP(G1297,zip_tiers!$A$1:$EON$2,2,FALSE)</f>
        <v>57821.333333333336</v>
      </c>
      <c r="J1297" t="str">
        <f t="shared" si="20"/>
        <v>Med</v>
      </c>
      <c r="K1297">
        <f>dataset[[#This Row],[soda_sales]]/dataset[[#This Row],[soda_units_sold]]</f>
        <v>0.80243632616497018</v>
      </c>
      <c r="L1297" s="29">
        <f>dataset[[#This Row],[implied_soda_ppu]]-dataset[[#This Row],[soda_ppu]]</f>
        <v>3.6326164970179597E-5</v>
      </c>
      <c r="M1297">
        <f>dataset[[#This Row],[soda_sales]]/dataset[[#This Row],[total_sales]]</f>
        <v>4.8015000963526872E-2</v>
      </c>
      <c r="N1297">
        <f>LN(dataset[[#This Row],[soda_units_sold]])</f>
        <v>12.141731438258274</v>
      </c>
      <c r="O1297">
        <f>LN(dataset[[#This Row],[soda_sales]])</f>
        <v>11.921628666789664</v>
      </c>
      <c r="P1297">
        <f>LN(dataset[[#This Row],[soda_ppu]])</f>
        <v>-0.22014804233441126</v>
      </c>
      <c r="Q1297">
        <f>IF(dataset[[#This Row],[state]]="VA",1,0)</f>
        <v>1</v>
      </c>
    </row>
    <row r="1298" spans="1:17" x14ac:dyDescent="0.35">
      <c r="A1298">
        <v>202201</v>
      </c>
      <c r="B1298">
        <v>33</v>
      </c>
      <c r="C1298" s="2">
        <v>1932495.588</v>
      </c>
      <c r="D1298" s="2">
        <v>0.72040000000000004</v>
      </c>
      <c r="E1298" s="3">
        <v>132524</v>
      </c>
      <c r="F1298" s="2">
        <v>95466.431700000001</v>
      </c>
      <c r="G1298" t="s">
        <v>2709</v>
      </c>
      <c r="H1298" t="s">
        <v>3</v>
      </c>
      <c r="I1298">
        <f>HLOOKUP(G1298,zip_tiers!$A$1:$EON$2,2,FALSE)</f>
        <v>75389.666666666672</v>
      </c>
      <c r="J1298" t="str">
        <f t="shared" si="20"/>
        <v>Med</v>
      </c>
      <c r="K1298">
        <f>dataset[[#This Row],[soda_sales]]/dataset[[#This Row],[soda_units_sold]]</f>
        <v>0.72037088904651236</v>
      </c>
      <c r="L1298" s="29">
        <f>dataset[[#This Row],[implied_soda_ppu]]-dataset[[#This Row],[soda_ppu]]</f>
        <v>-2.9110953487676561E-5</v>
      </c>
      <c r="M1298">
        <f>dataset[[#This Row],[soda_sales]]/dataset[[#This Row],[total_sales]]</f>
        <v>4.9400594905782524E-2</v>
      </c>
      <c r="N1298">
        <f>LN(dataset[[#This Row],[soda_units_sold]])</f>
        <v>11.794519040081452</v>
      </c>
      <c r="O1298">
        <f>LN(dataset[[#This Row],[soda_sales]])</f>
        <v>11.466529964154473</v>
      </c>
      <c r="P1298">
        <f>LN(dataset[[#This Row],[soda_ppu]])</f>
        <v>-0.32794866568033598</v>
      </c>
      <c r="Q1298">
        <f>IF(dataset[[#This Row],[state]]="VA",1,0)</f>
        <v>1</v>
      </c>
    </row>
    <row r="1299" spans="1:17" x14ac:dyDescent="0.35">
      <c r="A1299">
        <v>202202</v>
      </c>
      <c r="B1299">
        <v>33</v>
      </c>
      <c r="C1299" s="2">
        <v>2210465.1987999999</v>
      </c>
      <c r="D1299" s="2">
        <v>0.74019999999999997</v>
      </c>
      <c r="E1299" s="3">
        <v>145388</v>
      </c>
      <c r="F1299" s="2">
        <v>107609.74370000001</v>
      </c>
      <c r="G1299" t="s">
        <v>2709</v>
      </c>
      <c r="H1299" t="s">
        <v>3</v>
      </c>
      <c r="I1299">
        <f>HLOOKUP(G1299,zip_tiers!$A$1:$EON$2,2,FALSE)</f>
        <v>75389.666666666672</v>
      </c>
      <c r="J1299" t="str">
        <f t="shared" si="20"/>
        <v>Med</v>
      </c>
      <c r="K1299">
        <f>dataset[[#This Row],[soda_sales]]/dataset[[#This Row],[soda_units_sold]]</f>
        <v>0.74015560912867639</v>
      </c>
      <c r="L1299" s="29">
        <f>dataset[[#This Row],[implied_soda_ppu]]-dataset[[#This Row],[soda_ppu]]</f>
        <v>-4.439087132357411E-5</v>
      </c>
      <c r="M1299">
        <f>dataset[[#This Row],[soda_sales]]/dataset[[#This Row],[total_sales]]</f>
        <v>4.8681944306754224E-2</v>
      </c>
      <c r="N1299">
        <f>LN(dataset[[#This Row],[soda_units_sold]])</f>
        <v>11.887161309726585</v>
      </c>
      <c r="O1299">
        <f>LN(dataset[[#This Row],[soda_sales]])</f>
        <v>11.586266477442694</v>
      </c>
      <c r="P1299">
        <f>LN(dataset[[#This Row],[soda_ppu]])</f>
        <v>-0.3008348590300815</v>
      </c>
      <c r="Q1299">
        <f>IF(dataset[[#This Row],[state]]="VA",1,0)</f>
        <v>1</v>
      </c>
    </row>
    <row r="1300" spans="1:17" x14ac:dyDescent="0.35">
      <c r="A1300">
        <v>202203</v>
      </c>
      <c r="B1300">
        <v>33</v>
      </c>
      <c r="C1300" s="2">
        <v>2498221.8629999999</v>
      </c>
      <c r="D1300" s="2">
        <v>0.73480000000000001</v>
      </c>
      <c r="E1300" s="3">
        <v>178156</v>
      </c>
      <c r="F1300" s="2">
        <v>130910.2467</v>
      </c>
      <c r="G1300" t="s">
        <v>2709</v>
      </c>
      <c r="H1300" t="s">
        <v>3</v>
      </c>
      <c r="I1300">
        <f>HLOOKUP(G1300,zip_tiers!$A$1:$EON$2,2,FALSE)</f>
        <v>75389.666666666672</v>
      </c>
      <c r="J1300" t="str">
        <f t="shared" si="20"/>
        <v>Med</v>
      </c>
      <c r="K1300">
        <f>dataset[[#This Row],[soda_sales]]/dataset[[#This Row],[soda_units_sold]]</f>
        <v>0.73480683614360454</v>
      </c>
      <c r="L1300" s="29">
        <f>dataset[[#This Row],[implied_soda_ppu]]-dataset[[#This Row],[soda_ppu]]</f>
        <v>6.8361436045272228E-6</v>
      </c>
      <c r="M1300">
        <f>dataset[[#This Row],[soda_sales]]/dataset[[#This Row],[total_sales]]</f>
        <v>5.2401369405516249E-2</v>
      </c>
      <c r="N1300">
        <f>LN(dataset[[#This Row],[soda_units_sold]])</f>
        <v>12.090414849950422</v>
      </c>
      <c r="O1300">
        <f>LN(dataset[[#This Row],[soda_sales]])</f>
        <v>11.782267227673172</v>
      </c>
      <c r="P1300">
        <f>LN(dataset[[#This Row],[soda_ppu]])</f>
        <v>-0.30815692564116648</v>
      </c>
      <c r="Q1300">
        <f>IF(dataset[[#This Row],[state]]="VA",1,0)</f>
        <v>1</v>
      </c>
    </row>
    <row r="1301" spans="1:17" x14ac:dyDescent="0.35">
      <c r="A1301">
        <v>202204</v>
      </c>
      <c r="B1301">
        <v>33</v>
      </c>
      <c r="C1301" s="2">
        <v>2589052.8075999999</v>
      </c>
      <c r="D1301" s="2">
        <v>0.69540000000000002</v>
      </c>
      <c r="E1301" s="3">
        <v>214565</v>
      </c>
      <c r="F1301" s="2">
        <v>149209.08290000001</v>
      </c>
      <c r="G1301" t="s">
        <v>2709</v>
      </c>
      <c r="H1301" t="s">
        <v>3</v>
      </c>
      <c r="I1301">
        <f>HLOOKUP(G1301,zip_tiers!$A$1:$EON$2,2,FALSE)</f>
        <v>75389.666666666672</v>
      </c>
      <c r="J1301" t="str">
        <f t="shared" si="20"/>
        <v>Med</v>
      </c>
      <c r="K1301">
        <f>dataset[[#This Row],[soda_sales]]/dataset[[#This Row],[soda_units_sold]]</f>
        <v>0.69540271199869508</v>
      </c>
      <c r="L1301" s="29">
        <f>dataset[[#This Row],[implied_soda_ppu]]-dataset[[#This Row],[soda_ppu]]</f>
        <v>2.7119986950596697E-6</v>
      </c>
      <c r="M1301">
        <f>dataset[[#This Row],[soda_sales]]/dataset[[#This Row],[total_sales]]</f>
        <v>5.7630760740764432E-2</v>
      </c>
      <c r="N1301">
        <f>LN(dataset[[#This Row],[soda_units_sold]])</f>
        <v>12.27636800174883</v>
      </c>
      <c r="O1301">
        <f>LN(dataset[[#This Row],[soda_sales]])</f>
        <v>11.913103842244691</v>
      </c>
      <c r="P1301">
        <f>LN(dataset[[#This Row],[soda_ppu]])</f>
        <v>-0.36326805940837598</v>
      </c>
      <c r="Q1301">
        <f>IF(dataset[[#This Row],[state]]="VA",1,0)</f>
        <v>1</v>
      </c>
    </row>
    <row r="1302" spans="1:17" x14ac:dyDescent="0.35">
      <c r="A1302">
        <v>202205</v>
      </c>
      <c r="B1302">
        <v>33</v>
      </c>
      <c r="C1302" s="2">
        <v>2730707.8813</v>
      </c>
      <c r="D1302" s="2">
        <v>0.71809999999999996</v>
      </c>
      <c r="E1302" s="3">
        <v>230624</v>
      </c>
      <c r="F1302" s="2">
        <v>165602.87460000001</v>
      </c>
      <c r="G1302" t="s">
        <v>2709</v>
      </c>
      <c r="H1302" t="s">
        <v>3</v>
      </c>
      <c r="I1302">
        <f>HLOOKUP(G1302,zip_tiers!$A$1:$EON$2,2,FALSE)</f>
        <v>75389.666666666672</v>
      </c>
      <c r="J1302" t="str">
        <f t="shared" si="20"/>
        <v>Med</v>
      </c>
      <c r="K1302">
        <f>dataset[[#This Row],[soda_sales]]/dataset[[#This Row],[soda_units_sold]]</f>
        <v>0.71806435843624261</v>
      </c>
      <c r="L1302" s="29">
        <f>dataset[[#This Row],[implied_soda_ppu]]-dataset[[#This Row],[soda_ppu]]</f>
        <v>-3.5641563757349282E-5</v>
      </c>
      <c r="M1302">
        <f>dataset[[#This Row],[soda_sales]]/dataset[[#This Row],[total_sales]]</f>
        <v>6.0644668634845682E-2</v>
      </c>
      <c r="N1302">
        <f>LN(dataset[[#This Row],[soda_units_sold]])</f>
        <v>12.348543957724168</v>
      </c>
      <c r="O1302">
        <f>LN(dataset[[#This Row],[soda_sales]])</f>
        <v>12.017347879478288</v>
      </c>
      <c r="P1302">
        <f>LN(dataset[[#This Row],[soda_ppu]])</f>
        <v>-0.33114644386586528</v>
      </c>
      <c r="Q1302">
        <f>IF(dataset[[#This Row],[state]]="VA",1,0)</f>
        <v>1</v>
      </c>
    </row>
    <row r="1303" spans="1:17" x14ac:dyDescent="0.35">
      <c r="A1303">
        <v>202206</v>
      </c>
      <c r="B1303">
        <v>33</v>
      </c>
      <c r="C1303" s="2">
        <v>2588096.65</v>
      </c>
      <c r="D1303" s="2">
        <v>0.7389</v>
      </c>
      <c r="E1303" s="3">
        <v>228378</v>
      </c>
      <c r="F1303" s="2">
        <v>168755.73120000001</v>
      </c>
      <c r="G1303" t="s">
        <v>2709</v>
      </c>
      <c r="H1303" t="s">
        <v>3</v>
      </c>
      <c r="I1303">
        <f>HLOOKUP(G1303,zip_tiers!$A$1:$EON$2,2,FALSE)</f>
        <v>75389.666666666672</v>
      </c>
      <c r="J1303" t="str">
        <f t="shared" si="20"/>
        <v>Med</v>
      </c>
      <c r="K1303">
        <f>dataset[[#This Row],[soda_sales]]/dataset[[#This Row],[soda_units_sold]]</f>
        <v>0.73893164490450047</v>
      </c>
      <c r="L1303" s="29">
        <f>dataset[[#This Row],[implied_soda_ppu]]-dataset[[#This Row],[soda_ppu]]</f>
        <v>3.164490450047186E-5</v>
      </c>
      <c r="M1303">
        <f>dataset[[#This Row],[soda_sales]]/dataset[[#This Row],[total_sales]]</f>
        <v>6.520457077984318E-2</v>
      </c>
      <c r="N1303">
        <f>LN(dataset[[#This Row],[soda_units_sold]])</f>
        <v>12.338757429883026</v>
      </c>
      <c r="O1303">
        <f>LN(dataset[[#This Row],[soda_sales]])</f>
        <v>12.036207570824725</v>
      </c>
      <c r="P1303">
        <f>LN(dataset[[#This Row],[soda_ppu]])</f>
        <v>-0.30259268518753513</v>
      </c>
      <c r="Q1303">
        <f>IF(dataset[[#This Row],[state]]="VA",1,0)</f>
        <v>1</v>
      </c>
    </row>
    <row r="1304" spans="1:17" x14ac:dyDescent="0.35">
      <c r="A1304">
        <v>202207</v>
      </c>
      <c r="B1304">
        <v>33</v>
      </c>
      <c r="C1304" s="2">
        <v>2474594.5731000002</v>
      </c>
      <c r="D1304" s="2">
        <v>0.71340000000000003</v>
      </c>
      <c r="E1304" s="3">
        <v>245871</v>
      </c>
      <c r="F1304" s="2">
        <v>175407.90659999999</v>
      </c>
      <c r="G1304" t="s">
        <v>2709</v>
      </c>
      <c r="H1304" t="s">
        <v>3</v>
      </c>
      <c r="I1304">
        <f>HLOOKUP(G1304,zip_tiers!$A$1:$EON$2,2,FALSE)</f>
        <v>75389.666666666672</v>
      </c>
      <c r="J1304" t="str">
        <f t="shared" si="20"/>
        <v>Med</v>
      </c>
      <c r="K1304">
        <f>dataset[[#This Row],[soda_sales]]/dataset[[#This Row],[soda_units_sold]]</f>
        <v>0.71341437827153253</v>
      </c>
      <c r="L1304" s="29">
        <f>dataset[[#This Row],[implied_soda_ppu]]-dataset[[#This Row],[soda_ppu]]</f>
        <v>1.4378271532500264E-5</v>
      </c>
      <c r="M1304">
        <f>dataset[[#This Row],[soda_sales]]/dataset[[#This Row],[total_sales]]</f>
        <v>7.0883492797877243E-2</v>
      </c>
      <c r="N1304">
        <f>LN(dataset[[#This Row],[soda_units_sold]])</f>
        <v>12.412562287129948</v>
      </c>
      <c r="O1304">
        <f>LN(dataset[[#This Row],[soda_sales]])</f>
        <v>12.074869435441316</v>
      </c>
      <c r="P1304">
        <f>LN(dataset[[#This Row],[soda_ppu]])</f>
        <v>-0.33771300605734583</v>
      </c>
      <c r="Q1304">
        <f>IF(dataset[[#This Row],[state]]="VA",1,0)</f>
        <v>1</v>
      </c>
    </row>
    <row r="1305" spans="1:17" x14ac:dyDescent="0.35">
      <c r="A1305">
        <v>202208</v>
      </c>
      <c r="B1305">
        <v>33</v>
      </c>
      <c r="C1305" s="2">
        <v>2366787.5268000001</v>
      </c>
      <c r="D1305" s="2">
        <v>0.71509999999999996</v>
      </c>
      <c r="E1305" s="3">
        <v>213512</v>
      </c>
      <c r="F1305" s="2">
        <v>152689.87239999999</v>
      </c>
      <c r="G1305" t="s">
        <v>2709</v>
      </c>
      <c r="H1305" t="s">
        <v>3</v>
      </c>
      <c r="I1305">
        <f>HLOOKUP(G1305,zip_tiers!$A$1:$EON$2,2,FALSE)</f>
        <v>75389.666666666672</v>
      </c>
      <c r="J1305" t="str">
        <f t="shared" si="20"/>
        <v>Med</v>
      </c>
      <c r="K1305">
        <f>dataset[[#This Row],[soda_sales]]/dataset[[#This Row],[soda_units_sold]]</f>
        <v>0.71513485143692157</v>
      </c>
      <c r="L1305" s="29">
        <f>dataset[[#This Row],[implied_soda_ppu]]-dataset[[#This Row],[soda_ppu]]</f>
        <v>3.4851436921612411E-5</v>
      </c>
      <c r="M1305">
        <f>dataset[[#This Row],[soda_sales]]/dataset[[#This Row],[total_sales]]</f>
        <v>6.4513552936643764E-2</v>
      </c>
      <c r="N1305">
        <f>LN(dataset[[#This Row],[soda_units_sold]])</f>
        <v>12.271448316160306</v>
      </c>
      <c r="O1305">
        <f>LN(dataset[[#This Row],[soda_sales]])</f>
        <v>11.936164165497072</v>
      </c>
      <c r="P1305">
        <f>LN(dataset[[#This Row],[soda_ppu]])</f>
        <v>-0.33533288592778687</v>
      </c>
      <c r="Q1305">
        <f>IF(dataset[[#This Row],[state]]="VA",1,0)</f>
        <v>1</v>
      </c>
    </row>
    <row r="1306" spans="1:17" x14ac:dyDescent="0.35">
      <c r="A1306">
        <v>202209</v>
      </c>
      <c r="B1306">
        <v>33</v>
      </c>
      <c r="C1306" s="2">
        <v>2336129.7705000001</v>
      </c>
      <c r="D1306" s="2">
        <v>0.73719999999999997</v>
      </c>
      <c r="E1306" s="3">
        <v>196808</v>
      </c>
      <c r="F1306" s="2">
        <v>145088.25810000001</v>
      </c>
      <c r="G1306" t="s">
        <v>2709</v>
      </c>
      <c r="H1306" t="s">
        <v>3</v>
      </c>
      <c r="I1306">
        <f>HLOOKUP(G1306,zip_tiers!$A$1:$EON$2,2,FALSE)</f>
        <v>75389.666666666672</v>
      </c>
      <c r="J1306" t="str">
        <f t="shared" si="20"/>
        <v>Med</v>
      </c>
      <c r="K1306">
        <f>dataset[[#This Row],[soda_sales]]/dataset[[#This Row],[soda_units_sold]]</f>
        <v>0.73720711607251743</v>
      </c>
      <c r="L1306" s="29">
        <f>dataset[[#This Row],[implied_soda_ppu]]-dataset[[#This Row],[soda_ppu]]</f>
        <v>7.1160725174657102E-6</v>
      </c>
      <c r="M1306">
        <f>dataset[[#This Row],[soda_sales]]/dataset[[#This Row],[total_sales]]</f>
        <v>6.2106249375413279E-2</v>
      </c>
      <c r="N1306">
        <f>LN(dataset[[#This Row],[soda_units_sold]])</f>
        <v>12.189983913180589</v>
      </c>
      <c r="O1306">
        <f>LN(dataset[[#This Row],[soda_sales]])</f>
        <v>11.885097512785999</v>
      </c>
      <c r="P1306">
        <f>LN(dataset[[#This Row],[soda_ppu]])</f>
        <v>-0.3048960531864689</v>
      </c>
      <c r="Q1306">
        <f>IF(dataset[[#This Row],[state]]="VA",1,0)</f>
        <v>1</v>
      </c>
    </row>
    <row r="1307" spans="1:17" x14ac:dyDescent="0.35">
      <c r="A1307">
        <v>202210</v>
      </c>
      <c r="B1307">
        <v>33</v>
      </c>
      <c r="C1307" s="2">
        <v>2847143.1312000002</v>
      </c>
      <c r="D1307" s="2">
        <v>0.73060000000000003</v>
      </c>
      <c r="E1307" s="3">
        <v>192227</v>
      </c>
      <c r="F1307" s="2">
        <v>140443.93419999999</v>
      </c>
      <c r="G1307" t="s">
        <v>2709</v>
      </c>
      <c r="H1307" t="s">
        <v>3</v>
      </c>
      <c r="I1307">
        <f>HLOOKUP(G1307,zip_tiers!$A$1:$EON$2,2,FALSE)</f>
        <v>75389.666666666672</v>
      </c>
      <c r="J1307" t="str">
        <f t="shared" si="20"/>
        <v>Med</v>
      </c>
      <c r="K1307">
        <f>dataset[[#This Row],[soda_sales]]/dataset[[#This Row],[soda_units_sold]]</f>
        <v>0.7306150239040301</v>
      </c>
      <c r="L1307" s="29">
        <f>dataset[[#This Row],[implied_soda_ppu]]-dataset[[#This Row],[soda_ppu]]</f>
        <v>1.5023904030075919E-5</v>
      </c>
      <c r="M1307">
        <f>dataset[[#This Row],[soda_sales]]/dataset[[#This Row],[total_sales]]</f>
        <v>4.9328020309539672E-2</v>
      </c>
      <c r="N1307">
        <f>LN(dataset[[#This Row],[soda_units_sold]])</f>
        <v>12.166432244320179</v>
      </c>
      <c r="O1307">
        <f>LN(dataset[[#This Row],[soda_sales]])</f>
        <v>11.8525636432765</v>
      </c>
      <c r="P1307">
        <f>LN(dataset[[#This Row],[soda_ppu]])</f>
        <v>-0.3138891646209549</v>
      </c>
      <c r="Q1307">
        <f>IF(dataset[[#This Row],[state]]="VA",1,0)</f>
        <v>1</v>
      </c>
    </row>
    <row r="1308" spans="1:17" x14ac:dyDescent="0.35">
      <c r="A1308">
        <v>202211</v>
      </c>
      <c r="B1308">
        <v>33</v>
      </c>
      <c r="C1308" s="2">
        <v>3228395.5517000002</v>
      </c>
      <c r="D1308" s="2">
        <v>0.70979999999999999</v>
      </c>
      <c r="E1308" s="3">
        <v>184442</v>
      </c>
      <c r="F1308" s="2">
        <v>130918.45329999999</v>
      </c>
      <c r="G1308" t="s">
        <v>2709</v>
      </c>
      <c r="H1308" t="s">
        <v>3</v>
      </c>
      <c r="I1308">
        <f>HLOOKUP(G1308,zip_tiers!$A$1:$EON$2,2,FALSE)</f>
        <v>75389.666666666672</v>
      </c>
      <c r="J1308" t="str">
        <f t="shared" si="20"/>
        <v>Med</v>
      </c>
      <c r="K1308">
        <f>dataset[[#This Row],[soda_sales]]/dataset[[#This Row],[soda_units_sold]]</f>
        <v>0.709808250290064</v>
      </c>
      <c r="L1308" s="29">
        <f>dataset[[#This Row],[implied_soda_ppu]]-dataset[[#This Row],[soda_ppu]]</f>
        <v>8.2502900640157861E-6</v>
      </c>
      <c r="M1308">
        <f>dataset[[#This Row],[soda_sales]]/dataset[[#This Row],[total_sales]]</f>
        <v>4.0552172496663645E-2</v>
      </c>
      <c r="N1308">
        <f>LN(dataset[[#This Row],[soda_units_sold]])</f>
        <v>12.125090329896636</v>
      </c>
      <c r="O1308">
        <f>LN(dataset[[#This Row],[soda_sales]])</f>
        <v>11.782329914460393</v>
      </c>
      <c r="P1308">
        <f>LN(dataset[[#This Row],[soda_ppu]])</f>
        <v>-0.34277203876974099</v>
      </c>
      <c r="Q1308">
        <f>IF(dataset[[#This Row],[state]]="VA",1,0)</f>
        <v>1</v>
      </c>
    </row>
    <row r="1309" spans="1:17" x14ac:dyDescent="0.35">
      <c r="A1309">
        <v>202212</v>
      </c>
      <c r="B1309">
        <v>33</v>
      </c>
      <c r="C1309" s="2">
        <v>3334988.0041</v>
      </c>
      <c r="D1309" s="2">
        <v>0.69469999999999998</v>
      </c>
      <c r="E1309" s="3">
        <v>182853</v>
      </c>
      <c r="F1309" s="2">
        <v>127027.5814</v>
      </c>
      <c r="G1309" t="s">
        <v>2709</v>
      </c>
      <c r="H1309" t="s">
        <v>3</v>
      </c>
      <c r="I1309">
        <f>HLOOKUP(G1309,zip_tiers!$A$1:$EON$2,2,FALSE)</f>
        <v>75389.666666666672</v>
      </c>
      <c r="J1309" t="str">
        <f t="shared" si="20"/>
        <v>Med</v>
      </c>
      <c r="K1309">
        <f>dataset[[#This Row],[soda_sales]]/dataset[[#This Row],[soda_units_sold]]</f>
        <v>0.69469782502884825</v>
      </c>
      <c r="L1309" s="29">
        <f>dataset[[#This Row],[implied_soda_ppu]]-dataset[[#This Row],[soda_ppu]]</f>
        <v>-2.1749711517360382E-6</v>
      </c>
      <c r="M1309">
        <f>dataset[[#This Row],[soda_sales]]/dataset[[#This Row],[total_sales]]</f>
        <v>3.8089366811464867E-2</v>
      </c>
      <c r="N1309">
        <f>LN(dataset[[#This Row],[soda_units_sold]])</f>
        <v>12.11643783033383</v>
      </c>
      <c r="O1309">
        <f>LN(dataset[[#This Row],[soda_sales]])</f>
        <v>11.752159518239305</v>
      </c>
      <c r="P1309">
        <f>LN(dataset[[#This Row],[soda_ppu]])</f>
        <v>-0.36427518128330183</v>
      </c>
      <c r="Q1309">
        <f>IF(dataset[[#This Row],[state]]="VA",1,0)</f>
        <v>1</v>
      </c>
    </row>
    <row r="1310" spans="1:17" x14ac:dyDescent="0.35">
      <c r="A1310">
        <v>202301</v>
      </c>
      <c r="B1310">
        <v>33</v>
      </c>
      <c r="C1310" s="2">
        <v>1967083.6512</v>
      </c>
      <c r="D1310" s="2">
        <v>0.71399999999999997</v>
      </c>
      <c r="E1310" s="3">
        <v>136108</v>
      </c>
      <c r="F1310" s="2">
        <v>97180.6299</v>
      </c>
      <c r="G1310" t="s">
        <v>2709</v>
      </c>
      <c r="H1310" t="s">
        <v>3</v>
      </c>
      <c r="I1310">
        <f>HLOOKUP(G1310,zip_tiers!$A$1:$EON$2,2,FALSE)</f>
        <v>75389.666666666672</v>
      </c>
      <c r="J1310" t="str">
        <f t="shared" si="20"/>
        <v>Med</v>
      </c>
      <c r="K1310">
        <f>dataset[[#This Row],[soda_sales]]/dataset[[#This Row],[soda_units_sold]]</f>
        <v>0.71399645795985545</v>
      </c>
      <c r="L1310" s="29">
        <f>dataset[[#This Row],[implied_soda_ppu]]-dataset[[#This Row],[soda_ppu]]</f>
        <v>-3.542040144521863E-6</v>
      </c>
      <c r="M1310">
        <f>dataset[[#This Row],[soda_sales]]/dataset[[#This Row],[total_sales]]</f>
        <v>4.940340480218821E-2</v>
      </c>
      <c r="N1310">
        <f>LN(dataset[[#This Row],[soda_units_sold]])</f>
        <v>11.82120396722066</v>
      </c>
      <c r="O1310">
        <f>LN(dataset[[#This Row],[soda_sales]])</f>
        <v>11.484326689725263</v>
      </c>
      <c r="P1310">
        <f>LN(dataset[[#This Row],[soda_ppu]])</f>
        <v>-0.33687231664255274</v>
      </c>
      <c r="Q1310">
        <f>IF(dataset[[#This Row],[state]]="VA",1,0)</f>
        <v>1</v>
      </c>
    </row>
    <row r="1311" spans="1:17" x14ac:dyDescent="0.35">
      <c r="A1311">
        <v>202302</v>
      </c>
      <c r="B1311">
        <v>33</v>
      </c>
      <c r="C1311" s="2">
        <v>2197514.7300999998</v>
      </c>
      <c r="D1311" s="2">
        <v>0.74229999999999996</v>
      </c>
      <c r="E1311" s="3">
        <v>145368</v>
      </c>
      <c r="F1311" s="2">
        <v>107910.7919</v>
      </c>
      <c r="G1311" t="s">
        <v>2709</v>
      </c>
      <c r="H1311" t="s">
        <v>3</v>
      </c>
      <c r="I1311">
        <f>HLOOKUP(G1311,zip_tiers!$A$1:$EON$2,2,FALSE)</f>
        <v>75389.666666666672</v>
      </c>
      <c r="J1311" t="str">
        <f t="shared" si="20"/>
        <v>Med</v>
      </c>
      <c r="K1311">
        <f>dataset[[#This Row],[soda_sales]]/dataset[[#This Row],[soda_units_sold]]</f>
        <v>0.74232837969842058</v>
      </c>
      <c r="L1311" s="29">
        <f>dataset[[#This Row],[implied_soda_ppu]]-dataset[[#This Row],[soda_ppu]]</f>
        <v>2.8379698420621935E-5</v>
      </c>
      <c r="M1311">
        <f>dataset[[#This Row],[soda_sales]]/dataset[[#This Row],[total_sales]]</f>
        <v>4.9105833249677204E-2</v>
      </c>
      <c r="N1311">
        <f>LN(dataset[[#This Row],[soda_units_sold]])</f>
        <v>11.887023737328892</v>
      </c>
      <c r="O1311">
        <f>LN(dataset[[#This Row],[soda_sales]])</f>
        <v>11.589060163853695</v>
      </c>
      <c r="P1311">
        <f>LN(dataset[[#This Row],[soda_ppu]])</f>
        <v>-0.29800180485863581</v>
      </c>
      <c r="Q1311">
        <f>IF(dataset[[#This Row],[state]]="VA",1,0)</f>
        <v>1</v>
      </c>
    </row>
    <row r="1312" spans="1:17" x14ac:dyDescent="0.35">
      <c r="A1312">
        <v>202303</v>
      </c>
      <c r="B1312">
        <v>33</v>
      </c>
      <c r="C1312" s="2">
        <v>2441268.2329000002</v>
      </c>
      <c r="D1312" s="2">
        <v>0.74329999999999996</v>
      </c>
      <c r="E1312" s="3">
        <v>171405</v>
      </c>
      <c r="F1312" s="2">
        <v>127398.9247</v>
      </c>
      <c r="G1312" t="s">
        <v>2709</v>
      </c>
      <c r="H1312" t="s">
        <v>3</v>
      </c>
      <c r="I1312">
        <f>HLOOKUP(G1312,zip_tiers!$A$1:$EON$2,2,FALSE)</f>
        <v>75389.666666666672</v>
      </c>
      <c r="J1312" t="str">
        <f t="shared" si="20"/>
        <v>Med</v>
      </c>
      <c r="K1312">
        <f>dataset[[#This Row],[soda_sales]]/dataset[[#This Row],[soda_units_sold]]</f>
        <v>0.74326259268982819</v>
      </c>
      <c r="L1312" s="29">
        <f>dataset[[#This Row],[implied_soda_ppu]]-dataset[[#This Row],[soda_ppu]]</f>
        <v>-3.7407310171766461E-5</v>
      </c>
      <c r="M1312">
        <f>dataset[[#This Row],[soda_sales]]/dataset[[#This Row],[total_sales]]</f>
        <v>5.2185549700395642E-2</v>
      </c>
      <c r="N1312">
        <f>LN(dataset[[#This Row],[soda_units_sold]])</f>
        <v>12.051784456248924</v>
      </c>
      <c r="O1312">
        <f>LN(dataset[[#This Row],[soda_sales]])</f>
        <v>11.755078581739211</v>
      </c>
      <c r="P1312">
        <f>LN(dataset[[#This Row],[soda_ppu]])</f>
        <v>-0.29665554725088933</v>
      </c>
      <c r="Q1312">
        <f>IF(dataset[[#This Row],[state]]="VA",1,0)</f>
        <v>1</v>
      </c>
    </row>
    <row r="1313" spans="1:17" x14ac:dyDescent="0.35">
      <c r="A1313">
        <v>202304</v>
      </c>
      <c r="B1313">
        <v>33</v>
      </c>
      <c r="C1313" s="2">
        <v>2616778.3694000002</v>
      </c>
      <c r="D1313" s="2">
        <v>0.74070000000000003</v>
      </c>
      <c r="E1313" s="3">
        <v>201737</v>
      </c>
      <c r="F1313" s="2">
        <v>149429.51439999999</v>
      </c>
      <c r="G1313" t="s">
        <v>2709</v>
      </c>
      <c r="H1313" t="s">
        <v>3</v>
      </c>
      <c r="I1313">
        <f>HLOOKUP(G1313,zip_tiers!$A$1:$EON$2,2,FALSE)</f>
        <v>75389.666666666672</v>
      </c>
      <c r="J1313" t="str">
        <f t="shared" si="20"/>
        <v>Med</v>
      </c>
      <c r="K1313">
        <f>dataset[[#This Row],[soda_sales]]/dataset[[#This Row],[soda_units_sold]]</f>
        <v>0.74071446685536113</v>
      </c>
      <c r="L1313" s="29">
        <f>dataset[[#This Row],[implied_soda_ppu]]-dataset[[#This Row],[soda_ppu]]</f>
        <v>1.4466855361106035E-5</v>
      </c>
      <c r="M1313">
        <f>dataset[[#This Row],[soda_sales]]/dataset[[#This Row],[total_sales]]</f>
        <v>5.7104383064073783E-2</v>
      </c>
      <c r="N1313">
        <f>LN(dataset[[#This Row],[soda_units_sold]])</f>
        <v>12.214720147872701</v>
      </c>
      <c r="O1313">
        <f>LN(dataset[[#This Row],[soda_sales]])</f>
        <v>11.914580085048033</v>
      </c>
      <c r="P1313">
        <f>LN(dataset[[#This Row],[soda_ppu]])</f>
        <v>-0.30015959396289349</v>
      </c>
      <c r="Q1313">
        <f>IF(dataset[[#This Row],[state]]="VA",1,0)</f>
        <v>1</v>
      </c>
    </row>
    <row r="1314" spans="1:17" x14ac:dyDescent="0.35">
      <c r="A1314">
        <v>202305</v>
      </c>
      <c r="B1314">
        <v>33</v>
      </c>
      <c r="C1314" s="2">
        <v>2750439.8380999998</v>
      </c>
      <c r="D1314" s="2">
        <v>0.73199999999999998</v>
      </c>
      <c r="E1314" s="3">
        <v>224435</v>
      </c>
      <c r="F1314" s="2">
        <v>164284.12239999999</v>
      </c>
      <c r="G1314" t="s">
        <v>2709</v>
      </c>
      <c r="H1314" t="s">
        <v>3</v>
      </c>
      <c r="I1314">
        <f>HLOOKUP(G1314,zip_tiers!$A$1:$EON$2,2,FALSE)</f>
        <v>75389.666666666672</v>
      </c>
      <c r="J1314" t="str">
        <f t="shared" si="20"/>
        <v>Med</v>
      </c>
      <c r="K1314">
        <f>dataset[[#This Row],[soda_sales]]/dataset[[#This Row],[soda_units_sold]]</f>
        <v>0.73198976273754091</v>
      </c>
      <c r="L1314" s="29">
        <f>dataset[[#This Row],[implied_soda_ppu]]-dataset[[#This Row],[soda_ppu]]</f>
        <v>-1.0237262459078522E-5</v>
      </c>
      <c r="M1314">
        <f>dataset[[#This Row],[soda_sales]]/dataset[[#This Row],[total_sales]]</f>
        <v>5.9730127568791778E-2</v>
      </c>
      <c r="N1314">
        <f>LN(dataset[[#This Row],[soda_units_sold]])</f>
        <v>12.321341411947893</v>
      </c>
      <c r="O1314">
        <f>LN(dataset[[#This Row],[soda_sales]])</f>
        <v>12.009352661498044</v>
      </c>
      <c r="P1314">
        <f>LN(dataset[[#This Row],[soda_ppu]])</f>
        <v>-0.3119747650208255</v>
      </c>
      <c r="Q1314">
        <f>IF(dataset[[#This Row],[state]]="VA",1,0)</f>
        <v>1</v>
      </c>
    </row>
    <row r="1315" spans="1:17" x14ac:dyDescent="0.35">
      <c r="A1315">
        <v>202306</v>
      </c>
      <c r="B1315">
        <v>33</v>
      </c>
      <c r="C1315" s="2">
        <v>2590137.4150999999</v>
      </c>
      <c r="D1315" s="2">
        <v>0.69630000000000003</v>
      </c>
      <c r="E1315" s="3">
        <v>241152</v>
      </c>
      <c r="F1315" s="2">
        <v>167919.76569999999</v>
      </c>
      <c r="G1315" t="s">
        <v>2709</v>
      </c>
      <c r="H1315" t="s">
        <v>3</v>
      </c>
      <c r="I1315">
        <f>HLOOKUP(G1315,zip_tiers!$A$1:$EON$2,2,FALSE)</f>
        <v>75389.666666666672</v>
      </c>
      <c r="J1315" t="str">
        <f t="shared" si="20"/>
        <v>Med</v>
      </c>
      <c r="K1315">
        <f>dataset[[#This Row],[soda_sales]]/dataset[[#This Row],[soda_units_sold]]</f>
        <v>0.69632333839238314</v>
      </c>
      <c r="L1315" s="29">
        <f>dataset[[#This Row],[implied_soda_ppu]]-dataset[[#This Row],[soda_ppu]]</f>
        <v>2.3338392383109863E-5</v>
      </c>
      <c r="M1315">
        <f>dataset[[#This Row],[soda_sales]]/dataset[[#This Row],[total_sales]]</f>
        <v>6.4830446724973068E-2</v>
      </c>
      <c r="N1315">
        <f>LN(dataset[[#This Row],[soda_units_sold]])</f>
        <v>12.393182719055925</v>
      </c>
      <c r="O1315">
        <f>LN(dataset[[#This Row],[soda_sales]])</f>
        <v>12.031241559186252</v>
      </c>
      <c r="P1315">
        <f>LN(dataset[[#This Row],[soda_ppu]])</f>
        <v>-0.36197467703363595</v>
      </c>
      <c r="Q1315">
        <f>IF(dataset[[#This Row],[state]]="VA",1,0)</f>
        <v>1</v>
      </c>
    </row>
    <row r="1316" spans="1:17" x14ac:dyDescent="0.35">
      <c r="A1316">
        <v>202307</v>
      </c>
      <c r="B1316">
        <v>33</v>
      </c>
      <c r="C1316" s="2">
        <v>2452196.1357</v>
      </c>
      <c r="D1316" s="2">
        <v>0.73280000000000001</v>
      </c>
      <c r="E1316" s="3">
        <v>237828</v>
      </c>
      <c r="F1316" s="2">
        <v>174274.1391</v>
      </c>
      <c r="G1316" t="s">
        <v>2709</v>
      </c>
      <c r="H1316" t="s">
        <v>3</v>
      </c>
      <c r="I1316">
        <f>HLOOKUP(G1316,zip_tiers!$A$1:$EON$2,2,FALSE)</f>
        <v>75389.666666666672</v>
      </c>
      <c r="J1316" t="str">
        <f t="shared" si="20"/>
        <v>Med</v>
      </c>
      <c r="K1316">
        <f>dataset[[#This Row],[soda_sales]]/dataset[[#This Row],[soda_units_sold]]</f>
        <v>0.73277384958877845</v>
      </c>
      <c r="L1316" s="29">
        <f>dataset[[#This Row],[implied_soda_ppu]]-dataset[[#This Row],[soda_ppu]]</f>
        <v>-2.6150411221559366E-5</v>
      </c>
      <c r="M1316">
        <f>dataset[[#This Row],[soda_sales]]/dataset[[#This Row],[total_sales]]</f>
        <v>7.1068597068093819E-2</v>
      </c>
      <c r="N1316">
        <f>LN(dataset[[#This Row],[soda_units_sold]])</f>
        <v>12.379303002312348</v>
      </c>
      <c r="O1316">
        <f>LN(dataset[[#This Row],[soda_sales]])</f>
        <v>12.068384850448552</v>
      </c>
      <c r="P1316">
        <f>LN(dataset[[#This Row],[soda_ppu]])</f>
        <v>-0.31088246562221655</v>
      </c>
      <c r="Q1316">
        <f>IF(dataset[[#This Row],[state]]="VA",1,0)</f>
        <v>1</v>
      </c>
    </row>
    <row r="1317" spans="1:17" x14ac:dyDescent="0.35">
      <c r="A1317">
        <v>202308</v>
      </c>
      <c r="B1317">
        <v>33</v>
      </c>
      <c r="C1317" s="2">
        <v>2370166.8476999998</v>
      </c>
      <c r="D1317" s="2">
        <v>0.74160000000000004</v>
      </c>
      <c r="E1317" s="3">
        <v>212872</v>
      </c>
      <c r="F1317" s="2">
        <v>157865.0422</v>
      </c>
      <c r="G1317" t="s">
        <v>2709</v>
      </c>
      <c r="H1317" t="s">
        <v>3</v>
      </c>
      <c r="I1317">
        <f>HLOOKUP(G1317,zip_tiers!$A$1:$EON$2,2,FALSE)</f>
        <v>75389.666666666672</v>
      </c>
      <c r="J1317" t="str">
        <f t="shared" si="20"/>
        <v>Med</v>
      </c>
      <c r="K1317">
        <f>dataset[[#This Row],[soda_sales]]/dataset[[#This Row],[soda_units_sold]]</f>
        <v>0.74159608685031375</v>
      </c>
      <c r="L1317" s="29">
        <f>dataset[[#This Row],[implied_soda_ppu]]-dataset[[#This Row],[soda_ppu]]</f>
        <v>-3.913149686285422E-6</v>
      </c>
      <c r="M1317">
        <f>dataset[[#This Row],[soda_sales]]/dataset[[#This Row],[total_sales]]</f>
        <v>6.660503346133273E-2</v>
      </c>
      <c r="N1317">
        <f>LN(dataset[[#This Row],[soda_units_sold]])</f>
        <v>12.268446325088235</v>
      </c>
      <c r="O1317">
        <f>LN(dataset[[#This Row],[soda_sales]])</f>
        <v>11.969495783712636</v>
      </c>
      <c r="P1317">
        <f>LN(dataset[[#This Row],[soda_ppu]])</f>
        <v>-0.2989452647304916</v>
      </c>
      <c r="Q1317">
        <f>IF(dataset[[#This Row],[state]]="VA",1,0)</f>
        <v>1</v>
      </c>
    </row>
    <row r="1318" spans="1:17" x14ac:dyDescent="0.35">
      <c r="A1318">
        <v>202309</v>
      </c>
      <c r="B1318">
        <v>33</v>
      </c>
      <c r="C1318" s="2">
        <v>2402364.5093999999</v>
      </c>
      <c r="D1318" s="2">
        <v>0.72430000000000005</v>
      </c>
      <c r="E1318" s="3">
        <v>209515</v>
      </c>
      <c r="F1318" s="2">
        <v>151760.45110000001</v>
      </c>
      <c r="G1318" t="s">
        <v>2709</v>
      </c>
      <c r="H1318" t="s">
        <v>3</v>
      </c>
      <c r="I1318">
        <f>HLOOKUP(G1318,zip_tiers!$A$1:$EON$2,2,FALSE)</f>
        <v>75389.666666666672</v>
      </c>
      <c r="J1318" t="str">
        <f t="shared" si="20"/>
        <v>Med</v>
      </c>
      <c r="K1318">
        <f>dataset[[#This Row],[soda_sales]]/dataset[[#This Row],[soda_units_sold]]</f>
        <v>0.72434169916235114</v>
      </c>
      <c r="L1318" s="29">
        <f>dataset[[#This Row],[implied_soda_ppu]]-dataset[[#This Row],[soda_ppu]]</f>
        <v>4.1699162351083174E-5</v>
      </c>
      <c r="M1318">
        <f>dataset[[#This Row],[soda_sales]]/dataset[[#This Row],[total_sales]]</f>
        <v>6.3171284168655487E-2</v>
      </c>
      <c r="N1318">
        <f>LN(dataset[[#This Row],[soda_units_sold]])</f>
        <v>12.252550614826585</v>
      </c>
      <c r="O1318">
        <f>LN(dataset[[#This Row],[soda_sales]])</f>
        <v>11.930058577060988</v>
      </c>
      <c r="P1318">
        <f>LN(dataset[[#This Row],[soda_ppu]])</f>
        <v>-0.32254960778085662</v>
      </c>
      <c r="Q1318">
        <f>IF(dataset[[#This Row],[state]]="VA",1,0)</f>
        <v>1</v>
      </c>
    </row>
    <row r="1319" spans="1:17" x14ac:dyDescent="0.35">
      <c r="A1319">
        <v>202310</v>
      </c>
      <c r="B1319">
        <v>33</v>
      </c>
      <c r="C1319" s="2">
        <v>2870393.0893999999</v>
      </c>
      <c r="D1319" s="2">
        <v>0.70550000000000002</v>
      </c>
      <c r="E1319" s="3">
        <v>200731</v>
      </c>
      <c r="F1319" s="2">
        <v>141622.53419999999</v>
      </c>
      <c r="G1319" t="s">
        <v>2709</v>
      </c>
      <c r="H1319" t="s">
        <v>3</v>
      </c>
      <c r="I1319">
        <f>HLOOKUP(G1319,zip_tiers!$A$1:$EON$2,2,FALSE)</f>
        <v>75389.666666666672</v>
      </c>
      <c r="J1319" t="str">
        <f t="shared" si="20"/>
        <v>Med</v>
      </c>
      <c r="K1319">
        <f>dataset[[#This Row],[soda_sales]]/dataset[[#This Row],[soda_units_sold]]</f>
        <v>0.70553394443309703</v>
      </c>
      <c r="L1319" s="29">
        <f>dataset[[#This Row],[implied_soda_ppu]]-dataset[[#This Row],[soda_ppu]]</f>
        <v>3.3944433097010673E-5</v>
      </c>
      <c r="M1319">
        <f>dataset[[#This Row],[soda_sales]]/dataset[[#This Row],[total_sales]]</f>
        <v>4.9339073008151449E-2</v>
      </c>
      <c r="N1319">
        <f>LN(dataset[[#This Row],[soda_units_sold]])</f>
        <v>12.209720982248934</v>
      </c>
      <c r="O1319">
        <f>LN(dataset[[#This Row],[soda_sales]])</f>
        <v>11.860920587410865</v>
      </c>
      <c r="P1319">
        <f>LN(dataset[[#This Row],[soda_ppu]])</f>
        <v>-0.34884850768926834</v>
      </c>
      <c r="Q1319">
        <f>IF(dataset[[#This Row],[state]]="VA",1,0)</f>
        <v>1</v>
      </c>
    </row>
    <row r="1320" spans="1:17" x14ac:dyDescent="0.35">
      <c r="A1320">
        <v>202311</v>
      </c>
      <c r="B1320">
        <v>33</v>
      </c>
      <c r="C1320" s="2">
        <v>3352454.9262000001</v>
      </c>
      <c r="D1320" s="2">
        <v>0.71689999999999998</v>
      </c>
      <c r="E1320" s="3">
        <v>194055</v>
      </c>
      <c r="F1320" s="2">
        <v>139112.10930000001</v>
      </c>
      <c r="G1320" t="s">
        <v>2709</v>
      </c>
      <c r="H1320" t="s">
        <v>3</v>
      </c>
      <c r="I1320">
        <f>HLOOKUP(G1320,zip_tiers!$A$1:$EON$2,2,FALSE)</f>
        <v>75389.666666666672</v>
      </c>
      <c r="J1320" t="str">
        <f t="shared" si="20"/>
        <v>Med</v>
      </c>
      <c r="K1320">
        <f>dataset[[#This Row],[soda_sales]]/dataset[[#This Row],[soda_units_sold]]</f>
        <v>0.71686949215428619</v>
      </c>
      <c r="L1320" s="29">
        <f>dataset[[#This Row],[implied_soda_ppu]]-dataset[[#This Row],[soda_ppu]]</f>
        <v>-3.0507845713789727E-5</v>
      </c>
      <c r="M1320">
        <f>dataset[[#This Row],[soda_sales]]/dataset[[#This Row],[total_sales]]</f>
        <v>4.1495594232398306E-2</v>
      </c>
      <c r="N1320">
        <f>LN(dataset[[#This Row],[soda_units_sold]])</f>
        <v>12.175896903020112</v>
      </c>
      <c r="O1320">
        <f>LN(dataset[[#This Row],[soda_sales]])</f>
        <v>11.843035428759451</v>
      </c>
      <c r="P1320">
        <f>LN(dataset[[#This Row],[soda_ppu]])</f>
        <v>-0.33281891812331055</v>
      </c>
      <c r="Q1320">
        <f>IF(dataset[[#This Row],[state]]="VA",1,0)</f>
        <v>1</v>
      </c>
    </row>
    <row r="1321" spans="1:17" x14ac:dyDescent="0.35">
      <c r="A1321">
        <v>202312</v>
      </c>
      <c r="B1321">
        <v>33</v>
      </c>
      <c r="C1321" s="2">
        <v>3451684.6548000001</v>
      </c>
      <c r="D1321" s="2">
        <v>0.73899999999999999</v>
      </c>
      <c r="E1321" s="3">
        <v>174765</v>
      </c>
      <c r="F1321" s="2">
        <v>129153.09359999999</v>
      </c>
      <c r="G1321" t="s">
        <v>2709</v>
      </c>
      <c r="H1321" t="s">
        <v>3</v>
      </c>
      <c r="I1321">
        <f>HLOOKUP(G1321,zip_tiers!$A$1:$EON$2,2,FALSE)</f>
        <v>75389.666666666672</v>
      </c>
      <c r="J1321" t="str">
        <f t="shared" si="20"/>
        <v>Med</v>
      </c>
      <c r="K1321">
        <f>dataset[[#This Row],[soda_sales]]/dataset[[#This Row],[soda_units_sold]]</f>
        <v>0.73901006265556601</v>
      </c>
      <c r="L1321" s="29">
        <f>dataset[[#This Row],[implied_soda_ppu]]-dataset[[#This Row],[soda_ppu]]</f>
        <v>1.006265556602326E-5</v>
      </c>
      <c r="M1321">
        <f>dataset[[#This Row],[soda_sales]]/dataset[[#This Row],[total_sales]]</f>
        <v>3.7417408169195421E-2</v>
      </c>
      <c r="N1321">
        <f>LN(dataset[[#This Row],[soda_units_sold]])</f>
        <v>12.071197493322151</v>
      </c>
      <c r="O1321">
        <f>LN(dataset[[#This Row],[soda_sales]])</f>
        <v>11.768753751779498</v>
      </c>
      <c r="P1321">
        <f>LN(dataset[[#This Row],[soda_ppu]])</f>
        <v>-0.30245735803393531</v>
      </c>
      <c r="Q1321">
        <f>IF(dataset[[#This Row],[state]]="VA",1,0)</f>
        <v>1</v>
      </c>
    </row>
    <row r="1322" spans="1:17" x14ac:dyDescent="0.35">
      <c r="A1322">
        <v>202401</v>
      </c>
      <c r="B1322">
        <v>33</v>
      </c>
      <c r="C1322" s="2">
        <v>1990013.5578000001</v>
      </c>
      <c r="D1322" s="2">
        <v>0.72419999999999995</v>
      </c>
      <c r="E1322" s="3">
        <v>134398</v>
      </c>
      <c r="F1322" s="2">
        <v>97329.3652</v>
      </c>
      <c r="G1322" t="s">
        <v>2709</v>
      </c>
      <c r="H1322" t="s">
        <v>3</v>
      </c>
      <c r="I1322">
        <f>HLOOKUP(G1322,zip_tiers!$A$1:$EON$2,2,FALSE)</f>
        <v>75389.666666666672</v>
      </c>
      <c r="J1322" t="str">
        <f t="shared" si="20"/>
        <v>Med</v>
      </c>
      <c r="K1322">
        <f>dataset[[#This Row],[soda_sales]]/dataset[[#This Row],[soda_units_sold]]</f>
        <v>0.72418760100596735</v>
      </c>
      <c r="L1322" s="29">
        <f>dataset[[#This Row],[implied_soda_ppu]]-dataset[[#This Row],[soda_ppu]]</f>
        <v>-1.2398994032603028E-5</v>
      </c>
      <c r="M1322">
        <f>dataset[[#This Row],[soda_sales]]/dataset[[#This Row],[total_sales]]</f>
        <v>4.8908895529133765E-2</v>
      </c>
      <c r="N1322">
        <f>LN(dataset[[#This Row],[soda_units_sold]])</f>
        <v>11.808560826008083</v>
      </c>
      <c r="O1322">
        <f>LN(dataset[[#This Row],[soda_sales]])</f>
        <v>11.485856023258101</v>
      </c>
      <c r="P1322">
        <f>LN(dataset[[#This Row],[soda_ppu]])</f>
        <v>-0.3226876816505963</v>
      </c>
      <c r="Q1322">
        <f>IF(dataset[[#This Row],[state]]="VA",1,0)</f>
        <v>1</v>
      </c>
    </row>
    <row r="1323" spans="1:17" x14ac:dyDescent="0.35">
      <c r="A1323">
        <v>202402</v>
      </c>
      <c r="B1323">
        <v>33</v>
      </c>
      <c r="C1323" s="2">
        <v>2284013.6253</v>
      </c>
      <c r="D1323" s="2">
        <v>0.75260000000000005</v>
      </c>
      <c r="E1323" s="3">
        <v>151138</v>
      </c>
      <c r="F1323" s="2">
        <v>113747.069</v>
      </c>
      <c r="G1323" t="s">
        <v>2709</v>
      </c>
      <c r="H1323" t="s">
        <v>3</v>
      </c>
      <c r="I1323">
        <f>HLOOKUP(G1323,zip_tiers!$A$1:$EON$2,2,FALSE)</f>
        <v>75389.666666666672</v>
      </c>
      <c r="J1323" t="str">
        <f t="shared" si="20"/>
        <v>Med</v>
      </c>
      <c r="K1323">
        <f>dataset[[#This Row],[soda_sales]]/dataset[[#This Row],[soda_units_sold]]</f>
        <v>0.75260403736982096</v>
      </c>
      <c r="L1323" s="29">
        <f>dataset[[#This Row],[implied_soda_ppu]]-dataset[[#This Row],[soda_ppu]]</f>
        <v>4.0373698209084097E-6</v>
      </c>
      <c r="M1323">
        <f>dataset[[#This Row],[soda_sales]]/dataset[[#This Row],[total_sales]]</f>
        <v>4.9801396865598639E-2</v>
      </c>
      <c r="N1323">
        <f>LN(dataset[[#This Row],[soda_units_sold]])</f>
        <v>11.925948605722832</v>
      </c>
      <c r="O1323">
        <f>LN(dataset[[#This Row],[soda_sales]])</f>
        <v>11.641732569448255</v>
      </c>
      <c r="P1323">
        <f>LN(dataset[[#This Row],[soda_ppu]])</f>
        <v>-0.28422140082280012</v>
      </c>
      <c r="Q1323">
        <f>IF(dataset[[#This Row],[state]]="VA",1,0)</f>
        <v>1</v>
      </c>
    </row>
    <row r="1324" spans="1:17" x14ac:dyDescent="0.35">
      <c r="A1324">
        <v>202403</v>
      </c>
      <c r="B1324">
        <v>33</v>
      </c>
      <c r="C1324" s="2">
        <v>2589502.4166999999</v>
      </c>
      <c r="D1324" s="2">
        <v>0.75970000000000004</v>
      </c>
      <c r="E1324" s="3">
        <v>181303</v>
      </c>
      <c r="F1324" s="2">
        <v>137736.8481</v>
      </c>
      <c r="G1324" t="s">
        <v>2709</v>
      </c>
      <c r="H1324" t="s">
        <v>3</v>
      </c>
      <c r="I1324">
        <f>HLOOKUP(G1324,zip_tiers!$A$1:$EON$2,2,FALSE)</f>
        <v>75389.666666666672</v>
      </c>
      <c r="J1324" t="str">
        <f t="shared" si="20"/>
        <v>Med</v>
      </c>
      <c r="K1324">
        <f>dataset[[#This Row],[soda_sales]]/dataset[[#This Row],[soda_units_sold]]</f>
        <v>0.75970528948776361</v>
      </c>
      <c r="L1324" s="29">
        <f>dataset[[#This Row],[implied_soda_ppu]]-dataset[[#This Row],[soda_ppu]]</f>
        <v>5.2894877635711879E-6</v>
      </c>
      <c r="M1324">
        <f>dataset[[#This Row],[soda_sales]]/dataset[[#This Row],[total_sales]]</f>
        <v>5.3190469030543926E-2</v>
      </c>
      <c r="N1324">
        <f>LN(dataset[[#This Row],[soda_units_sold]])</f>
        <v>12.107924943765443</v>
      </c>
      <c r="O1324">
        <f>LN(dataset[[#This Row],[soda_sales]])</f>
        <v>11.833100245868959</v>
      </c>
      <c r="P1324">
        <f>LN(dataset[[#This Row],[soda_ppu]])</f>
        <v>-0.27483166047296109</v>
      </c>
      <c r="Q1324">
        <f>IF(dataset[[#This Row],[state]]="VA",1,0)</f>
        <v>1</v>
      </c>
    </row>
    <row r="1325" spans="1:17" x14ac:dyDescent="0.35">
      <c r="A1325">
        <v>202404</v>
      </c>
      <c r="B1325">
        <v>33</v>
      </c>
      <c r="C1325" s="2">
        <v>2652432.2250000001</v>
      </c>
      <c r="D1325" s="2">
        <v>0.75160000000000005</v>
      </c>
      <c r="E1325" s="3">
        <v>201510</v>
      </c>
      <c r="F1325" s="2">
        <v>151461.3192</v>
      </c>
      <c r="G1325" t="s">
        <v>2709</v>
      </c>
      <c r="H1325" t="s">
        <v>3</v>
      </c>
      <c r="I1325">
        <f>HLOOKUP(G1325,zip_tiers!$A$1:$EON$2,2,FALSE)</f>
        <v>75389.666666666672</v>
      </c>
      <c r="J1325" t="str">
        <f t="shared" si="20"/>
        <v>Med</v>
      </c>
      <c r="K1325">
        <f>dataset[[#This Row],[soda_sales]]/dataset[[#This Row],[soda_units_sold]]</f>
        <v>0.75163177609051657</v>
      </c>
      <c r="L1325" s="29">
        <f>dataset[[#This Row],[implied_soda_ppu]]-dataset[[#This Row],[soda_ppu]]</f>
        <v>3.1776090516522082E-5</v>
      </c>
      <c r="M1325">
        <f>dataset[[#This Row],[soda_sales]]/dataset[[#This Row],[total_sales]]</f>
        <v>5.7102804653189579E-2</v>
      </c>
      <c r="N1325">
        <f>LN(dataset[[#This Row],[soda_units_sold]])</f>
        <v>12.21359428692902</v>
      </c>
      <c r="O1325">
        <f>LN(dataset[[#This Row],[soda_sales]])</f>
        <v>11.928085552520283</v>
      </c>
      <c r="P1325">
        <f>LN(dataset[[#This Row],[soda_ppu]])</f>
        <v>-0.28555101144282674</v>
      </c>
      <c r="Q1325">
        <f>IF(dataset[[#This Row],[state]]="VA",1,0)</f>
        <v>1</v>
      </c>
    </row>
    <row r="1326" spans="1:17" x14ac:dyDescent="0.35">
      <c r="A1326">
        <v>202405</v>
      </c>
      <c r="B1326">
        <v>33</v>
      </c>
      <c r="C1326" s="2">
        <v>2789828.6990999999</v>
      </c>
      <c r="D1326" s="2">
        <v>0.75460000000000005</v>
      </c>
      <c r="E1326" s="3">
        <v>225393</v>
      </c>
      <c r="F1326" s="2">
        <v>170089.99530000001</v>
      </c>
      <c r="G1326" t="s">
        <v>2709</v>
      </c>
      <c r="H1326" t="s">
        <v>3</v>
      </c>
      <c r="I1326">
        <f>HLOOKUP(G1326,zip_tiers!$A$1:$EON$2,2,FALSE)</f>
        <v>75389.666666666672</v>
      </c>
      <c r="J1326" t="str">
        <f t="shared" si="20"/>
        <v>Med</v>
      </c>
      <c r="K1326">
        <f>dataset[[#This Row],[soda_sales]]/dataset[[#This Row],[soda_units_sold]]</f>
        <v>0.75463743461420718</v>
      </c>
      <c r="L1326" s="29">
        <f>dataset[[#This Row],[implied_soda_ppu]]-dataset[[#This Row],[soda_ppu]]</f>
        <v>3.7434614207132455E-5</v>
      </c>
      <c r="M1326">
        <f>dataset[[#This Row],[soda_sales]]/dataset[[#This Row],[total_sales]]</f>
        <v>6.0967899339078105E-2</v>
      </c>
      <c r="N1326">
        <f>LN(dataset[[#This Row],[soda_units_sold]])</f>
        <v>12.325600824204948</v>
      </c>
      <c r="O1326">
        <f>LN(dataset[[#This Row],[soda_sales]])</f>
        <v>12.044082960075707</v>
      </c>
      <c r="P1326">
        <f>LN(dataset[[#This Row],[soda_ppu]])</f>
        <v>-0.2815674714519269</v>
      </c>
      <c r="Q1326">
        <f>IF(dataset[[#This Row],[state]]="VA",1,0)</f>
        <v>1</v>
      </c>
    </row>
    <row r="1327" spans="1:17" x14ac:dyDescent="0.35">
      <c r="A1327">
        <v>202406</v>
      </c>
      <c r="B1327">
        <v>33</v>
      </c>
      <c r="C1327" s="2">
        <v>2663026.1853</v>
      </c>
      <c r="D1327" s="2">
        <v>0.77639999999999998</v>
      </c>
      <c r="E1327" s="3">
        <v>226810</v>
      </c>
      <c r="F1327" s="2">
        <v>176101.94709999999</v>
      </c>
      <c r="G1327" t="s">
        <v>2709</v>
      </c>
      <c r="H1327" t="s">
        <v>3</v>
      </c>
      <c r="I1327">
        <f>HLOOKUP(G1327,zip_tiers!$A$1:$EON$2,2,FALSE)</f>
        <v>75389.666666666672</v>
      </c>
      <c r="J1327" t="str">
        <f t="shared" si="20"/>
        <v>Med</v>
      </c>
      <c r="K1327">
        <f>dataset[[#This Row],[soda_sales]]/dataset[[#This Row],[soda_units_sold]]</f>
        <v>0.77642937745249319</v>
      </c>
      <c r="L1327" s="29">
        <f>dataset[[#This Row],[implied_soda_ppu]]-dataset[[#This Row],[soda_ppu]]</f>
        <v>2.9377452493206668E-5</v>
      </c>
      <c r="M1327">
        <f>dataset[[#This Row],[soda_sales]]/dataset[[#This Row],[total_sales]]</f>
        <v>6.612850751227646E-2</v>
      </c>
      <c r="N1327">
        <f>LN(dataset[[#This Row],[soda_units_sold]])</f>
        <v>12.331867941574481</v>
      </c>
      <c r="O1327">
        <f>LN(dataset[[#This Row],[soda_sales]])</f>
        <v>12.078818351209089</v>
      </c>
      <c r="P1327">
        <f>LN(dataset[[#This Row],[soda_ppu]])</f>
        <v>-0.25308742768728187</v>
      </c>
      <c r="Q1327">
        <f>IF(dataset[[#This Row],[state]]="VA",1,0)</f>
        <v>1</v>
      </c>
    </row>
    <row r="1328" spans="1:17" x14ac:dyDescent="0.35">
      <c r="A1328">
        <v>202407</v>
      </c>
      <c r="B1328">
        <v>33</v>
      </c>
      <c r="C1328" s="2">
        <v>2507753.7409000001</v>
      </c>
      <c r="D1328" s="2">
        <v>0.74880000000000002</v>
      </c>
      <c r="E1328" s="3">
        <v>234172</v>
      </c>
      <c r="F1328" s="2">
        <v>175359.60630000001</v>
      </c>
      <c r="G1328" t="s">
        <v>2709</v>
      </c>
      <c r="H1328" t="s">
        <v>3</v>
      </c>
      <c r="I1328">
        <f>HLOOKUP(G1328,zip_tiers!$A$1:$EON$2,2,FALSE)</f>
        <v>75389.666666666672</v>
      </c>
      <c r="J1328" t="str">
        <f t="shared" si="20"/>
        <v>Med</v>
      </c>
      <c r="K1328">
        <f>dataset[[#This Row],[soda_sales]]/dataset[[#This Row],[soda_units_sold]]</f>
        <v>0.74884959047196087</v>
      </c>
      <c r="L1328" s="29">
        <f>dataset[[#This Row],[implied_soda_ppu]]-dataset[[#This Row],[soda_ppu]]</f>
        <v>4.9590471960847538E-5</v>
      </c>
      <c r="M1328">
        <f>dataset[[#This Row],[soda_sales]]/dataset[[#This Row],[total_sales]]</f>
        <v>6.9926964294773908E-2</v>
      </c>
      <c r="N1328">
        <f>LN(dataset[[#This Row],[soda_units_sold]])</f>
        <v>12.363811167063275</v>
      </c>
      <c r="O1328">
        <f>LN(dataset[[#This Row],[soda_sales]])</f>
        <v>12.074594037643465</v>
      </c>
      <c r="P1328">
        <f>LN(dataset[[#This Row],[soda_ppu]])</f>
        <v>-0.28928335381875475</v>
      </c>
      <c r="Q1328">
        <f>IF(dataset[[#This Row],[state]]="VA",1,0)</f>
        <v>1</v>
      </c>
    </row>
    <row r="1329" spans="1:17" x14ac:dyDescent="0.35">
      <c r="A1329">
        <v>202408</v>
      </c>
      <c r="B1329">
        <v>33</v>
      </c>
      <c r="C1329" s="2">
        <v>2425597.0321999998</v>
      </c>
      <c r="D1329" s="2">
        <v>0.73599999999999999</v>
      </c>
      <c r="E1329" s="3">
        <v>212992</v>
      </c>
      <c r="F1329" s="2">
        <v>156752.0068</v>
      </c>
      <c r="G1329" t="s">
        <v>2709</v>
      </c>
      <c r="H1329" t="s">
        <v>3</v>
      </c>
      <c r="I1329">
        <f>HLOOKUP(G1329,zip_tiers!$A$1:$EON$2,2,FALSE)</f>
        <v>75389.666666666672</v>
      </c>
      <c r="J1329" t="str">
        <f t="shared" si="20"/>
        <v>Med</v>
      </c>
      <c r="K1329">
        <f>dataset[[#This Row],[soda_sales]]/dataset[[#This Row],[soda_units_sold]]</f>
        <v>0.73595255596454323</v>
      </c>
      <c r="L1329" s="29">
        <f>dataset[[#This Row],[implied_soda_ppu]]-dataset[[#This Row],[soda_ppu]]</f>
        <v>-4.7444035456756239E-5</v>
      </c>
      <c r="M1329">
        <f>dataset[[#This Row],[soda_sales]]/dataset[[#This Row],[total_sales]]</f>
        <v>6.4624092427185656E-2</v>
      </c>
      <c r="N1329">
        <f>LN(dataset[[#This Row],[soda_units_sold]])</f>
        <v>12.269009885300772</v>
      </c>
      <c r="O1329">
        <f>LN(dataset[[#This Row],[soda_sales]])</f>
        <v>11.962420260965049</v>
      </c>
      <c r="P1329">
        <f>LN(dataset[[#This Row],[soda_ppu]])</f>
        <v>-0.30652516025326082</v>
      </c>
      <c r="Q1329">
        <f>IF(dataset[[#This Row],[state]]="VA",1,0)</f>
        <v>1</v>
      </c>
    </row>
    <row r="1330" spans="1:17" x14ac:dyDescent="0.35">
      <c r="A1330">
        <v>202409</v>
      </c>
      <c r="B1330">
        <v>33</v>
      </c>
      <c r="C1330" s="2">
        <v>2399755.6701000002</v>
      </c>
      <c r="D1330" s="2">
        <v>0.7843</v>
      </c>
      <c r="E1330" s="3">
        <v>193064</v>
      </c>
      <c r="F1330" s="2">
        <v>151419.6433</v>
      </c>
      <c r="G1330" t="s">
        <v>2709</v>
      </c>
      <c r="H1330" t="s">
        <v>3</v>
      </c>
      <c r="I1330">
        <f>HLOOKUP(G1330,zip_tiers!$A$1:$EON$2,2,FALSE)</f>
        <v>75389.666666666672</v>
      </c>
      <c r="J1330" t="str">
        <f t="shared" si="20"/>
        <v>Med</v>
      </c>
      <c r="K1330">
        <f>dataset[[#This Row],[soda_sales]]/dataset[[#This Row],[soda_units_sold]]</f>
        <v>0.78429765932540507</v>
      </c>
      <c r="L1330" s="29">
        <f>dataset[[#This Row],[implied_soda_ppu]]-dataset[[#This Row],[soda_ppu]]</f>
        <v>-2.3406745949250407E-6</v>
      </c>
      <c r="M1330">
        <f>dataset[[#This Row],[soda_sales]]/dataset[[#This Row],[total_sales]]</f>
        <v>6.3097941672407926E-2</v>
      </c>
      <c r="N1330">
        <f>LN(dataset[[#This Row],[soda_units_sold]])</f>
        <v>12.17077701913545</v>
      </c>
      <c r="O1330">
        <f>LN(dataset[[#This Row],[soda_sales]])</f>
        <v>11.927810355955144</v>
      </c>
      <c r="P1330">
        <f>LN(dataset[[#This Row],[soda_ppu]])</f>
        <v>-0.24296367876351627</v>
      </c>
      <c r="Q1330">
        <f>IF(dataset[[#This Row],[state]]="VA",1,0)</f>
        <v>1</v>
      </c>
    </row>
    <row r="1331" spans="1:17" x14ac:dyDescent="0.35">
      <c r="A1331">
        <v>202410</v>
      </c>
      <c r="B1331">
        <v>33</v>
      </c>
      <c r="C1331" s="2">
        <v>2921669.6398999998</v>
      </c>
      <c r="D1331" s="2">
        <v>0.78939999999999999</v>
      </c>
      <c r="E1331" s="3">
        <v>184051</v>
      </c>
      <c r="F1331" s="2">
        <v>145287.7274</v>
      </c>
      <c r="G1331" t="s">
        <v>2709</v>
      </c>
      <c r="H1331" t="s">
        <v>3</v>
      </c>
      <c r="I1331">
        <f>HLOOKUP(G1331,zip_tiers!$A$1:$EON$2,2,FALSE)</f>
        <v>75389.666666666672</v>
      </c>
      <c r="J1331" t="str">
        <f t="shared" si="20"/>
        <v>Med</v>
      </c>
      <c r="K1331">
        <f>dataset[[#This Row],[soda_sales]]/dataset[[#This Row],[soda_units_sold]]</f>
        <v>0.78938841625419043</v>
      </c>
      <c r="L1331" s="29">
        <f>dataset[[#This Row],[implied_soda_ppu]]-dataset[[#This Row],[soda_ppu]]</f>
        <v>-1.1583745809562451E-5</v>
      </c>
      <c r="M1331">
        <f>dataset[[#This Row],[soda_sales]]/dataset[[#This Row],[total_sales]]</f>
        <v>4.9727637038721725E-2</v>
      </c>
      <c r="N1331">
        <f>LN(dataset[[#This Row],[soda_units_sold]])</f>
        <v>12.122968172098574</v>
      </c>
      <c r="O1331">
        <f>LN(dataset[[#This Row],[soda_sales]])</f>
        <v>11.886471382123242</v>
      </c>
      <c r="P1331">
        <f>LN(dataset[[#This Row],[soda_ppu]])</f>
        <v>-0.23648211575339032</v>
      </c>
      <c r="Q1331">
        <f>IF(dataset[[#This Row],[state]]="VA",1,0)</f>
        <v>1</v>
      </c>
    </row>
    <row r="1332" spans="1:17" x14ac:dyDescent="0.35">
      <c r="A1332">
        <v>202411</v>
      </c>
      <c r="B1332">
        <v>33</v>
      </c>
      <c r="C1332" s="2">
        <v>3397026.5883999998</v>
      </c>
      <c r="D1332" s="2">
        <v>0.77959999999999996</v>
      </c>
      <c r="E1332" s="3">
        <v>181893</v>
      </c>
      <c r="F1332" s="2">
        <v>141802.12409999999</v>
      </c>
      <c r="G1332" t="s">
        <v>2709</v>
      </c>
      <c r="H1332" t="s">
        <v>3</v>
      </c>
      <c r="I1332">
        <f>HLOOKUP(G1332,zip_tiers!$A$1:$EON$2,2,FALSE)</f>
        <v>75389.666666666672</v>
      </c>
      <c r="J1332" t="str">
        <f t="shared" si="20"/>
        <v>Med</v>
      </c>
      <c r="K1332">
        <f>dataset[[#This Row],[soda_sales]]/dataset[[#This Row],[soda_units_sold]]</f>
        <v>0.7795908809025085</v>
      </c>
      <c r="L1332" s="29">
        <f>dataset[[#This Row],[implied_soda_ppu]]-dataset[[#This Row],[soda_ppu]]</f>
        <v>-9.1190974914612255E-6</v>
      </c>
      <c r="M1332">
        <f>dataset[[#This Row],[soda_sales]]/dataset[[#This Row],[total_sales]]</f>
        <v>4.1743012723014575E-2</v>
      </c>
      <c r="N1332">
        <f>LN(dataset[[#This Row],[soda_units_sold]])</f>
        <v>12.111173881082943</v>
      </c>
      <c r="O1332">
        <f>LN(dataset[[#This Row],[soda_sales]])</f>
        <v>11.862187872516632</v>
      </c>
      <c r="P1332">
        <f>LN(dataset[[#This Row],[soda_ppu]])</f>
        <v>-0.24897431134873135</v>
      </c>
      <c r="Q1332">
        <f>IF(dataset[[#This Row],[state]]="VA",1,0)</f>
        <v>1</v>
      </c>
    </row>
    <row r="1333" spans="1:17" x14ac:dyDescent="0.35">
      <c r="A1333">
        <v>202412</v>
      </c>
      <c r="B1333">
        <v>33</v>
      </c>
      <c r="C1333" s="2">
        <v>3515089.0290000001</v>
      </c>
      <c r="D1333" s="2">
        <v>0.76790000000000003</v>
      </c>
      <c r="E1333" s="3">
        <v>173486</v>
      </c>
      <c r="F1333" s="2">
        <v>133215.7182</v>
      </c>
      <c r="G1333" t="s">
        <v>2709</v>
      </c>
      <c r="H1333" t="s">
        <v>3</v>
      </c>
      <c r="I1333">
        <f>HLOOKUP(G1333,zip_tiers!$A$1:$EON$2,2,FALSE)</f>
        <v>75389.666666666672</v>
      </c>
      <c r="J1333" t="str">
        <f t="shared" si="20"/>
        <v>Med</v>
      </c>
      <c r="K1333">
        <f>dataset[[#This Row],[soda_sales]]/dataset[[#This Row],[soda_units_sold]]</f>
        <v>0.76787589891979757</v>
      </c>
      <c r="L1333" s="29">
        <f>dataset[[#This Row],[implied_soda_ppu]]-dataset[[#This Row],[soda_ppu]]</f>
        <v>-2.4101080202454384E-5</v>
      </c>
      <c r="M1333">
        <f>dataset[[#This Row],[soda_sales]]/dataset[[#This Row],[total_sales]]</f>
        <v>3.7898248693262332E-2</v>
      </c>
      <c r="N1333">
        <f>LN(dataset[[#This Row],[soda_units_sold]])</f>
        <v>12.063852183470654</v>
      </c>
      <c r="O1333">
        <f>LN(dataset[[#This Row],[soda_sales]])</f>
        <v>11.799725034630946</v>
      </c>
      <c r="P1333">
        <f>LN(dataset[[#This Row],[soda_ppu]])</f>
        <v>-0.26409576264563916</v>
      </c>
      <c r="Q1333">
        <f>IF(dataset[[#This Row],[state]]="VA",1,0)</f>
        <v>1</v>
      </c>
    </row>
    <row r="1334" spans="1:17" x14ac:dyDescent="0.35">
      <c r="A1334">
        <v>202201</v>
      </c>
      <c r="B1334">
        <v>9</v>
      </c>
      <c r="C1334" s="2">
        <v>2328416.8539</v>
      </c>
      <c r="D1334" s="2">
        <v>0.69640000000000002</v>
      </c>
      <c r="E1334" s="3">
        <v>132240</v>
      </c>
      <c r="F1334" s="2">
        <v>92096.8024</v>
      </c>
      <c r="G1334" t="s">
        <v>2720</v>
      </c>
      <c r="H1334" t="s">
        <v>3</v>
      </c>
      <c r="I1334">
        <f>HLOOKUP(G1334,zip_tiers!$A$1:$EON$2,2,FALSE)</f>
        <v>108975.66666666667</v>
      </c>
      <c r="J1334" t="str">
        <f t="shared" si="20"/>
        <v>High</v>
      </c>
      <c r="K1334">
        <f>dataset[[#This Row],[soda_sales]]/dataset[[#This Row],[soda_units_sold]]</f>
        <v>0.69643679975801576</v>
      </c>
      <c r="L1334" s="29">
        <f>dataset[[#This Row],[implied_soda_ppu]]-dataset[[#This Row],[soda_ppu]]</f>
        <v>3.6799758015737538E-5</v>
      </c>
      <c r="M1334">
        <f>dataset[[#This Row],[soda_sales]]/dataset[[#This Row],[total_sales]]</f>
        <v>3.9553399661122424E-2</v>
      </c>
      <c r="N1334">
        <f>LN(dataset[[#This Row],[soda_units_sold]])</f>
        <v>11.792373732494905</v>
      </c>
      <c r="O1334">
        <f>LN(dataset[[#This Row],[soda_sales]])</f>
        <v>11.430595502856757</v>
      </c>
      <c r="P1334">
        <f>LN(dataset[[#This Row],[soda_ppu]])</f>
        <v>-0.36183107108810303</v>
      </c>
      <c r="Q1334">
        <f>IF(dataset[[#This Row],[state]]="VA",1,0)</f>
        <v>1</v>
      </c>
    </row>
    <row r="1335" spans="1:17" x14ac:dyDescent="0.35">
      <c r="A1335">
        <v>202202</v>
      </c>
      <c r="B1335">
        <v>9</v>
      </c>
      <c r="C1335" s="2">
        <v>2741429.0292000002</v>
      </c>
      <c r="D1335" s="2">
        <v>0.69550000000000001</v>
      </c>
      <c r="E1335" s="3">
        <v>152800</v>
      </c>
      <c r="F1335" s="2">
        <v>106270.99950000001</v>
      </c>
      <c r="G1335" t="s">
        <v>2720</v>
      </c>
      <c r="H1335" t="s">
        <v>3</v>
      </c>
      <c r="I1335">
        <f>HLOOKUP(G1335,zip_tiers!$A$1:$EON$2,2,FALSE)</f>
        <v>108975.66666666667</v>
      </c>
      <c r="J1335" t="str">
        <f t="shared" si="20"/>
        <v>High</v>
      </c>
      <c r="K1335">
        <f>dataset[[#This Row],[soda_sales]]/dataset[[#This Row],[soda_units_sold]]</f>
        <v>0.69549083442408377</v>
      </c>
      <c r="L1335" s="29">
        <f>dataset[[#This Row],[implied_soda_ppu]]-dataset[[#This Row],[soda_ppu]]</f>
        <v>-9.16557591623679E-6</v>
      </c>
      <c r="M1335">
        <f>dataset[[#This Row],[soda_sales]]/dataset[[#This Row],[total_sales]]</f>
        <v>3.8764818774466636E-2</v>
      </c>
      <c r="N1335">
        <f>LN(dataset[[#This Row],[soda_units_sold]])</f>
        <v>11.936885155714558</v>
      </c>
      <c r="O1335">
        <f>LN(dataset[[#This Row],[soda_sales]])</f>
        <v>11.573747709610927</v>
      </c>
      <c r="P1335">
        <f>LN(dataset[[#This Row],[soda_ppu]])</f>
        <v>-0.36312426761863942</v>
      </c>
      <c r="Q1335">
        <f>IF(dataset[[#This Row],[state]]="VA",1,0)</f>
        <v>1</v>
      </c>
    </row>
    <row r="1336" spans="1:17" x14ac:dyDescent="0.35">
      <c r="A1336">
        <v>202203</v>
      </c>
      <c r="B1336">
        <v>9</v>
      </c>
      <c r="C1336" s="2">
        <v>2954968.1740999999</v>
      </c>
      <c r="D1336" s="2">
        <v>0.70760000000000001</v>
      </c>
      <c r="E1336" s="3">
        <v>171791</v>
      </c>
      <c r="F1336" s="2">
        <v>121553.2473</v>
      </c>
      <c r="G1336" t="s">
        <v>2720</v>
      </c>
      <c r="H1336" t="s">
        <v>3</v>
      </c>
      <c r="I1336">
        <f>HLOOKUP(G1336,zip_tiers!$A$1:$EON$2,2,FALSE)</f>
        <v>108975.66666666667</v>
      </c>
      <c r="J1336" t="str">
        <f t="shared" si="20"/>
        <v>High</v>
      </c>
      <c r="K1336">
        <f>dataset[[#This Row],[soda_sales]]/dataset[[#This Row],[soda_units_sold]]</f>
        <v>0.70756469954770629</v>
      </c>
      <c r="L1336" s="29">
        <f>dataset[[#This Row],[implied_soda_ppu]]-dataset[[#This Row],[soda_ppu]]</f>
        <v>-3.5300452293718365E-5</v>
      </c>
      <c r="M1336">
        <f>dataset[[#This Row],[soda_sales]]/dataset[[#This Row],[total_sales]]</f>
        <v>4.1135213693806259E-2</v>
      </c>
      <c r="N1336">
        <f>LN(dataset[[#This Row],[soda_units_sold]])</f>
        <v>12.054033900664146</v>
      </c>
      <c r="O1336">
        <f>LN(dataset[[#This Row],[soda_sales]])</f>
        <v>11.708107695142244</v>
      </c>
      <c r="P1336">
        <f>LN(dataset[[#This Row],[soda_ppu]])</f>
        <v>-0.34587631669650681</v>
      </c>
      <c r="Q1336">
        <f>IF(dataset[[#This Row],[state]]="VA",1,0)</f>
        <v>1</v>
      </c>
    </row>
    <row r="1337" spans="1:17" x14ac:dyDescent="0.35">
      <c r="A1337">
        <v>202204</v>
      </c>
      <c r="B1337">
        <v>9</v>
      </c>
      <c r="C1337" s="2">
        <v>3134744.8235999998</v>
      </c>
      <c r="D1337" s="2">
        <v>0.71579999999999999</v>
      </c>
      <c r="E1337" s="3">
        <v>195869</v>
      </c>
      <c r="F1337" s="2">
        <v>140196.05009999999</v>
      </c>
      <c r="G1337" t="s">
        <v>2720</v>
      </c>
      <c r="H1337" t="s">
        <v>3</v>
      </c>
      <c r="I1337">
        <f>HLOOKUP(G1337,zip_tiers!$A$1:$EON$2,2,FALSE)</f>
        <v>108975.66666666667</v>
      </c>
      <c r="J1337" t="str">
        <f t="shared" si="20"/>
        <v>High</v>
      </c>
      <c r="K1337">
        <f>dataset[[#This Row],[soda_sales]]/dataset[[#This Row],[soda_units_sold]]</f>
        <v>0.7157643634265759</v>
      </c>
      <c r="L1337" s="29">
        <f>dataset[[#This Row],[implied_soda_ppu]]-dataset[[#This Row],[soda_ppu]]</f>
        <v>-3.5636573424091544E-5</v>
      </c>
      <c r="M1337">
        <f>dataset[[#This Row],[soda_sales]]/dataset[[#This Row],[total_sales]]</f>
        <v>4.4723273500455525E-2</v>
      </c>
      <c r="N1337">
        <f>LN(dataset[[#This Row],[soda_units_sold]])</f>
        <v>12.185201347408688</v>
      </c>
      <c r="O1337">
        <f>LN(dataset[[#This Row],[soda_sales]])</f>
        <v>11.850797079861929</v>
      </c>
      <c r="P1337">
        <f>LN(dataset[[#This Row],[soda_ppu]])</f>
        <v>-0.33435448065021162</v>
      </c>
      <c r="Q1337">
        <f>IF(dataset[[#This Row],[state]]="VA",1,0)</f>
        <v>1</v>
      </c>
    </row>
    <row r="1338" spans="1:17" x14ac:dyDescent="0.35">
      <c r="A1338">
        <v>202205</v>
      </c>
      <c r="B1338">
        <v>9</v>
      </c>
      <c r="C1338" s="2">
        <v>3262760.8903000001</v>
      </c>
      <c r="D1338" s="2">
        <v>0.70609999999999995</v>
      </c>
      <c r="E1338" s="3">
        <v>223736</v>
      </c>
      <c r="F1338" s="2">
        <v>157975.9571</v>
      </c>
      <c r="G1338" t="s">
        <v>2720</v>
      </c>
      <c r="H1338" t="s">
        <v>3</v>
      </c>
      <c r="I1338">
        <f>HLOOKUP(G1338,zip_tiers!$A$1:$EON$2,2,FALSE)</f>
        <v>108975.66666666667</v>
      </c>
      <c r="J1338" t="str">
        <f t="shared" si="20"/>
        <v>High</v>
      </c>
      <c r="K1338">
        <f>dataset[[#This Row],[soda_sales]]/dataset[[#This Row],[soda_units_sold]]</f>
        <v>0.70608197652590554</v>
      </c>
      <c r="L1338" s="29">
        <f>dataset[[#This Row],[implied_soda_ppu]]-dataset[[#This Row],[soda_ppu]]</f>
        <v>-1.802347409440852E-5</v>
      </c>
      <c r="M1338">
        <f>dataset[[#This Row],[soda_sales]]/dataset[[#This Row],[total_sales]]</f>
        <v>4.8417877500509895E-2</v>
      </c>
      <c r="N1338">
        <f>LN(dataset[[#This Row],[soda_units_sold]])</f>
        <v>12.318222064347125</v>
      </c>
      <c r="O1338">
        <f>LN(dataset[[#This Row],[soda_sales]])</f>
        <v>11.970198130176872</v>
      </c>
      <c r="P1338">
        <f>LN(dataset[[#This Row],[soda_ppu]])</f>
        <v>-0.34799840845983598</v>
      </c>
      <c r="Q1338">
        <f>IF(dataset[[#This Row],[state]]="VA",1,0)</f>
        <v>1</v>
      </c>
    </row>
    <row r="1339" spans="1:17" x14ac:dyDescent="0.35">
      <c r="A1339">
        <v>202206</v>
      </c>
      <c r="B1339">
        <v>9</v>
      </c>
      <c r="C1339" s="2">
        <v>3101837.4208</v>
      </c>
      <c r="D1339" s="2">
        <v>0.71109999999999995</v>
      </c>
      <c r="E1339" s="3">
        <v>231901</v>
      </c>
      <c r="F1339" s="2">
        <v>164908.32149999999</v>
      </c>
      <c r="G1339" t="s">
        <v>2720</v>
      </c>
      <c r="H1339" t="s">
        <v>3</v>
      </c>
      <c r="I1339">
        <f>HLOOKUP(G1339,zip_tiers!$A$1:$EON$2,2,FALSE)</f>
        <v>108975.66666666667</v>
      </c>
      <c r="J1339" t="str">
        <f t="shared" si="20"/>
        <v>High</v>
      </c>
      <c r="K1339">
        <f>dataset[[#This Row],[soda_sales]]/dataset[[#This Row],[soda_units_sold]]</f>
        <v>0.7111151806158662</v>
      </c>
      <c r="L1339" s="29">
        <f>dataset[[#This Row],[implied_soda_ppu]]-dataset[[#This Row],[soda_ppu]]</f>
        <v>1.5180615866250413E-5</v>
      </c>
      <c r="M1339">
        <f>dataset[[#This Row],[soda_sales]]/dataset[[#This Row],[total_sales]]</f>
        <v>5.3164721140500075E-2</v>
      </c>
      <c r="N1339">
        <f>LN(dataset[[#This Row],[soda_units_sold]])</f>
        <v>12.354065835437861</v>
      </c>
      <c r="O1339">
        <f>LN(dataset[[#This Row],[soda_sales]])</f>
        <v>12.013144971191956</v>
      </c>
      <c r="P1339">
        <f>LN(dataset[[#This Row],[soda_ppu]])</f>
        <v>-0.34094221209266484</v>
      </c>
      <c r="Q1339">
        <f>IF(dataset[[#This Row],[state]]="VA",1,0)</f>
        <v>1</v>
      </c>
    </row>
    <row r="1340" spans="1:17" x14ac:dyDescent="0.35">
      <c r="A1340">
        <v>202207</v>
      </c>
      <c r="B1340">
        <v>9</v>
      </c>
      <c r="C1340" s="2">
        <v>3008019.8812000002</v>
      </c>
      <c r="D1340" s="2">
        <v>0.71789999999999998</v>
      </c>
      <c r="E1340" s="3">
        <v>232450</v>
      </c>
      <c r="F1340" s="2">
        <v>166878.35579999999</v>
      </c>
      <c r="G1340" t="s">
        <v>2720</v>
      </c>
      <c r="H1340" t="s">
        <v>3</v>
      </c>
      <c r="I1340">
        <f>HLOOKUP(G1340,zip_tiers!$A$1:$EON$2,2,FALSE)</f>
        <v>108975.66666666667</v>
      </c>
      <c r="J1340" t="str">
        <f t="shared" si="20"/>
        <v>High</v>
      </c>
      <c r="K1340">
        <f>dataset[[#This Row],[soda_sales]]/dataset[[#This Row],[soda_units_sold]]</f>
        <v>0.71791075844267582</v>
      </c>
      <c r="L1340" s="29">
        <f>dataset[[#This Row],[implied_soda_ppu]]-dataset[[#This Row],[soda_ppu]]</f>
        <v>1.075844267584003E-5</v>
      </c>
      <c r="M1340">
        <f>dataset[[#This Row],[soda_sales]]/dataset[[#This Row],[total_sales]]</f>
        <v>5.5477810117872825E-2</v>
      </c>
      <c r="N1340">
        <f>LN(dataset[[#This Row],[soda_units_sold]])</f>
        <v>12.356430427118731</v>
      </c>
      <c r="O1340">
        <f>LN(dataset[[#This Row],[soda_sales]])</f>
        <v>12.025020417597375</v>
      </c>
      <c r="P1340">
        <f>LN(dataset[[#This Row],[soda_ppu]])</f>
        <v>-0.33142499539969977</v>
      </c>
      <c r="Q1340">
        <f>IF(dataset[[#This Row],[state]]="VA",1,0)</f>
        <v>1</v>
      </c>
    </row>
    <row r="1341" spans="1:17" x14ac:dyDescent="0.35">
      <c r="A1341">
        <v>202208</v>
      </c>
      <c r="B1341">
        <v>9</v>
      </c>
      <c r="C1341" s="2">
        <v>2805308.5161000001</v>
      </c>
      <c r="D1341" s="2">
        <v>0.7339</v>
      </c>
      <c r="E1341" s="3">
        <v>198575</v>
      </c>
      <c r="F1341" s="2">
        <v>145734.86960000001</v>
      </c>
      <c r="G1341" t="s">
        <v>2720</v>
      </c>
      <c r="H1341" t="s">
        <v>3</v>
      </c>
      <c r="I1341">
        <f>HLOOKUP(G1341,zip_tiers!$A$1:$EON$2,2,FALSE)</f>
        <v>108975.66666666667</v>
      </c>
      <c r="J1341" t="str">
        <f t="shared" si="20"/>
        <v>High</v>
      </c>
      <c r="K1341">
        <f>dataset[[#This Row],[soda_sales]]/dataset[[#This Row],[soda_units_sold]]</f>
        <v>0.73390340979478785</v>
      </c>
      <c r="L1341" s="29">
        <f>dataset[[#This Row],[implied_soda_ppu]]-dataset[[#This Row],[soda_ppu]]</f>
        <v>3.4097947878564128E-6</v>
      </c>
      <c r="M1341">
        <f>dataset[[#This Row],[soda_sales]]/dataset[[#This Row],[total_sales]]</f>
        <v>5.1949676395166594E-2</v>
      </c>
      <c r="N1341">
        <f>LN(dataset[[#This Row],[soda_units_sold]])</f>
        <v>12.198922141501333</v>
      </c>
      <c r="O1341">
        <f>LN(dataset[[#This Row],[soda_sales]])</f>
        <v>11.889544288189393</v>
      </c>
      <c r="P1341">
        <f>LN(dataset[[#This Row],[soda_ppu]])</f>
        <v>-0.30938249943111995</v>
      </c>
      <c r="Q1341">
        <f>IF(dataset[[#This Row],[state]]="VA",1,0)</f>
        <v>1</v>
      </c>
    </row>
    <row r="1342" spans="1:17" x14ac:dyDescent="0.35">
      <c r="A1342">
        <v>202209</v>
      </c>
      <c r="B1342">
        <v>9</v>
      </c>
      <c r="C1342" s="2">
        <v>2829185.9728999999</v>
      </c>
      <c r="D1342" s="2">
        <v>0.71540000000000004</v>
      </c>
      <c r="E1342" s="3">
        <v>199923</v>
      </c>
      <c r="F1342" s="2">
        <v>143016.63500000001</v>
      </c>
      <c r="G1342" t="s">
        <v>2720</v>
      </c>
      <c r="H1342" t="s">
        <v>3</v>
      </c>
      <c r="I1342">
        <f>HLOOKUP(G1342,zip_tiers!$A$1:$EON$2,2,FALSE)</f>
        <v>108975.66666666667</v>
      </c>
      <c r="J1342" t="str">
        <f t="shared" si="20"/>
        <v>High</v>
      </c>
      <c r="K1342">
        <f>dataset[[#This Row],[soda_sales]]/dataset[[#This Row],[soda_units_sold]]</f>
        <v>0.71535858805640173</v>
      </c>
      <c r="L1342" s="29">
        <f>dataset[[#This Row],[implied_soda_ppu]]-dataset[[#This Row],[soda_ppu]]</f>
        <v>-4.1411943598301804E-5</v>
      </c>
      <c r="M1342">
        <f>dataset[[#This Row],[soda_sales]]/dataset[[#This Row],[total_sales]]</f>
        <v>5.0550453865499584E-2</v>
      </c>
      <c r="N1342">
        <f>LN(dataset[[#This Row],[soda_units_sold]])</f>
        <v>12.205687571398647</v>
      </c>
      <c r="O1342">
        <f>LN(dataset[[#This Row],[soda_sales]])</f>
        <v>11.870716231147718</v>
      </c>
      <c r="P1342">
        <f>LN(dataset[[#This Row],[soda_ppu]])</f>
        <v>-0.33491345215721963</v>
      </c>
      <c r="Q1342">
        <f>IF(dataset[[#This Row],[state]]="VA",1,0)</f>
        <v>1</v>
      </c>
    </row>
    <row r="1343" spans="1:17" x14ac:dyDescent="0.35">
      <c r="A1343">
        <v>202210</v>
      </c>
      <c r="B1343">
        <v>9</v>
      </c>
      <c r="C1343" s="2">
        <v>3397741.6061</v>
      </c>
      <c r="D1343" s="2">
        <v>0.69420000000000004</v>
      </c>
      <c r="E1343" s="3">
        <v>190913</v>
      </c>
      <c r="F1343" s="2">
        <v>132525.6648</v>
      </c>
      <c r="G1343" t="s">
        <v>2720</v>
      </c>
      <c r="H1343" t="s">
        <v>3</v>
      </c>
      <c r="I1343">
        <f>HLOOKUP(G1343,zip_tiers!$A$1:$EON$2,2,FALSE)</f>
        <v>108975.66666666667</v>
      </c>
      <c r="J1343" t="str">
        <f t="shared" si="20"/>
        <v>High</v>
      </c>
      <c r="K1343">
        <f>dataset[[#This Row],[soda_sales]]/dataset[[#This Row],[soda_units_sold]]</f>
        <v>0.69416783980137553</v>
      </c>
      <c r="L1343" s="29">
        <f>dataset[[#This Row],[implied_soda_ppu]]-dataset[[#This Row],[soda_ppu]]</f>
        <v>-3.2160198624509029E-5</v>
      </c>
      <c r="M1343">
        <f>dataset[[#This Row],[soda_sales]]/dataset[[#This Row],[total_sales]]</f>
        <v>3.9004044498873992E-2</v>
      </c>
      <c r="N1343">
        <f>LN(dataset[[#This Row],[soda_units_sold]])</f>
        <v>12.159573105876122</v>
      </c>
      <c r="O1343">
        <f>LN(dataset[[#This Row],[soda_sales]])</f>
        <v>11.794531602255422</v>
      </c>
      <c r="P1343">
        <f>LN(dataset[[#This Row],[soda_ppu]])</f>
        <v>-0.3649951755544511</v>
      </c>
      <c r="Q1343">
        <f>IF(dataset[[#This Row],[state]]="VA",1,0)</f>
        <v>1</v>
      </c>
    </row>
    <row r="1344" spans="1:17" x14ac:dyDescent="0.35">
      <c r="A1344">
        <v>202211</v>
      </c>
      <c r="B1344">
        <v>9</v>
      </c>
      <c r="C1344" s="2">
        <v>3941102.8076999998</v>
      </c>
      <c r="D1344" s="2">
        <v>0.73029999999999995</v>
      </c>
      <c r="E1344" s="3">
        <v>174808</v>
      </c>
      <c r="F1344" s="2">
        <v>127666.0773</v>
      </c>
      <c r="G1344" t="s">
        <v>2720</v>
      </c>
      <c r="H1344" t="s">
        <v>3</v>
      </c>
      <c r="I1344">
        <f>HLOOKUP(G1344,zip_tiers!$A$1:$EON$2,2,FALSE)</f>
        <v>108975.66666666667</v>
      </c>
      <c r="J1344" t="str">
        <f t="shared" si="20"/>
        <v>High</v>
      </c>
      <c r="K1344">
        <f>dataset[[#This Row],[soda_sales]]/dataset[[#This Row],[soda_units_sold]]</f>
        <v>0.73032170896068838</v>
      </c>
      <c r="L1344" s="29">
        <f>dataset[[#This Row],[implied_soda_ppu]]-dataset[[#This Row],[soda_ppu]]</f>
        <v>2.170896068842687E-5</v>
      </c>
      <c r="M1344">
        <f>dataset[[#This Row],[soda_sales]]/dataset[[#This Row],[total_sales]]</f>
        <v>3.239349073832079E-2</v>
      </c>
      <c r="N1344">
        <f>LN(dataset[[#This Row],[soda_units_sold]])</f>
        <v>12.071443507746702</v>
      </c>
      <c r="O1344">
        <f>LN(dataset[[#This Row],[soda_sales]])</f>
        <v>11.757173363034932</v>
      </c>
      <c r="P1344">
        <f>LN(dataset[[#This Row],[soda_ppu]])</f>
        <v>-0.31429987035607304</v>
      </c>
      <c r="Q1344">
        <f>IF(dataset[[#This Row],[state]]="VA",1,0)</f>
        <v>1</v>
      </c>
    </row>
    <row r="1345" spans="1:17" x14ac:dyDescent="0.35">
      <c r="A1345">
        <v>202212</v>
      </c>
      <c r="B1345">
        <v>9</v>
      </c>
      <c r="C1345" s="2">
        <v>4065767.2288000002</v>
      </c>
      <c r="D1345" s="2">
        <v>0.68789999999999996</v>
      </c>
      <c r="E1345" s="3">
        <v>178840</v>
      </c>
      <c r="F1345" s="2">
        <v>123022.3665</v>
      </c>
      <c r="G1345" t="s">
        <v>2720</v>
      </c>
      <c r="H1345" t="s">
        <v>3</v>
      </c>
      <c r="I1345">
        <f>HLOOKUP(G1345,zip_tiers!$A$1:$EON$2,2,FALSE)</f>
        <v>108975.66666666667</v>
      </c>
      <c r="J1345" t="str">
        <f t="shared" si="20"/>
        <v>High</v>
      </c>
      <c r="K1345">
        <f>dataset[[#This Row],[soda_sales]]/dataset[[#This Row],[soda_units_sold]]</f>
        <v>0.68789066484008055</v>
      </c>
      <c r="L1345" s="29">
        <f>dataset[[#This Row],[implied_soda_ppu]]-dataset[[#This Row],[soda_ppu]]</f>
        <v>-9.3351599194102519E-6</v>
      </c>
      <c r="M1345">
        <f>dataset[[#This Row],[soda_sales]]/dataset[[#This Row],[total_sales]]</f>
        <v>3.0258093879198714E-2</v>
      </c>
      <c r="N1345">
        <f>LN(dataset[[#This Row],[soda_units_sold]])</f>
        <v>12.094246830347917</v>
      </c>
      <c r="O1345">
        <f>LN(dataset[[#This Row],[soda_sales]])</f>
        <v>11.720121459286814</v>
      </c>
      <c r="P1345">
        <f>LN(dataset[[#This Row],[soda_ppu]])</f>
        <v>-0.37411180045016867</v>
      </c>
      <c r="Q1345">
        <f>IF(dataset[[#This Row],[state]]="VA",1,0)</f>
        <v>1</v>
      </c>
    </row>
    <row r="1346" spans="1:17" x14ac:dyDescent="0.35">
      <c r="A1346">
        <v>202301</v>
      </c>
      <c r="B1346">
        <v>9</v>
      </c>
      <c r="C1346" s="2">
        <v>2400766.4931000001</v>
      </c>
      <c r="D1346" s="2">
        <v>0.73460000000000003</v>
      </c>
      <c r="E1346" s="3">
        <v>126664</v>
      </c>
      <c r="F1346" s="2">
        <v>93053.702900000004</v>
      </c>
      <c r="G1346" t="s">
        <v>2720</v>
      </c>
      <c r="H1346" t="s">
        <v>3</v>
      </c>
      <c r="I1346">
        <f>HLOOKUP(G1346,zip_tiers!$A$1:$EON$2,2,FALSE)</f>
        <v>108975.66666666667</v>
      </c>
      <c r="J1346" t="str">
        <f t="shared" ref="J1346:J1409" si="21">IF(I1346="","No Data",IF(I1346&gt;=100000,"High",IF(I1346&gt;=40000,"Med","Low")))</f>
        <v>High</v>
      </c>
      <c r="K1346">
        <f>dataset[[#This Row],[soda_sales]]/dataset[[#This Row],[soda_units_sold]]</f>
        <v>0.73464996289395568</v>
      </c>
      <c r="L1346" s="29">
        <f>dataset[[#This Row],[implied_soda_ppu]]-dataset[[#This Row],[soda_ppu]]</f>
        <v>4.9962893955646237E-5</v>
      </c>
      <c r="M1346">
        <f>dataset[[#This Row],[soda_sales]]/dataset[[#This Row],[total_sales]]</f>
        <v>3.8759997345616068E-2</v>
      </c>
      <c r="N1346">
        <f>LN(dataset[[#This Row],[soda_units_sold]])</f>
        <v>11.74929319018127</v>
      </c>
      <c r="O1346">
        <f>LN(dataset[[#This Row],[soda_sales]])</f>
        <v>11.440932056012622</v>
      </c>
      <c r="P1346">
        <f>LN(dataset[[#This Row],[soda_ppu]])</f>
        <v>-0.30842914559657009</v>
      </c>
      <c r="Q1346">
        <f>IF(dataset[[#This Row],[state]]="VA",1,0)</f>
        <v>1</v>
      </c>
    </row>
    <row r="1347" spans="1:17" x14ac:dyDescent="0.35">
      <c r="A1347">
        <v>202302</v>
      </c>
      <c r="B1347">
        <v>9</v>
      </c>
      <c r="C1347" s="2">
        <v>2683243.3470999999</v>
      </c>
      <c r="D1347" s="2">
        <v>0.74009999999999998</v>
      </c>
      <c r="E1347" s="3">
        <v>142997</v>
      </c>
      <c r="F1347" s="2">
        <v>105826.6274</v>
      </c>
      <c r="G1347" t="s">
        <v>2720</v>
      </c>
      <c r="H1347" t="s">
        <v>3</v>
      </c>
      <c r="I1347">
        <f>HLOOKUP(G1347,zip_tiers!$A$1:$EON$2,2,FALSE)</f>
        <v>108975.66666666667</v>
      </c>
      <c r="J1347" t="str">
        <f t="shared" si="21"/>
        <v>High</v>
      </c>
      <c r="K1347">
        <f>dataset[[#This Row],[soda_sales]]/dataset[[#This Row],[soda_units_sold]]</f>
        <v>0.74006187122806766</v>
      </c>
      <c r="L1347" s="29">
        <f>dataset[[#This Row],[implied_soda_ppu]]-dataset[[#This Row],[soda_ppu]]</f>
        <v>-3.8128771932322003E-5</v>
      </c>
      <c r="M1347">
        <f>dataset[[#This Row],[soda_sales]]/dataset[[#This Row],[total_sales]]</f>
        <v>3.9439817307056951E-2</v>
      </c>
      <c r="N1347">
        <f>LN(dataset[[#This Row],[soda_units_sold]])</f>
        <v>11.870578930001003</v>
      </c>
      <c r="O1347">
        <f>LN(dataset[[#This Row],[soda_sales]])</f>
        <v>11.569557443489638</v>
      </c>
      <c r="P1347">
        <f>LN(dataset[[#This Row],[soda_ppu]])</f>
        <v>-0.30096996677871635</v>
      </c>
      <c r="Q1347">
        <f>IF(dataset[[#This Row],[state]]="VA",1,0)</f>
        <v>1</v>
      </c>
    </row>
    <row r="1348" spans="1:17" x14ac:dyDescent="0.35">
      <c r="A1348">
        <v>202303</v>
      </c>
      <c r="B1348">
        <v>9</v>
      </c>
      <c r="C1348" s="2">
        <v>2986763.6192999999</v>
      </c>
      <c r="D1348" s="2">
        <v>0.71560000000000001</v>
      </c>
      <c r="E1348" s="3">
        <v>173116</v>
      </c>
      <c r="F1348" s="2">
        <v>123881.5246</v>
      </c>
      <c r="G1348" t="s">
        <v>2720</v>
      </c>
      <c r="H1348" t="s">
        <v>3</v>
      </c>
      <c r="I1348">
        <f>HLOOKUP(G1348,zip_tiers!$A$1:$EON$2,2,FALSE)</f>
        <v>108975.66666666667</v>
      </c>
      <c r="J1348" t="str">
        <f t="shared" si="21"/>
        <v>High</v>
      </c>
      <c r="K1348">
        <f>dataset[[#This Row],[soda_sales]]/dataset[[#This Row],[soda_units_sold]]</f>
        <v>0.71559835370503022</v>
      </c>
      <c r="L1348" s="29">
        <f>dataset[[#This Row],[implied_soda_ppu]]-dataset[[#This Row],[soda_ppu]]</f>
        <v>-1.6462949697926277E-6</v>
      </c>
      <c r="M1348">
        <f>dataset[[#This Row],[soda_sales]]/dataset[[#This Row],[total_sales]]</f>
        <v>4.1476842626412394E-2</v>
      </c>
      <c r="N1348">
        <f>LN(dataset[[#This Row],[soda_units_sold]])</f>
        <v>12.061717169012876</v>
      </c>
      <c r="O1348">
        <f>LN(dataset[[#This Row],[soda_sales]])</f>
        <v>11.727080941082766</v>
      </c>
      <c r="P1348">
        <f>LN(dataset[[#This Row],[soda_ppu]])</f>
        <v>-0.33463392734757291</v>
      </c>
      <c r="Q1348">
        <f>IF(dataset[[#This Row],[state]]="VA",1,0)</f>
        <v>1</v>
      </c>
    </row>
    <row r="1349" spans="1:17" x14ac:dyDescent="0.35">
      <c r="A1349">
        <v>202304</v>
      </c>
      <c r="B1349">
        <v>9</v>
      </c>
      <c r="C1349" s="2">
        <v>3064450.7656</v>
      </c>
      <c r="D1349" s="2">
        <v>0.74039999999999995</v>
      </c>
      <c r="E1349" s="3">
        <v>190790</v>
      </c>
      <c r="F1349" s="2">
        <v>141259.2574</v>
      </c>
      <c r="G1349" t="s">
        <v>2720</v>
      </c>
      <c r="H1349" t="s">
        <v>3</v>
      </c>
      <c r="I1349">
        <f>HLOOKUP(G1349,zip_tiers!$A$1:$EON$2,2,FALSE)</f>
        <v>108975.66666666667</v>
      </c>
      <c r="J1349" t="str">
        <f t="shared" si="21"/>
        <v>High</v>
      </c>
      <c r="K1349">
        <f>dataset[[#This Row],[soda_sales]]/dataset[[#This Row],[soda_units_sold]]</f>
        <v>0.7403913066722575</v>
      </c>
      <c r="L1349" s="29">
        <f>dataset[[#This Row],[implied_soda_ppu]]-dataset[[#This Row],[soda_ppu]]</f>
        <v>-8.6933277424483535E-6</v>
      </c>
      <c r="M1349">
        <f>dataset[[#This Row],[soda_sales]]/dataset[[#This Row],[total_sales]]</f>
        <v>4.6096109288393916E-2</v>
      </c>
      <c r="N1349">
        <f>LN(dataset[[#This Row],[soda_units_sold]])</f>
        <v>12.158928625721357</v>
      </c>
      <c r="O1349">
        <f>LN(dataset[[#This Row],[soda_sales]])</f>
        <v>11.858352185976138</v>
      </c>
      <c r="P1349">
        <f>LN(dataset[[#This Row],[soda_ppu]])</f>
        <v>-0.3005646982827947</v>
      </c>
      <c r="Q1349">
        <f>IF(dataset[[#This Row],[state]]="VA",1,0)</f>
        <v>1</v>
      </c>
    </row>
    <row r="1350" spans="1:17" x14ac:dyDescent="0.35">
      <c r="A1350">
        <v>202305</v>
      </c>
      <c r="B1350">
        <v>9</v>
      </c>
      <c r="C1350" s="2">
        <v>3332050.5024000001</v>
      </c>
      <c r="D1350" s="2">
        <v>0.7248</v>
      </c>
      <c r="E1350" s="3">
        <v>219644</v>
      </c>
      <c r="F1350" s="2">
        <v>159190.37220000001</v>
      </c>
      <c r="G1350" t="s">
        <v>2720</v>
      </c>
      <c r="H1350" t="s">
        <v>3</v>
      </c>
      <c r="I1350">
        <f>HLOOKUP(G1350,zip_tiers!$A$1:$EON$2,2,FALSE)</f>
        <v>108975.66666666667</v>
      </c>
      <c r="J1350" t="str">
        <f t="shared" si="21"/>
        <v>High</v>
      </c>
      <c r="K1350">
        <f>dataset[[#This Row],[soda_sales]]/dataset[[#This Row],[soda_units_sold]]</f>
        <v>0.72476540310684567</v>
      </c>
      <c r="L1350" s="29">
        <f>dataset[[#This Row],[implied_soda_ppu]]-dataset[[#This Row],[soda_ppu]]</f>
        <v>-3.4596893154326125E-5</v>
      </c>
      <c r="M1350">
        <f>dataset[[#This Row],[soda_sales]]/dataset[[#This Row],[total_sales]]</f>
        <v>4.7775498026016959E-2</v>
      </c>
      <c r="N1350">
        <f>LN(dataset[[#This Row],[soda_units_sold]])</f>
        <v>12.299763332845993</v>
      </c>
      <c r="O1350">
        <f>LN(dataset[[#This Row],[soda_sales]])</f>
        <v>11.977856074433012</v>
      </c>
      <c r="P1350">
        <f>LN(dataset[[#This Row],[soda_ppu]])</f>
        <v>-0.3218595242533675</v>
      </c>
      <c r="Q1350">
        <f>IF(dataset[[#This Row],[state]]="VA",1,0)</f>
        <v>1</v>
      </c>
    </row>
    <row r="1351" spans="1:17" x14ac:dyDescent="0.35">
      <c r="A1351">
        <v>202306</v>
      </c>
      <c r="B1351">
        <v>9</v>
      </c>
      <c r="C1351" s="2">
        <v>3153015.1439999999</v>
      </c>
      <c r="D1351" s="2">
        <v>0.69440000000000002</v>
      </c>
      <c r="E1351" s="3">
        <v>229500</v>
      </c>
      <c r="F1351" s="2">
        <v>159374.19140000001</v>
      </c>
      <c r="G1351" t="s">
        <v>2720</v>
      </c>
      <c r="H1351" t="s">
        <v>3</v>
      </c>
      <c r="I1351">
        <f>HLOOKUP(G1351,zip_tiers!$A$1:$EON$2,2,FALSE)</f>
        <v>108975.66666666667</v>
      </c>
      <c r="J1351" t="str">
        <f t="shared" si="21"/>
        <v>High</v>
      </c>
      <c r="K1351">
        <f>dataset[[#This Row],[soda_sales]]/dataset[[#This Row],[soda_units_sold]]</f>
        <v>0.69444092113289768</v>
      </c>
      <c r="L1351" s="29">
        <f>dataset[[#This Row],[implied_soda_ppu]]-dataset[[#This Row],[soda_ppu]]</f>
        <v>4.0921132897664414E-5</v>
      </c>
      <c r="M1351">
        <f>dataset[[#This Row],[soda_sales]]/dataset[[#This Row],[total_sales]]</f>
        <v>5.0546598770158019E-2</v>
      </c>
      <c r="N1351">
        <f>LN(dataset[[#This Row],[soda_units_sold]])</f>
        <v>12.343658308482738</v>
      </c>
      <c r="O1351">
        <f>LN(dataset[[#This Row],[soda_sales]])</f>
        <v>11.97901012131333</v>
      </c>
      <c r="P1351">
        <f>LN(dataset[[#This Row],[soda_ppu]])</f>
        <v>-0.36470711563599661</v>
      </c>
      <c r="Q1351">
        <f>IF(dataset[[#This Row],[state]]="VA",1,0)</f>
        <v>1</v>
      </c>
    </row>
    <row r="1352" spans="1:17" x14ac:dyDescent="0.35">
      <c r="A1352">
        <v>202307</v>
      </c>
      <c r="B1352">
        <v>9</v>
      </c>
      <c r="C1352" s="2">
        <v>3024641.3191</v>
      </c>
      <c r="D1352" s="2">
        <v>0.72789999999999999</v>
      </c>
      <c r="E1352" s="3">
        <v>236916</v>
      </c>
      <c r="F1352" s="2">
        <v>172447.5306</v>
      </c>
      <c r="G1352" t="s">
        <v>2720</v>
      </c>
      <c r="H1352" t="s">
        <v>3</v>
      </c>
      <c r="I1352">
        <f>HLOOKUP(G1352,zip_tiers!$A$1:$EON$2,2,FALSE)</f>
        <v>108975.66666666667</v>
      </c>
      <c r="J1352" t="str">
        <f t="shared" si="21"/>
        <v>High</v>
      </c>
      <c r="K1352">
        <f>dataset[[#This Row],[soda_sales]]/dataset[[#This Row],[soda_units_sold]]</f>
        <v>0.72788469584156412</v>
      </c>
      <c r="L1352" s="29">
        <f>dataset[[#This Row],[implied_soda_ppu]]-dataset[[#This Row],[soda_ppu]]</f>
        <v>-1.5304158435869297E-5</v>
      </c>
      <c r="M1352">
        <f>dataset[[#This Row],[soda_sales]]/dataset[[#This Row],[total_sales]]</f>
        <v>5.7014208432262237E-2</v>
      </c>
      <c r="N1352">
        <f>LN(dataset[[#This Row],[soda_units_sold]])</f>
        <v>12.375460926912229</v>
      </c>
      <c r="O1352">
        <f>LN(dataset[[#This Row],[soda_sales]])</f>
        <v>12.05784829874956</v>
      </c>
      <c r="P1352">
        <f>LN(dataset[[#This Row],[soda_ppu]])</f>
        <v>-0.31759160285792482</v>
      </c>
      <c r="Q1352">
        <f>IF(dataset[[#This Row],[state]]="VA",1,0)</f>
        <v>1</v>
      </c>
    </row>
    <row r="1353" spans="1:17" x14ac:dyDescent="0.35">
      <c r="A1353">
        <v>202308</v>
      </c>
      <c r="B1353">
        <v>9</v>
      </c>
      <c r="C1353" s="2">
        <v>2853083.5104999999</v>
      </c>
      <c r="D1353" s="2">
        <v>0.70489999999999997</v>
      </c>
      <c r="E1353" s="3">
        <v>211694</v>
      </c>
      <c r="F1353" s="2">
        <v>149213.622</v>
      </c>
      <c r="G1353" t="s">
        <v>2720</v>
      </c>
      <c r="H1353" t="s">
        <v>3</v>
      </c>
      <c r="I1353">
        <f>HLOOKUP(G1353,zip_tiers!$A$1:$EON$2,2,FALSE)</f>
        <v>108975.66666666667</v>
      </c>
      <c r="J1353" t="str">
        <f t="shared" si="21"/>
        <v>High</v>
      </c>
      <c r="K1353">
        <f>dataset[[#This Row],[soda_sales]]/dataset[[#This Row],[soda_units_sold]]</f>
        <v>0.70485522499456765</v>
      </c>
      <c r="L1353" s="29">
        <f>dataset[[#This Row],[implied_soda_ppu]]-dataset[[#This Row],[soda_ppu]]</f>
        <v>-4.477500543231816E-5</v>
      </c>
      <c r="M1353">
        <f>dataset[[#This Row],[soda_sales]]/dataset[[#This Row],[total_sales]]</f>
        <v>5.2299072722848713E-2</v>
      </c>
      <c r="N1353">
        <f>LN(dataset[[#This Row],[soda_units_sold]])</f>
        <v>12.262897114727927</v>
      </c>
      <c r="O1353">
        <f>LN(dataset[[#This Row],[soda_sales]])</f>
        <v>11.913134262852278</v>
      </c>
      <c r="P1353">
        <f>LN(dataset[[#This Row],[soda_ppu]])</f>
        <v>-0.3496993302023072</v>
      </c>
      <c r="Q1353">
        <f>IF(dataset[[#This Row],[state]]="VA",1,0)</f>
        <v>1</v>
      </c>
    </row>
    <row r="1354" spans="1:17" x14ac:dyDescent="0.35">
      <c r="A1354">
        <v>202309</v>
      </c>
      <c r="B1354">
        <v>9</v>
      </c>
      <c r="C1354" s="2">
        <v>2845564.83</v>
      </c>
      <c r="D1354" s="2">
        <v>0.7591</v>
      </c>
      <c r="E1354" s="3">
        <v>188527</v>
      </c>
      <c r="F1354" s="2">
        <v>143111.56450000001</v>
      </c>
      <c r="G1354" t="s">
        <v>2720</v>
      </c>
      <c r="H1354" t="s">
        <v>3</v>
      </c>
      <c r="I1354">
        <f>HLOOKUP(G1354,zip_tiers!$A$1:$EON$2,2,FALSE)</f>
        <v>108975.66666666667</v>
      </c>
      <c r="J1354" t="str">
        <f t="shared" si="21"/>
        <v>High</v>
      </c>
      <c r="K1354">
        <f>dataset[[#This Row],[soda_sales]]/dataset[[#This Row],[soda_units_sold]]</f>
        <v>0.75910381271648097</v>
      </c>
      <c r="L1354" s="29">
        <f>dataset[[#This Row],[implied_soda_ppu]]-dataset[[#This Row],[soda_ppu]]</f>
        <v>3.8127164809775849E-6</v>
      </c>
      <c r="M1354">
        <f>dataset[[#This Row],[soda_sales]]/dataset[[#This Row],[total_sales]]</f>
        <v>5.0292849767896518E-2</v>
      </c>
      <c r="N1354">
        <f>LN(dataset[[#This Row],[soda_units_sold]])</f>
        <v>12.146996511687165</v>
      </c>
      <c r="O1354">
        <f>LN(dataset[[#This Row],[soda_sales]])</f>
        <v>11.87137977639526</v>
      </c>
      <c r="P1354">
        <f>LN(dataset[[#This Row],[soda_ppu]])</f>
        <v>-0.27562175795941452</v>
      </c>
      <c r="Q1354">
        <f>IF(dataset[[#This Row],[state]]="VA",1,0)</f>
        <v>1</v>
      </c>
    </row>
    <row r="1355" spans="1:17" x14ac:dyDescent="0.35">
      <c r="A1355">
        <v>202310</v>
      </c>
      <c r="B1355">
        <v>9</v>
      </c>
      <c r="C1355" s="2">
        <v>3510381.9566000002</v>
      </c>
      <c r="D1355" s="2">
        <v>0.7198</v>
      </c>
      <c r="E1355" s="3">
        <v>190972</v>
      </c>
      <c r="F1355" s="2">
        <v>137456.9031</v>
      </c>
      <c r="G1355" t="s">
        <v>2720</v>
      </c>
      <c r="H1355" t="s">
        <v>3</v>
      </c>
      <c r="I1355">
        <f>HLOOKUP(G1355,zip_tiers!$A$1:$EON$2,2,FALSE)</f>
        <v>108975.66666666667</v>
      </c>
      <c r="J1355" t="str">
        <f t="shared" si="21"/>
        <v>High</v>
      </c>
      <c r="K1355">
        <f>dataset[[#This Row],[soda_sales]]/dataset[[#This Row],[soda_units_sold]]</f>
        <v>0.71977516651655737</v>
      </c>
      <c r="L1355" s="29">
        <f>dataset[[#This Row],[implied_soda_ppu]]-dataset[[#This Row],[soda_ppu]]</f>
        <v>-2.4833483442621151E-5</v>
      </c>
      <c r="M1355">
        <f>dataset[[#This Row],[soda_sales]]/dataset[[#This Row],[total_sales]]</f>
        <v>3.9157249780629184E-2</v>
      </c>
      <c r="N1355">
        <f>LN(dataset[[#This Row],[soda_units_sold]])</f>
        <v>12.159882099423758</v>
      </c>
      <c r="O1355">
        <f>LN(dataset[[#This Row],[soda_sales]])</f>
        <v>11.831065714958687</v>
      </c>
      <c r="P1355">
        <f>LN(dataset[[#This Row],[soda_ppu]])</f>
        <v>-0.32878188333720676</v>
      </c>
      <c r="Q1355">
        <f>IF(dataset[[#This Row],[state]]="VA",1,0)</f>
        <v>1</v>
      </c>
    </row>
    <row r="1356" spans="1:17" x14ac:dyDescent="0.35">
      <c r="A1356">
        <v>202311</v>
      </c>
      <c r="B1356">
        <v>9</v>
      </c>
      <c r="C1356" s="2">
        <v>3968256.7436000002</v>
      </c>
      <c r="D1356" s="2">
        <v>0.75429999999999997</v>
      </c>
      <c r="E1356" s="3">
        <v>172990</v>
      </c>
      <c r="F1356" s="2">
        <v>130494.0175</v>
      </c>
      <c r="G1356" t="s">
        <v>2720</v>
      </c>
      <c r="H1356" t="s">
        <v>3</v>
      </c>
      <c r="I1356">
        <f>HLOOKUP(G1356,zip_tiers!$A$1:$EON$2,2,FALSE)</f>
        <v>108975.66666666667</v>
      </c>
      <c r="J1356" t="str">
        <f t="shared" si="21"/>
        <v>High</v>
      </c>
      <c r="K1356">
        <f>dataset[[#This Row],[soda_sales]]/dataset[[#This Row],[soda_units_sold]]</f>
        <v>0.75434428290652644</v>
      </c>
      <c r="L1356" s="29">
        <f>dataset[[#This Row],[implied_soda_ppu]]-dataset[[#This Row],[soda_ppu]]</f>
        <v>4.4282906526471599E-5</v>
      </c>
      <c r="M1356">
        <f>dataset[[#This Row],[soda_sales]]/dataset[[#This Row],[total_sales]]</f>
        <v>3.2884469411023014E-2</v>
      </c>
      <c r="N1356">
        <f>LN(dataset[[#This Row],[soda_units_sold]])</f>
        <v>12.060989068341023</v>
      </c>
      <c r="O1356">
        <f>LN(dataset[[#This Row],[soda_sales]])</f>
        <v>11.779082661782189</v>
      </c>
      <c r="P1356">
        <f>LN(dataset[[#This Row],[soda_ppu]])</f>
        <v>-0.28196511212255188</v>
      </c>
      <c r="Q1356">
        <f>IF(dataset[[#This Row],[state]]="VA",1,0)</f>
        <v>1</v>
      </c>
    </row>
    <row r="1357" spans="1:17" x14ac:dyDescent="0.35">
      <c r="A1357">
        <v>202312</v>
      </c>
      <c r="B1357">
        <v>9</v>
      </c>
      <c r="C1357" s="2">
        <v>4141667.5326</v>
      </c>
      <c r="D1357" s="2">
        <v>0.71789999999999998</v>
      </c>
      <c r="E1357" s="3">
        <v>174908</v>
      </c>
      <c r="F1357" s="2">
        <v>125569.4648</v>
      </c>
      <c r="G1357" t="s">
        <v>2720</v>
      </c>
      <c r="H1357" t="s">
        <v>3</v>
      </c>
      <c r="I1357">
        <f>HLOOKUP(G1357,zip_tiers!$A$1:$EON$2,2,FALSE)</f>
        <v>108975.66666666667</v>
      </c>
      <c r="J1357" t="str">
        <f t="shared" si="21"/>
        <v>High</v>
      </c>
      <c r="K1357">
        <f>dataset[[#This Row],[soda_sales]]/dataset[[#This Row],[soda_units_sold]]</f>
        <v>0.71791721819470811</v>
      </c>
      <c r="L1357" s="29">
        <f>dataset[[#This Row],[implied_soda_ppu]]-dataset[[#This Row],[soda_ppu]]</f>
        <v>1.7218194708124024E-5</v>
      </c>
      <c r="M1357">
        <f>dataset[[#This Row],[soda_sales]]/dataset[[#This Row],[total_sales]]</f>
        <v>3.0318576711340153E-2</v>
      </c>
      <c r="N1357">
        <f>LN(dataset[[#This Row],[soda_units_sold]])</f>
        <v>12.072015400383732</v>
      </c>
      <c r="O1357">
        <f>LN(dataset[[#This Row],[soda_sales]])</f>
        <v>11.740614388809396</v>
      </c>
      <c r="P1357">
        <f>LN(dataset[[#This Row],[soda_ppu]])</f>
        <v>-0.33142499539969977</v>
      </c>
      <c r="Q1357">
        <f>IF(dataset[[#This Row],[state]]="VA",1,0)</f>
        <v>1</v>
      </c>
    </row>
    <row r="1358" spans="1:17" x14ac:dyDescent="0.35">
      <c r="A1358">
        <v>202401</v>
      </c>
      <c r="B1358">
        <v>9</v>
      </c>
      <c r="C1358" s="2">
        <v>2416244.8884000001</v>
      </c>
      <c r="D1358" s="2">
        <v>0.7379</v>
      </c>
      <c r="E1358" s="3">
        <v>129162</v>
      </c>
      <c r="F1358" s="2">
        <v>95310.317500000005</v>
      </c>
      <c r="G1358" t="s">
        <v>2720</v>
      </c>
      <c r="H1358" t="s">
        <v>3</v>
      </c>
      <c r="I1358">
        <f>HLOOKUP(G1358,zip_tiers!$A$1:$EON$2,2,FALSE)</f>
        <v>108975.66666666667</v>
      </c>
      <c r="J1358" t="str">
        <f t="shared" si="21"/>
        <v>High</v>
      </c>
      <c r="K1358">
        <f>dataset[[#This Row],[soda_sales]]/dataset[[#This Row],[soda_units_sold]]</f>
        <v>0.73791298911444547</v>
      </c>
      <c r="L1358" s="29">
        <f>dataset[[#This Row],[implied_soda_ppu]]-dataset[[#This Row],[soda_ppu]]</f>
        <v>1.2989114445471905E-5</v>
      </c>
      <c r="M1358">
        <f>dataset[[#This Row],[soda_sales]]/dataset[[#This Row],[total_sales]]</f>
        <v>3.9445636474005341E-2</v>
      </c>
      <c r="N1358">
        <f>LN(dataset[[#This Row],[soda_units_sold]])</f>
        <v>11.768822709422501</v>
      </c>
      <c r="O1358">
        <f>LN(dataset[[#This Row],[soda_sales]])</f>
        <v>11.464893347161041</v>
      </c>
      <c r="P1358">
        <f>LN(dataset[[#This Row],[soda_ppu]])</f>
        <v>-0.30394696491781609</v>
      </c>
      <c r="Q1358">
        <f>IF(dataset[[#This Row],[state]]="VA",1,0)</f>
        <v>1</v>
      </c>
    </row>
    <row r="1359" spans="1:17" x14ac:dyDescent="0.35">
      <c r="A1359">
        <v>202402</v>
      </c>
      <c r="B1359">
        <v>9</v>
      </c>
      <c r="C1359" s="2">
        <v>2719678.1406</v>
      </c>
      <c r="D1359" s="2">
        <v>0.74309999999999998</v>
      </c>
      <c r="E1359" s="3">
        <v>141695</v>
      </c>
      <c r="F1359" s="2">
        <v>105297.09420000001</v>
      </c>
      <c r="G1359" t="s">
        <v>2720</v>
      </c>
      <c r="H1359" t="s">
        <v>3</v>
      </c>
      <c r="I1359">
        <f>HLOOKUP(G1359,zip_tiers!$A$1:$EON$2,2,FALSE)</f>
        <v>108975.66666666667</v>
      </c>
      <c r="J1359" t="str">
        <f t="shared" si="21"/>
        <v>High</v>
      </c>
      <c r="K1359">
        <f>dataset[[#This Row],[soda_sales]]/dataset[[#This Row],[soda_units_sold]]</f>
        <v>0.74312498112142278</v>
      </c>
      <c r="L1359" s="29">
        <f>dataset[[#This Row],[implied_soda_ppu]]-dataset[[#This Row],[soda_ppu]]</f>
        <v>2.4981121422795738E-5</v>
      </c>
      <c r="M1359">
        <f>dataset[[#This Row],[soda_sales]]/dataset[[#This Row],[total_sales]]</f>
        <v>3.871674836374938E-2</v>
      </c>
      <c r="N1359">
        <f>LN(dataset[[#This Row],[soda_units_sold]])</f>
        <v>11.86143213924111</v>
      </c>
      <c r="O1359">
        <f>LN(dataset[[#This Row],[soda_sales]])</f>
        <v>11.56454110229971</v>
      </c>
      <c r="P1359">
        <f>LN(dataset[[#This Row],[soda_ppu]])</f>
        <v>-0.29692465381871352</v>
      </c>
      <c r="Q1359">
        <f>IF(dataset[[#This Row],[state]]="VA",1,0)</f>
        <v>1</v>
      </c>
    </row>
    <row r="1360" spans="1:17" x14ac:dyDescent="0.35">
      <c r="A1360">
        <v>202403</v>
      </c>
      <c r="B1360">
        <v>9</v>
      </c>
      <c r="C1360" s="2">
        <v>3024525.9330000002</v>
      </c>
      <c r="D1360" s="2">
        <v>0.74209999999999998</v>
      </c>
      <c r="E1360" s="3">
        <v>168779</v>
      </c>
      <c r="F1360" s="2">
        <v>125255.1669</v>
      </c>
      <c r="G1360" t="s">
        <v>2720</v>
      </c>
      <c r="H1360" t="s">
        <v>3</v>
      </c>
      <c r="I1360">
        <f>HLOOKUP(G1360,zip_tiers!$A$1:$EON$2,2,FALSE)</f>
        <v>108975.66666666667</v>
      </c>
      <c r="J1360" t="str">
        <f t="shared" si="21"/>
        <v>High</v>
      </c>
      <c r="K1360">
        <f>dataset[[#This Row],[soda_sales]]/dataset[[#This Row],[soda_units_sold]]</f>
        <v>0.74212530528087028</v>
      </c>
      <c r="L1360" s="29">
        <f>dataset[[#This Row],[implied_soda_ppu]]-dataset[[#This Row],[soda_ppu]]</f>
        <v>2.5305280870302482E-5</v>
      </c>
      <c r="M1360">
        <f>dataset[[#This Row],[soda_sales]]/dataset[[#This Row],[total_sales]]</f>
        <v>4.1413156863151945E-2</v>
      </c>
      <c r="N1360">
        <f>LN(dataset[[#This Row],[soda_units_sold]])</f>
        <v>12.036345445821791</v>
      </c>
      <c r="O1360">
        <f>LN(dataset[[#This Row],[soda_sales]])</f>
        <v>11.738108270790853</v>
      </c>
      <c r="P1360">
        <f>LN(dataset[[#This Row],[soda_ppu]])</f>
        <v>-0.29827127400604919</v>
      </c>
      <c r="Q1360">
        <f>IF(dataset[[#This Row],[state]]="VA",1,0)</f>
        <v>1</v>
      </c>
    </row>
    <row r="1361" spans="1:17" x14ac:dyDescent="0.35">
      <c r="A1361">
        <v>202404</v>
      </c>
      <c r="B1361">
        <v>9</v>
      </c>
      <c r="C1361" s="2">
        <v>3284819.9161999999</v>
      </c>
      <c r="D1361" s="2">
        <v>0.74809999999999999</v>
      </c>
      <c r="E1361" s="3">
        <v>202262</v>
      </c>
      <c r="F1361" s="2">
        <v>151314.0808</v>
      </c>
      <c r="G1361" t="s">
        <v>2720</v>
      </c>
      <c r="H1361" t="s">
        <v>3</v>
      </c>
      <c r="I1361">
        <f>HLOOKUP(G1361,zip_tiers!$A$1:$EON$2,2,FALSE)</f>
        <v>108975.66666666667</v>
      </c>
      <c r="J1361" t="str">
        <f t="shared" si="21"/>
        <v>High</v>
      </c>
      <c r="K1361">
        <f>dataset[[#This Row],[soda_sales]]/dataset[[#This Row],[soda_units_sold]]</f>
        <v>0.74810928795324871</v>
      </c>
      <c r="L1361" s="29">
        <f>dataset[[#This Row],[implied_soda_ppu]]-dataset[[#This Row],[soda_ppu]]</f>
        <v>9.2879532487266658E-6</v>
      </c>
      <c r="M1361">
        <f>dataset[[#This Row],[soda_sales]]/dataset[[#This Row],[total_sales]]</f>
        <v>4.6064650318805203E-2</v>
      </c>
      <c r="N1361">
        <f>LN(dataset[[#This Row],[soda_units_sold]])</f>
        <v>12.217319165669904</v>
      </c>
      <c r="O1361">
        <f>LN(dataset[[#This Row],[soda_sales]])</f>
        <v>11.927112960879043</v>
      </c>
      <c r="P1361">
        <f>LN(dataset[[#This Row],[soda_ppu]])</f>
        <v>-0.29021862010377786</v>
      </c>
      <c r="Q1361">
        <f>IF(dataset[[#This Row],[state]]="VA",1,0)</f>
        <v>1</v>
      </c>
    </row>
    <row r="1362" spans="1:17" x14ac:dyDescent="0.35">
      <c r="A1362">
        <v>202405</v>
      </c>
      <c r="B1362">
        <v>9</v>
      </c>
      <c r="C1362" s="2">
        <v>3442577.0613000002</v>
      </c>
      <c r="D1362" s="2">
        <v>0.7641</v>
      </c>
      <c r="E1362" s="3">
        <v>218249</v>
      </c>
      <c r="F1362" s="2">
        <v>166759.326</v>
      </c>
      <c r="G1362" t="s">
        <v>2720</v>
      </c>
      <c r="H1362" t="s">
        <v>3</v>
      </c>
      <c r="I1362">
        <f>HLOOKUP(G1362,zip_tiers!$A$1:$EON$2,2,FALSE)</f>
        <v>108975.66666666667</v>
      </c>
      <c r="J1362" t="str">
        <f t="shared" si="21"/>
        <v>High</v>
      </c>
      <c r="K1362">
        <f>dataset[[#This Row],[soda_sales]]/dataset[[#This Row],[soda_units_sold]]</f>
        <v>0.76407830505523511</v>
      </c>
      <c r="L1362" s="29">
        <f>dataset[[#This Row],[implied_soda_ppu]]-dataset[[#This Row],[soda_ppu]]</f>
        <v>-2.1694944764893975E-5</v>
      </c>
      <c r="M1362">
        <f>dataset[[#This Row],[soda_sales]]/dataset[[#This Row],[total_sales]]</f>
        <v>4.8440259442450263E-2</v>
      </c>
      <c r="N1362">
        <f>LN(dataset[[#This Row],[soda_units_sold]])</f>
        <v>12.293391891789863</v>
      </c>
      <c r="O1362">
        <f>LN(dataset[[#This Row],[soda_sales]])</f>
        <v>12.024306890249937</v>
      </c>
      <c r="P1362">
        <f>LN(dataset[[#This Row],[soda_ppu]])</f>
        <v>-0.26905660832861605</v>
      </c>
      <c r="Q1362">
        <f>IF(dataset[[#This Row],[state]]="VA",1,0)</f>
        <v>1</v>
      </c>
    </row>
    <row r="1363" spans="1:17" x14ac:dyDescent="0.35">
      <c r="A1363">
        <v>202406</v>
      </c>
      <c r="B1363">
        <v>9</v>
      </c>
      <c r="C1363" s="2">
        <v>3229414.6776000001</v>
      </c>
      <c r="D1363" s="2">
        <v>0.77729999999999999</v>
      </c>
      <c r="E1363" s="3">
        <v>219995</v>
      </c>
      <c r="F1363" s="2">
        <v>171001.70129999999</v>
      </c>
      <c r="G1363" t="s">
        <v>2720</v>
      </c>
      <c r="H1363" t="s">
        <v>3</v>
      </c>
      <c r="I1363">
        <f>HLOOKUP(G1363,zip_tiers!$A$1:$EON$2,2,FALSE)</f>
        <v>108975.66666666667</v>
      </c>
      <c r="J1363" t="str">
        <f t="shared" si="21"/>
        <v>High</v>
      </c>
      <c r="K1363">
        <f>dataset[[#This Row],[soda_sales]]/dataset[[#This Row],[soda_units_sold]]</f>
        <v>0.77729812632105266</v>
      </c>
      <c r="L1363" s="29">
        <f>dataset[[#This Row],[implied_soda_ppu]]-dataset[[#This Row],[soda_ppu]]</f>
        <v>-1.8736789473283721E-6</v>
      </c>
      <c r="M1363">
        <f>dataset[[#This Row],[soda_sales]]/dataset[[#This Row],[total_sales]]</f>
        <v>5.2951298724846045E-2</v>
      </c>
      <c r="N1363">
        <f>LN(dataset[[#This Row],[soda_units_sold]])</f>
        <v>12.301360097803503</v>
      </c>
      <c r="O1363">
        <f>LN(dataset[[#This Row],[soda_sales]])</f>
        <v>12.049428784558112</v>
      </c>
      <c r="P1363">
        <f>LN(dataset[[#This Row],[soda_ppu]])</f>
        <v>-0.25192890274596308</v>
      </c>
      <c r="Q1363">
        <f>IF(dataset[[#This Row],[state]]="VA",1,0)</f>
        <v>1</v>
      </c>
    </row>
    <row r="1364" spans="1:17" x14ac:dyDescent="0.35">
      <c r="A1364">
        <v>202407</v>
      </c>
      <c r="B1364">
        <v>9</v>
      </c>
      <c r="C1364" s="2">
        <v>3080358.4890000001</v>
      </c>
      <c r="D1364" s="2">
        <v>0.75429999999999997</v>
      </c>
      <c r="E1364" s="3">
        <v>227695</v>
      </c>
      <c r="F1364" s="2">
        <v>171746.68770000001</v>
      </c>
      <c r="G1364" t="s">
        <v>2720</v>
      </c>
      <c r="H1364" t="s">
        <v>3</v>
      </c>
      <c r="I1364">
        <f>HLOOKUP(G1364,zip_tiers!$A$1:$EON$2,2,FALSE)</f>
        <v>108975.66666666667</v>
      </c>
      <c r="J1364" t="str">
        <f t="shared" si="21"/>
        <v>High</v>
      </c>
      <c r="K1364">
        <f>dataset[[#This Row],[soda_sales]]/dataset[[#This Row],[soda_units_sold]]</f>
        <v>0.75428396627066918</v>
      </c>
      <c r="L1364" s="29">
        <f>dataset[[#This Row],[implied_soda_ppu]]-dataset[[#This Row],[soda_ppu]]</f>
        <v>-1.6033729330788837E-5</v>
      </c>
      <c r="M1364">
        <f>dataset[[#This Row],[soda_sales]]/dataset[[#This Row],[total_sales]]</f>
        <v>5.5755422076134854E-2</v>
      </c>
      <c r="N1364">
        <f>LN(dataset[[#This Row],[soda_units_sold]])</f>
        <v>12.335762293093124</v>
      </c>
      <c r="O1364">
        <f>LN(dataset[[#This Row],[soda_sales]])</f>
        <v>12.053775924309107</v>
      </c>
      <c r="P1364">
        <f>LN(dataset[[#This Row],[soda_ppu]])</f>
        <v>-0.28196511212255188</v>
      </c>
      <c r="Q1364">
        <f>IF(dataset[[#This Row],[state]]="VA",1,0)</f>
        <v>1</v>
      </c>
    </row>
    <row r="1365" spans="1:17" x14ac:dyDescent="0.35">
      <c r="A1365">
        <v>202408</v>
      </c>
      <c r="B1365">
        <v>9</v>
      </c>
      <c r="C1365" s="2">
        <v>2913792.6285999999</v>
      </c>
      <c r="D1365" s="2">
        <v>0.75890000000000002</v>
      </c>
      <c r="E1365" s="3">
        <v>199289</v>
      </c>
      <c r="F1365" s="2">
        <v>151244.83499999999</v>
      </c>
      <c r="G1365" t="s">
        <v>2720</v>
      </c>
      <c r="H1365" t="s">
        <v>3</v>
      </c>
      <c r="I1365">
        <f>HLOOKUP(G1365,zip_tiers!$A$1:$EON$2,2,FALSE)</f>
        <v>108975.66666666667</v>
      </c>
      <c r="J1365" t="str">
        <f t="shared" si="21"/>
        <v>High</v>
      </c>
      <c r="K1365">
        <f>dataset[[#This Row],[soda_sales]]/dataset[[#This Row],[soda_units_sold]]</f>
        <v>0.75892214321914397</v>
      </c>
      <c r="L1365" s="29">
        <f>dataset[[#This Row],[implied_soda_ppu]]-dataset[[#This Row],[soda_ppu]]</f>
        <v>2.2143219143955228E-5</v>
      </c>
      <c r="M1365">
        <f>dataset[[#This Row],[soda_sales]]/dataset[[#This Row],[total_sales]]</f>
        <v>5.1906519879099673E-2</v>
      </c>
      <c r="N1365">
        <f>LN(dataset[[#This Row],[soda_units_sold]])</f>
        <v>12.202511311501571</v>
      </c>
      <c r="O1365">
        <f>LN(dataset[[#This Row],[soda_sales]])</f>
        <v>11.926655226549675</v>
      </c>
      <c r="P1365">
        <f>LN(dataset[[#This Row],[soda_ppu]])</f>
        <v>-0.27588526257226992</v>
      </c>
      <c r="Q1365">
        <f>IF(dataset[[#This Row],[state]]="VA",1,0)</f>
        <v>1</v>
      </c>
    </row>
    <row r="1366" spans="1:17" x14ac:dyDescent="0.35">
      <c r="A1366">
        <v>202409</v>
      </c>
      <c r="B1366">
        <v>9</v>
      </c>
      <c r="C1366" s="2">
        <v>2982158.7727999999</v>
      </c>
      <c r="D1366" s="2">
        <v>0.7419</v>
      </c>
      <c r="E1366" s="3">
        <v>198704</v>
      </c>
      <c r="F1366" s="2">
        <v>147409.2009</v>
      </c>
      <c r="G1366" t="s">
        <v>2720</v>
      </c>
      <c r="H1366" t="s">
        <v>3</v>
      </c>
      <c r="I1366">
        <f>HLOOKUP(G1366,zip_tiers!$A$1:$EON$2,2,FALSE)</f>
        <v>108975.66666666667</v>
      </c>
      <c r="J1366" t="str">
        <f t="shared" si="21"/>
        <v>High</v>
      </c>
      <c r="K1366">
        <f>dataset[[#This Row],[soda_sales]]/dataset[[#This Row],[soda_units_sold]]</f>
        <v>0.74185321332232868</v>
      </c>
      <c r="L1366" s="29">
        <f>dataset[[#This Row],[implied_soda_ppu]]-dataset[[#This Row],[soda_ppu]]</f>
        <v>-4.6786677671328825E-5</v>
      </c>
      <c r="M1366">
        <f>dataset[[#This Row],[soda_sales]]/dataset[[#This Row],[total_sales]]</f>
        <v>4.9430366432701697E-2</v>
      </c>
      <c r="N1366">
        <f>LN(dataset[[#This Row],[soda_units_sold]])</f>
        <v>12.199571559187813</v>
      </c>
      <c r="O1366">
        <f>LN(dataset[[#This Row],[soda_sales]])</f>
        <v>11.900967678091822</v>
      </c>
      <c r="P1366">
        <f>LN(dataset[[#This Row],[soda_ppu]])</f>
        <v>-0.29854081578665681</v>
      </c>
      <c r="Q1366">
        <f>IF(dataset[[#This Row],[state]]="VA",1,0)</f>
        <v>1</v>
      </c>
    </row>
    <row r="1367" spans="1:17" x14ac:dyDescent="0.35">
      <c r="A1367">
        <v>202410</v>
      </c>
      <c r="B1367">
        <v>9</v>
      </c>
      <c r="C1367" s="2">
        <v>3588620.9986999999</v>
      </c>
      <c r="D1367" s="2">
        <v>0.7702</v>
      </c>
      <c r="E1367" s="3">
        <v>183945</v>
      </c>
      <c r="F1367" s="2">
        <v>141669.70329999999</v>
      </c>
      <c r="G1367" t="s">
        <v>2720</v>
      </c>
      <c r="H1367" t="s">
        <v>3</v>
      </c>
      <c r="I1367">
        <f>HLOOKUP(G1367,zip_tiers!$A$1:$EON$2,2,FALSE)</f>
        <v>108975.66666666667</v>
      </c>
      <c r="J1367" t="str">
        <f t="shared" si="21"/>
        <v>High</v>
      </c>
      <c r="K1367">
        <f>dataset[[#This Row],[soda_sales]]/dataset[[#This Row],[soda_units_sold]]</f>
        <v>0.77017425480442525</v>
      </c>
      <c r="L1367" s="29">
        <f>dataset[[#This Row],[implied_soda_ppu]]-dataset[[#This Row],[soda_ppu]]</f>
        <v>-2.5745195574744528E-5</v>
      </c>
      <c r="M1367">
        <f>dataset[[#This Row],[soda_sales]]/dataset[[#This Row],[total_sales]]</f>
        <v>3.9477477100903303E-2</v>
      </c>
      <c r="N1367">
        <f>LN(dataset[[#This Row],[soda_units_sold]])</f>
        <v>12.122392078864236</v>
      </c>
      <c r="O1367">
        <f>LN(dataset[[#This Row],[soda_sales]])</f>
        <v>11.86125359406754</v>
      </c>
      <c r="P1367">
        <f>LN(dataset[[#This Row],[soda_ppu]])</f>
        <v>-0.26110505760132852</v>
      </c>
      <c r="Q1367">
        <f>IF(dataset[[#This Row],[state]]="VA",1,0)</f>
        <v>1</v>
      </c>
    </row>
    <row r="1368" spans="1:17" x14ac:dyDescent="0.35">
      <c r="A1368">
        <v>202411</v>
      </c>
      <c r="B1368">
        <v>9</v>
      </c>
      <c r="C1368" s="2">
        <v>4050070.7727999999</v>
      </c>
      <c r="D1368" s="2">
        <v>0.76119999999999999</v>
      </c>
      <c r="E1368" s="3">
        <v>176432</v>
      </c>
      <c r="F1368" s="2">
        <v>134295.44089999999</v>
      </c>
      <c r="G1368" t="s">
        <v>2720</v>
      </c>
      <c r="H1368" t="s">
        <v>3</v>
      </c>
      <c r="I1368">
        <f>HLOOKUP(G1368,zip_tiers!$A$1:$EON$2,2,FALSE)</f>
        <v>108975.66666666667</v>
      </c>
      <c r="J1368" t="str">
        <f t="shared" si="21"/>
        <v>High</v>
      </c>
      <c r="K1368">
        <f>dataset[[#This Row],[soda_sales]]/dataset[[#This Row],[soda_units_sold]]</f>
        <v>0.76117394180194065</v>
      </c>
      <c r="L1368" s="29">
        <f>dataset[[#This Row],[implied_soda_ppu]]-dataset[[#This Row],[soda_ppu]]</f>
        <v>-2.6058198059342175E-5</v>
      </c>
      <c r="M1368">
        <f>dataset[[#This Row],[soda_sales]]/dataset[[#This Row],[total_sales]]</f>
        <v>3.3158788681402568E-2</v>
      </c>
      <c r="N1368">
        <f>LN(dataset[[#This Row],[soda_units_sold]])</f>
        <v>12.08069081199846</v>
      </c>
      <c r="O1368">
        <f>LN(dataset[[#This Row],[soda_sales]])</f>
        <v>11.807797434801827</v>
      </c>
      <c r="P1368">
        <f>LN(dataset[[#This Row],[soda_ppu]])</f>
        <v>-0.27285914356014263</v>
      </c>
      <c r="Q1368">
        <f>IF(dataset[[#This Row],[state]]="VA",1,0)</f>
        <v>1</v>
      </c>
    </row>
    <row r="1369" spans="1:17" x14ac:dyDescent="0.35">
      <c r="A1369">
        <v>202412</v>
      </c>
      <c r="B1369">
        <v>9</v>
      </c>
      <c r="C1369" s="2">
        <v>4294468.4917000001</v>
      </c>
      <c r="D1369" s="2">
        <v>0.77049999999999996</v>
      </c>
      <c r="E1369" s="3">
        <v>169485</v>
      </c>
      <c r="F1369" s="2">
        <v>130586.2003</v>
      </c>
      <c r="G1369" t="s">
        <v>2720</v>
      </c>
      <c r="H1369" t="s">
        <v>3</v>
      </c>
      <c r="I1369">
        <f>HLOOKUP(G1369,zip_tiers!$A$1:$EON$2,2,FALSE)</f>
        <v>108975.66666666667</v>
      </c>
      <c r="J1369" t="str">
        <f t="shared" si="21"/>
        <v>High</v>
      </c>
      <c r="K1369">
        <f>dataset[[#This Row],[soda_sales]]/dataset[[#This Row],[soda_units_sold]]</f>
        <v>0.77048824556745432</v>
      </c>
      <c r="L1369" s="29">
        <f>dataset[[#This Row],[implied_soda_ppu]]-dataset[[#This Row],[soda_ppu]]</f>
        <v>-1.1754432545640903E-5</v>
      </c>
      <c r="M1369">
        <f>dataset[[#This Row],[soda_sales]]/dataset[[#This Row],[total_sales]]</f>
        <v>3.0408000559879855E-2</v>
      </c>
      <c r="N1369">
        <f>LN(dataset[[#This Row],[soda_units_sold]])</f>
        <v>12.040519706311457</v>
      </c>
      <c r="O1369">
        <f>LN(dataset[[#This Row],[soda_sales]])</f>
        <v>11.779788826382537</v>
      </c>
      <c r="P1369">
        <f>LN(dataset[[#This Row],[soda_ppu]])</f>
        <v>-0.26071562422196665</v>
      </c>
      <c r="Q1369">
        <f>IF(dataset[[#This Row],[state]]="VA",1,0)</f>
        <v>1</v>
      </c>
    </row>
    <row r="1370" spans="1:17" x14ac:dyDescent="0.35">
      <c r="A1370">
        <v>202201</v>
      </c>
      <c r="B1370">
        <v>10</v>
      </c>
      <c r="C1370" s="2">
        <v>1898096.7231999999</v>
      </c>
      <c r="D1370" s="2">
        <v>0.72929999999999995</v>
      </c>
      <c r="E1370" s="3">
        <v>132471</v>
      </c>
      <c r="F1370" s="2">
        <v>96616.246199999994</v>
      </c>
      <c r="G1370" t="s">
        <v>2758</v>
      </c>
      <c r="H1370" t="s">
        <v>3</v>
      </c>
      <c r="I1370">
        <f>HLOOKUP(G1370,zip_tiers!$A$1:$EON$2,2,FALSE)</f>
        <v>70133</v>
      </c>
      <c r="J1370" t="str">
        <f t="shared" si="21"/>
        <v>Med</v>
      </c>
      <c r="K1370">
        <f>dataset[[#This Row],[soda_sales]]/dataset[[#This Row],[soda_units_sold]]</f>
        <v>0.7293388454831623</v>
      </c>
      <c r="L1370" s="29">
        <f>dataset[[#This Row],[implied_soda_ppu]]-dataset[[#This Row],[soda_ppu]]</f>
        <v>3.8845483162353034E-5</v>
      </c>
      <c r="M1370">
        <f>dataset[[#This Row],[soda_sales]]/dataset[[#This Row],[total_sales]]</f>
        <v>5.090164532664844E-2</v>
      </c>
      <c r="N1370">
        <f>LN(dataset[[#This Row],[soda_units_sold]])</f>
        <v>11.794119032528807</v>
      </c>
      <c r="O1370">
        <f>LN(dataset[[#This Row],[soda_sales]])</f>
        <v>11.478502186184141</v>
      </c>
      <c r="P1370">
        <f>LN(dataset[[#This Row],[soda_ppu]])</f>
        <v>-0.31567010899194975</v>
      </c>
      <c r="Q1370">
        <f>IF(dataset[[#This Row],[state]]="VA",1,0)</f>
        <v>1</v>
      </c>
    </row>
    <row r="1371" spans="1:17" x14ac:dyDescent="0.35">
      <c r="A1371">
        <v>202202</v>
      </c>
      <c r="B1371">
        <v>10</v>
      </c>
      <c r="C1371" s="2">
        <v>2124992.0811000001</v>
      </c>
      <c r="D1371" s="2">
        <v>0.69630000000000003</v>
      </c>
      <c r="E1371" s="3">
        <v>155614</v>
      </c>
      <c r="F1371" s="2">
        <v>108360.7651</v>
      </c>
      <c r="G1371" t="s">
        <v>2758</v>
      </c>
      <c r="H1371" t="s">
        <v>3</v>
      </c>
      <c r="I1371">
        <f>HLOOKUP(G1371,zip_tiers!$A$1:$EON$2,2,FALSE)</f>
        <v>70133</v>
      </c>
      <c r="J1371" t="str">
        <f t="shared" si="21"/>
        <v>Med</v>
      </c>
      <c r="K1371">
        <f>dataset[[#This Row],[soda_sales]]/dataset[[#This Row],[soda_units_sold]]</f>
        <v>0.69634329237729253</v>
      </c>
      <c r="L1371" s="29">
        <f>dataset[[#This Row],[implied_soda_ppu]]-dataset[[#This Row],[soda_ppu]]</f>
        <v>4.3292377292503126E-5</v>
      </c>
      <c r="M1371">
        <f>dataset[[#This Row],[soda_sales]]/dataset[[#This Row],[total_sales]]</f>
        <v>5.09934912528743E-2</v>
      </c>
      <c r="N1371">
        <f>LN(dataset[[#This Row],[soda_units_sold]])</f>
        <v>11.955133860972044</v>
      </c>
      <c r="O1371">
        <f>LN(dataset[[#This Row],[soda_sales]])</f>
        <v>11.593221356897619</v>
      </c>
      <c r="P1371">
        <f>LN(dataset[[#This Row],[soda_ppu]])</f>
        <v>-0.36197467703363595</v>
      </c>
      <c r="Q1371">
        <f>IF(dataset[[#This Row],[state]]="VA",1,0)</f>
        <v>1</v>
      </c>
    </row>
    <row r="1372" spans="1:17" x14ac:dyDescent="0.35">
      <c r="A1372">
        <v>202203</v>
      </c>
      <c r="B1372">
        <v>10</v>
      </c>
      <c r="C1372" s="2">
        <v>2364557.3777999999</v>
      </c>
      <c r="D1372" s="2">
        <v>0.7389</v>
      </c>
      <c r="E1372" s="3">
        <v>176192</v>
      </c>
      <c r="F1372" s="2">
        <v>130180.53200000001</v>
      </c>
      <c r="G1372" t="s">
        <v>2758</v>
      </c>
      <c r="H1372" t="s">
        <v>3</v>
      </c>
      <c r="I1372">
        <f>HLOOKUP(G1372,zip_tiers!$A$1:$EON$2,2,FALSE)</f>
        <v>70133</v>
      </c>
      <c r="J1372" t="str">
        <f t="shared" si="21"/>
        <v>Med</v>
      </c>
      <c r="K1372">
        <f>dataset[[#This Row],[soda_sales]]/dataset[[#This Row],[soda_units_sold]]</f>
        <v>0.73885608881220488</v>
      </c>
      <c r="L1372" s="29">
        <f>dataset[[#This Row],[implied_soda_ppu]]-dataset[[#This Row],[soda_ppu]]</f>
        <v>-4.3911187795120377E-5</v>
      </c>
      <c r="M1372">
        <f>dataset[[#This Row],[soda_sales]]/dataset[[#This Row],[total_sales]]</f>
        <v>5.5054926229415865E-2</v>
      </c>
      <c r="N1372">
        <f>LN(dataset[[#This Row],[soda_units_sold]])</f>
        <v>12.079329588502279</v>
      </c>
      <c r="O1372">
        <f>LN(dataset[[#This Row],[soda_sales]])</f>
        <v>11.776677473767283</v>
      </c>
      <c r="P1372">
        <f>LN(dataset[[#This Row],[soda_ppu]])</f>
        <v>-0.30259268518753513</v>
      </c>
      <c r="Q1372">
        <f>IF(dataset[[#This Row],[state]]="VA",1,0)</f>
        <v>1</v>
      </c>
    </row>
    <row r="1373" spans="1:17" x14ac:dyDescent="0.35">
      <c r="A1373">
        <v>202204</v>
      </c>
      <c r="B1373">
        <v>10</v>
      </c>
      <c r="C1373" s="2">
        <v>2501616.2218999998</v>
      </c>
      <c r="D1373" s="2">
        <v>0.73540000000000005</v>
      </c>
      <c r="E1373" s="3">
        <v>206802</v>
      </c>
      <c r="F1373" s="2">
        <v>152075.76809999999</v>
      </c>
      <c r="G1373" t="s">
        <v>2758</v>
      </c>
      <c r="H1373" t="s">
        <v>3</v>
      </c>
      <c r="I1373">
        <f>HLOOKUP(G1373,zip_tiers!$A$1:$EON$2,2,FALSE)</f>
        <v>70133</v>
      </c>
      <c r="J1373" t="str">
        <f t="shared" si="21"/>
        <v>Med</v>
      </c>
      <c r="K1373">
        <f>dataset[[#This Row],[soda_sales]]/dataset[[#This Row],[soda_units_sold]]</f>
        <v>0.73536894275683984</v>
      </c>
      <c r="L1373" s="29">
        <f>dataset[[#This Row],[implied_soda_ppu]]-dataset[[#This Row],[soda_ppu]]</f>
        <v>-3.1057243160215187E-5</v>
      </c>
      <c r="M1373">
        <f>dataset[[#This Row],[soda_sales]]/dataset[[#This Row],[total_sales]]</f>
        <v>6.0791006537564377E-2</v>
      </c>
      <c r="N1373">
        <f>LN(dataset[[#This Row],[soda_units_sold]])</f>
        <v>12.23951709274953</v>
      </c>
      <c r="O1373">
        <f>LN(dataset[[#This Row],[soda_sales]])</f>
        <v>11.932134149973455</v>
      </c>
      <c r="P1373">
        <f>LN(dataset[[#This Row],[soda_ppu]])</f>
        <v>-0.30734071011496533</v>
      </c>
      <c r="Q1373">
        <f>IF(dataset[[#This Row],[state]]="VA",1,0)</f>
        <v>1</v>
      </c>
    </row>
    <row r="1374" spans="1:17" x14ac:dyDescent="0.35">
      <c r="A1374">
        <v>202205</v>
      </c>
      <c r="B1374">
        <v>10</v>
      </c>
      <c r="C1374" s="2">
        <v>2590016.5945000001</v>
      </c>
      <c r="D1374" s="2">
        <v>0.73970000000000002</v>
      </c>
      <c r="E1374" s="3">
        <v>219453</v>
      </c>
      <c r="F1374" s="2">
        <v>162330.4461</v>
      </c>
      <c r="G1374" t="s">
        <v>2758</v>
      </c>
      <c r="H1374" t="s">
        <v>3</v>
      </c>
      <c r="I1374">
        <f>HLOOKUP(G1374,zip_tiers!$A$1:$EON$2,2,FALSE)</f>
        <v>70133</v>
      </c>
      <c r="J1374" t="str">
        <f t="shared" si="21"/>
        <v>Med</v>
      </c>
      <c r="K1374">
        <f>dataset[[#This Row],[soda_sales]]/dataset[[#This Row],[soda_units_sold]]</f>
        <v>0.73970483930499931</v>
      </c>
      <c r="L1374" s="29">
        <f>dataset[[#This Row],[implied_soda_ppu]]-dataset[[#This Row],[soda_ppu]]</f>
        <v>4.8393049992823123E-6</v>
      </c>
      <c r="M1374">
        <f>dataset[[#This Row],[soda_sales]]/dataset[[#This Row],[total_sales]]</f>
        <v>6.2675446344519548E-2</v>
      </c>
      <c r="N1374">
        <f>LN(dataset[[#This Row],[soda_units_sold]])</f>
        <v>12.298893365562925</v>
      </c>
      <c r="O1374">
        <f>LN(dataset[[#This Row],[soda_sales]])</f>
        <v>11.997389327406825</v>
      </c>
      <c r="P1374">
        <f>LN(dataset[[#This Row],[soda_ppu]])</f>
        <v>-0.30151058038831502</v>
      </c>
      <c r="Q1374">
        <f>IF(dataset[[#This Row],[state]]="VA",1,0)</f>
        <v>1</v>
      </c>
    </row>
    <row r="1375" spans="1:17" x14ac:dyDescent="0.35">
      <c r="A1375">
        <v>202206</v>
      </c>
      <c r="B1375">
        <v>10</v>
      </c>
      <c r="C1375" s="2">
        <v>2502722.1165</v>
      </c>
      <c r="D1375" s="2">
        <v>0.73099999999999998</v>
      </c>
      <c r="E1375" s="3">
        <v>233961</v>
      </c>
      <c r="F1375" s="2">
        <v>171030.5705</v>
      </c>
      <c r="G1375" t="s">
        <v>2758</v>
      </c>
      <c r="H1375" t="s">
        <v>3</v>
      </c>
      <c r="I1375">
        <f>HLOOKUP(G1375,zip_tiers!$A$1:$EON$2,2,FALSE)</f>
        <v>70133</v>
      </c>
      <c r="J1375" t="str">
        <f t="shared" si="21"/>
        <v>Med</v>
      </c>
      <c r="K1375">
        <f>dataset[[#This Row],[soda_sales]]/dataset[[#This Row],[soda_units_sold]]</f>
        <v>0.73102171088343781</v>
      </c>
      <c r="L1375" s="29">
        <f>dataset[[#This Row],[implied_soda_ppu]]-dataset[[#This Row],[soda_ppu]]</f>
        <v>2.1710883437831008E-5</v>
      </c>
      <c r="M1375">
        <f>dataset[[#This Row],[soda_sales]]/dataset[[#This Row],[total_sales]]</f>
        <v>6.8337818798350006E-2</v>
      </c>
      <c r="N1375">
        <f>LN(dataset[[#This Row],[soda_units_sold]])</f>
        <v>12.36290971378274</v>
      </c>
      <c r="O1375">
        <f>LN(dataset[[#This Row],[soda_sales]])</f>
        <v>12.049597594360279</v>
      </c>
      <c r="P1375">
        <f>LN(dataset[[#This Row],[soda_ppu]])</f>
        <v>-0.3133418192323586</v>
      </c>
      <c r="Q1375">
        <f>IF(dataset[[#This Row],[state]]="VA",1,0)</f>
        <v>1</v>
      </c>
    </row>
    <row r="1376" spans="1:17" x14ac:dyDescent="0.35">
      <c r="A1376">
        <v>202207</v>
      </c>
      <c r="B1376">
        <v>10</v>
      </c>
      <c r="C1376" s="2">
        <v>2378917.6442</v>
      </c>
      <c r="D1376" s="2">
        <v>0.71960000000000002</v>
      </c>
      <c r="E1376" s="3">
        <v>250017</v>
      </c>
      <c r="F1376" s="2">
        <v>179900.27359999999</v>
      </c>
      <c r="G1376" t="s">
        <v>2758</v>
      </c>
      <c r="H1376" t="s">
        <v>3</v>
      </c>
      <c r="I1376">
        <f>HLOOKUP(G1376,zip_tiers!$A$1:$EON$2,2,FALSE)</f>
        <v>70133</v>
      </c>
      <c r="J1376" t="str">
        <f t="shared" si="21"/>
        <v>Med</v>
      </c>
      <c r="K1376">
        <f>dataset[[#This Row],[soda_sales]]/dataset[[#This Row],[soda_units_sold]]</f>
        <v>0.71955216485278994</v>
      </c>
      <c r="L1376" s="29">
        <f>dataset[[#This Row],[implied_soda_ppu]]-dataset[[#This Row],[soda_ppu]]</f>
        <v>-4.7835147210073536E-5</v>
      </c>
      <c r="M1376">
        <f>dataset[[#This Row],[soda_sales]]/dataset[[#This Row],[total_sales]]</f>
        <v>7.5622741307843036E-2</v>
      </c>
      <c r="N1376">
        <f>LN(dataset[[#This Row],[soda_units_sold]])</f>
        <v>12.429284194532489</v>
      </c>
      <c r="O1376">
        <f>LN(dataset[[#This Row],[soda_sales]])</f>
        <v>12.100157940782381</v>
      </c>
      <c r="P1376">
        <f>LN(dataset[[#This Row],[soda_ppu]])</f>
        <v>-0.32905977690575899</v>
      </c>
      <c r="Q1376">
        <f>IF(dataset[[#This Row],[state]]="VA",1,0)</f>
        <v>1</v>
      </c>
    </row>
    <row r="1377" spans="1:17" x14ac:dyDescent="0.35">
      <c r="A1377">
        <v>202208</v>
      </c>
      <c r="B1377">
        <v>10</v>
      </c>
      <c r="C1377" s="2">
        <v>2228302.1593999998</v>
      </c>
      <c r="D1377" s="2">
        <v>0.74809999999999999</v>
      </c>
      <c r="E1377" s="3">
        <v>204873</v>
      </c>
      <c r="F1377" s="2">
        <v>153271.13190000001</v>
      </c>
      <c r="G1377" t="s">
        <v>2758</v>
      </c>
      <c r="H1377" t="s">
        <v>3</v>
      </c>
      <c r="I1377">
        <f>HLOOKUP(G1377,zip_tiers!$A$1:$EON$2,2,FALSE)</f>
        <v>70133</v>
      </c>
      <c r="J1377" t="str">
        <f t="shared" si="21"/>
        <v>Med</v>
      </c>
      <c r="K1377">
        <f>dataset[[#This Row],[soda_sales]]/dataset[[#This Row],[soda_units_sold]]</f>
        <v>0.74812753217847161</v>
      </c>
      <c r="L1377" s="29">
        <f>dataset[[#This Row],[implied_soda_ppu]]-dataset[[#This Row],[soda_ppu]]</f>
        <v>2.7532178471623148E-5</v>
      </c>
      <c r="M1377">
        <f>dataset[[#This Row],[soda_sales]]/dataset[[#This Row],[total_sales]]</f>
        <v>6.8783818771360125E-2</v>
      </c>
      <c r="N1377">
        <f>LN(dataset[[#This Row],[soda_units_sold]])</f>
        <v>12.230145553948452</v>
      </c>
      <c r="O1377">
        <f>LN(dataset[[#This Row],[soda_sales]])</f>
        <v>11.939963735972535</v>
      </c>
      <c r="P1377">
        <f>LN(dataset[[#This Row],[soda_ppu]])</f>
        <v>-0.29021862010377786</v>
      </c>
      <c r="Q1377">
        <f>IF(dataset[[#This Row],[state]]="VA",1,0)</f>
        <v>1</v>
      </c>
    </row>
    <row r="1378" spans="1:17" x14ac:dyDescent="0.35">
      <c r="A1378">
        <v>202209</v>
      </c>
      <c r="B1378">
        <v>10</v>
      </c>
      <c r="C1378" s="2">
        <v>2223770.0836</v>
      </c>
      <c r="D1378" s="2">
        <v>0.72609999999999997</v>
      </c>
      <c r="E1378" s="3">
        <v>201743</v>
      </c>
      <c r="F1378" s="2">
        <v>146477.6666</v>
      </c>
      <c r="G1378" t="s">
        <v>2758</v>
      </c>
      <c r="H1378" t="s">
        <v>3</v>
      </c>
      <c r="I1378">
        <f>HLOOKUP(G1378,zip_tiers!$A$1:$EON$2,2,FALSE)</f>
        <v>70133</v>
      </c>
      <c r="J1378" t="str">
        <f t="shared" si="21"/>
        <v>Med</v>
      </c>
      <c r="K1378">
        <f>dataset[[#This Row],[soda_sales]]/dataset[[#This Row],[soda_units_sold]]</f>
        <v>0.72606071387854842</v>
      </c>
      <c r="L1378" s="29">
        <f>dataset[[#This Row],[implied_soda_ppu]]-dataset[[#This Row],[soda_ppu]]</f>
        <v>-3.9286121451542755E-5</v>
      </c>
      <c r="M1378">
        <f>dataset[[#This Row],[soda_sales]]/dataset[[#This Row],[total_sales]]</f>
        <v>6.5869069684970014E-2</v>
      </c>
      <c r="N1378">
        <f>LN(dataset[[#This Row],[soda_units_sold]])</f>
        <v>12.214749889123818</v>
      </c>
      <c r="O1378">
        <f>LN(dataset[[#This Row],[soda_sales]])</f>
        <v>11.894628249401741</v>
      </c>
      <c r="P1378">
        <f>LN(dataset[[#This Row],[soda_ppu]])</f>
        <v>-0.32006753259593601</v>
      </c>
      <c r="Q1378">
        <f>IF(dataset[[#This Row],[state]]="VA",1,0)</f>
        <v>1</v>
      </c>
    </row>
    <row r="1379" spans="1:17" x14ac:dyDescent="0.35">
      <c r="A1379">
        <v>202210</v>
      </c>
      <c r="B1379">
        <v>10</v>
      </c>
      <c r="C1379" s="2">
        <v>2770171.7387000001</v>
      </c>
      <c r="D1379" s="2">
        <v>0.73919999999999997</v>
      </c>
      <c r="E1379" s="3">
        <v>190810</v>
      </c>
      <c r="F1379" s="2">
        <v>141039.5387</v>
      </c>
      <c r="G1379" t="s">
        <v>2758</v>
      </c>
      <c r="H1379" t="s">
        <v>3</v>
      </c>
      <c r="I1379">
        <f>HLOOKUP(G1379,zip_tiers!$A$1:$EON$2,2,FALSE)</f>
        <v>70133</v>
      </c>
      <c r="J1379" t="str">
        <f t="shared" si="21"/>
        <v>Med</v>
      </c>
      <c r="K1379">
        <f>dataset[[#This Row],[soda_sales]]/dataset[[#This Row],[soda_units_sold]]</f>
        <v>0.73916219642576386</v>
      </c>
      <c r="L1379" s="29">
        <f>dataset[[#This Row],[implied_soda_ppu]]-dataset[[#This Row],[soda_ppu]]</f>
        <v>-3.780357423610603E-5</v>
      </c>
      <c r="M1379">
        <f>dataset[[#This Row],[soda_sales]]/dataset[[#This Row],[total_sales]]</f>
        <v>5.0913644352673863E-2</v>
      </c>
      <c r="N1379">
        <f>LN(dataset[[#This Row],[soda_units_sold]])</f>
        <v>12.159033447524388</v>
      </c>
      <c r="O1379">
        <f>LN(dataset[[#This Row],[soda_sales]])</f>
        <v>11.856795546363056</v>
      </c>
      <c r="P1379">
        <f>LN(dataset[[#This Row],[soda_ppu]])</f>
        <v>-0.30218675865466271</v>
      </c>
      <c r="Q1379">
        <f>IF(dataset[[#This Row],[state]]="VA",1,0)</f>
        <v>1</v>
      </c>
    </row>
    <row r="1380" spans="1:17" x14ac:dyDescent="0.35">
      <c r="A1380">
        <v>202211</v>
      </c>
      <c r="B1380">
        <v>10</v>
      </c>
      <c r="C1380" s="2">
        <v>3127944.0011999998</v>
      </c>
      <c r="D1380" s="2">
        <v>0.73599999999999999</v>
      </c>
      <c r="E1380" s="3">
        <v>182927</v>
      </c>
      <c r="F1380" s="2">
        <v>134636.75450000001</v>
      </c>
      <c r="G1380" t="s">
        <v>2758</v>
      </c>
      <c r="H1380" t="s">
        <v>3</v>
      </c>
      <c r="I1380">
        <f>HLOOKUP(G1380,zip_tiers!$A$1:$EON$2,2,FALSE)</f>
        <v>70133</v>
      </c>
      <c r="J1380" t="str">
        <f t="shared" si="21"/>
        <v>Med</v>
      </c>
      <c r="K1380">
        <f>dataset[[#This Row],[soda_sales]]/dataset[[#This Row],[soda_units_sold]]</f>
        <v>0.73601357098733378</v>
      </c>
      <c r="L1380" s="29">
        <f>dataset[[#This Row],[implied_soda_ppu]]-dataset[[#This Row],[soda_ppu]]</f>
        <v>1.3570987333788587E-5</v>
      </c>
      <c r="M1380">
        <f>dataset[[#This Row],[soda_sales]]/dataset[[#This Row],[total_sales]]</f>
        <v>4.3043211274993463E-2</v>
      </c>
      <c r="N1380">
        <f>LN(dataset[[#This Row],[soda_units_sold]])</f>
        <v>12.116842445135129</v>
      </c>
      <c r="O1380">
        <f>LN(dataset[[#This Row],[soda_sales]])</f>
        <v>11.810335723553361</v>
      </c>
      <c r="P1380">
        <f>LN(dataset[[#This Row],[soda_ppu]])</f>
        <v>-0.30652516025326082</v>
      </c>
      <c r="Q1380">
        <f>IF(dataset[[#This Row],[state]]="VA",1,0)</f>
        <v>1</v>
      </c>
    </row>
    <row r="1381" spans="1:17" x14ac:dyDescent="0.35">
      <c r="A1381">
        <v>202212</v>
      </c>
      <c r="B1381">
        <v>10</v>
      </c>
      <c r="C1381" s="2">
        <v>3253358.3733000001</v>
      </c>
      <c r="D1381" s="2">
        <v>0.73209999999999997</v>
      </c>
      <c r="E1381" s="3">
        <v>179254</v>
      </c>
      <c r="F1381" s="2">
        <v>131231.08110000001</v>
      </c>
      <c r="G1381" t="s">
        <v>2758</v>
      </c>
      <c r="H1381" t="s">
        <v>3</v>
      </c>
      <c r="I1381">
        <f>HLOOKUP(G1381,zip_tiers!$A$1:$EON$2,2,FALSE)</f>
        <v>70133</v>
      </c>
      <c r="J1381" t="str">
        <f t="shared" si="21"/>
        <v>Med</v>
      </c>
      <c r="K1381">
        <f>dataset[[#This Row],[soda_sales]]/dataset[[#This Row],[soda_units_sold]]</f>
        <v>0.73209569158847232</v>
      </c>
      <c r="L1381" s="29">
        <f>dataset[[#This Row],[implied_soda_ppu]]-dataset[[#This Row],[soda_ppu]]</f>
        <v>-4.3084115276537105E-6</v>
      </c>
      <c r="M1381">
        <f>dataset[[#This Row],[soda_sales]]/dataset[[#This Row],[total_sales]]</f>
        <v>4.0337112006165965E-2</v>
      </c>
      <c r="N1381">
        <f>LN(dataset[[#This Row],[soda_units_sold]])</f>
        <v>12.096559073415118</v>
      </c>
      <c r="O1381">
        <f>LN(dataset[[#This Row],[soda_sales]])</f>
        <v>11.784715026064125</v>
      </c>
      <c r="P1381">
        <f>LN(dataset[[#This Row],[soda_ppu]])</f>
        <v>-0.31183816232954009</v>
      </c>
      <c r="Q1381">
        <f>IF(dataset[[#This Row],[state]]="VA",1,0)</f>
        <v>1</v>
      </c>
    </row>
    <row r="1382" spans="1:17" x14ac:dyDescent="0.35">
      <c r="A1382">
        <v>202301</v>
      </c>
      <c r="B1382">
        <v>10</v>
      </c>
      <c r="C1382" s="2">
        <v>1868456.5796000001</v>
      </c>
      <c r="D1382" s="2">
        <v>0.75760000000000005</v>
      </c>
      <c r="E1382" s="3">
        <v>127246</v>
      </c>
      <c r="F1382" s="2">
        <v>96400.076499999996</v>
      </c>
      <c r="G1382" t="s">
        <v>2758</v>
      </c>
      <c r="H1382" t="s">
        <v>3</v>
      </c>
      <c r="I1382">
        <f>HLOOKUP(G1382,zip_tiers!$A$1:$EON$2,2,FALSE)</f>
        <v>70133</v>
      </c>
      <c r="J1382" t="str">
        <f t="shared" si="21"/>
        <v>Med</v>
      </c>
      <c r="K1382">
        <f>dataset[[#This Row],[soda_sales]]/dataset[[#This Row],[soda_units_sold]]</f>
        <v>0.75758826603586749</v>
      </c>
      <c r="L1382" s="29">
        <f>dataset[[#This Row],[implied_soda_ppu]]-dataset[[#This Row],[soda_ppu]]</f>
        <v>-1.1733964132565333E-5</v>
      </c>
      <c r="M1382">
        <f>dataset[[#This Row],[soda_sales]]/dataset[[#This Row],[total_sales]]</f>
        <v>5.1593426121059424E-2</v>
      </c>
      <c r="N1382">
        <f>LN(dataset[[#This Row],[soda_units_sold]])</f>
        <v>11.753877499734029</v>
      </c>
      <c r="O1382">
        <f>LN(dataset[[#This Row],[soda_sales]])</f>
        <v>11.476262274166787</v>
      </c>
      <c r="P1382">
        <f>LN(dataset[[#This Row],[soda_ppu]])</f>
        <v>-0.27759973711026847</v>
      </c>
      <c r="Q1382">
        <f>IF(dataset[[#This Row],[state]]="VA",1,0)</f>
        <v>1</v>
      </c>
    </row>
    <row r="1383" spans="1:17" x14ac:dyDescent="0.35">
      <c r="A1383">
        <v>202302</v>
      </c>
      <c r="B1383">
        <v>10</v>
      </c>
      <c r="C1383" s="2">
        <v>2137368.2069999999</v>
      </c>
      <c r="D1383" s="2">
        <v>0.7611</v>
      </c>
      <c r="E1383" s="3">
        <v>147154</v>
      </c>
      <c r="F1383" s="2">
        <v>112000.0134</v>
      </c>
      <c r="G1383" t="s">
        <v>2758</v>
      </c>
      <c r="H1383" t="s">
        <v>3</v>
      </c>
      <c r="I1383">
        <f>HLOOKUP(G1383,zip_tiers!$A$1:$EON$2,2,FALSE)</f>
        <v>70133</v>
      </c>
      <c r="J1383" t="str">
        <f t="shared" si="21"/>
        <v>Med</v>
      </c>
      <c r="K1383">
        <f>dataset[[#This Row],[soda_sales]]/dataset[[#This Row],[soda_units_sold]]</f>
        <v>0.76110750234448266</v>
      </c>
      <c r="L1383" s="29">
        <f>dataset[[#This Row],[implied_soda_ppu]]-dataset[[#This Row],[soda_ppu]]</f>
        <v>7.5023444826571861E-6</v>
      </c>
      <c r="M1383">
        <f>dataset[[#This Row],[soda_sales]]/dataset[[#This Row],[total_sales]]</f>
        <v>5.2400897998385917E-2</v>
      </c>
      <c r="N1383">
        <f>LN(dataset[[#This Row],[soda_units_sold]])</f>
        <v>11.899234936438614</v>
      </c>
      <c r="O1383">
        <f>LN(dataset[[#This Row],[soda_sales]])</f>
        <v>11.626254269920082</v>
      </c>
      <c r="P1383">
        <f>LN(dataset[[#This Row],[soda_ppu]])</f>
        <v>-0.27299052370879118</v>
      </c>
      <c r="Q1383">
        <f>IF(dataset[[#This Row],[state]]="VA",1,0)</f>
        <v>1</v>
      </c>
    </row>
    <row r="1384" spans="1:17" x14ac:dyDescent="0.35">
      <c r="A1384">
        <v>202303</v>
      </c>
      <c r="B1384">
        <v>10</v>
      </c>
      <c r="C1384" s="2">
        <v>2391044.2270999998</v>
      </c>
      <c r="D1384" s="2">
        <v>0.72450000000000003</v>
      </c>
      <c r="E1384" s="3">
        <v>182905</v>
      </c>
      <c r="F1384" s="2">
        <v>132508.37460000001</v>
      </c>
      <c r="G1384" t="s">
        <v>2758</v>
      </c>
      <c r="H1384" t="s">
        <v>3</v>
      </c>
      <c r="I1384">
        <f>HLOOKUP(G1384,zip_tiers!$A$1:$EON$2,2,FALSE)</f>
        <v>70133</v>
      </c>
      <c r="J1384" t="str">
        <f t="shared" si="21"/>
        <v>Med</v>
      </c>
      <c r="K1384">
        <f>dataset[[#This Row],[soda_sales]]/dataset[[#This Row],[soda_units_sold]]</f>
        <v>0.72446556737103962</v>
      </c>
      <c r="L1384" s="29">
        <f>dataset[[#This Row],[implied_soda_ppu]]-dataset[[#This Row],[soda_ppu]]</f>
        <v>-3.4432628960412437E-5</v>
      </c>
      <c r="M1384">
        <f>dataset[[#This Row],[soda_sales]]/dataset[[#This Row],[total_sales]]</f>
        <v>5.5418621327935041E-2</v>
      </c>
      <c r="N1384">
        <f>LN(dataset[[#This Row],[soda_units_sold]])</f>
        <v>12.116722171348108</v>
      </c>
      <c r="O1384">
        <f>LN(dataset[[#This Row],[soda_sales]])</f>
        <v>11.794401126939395</v>
      </c>
      <c r="P1384">
        <f>LN(dataset[[#This Row],[soda_ppu]])</f>
        <v>-0.32227351722139996</v>
      </c>
      <c r="Q1384">
        <f>IF(dataset[[#This Row],[state]]="VA",1,0)</f>
        <v>1</v>
      </c>
    </row>
    <row r="1385" spans="1:17" x14ac:dyDescent="0.35">
      <c r="A1385">
        <v>202304</v>
      </c>
      <c r="B1385">
        <v>10</v>
      </c>
      <c r="C1385" s="2">
        <v>2540140.0732999998</v>
      </c>
      <c r="D1385" s="2">
        <v>0.74180000000000001</v>
      </c>
      <c r="E1385" s="3">
        <v>209710</v>
      </c>
      <c r="F1385" s="2">
        <v>155559.66740000001</v>
      </c>
      <c r="G1385" t="s">
        <v>2758</v>
      </c>
      <c r="H1385" t="s">
        <v>3</v>
      </c>
      <c r="I1385">
        <f>HLOOKUP(G1385,zip_tiers!$A$1:$EON$2,2,FALSE)</f>
        <v>70133</v>
      </c>
      <c r="J1385" t="str">
        <f t="shared" si="21"/>
        <v>Med</v>
      </c>
      <c r="K1385">
        <f>dataset[[#This Row],[soda_sales]]/dataset[[#This Row],[soda_units_sold]]</f>
        <v>0.74178469028658622</v>
      </c>
      <c r="L1385" s="29">
        <f>dataset[[#This Row],[implied_soda_ppu]]-dataset[[#This Row],[soda_ppu]]</f>
        <v>-1.5309713413791393E-5</v>
      </c>
      <c r="M1385">
        <f>dataset[[#This Row],[soda_sales]]/dataset[[#This Row],[total_sales]]</f>
        <v>6.1240586310622659E-2</v>
      </c>
      <c r="N1385">
        <f>LN(dataset[[#This Row],[soda_units_sold]])</f>
        <v>12.253480902925165</v>
      </c>
      <c r="O1385">
        <f>LN(dataset[[#This Row],[soda_sales]])</f>
        <v>11.954784650185628</v>
      </c>
      <c r="P1385">
        <f>LN(dataset[[#This Row],[soda_ppu]])</f>
        <v>-0.2986756139266466</v>
      </c>
      <c r="Q1385">
        <f>IF(dataset[[#This Row],[state]]="VA",1,0)</f>
        <v>1</v>
      </c>
    </row>
    <row r="1386" spans="1:17" x14ac:dyDescent="0.35">
      <c r="A1386">
        <v>202305</v>
      </c>
      <c r="B1386">
        <v>10</v>
      </c>
      <c r="C1386" s="2">
        <v>2666490.4863999998</v>
      </c>
      <c r="D1386" s="2">
        <v>0.74760000000000004</v>
      </c>
      <c r="E1386" s="3">
        <v>229913</v>
      </c>
      <c r="F1386" s="2">
        <v>171876.73019999999</v>
      </c>
      <c r="G1386" t="s">
        <v>2758</v>
      </c>
      <c r="H1386" t="s">
        <v>3</v>
      </c>
      <c r="I1386">
        <f>HLOOKUP(G1386,zip_tiers!$A$1:$EON$2,2,FALSE)</f>
        <v>70133</v>
      </c>
      <c r="J1386" t="str">
        <f t="shared" si="21"/>
        <v>Med</v>
      </c>
      <c r="K1386">
        <f>dataset[[#This Row],[soda_sales]]/dataset[[#This Row],[soda_units_sold]]</f>
        <v>0.74757290888292527</v>
      </c>
      <c r="L1386" s="29">
        <f>dataset[[#This Row],[implied_soda_ppu]]-dataset[[#This Row],[soda_ppu]]</f>
        <v>-2.7091117074773408E-5</v>
      </c>
      <c r="M1386">
        <f>dataset[[#This Row],[soda_sales]]/dataset[[#This Row],[total_sales]]</f>
        <v>6.4458032412502211E-2</v>
      </c>
      <c r="N1386">
        <f>LN(dataset[[#This Row],[soda_units_sold]])</f>
        <v>12.345456255477078</v>
      </c>
      <c r="O1386">
        <f>LN(dataset[[#This Row],[soda_sales]])</f>
        <v>12.054532813970486</v>
      </c>
      <c r="P1386">
        <f>LN(dataset[[#This Row],[soda_ppu]])</f>
        <v>-0.29088720340072921</v>
      </c>
      <c r="Q1386">
        <f>IF(dataset[[#This Row],[state]]="VA",1,0)</f>
        <v>1</v>
      </c>
    </row>
    <row r="1387" spans="1:17" x14ac:dyDescent="0.35">
      <c r="A1387">
        <v>202306</v>
      </c>
      <c r="B1387">
        <v>10</v>
      </c>
      <c r="C1387" s="2">
        <v>2497680.3467999999</v>
      </c>
      <c r="D1387" s="2">
        <v>0.73280000000000001</v>
      </c>
      <c r="E1387" s="3">
        <v>235031</v>
      </c>
      <c r="F1387" s="2">
        <v>172240.28020000001</v>
      </c>
      <c r="G1387" t="s">
        <v>2758</v>
      </c>
      <c r="H1387" t="s">
        <v>3</v>
      </c>
      <c r="I1387">
        <f>HLOOKUP(G1387,zip_tiers!$A$1:$EON$2,2,FALSE)</f>
        <v>70133</v>
      </c>
      <c r="J1387" t="str">
        <f t="shared" si="21"/>
        <v>Med</v>
      </c>
      <c r="K1387">
        <f>dataset[[#This Row],[soda_sales]]/dataset[[#This Row],[soda_units_sold]]</f>
        <v>0.73284068995153839</v>
      </c>
      <c r="L1387" s="29">
        <f>dataset[[#This Row],[implied_soda_ppu]]-dataset[[#This Row],[soda_ppu]]</f>
        <v>4.0689951538386282E-5</v>
      </c>
      <c r="M1387">
        <f>dataset[[#This Row],[soda_sales]]/dataset[[#This Row],[total_sales]]</f>
        <v>6.8960097484320734E-2</v>
      </c>
      <c r="N1387">
        <f>LN(dataset[[#This Row],[soda_units_sold]])</f>
        <v>12.367472699319908</v>
      </c>
      <c r="O1387">
        <f>LN(dataset[[#This Row],[soda_sales]])</f>
        <v>12.056645758836735</v>
      </c>
      <c r="P1387">
        <f>LN(dataset[[#This Row],[soda_ppu]])</f>
        <v>-0.31088246562221655</v>
      </c>
      <c r="Q1387">
        <f>IF(dataset[[#This Row],[state]]="VA",1,0)</f>
        <v>1</v>
      </c>
    </row>
    <row r="1388" spans="1:17" x14ac:dyDescent="0.35">
      <c r="A1388">
        <v>202307</v>
      </c>
      <c r="B1388">
        <v>10</v>
      </c>
      <c r="C1388" s="2">
        <v>2418123.3314999999</v>
      </c>
      <c r="D1388" s="2">
        <v>0.77480000000000004</v>
      </c>
      <c r="E1388" s="3">
        <v>227868</v>
      </c>
      <c r="F1388" s="2">
        <v>176543.49129999999</v>
      </c>
      <c r="G1388" t="s">
        <v>2758</v>
      </c>
      <c r="H1388" t="s">
        <v>3</v>
      </c>
      <c r="I1388">
        <f>HLOOKUP(G1388,zip_tiers!$A$1:$EON$2,2,FALSE)</f>
        <v>70133</v>
      </c>
      <c r="J1388" t="str">
        <f t="shared" si="21"/>
        <v>Med</v>
      </c>
      <c r="K1388">
        <f>dataset[[#This Row],[soda_sales]]/dataset[[#This Row],[soda_units_sold]]</f>
        <v>0.77476210481506835</v>
      </c>
      <c r="L1388" s="29">
        <f>dataset[[#This Row],[implied_soda_ppu]]-dataset[[#This Row],[soda_ppu]]</f>
        <v>-3.7895184931691084E-5</v>
      </c>
      <c r="M1388">
        <f>dataset[[#This Row],[soda_sales]]/dataset[[#This Row],[total_sales]]</f>
        <v>7.300847272768643E-2</v>
      </c>
      <c r="N1388">
        <f>LN(dataset[[#This Row],[soda_units_sold]])</f>
        <v>12.336521792913418</v>
      </c>
      <c r="O1388">
        <f>LN(dataset[[#This Row],[soda_sales]])</f>
        <v>12.081322534633349</v>
      </c>
      <c r="P1388">
        <f>LN(dataset[[#This Row],[soda_ppu]])</f>
        <v>-0.25515034744929616</v>
      </c>
      <c r="Q1388">
        <f>IF(dataset[[#This Row],[state]]="VA",1,0)</f>
        <v>1</v>
      </c>
    </row>
    <row r="1389" spans="1:17" x14ac:dyDescent="0.35">
      <c r="A1389">
        <v>202308</v>
      </c>
      <c r="B1389">
        <v>10</v>
      </c>
      <c r="C1389" s="2">
        <v>2309685.3366999999</v>
      </c>
      <c r="D1389" s="2">
        <v>0.72109999999999996</v>
      </c>
      <c r="E1389" s="3">
        <v>222435</v>
      </c>
      <c r="F1389" s="2">
        <v>160403.4595</v>
      </c>
      <c r="G1389" t="s">
        <v>2758</v>
      </c>
      <c r="H1389" t="s">
        <v>3</v>
      </c>
      <c r="I1389">
        <f>HLOOKUP(G1389,zip_tiers!$A$1:$EON$2,2,FALSE)</f>
        <v>70133</v>
      </c>
      <c r="J1389" t="str">
        <f t="shared" si="21"/>
        <v>Med</v>
      </c>
      <c r="K1389">
        <f>dataset[[#This Row],[soda_sales]]/dataset[[#This Row],[soda_units_sold]]</f>
        <v>0.72112509047586937</v>
      </c>
      <c r="L1389" s="29">
        <f>dataset[[#This Row],[implied_soda_ppu]]-dataset[[#This Row],[soda_ppu]]</f>
        <v>2.5090475869404827E-5</v>
      </c>
      <c r="M1389">
        <f>dataset[[#This Row],[soda_sales]]/dataset[[#This Row],[total_sales]]</f>
        <v>6.9448187141015069E-2</v>
      </c>
      <c r="N1389">
        <f>LN(dataset[[#This Row],[soda_units_sold]])</f>
        <v>12.312390203077278</v>
      </c>
      <c r="O1389">
        <f>LN(dataset[[#This Row],[soda_sales]])</f>
        <v>11.985447542137079</v>
      </c>
      <c r="P1389">
        <f>LN(dataset[[#This Row],[soda_ppu]])</f>
        <v>-0.32697745505942327</v>
      </c>
      <c r="Q1389">
        <f>IF(dataset[[#This Row],[state]]="VA",1,0)</f>
        <v>1</v>
      </c>
    </row>
    <row r="1390" spans="1:17" x14ac:dyDescent="0.35">
      <c r="A1390">
        <v>202309</v>
      </c>
      <c r="B1390">
        <v>10</v>
      </c>
      <c r="C1390" s="2">
        <v>2283042.7033000002</v>
      </c>
      <c r="D1390" s="2">
        <v>0.72440000000000004</v>
      </c>
      <c r="E1390" s="3">
        <v>209235</v>
      </c>
      <c r="F1390" s="2">
        <v>151559.73980000001</v>
      </c>
      <c r="G1390" t="s">
        <v>2758</v>
      </c>
      <c r="H1390" t="s">
        <v>3</v>
      </c>
      <c r="I1390">
        <f>HLOOKUP(G1390,zip_tiers!$A$1:$EON$2,2,FALSE)</f>
        <v>70133</v>
      </c>
      <c r="J1390" t="str">
        <f t="shared" si="21"/>
        <v>Med</v>
      </c>
      <c r="K1390">
        <f>dataset[[#This Row],[soda_sales]]/dataset[[#This Row],[soda_units_sold]]</f>
        <v>0.72435175663727391</v>
      </c>
      <c r="L1390" s="29">
        <f>dataset[[#This Row],[implied_soda_ppu]]-dataset[[#This Row],[soda_ppu]]</f>
        <v>-4.8243362726130279E-5</v>
      </c>
      <c r="M1390">
        <f>dataset[[#This Row],[soda_sales]]/dataset[[#This Row],[total_sales]]</f>
        <v>6.6384978073747616E-2</v>
      </c>
      <c r="N1390">
        <f>LN(dataset[[#This Row],[soda_units_sold]])</f>
        <v>12.251213301194445</v>
      </c>
      <c r="O1390">
        <f>LN(dataset[[#This Row],[soda_sales]])</f>
        <v>11.928735148319239</v>
      </c>
      <c r="P1390">
        <f>LN(dataset[[#This Row],[soda_ppu]])</f>
        <v>-0.32241155297287866</v>
      </c>
      <c r="Q1390">
        <f>IF(dataset[[#This Row],[state]]="VA",1,0)</f>
        <v>1</v>
      </c>
    </row>
    <row r="1391" spans="1:17" x14ac:dyDescent="0.35">
      <c r="A1391">
        <v>202310</v>
      </c>
      <c r="B1391">
        <v>10</v>
      </c>
      <c r="C1391" s="2">
        <v>2808356.5005000001</v>
      </c>
      <c r="D1391" s="2">
        <v>0.69730000000000003</v>
      </c>
      <c r="E1391" s="3">
        <v>206990</v>
      </c>
      <c r="F1391" s="2">
        <v>144330.5172</v>
      </c>
      <c r="G1391" t="s">
        <v>2758</v>
      </c>
      <c r="H1391" t="s">
        <v>3</v>
      </c>
      <c r="I1391">
        <f>HLOOKUP(G1391,zip_tiers!$A$1:$EON$2,2,FALSE)</f>
        <v>70133</v>
      </c>
      <c r="J1391" t="str">
        <f t="shared" si="21"/>
        <v>Med</v>
      </c>
      <c r="K1391">
        <f>dataset[[#This Row],[soda_sales]]/dataset[[#This Row],[soda_units_sold]]</f>
        <v>0.69728256051016957</v>
      </c>
      <c r="L1391" s="29">
        <f>dataset[[#This Row],[implied_soda_ppu]]-dataset[[#This Row],[soda_ppu]]</f>
        <v>-1.7439489830461952E-5</v>
      </c>
      <c r="M1391">
        <f>dataset[[#This Row],[soda_sales]]/dataset[[#This Row],[total_sales]]</f>
        <v>5.1393232011072446E-2</v>
      </c>
      <c r="N1391">
        <f>LN(dataset[[#This Row],[soda_units_sold]])</f>
        <v>12.240425761901836</v>
      </c>
      <c r="O1391">
        <f>LN(dataset[[#This Row],[soda_sales]])</f>
        <v>11.879861206809771</v>
      </c>
      <c r="P1391">
        <f>LN(dataset[[#This Row],[soda_ppu]])</f>
        <v>-0.36053954475517197</v>
      </c>
      <c r="Q1391">
        <f>IF(dataset[[#This Row],[state]]="VA",1,0)</f>
        <v>1</v>
      </c>
    </row>
    <row r="1392" spans="1:17" x14ac:dyDescent="0.35">
      <c r="A1392">
        <v>202311</v>
      </c>
      <c r="B1392">
        <v>10</v>
      </c>
      <c r="C1392" s="2">
        <v>3240303.9298999999</v>
      </c>
      <c r="D1392" s="2">
        <v>0.74460000000000004</v>
      </c>
      <c r="E1392" s="3">
        <v>187136</v>
      </c>
      <c r="F1392" s="2">
        <v>139349.11499999999</v>
      </c>
      <c r="G1392" t="s">
        <v>2758</v>
      </c>
      <c r="H1392" t="s">
        <v>3</v>
      </c>
      <c r="I1392">
        <f>HLOOKUP(G1392,zip_tiers!$A$1:$EON$2,2,FALSE)</f>
        <v>70133</v>
      </c>
      <c r="J1392" t="str">
        <f t="shared" si="21"/>
        <v>Med</v>
      </c>
      <c r="K1392">
        <f>dataset[[#This Row],[soda_sales]]/dataset[[#This Row],[soda_units_sold]]</f>
        <v>0.74464087615424068</v>
      </c>
      <c r="L1392" s="29">
        <f>dataset[[#This Row],[implied_soda_ppu]]-dataset[[#This Row],[soda_ppu]]</f>
        <v>4.0876154240643281E-5</v>
      </c>
      <c r="M1392">
        <f>dataset[[#This Row],[soda_sales]]/dataset[[#This Row],[total_sales]]</f>
        <v>4.300495200902358E-2</v>
      </c>
      <c r="N1392">
        <f>LN(dataset[[#This Row],[soda_units_sold]])</f>
        <v>12.13959090422934</v>
      </c>
      <c r="O1392">
        <f>LN(dataset[[#This Row],[soda_sales]])</f>
        <v>11.844737681974964</v>
      </c>
      <c r="P1392">
        <f>LN(dataset[[#This Row],[soda_ppu]])</f>
        <v>-0.29490811754352048</v>
      </c>
      <c r="Q1392">
        <f>IF(dataset[[#This Row],[state]]="VA",1,0)</f>
        <v>1</v>
      </c>
    </row>
    <row r="1393" spans="1:17" x14ac:dyDescent="0.35">
      <c r="A1393">
        <v>202312</v>
      </c>
      <c r="B1393">
        <v>10</v>
      </c>
      <c r="C1393" s="2">
        <v>3284540.5773999998</v>
      </c>
      <c r="D1393" s="2">
        <v>0.7732</v>
      </c>
      <c r="E1393" s="3">
        <v>171468</v>
      </c>
      <c r="F1393" s="2">
        <v>132581.53779999999</v>
      </c>
      <c r="G1393" t="s">
        <v>2758</v>
      </c>
      <c r="H1393" t="s">
        <v>3</v>
      </c>
      <c r="I1393">
        <f>HLOOKUP(G1393,zip_tiers!$A$1:$EON$2,2,FALSE)</f>
        <v>70133</v>
      </c>
      <c r="J1393" t="str">
        <f t="shared" si="21"/>
        <v>Med</v>
      </c>
      <c r="K1393">
        <f>dataset[[#This Row],[soda_sales]]/dataset[[#This Row],[soda_units_sold]]</f>
        <v>0.77321446450649678</v>
      </c>
      <c r="L1393" s="29">
        <f>dataset[[#This Row],[implied_soda_ppu]]-dataset[[#This Row],[soda_ppu]]</f>
        <v>1.4464506496780771E-5</v>
      </c>
      <c r="M1393">
        <f>dataset[[#This Row],[soda_sales]]/dataset[[#This Row],[total_sales]]</f>
        <v>4.036532193033518E-2</v>
      </c>
      <c r="N1393">
        <f>LN(dataset[[#This Row],[soda_units_sold]])</f>
        <v>12.052151939256971</v>
      </c>
      <c r="O1393">
        <f>LN(dataset[[#This Row],[soda_sales]])</f>
        <v>11.794953114762659</v>
      </c>
      <c r="P1393">
        <f>LN(dataset[[#This Row],[soda_ppu]])</f>
        <v>-0.25721753164796124</v>
      </c>
      <c r="Q1393">
        <f>IF(dataset[[#This Row],[state]]="VA",1,0)</f>
        <v>1</v>
      </c>
    </row>
    <row r="1394" spans="1:17" x14ac:dyDescent="0.35">
      <c r="A1394">
        <v>202401</v>
      </c>
      <c r="B1394">
        <v>10</v>
      </c>
      <c r="C1394" s="2">
        <v>1912630.2191999999</v>
      </c>
      <c r="D1394" s="2">
        <v>0.74760000000000004</v>
      </c>
      <c r="E1394" s="3">
        <v>132105</v>
      </c>
      <c r="F1394" s="2">
        <v>98757.8217</v>
      </c>
      <c r="G1394" t="s">
        <v>2758</v>
      </c>
      <c r="H1394" t="s">
        <v>3</v>
      </c>
      <c r="I1394">
        <f>HLOOKUP(G1394,zip_tiers!$A$1:$EON$2,2,FALSE)</f>
        <v>70133</v>
      </c>
      <c r="J1394" t="str">
        <f t="shared" si="21"/>
        <v>Med</v>
      </c>
      <c r="K1394">
        <f>dataset[[#This Row],[soda_sales]]/dataset[[#This Row],[soda_units_sold]]</f>
        <v>0.74757065743158846</v>
      </c>
      <c r="L1394" s="29">
        <f>dataset[[#This Row],[implied_soda_ppu]]-dataset[[#This Row],[soda_ppu]]</f>
        <v>-2.9342568411583336E-5</v>
      </c>
      <c r="M1394">
        <f>dataset[[#This Row],[soda_sales]]/dataset[[#This Row],[total_sales]]</f>
        <v>5.1634560987595217E-2</v>
      </c>
      <c r="N1394">
        <f>LN(dataset[[#This Row],[soda_units_sold]])</f>
        <v>11.79135233990767</v>
      </c>
      <c r="O1394">
        <f>LN(dataset[[#This Row],[soda_sales]])</f>
        <v>11.500425886715259</v>
      </c>
      <c r="P1394">
        <f>LN(dataset[[#This Row],[soda_ppu]])</f>
        <v>-0.29088720340072921</v>
      </c>
      <c r="Q1394">
        <f>IF(dataset[[#This Row],[state]]="VA",1,0)</f>
        <v>1</v>
      </c>
    </row>
    <row r="1395" spans="1:17" x14ac:dyDescent="0.35">
      <c r="A1395">
        <v>202402</v>
      </c>
      <c r="B1395">
        <v>10</v>
      </c>
      <c r="C1395" s="2">
        <v>2200974.7738999999</v>
      </c>
      <c r="D1395" s="2">
        <v>0.73799999999999999</v>
      </c>
      <c r="E1395" s="3">
        <v>154877</v>
      </c>
      <c r="F1395" s="2">
        <v>114294.0846</v>
      </c>
      <c r="G1395" t="s">
        <v>2758</v>
      </c>
      <c r="H1395" t="s">
        <v>3</v>
      </c>
      <c r="I1395">
        <f>HLOOKUP(G1395,zip_tiers!$A$1:$EON$2,2,FALSE)</f>
        <v>70133</v>
      </c>
      <c r="J1395" t="str">
        <f t="shared" si="21"/>
        <v>Med</v>
      </c>
      <c r="K1395">
        <f>dataset[[#This Row],[soda_sales]]/dataset[[#This Row],[soda_units_sold]]</f>
        <v>0.73796680333425879</v>
      </c>
      <c r="L1395" s="29">
        <f>dataset[[#This Row],[implied_soda_ppu]]-dataset[[#This Row],[soda_ppu]]</f>
        <v>-3.3196665741197506E-5</v>
      </c>
      <c r="M1395">
        <f>dataset[[#This Row],[soda_sales]]/dataset[[#This Row],[total_sales]]</f>
        <v>5.1928848051937232E-2</v>
      </c>
      <c r="N1395">
        <f>LN(dataset[[#This Row],[soda_units_sold]])</f>
        <v>11.950386532488096</v>
      </c>
      <c r="O1395">
        <f>LN(dataset[[#This Row],[soda_sales]])</f>
        <v>11.646530095162815</v>
      </c>
      <c r="P1395">
        <f>LN(dataset[[#This Row],[soda_ppu]])</f>
        <v>-0.30381145438166457</v>
      </c>
      <c r="Q1395">
        <f>IF(dataset[[#This Row],[state]]="VA",1,0)</f>
        <v>1</v>
      </c>
    </row>
    <row r="1396" spans="1:17" x14ac:dyDescent="0.35">
      <c r="A1396">
        <v>202403</v>
      </c>
      <c r="B1396">
        <v>10</v>
      </c>
      <c r="C1396" s="2">
        <v>2451453.0057999999</v>
      </c>
      <c r="D1396" s="2">
        <v>0.77480000000000004</v>
      </c>
      <c r="E1396" s="3">
        <v>174118</v>
      </c>
      <c r="F1396" s="2">
        <v>134914.99419999999</v>
      </c>
      <c r="G1396" t="s">
        <v>2758</v>
      </c>
      <c r="H1396" t="s">
        <v>3</v>
      </c>
      <c r="I1396">
        <f>HLOOKUP(G1396,zip_tiers!$A$1:$EON$2,2,FALSE)</f>
        <v>70133</v>
      </c>
      <c r="J1396" t="str">
        <f t="shared" si="21"/>
        <v>Med</v>
      </c>
      <c r="K1396">
        <f>dataset[[#This Row],[soda_sales]]/dataset[[#This Row],[soda_units_sold]]</f>
        <v>0.77484805821339542</v>
      </c>
      <c r="L1396" s="29">
        <f>dataset[[#This Row],[implied_soda_ppu]]-dataset[[#This Row],[soda_ppu]]</f>
        <v>4.8058213395374416E-5</v>
      </c>
      <c r="M1396">
        <f>dataset[[#This Row],[soda_sales]]/dataset[[#This Row],[total_sales]]</f>
        <v>5.5034705491314215E-2</v>
      </c>
      <c r="N1396">
        <f>LN(dataset[[#This Row],[soda_units_sold]])</f>
        <v>12.067488509268999</v>
      </c>
      <c r="O1396">
        <f>LN(dataset[[#This Row],[soda_sales]])</f>
        <v>11.812400186500929</v>
      </c>
      <c r="P1396">
        <f>LN(dataset[[#This Row],[soda_ppu]])</f>
        <v>-0.25515034744929616</v>
      </c>
      <c r="Q1396">
        <f>IF(dataset[[#This Row],[state]]="VA",1,0)</f>
        <v>1</v>
      </c>
    </row>
    <row r="1397" spans="1:17" x14ac:dyDescent="0.35">
      <c r="A1397">
        <v>202404</v>
      </c>
      <c r="B1397">
        <v>10</v>
      </c>
      <c r="C1397" s="2">
        <v>2586234.6746</v>
      </c>
      <c r="D1397" s="2">
        <v>0.78320000000000001</v>
      </c>
      <c r="E1397" s="3">
        <v>196689</v>
      </c>
      <c r="F1397" s="2">
        <v>154047.61910000001</v>
      </c>
      <c r="G1397" t="s">
        <v>2758</v>
      </c>
      <c r="H1397" t="s">
        <v>3</v>
      </c>
      <c r="I1397">
        <f>HLOOKUP(G1397,zip_tiers!$A$1:$EON$2,2,FALSE)</f>
        <v>70133</v>
      </c>
      <c r="J1397" t="str">
        <f t="shared" si="21"/>
        <v>Med</v>
      </c>
      <c r="K1397">
        <f>dataset[[#This Row],[soda_sales]]/dataset[[#This Row],[soda_units_sold]]</f>
        <v>0.78320403835496655</v>
      </c>
      <c r="L1397" s="29">
        <f>dataset[[#This Row],[implied_soda_ppu]]-dataset[[#This Row],[soda_ppu]]</f>
        <v>4.0383549665401475E-6</v>
      </c>
      <c r="M1397">
        <f>dataset[[#This Row],[soda_sales]]/dataset[[#This Row],[total_sales]]</f>
        <v>5.9564439612900089E-2</v>
      </c>
      <c r="N1397">
        <f>LN(dataset[[#This Row],[soda_units_sold]])</f>
        <v>12.189379080088454</v>
      </c>
      <c r="O1397">
        <f>LN(dataset[[#This Row],[soda_sales]])</f>
        <v>11.945017048533746</v>
      </c>
      <c r="P1397">
        <f>LN(dataset[[#This Row],[soda_ppu]])</f>
        <v>-0.24436718776583641</v>
      </c>
      <c r="Q1397">
        <f>IF(dataset[[#This Row],[state]]="VA",1,0)</f>
        <v>1</v>
      </c>
    </row>
    <row r="1398" spans="1:17" x14ac:dyDescent="0.35">
      <c r="A1398">
        <v>202405</v>
      </c>
      <c r="B1398">
        <v>10</v>
      </c>
      <c r="C1398" s="2">
        <v>2701239.1642999998</v>
      </c>
      <c r="D1398" s="2">
        <v>0.76329999999999998</v>
      </c>
      <c r="E1398" s="3">
        <v>224956</v>
      </c>
      <c r="F1398" s="2">
        <v>171701.6551</v>
      </c>
      <c r="G1398" t="s">
        <v>2758</v>
      </c>
      <c r="H1398" t="s">
        <v>3</v>
      </c>
      <c r="I1398">
        <f>HLOOKUP(G1398,zip_tiers!$A$1:$EON$2,2,FALSE)</f>
        <v>70133</v>
      </c>
      <c r="J1398" t="str">
        <f t="shared" si="21"/>
        <v>Med</v>
      </c>
      <c r="K1398">
        <f>dataset[[#This Row],[soda_sales]]/dataset[[#This Row],[soda_units_sold]]</f>
        <v>0.76326772835576739</v>
      </c>
      <c r="L1398" s="29">
        <f>dataset[[#This Row],[implied_soda_ppu]]-dataset[[#This Row],[soda_ppu]]</f>
        <v>-3.2271644232584329E-5</v>
      </c>
      <c r="M1398">
        <f>dataset[[#This Row],[soda_sales]]/dataset[[#This Row],[total_sales]]</f>
        <v>6.3564032896174461E-2</v>
      </c>
      <c r="N1398">
        <f>LN(dataset[[#This Row],[soda_units_sold]])</f>
        <v>12.323660106507521</v>
      </c>
      <c r="O1398">
        <f>LN(dataset[[#This Row],[soda_sales]])</f>
        <v>12.053513686326585</v>
      </c>
      <c r="P1398">
        <f>LN(dataset[[#This Row],[soda_ppu]])</f>
        <v>-0.27010414017771239</v>
      </c>
      <c r="Q1398">
        <f>IF(dataset[[#This Row],[state]]="VA",1,0)</f>
        <v>1</v>
      </c>
    </row>
    <row r="1399" spans="1:17" x14ac:dyDescent="0.35">
      <c r="A1399">
        <v>202406</v>
      </c>
      <c r="B1399">
        <v>10</v>
      </c>
      <c r="C1399" s="2">
        <v>2619252.5035999999</v>
      </c>
      <c r="D1399" s="2">
        <v>0.75360000000000005</v>
      </c>
      <c r="E1399" s="3">
        <v>237523</v>
      </c>
      <c r="F1399" s="2">
        <v>178997.45740000001</v>
      </c>
      <c r="G1399" t="s">
        <v>2758</v>
      </c>
      <c r="H1399" t="s">
        <v>3</v>
      </c>
      <c r="I1399">
        <f>HLOOKUP(G1399,zip_tiers!$A$1:$EON$2,2,FALSE)</f>
        <v>70133</v>
      </c>
      <c r="J1399" t="str">
        <f t="shared" si="21"/>
        <v>Med</v>
      </c>
      <c r="K1399">
        <f>dataset[[#This Row],[soda_sales]]/dataset[[#This Row],[soda_units_sold]]</f>
        <v>0.75360052458077753</v>
      </c>
      <c r="L1399" s="29">
        <f>dataset[[#This Row],[implied_soda_ppu]]-dataset[[#This Row],[soda_ppu]]</f>
        <v>5.245807774834077E-7</v>
      </c>
      <c r="M1399">
        <f>dataset[[#This Row],[soda_sales]]/dataset[[#This Row],[total_sales]]</f>
        <v>6.8339137656250826E-2</v>
      </c>
      <c r="N1399">
        <f>LN(dataset[[#This Row],[soda_units_sold]])</f>
        <v>12.378019739873203</v>
      </c>
      <c r="O1399">
        <f>LN(dataset[[#This Row],[soda_sales]])</f>
        <v>12.095126880252733</v>
      </c>
      <c r="P1399">
        <f>LN(dataset[[#This Row],[soda_ppu]])</f>
        <v>-0.2828935557199837</v>
      </c>
      <c r="Q1399">
        <f>IF(dataset[[#This Row],[state]]="VA",1,0)</f>
        <v>1</v>
      </c>
    </row>
    <row r="1400" spans="1:17" x14ac:dyDescent="0.35">
      <c r="A1400">
        <v>202407</v>
      </c>
      <c r="B1400">
        <v>10</v>
      </c>
      <c r="C1400" s="2">
        <v>2477691.8149000001</v>
      </c>
      <c r="D1400" s="2">
        <v>0.77700000000000002</v>
      </c>
      <c r="E1400" s="3">
        <v>236780</v>
      </c>
      <c r="F1400" s="2">
        <v>183977.38870000001</v>
      </c>
      <c r="G1400" t="s">
        <v>2758</v>
      </c>
      <c r="H1400" t="s">
        <v>3</v>
      </c>
      <c r="I1400">
        <f>HLOOKUP(G1400,zip_tiers!$A$1:$EON$2,2,FALSE)</f>
        <v>70133</v>
      </c>
      <c r="J1400" t="str">
        <f t="shared" si="21"/>
        <v>Med</v>
      </c>
      <c r="K1400">
        <f>dataset[[#This Row],[soda_sales]]/dataset[[#This Row],[soda_units_sold]]</f>
        <v>0.77699716487879045</v>
      </c>
      <c r="L1400" s="29">
        <f>dataset[[#This Row],[implied_soda_ppu]]-dataset[[#This Row],[soda_ppu]]</f>
        <v>-2.8351212095767409E-6</v>
      </c>
      <c r="M1400">
        <f>dataset[[#This Row],[soda_sales]]/dataset[[#This Row],[total_sales]]</f>
        <v>7.4253540167353443E-2</v>
      </c>
      <c r="N1400">
        <f>LN(dataset[[#This Row],[soda_units_sold]])</f>
        <v>12.374886718965627</v>
      </c>
      <c r="O1400">
        <f>LN(dataset[[#This Row],[soda_sales]])</f>
        <v>12.122568141539835</v>
      </c>
      <c r="P1400">
        <f>LN(dataset[[#This Row],[soda_ppu]])</f>
        <v>-0.25231492861448956</v>
      </c>
      <c r="Q1400">
        <f>IF(dataset[[#This Row],[state]]="VA",1,0)</f>
        <v>1</v>
      </c>
    </row>
    <row r="1401" spans="1:17" x14ac:dyDescent="0.35">
      <c r="A1401">
        <v>202408</v>
      </c>
      <c r="B1401">
        <v>10</v>
      </c>
      <c r="C1401" s="2">
        <v>2329444.3938000002</v>
      </c>
      <c r="D1401" s="2">
        <v>0.78149999999999997</v>
      </c>
      <c r="E1401" s="3">
        <v>207442</v>
      </c>
      <c r="F1401" s="2">
        <v>162110.69349999999</v>
      </c>
      <c r="G1401" t="s">
        <v>2758</v>
      </c>
      <c r="H1401" t="s">
        <v>3</v>
      </c>
      <c r="I1401">
        <f>HLOOKUP(G1401,zip_tiers!$A$1:$EON$2,2,FALSE)</f>
        <v>70133</v>
      </c>
      <c r="J1401" t="str">
        <f t="shared" si="21"/>
        <v>Med</v>
      </c>
      <c r="K1401">
        <f>dataset[[#This Row],[soda_sales]]/dataset[[#This Row],[soda_units_sold]]</f>
        <v>0.78147479054386282</v>
      </c>
      <c r="L1401" s="29">
        <f>dataset[[#This Row],[implied_soda_ppu]]-dataset[[#This Row],[soda_ppu]]</f>
        <v>-2.5209456137154085E-5</v>
      </c>
      <c r="M1401">
        <f>dataset[[#This Row],[soda_sales]]/dataset[[#This Row],[total_sales]]</f>
        <v>6.9591999676605454E-2</v>
      </c>
      <c r="N1401">
        <f>LN(dataset[[#This Row],[soda_units_sold]])</f>
        <v>12.242607061508144</v>
      </c>
      <c r="O1401">
        <f>LN(dataset[[#This Row],[soda_sales]])</f>
        <v>11.996034674085879</v>
      </c>
      <c r="P1401">
        <f>LN(dataset[[#This Row],[soda_ppu]])</f>
        <v>-0.2465401291206058</v>
      </c>
      <c r="Q1401">
        <f>IF(dataset[[#This Row],[state]]="VA",1,0)</f>
        <v>1</v>
      </c>
    </row>
    <row r="1402" spans="1:17" x14ac:dyDescent="0.35">
      <c r="A1402">
        <v>202409</v>
      </c>
      <c r="B1402">
        <v>10</v>
      </c>
      <c r="C1402" s="2">
        <v>2368920.9903000002</v>
      </c>
      <c r="D1402" s="2">
        <v>0.7752</v>
      </c>
      <c r="E1402" s="3">
        <v>203932</v>
      </c>
      <c r="F1402" s="2">
        <v>158094.32670000001</v>
      </c>
      <c r="G1402" t="s">
        <v>2758</v>
      </c>
      <c r="H1402" t="s">
        <v>3</v>
      </c>
      <c r="I1402">
        <f>HLOOKUP(G1402,zip_tiers!$A$1:$EON$2,2,FALSE)</f>
        <v>70133</v>
      </c>
      <c r="J1402" t="str">
        <f t="shared" si="21"/>
        <v>Med</v>
      </c>
      <c r="K1402">
        <f>dataset[[#This Row],[soda_sales]]/dataset[[#This Row],[soda_units_sold]]</f>
        <v>0.77523059990585097</v>
      </c>
      <c r="L1402" s="29">
        <f>dataset[[#This Row],[implied_soda_ppu]]-dataset[[#This Row],[soda_ppu]]</f>
        <v>3.0599905850969833E-5</v>
      </c>
      <c r="M1402">
        <f>dataset[[#This Row],[soda_sales]]/dataset[[#This Row],[total_sales]]</f>
        <v>6.6736850805639972E-2</v>
      </c>
      <c r="N1402">
        <f>LN(dataset[[#This Row],[soda_units_sold]])</f>
        <v>12.225541883925116</v>
      </c>
      <c r="O1402">
        <f>LN(dataset[[#This Row],[soda_sales]])</f>
        <v>11.970947138303234</v>
      </c>
      <c r="P1402">
        <f>LN(dataset[[#This Row],[soda_ppu]])</f>
        <v>-0.25463421840558059</v>
      </c>
      <c r="Q1402">
        <f>IF(dataset[[#This Row],[state]]="VA",1,0)</f>
        <v>1</v>
      </c>
    </row>
    <row r="1403" spans="1:17" x14ac:dyDescent="0.35">
      <c r="A1403">
        <v>202410</v>
      </c>
      <c r="B1403">
        <v>10</v>
      </c>
      <c r="C1403" s="2">
        <v>2864539.5314000002</v>
      </c>
      <c r="D1403" s="2">
        <v>0.78879999999999995</v>
      </c>
      <c r="E1403" s="3">
        <v>189472</v>
      </c>
      <c r="F1403" s="2">
        <v>149446.70370000001</v>
      </c>
      <c r="G1403" t="s">
        <v>2758</v>
      </c>
      <c r="H1403" t="s">
        <v>3</v>
      </c>
      <c r="I1403">
        <f>HLOOKUP(G1403,zip_tiers!$A$1:$EON$2,2,FALSE)</f>
        <v>70133</v>
      </c>
      <c r="J1403" t="str">
        <f t="shared" si="21"/>
        <v>Med</v>
      </c>
      <c r="K1403">
        <f>dataset[[#This Row],[soda_sales]]/dataset[[#This Row],[soda_units_sold]]</f>
        <v>0.78875350289224799</v>
      </c>
      <c r="L1403" s="29">
        <f>dataset[[#This Row],[implied_soda_ppu]]-dataset[[#This Row],[soda_ppu]]</f>
        <v>-4.6497107751952704E-5</v>
      </c>
      <c r="M1403">
        <f>dataset[[#This Row],[soda_sales]]/dataset[[#This Row],[total_sales]]</f>
        <v>5.217128339889246E-2</v>
      </c>
      <c r="N1403">
        <f>LN(dataset[[#This Row],[soda_units_sold]])</f>
        <v>12.151996535331502</v>
      </c>
      <c r="O1403">
        <f>LN(dataset[[#This Row],[soda_sales]])</f>
        <v>11.914695111262754</v>
      </c>
      <c r="P1403">
        <f>LN(dataset[[#This Row],[soda_ppu]])</f>
        <v>-0.23724247569371146</v>
      </c>
      <c r="Q1403">
        <f>IF(dataset[[#This Row],[state]]="VA",1,0)</f>
        <v>1</v>
      </c>
    </row>
    <row r="1404" spans="1:17" x14ac:dyDescent="0.35">
      <c r="A1404">
        <v>202411</v>
      </c>
      <c r="B1404">
        <v>10</v>
      </c>
      <c r="C1404" s="2">
        <v>3262509.5372000001</v>
      </c>
      <c r="D1404" s="2">
        <v>0.78180000000000005</v>
      </c>
      <c r="E1404" s="3">
        <v>181759</v>
      </c>
      <c r="F1404" s="2">
        <v>142098.24540000001</v>
      </c>
      <c r="G1404" t="s">
        <v>2758</v>
      </c>
      <c r="H1404" t="s">
        <v>3</v>
      </c>
      <c r="I1404">
        <f>HLOOKUP(G1404,zip_tiers!$A$1:$EON$2,2,FALSE)</f>
        <v>70133</v>
      </c>
      <c r="J1404" t="str">
        <f t="shared" si="21"/>
        <v>Med</v>
      </c>
      <c r="K1404">
        <f>dataset[[#This Row],[soda_sales]]/dataset[[#This Row],[soda_units_sold]]</f>
        <v>0.78179482391518451</v>
      </c>
      <c r="L1404" s="29">
        <f>dataset[[#This Row],[implied_soda_ppu]]-dataset[[#This Row],[soda_ppu]]</f>
        <v>-5.1760848155391059E-6</v>
      </c>
      <c r="M1404">
        <f>dataset[[#This Row],[soda_sales]]/dataset[[#This Row],[total_sales]]</f>
        <v>4.3554890423999709E-2</v>
      </c>
      <c r="N1404">
        <f>LN(dataset[[#This Row],[soda_units_sold]])</f>
        <v>12.110436912739225</v>
      </c>
      <c r="O1404">
        <f>LN(dataset[[#This Row],[soda_sales]])</f>
        <v>11.864273966366454</v>
      </c>
      <c r="P1404">
        <f>LN(dataset[[#This Row],[soda_ppu]])</f>
        <v>-0.24615632562328255</v>
      </c>
      <c r="Q1404">
        <f>IF(dataset[[#This Row],[state]]="VA",1,0)</f>
        <v>1</v>
      </c>
    </row>
    <row r="1405" spans="1:17" x14ac:dyDescent="0.35">
      <c r="A1405">
        <v>202412</v>
      </c>
      <c r="B1405">
        <v>10</v>
      </c>
      <c r="C1405" s="2">
        <v>3424621.8388999999</v>
      </c>
      <c r="D1405" s="2">
        <v>0.78569999999999995</v>
      </c>
      <c r="E1405" s="3">
        <v>177594</v>
      </c>
      <c r="F1405" s="2">
        <v>139531.73800000001</v>
      </c>
      <c r="G1405" t="s">
        <v>2758</v>
      </c>
      <c r="H1405" t="s">
        <v>3</v>
      </c>
      <c r="I1405">
        <f>HLOOKUP(G1405,zip_tiers!$A$1:$EON$2,2,FALSE)</f>
        <v>70133</v>
      </c>
      <c r="J1405" t="str">
        <f t="shared" si="21"/>
        <v>Med</v>
      </c>
      <c r="K1405">
        <f>dataset[[#This Row],[soda_sales]]/dataset[[#This Row],[soda_units_sold]]</f>
        <v>0.78567822111107366</v>
      </c>
      <c r="L1405" s="29">
        <f>dataset[[#This Row],[implied_soda_ppu]]-dataset[[#This Row],[soda_ppu]]</f>
        <v>-2.177888892629376E-5</v>
      </c>
      <c r="M1405">
        <f>dataset[[#This Row],[soda_sales]]/dataset[[#This Row],[total_sales]]</f>
        <v>4.0743692169182125E-2</v>
      </c>
      <c r="N1405">
        <f>LN(dataset[[#This Row],[soda_units_sold]])</f>
        <v>12.087255325185739</v>
      </c>
      <c r="O1405">
        <f>LN(dataset[[#This Row],[soda_sales]])</f>
        <v>11.846047366911305</v>
      </c>
      <c r="P1405">
        <f>LN(dataset[[#This Row],[soda_ppu]])</f>
        <v>-0.24118023880036121</v>
      </c>
      <c r="Q1405">
        <f>IF(dataset[[#This Row],[state]]="VA",1,0)</f>
        <v>1</v>
      </c>
    </row>
    <row r="1406" spans="1:17" x14ac:dyDescent="0.35">
      <c r="A1406">
        <v>202201</v>
      </c>
      <c r="B1406">
        <v>67</v>
      </c>
      <c r="C1406" s="2">
        <v>1912596.3637000001</v>
      </c>
      <c r="D1406" s="2">
        <v>0.68340000000000001</v>
      </c>
      <c r="E1406" s="3">
        <v>152334</v>
      </c>
      <c r="F1406" s="2">
        <v>104107.807</v>
      </c>
      <c r="G1406" t="s">
        <v>2770</v>
      </c>
      <c r="H1406" t="s">
        <v>3</v>
      </c>
      <c r="I1406">
        <f>HLOOKUP(G1406,zip_tiers!$A$1:$EON$2,2,FALSE)</f>
        <v>75777.666666666672</v>
      </c>
      <c r="J1406" t="str">
        <f t="shared" si="21"/>
        <v>Med</v>
      </c>
      <c r="K1406">
        <f>dataset[[#This Row],[soda_sales]]/dataset[[#This Row],[soda_units_sold]]</f>
        <v>0.6834180616277391</v>
      </c>
      <c r="L1406" s="29">
        <f>dataset[[#This Row],[implied_soda_ppu]]-dataset[[#This Row],[soda_ppu]]</f>
        <v>1.8061627739096586E-5</v>
      </c>
      <c r="M1406">
        <f>dataset[[#This Row],[soda_sales]]/dataset[[#This Row],[total_sales]]</f>
        <v>5.4432711980377795E-2</v>
      </c>
      <c r="N1406">
        <f>LN(dataset[[#This Row],[soda_units_sold]])</f>
        <v>11.933830757566271</v>
      </c>
      <c r="O1406">
        <f>LN(dataset[[#This Row],[soda_sales]])</f>
        <v>11.553182246987987</v>
      </c>
      <c r="P1406">
        <f>LN(dataset[[#This Row],[soda_ppu]])</f>
        <v>-0.38067493930094559</v>
      </c>
      <c r="Q1406">
        <f>IF(dataset[[#This Row],[state]]="VA",1,0)</f>
        <v>1</v>
      </c>
    </row>
    <row r="1407" spans="1:17" x14ac:dyDescent="0.35">
      <c r="A1407">
        <v>202202</v>
      </c>
      <c r="B1407">
        <v>67</v>
      </c>
      <c r="C1407" s="2">
        <v>2174073.9391999999</v>
      </c>
      <c r="D1407" s="2">
        <v>0.67789999999999995</v>
      </c>
      <c r="E1407" s="3">
        <v>173953</v>
      </c>
      <c r="F1407" s="2">
        <v>117930.40059999999</v>
      </c>
      <c r="G1407" t="s">
        <v>2770</v>
      </c>
      <c r="H1407" t="s">
        <v>3</v>
      </c>
      <c r="I1407">
        <f>HLOOKUP(G1407,zip_tiers!$A$1:$EON$2,2,FALSE)</f>
        <v>75777.666666666672</v>
      </c>
      <c r="J1407" t="str">
        <f t="shared" si="21"/>
        <v>Med</v>
      </c>
      <c r="K1407">
        <f>dataset[[#This Row],[soda_sales]]/dataset[[#This Row],[soda_units_sold]]</f>
        <v>0.67794404580547618</v>
      </c>
      <c r="L1407" s="29">
        <f>dataset[[#This Row],[implied_soda_ppu]]-dataset[[#This Row],[soda_ppu]]</f>
        <v>4.4045805476233824E-5</v>
      </c>
      <c r="M1407">
        <f>dataset[[#This Row],[soda_sales]]/dataset[[#This Row],[total_sales]]</f>
        <v>5.4243969569588407E-2</v>
      </c>
      <c r="N1407">
        <f>LN(dataset[[#This Row],[soda_units_sold]])</f>
        <v>12.066540426766526</v>
      </c>
      <c r="O1407">
        <f>LN(dataset[[#This Row],[soda_sales]])</f>
        <v>11.677849904008628</v>
      </c>
      <c r="P1407">
        <f>LN(dataset[[#This Row],[soda_ppu]])</f>
        <v>-0.38875549454521718</v>
      </c>
      <c r="Q1407">
        <f>IF(dataset[[#This Row],[state]]="VA",1,0)</f>
        <v>1</v>
      </c>
    </row>
    <row r="1408" spans="1:17" x14ac:dyDescent="0.35">
      <c r="A1408">
        <v>202203</v>
      </c>
      <c r="B1408">
        <v>67</v>
      </c>
      <c r="C1408" s="2">
        <v>2429229.7171999998</v>
      </c>
      <c r="D1408" s="2">
        <v>0.73480000000000001</v>
      </c>
      <c r="E1408" s="3">
        <v>189343</v>
      </c>
      <c r="F1408" s="2">
        <v>139130.15410000001</v>
      </c>
      <c r="G1408" t="s">
        <v>2770</v>
      </c>
      <c r="H1408" t="s">
        <v>3</v>
      </c>
      <c r="I1408">
        <f>HLOOKUP(G1408,zip_tiers!$A$1:$EON$2,2,FALSE)</f>
        <v>75777.666666666672</v>
      </c>
      <c r="J1408" t="str">
        <f t="shared" si="21"/>
        <v>Med</v>
      </c>
      <c r="K1408">
        <f>dataset[[#This Row],[soda_sales]]/dataset[[#This Row],[soda_units_sold]]</f>
        <v>0.73480484675958457</v>
      </c>
      <c r="L1408" s="29">
        <f>dataset[[#This Row],[implied_soda_ppu]]-dataset[[#This Row],[soda_ppu]]</f>
        <v>4.8467595845647082E-6</v>
      </c>
      <c r="M1408">
        <f>dataset[[#This Row],[soda_sales]]/dataset[[#This Row],[total_sales]]</f>
        <v>5.7273362463376019E-2</v>
      </c>
      <c r="N1408">
        <f>LN(dataset[[#This Row],[soda_units_sold]])</f>
        <v>12.151315464069876</v>
      </c>
      <c r="O1408">
        <f>LN(dataset[[#This Row],[soda_sales]])</f>
        <v>11.843165134432521</v>
      </c>
      <c r="P1408">
        <f>LN(dataset[[#This Row],[soda_ppu]])</f>
        <v>-0.30815692564116648</v>
      </c>
      <c r="Q1408">
        <f>IF(dataset[[#This Row],[state]]="VA",1,0)</f>
        <v>1</v>
      </c>
    </row>
    <row r="1409" spans="1:17" x14ac:dyDescent="0.35">
      <c r="A1409">
        <v>202204</v>
      </c>
      <c r="B1409">
        <v>67</v>
      </c>
      <c r="C1409" s="2">
        <v>2573532.8254</v>
      </c>
      <c r="D1409" s="2">
        <v>0.71909999999999996</v>
      </c>
      <c r="E1409" s="3">
        <v>227506</v>
      </c>
      <c r="F1409" s="2">
        <v>163590.03</v>
      </c>
      <c r="G1409" t="s">
        <v>2770</v>
      </c>
      <c r="H1409" t="s">
        <v>3</v>
      </c>
      <c r="I1409">
        <f>HLOOKUP(G1409,zip_tiers!$A$1:$EON$2,2,FALSE)</f>
        <v>75777.666666666672</v>
      </c>
      <c r="J1409" t="str">
        <f t="shared" si="21"/>
        <v>Med</v>
      </c>
      <c r="K1409">
        <f>dataset[[#This Row],[soda_sales]]/dataset[[#This Row],[soda_units_sold]]</f>
        <v>0.71905809077562788</v>
      </c>
      <c r="L1409" s="29">
        <f>dataset[[#This Row],[implied_soda_ppu]]-dataset[[#This Row],[soda_ppu]]</f>
        <v>-4.1909224372083109E-5</v>
      </c>
      <c r="M1409">
        <f>dataset[[#This Row],[soda_sales]]/dataset[[#This Row],[total_sales]]</f>
        <v>6.3566327340150969E-2</v>
      </c>
      <c r="N1409">
        <f>LN(dataset[[#This Row],[soda_units_sold]])</f>
        <v>12.334931890651738</v>
      </c>
      <c r="O1409">
        <f>LN(dataset[[#This Row],[soda_sales]])</f>
        <v>12.005118759973493</v>
      </c>
      <c r="P1409">
        <f>LN(dataset[[#This Row],[soda_ppu]])</f>
        <v>-0.32975484887368872</v>
      </c>
      <c r="Q1409">
        <f>IF(dataset[[#This Row],[state]]="VA",1,0)</f>
        <v>1</v>
      </c>
    </row>
    <row r="1410" spans="1:17" x14ac:dyDescent="0.35">
      <c r="A1410">
        <v>202205</v>
      </c>
      <c r="B1410">
        <v>67</v>
      </c>
      <c r="C1410" s="2">
        <v>2698462.5436999998</v>
      </c>
      <c r="D1410" s="2">
        <v>0.70599999999999996</v>
      </c>
      <c r="E1410" s="3">
        <v>248944</v>
      </c>
      <c r="F1410" s="2">
        <v>175756.23009999999</v>
      </c>
      <c r="G1410" t="s">
        <v>2770</v>
      </c>
      <c r="H1410" t="s">
        <v>3</v>
      </c>
      <c r="I1410">
        <f>HLOOKUP(G1410,zip_tiers!$A$1:$EON$2,2,FALSE)</f>
        <v>75777.666666666672</v>
      </c>
      <c r="J1410" t="str">
        <f t="shared" ref="J1410:J1473" si="22">IF(I1410="","No Data",IF(I1410&gt;=100000,"High",IF(I1410&gt;=40000,"Med","Low")))</f>
        <v>Med</v>
      </c>
      <c r="K1410">
        <f>dataset[[#This Row],[soda_sales]]/dataset[[#This Row],[soda_units_sold]]</f>
        <v>0.70600709436660447</v>
      </c>
      <c r="L1410" s="29">
        <f>dataset[[#This Row],[implied_soda_ppu]]-dataset[[#This Row],[soda_ppu]]</f>
        <v>7.0943666045097942E-6</v>
      </c>
      <c r="M1410">
        <f>dataset[[#This Row],[soda_sales]]/dataset[[#This Row],[total_sales]]</f>
        <v>6.5131988031603971E-2</v>
      </c>
      <c r="N1410">
        <f>LN(dataset[[#This Row],[soda_units_sold]])</f>
        <v>12.424983250554744</v>
      </c>
      <c r="O1410">
        <f>LN(dataset[[#This Row],[soda_sales]])</f>
        <v>12.076853257693271</v>
      </c>
      <c r="P1410">
        <f>LN(dataset[[#This Row],[soda_ppu]])</f>
        <v>-0.34814004148889505</v>
      </c>
      <c r="Q1410">
        <f>IF(dataset[[#This Row],[state]]="VA",1,0)</f>
        <v>1</v>
      </c>
    </row>
    <row r="1411" spans="1:17" x14ac:dyDescent="0.35">
      <c r="A1411">
        <v>202206</v>
      </c>
      <c r="B1411">
        <v>67</v>
      </c>
      <c r="C1411" s="2">
        <v>2585788.5778000001</v>
      </c>
      <c r="D1411" s="2">
        <v>0.70679999999999998</v>
      </c>
      <c r="E1411" s="3">
        <v>267556</v>
      </c>
      <c r="F1411" s="2">
        <v>189114.1954</v>
      </c>
      <c r="G1411" t="s">
        <v>2770</v>
      </c>
      <c r="H1411" t="s">
        <v>3</v>
      </c>
      <c r="I1411">
        <f>HLOOKUP(G1411,zip_tiers!$A$1:$EON$2,2,FALSE)</f>
        <v>75777.666666666672</v>
      </c>
      <c r="J1411" t="str">
        <f t="shared" si="22"/>
        <v>Med</v>
      </c>
      <c r="K1411">
        <f>dataset[[#This Row],[soda_sales]]/dataset[[#This Row],[soda_units_sold]]</f>
        <v>0.70682098476580602</v>
      </c>
      <c r="L1411" s="29">
        <f>dataset[[#This Row],[implied_soda_ppu]]-dataset[[#This Row],[soda_ppu]]</f>
        <v>2.0984765806031369E-5</v>
      </c>
      <c r="M1411">
        <f>dataset[[#This Row],[soda_sales]]/dataset[[#This Row],[total_sales]]</f>
        <v>7.3135985294242103E-2</v>
      </c>
      <c r="N1411">
        <f>LN(dataset[[#This Row],[soda_units_sold]])</f>
        <v>12.497084169202818</v>
      </c>
      <c r="O1411">
        <f>LN(dataset[[#This Row],[soda_sales]])</f>
        <v>12.150106320046945</v>
      </c>
      <c r="P1411">
        <f>LN(dataset[[#This Row],[soda_ppu]])</f>
        <v>-0.34700753853659572</v>
      </c>
      <c r="Q1411">
        <f>IF(dataset[[#This Row],[state]]="VA",1,0)</f>
        <v>1</v>
      </c>
    </row>
    <row r="1412" spans="1:17" x14ac:dyDescent="0.35">
      <c r="A1412">
        <v>202207</v>
      </c>
      <c r="B1412">
        <v>67</v>
      </c>
      <c r="C1412" s="2">
        <v>2482666.4457</v>
      </c>
      <c r="D1412" s="2">
        <v>0.68110000000000004</v>
      </c>
      <c r="E1412" s="3">
        <v>289911</v>
      </c>
      <c r="F1412" s="2">
        <v>197455.76569999999</v>
      </c>
      <c r="G1412" t="s">
        <v>2770</v>
      </c>
      <c r="H1412" t="s">
        <v>3</v>
      </c>
      <c r="I1412">
        <f>HLOOKUP(G1412,zip_tiers!$A$1:$EON$2,2,FALSE)</f>
        <v>75777.666666666672</v>
      </c>
      <c r="J1412" t="str">
        <f t="shared" si="22"/>
        <v>Med</v>
      </c>
      <c r="K1412">
        <f>dataset[[#This Row],[soda_sales]]/dataset[[#This Row],[soda_units_sold]]</f>
        <v>0.68109097516134254</v>
      </c>
      <c r="L1412" s="29">
        <f>dataset[[#This Row],[implied_soda_ppu]]-dataset[[#This Row],[soda_ppu]]</f>
        <v>-9.0248386575009221E-6</v>
      </c>
      <c r="M1412">
        <f>dataset[[#This Row],[soda_sales]]/dataset[[#This Row],[total_sales]]</f>
        <v>7.9533747290939982E-2</v>
      </c>
      <c r="N1412">
        <f>LN(dataset[[#This Row],[soda_units_sold]])</f>
        <v>12.577329258308549</v>
      </c>
      <c r="O1412">
        <f>LN(dataset[[#This Row],[soda_sales]])</f>
        <v>12.193269867098792</v>
      </c>
      <c r="P1412">
        <f>LN(dataset[[#This Row],[soda_ppu]])</f>
        <v>-0.38404614073486432</v>
      </c>
      <c r="Q1412">
        <f>IF(dataset[[#This Row],[state]]="VA",1,0)</f>
        <v>1</v>
      </c>
    </row>
    <row r="1413" spans="1:17" x14ac:dyDescent="0.35">
      <c r="A1413">
        <v>202208</v>
      </c>
      <c r="B1413">
        <v>67</v>
      </c>
      <c r="C1413" s="2">
        <v>2360139.6384999999</v>
      </c>
      <c r="D1413" s="2">
        <v>0.7349</v>
      </c>
      <c r="E1413" s="3">
        <v>231699</v>
      </c>
      <c r="F1413" s="2">
        <v>170276.05160000001</v>
      </c>
      <c r="G1413" t="s">
        <v>2770</v>
      </c>
      <c r="H1413" t="s">
        <v>3</v>
      </c>
      <c r="I1413">
        <f>HLOOKUP(G1413,zip_tiers!$A$1:$EON$2,2,FALSE)</f>
        <v>75777.666666666672</v>
      </c>
      <c r="J1413" t="str">
        <f t="shared" si="22"/>
        <v>Med</v>
      </c>
      <c r="K1413">
        <f>dataset[[#This Row],[soda_sales]]/dataset[[#This Row],[soda_units_sold]]</f>
        <v>0.73490197022861559</v>
      </c>
      <c r="L1413" s="29">
        <f>dataset[[#This Row],[implied_soda_ppu]]-dataset[[#This Row],[soda_ppu]]</f>
        <v>1.9702286155887094E-6</v>
      </c>
      <c r="M1413">
        <f>dataset[[#This Row],[soda_sales]]/dataset[[#This Row],[total_sales]]</f>
        <v>7.2146600490223506E-2</v>
      </c>
      <c r="N1413">
        <f>LN(dataset[[#This Row],[soda_units_sold]])</f>
        <v>12.353194394485389</v>
      </c>
      <c r="O1413">
        <f>LN(dataset[[#This Row],[soda_sales]])</f>
        <v>12.045176231982389</v>
      </c>
      <c r="P1413">
        <f>LN(dataset[[#This Row],[soda_ppu]])</f>
        <v>-0.30802084344731151</v>
      </c>
      <c r="Q1413">
        <f>IF(dataset[[#This Row],[state]]="VA",1,0)</f>
        <v>1</v>
      </c>
    </row>
    <row r="1414" spans="1:17" x14ac:dyDescent="0.35">
      <c r="A1414">
        <v>202209</v>
      </c>
      <c r="B1414">
        <v>67</v>
      </c>
      <c r="C1414" s="2">
        <v>2307982.3358999998</v>
      </c>
      <c r="D1414" s="2">
        <v>0.72850000000000004</v>
      </c>
      <c r="E1414" s="3">
        <v>221325</v>
      </c>
      <c r="F1414" s="2">
        <v>161240.68290000001</v>
      </c>
      <c r="G1414" t="s">
        <v>2770</v>
      </c>
      <c r="H1414" t="s">
        <v>3</v>
      </c>
      <c r="I1414">
        <f>HLOOKUP(G1414,zip_tiers!$A$1:$EON$2,2,FALSE)</f>
        <v>75777.666666666672</v>
      </c>
      <c r="J1414" t="str">
        <f t="shared" si="22"/>
        <v>Med</v>
      </c>
      <c r="K1414">
        <f>dataset[[#This Row],[soda_sales]]/dataset[[#This Row],[soda_units_sold]]</f>
        <v>0.72852449068112513</v>
      </c>
      <c r="L1414" s="29">
        <f>dataset[[#This Row],[implied_soda_ppu]]-dataset[[#This Row],[soda_ppu]]</f>
        <v>2.4490681125088898E-5</v>
      </c>
      <c r="M1414">
        <f>dataset[[#This Row],[soda_sales]]/dataset[[#This Row],[total_sales]]</f>
        <v>6.986218238846445E-2</v>
      </c>
      <c r="N1414">
        <f>LN(dataset[[#This Row],[soda_units_sold]])</f>
        <v>12.30738748847925</v>
      </c>
      <c r="O1414">
        <f>LN(dataset[[#This Row],[soda_sales]])</f>
        <v>11.990653452523548</v>
      </c>
      <c r="P1414">
        <f>LN(dataset[[#This Row],[soda_ppu]])</f>
        <v>-0.31676765334687745</v>
      </c>
      <c r="Q1414">
        <f>IF(dataset[[#This Row],[state]]="VA",1,0)</f>
        <v>1</v>
      </c>
    </row>
    <row r="1415" spans="1:17" x14ac:dyDescent="0.35">
      <c r="A1415">
        <v>202210</v>
      </c>
      <c r="B1415">
        <v>67</v>
      </c>
      <c r="C1415" s="2">
        <v>2819862.9963000002</v>
      </c>
      <c r="D1415" s="2">
        <v>0.70230000000000004</v>
      </c>
      <c r="E1415" s="3">
        <v>219577</v>
      </c>
      <c r="F1415" s="2">
        <v>154214.7402</v>
      </c>
      <c r="G1415" t="s">
        <v>2770</v>
      </c>
      <c r="H1415" t="s">
        <v>3</v>
      </c>
      <c r="I1415">
        <f>HLOOKUP(G1415,zip_tiers!$A$1:$EON$2,2,FALSE)</f>
        <v>75777.666666666672</v>
      </c>
      <c r="J1415" t="str">
        <f t="shared" si="22"/>
        <v>Med</v>
      </c>
      <c r="K1415">
        <f>dataset[[#This Row],[soda_sales]]/dataset[[#This Row],[soda_units_sold]]</f>
        <v>0.70232647408426196</v>
      </c>
      <c r="L1415" s="29">
        <f>dataset[[#This Row],[implied_soda_ppu]]-dataset[[#This Row],[soda_ppu]]</f>
        <v>2.647408426192932E-5</v>
      </c>
      <c r="M1415">
        <f>dataset[[#This Row],[soda_sales]]/dataset[[#This Row],[total_sales]]</f>
        <v>5.4688735020938357E-2</v>
      </c>
      <c r="N1415">
        <f>LN(dataset[[#This Row],[soda_units_sold]])</f>
        <v>12.299458247248902</v>
      </c>
      <c r="O1415">
        <f>LN(dataset[[#This Row],[soda_sales]])</f>
        <v>11.946101326982484</v>
      </c>
      <c r="P1415">
        <f>LN(dataset[[#This Row],[soda_ppu]])</f>
        <v>-0.35339461581716225</v>
      </c>
      <c r="Q1415">
        <f>IF(dataset[[#This Row],[state]]="VA",1,0)</f>
        <v>1</v>
      </c>
    </row>
    <row r="1416" spans="1:17" x14ac:dyDescent="0.35">
      <c r="A1416">
        <v>202211</v>
      </c>
      <c r="B1416">
        <v>67</v>
      </c>
      <c r="C1416" s="2">
        <v>3254620.9095999999</v>
      </c>
      <c r="D1416" s="2">
        <v>0.73409999999999997</v>
      </c>
      <c r="E1416" s="3">
        <v>202683</v>
      </c>
      <c r="F1416" s="2">
        <v>148797.54490000001</v>
      </c>
      <c r="G1416" t="s">
        <v>2770</v>
      </c>
      <c r="H1416" t="s">
        <v>3</v>
      </c>
      <c r="I1416">
        <f>HLOOKUP(G1416,zip_tiers!$A$1:$EON$2,2,FALSE)</f>
        <v>75777.666666666672</v>
      </c>
      <c r="J1416" t="str">
        <f t="shared" si="22"/>
        <v>Med</v>
      </c>
      <c r="K1416">
        <f>dataset[[#This Row],[soda_sales]]/dataset[[#This Row],[soda_units_sold]]</f>
        <v>0.73413924650809392</v>
      </c>
      <c r="L1416" s="29">
        <f>dataset[[#This Row],[implied_soda_ppu]]-dataset[[#This Row],[soda_ppu]]</f>
        <v>3.9246508093948584E-5</v>
      </c>
      <c r="M1416">
        <f>dataset[[#This Row],[soda_sales]]/dataset[[#This Row],[total_sales]]</f>
        <v>4.5718856061269374E-2</v>
      </c>
      <c r="N1416">
        <f>LN(dataset[[#This Row],[soda_units_sold]])</f>
        <v>12.219398461138088</v>
      </c>
      <c r="O1416">
        <f>LN(dataset[[#This Row],[soda_sales]])</f>
        <v>11.910341901917056</v>
      </c>
      <c r="P1416">
        <f>LN(dataset[[#This Row],[soda_ppu]])</f>
        <v>-0.30911001986540143</v>
      </c>
      <c r="Q1416">
        <f>IF(dataset[[#This Row],[state]]="VA",1,0)</f>
        <v>1</v>
      </c>
    </row>
    <row r="1417" spans="1:17" x14ac:dyDescent="0.35">
      <c r="A1417">
        <v>202212</v>
      </c>
      <c r="B1417">
        <v>67</v>
      </c>
      <c r="C1417" s="2">
        <v>3361885.0103000002</v>
      </c>
      <c r="D1417" s="2">
        <v>0.70079999999999998</v>
      </c>
      <c r="E1417" s="3">
        <v>202567</v>
      </c>
      <c r="F1417" s="2">
        <v>141953.96170000001</v>
      </c>
      <c r="G1417" t="s">
        <v>2770</v>
      </c>
      <c r="H1417" t="s">
        <v>3</v>
      </c>
      <c r="I1417">
        <f>HLOOKUP(G1417,zip_tiers!$A$1:$EON$2,2,FALSE)</f>
        <v>75777.666666666672</v>
      </c>
      <c r="J1417" t="str">
        <f t="shared" si="22"/>
        <v>Med</v>
      </c>
      <c r="K1417">
        <f>dataset[[#This Row],[soda_sales]]/dataset[[#This Row],[soda_units_sold]]</f>
        <v>0.70077535679552949</v>
      </c>
      <c r="L1417" s="29">
        <f>dataset[[#This Row],[implied_soda_ppu]]-dataset[[#This Row],[soda_ppu]]</f>
        <v>-2.4643204470486957E-5</v>
      </c>
      <c r="M1417">
        <f>dataset[[#This Row],[soda_sales]]/dataset[[#This Row],[total_sales]]</f>
        <v>4.2224514302270158E-2</v>
      </c>
      <c r="N1417">
        <f>LN(dataset[[#This Row],[soda_units_sold]])</f>
        <v>12.218825975002774</v>
      </c>
      <c r="O1417">
        <f>LN(dataset[[#This Row],[soda_sales]])</f>
        <v>11.863258070634595</v>
      </c>
      <c r="P1417">
        <f>LN(dataset[[#This Row],[soda_ppu]])</f>
        <v>-0.35553273935995539</v>
      </c>
      <c r="Q1417">
        <f>IF(dataset[[#This Row],[state]]="VA",1,0)</f>
        <v>1</v>
      </c>
    </row>
    <row r="1418" spans="1:17" x14ac:dyDescent="0.35">
      <c r="A1418">
        <v>202301</v>
      </c>
      <c r="B1418">
        <v>67</v>
      </c>
      <c r="C1418" s="2">
        <v>1987761.64</v>
      </c>
      <c r="D1418" s="2">
        <v>0.69199999999999995</v>
      </c>
      <c r="E1418" s="3">
        <v>154005</v>
      </c>
      <c r="F1418" s="2">
        <v>106575.31909999999</v>
      </c>
      <c r="G1418" t="s">
        <v>2770</v>
      </c>
      <c r="H1418" t="s">
        <v>3</v>
      </c>
      <c r="I1418">
        <f>HLOOKUP(G1418,zip_tiers!$A$1:$EON$2,2,FALSE)</f>
        <v>75777.666666666672</v>
      </c>
      <c r="J1418" t="str">
        <f t="shared" si="22"/>
        <v>Med</v>
      </c>
      <c r="K1418">
        <f>dataset[[#This Row],[soda_sales]]/dataset[[#This Row],[soda_units_sold]]</f>
        <v>0.69202505827732863</v>
      </c>
      <c r="L1418" s="29">
        <f>dataset[[#This Row],[implied_soda_ppu]]-dataset[[#This Row],[soda_ppu]]</f>
        <v>2.5058277328682266E-5</v>
      </c>
      <c r="M1418">
        <f>dataset[[#This Row],[soda_sales]]/dataset[[#This Row],[total_sales]]</f>
        <v>5.361574393799047E-2</v>
      </c>
      <c r="N1418">
        <f>LN(dataset[[#This Row],[soda_units_sold]])</f>
        <v>11.944740348401174</v>
      </c>
      <c r="O1418">
        <f>LN(dataset[[#This Row],[soda_sales]])</f>
        <v>11.576607235764515</v>
      </c>
      <c r="P1418">
        <f>LN(dataset[[#This Row],[soda_ppu]])</f>
        <v>-0.36816932336446756</v>
      </c>
      <c r="Q1418">
        <f>IF(dataset[[#This Row],[state]]="VA",1,0)</f>
        <v>1</v>
      </c>
    </row>
    <row r="1419" spans="1:17" x14ac:dyDescent="0.35">
      <c r="A1419">
        <v>202302</v>
      </c>
      <c r="B1419">
        <v>67</v>
      </c>
      <c r="C1419" s="2">
        <v>2221437.7236000001</v>
      </c>
      <c r="D1419" s="2">
        <v>0.69769999999999999</v>
      </c>
      <c r="E1419" s="3">
        <v>173463</v>
      </c>
      <c r="F1419" s="2">
        <v>121023.69</v>
      </c>
      <c r="G1419" t="s">
        <v>2770</v>
      </c>
      <c r="H1419" t="s">
        <v>3</v>
      </c>
      <c r="I1419">
        <f>HLOOKUP(G1419,zip_tiers!$A$1:$EON$2,2,FALSE)</f>
        <v>75777.666666666672</v>
      </c>
      <c r="J1419" t="str">
        <f t="shared" si="22"/>
        <v>Med</v>
      </c>
      <c r="K1419">
        <f>dataset[[#This Row],[soda_sales]]/dataset[[#This Row],[soda_units_sold]]</f>
        <v>0.69769166911675695</v>
      </c>
      <c r="L1419" s="29">
        <f>dataset[[#This Row],[implied_soda_ppu]]-dataset[[#This Row],[soda_ppu]]</f>
        <v>-8.3308832430351032E-6</v>
      </c>
      <c r="M1419">
        <f>dataset[[#This Row],[soda_sales]]/dataset[[#This Row],[total_sales]]</f>
        <v>5.4479893230530173E-2</v>
      </c>
      <c r="N1419">
        <f>LN(dataset[[#This Row],[soda_units_sold]])</f>
        <v>12.063719599142503</v>
      </c>
      <c r="O1419">
        <f>LN(dataset[[#This Row],[soda_sales]])</f>
        <v>11.703741590539439</v>
      </c>
      <c r="P1419">
        <f>LN(dataset[[#This Row],[soda_ppu]])</f>
        <v>-0.3599660680369462</v>
      </c>
      <c r="Q1419">
        <f>IF(dataset[[#This Row],[state]]="VA",1,0)</f>
        <v>1</v>
      </c>
    </row>
    <row r="1420" spans="1:17" x14ac:dyDescent="0.35">
      <c r="A1420">
        <v>202303</v>
      </c>
      <c r="B1420">
        <v>67</v>
      </c>
      <c r="C1420" s="2">
        <v>2484152.2801000001</v>
      </c>
      <c r="D1420" s="2">
        <v>0.70679999999999998</v>
      </c>
      <c r="E1420" s="3">
        <v>198174</v>
      </c>
      <c r="F1420" s="2">
        <v>140068.796</v>
      </c>
      <c r="G1420" t="s">
        <v>2770</v>
      </c>
      <c r="H1420" t="s">
        <v>3</v>
      </c>
      <c r="I1420">
        <f>HLOOKUP(G1420,zip_tiers!$A$1:$EON$2,2,FALSE)</f>
        <v>75777.666666666672</v>
      </c>
      <c r="J1420" t="str">
        <f t="shared" si="22"/>
        <v>Med</v>
      </c>
      <c r="K1420">
        <f>dataset[[#This Row],[soda_sales]]/dataset[[#This Row],[soda_units_sold]]</f>
        <v>0.70679703694732909</v>
      </c>
      <c r="L1420" s="29">
        <f>dataset[[#This Row],[implied_soda_ppu]]-dataset[[#This Row],[soda_ppu]]</f>
        <v>-2.9630526708901428E-6</v>
      </c>
      <c r="M1420">
        <f>dataset[[#This Row],[soda_sales]]/dataset[[#This Row],[total_sales]]</f>
        <v>5.6384947542089288E-2</v>
      </c>
      <c r="N1420">
        <f>LN(dataset[[#This Row],[soda_units_sold]])</f>
        <v>12.196900711647464</v>
      </c>
      <c r="O1420">
        <f>LN(dataset[[#This Row],[soda_sales]])</f>
        <v>11.849888980894001</v>
      </c>
      <c r="P1420">
        <f>LN(dataset[[#This Row],[soda_ppu]])</f>
        <v>-0.34700753853659572</v>
      </c>
      <c r="Q1420">
        <f>IF(dataset[[#This Row],[state]]="VA",1,0)</f>
        <v>1</v>
      </c>
    </row>
    <row r="1421" spans="1:17" x14ac:dyDescent="0.35">
      <c r="A1421">
        <v>202304</v>
      </c>
      <c r="B1421">
        <v>67</v>
      </c>
      <c r="C1421" s="2">
        <v>2603934.5956000001</v>
      </c>
      <c r="D1421" s="2">
        <v>0.73870000000000002</v>
      </c>
      <c r="E1421" s="3">
        <v>221827</v>
      </c>
      <c r="F1421" s="2">
        <v>163871.9472</v>
      </c>
      <c r="G1421" t="s">
        <v>2770</v>
      </c>
      <c r="H1421" t="s">
        <v>3</v>
      </c>
      <c r="I1421">
        <f>HLOOKUP(G1421,zip_tiers!$A$1:$EON$2,2,FALSE)</f>
        <v>75777.666666666672</v>
      </c>
      <c r="J1421" t="str">
        <f t="shared" si="22"/>
        <v>Med</v>
      </c>
      <c r="K1421">
        <f>dataset[[#This Row],[soda_sales]]/dataset[[#This Row],[soda_units_sold]]</f>
        <v>0.73873760723446646</v>
      </c>
      <c r="L1421" s="29">
        <f>dataset[[#This Row],[implied_soda_ppu]]-dataset[[#This Row],[soda_ppu]]</f>
        <v>3.7607234466441319E-5</v>
      </c>
      <c r="M1421">
        <f>dataset[[#This Row],[soda_sales]]/dataset[[#This Row],[total_sales]]</f>
        <v>6.293243596705643E-2</v>
      </c>
      <c r="N1421">
        <f>LN(dataset[[#This Row],[soda_units_sold]])</f>
        <v>12.309653077779201</v>
      </c>
      <c r="O1421">
        <f>LN(dataset[[#This Row],[soda_sales]])</f>
        <v>12.006840592059531</v>
      </c>
      <c r="P1421">
        <f>LN(dataset[[#This Row],[soda_ppu]])</f>
        <v>-0.30286339444744492</v>
      </c>
      <c r="Q1421">
        <f>IF(dataset[[#This Row],[state]]="VA",1,0)</f>
        <v>1</v>
      </c>
    </row>
    <row r="1422" spans="1:17" x14ac:dyDescent="0.35">
      <c r="A1422">
        <v>202305</v>
      </c>
      <c r="B1422">
        <v>67</v>
      </c>
      <c r="C1422" s="2">
        <v>2704007.5603</v>
      </c>
      <c r="D1422" s="2">
        <v>0.7288</v>
      </c>
      <c r="E1422" s="3">
        <v>247617</v>
      </c>
      <c r="F1422" s="2">
        <v>180469.2365</v>
      </c>
      <c r="G1422" t="s">
        <v>2770</v>
      </c>
      <c r="H1422" t="s">
        <v>3</v>
      </c>
      <c r="I1422">
        <f>HLOOKUP(G1422,zip_tiers!$A$1:$EON$2,2,FALSE)</f>
        <v>75777.666666666672</v>
      </c>
      <c r="J1422" t="str">
        <f t="shared" si="22"/>
        <v>Med</v>
      </c>
      <c r="K1422">
        <f>dataset[[#This Row],[soda_sales]]/dataset[[#This Row],[soda_units_sold]]</f>
        <v>0.72882409729541997</v>
      </c>
      <c r="L1422" s="29">
        <f>dataset[[#This Row],[implied_soda_ppu]]-dataset[[#This Row],[soda_ppu]]</f>
        <v>2.4097295419966969E-5</v>
      </c>
      <c r="M1422">
        <f>dataset[[#This Row],[soda_sales]]/dataset[[#This Row],[total_sales]]</f>
        <v>6.6741394938991061E-2</v>
      </c>
      <c r="N1422">
        <f>LN(dataset[[#This Row],[soda_units_sold]])</f>
        <v>12.419638476563273</v>
      </c>
      <c r="O1422">
        <f>LN(dataset[[#This Row],[soda_sales]])</f>
        <v>12.103315607326348</v>
      </c>
      <c r="P1422">
        <f>LN(dataset[[#This Row],[soda_ppu]])</f>
        <v>-0.31635593303638848</v>
      </c>
      <c r="Q1422">
        <f>IF(dataset[[#This Row],[state]]="VA",1,0)</f>
        <v>1</v>
      </c>
    </row>
    <row r="1423" spans="1:17" x14ac:dyDescent="0.35">
      <c r="A1423">
        <v>202306</v>
      </c>
      <c r="B1423">
        <v>67</v>
      </c>
      <c r="C1423" s="2">
        <v>2603686.4689000002</v>
      </c>
      <c r="D1423" s="2">
        <v>0.72599999999999998</v>
      </c>
      <c r="E1423" s="3">
        <v>261566</v>
      </c>
      <c r="F1423" s="2">
        <v>189900.8175</v>
      </c>
      <c r="G1423" t="s">
        <v>2770</v>
      </c>
      <c r="H1423" t="s">
        <v>3</v>
      </c>
      <c r="I1423">
        <f>HLOOKUP(G1423,zip_tiers!$A$1:$EON$2,2,FALSE)</f>
        <v>75777.666666666672</v>
      </c>
      <c r="J1423" t="str">
        <f t="shared" si="22"/>
        <v>Med</v>
      </c>
      <c r="K1423">
        <f>dataset[[#This Row],[soda_sales]]/dataset[[#This Row],[soda_units_sold]]</f>
        <v>0.72601491592944034</v>
      </c>
      <c r="L1423" s="29">
        <f>dataset[[#This Row],[implied_soda_ppu]]-dataset[[#This Row],[soda_ppu]]</f>
        <v>1.4915929440362241E-5</v>
      </c>
      <c r="M1423">
        <f>dataset[[#This Row],[soda_sales]]/dataset[[#This Row],[total_sales]]</f>
        <v>7.2935362904977138E-2</v>
      </c>
      <c r="N1423">
        <f>LN(dataset[[#This Row],[soda_units_sold]])</f>
        <v>12.474441920699464</v>
      </c>
      <c r="O1423">
        <f>LN(dataset[[#This Row],[soda_sales]])</f>
        <v>12.154257201688425</v>
      </c>
      <c r="P1423">
        <f>LN(dataset[[#This Row],[soda_ppu]])</f>
        <v>-0.32020526415734102</v>
      </c>
      <c r="Q1423">
        <f>IF(dataset[[#This Row],[state]]="VA",1,0)</f>
        <v>1</v>
      </c>
    </row>
    <row r="1424" spans="1:17" x14ac:dyDescent="0.35">
      <c r="A1424">
        <v>202307</v>
      </c>
      <c r="B1424">
        <v>67</v>
      </c>
      <c r="C1424" s="2">
        <v>2557855.5608000001</v>
      </c>
      <c r="D1424" s="2">
        <v>0.71879999999999999</v>
      </c>
      <c r="E1424" s="3">
        <v>282971</v>
      </c>
      <c r="F1424" s="2">
        <v>203404.4963</v>
      </c>
      <c r="G1424" t="s">
        <v>2770</v>
      </c>
      <c r="H1424" t="s">
        <v>3</v>
      </c>
      <c r="I1424">
        <f>HLOOKUP(G1424,zip_tiers!$A$1:$EON$2,2,FALSE)</f>
        <v>75777.666666666672</v>
      </c>
      <c r="J1424" t="str">
        <f t="shared" si="22"/>
        <v>Med</v>
      </c>
      <c r="K1424">
        <f>dataset[[#This Row],[soda_sales]]/dataset[[#This Row],[soda_units_sold]]</f>
        <v>0.71881746292022852</v>
      </c>
      <c r="L1424" s="29">
        <f>dataset[[#This Row],[implied_soda_ppu]]-dataset[[#This Row],[soda_ppu]]</f>
        <v>1.7462920228528134E-5</v>
      </c>
      <c r="M1424">
        <f>dataset[[#This Row],[soda_sales]]/dataset[[#This Row],[total_sales]]</f>
        <v>7.9521494261537901E-2</v>
      </c>
      <c r="N1424">
        <f>LN(dataset[[#This Row],[soda_units_sold]])</f>
        <v>12.553099697876373</v>
      </c>
      <c r="O1424">
        <f>LN(dataset[[#This Row],[soda_sales]])</f>
        <v>12.222951868055317</v>
      </c>
      <c r="P1424">
        <f>LN(dataset[[#This Row],[soda_ppu]])</f>
        <v>-0.33017212407273311</v>
      </c>
      <c r="Q1424">
        <f>IF(dataset[[#This Row],[state]]="VA",1,0)</f>
        <v>1</v>
      </c>
    </row>
    <row r="1425" spans="1:17" x14ac:dyDescent="0.35">
      <c r="A1425">
        <v>202308</v>
      </c>
      <c r="B1425">
        <v>67</v>
      </c>
      <c r="C1425" s="2">
        <v>2358826.7985</v>
      </c>
      <c r="D1425" s="2">
        <v>0.72970000000000002</v>
      </c>
      <c r="E1425" s="3">
        <v>237968</v>
      </c>
      <c r="F1425" s="2">
        <v>173636.3315</v>
      </c>
      <c r="G1425" t="s">
        <v>2770</v>
      </c>
      <c r="H1425" t="s">
        <v>3</v>
      </c>
      <c r="I1425">
        <f>HLOOKUP(G1425,zip_tiers!$A$1:$EON$2,2,FALSE)</f>
        <v>75777.666666666672</v>
      </c>
      <c r="J1425" t="str">
        <f t="shared" si="22"/>
        <v>Med</v>
      </c>
      <c r="K1425">
        <f>dataset[[#This Row],[soda_sales]]/dataset[[#This Row],[soda_units_sold]]</f>
        <v>0.7296625239528004</v>
      </c>
      <c r="L1425" s="29">
        <f>dataset[[#This Row],[implied_soda_ppu]]-dataset[[#This Row],[soda_ppu]]</f>
        <v>-3.7476047199613838E-5</v>
      </c>
      <c r="M1425">
        <f>dataset[[#This Row],[soda_sales]]/dataset[[#This Row],[total_sales]]</f>
        <v>7.361131033885869E-2</v>
      </c>
      <c r="N1425">
        <f>LN(dataset[[#This Row],[soda_units_sold]])</f>
        <v>12.37989148983238</v>
      </c>
      <c r="O1425">
        <f>LN(dataset[[#This Row],[soda_sales]])</f>
        <v>12.064718342145891</v>
      </c>
      <c r="P1425">
        <f>LN(dataset[[#This Row],[soda_ppu]])</f>
        <v>-0.31512178821056264</v>
      </c>
      <c r="Q1425">
        <f>IF(dataset[[#This Row],[state]]="VA",1,0)</f>
        <v>1</v>
      </c>
    </row>
    <row r="1426" spans="1:17" x14ac:dyDescent="0.35">
      <c r="A1426">
        <v>202309</v>
      </c>
      <c r="B1426">
        <v>67</v>
      </c>
      <c r="C1426" s="2">
        <v>2376596.5751999998</v>
      </c>
      <c r="D1426" s="2">
        <v>0.73560000000000003</v>
      </c>
      <c r="E1426" s="3">
        <v>223802</v>
      </c>
      <c r="F1426" s="2">
        <v>164623.53779999999</v>
      </c>
      <c r="G1426" t="s">
        <v>2770</v>
      </c>
      <c r="H1426" t="s">
        <v>3</v>
      </c>
      <c r="I1426">
        <f>HLOOKUP(G1426,zip_tiers!$A$1:$EON$2,2,FALSE)</f>
        <v>75777.666666666672</v>
      </c>
      <c r="J1426" t="str">
        <f t="shared" si="22"/>
        <v>Med</v>
      </c>
      <c r="K1426">
        <f>dataset[[#This Row],[soda_sales]]/dataset[[#This Row],[soda_units_sold]]</f>
        <v>0.73557670530200803</v>
      </c>
      <c r="L1426" s="29">
        <f>dataset[[#This Row],[implied_soda_ppu]]-dataset[[#This Row],[soda_ppu]]</f>
        <v>-2.3294697992004565E-5</v>
      </c>
      <c r="M1426">
        <f>dataset[[#This Row],[soda_sales]]/dataset[[#This Row],[total_sales]]</f>
        <v>6.9268608529466674E-2</v>
      </c>
      <c r="N1426">
        <f>LN(dataset[[#This Row],[soda_units_sold]])</f>
        <v>12.318517011370522</v>
      </c>
      <c r="O1426">
        <f>LN(dataset[[#This Row],[soda_sales]])</f>
        <v>12.011416557001581</v>
      </c>
      <c r="P1426">
        <f>LN(dataset[[#This Row],[soda_ppu]])</f>
        <v>-0.30706878625197098</v>
      </c>
      <c r="Q1426">
        <f>IF(dataset[[#This Row],[state]]="VA",1,0)</f>
        <v>1</v>
      </c>
    </row>
    <row r="1427" spans="1:17" x14ac:dyDescent="0.35">
      <c r="A1427">
        <v>202310</v>
      </c>
      <c r="B1427">
        <v>67</v>
      </c>
      <c r="C1427" s="2">
        <v>2927661.4304999998</v>
      </c>
      <c r="D1427" s="2">
        <v>0.71889999999999998</v>
      </c>
      <c r="E1427" s="3">
        <v>223356</v>
      </c>
      <c r="F1427" s="2">
        <v>160560.04190000001</v>
      </c>
      <c r="G1427" t="s">
        <v>2770</v>
      </c>
      <c r="H1427" t="s">
        <v>3</v>
      </c>
      <c r="I1427">
        <f>HLOOKUP(G1427,zip_tiers!$A$1:$EON$2,2,FALSE)</f>
        <v>75777.666666666672</v>
      </c>
      <c r="J1427" t="str">
        <f t="shared" si="22"/>
        <v>Med</v>
      </c>
      <c r="K1427">
        <f>dataset[[#This Row],[soda_sales]]/dataset[[#This Row],[soda_units_sold]]</f>
        <v>0.71885260257167938</v>
      </c>
      <c r="L1427" s="29">
        <f>dataset[[#This Row],[implied_soda_ppu]]-dataset[[#This Row],[soda_ppu]]</f>
        <v>-4.7397428320605783E-5</v>
      </c>
      <c r="M1427">
        <f>dataset[[#This Row],[soda_sales]]/dataset[[#This Row],[total_sales]]</f>
        <v>5.4842421404096175E-2</v>
      </c>
      <c r="N1427">
        <f>LN(dataset[[#This Row],[soda_units_sold]])</f>
        <v>12.316522190086333</v>
      </c>
      <c r="O1427">
        <f>LN(dataset[[#This Row],[soda_sales]])</f>
        <v>11.986423244431821</v>
      </c>
      <c r="P1427">
        <f>LN(dataset[[#This Row],[soda_ppu]])</f>
        <v>-0.33003301299231125</v>
      </c>
      <c r="Q1427">
        <f>IF(dataset[[#This Row],[state]]="VA",1,0)</f>
        <v>1</v>
      </c>
    </row>
    <row r="1428" spans="1:17" x14ac:dyDescent="0.35">
      <c r="A1428">
        <v>202311</v>
      </c>
      <c r="B1428">
        <v>67</v>
      </c>
      <c r="C1428" s="2">
        <v>3357823.6195</v>
      </c>
      <c r="D1428" s="2">
        <v>0.70779999999999998</v>
      </c>
      <c r="E1428" s="3">
        <v>217697</v>
      </c>
      <c r="F1428" s="2">
        <v>154080.42850000001</v>
      </c>
      <c r="G1428" t="s">
        <v>2770</v>
      </c>
      <c r="H1428" t="s">
        <v>3</v>
      </c>
      <c r="I1428">
        <f>HLOOKUP(G1428,zip_tiers!$A$1:$EON$2,2,FALSE)</f>
        <v>75777.666666666672</v>
      </c>
      <c r="J1428" t="str">
        <f t="shared" si="22"/>
        <v>Med</v>
      </c>
      <c r="K1428">
        <f>dataset[[#This Row],[soda_sales]]/dataset[[#This Row],[soda_units_sold]]</f>
        <v>0.70777469831922357</v>
      </c>
      <c r="L1428" s="29">
        <f>dataset[[#This Row],[implied_soda_ppu]]-dataset[[#This Row],[soda_ppu]]</f>
        <v>-2.5301680776412816E-5</v>
      </c>
      <c r="M1428">
        <f>dataset[[#This Row],[soda_sales]]/dataset[[#This Row],[total_sales]]</f>
        <v>4.5886992873956707E-2</v>
      </c>
      <c r="N1428">
        <f>LN(dataset[[#This Row],[soda_units_sold]])</f>
        <v>12.290859466695901</v>
      </c>
      <c r="O1428">
        <f>LN(dataset[[#This Row],[soda_sales]])</f>
        <v>11.945230008050931</v>
      </c>
      <c r="P1428">
        <f>LN(dataset[[#This Row],[soda_ppu]])</f>
        <v>-0.34559371107077408</v>
      </c>
      <c r="Q1428">
        <f>IF(dataset[[#This Row],[state]]="VA",1,0)</f>
        <v>1</v>
      </c>
    </row>
    <row r="1429" spans="1:17" x14ac:dyDescent="0.35">
      <c r="A1429">
        <v>202312</v>
      </c>
      <c r="B1429">
        <v>67</v>
      </c>
      <c r="C1429" s="2">
        <v>3416197.9051999999</v>
      </c>
      <c r="D1429" s="2">
        <v>0.73460000000000003</v>
      </c>
      <c r="E1429" s="3">
        <v>198389</v>
      </c>
      <c r="F1429" s="2">
        <v>145734.5367</v>
      </c>
      <c r="G1429" t="s">
        <v>2770</v>
      </c>
      <c r="H1429" t="s">
        <v>3</v>
      </c>
      <c r="I1429">
        <f>HLOOKUP(G1429,zip_tiers!$A$1:$EON$2,2,FALSE)</f>
        <v>75777.666666666672</v>
      </c>
      <c r="J1429" t="str">
        <f t="shared" si="22"/>
        <v>Med</v>
      </c>
      <c r="K1429">
        <f>dataset[[#This Row],[soda_sales]]/dataset[[#This Row],[soda_units_sold]]</f>
        <v>0.73458980437423449</v>
      </c>
      <c r="L1429" s="29">
        <f>dataset[[#This Row],[implied_soda_ppu]]-dataset[[#This Row],[soda_ppu]]</f>
        <v>-1.0195625765541116E-5</v>
      </c>
      <c r="M1429">
        <f>dataset[[#This Row],[soda_sales]]/dataset[[#This Row],[total_sales]]</f>
        <v>4.2659863609824454E-2</v>
      </c>
      <c r="N1429">
        <f>LN(dataset[[#This Row],[soda_units_sold]])</f>
        <v>12.197985028747471</v>
      </c>
      <c r="O1429">
        <f>LN(dataset[[#This Row],[soda_sales]])</f>
        <v>11.889542003901624</v>
      </c>
      <c r="P1429">
        <f>LN(dataset[[#This Row],[soda_ppu]])</f>
        <v>-0.30842914559657009</v>
      </c>
      <c r="Q1429">
        <f>IF(dataset[[#This Row],[state]]="VA",1,0)</f>
        <v>1</v>
      </c>
    </row>
    <row r="1430" spans="1:17" x14ac:dyDescent="0.35">
      <c r="A1430">
        <v>202401</v>
      </c>
      <c r="B1430">
        <v>67</v>
      </c>
      <c r="C1430" s="2">
        <v>1970272.3393000001</v>
      </c>
      <c r="D1430" s="2">
        <v>0.75490000000000002</v>
      </c>
      <c r="E1430" s="3">
        <v>143052</v>
      </c>
      <c r="F1430" s="2">
        <v>107991.00539999999</v>
      </c>
      <c r="G1430" t="s">
        <v>2770</v>
      </c>
      <c r="H1430" t="s">
        <v>3</v>
      </c>
      <c r="I1430">
        <f>HLOOKUP(G1430,zip_tiers!$A$1:$EON$2,2,FALSE)</f>
        <v>75777.666666666672</v>
      </c>
      <c r="J1430" t="str">
        <f t="shared" si="22"/>
        <v>Med</v>
      </c>
      <c r="K1430">
        <f>dataset[[#This Row],[soda_sales]]/dataset[[#This Row],[soda_units_sold]]</f>
        <v>0.75490734418253502</v>
      </c>
      <c r="L1430" s="29">
        <f>dataset[[#This Row],[implied_soda_ppu]]-dataset[[#This Row],[soda_ppu]]</f>
        <v>7.3441825350073486E-6</v>
      </c>
      <c r="M1430">
        <f>dataset[[#This Row],[soda_sales]]/dataset[[#This Row],[total_sales]]</f>
        <v>5.4810192096777406E-2</v>
      </c>
      <c r="N1430">
        <f>LN(dataset[[#This Row],[soda_units_sold]])</f>
        <v>11.870963479506003</v>
      </c>
      <c r="O1430">
        <f>LN(dataset[[#This Row],[soda_sales]])</f>
        <v>11.589803219304773</v>
      </c>
      <c r="P1430">
        <f>LN(dataset[[#This Row],[soda_ppu]])</f>
        <v>-0.28116998883655786</v>
      </c>
      <c r="Q1430">
        <f>IF(dataset[[#This Row],[state]]="VA",1,0)</f>
        <v>1</v>
      </c>
    </row>
    <row r="1431" spans="1:17" x14ac:dyDescent="0.35">
      <c r="A1431">
        <v>202402</v>
      </c>
      <c r="B1431">
        <v>67</v>
      </c>
      <c r="C1431" s="2">
        <v>2225547.8184000002</v>
      </c>
      <c r="D1431" s="2">
        <v>0.72570000000000001</v>
      </c>
      <c r="E1431" s="3">
        <v>163013</v>
      </c>
      <c r="F1431" s="2">
        <v>118291.58990000001</v>
      </c>
      <c r="G1431" t="s">
        <v>2770</v>
      </c>
      <c r="H1431" t="s">
        <v>3</v>
      </c>
      <c r="I1431">
        <f>HLOOKUP(G1431,zip_tiers!$A$1:$EON$2,2,FALSE)</f>
        <v>75777.666666666672</v>
      </c>
      <c r="J1431" t="str">
        <f t="shared" si="22"/>
        <v>Med</v>
      </c>
      <c r="K1431">
        <f>dataset[[#This Row],[soda_sales]]/dataset[[#This Row],[soda_units_sold]]</f>
        <v>0.72565740094348308</v>
      </c>
      <c r="L1431" s="29">
        <f>dataset[[#This Row],[implied_soda_ppu]]-dataset[[#This Row],[soda_ppu]]</f>
        <v>-4.2599056516934297E-5</v>
      </c>
      <c r="M1431">
        <f>dataset[[#This Row],[soda_sales]]/dataset[[#This Row],[total_sales]]</f>
        <v>5.3151673004735826E-2</v>
      </c>
      <c r="N1431">
        <f>LN(dataset[[#This Row],[soda_units_sold]])</f>
        <v>12.001585231209898</v>
      </c>
      <c r="O1431">
        <f>LN(dataset[[#This Row],[soda_sales]])</f>
        <v>11.680907956146051</v>
      </c>
      <c r="P1431">
        <f>LN(dataset[[#This Row],[soda_ppu]])</f>
        <v>-0.32061857269804578</v>
      </c>
      <c r="Q1431">
        <f>IF(dataset[[#This Row],[state]]="VA",1,0)</f>
        <v>1</v>
      </c>
    </row>
    <row r="1432" spans="1:17" x14ac:dyDescent="0.35">
      <c r="A1432">
        <v>202403</v>
      </c>
      <c r="B1432">
        <v>67</v>
      </c>
      <c r="C1432" s="2">
        <v>2554773.7702000001</v>
      </c>
      <c r="D1432" s="2">
        <v>0.75209999999999999</v>
      </c>
      <c r="E1432" s="3">
        <v>196031</v>
      </c>
      <c r="F1432" s="2">
        <v>147429.6808</v>
      </c>
      <c r="G1432" t="s">
        <v>2770</v>
      </c>
      <c r="H1432" t="s">
        <v>3</v>
      </c>
      <c r="I1432">
        <f>HLOOKUP(G1432,zip_tiers!$A$1:$EON$2,2,FALSE)</f>
        <v>75777.666666666672</v>
      </c>
      <c r="J1432" t="str">
        <f t="shared" si="22"/>
        <v>Med</v>
      </c>
      <c r="K1432">
        <f>dataset[[#This Row],[soda_sales]]/dataset[[#This Row],[soda_units_sold]]</f>
        <v>0.75207329861093397</v>
      </c>
      <c r="L1432" s="29">
        <f>dataset[[#This Row],[implied_soda_ppu]]-dataset[[#This Row],[soda_ppu]]</f>
        <v>-2.6701389066019487E-5</v>
      </c>
      <c r="M1432">
        <f>dataset[[#This Row],[soda_sales]]/dataset[[#This Row],[total_sales]]</f>
        <v>5.7707528752519832E-2</v>
      </c>
      <c r="N1432">
        <f>LN(dataset[[#This Row],[soda_units_sold]])</f>
        <v>12.18602808897147</v>
      </c>
      <c r="O1432">
        <f>LN(dataset[[#This Row],[soda_sales]])</f>
        <v>11.901106600746223</v>
      </c>
      <c r="P1432">
        <f>LN(dataset[[#This Row],[soda_ppu]])</f>
        <v>-0.28488598514977964</v>
      </c>
      <c r="Q1432">
        <f>IF(dataset[[#This Row],[state]]="VA",1,0)</f>
        <v>1</v>
      </c>
    </row>
    <row r="1433" spans="1:17" x14ac:dyDescent="0.35">
      <c r="A1433">
        <v>202404</v>
      </c>
      <c r="B1433">
        <v>67</v>
      </c>
      <c r="C1433" s="2">
        <v>2640823.6527</v>
      </c>
      <c r="D1433" s="2">
        <v>0.75539999999999996</v>
      </c>
      <c r="E1433" s="3">
        <v>219224</v>
      </c>
      <c r="F1433" s="2">
        <v>165609.43340000001</v>
      </c>
      <c r="G1433" t="s">
        <v>2770</v>
      </c>
      <c r="H1433" t="s">
        <v>3</v>
      </c>
      <c r="I1433">
        <f>HLOOKUP(G1433,zip_tiers!$A$1:$EON$2,2,FALSE)</f>
        <v>75777.666666666672</v>
      </c>
      <c r="J1433" t="str">
        <f t="shared" si="22"/>
        <v>Med</v>
      </c>
      <c r="K1433">
        <f>dataset[[#This Row],[soda_sales]]/dataset[[#This Row],[soda_units_sold]]</f>
        <v>0.75543477630186484</v>
      </c>
      <c r="L1433" s="29">
        <f>dataset[[#This Row],[implied_soda_ppu]]-dataset[[#This Row],[soda_ppu]]</f>
        <v>3.4776301864880566E-5</v>
      </c>
      <c r="M1433">
        <f>dataset[[#This Row],[soda_sales]]/dataset[[#This Row],[total_sales]]</f>
        <v>6.271128071375745E-2</v>
      </c>
      <c r="N1433">
        <f>LN(dataset[[#This Row],[soda_units_sold]])</f>
        <v>12.297849317113604</v>
      </c>
      <c r="O1433">
        <f>LN(dataset[[#This Row],[soda_sales]])</f>
        <v>12.017387484286699</v>
      </c>
      <c r="P1433">
        <f>LN(dataset[[#This Row],[soda_ppu]])</f>
        <v>-0.28050786870378064</v>
      </c>
      <c r="Q1433">
        <f>IF(dataset[[#This Row],[state]]="VA",1,0)</f>
        <v>1</v>
      </c>
    </row>
    <row r="1434" spans="1:17" x14ac:dyDescent="0.35">
      <c r="A1434">
        <v>202405</v>
      </c>
      <c r="B1434">
        <v>67</v>
      </c>
      <c r="C1434" s="2">
        <v>2784324.6716</v>
      </c>
      <c r="D1434" s="2">
        <v>0.71930000000000005</v>
      </c>
      <c r="E1434" s="3">
        <v>253763</v>
      </c>
      <c r="F1434" s="2">
        <v>182531.46040000001</v>
      </c>
      <c r="G1434" t="s">
        <v>2770</v>
      </c>
      <c r="H1434" t="s">
        <v>3</v>
      </c>
      <c r="I1434">
        <f>HLOOKUP(G1434,zip_tiers!$A$1:$EON$2,2,FALSE)</f>
        <v>75777.666666666672</v>
      </c>
      <c r="J1434" t="str">
        <f t="shared" si="22"/>
        <v>Med</v>
      </c>
      <c r="K1434">
        <f>dataset[[#This Row],[soda_sales]]/dataset[[#This Row],[soda_units_sold]]</f>
        <v>0.71929895374818242</v>
      </c>
      <c r="L1434" s="29">
        <f>dataset[[#This Row],[implied_soda_ppu]]-dataset[[#This Row],[soda_ppu]]</f>
        <v>-1.0462518176268532E-6</v>
      </c>
      <c r="M1434">
        <f>dataset[[#This Row],[soda_sales]]/dataset[[#This Row],[total_sales]]</f>
        <v>6.5556816078891078E-2</v>
      </c>
      <c r="N1434">
        <f>LN(dataset[[#This Row],[soda_units_sold]])</f>
        <v>12.444156039552938</v>
      </c>
      <c r="O1434">
        <f>LN(dataset[[#This Row],[soda_sales]])</f>
        <v>12.114677822901392</v>
      </c>
      <c r="P1434">
        <f>LN(dataset[[#This Row],[soda_ppu]])</f>
        <v>-0.32947676210882643</v>
      </c>
      <c r="Q1434">
        <f>IF(dataset[[#This Row],[state]]="VA",1,0)</f>
        <v>1</v>
      </c>
    </row>
    <row r="1435" spans="1:17" x14ac:dyDescent="0.35">
      <c r="A1435">
        <v>202406</v>
      </c>
      <c r="B1435">
        <v>67</v>
      </c>
      <c r="C1435" s="2">
        <v>2728227.9293</v>
      </c>
      <c r="D1435" s="2">
        <v>0.77259999999999995</v>
      </c>
      <c r="E1435" s="3">
        <v>252839</v>
      </c>
      <c r="F1435" s="2">
        <v>195334.82990000001</v>
      </c>
      <c r="G1435" t="s">
        <v>2770</v>
      </c>
      <c r="H1435" t="s">
        <v>3</v>
      </c>
      <c r="I1435">
        <f>HLOOKUP(G1435,zip_tiers!$A$1:$EON$2,2,FALSE)</f>
        <v>75777.666666666672</v>
      </c>
      <c r="J1435" t="str">
        <f t="shared" si="22"/>
        <v>Med</v>
      </c>
      <c r="K1435">
        <f>dataset[[#This Row],[soda_sales]]/dataset[[#This Row],[soda_units_sold]]</f>
        <v>0.77256605942912293</v>
      </c>
      <c r="L1435" s="29">
        <f>dataset[[#This Row],[implied_soda_ppu]]-dataset[[#This Row],[soda_ppu]]</f>
        <v>-3.3940570877022402E-5</v>
      </c>
      <c r="M1435">
        <f>dataset[[#This Row],[soda_sales]]/dataset[[#This Row],[total_sales]]</f>
        <v>7.1597694533578948E-2</v>
      </c>
      <c r="N1435">
        <f>LN(dataset[[#This Row],[soda_units_sold]])</f>
        <v>12.440508201508013</v>
      </c>
      <c r="O1435">
        <f>LN(dataset[[#This Row],[soda_sales]])</f>
        <v>12.182470441465785</v>
      </c>
      <c r="P1435">
        <f>LN(dataset[[#This Row],[soda_ppu]])</f>
        <v>-0.25799382874995619</v>
      </c>
      <c r="Q1435">
        <f>IF(dataset[[#This Row],[state]]="VA",1,0)</f>
        <v>1</v>
      </c>
    </row>
    <row r="1436" spans="1:17" x14ac:dyDescent="0.35">
      <c r="A1436">
        <v>202407</v>
      </c>
      <c r="B1436">
        <v>67</v>
      </c>
      <c r="C1436" s="2">
        <v>2539391.9356</v>
      </c>
      <c r="D1436" s="2">
        <v>0.73599999999999999</v>
      </c>
      <c r="E1436" s="3">
        <v>266235</v>
      </c>
      <c r="F1436" s="2">
        <v>195940.97469999999</v>
      </c>
      <c r="G1436" t="s">
        <v>2770</v>
      </c>
      <c r="H1436" t="s">
        <v>3</v>
      </c>
      <c r="I1436">
        <f>HLOOKUP(G1436,zip_tiers!$A$1:$EON$2,2,FALSE)</f>
        <v>75777.666666666672</v>
      </c>
      <c r="J1436" t="str">
        <f t="shared" si="22"/>
        <v>Med</v>
      </c>
      <c r="K1436">
        <f>dataset[[#This Row],[soda_sales]]/dataset[[#This Row],[soda_units_sold]]</f>
        <v>0.73597000657314027</v>
      </c>
      <c r="L1436" s="29">
        <f>dataset[[#This Row],[implied_soda_ppu]]-dataset[[#This Row],[soda_ppu]]</f>
        <v>-2.9993426859720174E-5</v>
      </c>
      <c r="M1436">
        <f>dataset[[#This Row],[soda_sales]]/dataset[[#This Row],[total_sales]]</f>
        <v>7.7160587915982196E-2</v>
      </c>
      <c r="N1436">
        <f>LN(dataset[[#This Row],[soda_units_sold]])</f>
        <v>12.492134656390556</v>
      </c>
      <c r="O1436">
        <f>LN(dataset[[#This Row],[soda_sales]])</f>
        <v>12.185568743368245</v>
      </c>
      <c r="P1436">
        <f>LN(dataset[[#This Row],[soda_ppu]])</f>
        <v>-0.30652516025326082</v>
      </c>
      <c r="Q1436">
        <f>IF(dataset[[#This Row],[state]]="VA",1,0)</f>
        <v>1</v>
      </c>
    </row>
    <row r="1437" spans="1:17" x14ac:dyDescent="0.35">
      <c r="A1437">
        <v>202408</v>
      </c>
      <c r="B1437">
        <v>67</v>
      </c>
      <c r="C1437" s="2">
        <v>2390504.9553999999</v>
      </c>
      <c r="D1437" s="2">
        <v>0.75460000000000005</v>
      </c>
      <c r="E1437" s="3">
        <v>228428</v>
      </c>
      <c r="F1437" s="2">
        <v>172365.67569999999</v>
      </c>
      <c r="G1437" t="s">
        <v>2770</v>
      </c>
      <c r="H1437" t="s">
        <v>3</v>
      </c>
      <c r="I1437">
        <f>HLOOKUP(G1437,zip_tiers!$A$1:$EON$2,2,FALSE)</f>
        <v>75777.666666666672</v>
      </c>
      <c r="J1437" t="str">
        <f t="shared" si="22"/>
        <v>Med</v>
      </c>
      <c r="K1437">
        <f>dataset[[#This Row],[soda_sales]]/dataset[[#This Row],[soda_units_sold]]</f>
        <v>0.7545733259495333</v>
      </c>
      <c r="L1437" s="29">
        <f>dataset[[#This Row],[implied_soda_ppu]]-dataset[[#This Row],[soda_ppu]]</f>
        <v>-2.6674050466746202E-5</v>
      </c>
      <c r="M1437">
        <f>dataset[[#This Row],[soda_sales]]/dataset[[#This Row],[total_sales]]</f>
        <v>7.2104295500679386E-2</v>
      </c>
      <c r="N1437">
        <f>LN(dataset[[#This Row],[soda_units_sold]])</f>
        <v>12.338976341194172</v>
      </c>
      <c r="O1437">
        <f>LN(dataset[[#This Row],[soda_sales]])</f>
        <v>12.057373520521567</v>
      </c>
      <c r="P1437">
        <f>LN(dataset[[#This Row],[soda_ppu]])</f>
        <v>-0.2815674714519269</v>
      </c>
      <c r="Q1437">
        <f>IF(dataset[[#This Row],[state]]="VA",1,0)</f>
        <v>1</v>
      </c>
    </row>
    <row r="1438" spans="1:17" x14ac:dyDescent="0.35">
      <c r="A1438">
        <v>202409</v>
      </c>
      <c r="B1438">
        <v>67</v>
      </c>
      <c r="C1438" s="2">
        <v>2413401.6282000002</v>
      </c>
      <c r="D1438" s="2">
        <v>0.77949999999999997</v>
      </c>
      <c r="E1438" s="3">
        <v>217462</v>
      </c>
      <c r="F1438" s="2">
        <v>169501.67679999999</v>
      </c>
      <c r="G1438" t="s">
        <v>2770</v>
      </c>
      <c r="H1438" t="s">
        <v>3</v>
      </c>
      <c r="I1438">
        <f>HLOOKUP(G1438,zip_tiers!$A$1:$EON$2,2,FALSE)</f>
        <v>75777.666666666672</v>
      </c>
      <c r="J1438" t="str">
        <f t="shared" si="22"/>
        <v>Med</v>
      </c>
      <c r="K1438">
        <f>dataset[[#This Row],[soda_sales]]/dataset[[#This Row],[soda_units_sold]]</f>
        <v>0.77945423476285502</v>
      </c>
      <c r="L1438" s="29">
        <f>dataset[[#This Row],[implied_soda_ppu]]-dataset[[#This Row],[soda_ppu]]</f>
        <v>-4.5765237144945736E-5</v>
      </c>
      <c r="M1438">
        <f>dataset[[#This Row],[soda_sales]]/dataset[[#This Row],[total_sales]]</f>
        <v>7.0233513899806352E-2</v>
      </c>
      <c r="N1438">
        <f>LN(dataset[[#This Row],[soda_units_sold]])</f>
        <v>12.289779401603166</v>
      </c>
      <c r="O1438">
        <f>LN(dataset[[#This Row],[soda_sales]])</f>
        <v>12.040618098379079</v>
      </c>
      <c r="P1438">
        <f>LN(dataset[[#This Row],[soda_ppu]])</f>
        <v>-0.24910259048430589</v>
      </c>
      <c r="Q1438">
        <f>IF(dataset[[#This Row],[state]]="VA",1,0)</f>
        <v>1</v>
      </c>
    </row>
    <row r="1439" spans="1:17" x14ac:dyDescent="0.35">
      <c r="A1439">
        <v>202410</v>
      </c>
      <c r="B1439">
        <v>67</v>
      </c>
      <c r="C1439" s="2">
        <v>2958689.5062000002</v>
      </c>
      <c r="D1439" s="2">
        <v>0.76429999999999998</v>
      </c>
      <c r="E1439" s="3">
        <v>205842</v>
      </c>
      <c r="F1439" s="2">
        <v>157328.1312</v>
      </c>
      <c r="G1439" t="s">
        <v>2770</v>
      </c>
      <c r="H1439" t="s">
        <v>3</v>
      </c>
      <c r="I1439">
        <f>HLOOKUP(G1439,zip_tiers!$A$1:$EON$2,2,FALSE)</f>
        <v>75777.666666666672</v>
      </c>
      <c r="J1439" t="str">
        <f t="shared" si="22"/>
        <v>Med</v>
      </c>
      <c r="K1439">
        <f>dataset[[#This Row],[soda_sales]]/dataset[[#This Row],[soda_units_sold]]</f>
        <v>0.76431501442854233</v>
      </c>
      <c r="L1439" s="29">
        <f>dataset[[#This Row],[implied_soda_ppu]]-dataset[[#This Row],[soda_ppu]]</f>
        <v>1.5014428542348135E-5</v>
      </c>
      <c r="M1439">
        <f>dataset[[#This Row],[soda_sales]]/dataset[[#This Row],[total_sales]]</f>
        <v>5.3174938049536921E-2</v>
      </c>
      <c r="N1439">
        <f>LN(dataset[[#This Row],[soda_units_sold]])</f>
        <v>12.234864163192915</v>
      </c>
      <c r="O1439">
        <f>LN(dataset[[#This Row],[soda_sales]])</f>
        <v>11.966088910946164</v>
      </c>
      <c r="P1439">
        <f>LN(dataset[[#This Row],[soda_ppu]])</f>
        <v>-0.26879489673329865</v>
      </c>
      <c r="Q1439">
        <f>IF(dataset[[#This Row],[state]]="VA",1,0)</f>
        <v>1</v>
      </c>
    </row>
    <row r="1440" spans="1:17" x14ac:dyDescent="0.35">
      <c r="A1440">
        <v>202411</v>
      </c>
      <c r="B1440">
        <v>67</v>
      </c>
      <c r="C1440" s="2">
        <v>3382731.7590000001</v>
      </c>
      <c r="D1440" s="2">
        <v>0.78</v>
      </c>
      <c r="E1440" s="3">
        <v>193187</v>
      </c>
      <c r="F1440" s="2">
        <v>150684.87390000001</v>
      </c>
      <c r="G1440" t="s">
        <v>2770</v>
      </c>
      <c r="H1440" t="s">
        <v>3</v>
      </c>
      <c r="I1440">
        <f>HLOOKUP(G1440,zip_tiers!$A$1:$EON$2,2,FALSE)</f>
        <v>75777.666666666672</v>
      </c>
      <c r="J1440" t="str">
        <f t="shared" si="22"/>
        <v>Med</v>
      </c>
      <c r="K1440">
        <f>dataset[[#This Row],[soda_sales]]/dataset[[#This Row],[soda_units_sold]]</f>
        <v>0.77999489561927049</v>
      </c>
      <c r="L1440" s="29">
        <f>dataset[[#This Row],[implied_soda_ppu]]-dataset[[#This Row],[soda_ppu]]</f>
        <v>-5.1043807295370058E-6</v>
      </c>
      <c r="M1440">
        <f>dataset[[#This Row],[soda_sales]]/dataset[[#This Row],[total_sales]]</f>
        <v>4.4545321543480974E-2</v>
      </c>
      <c r="N1440">
        <f>LN(dataset[[#This Row],[soda_units_sold]])</f>
        <v>12.171413910711951</v>
      </c>
      <c r="O1440">
        <f>LN(dataset[[#This Row],[soda_sales]])</f>
        <v>11.922946007314181</v>
      </c>
      <c r="P1440">
        <f>LN(dataset[[#This Row],[soda_ppu]])</f>
        <v>-0.24846135929849961</v>
      </c>
      <c r="Q1440">
        <f>IF(dataset[[#This Row],[state]]="VA",1,0)</f>
        <v>1</v>
      </c>
    </row>
    <row r="1441" spans="1:17" x14ac:dyDescent="0.35">
      <c r="A1441">
        <v>202412</v>
      </c>
      <c r="B1441">
        <v>67</v>
      </c>
      <c r="C1441" s="2">
        <v>3461785.6677000001</v>
      </c>
      <c r="D1441" s="2">
        <v>0.752</v>
      </c>
      <c r="E1441" s="3">
        <v>194167</v>
      </c>
      <c r="F1441" s="2">
        <v>146015.0362</v>
      </c>
      <c r="G1441" t="s">
        <v>2770</v>
      </c>
      <c r="H1441" t="s">
        <v>3</v>
      </c>
      <c r="I1441">
        <f>HLOOKUP(G1441,zip_tiers!$A$1:$EON$2,2,FALSE)</f>
        <v>75777.666666666672</v>
      </c>
      <c r="J1441" t="str">
        <f t="shared" si="22"/>
        <v>Med</v>
      </c>
      <c r="K1441">
        <f>dataset[[#This Row],[soda_sales]]/dataset[[#This Row],[soda_units_sold]]</f>
        <v>0.75200747912879118</v>
      </c>
      <c r="L1441" s="29">
        <f>dataset[[#This Row],[implied_soda_ppu]]-dataset[[#This Row],[soda_ppu]]</f>
        <v>7.4791287911768478E-6</v>
      </c>
      <c r="M1441">
        <f>dataset[[#This Row],[soda_sales]]/dataset[[#This Row],[total_sales]]</f>
        <v>4.2179109343014859E-2</v>
      </c>
      <c r="N1441">
        <f>LN(dataset[[#This Row],[soda_units_sold]])</f>
        <v>12.176473892490607</v>
      </c>
      <c r="O1441">
        <f>LN(dataset[[#This Row],[soda_sales]])</f>
        <v>11.891464883058839</v>
      </c>
      <c r="P1441">
        <f>LN(dataset[[#This Row],[soda_ppu]])</f>
        <v>-0.28501895503229724</v>
      </c>
      <c r="Q1441">
        <f>IF(dataset[[#This Row],[state]]="VA",1,0)</f>
        <v>1</v>
      </c>
    </row>
    <row r="1442" spans="1:17" x14ac:dyDescent="0.35">
      <c r="A1442">
        <v>202201</v>
      </c>
      <c r="B1442">
        <v>74</v>
      </c>
      <c r="C1442" s="2">
        <v>1817862.2941999999</v>
      </c>
      <c r="D1442" s="2">
        <v>0.71519999999999995</v>
      </c>
      <c r="E1442" s="3">
        <v>136525</v>
      </c>
      <c r="F1442" s="2">
        <v>97644.146299999993</v>
      </c>
      <c r="G1442" t="s">
        <v>2840</v>
      </c>
      <c r="H1442" t="s">
        <v>3</v>
      </c>
      <c r="I1442">
        <f>HLOOKUP(G1442,zip_tiers!$A$1:$EON$2,2,FALSE)</f>
        <v>64149.333333333336</v>
      </c>
      <c r="J1442" t="str">
        <f t="shared" si="22"/>
        <v>Med</v>
      </c>
      <c r="K1442">
        <f>dataset[[#This Row],[soda_sales]]/dataset[[#This Row],[soda_units_sold]]</f>
        <v>0.71521074015748032</v>
      </c>
      <c r="L1442" s="29">
        <f>dataset[[#This Row],[implied_soda_ppu]]-dataset[[#This Row],[soda_ppu]]</f>
        <v>1.074015748037116E-5</v>
      </c>
      <c r="M1442">
        <f>dataset[[#This Row],[soda_sales]]/dataset[[#This Row],[total_sales]]</f>
        <v>5.371372001693394E-2</v>
      </c>
      <c r="N1442">
        <f>LN(dataset[[#This Row],[soda_units_sold]])</f>
        <v>11.824263027020354</v>
      </c>
      <c r="O1442">
        <f>LN(dataset[[#This Row],[soda_sales]])</f>
        <v>11.489084988783482</v>
      </c>
      <c r="P1442">
        <f>LN(dataset[[#This Row],[soda_ppu]])</f>
        <v>-0.33519305512283276</v>
      </c>
      <c r="Q1442">
        <f>IF(dataset[[#This Row],[state]]="VA",1,0)</f>
        <v>1</v>
      </c>
    </row>
    <row r="1443" spans="1:17" x14ac:dyDescent="0.35">
      <c r="A1443">
        <v>202202</v>
      </c>
      <c r="B1443">
        <v>74</v>
      </c>
      <c r="C1443" s="2">
        <v>2035259.3108999999</v>
      </c>
      <c r="D1443" s="2">
        <v>0.75109999999999999</v>
      </c>
      <c r="E1443" s="3">
        <v>140408</v>
      </c>
      <c r="F1443" s="2">
        <v>105456.173</v>
      </c>
      <c r="G1443" t="s">
        <v>2840</v>
      </c>
      <c r="H1443" t="s">
        <v>3</v>
      </c>
      <c r="I1443">
        <f>HLOOKUP(G1443,zip_tiers!$A$1:$EON$2,2,FALSE)</f>
        <v>64149.333333333336</v>
      </c>
      <c r="J1443" t="str">
        <f t="shared" si="22"/>
        <v>Med</v>
      </c>
      <c r="K1443">
        <f>dataset[[#This Row],[soda_sales]]/dataset[[#This Row],[soda_units_sold]]</f>
        <v>0.75106954731924103</v>
      </c>
      <c r="L1443" s="29">
        <f>dataset[[#This Row],[implied_soda_ppu]]-dataset[[#This Row],[soda_ppu]]</f>
        <v>-3.0452680758963346E-5</v>
      </c>
      <c r="M1443">
        <f>dataset[[#This Row],[soda_sales]]/dataset[[#This Row],[total_sales]]</f>
        <v>5.1814612730289804E-2</v>
      </c>
      <c r="N1443">
        <f>LN(dataset[[#This Row],[soda_units_sold]])</f>
        <v>11.852307749007526</v>
      </c>
      <c r="O1443">
        <f>LN(dataset[[#This Row],[soda_sales]])</f>
        <v>11.56605072378577</v>
      </c>
      <c r="P1443">
        <f>LN(dataset[[#This Row],[soda_ppu]])</f>
        <v>-0.28621648029017099</v>
      </c>
      <c r="Q1443">
        <f>IF(dataset[[#This Row],[state]]="VA",1,0)</f>
        <v>1</v>
      </c>
    </row>
    <row r="1444" spans="1:17" x14ac:dyDescent="0.35">
      <c r="A1444">
        <v>202203</v>
      </c>
      <c r="B1444">
        <v>74</v>
      </c>
      <c r="C1444" s="2">
        <v>2225275.7725</v>
      </c>
      <c r="D1444" s="2">
        <v>0.71120000000000005</v>
      </c>
      <c r="E1444" s="3">
        <v>174495</v>
      </c>
      <c r="F1444" s="2">
        <v>124107.00930000001</v>
      </c>
      <c r="G1444" t="s">
        <v>2840</v>
      </c>
      <c r="H1444" t="s">
        <v>3</v>
      </c>
      <c r="I1444">
        <f>HLOOKUP(G1444,zip_tiers!$A$1:$EON$2,2,FALSE)</f>
        <v>64149.333333333336</v>
      </c>
      <c r="J1444" t="str">
        <f t="shared" si="22"/>
        <v>Med</v>
      </c>
      <c r="K1444">
        <f>dataset[[#This Row],[soda_sales]]/dataset[[#This Row],[soda_units_sold]]</f>
        <v>0.71123533224447699</v>
      </c>
      <c r="L1444" s="29">
        <f>dataset[[#This Row],[implied_soda_ppu]]-dataset[[#This Row],[soda_ppu]]</f>
        <v>3.5332244476937724E-5</v>
      </c>
      <c r="M1444">
        <f>dataset[[#This Row],[soda_sales]]/dataset[[#This Row],[total_sales]]</f>
        <v>5.57715186736479E-2</v>
      </c>
      <c r="N1444">
        <f>LN(dataset[[#This Row],[soda_units_sold]])</f>
        <v>12.069651366918977</v>
      </c>
      <c r="O1444">
        <f>LN(dataset[[#This Row],[soda_sales]])</f>
        <v>11.728899450661361</v>
      </c>
      <c r="P1444">
        <f>LN(dataset[[#This Row],[soda_ppu]])</f>
        <v>-0.34080159478244215</v>
      </c>
      <c r="Q1444">
        <f>IF(dataset[[#This Row],[state]]="VA",1,0)</f>
        <v>1</v>
      </c>
    </row>
    <row r="1445" spans="1:17" x14ac:dyDescent="0.35">
      <c r="A1445">
        <v>202204</v>
      </c>
      <c r="B1445">
        <v>74</v>
      </c>
      <c r="C1445" s="2">
        <v>2408953.5776</v>
      </c>
      <c r="D1445" s="2">
        <v>0.71309999999999996</v>
      </c>
      <c r="E1445" s="3">
        <v>212211</v>
      </c>
      <c r="F1445" s="2">
        <v>151329.04089999999</v>
      </c>
      <c r="G1445" t="s">
        <v>2840</v>
      </c>
      <c r="H1445" t="s">
        <v>3</v>
      </c>
      <c r="I1445">
        <f>HLOOKUP(G1445,zip_tiers!$A$1:$EON$2,2,FALSE)</f>
        <v>64149.333333333336</v>
      </c>
      <c r="J1445" t="str">
        <f t="shared" si="22"/>
        <v>Med</v>
      </c>
      <c r="K1445">
        <f>dataset[[#This Row],[soda_sales]]/dataset[[#This Row],[soda_units_sold]]</f>
        <v>0.71310648788234343</v>
      </c>
      <c r="L1445" s="29">
        <f>dataset[[#This Row],[implied_soda_ppu]]-dataset[[#This Row],[soda_ppu]]</f>
        <v>6.4878823434755262E-6</v>
      </c>
      <c r="M1445">
        <f>dataset[[#This Row],[soda_sales]]/dataset[[#This Row],[total_sales]]</f>
        <v>6.2819409351493841E-2</v>
      </c>
      <c r="N1445">
        <f>LN(dataset[[#This Row],[soda_units_sold]])</f>
        <v>12.265336341707266</v>
      </c>
      <c r="O1445">
        <f>LN(dataset[[#This Row],[soda_sales]])</f>
        <v>11.92721182385619</v>
      </c>
      <c r="P1445">
        <f>LN(dataset[[#This Row],[soda_ppu]])</f>
        <v>-0.33813361594787916</v>
      </c>
      <c r="Q1445">
        <f>IF(dataset[[#This Row],[state]]="VA",1,0)</f>
        <v>1</v>
      </c>
    </row>
    <row r="1446" spans="1:17" x14ac:dyDescent="0.35">
      <c r="A1446">
        <v>202205</v>
      </c>
      <c r="B1446">
        <v>74</v>
      </c>
      <c r="C1446" s="2">
        <v>2500724.0778999999</v>
      </c>
      <c r="D1446" s="2">
        <v>0.70760000000000001</v>
      </c>
      <c r="E1446" s="3">
        <v>229077</v>
      </c>
      <c r="F1446" s="2">
        <v>162097.4669</v>
      </c>
      <c r="G1446" t="s">
        <v>2840</v>
      </c>
      <c r="H1446" t="s">
        <v>3</v>
      </c>
      <c r="I1446">
        <f>HLOOKUP(G1446,zip_tiers!$A$1:$EON$2,2,FALSE)</f>
        <v>64149.333333333336</v>
      </c>
      <c r="J1446" t="str">
        <f t="shared" si="22"/>
        <v>Med</v>
      </c>
      <c r="K1446">
        <f>dataset[[#This Row],[soda_sales]]/dataset[[#This Row],[soda_units_sold]]</f>
        <v>0.70761127000964741</v>
      </c>
      <c r="L1446" s="29">
        <f>dataset[[#This Row],[implied_soda_ppu]]-dataset[[#This Row],[soda_ppu]]</f>
        <v>1.1270009647401658E-5</v>
      </c>
      <c r="M1446">
        <f>dataset[[#This Row],[soda_sales]]/dataset[[#This Row],[total_sales]]</f>
        <v>6.4820212806573393E-2</v>
      </c>
      <c r="N1446">
        <f>LN(dataset[[#This Row],[soda_units_sold]])</f>
        <v>12.341813470560334</v>
      </c>
      <c r="O1446">
        <f>LN(dataset[[#This Row],[soda_sales]])</f>
        <v>11.995953080828071</v>
      </c>
      <c r="P1446">
        <f>LN(dataset[[#This Row],[soda_ppu]])</f>
        <v>-0.34587631669650681</v>
      </c>
      <c r="Q1446">
        <f>IF(dataset[[#This Row],[state]]="VA",1,0)</f>
        <v>1</v>
      </c>
    </row>
    <row r="1447" spans="1:17" x14ac:dyDescent="0.35">
      <c r="A1447">
        <v>202206</v>
      </c>
      <c r="B1447">
        <v>74</v>
      </c>
      <c r="C1447" s="2">
        <v>2407838.6510000001</v>
      </c>
      <c r="D1447" s="2">
        <v>0.70479999999999998</v>
      </c>
      <c r="E1447" s="3">
        <v>240174</v>
      </c>
      <c r="F1447" s="2">
        <v>169284.01180000001</v>
      </c>
      <c r="G1447" t="s">
        <v>2840</v>
      </c>
      <c r="H1447" t="s">
        <v>3</v>
      </c>
      <c r="I1447">
        <f>HLOOKUP(G1447,zip_tiers!$A$1:$EON$2,2,FALSE)</f>
        <v>64149.333333333336</v>
      </c>
      <c r="J1447" t="str">
        <f t="shared" si="22"/>
        <v>Med</v>
      </c>
      <c r="K1447">
        <f>dataset[[#This Row],[soda_sales]]/dataset[[#This Row],[soda_units_sold]]</f>
        <v>0.70483904086204174</v>
      </c>
      <c r="L1447" s="29">
        <f>dataset[[#This Row],[implied_soda_ppu]]-dataset[[#This Row],[soda_ppu]]</f>
        <v>3.9040862041761493E-5</v>
      </c>
      <c r="M1447">
        <f>dataset[[#This Row],[soda_sales]]/dataset[[#This Row],[total_sales]]</f>
        <v>7.0305380192187975E-2</v>
      </c>
      <c r="N1447">
        <f>LN(dataset[[#This Row],[soda_units_sold]])</f>
        <v>12.389118939638585</v>
      </c>
      <c r="O1447">
        <f>LN(dataset[[#This Row],[soda_sales]])</f>
        <v>12.039333126567847</v>
      </c>
      <c r="P1447">
        <f>LN(dataset[[#This Row],[soda_ppu]])</f>
        <v>-0.3498412043601673</v>
      </c>
      <c r="Q1447">
        <f>IF(dataset[[#This Row],[state]]="VA",1,0)</f>
        <v>1</v>
      </c>
    </row>
    <row r="1448" spans="1:17" x14ac:dyDescent="0.35">
      <c r="A1448">
        <v>202207</v>
      </c>
      <c r="B1448">
        <v>74</v>
      </c>
      <c r="C1448" s="2">
        <v>2257882.0652999999</v>
      </c>
      <c r="D1448" s="2">
        <v>0.71889999999999998</v>
      </c>
      <c r="E1448" s="3">
        <v>243410</v>
      </c>
      <c r="F1448" s="2">
        <v>174992.34229999999</v>
      </c>
      <c r="G1448" t="s">
        <v>2840</v>
      </c>
      <c r="H1448" t="s">
        <v>3</v>
      </c>
      <c r="I1448">
        <f>HLOOKUP(G1448,zip_tiers!$A$1:$EON$2,2,FALSE)</f>
        <v>64149.333333333336</v>
      </c>
      <c r="J1448" t="str">
        <f t="shared" si="22"/>
        <v>Med</v>
      </c>
      <c r="K1448">
        <f>dataset[[#This Row],[soda_sales]]/dataset[[#This Row],[soda_units_sold]]</f>
        <v>0.71892010311819554</v>
      </c>
      <c r="L1448" s="29">
        <f>dataset[[#This Row],[implied_soda_ppu]]-dataset[[#This Row],[soda_ppu]]</f>
        <v>2.010311819555799E-5</v>
      </c>
      <c r="M1448">
        <f>dataset[[#This Row],[soda_sales]]/dataset[[#This Row],[total_sales]]</f>
        <v>7.7502870937924365E-2</v>
      </c>
      <c r="N1448">
        <f>LN(dataset[[#This Row],[soda_units_sold]])</f>
        <v>12.40250254332596</v>
      </c>
      <c r="O1448">
        <f>LN(dataset[[#This Row],[soda_sales]])</f>
        <v>12.072497493662516</v>
      </c>
      <c r="P1448">
        <f>LN(dataset[[#This Row],[soda_ppu]])</f>
        <v>-0.33003301299231125</v>
      </c>
      <c r="Q1448">
        <f>IF(dataset[[#This Row],[state]]="VA",1,0)</f>
        <v>1</v>
      </c>
    </row>
    <row r="1449" spans="1:17" x14ac:dyDescent="0.35">
      <c r="A1449">
        <v>202208</v>
      </c>
      <c r="B1449">
        <v>74</v>
      </c>
      <c r="C1449" s="2">
        <v>2162087.3514</v>
      </c>
      <c r="D1449" s="2">
        <v>0.71630000000000005</v>
      </c>
      <c r="E1449" s="3">
        <v>214351</v>
      </c>
      <c r="F1449" s="2">
        <v>153530.73439999999</v>
      </c>
      <c r="G1449" t="s">
        <v>2840</v>
      </c>
      <c r="H1449" t="s">
        <v>3</v>
      </c>
      <c r="I1449">
        <f>HLOOKUP(G1449,zip_tiers!$A$1:$EON$2,2,FALSE)</f>
        <v>64149.333333333336</v>
      </c>
      <c r="J1449" t="str">
        <f t="shared" si="22"/>
        <v>Med</v>
      </c>
      <c r="K1449">
        <f>dataset[[#This Row],[soda_sales]]/dataset[[#This Row],[soda_units_sold]]</f>
        <v>0.71625854043134851</v>
      </c>
      <c r="L1449" s="29">
        <f>dataset[[#This Row],[implied_soda_ppu]]-dataset[[#This Row],[soda_ppu]]</f>
        <v>-4.1459568651536216E-5</v>
      </c>
      <c r="M1449">
        <f>dataset[[#This Row],[soda_sales]]/dataset[[#This Row],[total_sales]]</f>
        <v>7.101042161899028E-2</v>
      </c>
      <c r="N1449">
        <f>LN(dataset[[#This Row],[soda_units_sold]])</f>
        <v>12.275370137282327</v>
      </c>
      <c r="O1449">
        <f>LN(dataset[[#This Row],[soda_sales]])</f>
        <v>11.941656050071453</v>
      </c>
      <c r="P1449">
        <f>LN(dataset[[#This Row],[soda_ppu]])</f>
        <v>-0.33365620536173146</v>
      </c>
      <c r="Q1449">
        <f>IF(dataset[[#This Row],[state]]="VA",1,0)</f>
        <v>1</v>
      </c>
    </row>
    <row r="1450" spans="1:17" x14ac:dyDescent="0.35">
      <c r="A1450">
        <v>202209</v>
      </c>
      <c r="B1450">
        <v>74</v>
      </c>
      <c r="C1450" s="2">
        <v>2189849.9753999999</v>
      </c>
      <c r="D1450" s="2">
        <v>0.73619999999999997</v>
      </c>
      <c r="E1450" s="3">
        <v>200494</v>
      </c>
      <c r="F1450" s="2">
        <v>147593.83129999999</v>
      </c>
      <c r="G1450" t="s">
        <v>2840</v>
      </c>
      <c r="H1450" t="s">
        <v>3</v>
      </c>
      <c r="I1450">
        <f>HLOOKUP(G1450,zip_tiers!$A$1:$EON$2,2,FALSE)</f>
        <v>64149.333333333336</v>
      </c>
      <c r="J1450" t="str">
        <f t="shared" si="22"/>
        <v>Med</v>
      </c>
      <c r="K1450">
        <f>dataset[[#This Row],[soda_sales]]/dataset[[#This Row],[soda_units_sold]]</f>
        <v>0.73615086386625028</v>
      </c>
      <c r="L1450" s="29">
        <f>dataset[[#This Row],[implied_soda_ppu]]-dataset[[#This Row],[soda_ppu]]</f>
        <v>-4.9136133749683175E-5</v>
      </c>
      <c r="M1450">
        <f>dataset[[#This Row],[soda_sales]]/dataset[[#This Row],[total_sales]]</f>
        <v>6.7399060647083994E-2</v>
      </c>
      <c r="N1450">
        <f>LN(dataset[[#This Row],[soda_units_sold]])</f>
        <v>12.20853960009396</v>
      </c>
      <c r="O1450">
        <f>LN(dataset[[#This Row],[soda_sales]])</f>
        <v>11.902219396914708</v>
      </c>
      <c r="P1450">
        <f>LN(dataset[[#This Row],[soda_ppu]])</f>
        <v>-0.30625345803721632</v>
      </c>
      <c r="Q1450">
        <f>IF(dataset[[#This Row],[state]]="VA",1,0)</f>
        <v>1</v>
      </c>
    </row>
    <row r="1451" spans="1:17" x14ac:dyDescent="0.35">
      <c r="A1451">
        <v>202210</v>
      </c>
      <c r="B1451">
        <v>74</v>
      </c>
      <c r="C1451" s="2">
        <v>2708915.2768000001</v>
      </c>
      <c r="D1451" s="2">
        <v>0.70299999999999996</v>
      </c>
      <c r="E1451" s="3">
        <v>205658</v>
      </c>
      <c r="F1451" s="2">
        <v>144579.8112</v>
      </c>
      <c r="G1451" t="s">
        <v>2840</v>
      </c>
      <c r="H1451" t="s">
        <v>3</v>
      </c>
      <c r="I1451">
        <f>HLOOKUP(G1451,zip_tiers!$A$1:$EON$2,2,FALSE)</f>
        <v>64149.333333333336</v>
      </c>
      <c r="J1451" t="str">
        <f t="shared" si="22"/>
        <v>Med</v>
      </c>
      <c r="K1451">
        <f>dataset[[#This Row],[soda_sales]]/dataset[[#This Row],[soda_units_sold]]</f>
        <v>0.70301087825418895</v>
      </c>
      <c r="L1451" s="29">
        <f>dataset[[#This Row],[implied_soda_ppu]]-dataset[[#This Row],[soda_ppu]]</f>
        <v>1.0878254188995129E-5</v>
      </c>
      <c r="M1451">
        <f>dataset[[#This Row],[soda_sales]]/dataset[[#This Row],[total_sales]]</f>
        <v>5.3371846819362287E-2</v>
      </c>
      <c r="N1451">
        <f>LN(dataset[[#This Row],[soda_units_sold]])</f>
        <v>12.233969873947411</v>
      </c>
      <c r="O1451">
        <f>LN(dataset[[#This Row],[soda_sales]])</f>
        <v>11.881586960702004</v>
      </c>
      <c r="P1451">
        <f>LN(dataset[[#This Row],[soda_ppu]])</f>
        <v>-0.3523983871714722</v>
      </c>
      <c r="Q1451">
        <f>IF(dataset[[#This Row],[state]]="VA",1,0)</f>
        <v>1</v>
      </c>
    </row>
    <row r="1452" spans="1:17" x14ac:dyDescent="0.35">
      <c r="A1452">
        <v>202211</v>
      </c>
      <c r="B1452">
        <v>74</v>
      </c>
      <c r="C1452" s="2">
        <v>3039701.6578000002</v>
      </c>
      <c r="D1452" s="2">
        <v>0.73540000000000005</v>
      </c>
      <c r="E1452" s="3">
        <v>183314</v>
      </c>
      <c r="F1452" s="2">
        <v>134802.80100000001</v>
      </c>
      <c r="G1452" t="s">
        <v>2840</v>
      </c>
      <c r="H1452" t="s">
        <v>3</v>
      </c>
      <c r="I1452">
        <f>HLOOKUP(G1452,zip_tiers!$A$1:$EON$2,2,FALSE)</f>
        <v>64149.333333333336</v>
      </c>
      <c r="J1452" t="str">
        <f t="shared" si="22"/>
        <v>Med</v>
      </c>
      <c r="K1452">
        <f>dataset[[#This Row],[soda_sales]]/dataset[[#This Row],[soda_units_sold]]</f>
        <v>0.73536555309468998</v>
      </c>
      <c r="L1452" s="29">
        <f>dataset[[#This Row],[implied_soda_ppu]]-dataset[[#This Row],[soda_ppu]]</f>
        <v>-3.4446905310070441E-5</v>
      </c>
      <c r="M1452">
        <f>dataset[[#This Row],[soda_sales]]/dataset[[#This Row],[total_sales]]</f>
        <v>4.4347378846897836E-2</v>
      </c>
      <c r="N1452">
        <f>LN(dataset[[#This Row],[soda_units_sold]])</f>
        <v>12.118955808434368</v>
      </c>
      <c r="O1452">
        <f>LN(dataset[[#This Row],[soda_sales]])</f>
        <v>11.811568256176216</v>
      </c>
      <c r="P1452">
        <f>LN(dataset[[#This Row],[soda_ppu]])</f>
        <v>-0.30734071011496533</v>
      </c>
      <c r="Q1452">
        <f>IF(dataset[[#This Row],[state]]="VA",1,0)</f>
        <v>1</v>
      </c>
    </row>
    <row r="1453" spans="1:17" x14ac:dyDescent="0.35">
      <c r="A1453">
        <v>202212</v>
      </c>
      <c r="B1453">
        <v>74</v>
      </c>
      <c r="C1453" s="2">
        <v>3143865.7892999998</v>
      </c>
      <c r="D1453" s="2">
        <v>0.72629999999999995</v>
      </c>
      <c r="E1453" s="3">
        <v>180621</v>
      </c>
      <c r="F1453" s="2">
        <v>131181.71340000001</v>
      </c>
      <c r="G1453" t="s">
        <v>2840</v>
      </c>
      <c r="H1453" t="s">
        <v>3</v>
      </c>
      <c r="I1453">
        <f>HLOOKUP(G1453,zip_tiers!$A$1:$EON$2,2,FALSE)</f>
        <v>64149.333333333336</v>
      </c>
      <c r="J1453" t="str">
        <f t="shared" si="22"/>
        <v>Med</v>
      </c>
      <c r="K1453">
        <f>dataset[[#This Row],[soda_sales]]/dataset[[#This Row],[soda_units_sold]]</f>
        <v>0.72628162506020899</v>
      </c>
      <c r="L1453" s="29">
        <f>dataset[[#This Row],[implied_soda_ppu]]-dataset[[#This Row],[soda_ppu]]</f>
        <v>-1.8374939790954947E-5</v>
      </c>
      <c r="M1453">
        <f>dataset[[#This Row],[soda_sales]]/dataset[[#This Row],[total_sales]]</f>
        <v>4.1726244754617337E-2</v>
      </c>
      <c r="N1453">
        <f>LN(dataset[[#This Row],[soda_units_sold]])</f>
        <v>12.104156192274903</v>
      </c>
      <c r="O1453">
        <f>LN(dataset[[#This Row],[soda_sales]])</f>
        <v>11.784338766204719</v>
      </c>
      <c r="P1453">
        <f>LN(dataset[[#This Row],[soda_ppu]])</f>
        <v>-0.31979212637001464</v>
      </c>
      <c r="Q1453">
        <f>IF(dataset[[#This Row],[state]]="VA",1,0)</f>
        <v>1</v>
      </c>
    </row>
    <row r="1454" spans="1:17" x14ac:dyDescent="0.35">
      <c r="A1454">
        <v>202301</v>
      </c>
      <c r="B1454">
        <v>74</v>
      </c>
      <c r="C1454" s="2">
        <v>1798632.4898999999</v>
      </c>
      <c r="D1454" s="2">
        <v>0.73880000000000001</v>
      </c>
      <c r="E1454" s="3">
        <v>130476</v>
      </c>
      <c r="F1454" s="2">
        <v>96392.121799999994</v>
      </c>
      <c r="G1454" t="s">
        <v>2840</v>
      </c>
      <c r="H1454" t="s">
        <v>3</v>
      </c>
      <c r="I1454">
        <f>HLOOKUP(G1454,zip_tiers!$A$1:$EON$2,2,FALSE)</f>
        <v>64149.333333333336</v>
      </c>
      <c r="J1454" t="str">
        <f t="shared" si="22"/>
        <v>Med</v>
      </c>
      <c r="K1454">
        <f>dataset[[#This Row],[soda_sales]]/dataset[[#This Row],[soda_units_sold]]</f>
        <v>0.73877281492381741</v>
      </c>
      <c r="L1454" s="29">
        <f>dataset[[#This Row],[implied_soda_ppu]]-dataset[[#This Row],[soda_ppu]]</f>
        <v>-2.7185076182600909E-5</v>
      </c>
      <c r="M1454">
        <f>dataset[[#This Row],[soda_sales]]/dataset[[#This Row],[total_sales]]</f>
        <v>5.3591894031314417E-2</v>
      </c>
      <c r="N1454">
        <f>LN(dataset[[#This Row],[soda_units_sold]])</f>
        <v>11.778944580785749</v>
      </c>
      <c r="O1454">
        <f>LN(dataset[[#This Row],[soda_sales]])</f>
        <v>11.476179753192653</v>
      </c>
      <c r="P1454">
        <f>LN(dataset[[#This Row],[soda_ppu]])</f>
        <v>-0.30272803065705212</v>
      </c>
      <c r="Q1454">
        <f>IF(dataset[[#This Row],[state]]="VA",1,0)</f>
        <v>1</v>
      </c>
    </row>
    <row r="1455" spans="1:17" x14ac:dyDescent="0.35">
      <c r="A1455">
        <v>202302</v>
      </c>
      <c r="B1455">
        <v>74</v>
      </c>
      <c r="C1455" s="2">
        <v>2054178.9265999999</v>
      </c>
      <c r="D1455" s="2">
        <v>0.75349999999999995</v>
      </c>
      <c r="E1455" s="3">
        <v>141756</v>
      </c>
      <c r="F1455" s="2">
        <v>106816.6586</v>
      </c>
      <c r="G1455" t="s">
        <v>2840</v>
      </c>
      <c r="H1455" t="s">
        <v>3</v>
      </c>
      <c r="I1455">
        <f>HLOOKUP(G1455,zip_tiers!$A$1:$EON$2,2,FALSE)</f>
        <v>64149.333333333336</v>
      </c>
      <c r="J1455" t="str">
        <f t="shared" si="22"/>
        <v>Med</v>
      </c>
      <c r="K1455">
        <f>dataset[[#This Row],[soda_sales]]/dataset[[#This Row],[soda_units_sold]]</f>
        <v>0.7535247791980586</v>
      </c>
      <c r="L1455" s="29">
        <f>dataset[[#This Row],[implied_soda_ppu]]-dataset[[#This Row],[soda_ppu]]</f>
        <v>2.4779198058655361E-5</v>
      </c>
      <c r="M1455">
        <f>dataset[[#This Row],[soda_sales]]/dataset[[#This Row],[total_sales]]</f>
        <v>5.1999685722021759E-2</v>
      </c>
      <c r="N1455">
        <f>LN(dataset[[#This Row],[soda_units_sold]])</f>
        <v>11.86186254873652</v>
      </c>
      <c r="O1455">
        <f>LN(dataset[[#This Row],[soda_sales]])</f>
        <v>11.578869172745458</v>
      </c>
      <c r="P1455">
        <f>LN(dataset[[#This Row],[soda_ppu]])</f>
        <v>-0.28302626091558697</v>
      </c>
      <c r="Q1455">
        <f>IF(dataset[[#This Row],[state]]="VA",1,0)</f>
        <v>1</v>
      </c>
    </row>
    <row r="1456" spans="1:17" x14ac:dyDescent="0.35">
      <c r="A1456">
        <v>202303</v>
      </c>
      <c r="B1456">
        <v>74</v>
      </c>
      <c r="C1456" s="2">
        <v>2316577.0462000002</v>
      </c>
      <c r="D1456" s="2">
        <v>0.73970000000000002</v>
      </c>
      <c r="E1456" s="3">
        <v>177515</v>
      </c>
      <c r="F1456" s="2">
        <v>131306.3848</v>
      </c>
      <c r="G1456" t="s">
        <v>2840</v>
      </c>
      <c r="H1456" t="s">
        <v>3</v>
      </c>
      <c r="I1456">
        <f>HLOOKUP(G1456,zip_tiers!$A$1:$EON$2,2,FALSE)</f>
        <v>64149.333333333336</v>
      </c>
      <c r="J1456" t="str">
        <f t="shared" si="22"/>
        <v>Med</v>
      </c>
      <c r="K1456">
        <f>dataset[[#This Row],[soda_sales]]/dataset[[#This Row],[soda_units_sold]]</f>
        <v>0.73969177139960007</v>
      </c>
      <c r="L1456" s="29">
        <f>dataset[[#This Row],[implied_soda_ppu]]-dataset[[#This Row],[soda_ppu]]</f>
        <v>-8.2286003999509916E-6</v>
      </c>
      <c r="M1456">
        <f>dataset[[#This Row],[soda_sales]]/dataset[[#This Row],[total_sales]]</f>
        <v>5.668120773940525E-2</v>
      </c>
      <c r="N1456">
        <f>LN(dataset[[#This Row],[soda_units_sold]])</f>
        <v>12.086810391369342</v>
      </c>
      <c r="O1456">
        <f>LN(dataset[[#This Row],[soda_sales]])</f>
        <v>11.785288686679054</v>
      </c>
      <c r="P1456">
        <f>LN(dataset[[#This Row],[soda_ppu]])</f>
        <v>-0.30151058038831502</v>
      </c>
      <c r="Q1456">
        <f>IF(dataset[[#This Row],[state]]="VA",1,0)</f>
        <v>1</v>
      </c>
    </row>
    <row r="1457" spans="1:17" x14ac:dyDescent="0.35">
      <c r="A1457">
        <v>202304</v>
      </c>
      <c r="B1457">
        <v>74</v>
      </c>
      <c r="C1457" s="2">
        <v>2397394.0288999998</v>
      </c>
      <c r="D1457" s="2">
        <v>0.74429999999999996</v>
      </c>
      <c r="E1457" s="3">
        <v>204600</v>
      </c>
      <c r="F1457" s="2">
        <v>152285.66990000001</v>
      </c>
      <c r="G1457" t="s">
        <v>2840</v>
      </c>
      <c r="H1457" t="s">
        <v>3</v>
      </c>
      <c r="I1457">
        <f>HLOOKUP(G1457,zip_tiers!$A$1:$EON$2,2,FALSE)</f>
        <v>64149.333333333336</v>
      </c>
      <c r="J1457" t="str">
        <f t="shared" si="22"/>
        <v>Med</v>
      </c>
      <c r="K1457">
        <f>dataset[[#This Row],[soda_sales]]/dataset[[#This Row],[soda_units_sold]]</f>
        <v>0.74430923704789842</v>
      </c>
      <c r="L1457" s="29">
        <f>dataset[[#This Row],[implied_soda_ppu]]-dataset[[#This Row],[soda_ppu]]</f>
        <v>9.2370478984582505E-6</v>
      </c>
      <c r="M1457">
        <f>dataset[[#This Row],[soda_sales]]/dataset[[#This Row],[total_sales]]</f>
        <v>6.3521335276651825E-2</v>
      </c>
      <c r="N1457">
        <f>LN(dataset[[#This Row],[soda_units_sold]])</f>
        <v>12.228812132499662</v>
      </c>
      <c r="O1457">
        <f>LN(dataset[[#This Row],[soda_sales]])</f>
        <v>11.933513443189156</v>
      </c>
      <c r="P1457">
        <f>LN(dataset[[#This Row],[soda_ppu]])</f>
        <v>-0.29531109961627211</v>
      </c>
      <c r="Q1457">
        <f>IF(dataset[[#This Row],[state]]="VA",1,0)</f>
        <v>1</v>
      </c>
    </row>
    <row r="1458" spans="1:17" x14ac:dyDescent="0.35">
      <c r="A1458">
        <v>202305</v>
      </c>
      <c r="B1458">
        <v>74</v>
      </c>
      <c r="C1458" s="2">
        <v>2555388.8171000001</v>
      </c>
      <c r="D1458" s="2">
        <v>0.74719999999999998</v>
      </c>
      <c r="E1458" s="3">
        <v>221158</v>
      </c>
      <c r="F1458" s="2">
        <v>165255.76079999999</v>
      </c>
      <c r="G1458" t="s">
        <v>2840</v>
      </c>
      <c r="H1458" t="s">
        <v>3</v>
      </c>
      <c r="I1458">
        <f>HLOOKUP(G1458,zip_tiers!$A$1:$EON$2,2,FALSE)</f>
        <v>64149.333333333336</v>
      </c>
      <c r="J1458" t="str">
        <f t="shared" si="22"/>
        <v>Med</v>
      </c>
      <c r="K1458">
        <f>dataset[[#This Row],[soda_sales]]/dataset[[#This Row],[soda_units_sold]]</f>
        <v>0.74722940522160619</v>
      </c>
      <c r="L1458" s="29">
        <f>dataset[[#This Row],[implied_soda_ppu]]-dataset[[#This Row],[soda_ppu]]</f>
        <v>2.9405221606215726E-5</v>
      </c>
      <c r="M1458">
        <f>dataset[[#This Row],[soda_sales]]/dataset[[#This Row],[total_sales]]</f>
        <v>6.4669517098200957E-2</v>
      </c>
      <c r="N1458">
        <f>LN(dataset[[#This Row],[soda_units_sold]])</f>
        <v>12.306632657184355</v>
      </c>
      <c r="O1458">
        <f>LN(dataset[[#This Row],[soda_sales]])</f>
        <v>12.015249618225814</v>
      </c>
      <c r="P1458">
        <f>LN(dataset[[#This Row],[soda_ppu]])</f>
        <v>-0.2914223920675042</v>
      </c>
      <c r="Q1458">
        <f>IF(dataset[[#This Row],[state]]="VA",1,0)</f>
        <v>1</v>
      </c>
    </row>
    <row r="1459" spans="1:17" x14ac:dyDescent="0.35">
      <c r="A1459">
        <v>202306</v>
      </c>
      <c r="B1459">
        <v>74</v>
      </c>
      <c r="C1459" s="2">
        <v>2452483.0608999999</v>
      </c>
      <c r="D1459" s="2">
        <v>0.74390000000000001</v>
      </c>
      <c r="E1459" s="3">
        <v>231800</v>
      </c>
      <c r="F1459" s="2">
        <v>172440.55069999999</v>
      </c>
      <c r="G1459" t="s">
        <v>2840</v>
      </c>
      <c r="H1459" t="s">
        <v>3</v>
      </c>
      <c r="I1459">
        <f>HLOOKUP(G1459,zip_tiers!$A$1:$EON$2,2,FALSE)</f>
        <v>64149.333333333336</v>
      </c>
      <c r="J1459" t="str">
        <f t="shared" si="22"/>
        <v>Med</v>
      </c>
      <c r="K1459">
        <f>dataset[[#This Row],[soda_sales]]/dataset[[#This Row],[soda_units_sold]]</f>
        <v>0.7439195457290767</v>
      </c>
      <c r="L1459" s="29">
        <f>dataset[[#This Row],[implied_soda_ppu]]-dataset[[#This Row],[soda_ppu]]</f>
        <v>1.9545729076697604E-5</v>
      </c>
      <c r="M1459">
        <f>dataset[[#This Row],[soda_sales]]/dataset[[#This Row],[total_sales]]</f>
        <v>7.0312636792165498E-2</v>
      </c>
      <c r="N1459">
        <f>LN(dataset[[#This Row],[soda_units_sold]])</f>
        <v>12.353630209887788</v>
      </c>
      <c r="O1459">
        <f>LN(dataset[[#This Row],[soda_sales]])</f>
        <v>12.057807822430549</v>
      </c>
      <c r="P1459">
        <f>LN(dataset[[#This Row],[soda_ppu]])</f>
        <v>-0.29584866178484137</v>
      </c>
      <c r="Q1459">
        <f>IF(dataset[[#This Row],[state]]="VA",1,0)</f>
        <v>1</v>
      </c>
    </row>
    <row r="1460" spans="1:17" x14ac:dyDescent="0.35">
      <c r="A1460">
        <v>202307</v>
      </c>
      <c r="B1460">
        <v>74</v>
      </c>
      <c r="C1460" s="2">
        <v>2271139.6477000001</v>
      </c>
      <c r="D1460" s="2">
        <v>0.72130000000000005</v>
      </c>
      <c r="E1460" s="3">
        <v>240967</v>
      </c>
      <c r="F1460" s="2">
        <v>173803.9204</v>
      </c>
      <c r="G1460" t="s">
        <v>2840</v>
      </c>
      <c r="H1460" t="s">
        <v>3</v>
      </c>
      <c r="I1460">
        <f>HLOOKUP(G1460,zip_tiers!$A$1:$EON$2,2,FALSE)</f>
        <v>64149.333333333336</v>
      </c>
      <c r="J1460" t="str">
        <f t="shared" si="22"/>
        <v>Med</v>
      </c>
      <c r="K1460">
        <f>dataset[[#This Row],[soda_sales]]/dataset[[#This Row],[soda_units_sold]]</f>
        <v>0.72127685699701616</v>
      </c>
      <c r="L1460" s="29">
        <f>dataset[[#This Row],[implied_soda_ppu]]-dataset[[#This Row],[soda_ppu]]</f>
        <v>-2.3143002983894156E-5</v>
      </c>
      <c r="M1460">
        <f>dataset[[#This Row],[soda_sales]]/dataset[[#This Row],[total_sales]]</f>
        <v>7.6527183423534748E-2</v>
      </c>
      <c r="N1460">
        <f>LN(dataset[[#This Row],[soda_units_sold]])</f>
        <v>12.392415273636516</v>
      </c>
      <c r="O1460">
        <f>LN(dataset[[#This Row],[soda_sales]])</f>
        <v>12.06568304852105</v>
      </c>
      <c r="P1460">
        <f>LN(dataset[[#This Row],[soda_ppu]])</f>
        <v>-0.32670013947251003</v>
      </c>
      <c r="Q1460">
        <f>IF(dataset[[#This Row],[state]]="VA",1,0)</f>
        <v>1</v>
      </c>
    </row>
    <row r="1461" spans="1:17" x14ac:dyDescent="0.35">
      <c r="A1461">
        <v>202308</v>
      </c>
      <c r="B1461">
        <v>74</v>
      </c>
      <c r="C1461" s="2">
        <v>2204043.0550000002</v>
      </c>
      <c r="D1461" s="2">
        <v>0.74119999999999997</v>
      </c>
      <c r="E1461" s="3">
        <v>204756</v>
      </c>
      <c r="F1461" s="2">
        <v>151758.79019999999</v>
      </c>
      <c r="G1461" t="s">
        <v>2840</v>
      </c>
      <c r="H1461" t="s">
        <v>3</v>
      </c>
      <c r="I1461">
        <f>HLOOKUP(G1461,zip_tiers!$A$1:$EON$2,2,FALSE)</f>
        <v>64149.333333333336</v>
      </c>
      <c r="J1461" t="str">
        <f t="shared" si="22"/>
        <v>Med</v>
      </c>
      <c r="K1461">
        <f>dataset[[#This Row],[soda_sales]]/dataset[[#This Row],[soda_units_sold]]</f>
        <v>0.74116895329074606</v>
      </c>
      <c r="L1461" s="29">
        <f>dataset[[#This Row],[implied_soda_ppu]]-dataset[[#This Row],[soda_ppu]]</f>
        <v>-3.1046709253912397E-5</v>
      </c>
      <c r="M1461">
        <f>dataset[[#This Row],[soda_sales]]/dataset[[#This Row],[total_sales]]</f>
        <v>6.8854730335565051E-2</v>
      </c>
      <c r="N1461">
        <f>LN(dataset[[#This Row],[soda_units_sold]])</f>
        <v>12.229574305315266</v>
      </c>
      <c r="O1461">
        <f>LN(dataset[[#This Row],[soda_sales]])</f>
        <v>11.930047632779546</v>
      </c>
      <c r="P1461">
        <f>LN(dataset[[#This Row],[soda_ppu]])</f>
        <v>-0.29948478457093236</v>
      </c>
      <c r="Q1461">
        <f>IF(dataset[[#This Row],[state]]="VA",1,0)</f>
        <v>1</v>
      </c>
    </row>
    <row r="1462" spans="1:17" x14ac:dyDescent="0.35">
      <c r="A1462">
        <v>202309</v>
      </c>
      <c r="B1462">
        <v>74</v>
      </c>
      <c r="C1462" s="2">
        <v>2237257.3432999998</v>
      </c>
      <c r="D1462" s="2">
        <v>0.73250000000000004</v>
      </c>
      <c r="E1462" s="3">
        <v>208667</v>
      </c>
      <c r="F1462" s="2">
        <v>152858.31770000001</v>
      </c>
      <c r="G1462" t="s">
        <v>2840</v>
      </c>
      <c r="H1462" t="s">
        <v>3</v>
      </c>
      <c r="I1462">
        <f>HLOOKUP(G1462,zip_tiers!$A$1:$EON$2,2,FALSE)</f>
        <v>64149.333333333336</v>
      </c>
      <c r="J1462" t="str">
        <f t="shared" si="22"/>
        <v>Med</v>
      </c>
      <c r="K1462">
        <f>dataset[[#This Row],[soda_sales]]/dataset[[#This Row],[soda_units_sold]]</f>
        <v>0.73254667820019459</v>
      </c>
      <c r="L1462" s="29">
        <f>dataset[[#This Row],[implied_soda_ppu]]-dataset[[#This Row],[soda_ppu]]</f>
        <v>4.6678200194549824E-5</v>
      </c>
      <c r="M1462">
        <f>dataset[[#This Row],[soda_sales]]/dataset[[#This Row],[total_sales]]</f>
        <v>6.8323976299718342E-2</v>
      </c>
      <c r="N1462">
        <f>LN(dataset[[#This Row],[soda_units_sold]])</f>
        <v>12.24849495885694</v>
      </c>
      <c r="O1462">
        <f>LN(dataset[[#This Row],[soda_sales]])</f>
        <v>11.937266743241089</v>
      </c>
      <c r="P1462">
        <f>LN(dataset[[#This Row],[soda_ppu]])</f>
        <v>-0.3112919380909146</v>
      </c>
      <c r="Q1462">
        <f>IF(dataset[[#This Row],[state]]="VA",1,0)</f>
        <v>1</v>
      </c>
    </row>
    <row r="1463" spans="1:17" x14ac:dyDescent="0.35">
      <c r="A1463">
        <v>202310</v>
      </c>
      <c r="B1463">
        <v>74</v>
      </c>
      <c r="C1463" s="2">
        <v>2654041.4652999998</v>
      </c>
      <c r="D1463" s="2">
        <v>0.74819999999999998</v>
      </c>
      <c r="E1463" s="3">
        <v>185710</v>
      </c>
      <c r="F1463" s="2">
        <v>138948.84340000001</v>
      </c>
      <c r="G1463" t="s">
        <v>2840</v>
      </c>
      <c r="H1463" t="s">
        <v>3</v>
      </c>
      <c r="I1463">
        <f>HLOOKUP(G1463,zip_tiers!$A$1:$EON$2,2,FALSE)</f>
        <v>64149.333333333336</v>
      </c>
      <c r="J1463" t="str">
        <f t="shared" si="22"/>
        <v>Med</v>
      </c>
      <c r="K1463">
        <f>dataset[[#This Row],[soda_sales]]/dataset[[#This Row],[soda_units_sold]]</f>
        <v>0.74820334607721728</v>
      </c>
      <c r="L1463" s="29">
        <f>dataset[[#This Row],[implied_soda_ppu]]-dataset[[#This Row],[soda_ppu]]</f>
        <v>3.3460772173032893E-6</v>
      </c>
      <c r="M1463">
        <f>dataset[[#This Row],[soda_sales]]/dataset[[#This Row],[total_sales]]</f>
        <v>5.235368219248749E-2</v>
      </c>
      <c r="N1463">
        <f>LN(dataset[[#This Row],[soda_units_sold]])</f>
        <v>12.131941596187099</v>
      </c>
      <c r="O1463">
        <f>LN(dataset[[#This Row],[soda_sales]])</f>
        <v>11.841861111278504</v>
      </c>
      <c r="P1463">
        <f>LN(dataset[[#This Row],[soda_ppu]])</f>
        <v>-0.29008495706809134</v>
      </c>
      <c r="Q1463">
        <f>IF(dataset[[#This Row],[state]]="VA",1,0)</f>
        <v>1</v>
      </c>
    </row>
    <row r="1464" spans="1:17" x14ac:dyDescent="0.35">
      <c r="A1464">
        <v>202311</v>
      </c>
      <c r="B1464">
        <v>74</v>
      </c>
      <c r="C1464" s="2">
        <v>3069932.3678000001</v>
      </c>
      <c r="D1464" s="2">
        <v>0.74590000000000001</v>
      </c>
      <c r="E1464" s="3">
        <v>183296</v>
      </c>
      <c r="F1464" s="2">
        <v>136728.83170000001</v>
      </c>
      <c r="G1464" t="s">
        <v>2840</v>
      </c>
      <c r="H1464" t="s">
        <v>3</v>
      </c>
      <c r="I1464">
        <f>HLOOKUP(G1464,zip_tiers!$A$1:$EON$2,2,FALSE)</f>
        <v>64149.333333333336</v>
      </c>
      <c r="J1464" t="str">
        <f t="shared" si="22"/>
        <v>Med</v>
      </c>
      <c r="K1464">
        <f>dataset[[#This Row],[soda_sales]]/dataset[[#This Row],[soda_units_sold]]</f>
        <v>0.74594552908956013</v>
      </c>
      <c r="L1464" s="29">
        <f>dataset[[#This Row],[implied_soda_ppu]]-dataset[[#This Row],[soda_ppu]]</f>
        <v>4.5529089560125691E-5</v>
      </c>
      <c r="M1464">
        <f>dataset[[#This Row],[soda_sales]]/dataset[[#This Row],[total_sales]]</f>
        <v>4.4538059904552146E-2</v>
      </c>
      <c r="N1464">
        <f>LN(dataset[[#This Row],[soda_units_sold]])</f>
        <v>12.118857611440209</v>
      </c>
      <c r="O1464">
        <f>LN(dataset[[#This Row],[soda_sales]])</f>
        <v>11.825754912689719</v>
      </c>
      <c r="P1464">
        <f>LN(dataset[[#This Row],[soda_ppu]])</f>
        <v>-0.29316373602101947</v>
      </c>
      <c r="Q1464">
        <f>IF(dataset[[#This Row],[state]]="VA",1,0)</f>
        <v>1</v>
      </c>
    </row>
    <row r="1465" spans="1:17" x14ac:dyDescent="0.35">
      <c r="A1465">
        <v>202312</v>
      </c>
      <c r="B1465">
        <v>74</v>
      </c>
      <c r="C1465" s="2">
        <v>3171038.8078999999</v>
      </c>
      <c r="D1465" s="2">
        <v>0.72140000000000004</v>
      </c>
      <c r="E1465" s="3">
        <v>180839</v>
      </c>
      <c r="F1465" s="2">
        <v>130462.20329999999</v>
      </c>
      <c r="G1465" t="s">
        <v>2840</v>
      </c>
      <c r="H1465" t="s">
        <v>3</v>
      </c>
      <c r="I1465">
        <f>HLOOKUP(G1465,zip_tiers!$A$1:$EON$2,2,FALSE)</f>
        <v>64149.333333333336</v>
      </c>
      <c r="J1465" t="str">
        <f t="shared" si="22"/>
        <v>Med</v>
      </c>
      <c r="K1465">
        <f>dataset[[#This Row],[soda_sales]]/dataset[[#This Row],[soda_units_sold]]</f>
        <v>0.7214273652254215</v>
      </c>
      <c r="L1465" s="29">
        <f>dataset[[#This Row],[implied_soda_ppu]]-dataset[[#This Row],[soda_ppu]]</f>
        <v>2.7365225421460693E-5</v>
      </c>
      <c r="M1465">
        <f>dataset[[#This Row],[soda_sales]]/dataset[[#This Row],[total_sales]]</f>
        <v>4.1141787030477169E-2</v>
      </c>
      <c r="N1465">
        <f>LN(dataset[[#This Row],[soda_units_sold]])</f>
        <v>12.105362411643197</v>
      </c>
      <c r="O1465">
        <f>LN(dataset[[#This Row],[soda_sales]])</f>
        <v>11.778838833908992</v>
      </c>
      <c r="P1465">
        <f>LN(dataset[[#This Row],[soda_ppu]])</f>
        <v>-0.32656151051269838</v>
      </c>
      <c r="Q1465">
        <f>IF(dataset[[#This Row],[state]]="VA",1,0)</f>
        <v>1</v>
      </c>
    </row>
    <row r="1466" spans="1:17" x14ac:dyDescent="0.35">
      <c r="A1466">
        <v>202401</v>
      </c>
      <c r="B1466">
        <v>74</v>
      </c>
      <c r="C1466" s="2">
        <v>1823818.1849</v>
      </c>
      <c r="D1466" s="2">
        <v>0.75849999999999995</v>
      </c>
      <c r="E1466" s="3">
        <v>128253</v>
      </c>
      <c r="F1466" s="2">
        <v>97276.199800000002</v>
      </c>
      <c r="G1466" t="s">
        <v>2840</v>
      </c>
      <c r="H1466" t="s">
        <v>3</v>
      </c>
      <c r="I1466">
        <f>HLOOKUP(G1466,zip_tiers!$A$1:$EON$2,2,FALSE)</f>
        <v>64149.333333333336</v>
      </c>
      <c r="J1466" t="str">
        <f t="shared" si="22"/>
        <v>Med</v>
      </c>
      <c r="K1466">
        <f>dataset[[#This Row],[soda_sales]]/dataset[[#This Row],[soda_units_sold]]</f>
        <v>0.75847114531433968</v>
      </c>
      <c r="L1466" s="29">
        <f>dataset[[#This Row],[implied_soda_ppu]]-dataset[[#This Row],[soda_ppu]]</f>
        <v>-2.8854685660273383E-5</v>
      </c>
      <c r="M1466">
        <f>dataset[[#This Row],[soda_sales]]/dataset[[#This Row],[total_sales]]</f>
        <v>5.3336566443619303E-2</v>
      </c>
      <c r="N1466">
        <f>LN(dataset[[#This Row],[soda_units_sold]])</f>
        <v>11.761760154572297</v>
      </c>
      <c r="O1466">
        <f>LN(dataset[[#This Row],[soda_sales]])</f>
        <v>11.485309631881034</v>
      </c>
      <c r="P1466">
        <f>LN(dataset[[#This Row],[soda_ppu]])</f>
        <v>-0.27641248019355019</v>
      </c>
      <c r="Q1466">
        <f>IF(dataset[[#This Row],[state]]="VA",1,0)</f>
        <v>1</v>
      </c>
    </row>
    <row r="1467" spans="1:17" x14ac:dyDescent="0.35">
      <c r="A1467">
        <v>202402</v>
      </c>
      <c r="B1467">
        <v>74</v>
      </c>
      <c r="C1467" s="2">
        <v>2133582.6707000001</v>
      </c>
      <c r="D1467" s="2">
        <v>0.77890000000000004</v>
      </c>
      <c r="E1467" s="3">
        <v>143206</v>
      </c>
      <c r="F1467" s="2">
        <v>111537.4996</v>
      </c>
      <c r="G1467" t="s">
        <v>2840</v>
      </c>
      <c r="H1467" t="s">
        <v>3</v>
      </c>
      <c r="I1467">
        <f>HLOOKUP(G1467,zip_tiers!$A$1:$EON$2,2,FALSE)</f>
        <v>64149.333333333336</v>
      </c>
      <c r="J1467" t="str">
        <f t="shared" si="22"/>
        <v>Med</v>
      </c>
      <c r="K1467">
        <f>dataset[[#This Row],[soda_sales]]/dataset[[#This Row],[soda_units_sold]]</f>
        <v>0.77886051981062243</v>
      </c>
      <c r="L1467" s="29">
        <f>dataset[[#This Row],[implied_soda_ppu]]-dataset[[#This Row],[soda_ppu]]</f>
        <v>-3.9480189377605335E-5</v>
      </c>
      <c r="M1467">
        <f>dataset[[#This Row],[soda_sales]]/dataset[[#This Row],[total_sales]]</f>
        <v>5.2277092953424684E-2</v>
      </c>
      <c r="N1467">
        <f>LN(dataset[[#This Row],[soda_units_sold]])</f>
        <v>11.872039432072267</v>
      </c>
      <c r="O1467">
        <f>LN(dataset[[#This Row],[soda_sales]])</f>
        <v>11.622116132622169</v>
      </c>
      <c r="P1467">
        <f>LN(dataset[[#This Row],[soda_ppu]])</f>
        <v>-0.24987261105623415</v>
      </c>
      <c r="Q1467">
        <f>IF(dataset[[#This Row],[state]]="VA",1,0)</f>
        <v>1</v>
      </c>
    </row>
    <row r="1468" spans="1:17" x14ac:dyDescent="0.35">
      <c r="A1468">
        <v>202403</v>
      </c>
      <c r="B1468">
        <v>74</v>
      </c>
      <c r="C1468" s="2">
        <v>2335676.1625000001</v>
      </c>
      <c r="D1468" s="2">
        <v>0.77370000000000005</v>
      </c>
      <c r="E1468" s="3">
        <v>167001</v>
      </c>
      <c r="F1468" s="2">
        <v>129205.0926</v>
      </c>
      <c r="G1468" t="s">
        <v>2840</v>
      </c>
      <c r="H1468" t="s">
        <v>3</v>
      </c>
      <c r="I1468">
        <f>HLOOKUP(G1468,zip_tiers!$A$1:$EON$2,2,FALSE)</f>
        <v>64149.333333333336</v>
      </c>
      <c r="J1468" t="str">
        <f t="shared" si="22"/>
        <v>Med</v>
      </c>
      <c r="K1468">
        <f>dataset[[#This Row],[soda_sales]]/dataset[[#This Row],[soda_units_sold]]</f>
        <v>0.77367855641582983</v>
      </c>
      <c r="L1468" s="29">
        <f>dataset[[#This Row],[implied_soda_ppu]]-dataset[[#This Row],[soda_ppu]]</f>
        <v>-2.1443584170222074E-5</v>
      </c>
      <c r="M1468">
        <f>dataset[[#This Row],[soda_sales]]/dataset[[#This Row],[total_sales]]</f>
        <v>5.5318067921584141E-2</v>
      </c>
      <c r="N1468">
        <f>LN(dataset[[#This Row],[soda_units_sold]])</f>
        <v>12.025755079404917</v>
      </c>
      <c r="O1468">
        <f>LN(dataset[[#This Row],[soda_sales]])</f>
        <v>11.769156285962501</v>
      </c>
      <c r="P1468">
        <f>LN(dataset[[#This Row],[soda_ppu]])</f>
        <v>-0.25657107742672819</v>
      </c>
      <c r="Q1468">
        <f>IF(dataset[[#This Row],[state]]="VA",1,0)</f>
        <v>1</v>
      </c>
    </row>
    <row r="1469" spans="1:17" x14ac:dyDescent="0.35">
      <c r="A1469">
        <v>202404</v>
      </c>
      <c r="B1469">
        <v>74</v>
      </c>
      <c r="C1469" s="2">
        <v>2443339.2466000002</v>
      </c>
      <c r="D1469" s="2">
        <v>0.77080000000000004</v>
      </c>
      <c r="E1469" s="3">
        <v>195906</v>
      </c>
      <c r="F1469" s="2">
        <v>151000.9497</v>
      </c>
      <c r="G1469" t="s">
        <v>2840</v>
      </c>
      <c r="H1469" t="s">
        <v>3</v>
      </c>
      <c r="I1469">
        <f>HLOOKUP(G1469,zip_tiers!$A$1:$EON$2,2,FALSE)</f>
        <v>64149.333333333336</v>
      </c>
      <c r="J1469" t="str">
        <f t="shared" si="22"/>
        <v>Med</v>
      </c>
      <c r="K1469">
        <f>dataset[[#This Row],[soda_sales]]/dataset[[#This Row],[soda_units_sold]]</f>
        <v>0.77078266974977794</v>
      </c>
      <c r="L1469" s="29">
        <f>dataset[[#This Row],[implied_soda_ppu]]-dataset[[#This Row],[soda_ppu]]</f>
        <v>-1.7330250222102883E-5</v>
      </c>
      <c r="M1469">
        <f>dataset[[#This Row],[soda_sales]]/dataset[[#This Row],[total_sales]]</f>
        <v>6.180105767552483E-2</v>
      </c>
      <c r="N1469">
        <f>LN(dataset[[#This Row],[soda_units_sold]])</f>
        <v>12.185390231334971</v>
      </c>
      <c r="O1469">
        <f>LN(dataset[[#This Row],[soda_sales]])</f>
        <v>11.925041405181256</v>
      </c>
      <c r="P1469">
        <f>LN(dataset[[#This Row],[soda_ppu]])</f>
        <v>-0.26032634244192565</v>
      </c>
      <c r="Q1469">
        <f>IF(dataset[[#This Row],[state]]="VA",1,0)</f>
        <v>1</v>
      </c>
    </row>
    <row r="1470" spans="1:17" x14ac:dyDescent="0.35">
      <c r="A1470">
        <v>202405</v>
      </c>
      <c r="B1470">
        <v>74</v>
      </c>
      <c r="C1470" s="2">
        <v>2603582.6395</v>
      </c>
      <c r="D1470" s="2">
        <v>0.75739999999999996</v>
      </c>
      <c r="E1470" s="3">
        <v>223208</v>
      </c>
      <c r="F1470" s="2">
        <v>169056.44589999999</v>
      </c>
      <c r="G1470" t="s">
        <v>2840</v>
      </c>
      <c r="H1470" t="s">
        <v>3</v>
      </c>
      <c r="I1470">
        <f>HLOOKUP(G1470,zip_tiers!$A$1:$EON$2,2,FALSE)</f>
        <v>64149.333333333336</v>
      </c>
      <c r="J1470" t="str">
        <f t="shared" si="22"/>
        <v>Med</v>
      </c>
      <c r="K1470">
        <f>dataset[[#This Row],[soda_sales]]/dataset[[#This Row],[soda_units_sold]]</f>
        <v>0.75739420585283679</v>
      </c>
      <c r="L1470" s="29">
        <f>dataset[[#This Row],[implied_soda_ppu]]-dataset[[#This Row],[soda_ppu]]</f>
        <v>-5.7941471631739461E-6</v>
      </c>
      <c r="M1470">
        <f>dataset[[#This Row],[soda_sales]]/dataset[[#This Row],[total_sales]]</f>
        <v>6.4932237346791544E-2</v>
      </c>
      <c r="N1470">
        <f>LN(dataset[[#This Row],[soda_units_sold]])</f>
        <v>12.31585935114088</v>
      </c>
      <c r="O1470">
        <f>LN(dataset[[#This Row],[soda_sales]])</f>
        <v>12.03798793754811</v>
      </c>
      <c r="P1470">
        <f>LN(dataset[[#This Row],[soda_ppu]])</f>
        <v>-0.27786376351444264</v>
      </c>
      <c r="Q1470">
        <f>IF(dataset[[#This Row],[state]]="VA",1,0)</f>
        <v>1</v>
      </c>
    </row>
    <row r="1471" spans="1:17" x14ac:dyDescent="0.35">
      <c r="A1471">
        <v>202406</v>
      </c>
      <c r="B1471">
        <v>74</v>
      </c>
      <c r="C1471" s="2">
        <v>2471439.443</v>
      </c>
      <c r="D1471" s="2">
        <v>0.78739999999999999</v>
      </c>
      <c r="E1471" s="3">
        <v>218083</v>
      </c>
      <c r="F1471" s="2">
        <v>171723.05850000001</v>
      </c>
      <c r="G1471" t="s">
        <v>2840</v>
      </c>
      <c r="H1471" t="s">
        <v>3</v>
      </c>
      <c r="I1471">
        <f>HLOOKUP(G1471,zip_tiers!$A$1:$EON$2,2,FALSE)</f>
        <v>64149.333333333336</v>
      </c>
      <c r="J1471" t="str">
        <f t="shared" si="22"/>
        <v>Med</v>
      </c>
      <c r="K1471">
        <f>dataset[[#This Row],[soda_sales]]/dataset[[#This Row],[soda_units_sold]]</f>
        <v>0.78742065406290274</v>
      </c>
      <c r="L1471" s="29">
        <f>dataset[[#This Row],[implied_soda_ppu]]-dataset[[#This Row],[soda_ppu]]</f>
        <v>2.0654062902747405E-5</v>
      </c>
      <c r="M1471">
        <f>dataset[[#This Row],[soda_sales]]/dataset[[#This Row],[total_sales]]</f>
        <v>6.9483012819262516E-2</v>
      </c>
      <c r="N1471">
        <f>LN(dataset[[#This Row],[soda_units_sold]])</f>
        <v>12.292631003255403</v>
      </c>
      <c r="O1471">
        <f>LN(dataset[[#This Row],[soda_sales]])</f>
        <v>12.053638333151232</v>
      </c>
      <c r="P1471">
        <f>LN(dataset[[#This Row],[soda_ppu]])</f>
        <v>-0.23901890047249993</v>
      </c>
      <c r="Q1471">
        <f>IF(dataset[[#This Row],[state]]="VA",1,0)</f>
        <v>1</v>
      </c>
    </row>
    <row r="1472" spans="1:17" x14ac:dyDescent="0.35">
      <c r="A1472">
        <v>202407</v>
      </c>
      <c r="B1472">
        <v>74</v>
      </c>
      <c r="C1472" s="2">
        <v>2387366.1491999999</v>
      </c>
      <c r="D1472" s="2">
        <v>0.76659999999999995</v>
      </c>
      <c r="E1472" s="3">
        <v>237734</v>
      </c>
      <c r="F1472" s="2">
        <v>182237.4804</v>
      </c>
      <c r="G1472" t="s">
        <v>2840</v>
      </c>
      <c r="H1472" t="s">
        <v>3</v>
      </c>
      <c r="I1472">
        <f>HLOOKUP(G1472,zip_tiers!$A$1:$EON$2,2,FALSE)</f>
        <v>64149.333333333336</v>
      </c>
      <c r="J1472" t="str">
        <f t="shared" si="22"/>
        <v>Med</v>
      </c>
      <c r="K1472">
        <f>dataset[[#This Row],[soda_sales]]/dataset[[#This Row],[soda_units_sold]]</f>
        <v>0.76656044318439942</v>
      </c>
      <c r="L1472" s="29">
        <f>dataset[[#This Row],[implied_soda_ppu]]-dataset[[#This Row],[soda_ppu]]</f>
        <v>-3.9556815600527706E-5</v>
      </c>
      <c r="M1472">
        <f>dataset[[#This Row],[soda_sales]]/dataset[[#This Row],[total_sales]]</f>
        <v>7.6334114254349841E-2</v>
      </c>
      <c r="N1472">
        <f>LN(dataset[[#This Row],[soda_units_sold]])</f>
        <v>12.378907680561559</v>
      </c>
      <c r="O1472">
        <f>LN(dataset[[#This Row],[soda_sales]])</f>
        <v>12.113065952861113</v>
      </c>
      <c r="P1472">
        <f>LN(dataset[[#This Row],[soda_ppu]])</f>
        <v>-0.26579012603568242</v>
      </c>
      <c r="Q1472">
        <f>IF(dataset[[#This Row],[state]]="VA",1,0)</f>
        <v>1</v>
      </c>
    </row>
    <row r="1473" spans="1:17" x14ac:dyDescent="0.35">
      <c r="A1473">
        <v>202408</v>
      </c>
      <c r="B1473">
        <v>74</v>
      </c>
      <c r="C1473" s="2">
        <v>2246680.6649000002</v>
      </c>
      <c r="D1473" s="2">
        <v>0.78039999999999998</v>
      </c>
      <c r="E1473" s="3">
        <v>201603</v>
      </c>
      <c r="F1473" s="2">
        <v>157325.57800000001</v>
      </c>
      <c r="G1473" t="s">
        <v>2840</v>
      </c>
      <c r="H1473" t="s">
        <v>3</v>
      </c>
      <c r="I1473">
        <f>HLOOKUP(G1473,zip_tiers!$A$1:$EON$2,2,FALSE)</f>
        <v>64149.333333333336</v>
      </c>
      <c r="J1473" t="str">
        <f t="shared" si="22"/>
        <v>Med</v>
      </c>
      <c r="K1473">
        <f>dataset[[#This Row],[soda_sales]]/dataset[[#This Row],[soda_units_sold]]</f>
        <v>0.78037319881152567</v>
      </c>
      <c r="L1473" s="29">
        <f>dataset[[#This Row],[implied_soda_ppu]]-dataset[[#This Row],[soda_ppu]]</f>
        <v>-2.6801188474312454E-5</v>
      </c>
      <c r="M1473">
        <f>dataset[[#This Row],[soda_sales]]/dataset[[#This Row],[total_sales]]</f>
        <v>7.0025785354325187E-2</v>
      </c>
      <c r="N1473">
        <f>LN(dataset[[#This Row],[soda_units_sold]])</f>
        <v>12.214055696021012</v>
      </c>
      <c r="O1473">
        <f>LN(dataset[[#This Row],[soda_sales]])</f>
        <v>11.966072682311793</v>
      </c>
      <c r="P1473">
        <f>LN(dataset[[#This Row],[soda_ppu]])</f>
        <v>-0.24794867023318093</v>
      </c>
      <c r="Q1473">
        <f>IF(dataset[[#This Row],[state]]="VA",1,0)</f>
        <v>1</v>
      </c>
    </row>
    <row r="1474" spans="1:17" x14ac:dyDescent="0.35">
      <c r="A1474">
        <v>202409</v>
      </c>
      <c r="B1474">
        <v>74</v>
      </c>
      <c r="C1474" s="2">
        <v>2271649.0693999999</v>
      </c>
      <c r="D1474" s="2">
        <v>0.78480000000000005</v>
      </c>
      <c r="E1474" s="3">
        <v>197457</v>
      </c>
      <c r="F1474" s="2">
        <v>154973.1244</v>
      </c>
      <c r="G1474" t="s">
        <v>2840</v>
      </c>
      <c r="H1474" t="s">
        <v>3</v>
      </c>
      <c r="I1474">
        <f>HLOOKUP(G1474,zip_tiers!$A$1:$EON$2,2,FALSE)</f>
        <v>64149.333333333336</v>
      </c>
      <c r="J1474" t="str">
        <f t="shared" ref="J1474:J1537" si="23">IF(I1474="","No Data",IF(I1474&gt;=100000,"High",IF(I1474&gt;=40000,"Med","Low")))</f>
        <v>Med</v>
      </c>
      <c r="K1474">
        <f>dataset[[#This Row],[soda_sales]]/dataset[[#This Row],[soda_units_sold]]</f>
        <v>0.784844925224226</v>
      </c>
      <c r="L1474" s="29">
        <f>dataset[[#This Row],[implied_soda_ppu]]-dataset[[#This Row],[soda_ppu]]</f>
        <v>4.4925224225944582E-5</v>
      </c>
      <c r="M1474">
        <f>dataset[[#This Row],[soda_sales]]/dataset[[#This Row],[total_sales]]</f>
        <v>6.8220539205438246E-2</v>
      </c>
      <c r="N1474">
        <f>LN(dataset[[#This Row],[soda_units_sold]])</f>
        <v>12.193276118099556</v>
      </c>
      <c r="O1474">
        <f>LN(dataset[[#This Row],[soda_sales]])</f>
        <v>11.951006989899691</v>
      </c>
      <c r="P1474">
        <f>LN(dataset[[#This Row],[soda_ppu]])</f>
        <v>-0.24232637073098365</v>
      </c>
      <c r="Q1474">
        <f>IF(dataset[[#This Row],[state]]="VA",1,0)</f>
        <v>1</v>
      </c>
    </row>
    <row r="1475" spans="1:17" x14ac:dyDescent="0.35">
      <c r="A1475">
        <v>202410</v>
      </c>
      <c r="B1475">
        <v>74</v>
      </c>
      <c r="C1475" s="2">
        <v>2766155.1039999998</v>
      </c>
      <c r="D1475" s="2">
        <v>0.78420000000000001</v>
      </c>
      <c r="E1475" s="3">
        <v>189300</v>
      </c>
      <c r="F1475" s="2">
        <v>148454.57019999999</v>
      </c>
      <c r="G1475" t="s">
        <v>2840</v>
      </c>
      <c r="H1475" t="s">
        <v>3</v>
      </c>
      <c r="I1475">
        <f>HLOOKUP(G1475,zip_tiers!$A$1:$EON$2,2,FALSE)</f>
        <v>64149.333333333336</v>
      </c>
      <c r="J1475" t="str">
        <f t="shared" si="23"/>
        <v>Med</v>
      </c>
      <c r="K1475">
        <f>dataset[[#This Row],[soda_sales]]/dataset[[#This Row],[soda_units_sold]]</f>
        <v>0.78422910829371362</v>
      </c>
      <c r="L1475" s="29">
        <f>dataset[[#This Row],[implied_soda_ppu]]-dataset[[#This Row],[soda_ppu]]</f>
        <v>2.9108293713608901E-5</v>
      </c>
      <c r="M1475">
        <f>dataset[[#This Row],[soda_sales]]/dataset[[#This Row],[total_sales]]</f>
        <v>5.3668201752435064E-2</v>
      </c>
      <c r="N1475">
        <f>LN(dataset[[#This Row],[soda_units_sold]])</f>
        <v>12.151088337197415</v>
      </c>
      <c r="O1475">
        <f>LN(dataset[[#This Row],[soda_sales]])</f>
        <v>11.908034265841296</v>
      </c>
      <c r="P1475">
        <f>LN(dataset[[#This Row],[soda_ppu]])</f>
        <v>-0.24309118912390579</v>
      </c>
      <c r="Q1475">
        <f>IF(dataset[[#This Row],[state]]="VA",1,0)</f>
        <v>1</v>
      </c>
    </row>
    <row r="1476" spans="1:17" x14ac:dyDescent="0.35">
      <c r="A1476">
        <v>202411</v>
      </c>
      <c r="B1476">
        <v>74</v>
      </c>
      <c r="C1476" s="2">
        <v>3118816.3278000001</v>
      </c>
      <c r="D1476" s="2">
        <v>0.7833</v>
      </c>
      <c r="E1476" s="3">
        <v>178095</v>
      </c>
      <c r="F1476" s="2">
        <v>139500.22930000001</v>
      </c>
      <c r="G1476" t="s">
        <v>2840</v>
      </c>
      <c r="H1476" t="s">
        <v>3</v>
      </c>
      <c r="I1476">
        <f>HLOOKUP(G1476,zip_tiers!$A$1:$EON$2,2,FALSE)</f>
        <v>64149.333333333336</v>
      </c>
      <c r="J1476" t="str">
        <f t="shared" si="23"/>
        <v>Med</v>
      </c>
      <c r="K1476">
        <f>dataset[[#This Row],[soda_sales]]/dataset[[#This Row],[soda_units_sold]]</f>
        <v>0.78329110474746633</v>
      </c>
      <c r="L1476" s="29">
        <f>dataset[[#This Row],[implied_soda_ppu]]-dataset[[#This Row],[soda_ppu]]</f>
        <v>-8.8952525336694066E-6</v>
      </c>
      <c r="M1476">
        <f>dataset[[#This Row],[soda_sales]]/dataset[[#This Row],[total_sales]]</f>
        <v>4.4728581178874002E-2</v>
      </c>
      <c r="N1476">
        <f>LN(dataset[[#This Row],[soda_units_sold]])</f>
        <v>12.090072394768002</v>
      </c>
      <c r="O1476">
        <f>LN(dataset[[#This Row],[soda_sales]])</f>
        <v>11.845821523969805</v>
      </c>
      <c r="P1476">
        <f>LN(dataset[[#This Row],[soda_ppu]])</f>
        <v>-0.24423951460894419</v>
      </c>
      <c r="Q1476">
        <f>IF(dataset[[#This Row],[state]]="VA",1,0)</f>
        <v>1</v>
      </c>
    </row>
    <row r="1477" spans="1:17" x14ac:dyDescent="0.35">
      <c r="A1477">
        <v>202412</v>
      </c>
      <c r="B1477">
        <v>74</v>
      </c>
      <c r="C1477" s="2">
        <v>3286277.1501000002</v>
      </c>
      <c r="D1477" s="2">
        <v>0.77349999999999997</v>
      </c>
      <c r="E1477" s="3">
        <v>177855</v>
      </c>
      <c r="F1477" s="2">
        <v>137573.2458</v>
      </c>
      <c r="G1477" t="s">
        <v>2840</v>
      </c>
      <c r="H1477" t="s">
        <v>3</v>
      </c>
      <c r="I1477">
        <f>HLOOKUP(G1477,zip_tiers!$A$1:$EON$2,2,FALSE)</f>
        <v>64149.333333333336</v>
      </c>
      <c r="J1477" t="str">
        <f t="shared" si="23"/>
        <v>Med</v>
      </c>
      <c r="K1477">
        <f>dataset[[#This Row],[soda_sales]]/dataset[[#This Row],[soda_units_sold]]</f>
        <v>0.77351351269292401</v>
      </c>
      <c r="L1477" s="29">
        <f>dataset[[#This Row],[implied_soda_ppu]]-dataset[[#This Row],[soda_ppu]]</f>
        <v>1.3512692924044778E-5</v>
      </c>
      <c r="M1477">
        <f>dataset[[#This Row],[soda_sales]]/dataset[[#This Row],[total_sales]]</f>
        <v>4.1862946889860982E-2</v>
      </c>
      <c r="N1477">
        <f>LN(dataset[[#This Row],[soda_units_sold]])</f>
        <v>12.088723890560281</v>
      </c>
      <c r="O1477">
        <f>LN(dataset[[#This Row],[soda_sales]])</f>
        <v>11.831911750983501</v>
      </c>
      <c r="P1477">
        <f>LN(dataset[[#This Row],[soda_ppu]])</f>
        <v>-0.2568296089690163</v>
      </c>
      <c r="Q1477">
        <f>IF(dataset[[#This Row],[state]]="VA",1,0)</f>
        <v>1</v>
      </c>
    </row>
    <row r="1478" spans="1:17" x14ac:dyDescent="0.35">
      <c r="A1478">
        <v>202201</v>
      </c>
      <c r="B1478">
        <v>20</v>
      </c>
      <c r="C1478" s="2">
        <v>1467281.6213</v>
      </c>
      <c r="D1478" s="2">
        <v>0.67359999999999998</v>
      </c>
      <c r="E1478" s="3">
        <v>136442</v>
      </c>
      <c r="F1478" s="2">
        <v>91907.3318</v>
      </c>
      <c r="G1478" t="s">
        <v>2871</v>
      </c>
      <c r="H1478" t="s">
        <v>3</v>
      </c>
      <c r="I1478">
        <f>HLOOKUP(G1478,zip_tiers!$A$1:$EON$2,2,FALSE)</f>
        <v>43634.333333333336</v>
      </c>
      <c r="J1478" t="str">
        <f t="shared" si="23"/>
        <v>Med</v>
      </c>
      <c r="K1478">
        <f>dataset[[#This Row],[soda_sales]]/dataset[[#This Row],[soda_units_sold]]</f>
        <v>0.67360000439747292</v>
      </c>
      <c r="L1478" s="29">
        <f>dataset[[#This Row],[implied_soda_ppu]]-dataset[[#This Row],[soda_ppu]]</f>
        <v>4.3974729413420732E-9</v>
      </c>
      <c r="M1478">
        <f>dataset[[#This Row],[soda_sales]]/dataset[[#This Row],[total_sales]]</f>
        <v>6.2637826621566237E-2</v>
      </c>
      <c r="N1478">
        <f>LN(dataset[[#This Row],[soda_units_sold]])</f>
        <v>11.823654894883077</v>
      </c>
      <c r="O1478">
        <f>LN(dataset[[#This Row],[soda_sales]])</f>
        <v>11.428536085357372</v>
      </c>
      <c r="P1478">
        <f>LN(dataset[[#This Row],[soda_ppu]])</f>
        <v>-0.39511881605402011</v>
      </c>
      <c r="Q1478">
        <f>IF(dataset[[#This Row],[state]]="VA",1,0)</f>
        <v>1</v>
      </c>
    </row>
    <row r="1479" spans="1:17" x14ac:dyDescent="0.35">
      <c r="A1479">
        <v>202202</v>
      </c>
      <c r="B1479">
        <v>20</v>
      </c>
      <c r="C1479" s="2">
        <v>1679203.9092000001</v>
      </c>
      <c r="D1479" s="2">
        <v>0.70269999999999999</v>
      </c>
      <c r="E1479" s="3">
        <v>144371</v>
      </c>
      <c r="F1479" s="2">
        <v>101454.91869999999</v>
      </c>
      <c r="G1479" t="s">
        <v>2871</v>
      </c>
      <c r="H1479" t="s">
        <v>3</v>
      </c>
      <c r="I1479">
        <f>HLOOKUP(G1479,zip_tiers!$A$1:$EON$2,2,FALSE)</f>
        <v>43634.333333333336</v>
      </c>
      <c r="J1479" t="str">
        <f t="shared" si="23"/>
        <v>Med</v>
      </c>
      <c r="K1479">
        <f>dataset[[#This Row],[soda_sales]]/dataset[[#This Row],[soda_units_sold]]</f>
        <v>0.70273752138587386</v>
      </c>
      <c r="L1479" s="29">
        <f>dataset[[#This Row],[implied_soda_ppu]]-dataset[[#This Row],[soda_ppu]]</f>
        <v>3.7521385873873214E-5</v>
      </c>
      <c r="M1479">
        <f>dataset[[#This Row],[soda_sales]]/dataset[[#This Row],[total_sales]]</f>
        <v>6.0418462668023899E-2</v>
      </c>
      <c r="N1479">
        <f>LN(dataset[[#This Row],[soda_units_sold]])</f>
        <v>11.880141654246682</v>
      </c>
      <c r="O1479">
        <f>LN(dataset[[#This Row],[soda_sales]])</f>
        <v>11.527369828060907</v>
      </c>
      <c r="P1479">
        <f>LN(dataset[[#This Row],[soda_ppu]])</f>
        <v>-0.35282522078398504</v>
      </c>
      <c r="Q1479">
        <f>IF(dataset[[#This Row],[state]]="VA",1,0)</f>
        <v>1</v>
      </c>
    </row>
    <row r="1480" spans="1:17" x14ac:dyDescent="0.35">
      <c r="A1480">
        <v>202203</v>
      </c>
      <c r="B1480">
        <v>20</v>
      </c>
      <c r="C1480" s="2">
        <v>1897726.1131</v>
      </c>
      <c r="D1480" s="2">
        <v>0.69889999999999997</v>
      </c>
      <c r="E1480" s="3">
        <v>173269</v>
      </c>
      <c r="F1480" s="2">
        <v>121096.0803</v>
      </c>
      <c r="G1480" t="s">
        <v>2871</v>
      </c>
      <c r="H1480" t="s">
        <v>3</v>
      </c>
      <c r="I1480">
        <f>HLOOKUP(G1480,zip_tiers!$A$1:$EON$2,2,FALSE)</f>
        <v>43634.333333333336</v>
      </c>
      <c r="J1480" t="str">
        <f t="shared" si="23"/>
        <v>Med</v>
      </c>
      <c r="K1480">
        <f>dataset[[#This Row],[soda_sales]]/dataset[[#This Row],[soda_units_sold]]</f>
        <v>0.69889062844478822</v>
      </c>
      <c r="L1480" s="29">
        <f>dataset[[#This Row],[implied_soda_ppu]]-dataset[[#This Row],[soda_ppu]]</f>
        <v>-9.3715552117457079E-6</v>
      </c>
      <c r="M1480">
        <f>dataset[[#This Row],[soda_sales]]/dataset[[#This Row],[total_sales]]</f>
        <v>6.3811147174544308E-2</v>
      </c>
      <c r="N1480">
        <f>LN(dataset[[#This Row],[soda_units_sold]])</f>
        <v>12.062600579148711</v>
      </c>
      <c r="O1480">
        <f>LN(dataset[[#This Row],[soda_sales]])</f>
        <v>11.704339561552441</v>
      </c>
      <c r="P1480">
        <f>LN(dataset[[#This Row],[soda_ppu]])</f>
        <v>-0.35824760849905374</v>
      </c>
      <c r="Q1480">
        <f>IF(dataset[[#This Row],[state]]="VA",1,0)</f>
        <v>1</v>
      </c>
    </row>
    <row r="1481" spans="1:17" x14ac:dyDescent="0.35">
      <c r="A1481">
        <v>202204</v>
      </c>
      <c r="B1481">
        <v>20</v>
      </c>
      <c r="C1481" s="2">
        <v>1978169.2551</v>
      </c>
      <c r="D1481" s="2">
        <v>0.6865</v>
      </c>
      <c r="E1481" s="3">
        <v>209693</v>
      </c>
      <c r="F1481" s="2">
        <v>143957.36809999999</v>
      </c>
      <c r="G1481" t="s">
        <v>2871</v>
      </c>
      <c r="H1481" t="s">
        <v>3</v>
      </c>
      <c r="I1481">
        <f>HLOOKUP(G1481,zip_tiers!$A$1:$EON$2,2,FALSE)</f>
        <v>43634.333333333336</v>
      </c>
      <c r="J1481" t="str">
        <f t="shared" si="23"/>
        <v>Med</v>
      </c>
      <c r="K1481">
        <f>dataset[[#This Row],[soda_sales]]/dataset[[#This Row],[soda_units_sold]]</f>
        <v>0.68651489606233873</v>
      </c>
      <c r="L1481" s="29">
        <f>dataset[[#This Row],[implied_soda_ppu]]-dataset[[#This Row],[soda_ppu]]</f>
        <v>1.4896062338731753E-5</v>
      </c>
      <c r="M1481">
        <f>dataset[[#This Row],[soda_sales]]/dataset[[#This Row],[total_sales]]</f>
        <v>7.2773028763265607E-2</v>
      </c>
      <c r="N1481">
        <f>LN(dataset[[#This Row],[soda_units_sold]])</f>
        <v>12.253399835312347</v>
      </c>
      <c r="O1481">
        <f>LN(dataset[[#This Row],[soda_sales]])</f>
        <v>11.877272479864134</v>
      </c>
      <c r="P1481">
        <f>LN(dataset[[#This Row],[soda_ppu]])</f>
        <v>-0.37614905377411129</v>
      </c>
      <c r="Q1481">
        <f>IF(dataset[[#This Row],[state]]="VA",1,0)</f>
        <v>1</v>
      </c>
    </row>
    <row r="1482" spans="1:17" x14ac:dyDescent="0.35">
      <c r="A1482">
        <v>202205</v>
      </c>
      <c r="B1482">
        <v>20</v>
      </c>
      <c r="C1482" s="2">
        <v>2051330.5085</v>
      </c>
      <c r="D1482" s="2">
        <v>0.72140000000000004</v>
      </c>
      <c r="E1482" s="3">
        <v>208668</v>
      </c>
      <c r="F1482" s="2">
        <v>150522.73319999999</v>
      </c>
      <c r="G1482" t="s">
        <v>2871</v>
      </c>
      <c r="H1482" t="s">
        <v>3</v>
      </c>
      <c r="I1482">
        <f>HLOOKUP(G1482,zip_tiers!$A$1:$EON$2,2,FALSE)</f>
        <v>43634.333333333336</v>
      </c>
      <c r="J1482" t="str">
        <f t="shared" si="23"/>
        <v>Med</v>
      </c>
      <c r="K1482">
        <f>dataset[[#This Row],[soda_sales]]/dataset[[#This Row],[soda_units_sold]]</f>
        <v>0.72135034217033756</v>
      </c>
      <c r="L1482" s="29">
        <f>dataset[[#This Row],[implied_soda_ppu]]-dataset[[#This Row],[soda_ppu]]</f>
        <v>-4.9657829662486108E-5</v>
      </c>
      <c r="M1482">
        <f>dataset[[#This Row],[soda_sales]]/dataset[[#This Row],[total_sales]]</f>
        <v>7.337809903196299E-2</v>
      </c>
      <c r="N1482">
        <f>LN(dataset[[#This Row],[soda_units_sold]])</f>
        <v>12.248499751170069</v>
      </c>
      <c r="O1482">
        <f>LN(dataset[[#This Row],[soda_sales]])</f>
        <v>11.921869402926779</v>
      </c>
      <c r="P1482">
        <f>LN(dataset[[#This Row],[soda_ppu]])</f>
        <v>-0.32656151051269838</v>
      </c>
      <c r="Q1482">
        <f>IF(dataset[[#This Row],[state]]="VA",1,0)</f>
        <v>1</v>
      </c>
    </row>
    <row r="1483" spans="1:17" x14ac:dyDescent="0.35">
      <c r="A1483">
        <v>202206</v>
      </c>
      <c r="B1483">
        <v>20</v>
      </c>
      <c r="C1483" s="2">
        <v>1944100.1407999999</v>
      </c>
      <c r="D1483" s="2">
        <v>0.6976</v>
      </c>
      <c r="E1483" s="3">
        <v>224257</v>
      </c>
      <c r="F1483" s="2">
        <v>156441.09090000001</v>
      </c>
      <c r="G1483" t="s">
        <v>2871</v>
      </c>
      <c r="H1483" t="s">
        <v>3</v>
      </c>
      <c r="I1483">
        <f>HLOOKUP(G1483,zip_tiers!$A$1:$EON$2,2,FALSE)</f>
        <v>43634.333333333336</v>
      </c>
      <c r="J1483" t="str">
        <f t="shared" si="23"/>
        <v>Med</v>
      </c>
      <c r="K1483">
        <f>dataset[[#This Row],[soda_sales]]/dataset[[#This Row],[soda_units_sold]]</f>
        <v>0.697597358833838</v>
      </c>
      <c r="L1483" s="29">
        <f>dataset[[#This Row],[implied_soda_ppu]]-dataset[[#This Row],[soda_ppu]]</f>
        <v>-2.6411661619984983E-6</v>
      </c>
      <c r="M1483">
        <f>dataset[[#This Row],[soda_sales]]/dataset[[#This Row],[total_sales]]</f>
        <v>8.0469666976940954E-2</v>
      </c>
      <c r="N1483">
        <f>LN(dataset[[#This Row],[soda_units_sold]])</f>
        <v>12.320547994595509</v>
      </c>
      <c r="O1483">
        <f>LN(dataset[[#This Row],[soda_sales]])</f>
        <v>11.960434802125627</v>
      </c>
      <c r="P1483">
        <f>LN(dataset[[#This Row],[soda_ppu]])</f>
        <v>-0.36010940638736716</v>
      </c>
      <c r="Q1483">
        <f>IF(dataset[[#This Row],[state]]="VA",1,0)</f>
        <v>1</v>
      </c>
    </row>
    <row r="1484" spans="1:17" x14ac:dyDescent="0.35">
      <c r="A1484">
        <v>202207</v>
      </c>
      <c r="B1484">
        <v>20</v>
      </c>
      <c r="C1484" s="2">
        <v>1886236.0097000001</v>
      </c>
      <c r="D1484" s="2">
        <v>0.70950000000000002</v>
      </c>
      <c r="E1484" s="3">
        <v>232481</v>
      </c>
      <c r="F1484" s="2">
        <v>164941.6764</v>
      </c>
      <c r="G1484" t="s">
        <v>2871</v>
      </c>
      <c r="H1484" t="s">
        <v>3</v>
      </c>
      <c r="I1484">
        <f>HLOOKUP(G1484,zip_tiers!$A$1:$EON$2,2,FALSE)</f>
        <v>43634.333333333336</v>
      </c>
      <c r="J1484" t="str">
        <f t="shared" si="23"/>
        <v>Med</v>
      </c>
      <c r="K1484">
        <f>dataset[[#This Row],[soda_sales]]/dataset[[#This Row],[soda_units_sold]]</f>
        <v>0.70948454454342502</v>
      </c>
      <c r="L1484" s="29">
        <f>dataset[[#This Row],[implied_soda_ppu]]-dataset[[#This Row],[soda_ppu]]</f>
        <v>-1.5455456574997584E-5</v>
      </c>
      <c r="M1484">
        <f>dataset[[#This Row],[soda_sales]]/dataset[[#This Row],[total_sales]]</f>
        <v>8.7444877285654962E-2</v>
      </c>
      <c r="N1484">
        <f>LN(dataset[[#This Row],[soda_units_sold]])</f>
        <v>12.356563780240144</v>
      </c>
      <c r="O1484">
        <f>LN(dataset[[#This Row],[soda_sales]])</f>
        <v>12.013347214031585</v>
      </c>
      <c r="P1484">
        <f>LN(dataset[[#This Row],[soda_ppu]])</f>
        <v>-0.34319478238203965</v>
      </c>
      <c r="Q1484">
        <f>IF(dataset[[#This Row],[state]]="VA",1,0)</f>
        <v>1</v>
      </c>
    </row>
    <row r="1485" spans="1:17" x14ac:dyDescent="0.35">
      <c r="A1485">
        <v>202208</v>
      </c>
      <c r="B1485">
        <v>20</v>
      </c>
      <c r="C1485" s="2">
        <v>1815487.3576</v>
      </c>
      <c r="D1485" s="2">
        <v>0.70499999999999996</v>
      </c>
      <c r="E1485" s="3">
        <v>208682</v>
      </c>
      <c r="F1485" s="2">
        <v>147113.49729999999</v>
      </c>
      <c r="G1485" t="s">
        <v>2871</v>
      </c>
      <c r="H1485" t="s">
        <v>3</v>
      </c>
      <c r="I1485">
        <f>HLOOKUP(G1485,zip_tiers!$A$1:$EON$2,2,FALSE)</f>
        <v>43634.333333333336</v>
      </c>
      <c r="J1485" t="str">
        <f t="shared" si="23"/>
        <v>Med</v>
      </c>
      <c r="K1485">
        <f>dataset[[#This Row],[soda_sales]]/dataset[[#This Row],[soda_units_sold]]</f>
        <v>0.70496495768681533</v>
      </c>
      <c r="L1485" s="29">
        <f>dataset[[#This Row],[implied_soda_ppu]]-dataset[[#This Row],[soda_ppu]]</f>
        <v>-3.5042313184630025E-5</v>
      </c>
      <c r="M1485">
        <f>dataset[[#This Row],[soda_sales]]/dataset[[#This Row],[total_sales]]</f>
        <v>8.1032509912092154E-2</v>
      </c>
      <c r="N1485">
        <f>LN(dataset[[#This Row],[soda_units_sold]])</f>
        <v>12.248566841142539</v>
      </c>
      <c r="O1485">
        <f>LN(dataset[[#This Row],[soda_sales]])</f>
        <v>11.898959658328543</v>
      </c>
      <c r="P1485">
        <f>LN(dataset[[#This Row],[soda_ppu]])</f>
        <v>-0.34955747616986843</v>
      </c>
      <c r="Q1485">
        <f>IF(dataset[[#This Row],[state]]="VA",1,0)</f>
        <v>1</v>
      </c>
    </row>
    <row r="1486" spans="1:17" x14ac:dyDescent="0.35">
      <c r="A1486">
        <v>202209</v>
      </c>
      <c r="B1486">
        <v>20</v>
      </c>
      <c r="C1486" s="2">
        <v>1827930.2350999999</v>
      </c>
      <c r="D1486" s="2">
        <v>0.69750000000000001</v>
      </c>
      <c r="E1486" s="3">
        <v>201522</v>
      </c>
      <c r="F1486" s="2">
        <v>140569.6085</v>
      </c>
      <c r="G1486" t="s">
        <v>2871</v>
      </c>
      <c r="H1486" t="s">
        <v>3</v>
      </c>
      <c r="I1486">
        <f>HLOOKUP(G1486,zip_tiers!$A$1:$EON$2,2,FALSE)</f>
        <v>43634.333333333336</v>
      </c>
      <c r="J1486" t="str">
        <f t="shared" si="23"/>
        <v>Med</v>
      </c>
      <c r="K1486">
        <f>dataset[[#This Row],[soda_sales]]/dataset[[#This Row],[soda_units_sold]]</f>
        <v>0.69753976488919323</v>
      </c>
      <c r="L1486" s="29">
        <f>dataset[[#This Row],[implied_soda_ppu]]-dataset[[#This Row],[soda_ppu]]</f>
        <v>3.9764889193216746E-5</v>
      </c>
      <c r="M1486">
        <f>dataset[[#This Row],[soda_sales]]/dataset[[#This Row],[total_sales]]</f>
        <v>7.6900970179701586E-2</v>
      </c>
      <c r="N1486">
        <f>LN(dataset[[#This Row],[soda_units_sold]])</f>
        <v>12.213653835550486</v>
      </c>
      <c r="O1486">
        <f>LN(dataset[[#This Row],[soda_sales]])</f>
        <v>11.853458079232654</v>
      </c>
      <c r="P1486">
        <f>LN(dataset[[#This Row],[soda_ppu]])</f>
        <v>-0.36025276528661637</v>
      </c>
      <c r="Q1486">
        <f>IF(dataset[[#This Row],[state]]="VA",1,0)</f>
        <v>1</v>
      </c>
    </row>
    <row r="1487" spans="1:17" x14ac:dyDescent="0.35">
      <c r="A1487">
        <v>202210</v>
      </c>
      <c r="B1487">
        <v>20</v>
      </c>
      <c r="C1487" s="2">
        <v>2182373.0625999998</v>
      </c>
      <c r="D1487" s="2">
        <v>0.72929999999999995</v>
      </c>
      <c r="E1487" s="3">
        <v>178744</v>
      </c>
      <c r="F1487" s="2">
        <v>130366.4108</v>
      </c>
      <c r="G1487" t="s">
        <v>2871</v>
      </c>
      <c r="H1487" t="s">
        <v>3</v>
      </c>
      <c r="I1487">
        <f>HLOOKUP(G1487,zip_tiers!$A$1:$EON$2,2,FALSE)</f>
        <v>43634.333333333336</v>
      </c>
      <c r="J1487" t="str">
        <f t="shared" si="23"/>
        <v>Med</v>
      </c>
      <c r="K1487">
        <f>dataset[[#This Row],[soda_sales]]/dataset[[#This Row],[soda_units_sold]]</f>
        <v>0.72934705948171685</v>
      </c>
      <c r="L1487" s="29">
        <f>dataset[[#This Row],[implied_soda_ppu]]-dataset[[#This Row],[soda_ppu]]</f>
        <v>4.705948171690455E-5</v>
      </c>
      <c r="M1487">
        <f>dataset[[#This Row],[soda_sales]]/dataset[[#This Row],[total_sales]]</f>
        <v>5.9736079515518854E-2</v>
      </c>
      <c r="N1487">
        <f>LN(dataset[[#This Row],[soda_units_sold]])</f>
        <v>12.093709893559323</v>
      </c>
      <c r="O1487">
        <f>LN(dataset[[#This Row],[soda_sales]])</f>
        <v>11.778104309404176</v>
      </c>
      <c r="P1487">
        <f>LN(dataset[[#This Row],[soda_ppu]])</f>
        <v>-0.31567010899194975</v>
      </c>
      <c r="Q1487">
        <f>IF(dataset[[#This Row],[state]]="VA",1,0)</f>
        <v>1</v>
      </c>
    </row>
    <row r="1488" spans="1:17" x14ac:dyDescent="0.35">
      <c r="A1488">
        <v>202211</v>
      </c>
      <c r="B1488">
        <v>20</v>
      </c>
      <c r="C1488" s="2">
        <v>2495461.5372000001</v>
      </c>
      <c r="D1488" s="2">
        <v>0.70609999999999995</v>
      </c>
      <c r="E1488" s="3">
        <v>179560</v>
      </c>
      <c r="F1488" s="2">
        <v>126784.9097</v>
      </c>
      <c r="G1488" t="s">
        <v>2871</v>
      </c>
      <c r="H1488" t="s">
        <v>3</v>
      </c>
      <c r="I1488">
        <f>HLOOKUP(G1488,zip_tiers!$A$1:$EON$2,2,FALSE)</f>
        <v>43634.333333333336</v>
      </c>
      <c r="J1488" t="str">
        <f t="shared" si="23"/>
        <v>Med</v>
      </c>
      <c r="K1488">
        <f>dataset[[#This Row],[soda_sales]]/dataset[[#This Row],[soda_units_sold]]</f>
        <v>0.70608659890844283</v>
      </c>
      <c r="L1488" s="29">
        <f>dataset[[#This Row],[implied_soda_ppu]]-dataset[[#This Row],[soda_ppu]]</f>
        <v>-1.3401091557119216E-5</v>
      </c>
      <c r="M1488">
        <f>dataset[[#This Row],[soda_sales]]/dataset[[#This Row],[total_sales]]</f>
        <v>5.0806196693481138E-2</v>
      </c>
      <c r="N1488">
        <f>LN(dataset[[#This Row],[soda_units_sold]])</f>
        <v>12.098264692895869</v>
      </c>
      <c r="O1488">
        <f>LN(dataset[[#This Row],[soda_sales]])</f>
        <v>11.75024730522809</v>
      </c>
      <c r="P1488">
        <f>LN(dataset[[#This Row],[soda_ppu]])</f>
        <v>-0.34799840845983598</v>
      </c>
      <c r="Q1488">
        <f>IF(dataset[[#This Row],[state]]="VA",1,0)</f>
        <v>1</v>
      </c>
    </row>
    <row r="1489" spans="1:17" x14ac:dyDescent="0.35">
      <c r="A1489">
        <v>202212</v>
      </c>
      <c r="B1489">
        <v>20</v>
      </c>
      <c r="C1489" s="2">
        <v>2603242.9103000001</v>
      </c>
      <c r="D1489" s="2">
        <v>0.70740000000000003</v>
      </c>
      <c r="E1489" s="3">
        <v>173386</v>
      </c>
      <c r="F1489" s="2">
        <v>122649.7977</v>
      </c>
      <c r="G1489" t="s">
        <v>2871</v>
      </c>
      <c r="H1489" t="s">
        <v>3</v>
      </c>
      <c r="I1489">
        <f>HLOOKUP(G1489,zip_tiers!$A$1:$EON$2,2,FALSE)</f>
        <v>43634.333333333336</v>
      </c>
      <c r="J1489" t="str">
        <f t="shared" si="23"/>
        <v>Med</v>
      </c>
      <c r="K1489">
        <f>dataset[[#This Row],[soda_sales]]/dataset[[#This Row],[soda_units_sold]]</f>
        <v>0.70738005202265464</v>
      </c>
      <c r="L1489" s="29">
        <f>dataset[[#This Row],[implied_soda_ppu]]-dataset[[#This Row],[soda_ppu]]</f>
        <v>-1.9947977345391443E-5</v>
      </c>
      <c r="M1489">
        <f>dataset[[#This Row],[soda_sales]]/dataset[[#This Row],[total_sales]]</f>
        <v>4.7114234793350772E-2</v>
      </c>
      <c r="N1489">
        <f>LN(dataset[[#This Row],[soda_units_sold]])</f>
        <v>12.063275601891453</v>
      </c>
      <c r="O1489">
        <f>LN(dataset[[#This Row],[soda_sales]])</f>
        <v>11.717088400276388</v>
      </c>
      <c r="P1489">
        <f>LN(dataset[[#This Row],[soda_ppu]])</f>
        <v>-0.34615900221075679</v>
      </c>
      <c r="Q1489">
        <f>IF(dataset[[#This Row],[state]]="VA",1,0)</f>
        <v>1</v>
      </c>
    </row>
    <row r="1490" spans="1:17" x14ac:dyDescent="0.35">
      <c r="A1490">
        <v>202301</v>
      </c>
      <c r="B1490">
        <v>20</v>
      </c>
      <c r="C1490" s="2">
        <v>1509358.8633999999</v>
      </c>
      <c r="D1490" s="2">
        <v>0.72470000000000001</v>
      </c>
      <c r="E1490" s="3">
        <v>126065</v>
      </c>
      <c r="F1490" s="2">
        <v>91363.367299999998</v>
      </c>
      <c r="G1490" t="s">
        <v>2871</v>
      </c>
      <c r="H1490" t="s">
        <v>3</v>
      </c>
      <c r="I1490">
        <f>HLOOKUP(G1490,zip_tiers!$A$1:$EON$2,2,FALSE)</f>
        <v>43634.333333333336</v>
      </c>
      <c r="J1490" t="str">
        <f t="shared" si="23"/>
        <v>Med</v>
      </c>
      <c r="K1490">
        <f>dataset[[#This Row],[soda_sales]]/dataset[[#This Row],[soda_units_sold]]</f>
        <v>0.72473221988656644</v>
      </c>
      <c r="L1490" s="29">
        <f>dataset[[#This Row],[implied_soda_ppu]]-dataset[[#This Row],[soda_ppu]]</f>
        <v>3.2219886566431377E-5</v>
      </c>
      <c r="M1490">
        <f>dataset[[#This Row],[soda_sales]]/dataset[[#This Row],[total_sales]]</f>
        <v>6.0531242447004141E-2</v>
      </c>
      <c r="N1490">
        <f>LN(dataset[[#This Row],[soda_units_sold]])</f>
        <v>11.744552925932748</v>
      </c>
      <c r="O1490">
        <f>LN(dataset[[#This Row],[soda_sales]])</f>
        <v>11.422599881697481</v>
      </c>
      <c r="P1490">
        <f>LN(dataset[[#This Row],[soda_ppu]])</f>
        <v>-0.32199750286690132</v>
      </c>
      <c r="Q1490">
        <f>IF(dataset[[#This Row],[state]]="VA",1,0)</f>
        <v>1</v>
      </c>
    </row>
    <row r="1491" spans="1:17" x14ac:dyDescent="0.35">
      <c r="A1491">
        <v>202302</v>
      </c>
      <c r="B1491">
        <v>20</v>
      </c>
      <c r="C1491" s="2">
        <v>1700907.9373999999</v>
      </c>
      <c r="D1491" s="2">
        <v>0.71399999999999997</v>
      </c>
      <c r="E1491" s="3">
        <v>143069</v>
      </c>
      <c r="F1491" s="2">
        <v>102150.6265</v>
      </c>
      <c r="G1491" t="s">
        <v>2871</v>
      </c>
      <c r="H1491" t="s">
        <v>3</v>
      </c>
      <c r="I1491">
        <f>HLOOKUP(G1491,zip_tiers!$A$1:$EON$2,2,FALSE)</f>
        <v>43634.333333333336</v>
      </c>
      <c r="J1491" t="str">
        <f t="shared" si="23"/>
        <v>Med</v>
      </c>
      <c r="K1491">
        <f>dataset[[#This Row],[soda_sales]]/dataset[[#This Row],[soda_units_sold]]</f>
        <v>0.713995530128819</v>
      </c>
      <c r="L1491" s="29">
        <f>dataset[[#This Row],[implied_soda_ppu]]-dataset[[#This Row],[soda_ppu]]</f>
        <v>-4.4698711809676439E-6</v>
      </c>
      <c r="M1491">
        <f>dataset[[#This Row],[soda_sales]]/dataset[[#This Row],[total_sales]]</f>
        <v>6.0056528783178575E-2</v>
      </c>
      <c r="N1491">
        <f>LN(dataset[[#This Row],[soda_units_sold]])</f>
        <v>11.871082310350435</v>
      </c>
      <c r="O1491">
        <f>LN(dataset[[#This Row],[soda_sales]])</f>
        <v>11.534203733364503</v>
      </c>
      <c r="P1491">
        <f>LN(dataset[[#This Row],[soda_ppu]])</f>
        <v>-0.33687231664255274</v>
      </c>
      <c r="Q1491">
        <f>IF(dataset[[#This Row],[state]]="VA",1,0)</f>
        <v>1</v>
      </c>
    </row>
    <row r="1492" spans="1:17" x14ac:dyDescent="0.35">
      <c r="A1492">
        <v>202303</v>
      </c>
      <c r="B1492">
        <v>20</v>
      </c>
      <c r="C1492" s="2">
        <v>1889755.834</v>
      </c>
      <c r="D1492" s="2">
        <v>0.71699999999999997</v>
      </c>
      <c r="E1492" s="3">
        <v>170991</v>
      </c>
      <c r="F1492" s="2">
        <v>122593.68060000001</v>
      </c>
      <c r="G1492" t="s">
        <v>2871</v>
      </c>
      <c r="H1492" t="s">
        <v>3</v>
      </c>
      <c r="I1492">
        <f>HLOOKUP(G1492,zip_tiers!$A$1:$EON$2,2,FALSE)</f>
        <v>43634.333333333336</v>
      </c>
      <c r="J1492" t="str">
        <f t="shared" si="23"/>
        <v>Med</v>
      </c>
      <c r="K1492">
        <f>dataset[[#This Row],[soda_sales]]/dataset[[#This Row],[soda_units_sold]]</f>
        <v>0.71695984350053521</v>
      </c>
      <c r="L1492" s="29">
        <f>dataset[[#This Row],[implied_soda_ppu]]-dataset[[#This Row],[soda_ppu]]</f>
        <v>-4.0156499464760742E-5</v>
      </c>
      <c r="M1492">
        <f>dataset[[#This Row],[soda_sales]]/dataset[[#This Row],[total_sales]]</f>
        <v>6.487276207556876E-2</v>
      </c>
      <c r="N1492">
        <f>LN(dataset[[#This Row],[soda_units_sold]])</f>
        <v>12.04936620252076</v>
      </c>
      <c r="O1492">
        <f>LN(dataset[[#This Row],[soda_sales]])</f>
        <v>11.716630756294428</v>
      </c>
      <c r="P1492">
        <f>LN(dataset[[#This Row],[soda_ppu]])</f>
        <v>-0.33267943838251673</v>
      </c>
      <c r="Q1492">
        <f>IF(dataset[[#This Row],[state]]="VA",1,0)</f>
        <v>1</v>
      </c>
    </row>
    <row r="1493" spans="1:17" x14ac:dyDescent="0.35">
      <c r="A1493">
        <v>202304</v>
      </c>
      <c r="B1493">
        <v>20</v>
      </c>
      <c r="C1493" s="2">
        <v>1993543.2198000001</v>
      </c>
      <c r="D1493" s="2">
        <v>0.73399999999999999</v>
      </c>
      <c r="E1493" s="3">
        <v>190772</v>
      </c>
      <c r="F1493" s="2">
        <v>140021.54329999999</v>
      </c>
      <c r="G1493" t="s">
        <v>2871</v>
      </c>
      <c r="H1493" t="s">
        <v>3</v>
      </c>
      <c r="I1493">
        <f>HLOOKUP(G1493,zip_tiers!$A$1:$EON$2,2,FALSE)</f>
        <v>43634.333333333336</v>
      </c>
      <c r="J1493" t="str">
        <f t="shared" si="23"/>
        <v>Med</v>
      </c>
      <c r="K1493">
        <f>dataset[[#This Row],[soda_sales]]/dataset[[#This Row],[soda_units_sold]]</f>
        <v>0.73397324188035973</v>
      </c>
      <c r="L1493" s="29">
        <f>dataset[[#This Row],[implied_soda_ppu]]-dataset[[#This Row],[soda_ppu]]</f>
        <v>-2.675811964025776E-5</v>
      </c>
      <c r="M1493">
        <f>dataset[[#This Row],[soda_sales]]/dataset[[#This Row],[total_sales]]</f>
        <v>7.0237525782885959E-2</v>
      </c>
      <c r="N1493">
        <f>LN(dataset[[#This Row],[soda_units_sold]])</f>
        <v>12.158834276703303</v>
      </c>
      <c r="O1493">
        <f>LN(dataset[[#This Row],[soda_sales]])</f>
        <v>11.849551570467304</v>
      </c>
      <c r="P1493">
        <f>LN(dataset[[#This Row],[soda_ppu]])</f>
        <v>-0.30924625036762149</v>
      </c>
      <c r="Q1493">
        <f>IF(dataset[[#This Row],[state]]="VA",1,0)</f>
        <v>1</v>
      </c>
    </row>
    <row r="1494" spans="1:17" x14ac:dyDescent="0.35">
      <c r="A1494">
        <v>202305</v>
      </c>
      <c r="B1494">
        <v>20</v>
      </c>
      <c r="C1494" s="2">
        <v>2119263.6797000002</v>
      </c>
      <c r="D1494" s="2">
        <v>0.74309999999999998</v>
      </c>
      <c r="E1494" s="3">
        <v>201096</v>
      </c>
      <c r="F1494" s="2">
        <v>149442.79019999999</v>
      </c>
      <c r="G1494" t="s">
        <v>2871</v>
      </c>
      <c r="H1494" t="s">
        <v>3</v>
      </c>
      <c r="I1494">
        <f>HLOOKUP(G1494,zip_tiers!$A$1:$EON$2,2,FALSE)</f>
        <v>43634.333333333336</v>
      </c>
      <c r="J1494" t="str">
        <f t="shared" si="23"/>
        <v>Med</v>
      </c>
      <c r="K1494">
        <f>dataset[[#This Row],[soda_sales]]/dataset[[#This Row],[soda_units_sold]]</f>
        <v>0.74314153538608418</v>
      </c>
      <c r="L1494" s="29">
        <f>dataset[[#This Row],[implied_soda_ppu]]-dataset[[#This Row],[soda_ppu]]</f>
        <v>4.1535386084201598E-5</v>
      </c>
      <c r="M1494">
        <f>dataset[[#This Row],[soda_sales]]/dataset[[#This Row],[total_sales]]</f>
        <v>7.0516373980020683E-2</v>
      </c>
      <c r="N1494">
        <f>LN(dataset[[#This Row],[soda_units_sold]])</f>
        <v>12.211537684961232</v>
      </c>
      <c r="O1494">
        <f>LN(dataset[[#This Row],[soda_sales]])</f>
        <v>11.914668924326911</v>
      </c>
      <c r="P1494">
        <f>LN(dataset[[#This Row],[soda_ppu]])</f>
        <v>-0.29692465381871352</v>
      </c>
      <c r="Q1494">
        <f>IF(dataset[[#This Row],[state]]="VA",1,0)</f>
        <v>1</v>
      </c>
    </row>
    <row r="1495" spans="1:17" x14ac:dyDescent="0.35">
      <c r="A1495">
        <v>202306</v>
      </c>
      <c r="B1495">
        <v>20</v>
      </c>
      <c r="C1495" s="2">
        <v>2012931.9350000001</v>
      </c>
      <c r="D1495" s="2">
        <v>0.71160000000000001</v>
      </c>
      <c r="E1495" s="3">
        <v>232153</v>
      </c>
      <c r="F1495" s="2">
        <v>165205.6893</v>
      </c>
      <c r="G1495" t="s">
        <v>2871</v>
      </c>
      <c r="H1495" t="s">
        <v>3</v>
      </c>
      <c r="I1495">
        <f>HLOOKUP(G1495,zip_tiers!$A$1:$EON$2,2,FALSE)</f>
        <v>43634.333333333336</v>
      </c>
      <c r="J1495" t="str">
        <f t="shared" si="23"/>
        <v>Med</v>
      </c>
      <c r="K1495">
        <f>dataset[[#This Row],[soda_sales]]/dataset[[#This Row],[soda_units_sold]]</f>
        <v>0.71162418448178566</v>
      </c>
      <c r="L1495" s="29">
        <f>dataset[[#This Row],[implied_soda_ppu]]-dataset[[#This Row],[soda_ppu]]</f>
        <v>2.4184481785649581E-5</v>
      </c>
      <c r="M1495">
        <f>dataset[[#This Row],[soda_sales]]/dataset[[#This Row],[total_sales]]</f>
        <v>8.2072168674694898E-2</v>
      </c>
      <c r="N1495">
        <f>LN(dataset[[#This Row],[soda_units_sold]])</f>
        <v>12.355151916043873</v>
      </c>
      <c r="O1495">
        <f>LN(dataset[[#This Row],[soda_sales]])</f>
        <v>12.014946578337996</v>
      </c>
      <c r="P1495">
        <f>LN(dataset[[#This Row],[soda_ppu]])</f>
        <v>-0.34023932319045697</v>
      </c>
      <c r="Q1495">
        <f>IF(dataset[[#This Row],[state]]="VA",1,0)</f>
        <v>1</v>
      </c>
    </row>
    <row r="1496" spans="1:17" x14ac:dyDescent="0.35">
      <c r="A1496">
        <v>202307</v>
      </c>
      <c r="B1496">
        <v>20</v>
      </c>
      <c r="C1496" s="2">
        <v>1910945.895</v>
      </c>
      <c r="D1496" s="2">
        <v>0.7319</v>
      </c>
      <c r="E1496" s="3">
        <v>225221</v>
      </c>
      <c r="F1496" s="2">
        <v>164838.9406</v>
      </c>
      <c r="G1496" t="s">
        <v>2871</v>
      </c>
      <c r="H1496" t="s">
        <v>3</v>
      </c>
      <c r="I1496">
        <f>HLOOKUP(G1496,zip_tiers!$A$1:$EON$2,2,FALSE)</f>
        <v>43634.333333333336</v>
      </c>
      <c r="J1496" t="str">
        <f t="shared" si="23"/>
        <v>Med</v>
      </c>
      <c r="K1496">
        <f>dataset[[#This Row],[soda_sales]]/dataset[[#This Row],[soda_units_sold]]</f>
        <v>0.7318986266822366</v>
      </c>
      <c r="L1496" s="29">
        <f>dataset[[#This Row],[implied_soda_ppu]]-dataset[[#This Row],[soda_ppu]]</f>
        <v>-1.3733177633978855E-6</v>
      </c>
      <c r="M1496">
        <f>dataset[[#This Row],[soda_sales]]/dataset[[#This Row],[total_sales]]</f>
        <v>8.6260391270784775E-2</v>
      </c>
      <c r="N1496">
        <f>LN(dataset[[#This Row],[soda_units_sold]])</f>
        <v>12.324837421344169</v>
      </c>
      <c r="O1496">
        <f>LN(dataset[[#This Row],[soda_sales]])</f>
        <v>12.012724158593956</v>
      </c>
      <c r="P1496">
        <f>LN(dataset[[#This Row],[soda_ppu]])</f>
        <v>-0.31211138637495561</v>
      </c>
      <c r="Q1496">
        <f>IF(dataset[[#This Row],[state]]="VA",1,0)</f>
        <v>1</v>
      </c>
    </row>
    <row r="1497" spans="1:17" x14ac:dyDescent="0.35">
      <c r="A1497">
        <v>202308</v>
      </c>
      <c r="B1497">
        <v>20</v>
      </c>
      <c r="C1497" s="2">
        <v>1790952.9146</v>
      </c>
      <c r="D1497" s="2">
        <v>0.71509999999999996</v>
      </c>
      <c r="E1497" s="3">
        <v>203054</v>
      </c>
      <c r="F1497" s="2">
        <v>145211.22409999999</v>
      </c>
      <c r="G1497" t="s">
        <v>2871</v>
      </c>
      <c r="H1497" t="s">
        <v>3</v>
      </c>
      <c r="I1497">
        <f>HLOOKUP(G1497,zip_tiers!$A$1:$EON$2,2,FALSE)</f>
        <v>43634.333333333336</v>
      </c>
      <c r="J1497" t="str">
        <f t="shared" si="23"/>
        <v>Med</v>
      </c>
      <c r="K1497">
        <f>dataset[[#This Row],[soda_sales]]/dataset[[#This Row],[soda_units_sold]]</f>
        <v>0.71513599387355087</v>
      </c>
      <c r="L1497" s="29">
        <f>dataset[[#This Row],[implied_soda_ppu]]-dataset[[#This Row],[soda_ppu]]</f>
        <v>3.5993873550910216E-5</v>
      </c>
      <c r="M1497">
        <f>dataset[[#This Row],[soda_sales]]/dataset[[#This Row],[total_sales]]</f>
        <v>8.108042535134552E-2</v>
      </c>
      <c r="N1497">
        <f>LN(dataset[[#This Row],[soda_units_sold]])</f>
        <v>12.221227232501793</v>
      </c>
      <c r="O1497">
        <f>LN(dataset[[#This Row],[soda_sales]])</f>
        <v>11.885944679349455</v>
      </c>
      <c r="P1497">
        <f>LN(dataset[[#This Row],[soda_ppu]])</f>
        <v>-0.33533288592778687</v>
      </c>
      <c r="Q1497">
        <f>IF(dataset[[#This Row],[state]]="VA",1,0)</f>
        <v>1</v>
      </c>
    </row>
    <row r="1498" spans="1:17" x14ac:dyDescent="0.35">
      <c r="A1498">
        <v>202309</v>
      </c>
      <c r="B1498">
        <v>20</v>
      </c>
      <c r="C1498" s="2">
        <v>1816474.6318000001</v>
      </c>
      <c r="D1498" s="2">
        <v>0.69950000000000001</v>
      </c>
      <c r="E1498" s="3">
        <v>208668</v>
      </c>
      <c r="F1498" s="2">
        <v>145955.23130000001</v>
      </c>
      <c r="G1498" t="s">
        <v>2871</v>
      </c>
      <c r="H1498" t="s">
        <v>3</v>
      </c>
      <c r="I1498">
        <f>HLOOKUP(G1498,zip_tiers!$A$1:$EON$2,2,FALSE)</f>
        <v>43634.333333333336</v>
      </c>
      <c r="J1498" t="str">
        <f t="shared" si="23"/>
        <v>Med</v>
      </c>
      <c r="K1498">
        <f>dataset[[#This Row],[soda_sales]]/dataset[[#This Row],[soda_units_sold]]</f>
        <v>0.69946149529395985</v>
      </c>
      <c r="L1498" s="29">
        <f>dataset[[#This Row],[implied_soda_ppu]]-dataset[[#This Row],[soda_ppu]]</f>
        <v>-3.8504706040165537E-5</v>
      </c>
      <c r="M1498">
        <f>dataset[[#This Row],[soda_sales]]/dataset[[#This Row],[total_sales]]</f>
        <v>8.0350822821769072E-2</v>
      </c>
      <c r="N1498">
        <f>LN(dataset[[#This Row],[soda_units_sold]])</f>
        <v>12.248499751170069</v>
      </c>
      <c r="O1498">
        <f>LN(dataset[[#This Row],[soda_sales]])</f>
        <v>11.891055218736863</v>
      </c>
      <c r="P1498">
        <f>LN(dataset[[#This Row],[soda_ppu]])</f>
        <v>-0.35738948487660116</v>
      </c>
      <c r="Q1498">
        <f>IF(dataset[[#This Row],[state]]="VA",1,0)</f>
        <v>1</v>
      </c>
    </row>
    <row r="1499" spans="1:17" x14ac:dyDescent="0.35">
      <c r="A1499">
        <v>202310</v>
      </c>
      <c r="B1499">
        <v>20</v>
      </c>
      <c r="C1499" s="2">
        <v>2262100.6976999999</v>
      </c>
      <c r="D1499" s="2">
        <v>0.7248</v>
      </c>
      <c r="E1499" s="3">
        <v>190249</v>
      </c>
      <c r="F1499" s="2">
        <v>137891.08619999999</v>
      </c>
      <c r="G1499" t="s">
        <v>2871</v>
      </c>
      <c r="H1499" t="s">
        <v>3</v>
      </c>
      <c r="I1499">
        <f>HLOOKUP(G1499,zip_tiers!$A$1:$EON$2,2,FALSE)</f>
        <v>43634.333333333336</v>
      </c>
      <c r="J1499" t="str">
        <f t="shared" si="23"/>
        <v>Med</v>
      </c>
      <c r="K1499">
        <f>dataset[[#This Row],[soda_sales]]/dataset[[#This Row],[soda_units_sold]]</f>
        <v>0.72479269904178201</v>
      </c>
      <c r="L1499" s="29">
        <f>dataset[[#This Row],[implied_soda_ppu]]-dataset[[#This Row],[soda_ppu]]</f>
        <v>-7.3009582179928145E-6</v>
      </c>
      <c r="M1499">
        <f>dataset[[#This Row],[soda_sales]]/dataset[[#This Row],[total_sales]]</f>
        <v>6.0957094589202558E-2</v>
      </c>
      <c r="N1499">
        <f>LN(dataset[[#This Row],[soda_units_sold]])</f>
        <v>12.156089019468331</v>
      </c>
      <c r="O1499">
        <f>LN(dataset[[#This Row],[soda_sales]])</f>
        <v>11.834219422098256</v>
      </c>
      <c r="P1499">
        <f>LN(dataset[[#This Row],[soda_ppu]])</f>
        <v>-0.3218595242533675</v>
      </c>
      <c r="Q1499">
        <f>IF(dataset[[#This Row],[state]]="VA",1,0)</f>
        <v>1</v>
      </c>
    </row>
    <row r="1500" spans="1:17" x14ac:dyDescent="0.35">
      <c r="A1500">
        <v>202311</v>
      </c>
      <c r="B1500">
        <v>20</v>
      </c>
      <c r="C1500" s="2">
        <v>2502726.2418</v>
      </c>
      <c r="D1500" s="2">
        <v>0.72060000000000002</v>
      </c>
      <c r="E1500" s="3">
        <v>174789</v>
      </c>
      <c r="F1500" s="2">
        <v>125961.01820000001</v>
      </c>
      <c r="G1500" t="s">
        <v>2871</v>
      </c>
      <c r="H1500" t="s">
        <v>3</v>
      </c>
      <c r="I1500">
        <f>HLOOKUP(G1500,zip_tiers!$A$1:$EON$2,2,FALSE)</f>
        <v>43634.333333333336</v>
      </c>
      <c r="J1500" t="str">
        <f t="shared" si="23"/>
        <v>Med</v>
      </c>
      <c r="K1500">
        <f>dataset[[#This Row],[soda_sales]]/dataset[[#This Row],[soda_units_sold]]</f>
        <v>0.72064614020333095</v>
      </c>
      <c r="L1500" s="29">
        <f>dataset[[#This Row],[implied_soda_ppu]]-dataset[[#This Row],[soda_ppu]]</f>
        <v>4.6140203330935492E-5</v>
      </c>
      <c r="M1500">
        <f>dataset[[#This Row],[soda_sales]]/dataset[[#This Row],[total_sales]]</f>
        <v>5.0329523100140133E-2</v>
      </c>
      <c r="N1500">
        <f>LN(dataset[[#This Row],[soda_units_sold]])</f>
        <v>12.071334811161671</v>
      </c>
      <c r="O1500">
        <f>LN(dataset[[#This Row],[soda_sales]])</f>
        <v>11.743727758700867</v>
      </c>
      <c r="P1500">
        <f>LN(dataset[[#This Row],[soda_ppu]])</f>
        <v>-0.32767108066814415</v>
      </c>
      <c r="Q1500">
        <f>IF(dataset[[#This Row],[state]]="VA",1,0)</f>
        <v>1</v>
      </c>
    </row>
    <row r="1501" spans="1:17" x14ac:dyDescent="0.35">
      <c r="A1501">
        <v>202312</v>
      </c>
      <c r="B1501">
        <v>20</v>
      </c>
      <c r="C1501" s="2">
        <v>2620748.7174999998</v>
      </c>
      <c r="D1501" s="2">
        <v>0.71360000000000001</v>
      </c>
      <c r="E1501" s="3">
        <v>172971</v>
      </c>
      <c r="F1501" s="2">
        <v>123429.6488</v>
      </c>
      <c r="G1501" t="s">
        <v>2871</v>
      </c>
      <c r="H1501" t="s">
        <v>3</v>
      </c>
      <c r="I1501">
        <f>HLOOKUP(G1501,zip_tiers!$A$1:$EON$2,2,FALSE)</f>
        <v>43634.333333333336</v>
      </c>
      <c r="J1501" t="str">
        <f t="shared" si="23"/>
        <v>Med</v>
      </c>
      <c r="K1501">
        <f>dataset[[#This Row],[soda_sales]]/dataset[[#This Row],[soda_units_sold]]</f>
        <v>0.71358579646299092</v>
      </c>
      <c r="L1501" s="29">
        <f>dataset[[#This Row],[implied_soda_ppu]]-dataset[[#This Row],[soda_ppu]]</f>
        <v>-1.4203537009094269E-5</v>
      </c>
      <c r="M1501">
        <f>dataset[[#This Row],[soda_sales]]/dataset[[#This Row],[total_sales]]</f>
        <v>4.7097094038738192E-2</v>
      </c>
      <c r="N1501">
        <f>LN(dataset[[#This Row],[soda_units_sold]])</f>
        <v>12.060879229370624</v>
      </c>
      <c r="O1501">
        <f>LN(dataset[[#This Row],[soda_sales]])</f>
        <v>11.723426627396488</v>
      </c>
      <c r="P1501">
        <f>LN(dataset[[#This Row],[soda_ppu]])</f>
        <v>-0.33743269771633744</v>
      </c>
      <c r="Q1501">
        <f>IF(dataset[[#This Row],[state]]="VA",1,0)</f>
        <v>1</v>
      </c>
    </row>
    <row r="1502" spans="1:17" x14ac:dyDescent="0.35">
      <c r="A1502">
        <v>202401</v>
      </c>
      <c r="B1502">
        <v>20</v>
      </c>
      <c r="C1502" s="2">
        <v>1517110.1597</v>
      </c>
      <c r="D1502" s="2">
        <v>0.73609999999999998</v>
      </c>
      <c r="E1502" s="3">
        <v>124403</v>
      </c>
      <c r="F1502" s="2">
        <v>91571.465700000001</v>
      </c>
      <c r="G1502" t="s">
        <v>2871</v>
      </c>
      <c r="H1502" t="s">
        <v>3</v>
      </c>
      <c r="I1502">
        <f>HLOOKUP(G1502,zip_tiers!$A$1:$EON$2,2,FALSE)</f>
        <v>43634.333333333336</v>
      </c>
      <c r="J1502" t="str">
        <f t="shared" si="23"/>
        <v>Med</v>
      </c>
      <c r="K1502">
        <f>dataset[[#This Row],[soda_sales]]/dataset[[#This Row],[soda_units_sold]]</f>
        <v>0.73608727844183819</v>
      </c>
      <c r="L1502" s="29">
        <f>dataset[[#This Row],[implied_soda_ppu]]-dataset[[#This Row],[soda_ppu]]</f>
        <v>-1.2721558161787883E-5</v>
      </c>
      <c r="M1502">
        <f>dataset[[#This Row],[soda_sales]]/dataset[[#This Row],[total_sales]]</f>
        <v>6.0359140774660522E-2</v>
      </c>
      <c r="N1502">
        <f>LN(dataset[[#This Row],[soda_units_sold]])</f>
        <v>11.731281574752064</v>
      </c>
      <c r="O1502">
        <f>LN(dataset[[#This Row],[soda_sales]])</f>
        <v>11.424874992307631</v>
      </c>
      <c r="P1502">
        <f>LN(dataset[[#This Row],[soda_ppu]])</f>
        <v>-0.30638929991747682</v>
      </c>
      <c r="Q1502">
        <f>IF(dataset[[#This Row],[state]]="VA",1,0)</f>
        <v>1</v>
      </c>
    </row>
    <row r="1503" spans="1:17" x14ac:dyDescent="0.35">
      <c r="A1503">
        <v>202402</v>
      </c>
      <c r="B1503">
        <v>20</v>
      </c>
      <c r="C1503" s="2">
        <v>1775129.1338</v>
      </c>
      <c r="D1503" s="2">
        <v>0.71950000000000003</v>
      </c>
      <c r="E1503" s="3">
        <v>152367</v>
      </c>
      <c r="F1503" s="2">
        <v>109633.6188</v>
      </c>
      <c r="G1503" t="s">
        <v>2871</v>
      </c>
      <c r="H1503" t="s">
        <v>3</v>
      </c>
      <c r="I1503">
        <f>HLOOKUP(G1503,zip_tiers!$A$1:$EON$2,2,FALSE)</f>
        <v>43634.333333333336</v>
      </c>
      <c r="J1503" t="str">
        <f t="shared" si="23"/>
        <v>Med</v>
      </c>
      <c r="K1503">
        <f>dataset[[#This Row],[soda_sales]]/dataset[[#This Row],[soda_units_sold]]</f>
        <v>0.71953650593632479</v>
      </c>
      <c r="L1503" s="29">
        <f>dataset[[#This Row],[implied_soda_ppu]]-dataset[[#This Row],[soda_ppu]]</f>
        <v>3.6505936324759958E-5</v>
      </c>
      <c r="M1503">
        <f>dataset[[#This Row],[soda_sales]]/dataset[[#This Row],[total_sales]]</f>
        <v>6.1760925846171245E-2</v>
      </c>
      <c r="N1503">
        <f>LN(dataset[[#This Row],[soda_units_sold]])</f>
        <v>11.934047363354431</v>
      </c>
      <c r="O1503">
        <f>LN(dataset[[#This Row],[soda_sales]])</f>
        <v>11.6048993473366</v>
      </c>
      <c r="P1503">
        <f>LN(dataset[[#This Row],[soda_ppu]])</f>
        <v>-0.32919875265471449</v>
      </c>
      <c r="Q1503">
        <f>IF(dataset[[#This Row],[state]]="VA",1,0)</f>
        <v>1</v>
      </c>
    </row>
    <row r="1504" spans="1:17" x14ac:dyDescent="0.35">
      <c r="A1504">
        <v>202403</v>
      </c>
      <c r="B1504">
        <v>20</v>
      </c>
      <c r="C1504" s="2">
        <v>1964471.8322000001</v>
      </c>
      <c r="D1504" s="2">
        <v>0.74060000000000004</v>
      </c>
      <c r="E1504" s="3">
        <v>170055</v>
      </c>
      <c r="F1504" s="2">
        <v>125941.548</v>
      </c>
      <c r="G1504" t="s">
        <v>2871</v>
      </c>
      <c r="H1504" t="s">
        <v>3</v>
      </c>
      <c r="I1504">
        <f>HLOOKUP(G1504,zip_tiers!$A$1:$EON$2,2,FALSE)</f>
        <v>43634.333333333336</v>
      </c>
      <c r="J1504" t="str">
        <f t="shared" si="23"/>
        <v>Med</v>
      </c>
      <c r="K1504">
        <f>dataset[[#This Row],[soda_sales]]/dataset[[#This Row],[soda_units_sold]]</f>
        <v>0.74059303166622559</v>
      </c>
      <c r="L1504" s="29">
        <f>dataset[[#This Row],[implied_soda_ppu]]-dataset[[#This Row],[soda_ppu]]</f>
        <v>-6.9683337744486096E-6</v>
      </c>
      <c r="M1504">
        <f>dataset[[#This Row],[soda_sales]]/dataset[[#This Row],[total_sales]]</f>
        <v>6.4109622716737466E-2</v>
      </c>
      <c r="N1504">
        <f>LN(dataset[[#This Row],[soda_units_sold]])</f>
        <v>12.043877193119808</v>
      </c>
      <c r="O1504">
        <f>LN(dataset[[#This Row],[soda_sales]])</f>
        <v>11.743573173534607</v>
      </c>
      <c r="P1504">
        <f>LN(dataset[[#This Row],[soda_ppu]])</f>
        <v>-0.30029461050262468</v>
      </c>
      <c r="Q1504">
        <f>IF(dataset[[#This Row],[state]]="VA",1,0)</f>
        <v>1</v>
      </c>
    </row>
    <row r="1505" spans="1:17" x14ac:dyDescent="0.35">
      <c r="A1505">
        <v>202404</v>
      </c>
      <c r="B1505">
        <v>20</v>
      </c>
      <c r="C1505" s="2">
        <v>2059948.7594000001</v>
      </c>
      <c r="D1505" s="2">
        <v>0.74650000000000005</v>
      </c>
      <c r="E1505" s="3">
        <v>200834</v>
      </c>
      <c r="F1505" s="2">
        <v>149917.8419</v>
      </c>
      <c r="G1505" t="s">
        <v>2871</v>
      </c>
      <c r="H1505" t="s">
        <v>3</v>
      </c>
      <c r="I1505">
        <f>HLOOKUP(G1505,zip_tiers!$A$1:$EON$2,2,FALSE)</f>
        <v>43634.333333333336</v>
      </c>
      <c r="J1505" t="str">
        <f t="shared" si="23"/>
        <v>Med</v>
      </c>
      <c r="K1505">
        <f>dataset[[#This Row],[soda_sales]]/dataset[[#This Row],[soda_units_sold]]</f>
        <v>0.74647640289990735</v>
      </c>
      <c r="L1505" s="29">
        <f>dataset[[#This Row],[implied_soda_ppu]]-dataset[[#This Row],[soda_ppu]]</f>
        <v>-2.359710009269822E-5</v>
      </c>
      <c r="M1505">
        <f>dataset[[#This Row],[soda_sales]]/dataset[[#This Row],[total_sales]]</f>
        <v>7.2777461680001432E-2</v>
      </c>
      <c r="N1505">
        <f>LN(dataset[[#This Row],[soda_units_sold]])</f>
        <v>12.210233975175402</v>
      </c>
      <c r="O1505">
        <f>LN(dataset[[#This Row],[soda_sales]])</f>
        <v>11.917842702357968</v>
      </c>
      <c r="P1505">
        <f>LN(dataset[[#This Row],[soda_ppu]])</f>
        <v>-0.29235966200289193</v>
      </c>
      <c r="Q1505">
        <f>IF(dataset[[#This Row],[state]]="VA",1,0)</f>
        <v>1</v>
      </c>
    </row>
    <row r="1506" spans="1:17" x14ac:dyDescent="0.35">
      <c r="A1506">
        <v>202405</v>
      </c>
      <c r="B1506">
        <v>20</v>
      </c>
      <c r="C1506" s="2">
        <v>2177512.0849000001</v>
      </c>
      <c r="D1506" s="2">
        <v>0.72160000000000002</v>
      </c>
      <c r="E1506" s="3">
        <v>236232</v>
      </c>
      <c r="F1506" s="2">
        <v>170474.92329999999</v>
      </c>
      <c r="G1506" t="s">
        <v>2871</v>
      </c>
      <c r="H1506" t="s">
        <v>3</v>
      </c>
      <c r="I1506">
        <f>HLOOKUP(G1506,zip_tiers!$A$1:$EON$2,2,FALSE)</f>
        <v>43634.333333333336</v>
      </c>
      <c r="J1506" t="str">
        <f t="shared" si="23"/>
        <v>Med</v>
      </c>
      <c r="K1506">
        <f>dataset[[#This Row],[soda_sales]]/dataset[[#This Row],[soda_units_sold]]</f>
        <v>0.72164195917572549</v>
      </c>
      <c r="L1506" s="29">
        <f>dataset[[#This Row],[implied_soda_ppu]]-dataset[[#This Row],[soda_ppu]]</f>
        <v>4.1959175725470033E-5</v>
      </c>
      <c r="M1506">
        <f>dataset[[#This Row],[soda_sales]]/dataset[[#This Row],[total_sales]]</f>
        <v>7.8288852898756187E-2</v>
      </c>
      <c r="N1506">
        <f>LN(dataset[[#This Row],[soda_units_sold]])</f>
        <v>12.372569651977157</v>
      </c>
      <c r="O1506">
        <f>LN(dataset[[#This Row],[soda_sales]])</f>
        <v>12.046343487469409</v>
      </c>
      <c r="P1506">
        <f>LN(dataset[[#This Row],[soda_ppu]])</f>
        <v>-0.32628431023372312</v>
      </c>
      <c r="Q1506">
        <f>IF(dataset[[#This Row],[state]]="VA",1,0)</f>
        <v>1</v>
      </c>
    </row>
    <row r="1507" spans="1:17" x14ac:dyDescent="0.35">
      <c r="A1507">
        <v>202406</v>
      </c>
      <c r="B1507">
        <v>20</v>
      </c>
      <c r="C1507" s="2">
        <v>2053726.7291999999</v>
      </c>
      <c r="D1507" s="2">
        <v>0.76629999999999998</v>
      </c>
      <c r="E1507" s="3">
        <v>210967</v>
      </c>
      <c r="F1507" s="2">
        <v>161664.59539999999</v>
      </c>
      <c r="G1507" t="s">
        <v>2871</v>
      </c>
      <c r="H1507" t="s">
        <v>3</v>
      </c>
      <c r="I1507">
        <f>HLOOKUP(G1507,zip_tiers!$A$1:$EON$2,2,FALSE)</f>
        <v>43634.333333333336</v>
      </c>
      <c r="J1507" t="str">
        <f t="shared" si="23"/>
        <v>Med</v>
      </c>
      <c r="K1507">
        <f>dataset[[#This Row],[soda_sales]]/dataset[[#This Row],[soda_units_sold]]</f>
        <v>0.76630276488739946</v>
      </c>
      <c r="L1507" s="29">
        <f>dataset[[#This Row],[implied_soda_ppu]]-dataset[[#This Row],[soda_ppu]]</f>
        <v>2.7648873994756684E-6</v>
      </c>
      <c r="M1507">
        <f>dataset[[#This Row],[soda_sales]]/dataset[[#This Row],[total_sales]]</f>
        <v>7.8717676067338399E-2</v>
      </c>
      <c r="N1507">
        <f>LN(dataset[[#This Row],[soda_units_sold]])</f>
        <v>12.259457002122479</v>
      </c>
      <c r="O1507">
        <f>LN(dataset[[#This Row],[soda_sales]])</f>
        <v>11.993279069210674</v>
      </c>
      <c r="P1507">
        <f>LN(dataset[[#This Row],[soda_ppu]])</f>
        <v>-0.26618154100577845</v>
      </c>
      <c r="Q1507">
        <f>IF(dataset[[#This Row],[state]]="VA",1,0)</f>
        <v>1</v>
      </c>
    </row>
    <row r="1508" spans="1:17" x14ac:dyDescent="0.35">
      <c r="A1508">
        <v>202407</v>
      </c>
      <c r="B1508">
        <v>20</v>
      </c>
      <c r="C1508" s="2">
        <v>1973679.6827</v>
      </c>
      <c r="D1508" s="2">
        <v>0.75560000000000005</v>
      </c>
      <c r="E1508" s="3">
        <v>227423</v>
      </c>
      <c r="F1508" s="2">
        <v>171848.4577</v>
      </c>
      <c r="G1508" t="s">
        <v>2871</v>
      </c>
      <c r="H1508" t="s">
        <v>3</v>
      </c>
      <c r="I1508">
        <f>HLOOKUP(G1508,zip_tiers!$A$1:$EON$2,2,FALSE)</f>
        <v>43634.333333333336</v>
      </c>
      <c r="J1508" t="str">
        <f t="shared" si="23"/>
        <v>Med</v>
      </c>
      <c r="K1508">
        <f>dataset[[#This Row],[soda_sales]]/dataset[[#This Row],[soda_units_sold]]</f>
        <v>0.75563358895098565</v>
      </c>
      <c r="L1508" s="29">
        <f>dataset[[#This Row],[implied_soda_ppu]]-dataset[[#This Row],[soda_ppu]]</f>
        <v>3.3588950985596888E-5</v>
      </c>
      <c r="M1508">
        <f>dataset[[#This Row],[soda_sales]]/dataset[[#This Row],[total_sales]]</f>
        <v>8.7070084982032531E-2</v>
      </c>
      <c r="N1508">
        <f>LN(dataset[[#This Row],[soda_units_sold]])</f>
        <v>12.334566998543647</v>
      </c>
      <c r="O1508">
        <f>LN(dataset[[#This Row],[soda_sales]])</f>
        <v>12.054368307550479</v>
      </c>
      <c r="P1508">
        <f>LN(dataset[[#This Row],[soda_ppu]])</f>
        <v>-0.28024314335478251</v>
      </c>
      <c r="Q1508">
        <f>IF(dataset[[#This Row],[state]]="VA",1,0)</f>
        <v>1</v>
      </c>
    </row>
    <row r="1509" spans="1:17" x14ac:dyDescent="0.35">
      <c r="A1509">
        <v>202408</v>
      </c>
      <c r="B1509">
        <v>20</v>
      </c>
      <c r="C1509" s="2">
        <v>1851661.8160999999</v>
      </c>
      <c r="D1509" s="2">
        <v>0.76</v>
      </c>
      <c r="E1509" s="3">
        <v>194667</v>
      </c>
      <c r="F1509" s="2">
        <v>147952.07120000001</v>
      </c>
      <c r="G1509" t="s">
        <v>2871</v>
      </c>
      <c r="H1509" t="s">
        <v>3</v>
      </c>
      <c r="I1509">
        <f>HLOOKUP(G1509,zip_tiers!$A$1:$EON$2,2,FALSE)</f>
        <v>43634.333333333336</v>
      </c>
      <c r="J1509" t="str">
        <f t="shared" si="23"/>
        <v>Med</v>
      </c>
      <c r="K1509">
        <f>dataset[[#This Row],[soda_sales]]/dataset[[#This Row],[soda_units_sold]]</f>
        <v>0.76002646159852472</v>
      </c>
      <c r="L1509" s="29">
        <f>dataset[[#This Row],[implied_soda_ppu]]-dataset[[#This Row],[soda_ppu]]</f>
        <v>2.6461598524707419E-5</v>
      </c>
      <c r="M1509">
        <f>dataset[[#This Row],[soda_sales]]/dataset[[#This Row],[total_sales]]</f>
        <v>7.9902317968417721E-2</v>
      </c>
      <c r="N1509">
        <f>LN(dataset[[#This Row],[soda_units_sold]])</f>
        <v>12.179045685469555</v>
      </c>
      <c r="O1509">
        <f>LN(dataset[[#This Row],[soda_sales]])</f>
        <v>11.904643657054462</v>
      </c>
      <c r="P1509">
        <f>LN(dataset[[#This Row],[soda_ppu]])</f>
        <v>-0.2744368457017603</v>
      </c>
      <c r="Q1509">
        <f>IF(dataset[[#This Row],[state]]="VA",1,0)</f>
        <v>1</v>
      </c>
    </row>
    <row r="1510" spans="1:17" x14ac:dyDescent="0.35">
      <c r="A1510">
        <v>202409</v>
      </c>
      <c r="B1510">
        <v>20</v>
      </c>
      <c r="C1510" s="2">
        <v>1922272.2560000001</v>
      </c>
      <c r="D1510" s="2">
        <v>0.76500000000000001</v>
      </c>
      <c r="E1510" s="3">
        <v>191441</v>
      </c>
      <c r="F1510" s="2">
        <v>146461.93700000001</v>
      </c>
      <c r="G1510" t="s">
        <v>2871</v>
      </c>
      <c r="H1510" t="s">
        <v>3</v>
      </c>
      <c r="I1510">
        <f>HLOOKUP(G1510,zip_tiers!$A$1:$EON$2,2,FALSE)</f>
        <v>43634.333333333336</v>
      </c>
      <c r="J1510" t="str">
        <f t="shared" si="23"/>
        <v>Med</v>
      </c>
      <c r="K1510">
        <f>dataset[[#This Row],[soda_sales]]/dataset[[#This Row],[soda_units_sold]]</f>
        <v>0.76504999973882293</v>
      </c>
      <c r="L1510" s="29">
        <f>dataset[[#This Row],[implied_soda_ppu]]-dataset[[#This Row],[soda_ppu]]</f>
        <v>4.999973882291453E-5</v>
      </c>
      <c r="M1510">
        <f>dataset[[#This Row],[soda_sales]]/dataset[[#This Row],[total_sales]]</f>
        <v>7.6192088057686666E-2</v>
      </c>
      <c r="N1510">
        <f>LN(dataset[[#This Row],[soda_units_sold]])</f>
        <v>12.162334946137355</v>
      </c>
      <c r="O1510">
        <f>LN(dataset[[#This Row],[soda_sales]])</f>
        <v>11.894520857981654</v>
      </c>
      <c r="P1510">
        <f>LN(dataset[[#This Row],[soda_ppu]])</f>
        <v>-0.26787944515560119</v>
      </c>
      <c r="Q1510">
        <f>IF(dataset[[#This Row],[state]]="VA",1,0)</f>
        <v>1</v>
      </c>
    </row>
    <row r="1511" spans="1:17" x14ac:dyDescent="0.35">
      <c r="A1511">
        <v>202410</v>
      </c>
      <c r="B1511">
        <v>20</v>
      </c>
      <c r="C1511" s="2">
        <v>2312032.1652000002</v>
      </c>
      <c r="D1511" s="2">
        <v>0.76559999999999995</v>
      </c>
      <c r="E1511" s="3">
        <v>181480</v>
      </c>
      <c r="F1511" s="2">
        <v>138946.9633</v>
      </c>
      <c r="G1511" t="s">
        <v>2871</v>
      </c>
      <c r="H1511" t="s">
        <v>3</v>
      </c>
      <c r="I1511">
        <f>HLOOKUP(G1511,zip_tiers!$A$1:$EON$2,2,FALSE)</f>
        <v>43634.333333333336</v>
      </c>
      <c r="J1511" t="str">
        <f t="shared" si="23"/>
        <v>Med</v>
      </c>
      <c r="K1511">
        <f>dataset[[#This Row],[soda_sales]]/dataset[[#This Row],[soda_units_sold]]</f>
        <v>0.76563237436632137</v>
      </c>
      <c r="L1511" s="29">
        <f>dataset[[#This Row],[implied_soda_ppu]]-dataset[[#This Row],[soda_ppu]]</f>
        <v>3.2374366321419323E-5</v>
      </c>
      <c r="M1511">
        <f>dataset[[#This Row],[soda_sales]]/dataset[[#This Row],[total_sales]]</f>
        <v>6.0097331426174398E-2</v>
      </c>
      <c r="N1511">
        <f>LN(dataset[[#This Row],[soda_units_sold]])</f>
        <v>12.108900733777901</v>
      </c>
      <c r="O1511">
        <f>LN(dataset[[#This Row],[soda_sales]])</f>
        <v>11.841847580307869</v>
      </c>
      <c r="P1511">
        <f>LN(dataset[[#This Row],[soda_ppu]])</f>
        <v>-0.2670954388433926</v>
      </c>
      <c r="Q1511">
        <f>IF(dataset[[#This Row],[state]]="VA",1,0)</f>
        <v>1</v>
      </c>
    </row>
    <row r="1512" spans="1:17" x14ac:dyDescent="0.35">
      <c r="A1512">
        <v>202411</v>
      </c>
      <c r="B1512">
        <v>20</v>
      </c>
      <c r="C1512" s="2">
        <v>2607839.4328999999</v>
      </c>
      <c r="D1512" s="2">
        <v>0.76780000000000004</v>
      </c>
      <c r="E1512" s="3">
        <v>169098</v>
      </c>
      <c r="F1512" s="2">
        <v>129829.8716</v>
      </c>
      <c r="G1512" t="s">
        <v>2871</v>
      </c>
      <c r="H1512" t="s">
        <v>3</v>
      </c>
      <c r="I1512">
        <f>HLOOKUP(G1512,zip_tiers!$A$1:$EON$2,2,FALSE)</f>
        <v>43634.333333333336</v>
      </c>
      <c r="J1512" t="str">
        <f t="shared" si="23"/>
        <v>Med</v>
      </c>
      <c r="K1512">
        <f>dataset[[#This Row],[soda_sales]]/dataset[[#This Row],[soda_units_sold]]</f>
        <v>0.76777887142367152</v>
      </c>
      <c r="L1512" s="29">
        <f>dataset[[#This Row],[implied_soda_ppu]]-dataset[[#This Row],[soda_ppu]]</f>
        <v>-2.1128576328521831E-5</v>
      </c>
      <c r="M1512">
        <f>dataset[[#This Row],[soda_sales]]/dataset[[#This Row],[total_sales]]</f>
        <v>4.9784457571310316E-2</v>
      </c>
      <c r="N1512">
        <f>LN(dataset[[#This Row],[soda_units_sold]])</f>
        <v>12.038233707495616</v>
      </c>
      <c r="O1512">
        <f>LN(dataset[[#This Row],[soda_sales]])</f>
        <v>11.773980192368214</v>
      </c>
      <c r="P1512">
        <f>LN(dataset[[#This Row],[soda_ppu]])</f>
        <v>-0.26422599641543965</v>
      </c>
      <c r="Q1512">
        <f>IF(dataset[[#This Row],[state]]="VA",1,0)</f>
        <v>1</v>
      </c>
    </row>
    <row r="1513" spans="1:17" x14ac:dyDescent="0.35">
      <c r="A1513">
        <v>202412</v>
      </c>
      <c r="B1513">
        <v>20</v>
      </c>
      <c r="C1513" s="2">
        <v>2724591.2656</v>
      </c>
      <c r="D1513" s="2">
        <v>0.7611</v>
      </c>
      <c r="E1513" s="3">
        <v>168527</v>
      </c>
      <c r="F1513" s="2">
        <v>128263.5622</v>
      </c>
      <c r="G1513" t="s">
        <v>2871</v>
      </c>
      <c r="H1513" t="s">
        <v>3</v>
      </c>
      <c r="I1513">
        <f>HLOOKUP(G1513,zip_tiers!$A$1:$EON$2,2,FALSE)</f>
        <v>43634.333333333336</v>
      </c>
      <c r="J1513" t="str">
        <f t="shared" si="23"/>
        <v>Med</v>
      </c>
      <c r="K1513">
        <f>dataset[[#This Row],[soda_sales]]/dataset[[#This Row],[soda_units_sold]]</f>
        <v>0.76108612981896073</v>
      </c>
      <c r="L1513" s="29">
        <f>dataset[[#This Row],[implied_soda_ppu]]-dataset[[#This Row],[soda_ppu]]</f>
        <v>-1.3870181039266072E-5</v>
      </c>
      <c r="M1513">
        <f>dataset[[#This Row],[soda_sales]]/dataset[[#This Row],[total_sales]]</f>
        <v>4.7076258306859929E-2</v>
      </c>
      <c r="N1513">
        <f>LN(dataset[[#This Row],[soda_units_sold]])</f>
        <v>12.034851253326638</v>
      </c>
      <c r="O1513">
        <f>LN(dataset[[#This Row],[soda_sales]])</f>
        <v>11.761842505590224</v>
      </c>
      <c r="P1513">
        <f>LN(dataset[[#This Row],[soda_ppu]])</f>
        <v>-0.27299052370879118</v>
      </c>
      <c r="Q1513">
        <f>IF(dataset[[#This Row],[state]]="VA",1,0)</f>
        <v>1</v>
      </c>
    </row>
    <row r="1514" spans="1:17" x14ac:dyDescent="0.35">
      <c r="A1514">
        <v>202201</v>
      </c>
      <c r="B1514">
        <v>82</v>
      </c>
      <c r="C1514" s="2">
        <v>1508480.1858999999</v>
      </c>
      <c r="D1514" s="2">
        <v>0.64549999999999996</v>
      </c>
      <c r="E1514" s="3">
        <v>163332</v>
      </c>
      <c r="F1514" s="2">
        <v>105432.97040000001</v>
      </c>
      <c r="G1514" t="s">
        <v>2892</v>
      </c>
      <c r="H1514" t="s">
        <v>3</v>
      </c>
      <c r="I1514">
        <f>HLOOKUP(G1514,zip_tiers!$A$1:$EON$2,2,FALSE)</f>
        <v>47096</v>
      </c>
      <c r="J1514" t="str">
        <f t="shared" si="23"/>
        <v>Med</v>
      </c>
      <c r="K1514">
        <f>dataset[[#This Row],[soda_sales]]/dataset[[#This Row],[soda_units_sold]]</f>
        <v>0.64551325153674732</v>
      </c>
      <c r="L1514" s="29">
        <f>dataset[[#This Row],[implied_soda_ppu]]-dataset[[#This Row],[soda_ppu]]</f>
        <v>1.3251536747360682E-5</v>
      </c>
      <c r="M1514">
        <f>dataset[[#This Row],[soda_sales]]/dataset[[#This Row],[total_sales]]</f>
        <v>6.9893506978413414E-2</v>
      </c>
      <c r="N1514">
        <f>LN(dataset[[#This Row],[soda_units_sold]])</f>
        <v>12.003540218120074</v>
      </c>
      <c r="O1514">
        <f>LN(dataset[[#This Row],[soda_sales]])</f>
        <v>11.565830678318093</v>
      </c>
      <c r="P1514">
        <f>LN(dataset[[#This Row],[soda_ppu]])</f>
        <v>-0.4377300686954399</v>
      </c>
      <c r="Q1514">
        <f>IF(dataset[[#This Row],[state]]="VA",1,0)</f>
        <v>1</v>
      </c>
    </row>
    <row r="1515" spans="1:17" x14ac:dyDescent="0.35">
      <c r="A1515">
        <v>202202</v>
      </c>
      <c r="B1515">
        <v>82</v>
      </c>
      <c r="C1515" s="2">
        <v>1733024.4957999999</v>
      </c>
      <c r="D1515" s="2">
        <v>0.68379999999999996</v>
      </c>
      <c r="E1515" s="3">
        <v>177507</v>
      </c>
      <c r="F1515" s="2">
        <v>121381.9041</v>
      </c>
      <c r="G1515" t="s">
        <v>2892</v>
      </c>
      <c r="H1515" t="s">
        <v>3</v>
      </c>
      <c r="I1515">
        <f>HLOOKUP(G1515,zip_tiers!$A$1:$EON$2,2,FALSE)</f>
        <v>47096</v>
      </c>
      <c r="J1515" t="str">
        <f t="shared" si="23"/>
        <v>Med</v>
      </c>
      <c r="K1515">
        <f>dataset[[#This Row],[soda_sales]]/dataset[[#This Row],[soda_units_sold]]</f>
        <v>0.68381474589734492</v>
      </c>
      <c r="L1515" s="29">
        <f>dataset[[#This Row],[implied_soda_ppu]]-dataset[[#This Row],[soda_ppu]]</f>
        <v>1.4745897344958792E-5</v>
      </c>
      <c r="M1515">
        <f>dataset[[#This Row],[soda_sales]]/dataset[[#This Row],[total_sales]]</f>
        <v>7.0040501097457145E-2</v>
      </c>
      <c r="N1515">
        <f>LN(dataset[[#This Row],[soda_units_sold]])</f>
        <v>12.086765323739723</v>
      </c>
      <c r="O1515">
        <f>LN(dataset[[#This Row],[soda_sales]])</f>
        <v>11.706697086365173</v>
      </c>
      <c r="P1515">
        <f>LN(dataset[[#This Row],[soda_ppu]])</f>
        <v>-0.38008980177693619</v>
      </c>
      <c r="Q1515">
        <f>IF(dataset[[#This Row],[state]]="VA",1,0)</f>
        <v>1</v>
      </c>
    </row>
    <row r="1516" spans="1:17" x14ac:dyDescent="0.35">
      <c r="A1516">
        <v>202203</v>
      </c>
      <c r="B1516">
        <v>82</v>
      </c>
      <c r="C1516" s="2">
        <v>1932290.5678000001</v>
      </c>
      <c r="D1516" s="2">
        <v>0.68569999999999998</v>
      </c>
      <c r="E1516" s="3">
        <v>202894</v>
      </c>
      <c r="F1516" s="2">
        <v>139130.5981</v>
      </c>
      <c r="G1516" t="s">
        <v>2892</v>
      </c>
      <c r="H1516" t="s">
        <v>3</v>
      </c>
      <c r="I1516">
        <f>HLOOKUP(G1516,zip_tiers!$A$1:$EON$2,2,FALSE)</f>
        <v>47096</v>
      </c>
      <c r="J1516" t="str">
        <f t="shared" si="23"/>
        <v>Med</v>
      </c>
      <c r="K1516">
        <f>dataset[[#This Row],[soda_sales]]/dataset[[#This Row],[soda_units_sold]]</f>
        <v>0.6857304705905547</v>
      </c>
      <c r="L1516" s="29">
        <f>dataset[[#This Row],[implied_soda_ppu]]-dataset[[#This Row],[soda_ppu]]</f>
        <v>3.04705905547209E-5</v>
      </c>
      <c r="M1516">
        <f>dataset[[#This Row],[soda_sales]]/dataset[[#This Row],[total_sales]]</f>
        <v>7.2002938076961412E-2</v>
      </c>
      <c r="N1516">
        <f>LN(dataset[[#This Row],[soda_units_sold]])</f>
        <v>12.22043895415932</v>
      </c>
      <c r="O1516">
        <f>LN(dataset[[#This Row],[soda_sales]])</f>
        <v>11.843168325683866</v>
      </c>
      <c r="P1516">
        <f>LN(dataset[[#This Row],[soda_ppu]])</f>
        <v>-0.37731506469181836</v>
      </c>
      <c r="Q1516">
        <f>IF(dataset[[#This Row],[state]]="VA",1,0)</f>
        <v>1</v>
      </c>
    </row>
    <row r="1517" spans="1:17" x14ac:dyDescent="0.35">
      <c r="A1517">
        <v>202204</v>
      </c>
      <c r="B1517">
        <v>82</v>
      </c>
      <c r="C1517" s="2">
        <v>2017267.8082999999</v>
      </c>
      <c r="D1517" s="2">
        <v>0.65610000000000002</v>
      </c>
      <c r="E1517" s="3">
        <v>251009</v>
      </c>
      <c r="F1517" s="2">
        <v>164678.85759999999</v>
      </c>
      <c r="G1517" t="s">
        <v>2892</v>
      </c>
      <c r="H1517" t="s">
        <v>3</v>
      </c>
      <c r="I1517">
        <f>HLOOKUP(G1517,zip_tiers!$A$1:$EON$2,2,FALSE)</f>
        <v>47096</v>
      </c>
      <c r="J1517" t="str">
        <f t="shared" si="23"/>
        <v>Med</v>
      </c>
      <c r="K1517">
        <f>dataset[[#This Row],[soda_sales]]/dataset[[#This Row],[soda_units_sold]]</f>
        <v>0.6560675418012899</v>
      </c>
      <c r="L1517" s="29">
        <f>dataset[[#This Row],[implied_soda_ppu]]-dataset[[#This Row],[soda_ppu]]</f>
        <v>-3.2458198710116903E-5</v>
      </c>
      <c r="M1517">
        <f>dataset[[#This Row],[soda_sales]]/dataset[[#This Row],[total_sales]]</f>
        <v>8.1634603458416763E-2</v>
      </c>
      <c r="N1517">
        <f>LN(dataset[[#This Row],[soda_units_sold]])</f>
        <v>12.433244074044795</v>
      </c>
      <c r="O1517">
        <f>LN(dataset[[#This Row],[soda_sales]])</f>
        <v>12.011752538769665</v>
      </c>
      <c r="P1517">
        <f>LN(dataset[[#This Row],[soda_ppu]])</f>
        <v>-0.42144206263130518</v>
      </c>
      <c r="Q1517">
        <f>IF(dataset[[#This Row],[state]]="VA",1,0)</f>
        <v>1</v>
      </c>
    </row>
    <row r="1518" spans="1:17" x14ac:dyDescent="0.35">
      <c r="A1518">
        <v>202205</v>
      </c>
      <c r="B1518">
        <v>82</v>
      </c>
      <c r="C1518" s="2">
        <v>2127923.9339999999</v>
      </c>
      <c r="D1518" s="2">
        <v>0.68720000000000003</v>
      </c>
      <c r="E1518" s="3">
        <v>263179</v>
      </c>
      <c r="F1518" s="2">
        <v>180846.19589999999</v>
      </c>
      <c r="G1518" t="s">
        <v>2892</v>
      </c>
      <c r="H1518" t="s">
        <v>3</v>
      </c>
      <c r="I1518">
        <f>HLOOKUP(G1518,zip_tiers!$A$1:$EON$2,2,FALSE)</f>
        <v>47096</v>
      </c>
      <c r="J1518" t="str">
        <f t="shared" si="23"/>
        <v>Med</v>
      </c>
      <c r="K1518">
        <f>dataset[[#This Row],[soda_sales]]/dataset[[#This Row],[soda_units_sold]]</f>
        <v>0.68716043415318084</v>
      </c>
      <c r="L1518" s="29">
        <f>dataset[[#This Row],[implied_soda_ppu]]-dataset[[#This Row],[soda_ppu]]</f>
        <v>-3.956584681918951E-5</v>
      </c>
      <c r="M1518">
        <f>dataset[[#This Row],[soda_sales]]/dataset[[#This Row],[total_sales]]</f>
        <v>8.4987152505988026E-2</v>
      </c>
      <c r="N1518">
        <f>LN(dataset[[#This Row],[soda_units_sold]])</f>
        <v>12.480589688016085</v>
      </c>
      <c r="O1518">
        <f>LN(dataset[[#This Row],[soda_sales]])</f>
        <v>12.105402202599988</v>
      </c>
      <c r="P1518">
        <f>LN(dataset[[#This Row],[soda_ppu]])</f>
        <v>-0.37512990831209136</v>
      </c>
      <c r="Q1518">
        <f>IF(dataset[[#This Row],[state]]="VA",1,0)</f>
        <v>1</v>
      </c>
    </row>
    <row r="1519" spans="1:17" x14ac:dyDescent="0.35">
      <c r="A1519">
        <v>202206</v>
      </c>
      <c r="B1519">
        <v>82</v>
      </c>
      <c r="C1519" s="2">
        <v>2046418.6295</v>
      </c>
      <c r="D1519" s="2">
        <v>0.6573</v>
      </c>
      <c r="E1519" s="3">
        <v>287528</v>
      </c>
      <c r="F1519" s="2">
        <v>188983.65479999999</v>
      </c>
      <c r="G1519" t="s">
        <v>2892</v>
      </c>
      <c r="H1519" t="s">
        <v>3</v>
      </c>
      <c r="I1519">
        <f>HLOOKUP(G1519,zip_tiers!$A$1:$EON$2,2,FALSE)</f>
        <v>47096</v>
      </c>
      <c r="J1519" t="str">
        <f t="shared" si="23"/>
        <v>Med</v>
      </c>
      <c r="K1519">
        <f>dataset[[#This Row],[soda_sales]]/dataset[[#This Row],[soda_units_sold]]</f>
        <v>0.65727043905289217</v>
      </c>
      <c r="L1519" s="29">
        <f>dataset[[#This Row],[implied_soda_ppu]]-dataset[[#This Row],[soda_ppu]]</f>
        <v>-2.9560947107820645E-5</v>
      </c>
      <c r="M1519">
        <f>dataset[[#This Row],[soda_sales]]/dataset[[#This Row],[total_sales]]</f>
        <v>9.2348482405173488E-2</v>
      </c>
      <c r="N1519">
        <f>LN(dataset[[#This Row],[soda_units_sold]])</f>
        <v>12.569075525781665</v>
      </c>
      <c r="O1519">
        <f>LN(dataset[[#This Row],[soda_sales]])</f>
        <v>12.149415807762267</v>
      </c>
      <c r="P1519">
        <f>LN(dataset[[#This Row],[soda_ppu]])</f>
        <v>-0.41961474371260654</v>
      </c>
      <c r="Q1519">
        <f>IF(dataset[[#This Row],[state]]="VA",1,0)</f>
        <v>1</v>
      </c>
    </row>
    <row r="1520" spans="1:17" x14ac:dyDescent="0.35">
      <c r="A1520">
        <v>202207</v>
      </c>
      <c r="B1520">
        <v>82</v>
      </c>
      <c r="C1520" s="2">
        <v>1912217.7298000001</v>
      </c>
      <c r="D1520" s="2">
        <v>0.67010000000000003</v>
      </c>
      <c r="E1520" s="3">
        <v>286643</v>
      </c>
      <c r="F1520" s="2">
        <v>192075.79639999999</v>
      </c>
      <c r="G1520" t="s">
        <v>2892</v>
      </c>
      <c r="H1520" t="s">
        <v>3</v>
      </c>
      <c r="I1520">
        <f>HLOOKUP(G1520,zip_tiers!$A$1:$EON$2,2,FALSE)</f>
        <v>47096</v>
      </c>
      <c r="J1520" t="str">
        <f t="shared" si="23"/>
        <v>Med</v>
      </c>
      <c r="K1520">
        <f>dataset[[#This Row],[soda_sales]]/dataset[[#This Row],[soda_units_sold]]</f>
        <v>0.67008716905698029</v>
      </c>
      <c r="L1520" s="29">
        <f>dataset[[#This Row],[implied_soda_ppu]]-dataset[[#This Row],[soda_ppu]]</f>
        <v>-1.2830943019737084E-5</v>
      </c>
      <c r="M1520">
        <f>dataset[[#This Row],[soda_sales]]/dataset[[#This Row],[total_sales]]</f>
        <v>0.10044661411025056</v>
      </c>
      <c r="N1520">
        <f>LN(dataset[[#This Row],[soda_units_sold]])</f>
        <v>12.565992818013935</v>
      </c>
      <c r="O1520">
        <f>LN(dataset[[#This Row],[soda_sales]])</f>
        <v>12.16564534602426</v>
      </c>
      <c r="P1520">
        <f>LN(dataset[[#This Row],[soda_ppu]])</f>
        <v>-0.40032832400301199</v>
      </c>
      <c r="Q1520">
        <f>IF(dataset[[#This Row],[state]]="VA",1,0)</f>
        <v>1</v>
      </c>
    </row>
    <row r="1521" spans="1:17" x14ac:dyDescent="0.35">
      <c r="A1521">
        <v>202208</v>
      </c>
      <c r="B1521">
        <v>82</v>
      </c>
      <c r="C1521" s="2">
        <v>1868304.4238</v>
      </c>
      <c r="D1521" s="2">
        <v>0.64559999999999995</v>
      </c>
      <c r="E1521" s="3">
        <v>275631</v>
      </c>
      <c r="F1521" s="2">
        <v>177957.62460000001</v>
      </c>
      <c r="G1521" t="s">
        <v>2892</v>
      </c>
      <c r="H1521" t="s">
        <v>3</v>
      </c>
      <c r="I1521">
        <f>HLOOKUP(G1521,zip_tiers!$A$1:$EON$2,2,FALSE)</f>
        <v>47096</v>
      </c>
      <c r="J1521" t="str">
        <f t="shared" si="23"/>
        <v>Med</v>
      </c>
      <c r="K1521">
        <f>dataset[[#This Row],[soda_sales]]/dataset[[#This Row],[soda_units_sold]]</f>
        <v>0.64563719102713413</v>
      </c>
      <c r="L1521" s="29">
        <f>dataset[[#This Row],[implied_soda_ppu]]-dataset[[#This Row],[soda_ppu]]</f>
        <v>3.7191027134175769E-5</v>
      </c>
      <c r="M1521">
        <f>dataset[[#This Row],[soda_sales]]/dataset[[#This Row],[total_sales]]</f>
        <v>9.5250871503074805E-2</v>
      </c>
      <c r="N1521">
        <f>LN(dataset[[#This Row],[soda_units_sold]])</f>
        <v>12.526818293653795</v>
      </c>
      <c r="O1521">
        <f>LN(dataset[[#This Row],[soda_sales]])</f>
        <v>12.089300736887536</v>
      </c>
      <c r="P1521">
        <f>LN(dataset[[#This Row],[soda_ppu]])</f>
        <v>-0.43757516202639807</v>
      </c>
      <c r="Q1521">
        <f>IF(dataset[[#This Row],[state]]="VA",1,0)</f>
        <v>1</v>
      </c>
    </row>
    <row r="1522" spans="1:17" x14ac:dyDescent="0.35">
      <c r="A1522">
        <v>202209</v>
      </c>
      <c r="B1522">
        <v>82</v>
      </c>
      <c r="C1522" s="2">
        <v>1810517.6255999999</v>
      </c>
      <c r="D1522" s="2">
        <v>0.66679999999999995</v>
      </c>
      <c r="E1522" s="3">
        <v>242449</v>
      </c>
      <c r="F1522" s="2">
        <v>161662.6201</v>
      </c>
      <c r="G1522" t="s">
        <v>2892</v>
      </c>
      <c r="H1522" t="s">
        <v>3</v>
      </c>
      <c r="I1522">
        <f>HLOOKUP(G1522,zip_tiers!$A$1:$EON$2,2,FALSE)</f>
        <v>47096</v>
      </c>
      <c r="J1522" t="str">
        <f t="shared" si="23"/>
        <v>Med</v>
      </c>
      <c r="K1522">
        <f>dataset[[#This Row],[soda_sales]]/dataset[[#This Row],[soda_units_sold]]</f>
        <v>0.66679021196210342</v>
      </c>
      <c r="L1522" s="29">
        <f>dataset[[#This Row],[implied_soda_ppu]]-dataset[[#This Row],[soda_ppu]]</f>
        <v>-9.788037896529822E-6</v>
      </c>
      <c r="M1522">
        <f>dataset[[#This Row],[soda_sales]]/dataset[[#This Row],[total_sales]]</f>
        <v>8.9290829215995904E-2</v>
      </c>
      <c r="N1522">
        <f>LN(dataset[[#This Row],[soda_units_sold]])</f>
        <v>12.398546657963227</v>
      </c>
      <c r="O1522">
        <f>LN(dataset[[#This Row],[soda_sales]])</f>
        <v>11.993266850628968</v>
      </c>
      <c r="P1522">
        <f>LN(dataset[[#This Row],[soda_ppu]])</f>
        <v>-0.4052651281054982</v>
      </c>
      <c r="Q1522">
        <f>IF(dataset[[#This Row],[state]]="VA",1,0)</f>
        <v>1</v>
      </c>
    </row>
    <row r="1523" spans="1:17" x14ac:dyDescent="0.35">
      <c r="A1523">
        <v>202210</v>
      </c>
      <c r="B1523">
        <v>82</v>
      </c>
      <c r="C1523" s="2">
        <v>2222226.6702000001</v>
      </c>
      <c r="D1523" s="2">
        <v>0.67830000000000001</v>
      </c>
      <c r="E1523" s="3">
        <v>227666</v>
      </c>
      <c r="F1523" s="2">
        <v>154435.18650000001</v>
      </c>
      <c r="G1523" t="s">
        <v>2892</v>
      </c>
      <c r="H1523" t="s">
        <v>3</v>
      </c>
      <c r="I1523">
        <f>HLOOKUP(G1523,zip_tiers!$A$1:$EON$2,2,FALSE)</f>
        <v>47096</v>
      </c>
      <c r="J1523" t="str">
        <f t="shared" si="23"/>
        <v>Med</v>
      </c>
      <c r="K1523">
        <f>dataset[[#This Row],[soda_sales]]/dataset[[#This Row],[soda_units_sold]]</f>
        <v>0.67834101930020296</v>
      </c>
      <c r="L1523" s="29">
        <f>dataset[[#This Row],[implied_soda_ppu]]-dataset[[#This Row],[soda_ppu]]</f>
        <v>4.1019300202949083E-5</v>
      </c>
      <c r="M1523">
        <f>dataset[[#This Row],[soda_sales]]/dataset[[#This Row],[total_sales]]</f>
        <v>6.94956948231122E-2</v>
      </c>
      <c r="N1523">
        <f>LN(dataset[[#This Row],[soda_units_sold]])</f>
        <v>12.335634921622843</v>
      </c>
      <c r="O1523">
        <f>LN(dataset[[#This Row],[soda_sales]])</f>
        <v>11.94752978244879</v>
      </c>
      <c r="P1523">
        <f>LN(dataset[[#This Row],[soda_ppu]])</f>
        <v>-0.38816561103010316</v>
      </c>
      <c r="Q1523">
        <f>IF(dataset[[#This Row],[state]]="VA",1,0)</f>
        <v>1</v>
      </c>
    </row>
    <row r="1524" spans="1:17" x14ac:dyDescent="0.35">
      <c r="A1524">
        <v>202211</v>
      </c>
      <c r="B1524">
        <v>82</v>
      </c>
      <c r="C1524" s="2">
        <v>2543462.9722000002</v>
      </c>
      <c r="D1524" s="2">
        <v>0.67259999999999998</v>
      </c>
      <c r="E1524" s="3">
        <v>215747</v>
      </c>
      <c r="F1524" s="2">
        <v>145101.1354</v>
      </c>
      <c r="G1524" t="s">
        <v>2892</v>
      </c>
      <c r="H1524" t="s">
        <v>3</v>
      </c>
      <c r="I1524">
        <f>HLOOKUP(G1524,zip_tiers!$A$1:$EON$2,2,FALSE)</f>
        <v>47096</v>
      </c>
      <c r="J1524" t="str">
        <f t="shared" si="23"/>
        <v>Med</v>
      </c>
      <c r="K1524">
        <f>dataset[[#This Row],[soda_sales]]/dataset[[#This Row],[soda_units_sold]]</f>
        <v>0.67255227372802406</v>
      </c>
      <c r="L1524" s="29">
        <f>dataset[[#This Row],[implied_soda_ppu]]-dataset[[#This Row],[soda_ppu]]</f>
        <v>-4.7726271975911949E-5</v>
      </c>
      <c r="M1524">
        <f>dataset[[#This Row],[soda_sales]]/dataset[[#This Row],[total_sales]]</f>
        <v>5.7048652559896697E-2</v>
      </c>
      <c r="N1524">
        <f>LN(dataset[[#This Row],[soda_units_sold]])</f>
        <v>12.281861703866381</v>
      </c>
      <c r="O1524">
        <f>LN(dataset[[#This Row],[soda_sales]])</f>
        <v>11.885186263789976</v>
      </c>
      <c r="P1524">
        <f>LN(dataset[[#This Row],[soda_ppu]])</f>
        <v>-0.39660447967596785</v>
      </c>
      <c r="Q1524">
        <f>IF(dataset[[#This Row],[state]]="VA",1,0)</f>
        <v>1</v>
      </c>
    </row>
    <row r="1525" spans="1:17" x14ac:dyDescent="0.35">
      <c r="A1525">
        <v>202212</v>
      </c>
      <c r="B1525">
        <v>82</v>
      </c>
      <c r="C1525" s="2">
        <v>2640902.2105999999</v>
      </c>
      <c r="D1525" s="2">
        <v>0.65459999999999996</v>
      </c>
      <c r="E1525" s="3">
        <v>214857</v>
      </c>
      <c r="F1525" s="2">
        <v>140653.9872</v>
      </c>
      <c r="G1525" t="s">
        <v>2892</v>
      </c>
      <c r="H1525" t="s">
        <v>3</v>
      </c>
      <c r="I1525">
        <f>HLOOKUP(G1525,zip_tiers!$A$1:$EON$2,2,FALSE)</f>
        <v>47096</v>
      </c>
      <c r="J1525" t="str">
        <f t="shared" si="23"/>
        <v>Med</v>
      </c>
      <c r="K1525">
        <f>dataset[[#This Row],[soda_sales]]/dataset[[#This Row],[soda_units_sold]]</f>
        <v>0.65464000335106609</v>
      </c>
      <c r="L1525" s="29">
        <f>dataset[[#This Row],[implied_soda_ppu]]-dataset[[#This Row],[soda_ppu]]</f>
        <v>4.0003351066131287E-5</v>
      </c>
      <c r="M1525">
        <f>dataset[[#This Row],[soda_sales]]/dataset[[#This Row],[total_sales]]</f>
        <v>5.3259824099296776E-2</v>
      </c>
      <c r="N1525">
        <f>LN(dataset[[#This Row],[soda_units_sold]])</f>
        <v>12.27772796954277</v>
      </c>
      <c r="O1525">
        <f>LN(dataset[[#This Row],[soda_sales]])</f>
        <v>11.854058161898704</v>
      </c>
      <c r="P1525">
        <f>LN(dataset[[#This Row],[soda_ppu]])</f>
        <v>-0.42373091691505699</v>
      </c>
      <c r="Q1525">
        <f>IF(dataset[[#This Row],[state]]="VA",1,0)</f>
        <v>1</v>
      </c>
    </row>
    <row r="1526" spans="1:17" x14ac:dyDescent="0.35">
      <c r="A1526">
        <v>202301</v>
      </c>
      <c r="B1526">
        <v>82</v>
      </c>
      <c r="C1526" s="2">
        <v>1553242.0008</v>
      </c>
      <c r="D1526" s="2">
        <v>0.69630000000000003</v>
      </c>
      <c r="E1526" s="3">
        <v>153683</v>
      </c>
      <c r="F1526" s="2">
        <v>107002.6663</v>
      </c>
      <c r="G1526" t="s">
        <v>2892</v>
      </c>
      <c r="H1526" t="s">
        <v>3</v>
      </c>
      <c r="I1526">
        <f>HLOOKUP(G1526,zip_tiers!$A$1:$EON$2,2,FALSE)</f>
        <v>47096</v>
      </c>
      <c r="J1526" t="str">
        <f t="shared" si="23"/>
        <v>Med</v>
      </c>
      <c r="K1526">
        <f>dataset[[#This Row],[soda_sales]]/dataset[[#This Row],[soda_units_sold]]</f>
        <v>0.69625571013059351</v>
      </c>
      <c r="L1526" s="29">
        <f>dataset[[#This Row],[implied_soda_ppu]]-dataset[[#This Row],[soda_ppu]]</f>
        <v>-4.4289869406521909E-5</v>
      </c>
      <c r="M1526">
        <f>dataset[[#This Row],[soda_sales]]/dataset[[#This Row],[total_sales]]</f>
        <v>6.8889887245444106E-2</v>
      </c>
      <c r="N1526">
        <f>LN(dataset[[#This Row],[soda_units_sold]])</f>
        <v>11.942647318334673</v>
      </c>
      <c r="O1526">
        <f>LN(dataset[[#This Row],[soda_sales]])</f>
        <v>11.580609031825167</v>
      </c>
      <c r="P1526">
        <f>LN(dataset[[#This Row],[soda_ppu]])</f>
        <v>-0.36197467703363595</v>
      </c>
      <c r="Q1526">
        <f>IF(dataset[[#This Row],[state]]="VA",1,0)</f>
        <v>1</v>
      </c>
    </row>
    <row r="1527" spans="1:17" x14ac:dyDescent="0.35">
      <c r="A1527">
        <v>202302</v>
      </c>
      <c r="B1527">
        <v>82</v>
      </c>
      <c r="C1527" s="2">
        <v>1772261.3388</v>
      </c>
      <c r="D1527" s="2">
        <v>0.70469999999999999</v>
      </c>
      <c r="E1527" s="3">
        <v>171823</v>
      </c>
      <c r="F1527" s="2">
        <v>121082.08440000001</v>
      </c>
      <c r="G1527" t="s">
        <v>2892</v>
      </c>
      <c r="H1527" t="s">
        <v>3</v>
      </c>
      <c r="I1527">
        <f>HLOOKUP(G1527,zip_tiers!$A$1:$EON$2,2,FALSE)</f>
        <v>47096</v>
      </c>
      <c r="J1527" t="str">
        <f t="shared" si="23"/>
        <v>Med</v>
      </c>
      <c r="K1527">
        <f>dataset[[#This Row],[soda_sales]]/dataset[[#This Row],[soda_units_sold]]</f>
        <v>0.70469078295688004</v>
      </c>
      <c r="L1527" s="29">
        <f>dataset[[#This Row],[implied_soda_ppu]]-dataset[[#This Row],[soda_ppu]]</f>
        <v>-9.2170431199578573E-6</v>
      </c>
      <c r="M1527">
        <f>dataset[[#This Row],[soda_sales]]/dataset[[#This Row],[total_sales]]</f>
        <v>6.8320671307982611E-2</v>
      </c>
      <c r="N1527">
        <f>LN(dataset[[#This Row],[soda_units_sold]])</f>
        <v>12.054220156172319</v>
      </c>
      <c r="O1527">
        <f>LN(dataset[[#This Row],[soda_sales]])</f>
        <v>11.704223978051898</v>
      </c>
      <c r="P1527">
        <f>LN(dataset[[#This Row],[soda_ppu]])</f>
        <v>-0.34998309864916027</v>
      </c>
      <c r="Q1527">
        <f>IF(dataset[[#This Row],[state]]="VA",1,0)</f>
        <v>1</v>
      </c>
    </row>
    <row r="1528" spans="1:17" x14ac:dyDescent="0.35">
      <c r="A1528">
        <v>202303</v>
      </c>
      <c r="B1528">
        <v>82</v>
      </c>
      <c r="C1528" s="2">
        <v>1946391.8282000001</v>
      </c>
      <c r="D1528" s="2">
        <v>0.68989999999999996</v>
      </c>
      <c r="E1528" s="3">
        <v>204962</v>
      </c>
      <c r="F1528" s="2">
        <v>141397.67189999999</v>
      </c>
      <c r="G1528" t="s">
        <v>2892</v>
      </c>
      <c r="H1528" t="s">
        <v>3</v>
      </c>
      <c r="I1528">
        <f>HLOOKUP(G1528,zip_tiers!$A$1:$EON$2,2,FALSE)</f>
        <v>47096</v>
      </c>
      <c r="J1528" t="str">
        <f t="shared" si="23"/>
        <v>Med</v>
      </c>
      <c r="K1528">
        <f>dataset[[#This Row],[soda_sales]]/dataset[[#This Row],[soda_units_sold]]</f>
        <v>0.6898726198026951</v>
      </c>
      <c r="L1528" s="29">
        <f>dataset[[#This Row],[implied_soda_ppu]]-dataset[[#This Row],[soda_ppu]]</f>
        <v>-2.738019730486041E-5</v>
      </c>
      <c r="M1528">
        <f>dataset[[#This Row],[soda_sales]]/dataset[[#This Row],[total_sales]]</f>
        <v>7.26460468295137E-2</v>
      </c>
      <c r="N1528">
        <f>LN(dataset[[#This Row],[soda_units_sold]])</f>
        <v>12.230579875084514</v>
      </c>
      <c r="O1528">
        <f>LN(dataset[[#This Row],[soda_sales]])</f>
        <v>11.859331567669745</v>
      </c>
      <c r="P1528">
        <f>LN(dataset[[#This Row],[soda_ppu]])</f>
        <v>-0.3712086194300741</v>
      </c>
      <c r="Q1528">
        <f>IF(dataset[[#This Row],[state]]="VA",1,0)</f>
        <v>1</v>
      </c>
    </row>
    <row r="1529" spans="1:17" x14ac:dyDescent="0.35">
      <c r="A1529">
        <v>202304</v>
      </c>
      <c r="B1529">
        <v>82</v>
      </c>
      <c r="C1529" s="2">
        <v>2048419.9368</v>
      </c>
      <c r="D1529" s="2">
        <v>0.69650000000000001</v>
      </c>
      <c r="E1529" s="3">
        <v>237453</v>
      </c>
      <c r="F1529" s="2">
        <v>165394.78260000001</v>
      </c>
      <c r="G1529" t="s">
        <v>2892</v>
      </c>
      <c r="H1529" t="s">
        <v>3</v>
      </c>
      <c r="I1529">
        <f>HLOOKUP(G1529,zip_tiers!$A$1:$EON$2,2,FALSE)</f>
        <v>47096</v>
      </c>
      <c r="J1529" t="str">
        <f t="shared" si="23"/>
        <v>Med</v>
      </c>
      <c r="K1529">
        <f>dataset[[#This Row],[soda_sales]]/dataset[[#This Row],[soda_units_sold]]</f>
        <v>0.69653692562317593</v>
      </c>
      <c r="L1529" s="29">
        <f>dataset[[#This Row],[implied_soda_ppu]]-dataset[[#This Row],[soda_ppu]]</f>
        <v>3.6925623175920741E-5</v>
      </c>
      <c r="M1529">
        <f>dataset[[#This Row],[soda_sales]]/dataset[[#This Row],[total_sales]]</f>
        <v>8.0742615138952603E-2</v>
      </c>
      <c r="N1529">
        <f>LN(dataset[[#This Row],[soda_units_sold]])</f>
        <v>12.377724988136244</v>
      </c>
      <c r="O1529">
        <f>LN(dataset[[#This Row],[soda_sales]])</f>
        <v>12.016090516938773</v>
      </c>
      <c r="P1529">
        <f>LN(dataset[[#This Row],[soda_ppu]])</f>
        <v>-0.36168748576227666</v>
      </c>
      <c r="Q1529">
        <f>IF(dataset[[#This Row],[state]]="VA",1,0)</f>
        <v>1</v>
      </c>
    </row>
    <row r="1530" spans="1:17" x14ac:dyDescent="0.35">
      <c r="A1530">
        <v>202305</v>
      </c>
      <c r="B1530">
        <v>82</v>
      </c>
      <c r="C1530" s="2">
        <v>2127744.5894999998</v>
      </c>
      <c r="D1530" s="2">
        <v>0.6804</v>
      </c>
      <c r="E1530" s="3">
        <v>262650</v>
      </c>
      <c r="F1530" s="2">
        <v>178695.55110000001</v>
      </c>
      <c r="G1530" t="s">
        <v>2892</v>
      </c>
      <c r="H1530" t="s">
        <v>3</v>
      </c>
      <c r="I1530">
        <f>HLOOKUP(G1530,zip_tiers!$A$1:$EON$2,2,FALSE)</f>
        <v>47096</v>
      </c>
      <c r="J1530" t="str">
        <f t="shared" si="23"/>
        <v>Med</v>
      </c>
      <c r="K1530">
        <f>dataset[[#This Row],[soda_sales]]/dataset[[#This Row],[soda_units_sold]]</f>
        <v>0.68035618161050837</v>
      </c>
      <c r="L1530" s="29">
        <f>dataset[[#This Row],[implied_soda_ppu]]-dataset[[#This Row],[soda_ppu]]</f>
        <v>-4.3818389491634413E-5</v>
      </c>
      <c r="M1530">
        <f>dataset[[#This Row],[soda_sales]]/dataset[[#This Row],[total_sales]]</f>
        <v>8.3983553280702644E-2</v>
      </c>
      <c r="N1530">
        <f>LN(dataset[[#This Row],[soda_units_sold]])</f>
        <v>12.478577626382108</v>
      </c>
      <c r="O1530">
        <f>LN(dataset[[#This Row],[soda_sales]])</f>
        <v>12.09343880492267</v>
      </c>
      <c r="P1530">
        <f>LN(dataset[[#This Row],[soda_ppu]])</f>
        <v>-0.38507441846043033</v>
      </c>
      <c r="Q1530">
        <f>IF(dataset[[#This Row],[state]]="VA",1,0)</f>
        <v>1</v>
      </c>
    </row>
    <row r="1531" spans="1:17" x14ac:dyDescent="0.35">
      <c r="A1531">
        <v>202306</v>
      </c>
      <c r="B1531">
        <v>82</v>
      </c>
      <c r="C1531" s="2">
        <v>2069321.2808000001</v>
      </c>
      <c r="D1531" s="2">
        <v>0.65069999999999995</v>
      </c>
      <c r="E1531" s="3">
        <v>295672</v>
      </c>
      <c r="F1531" s="2">
        <v>192388.24069999999</v>
      </c>
      <c r="G1531" t="s">
        <v>2892</v>
      </c>
      <c r="H1531" t="s">
        <v>3</v>
      </c>
      <c r="I1531">
        <f>HLOOKUP(G1531,zip_tiers!$A$1:$EON$2,2,FALSE)</f>
        <v>47096</v>
      </c>
      <c r="J1531" t="str">
        <f t="shared" si="23"/>
        <v>Med</v>
      </c>
      <c r="K1531">
        <f>dataset[[#This Row],[soda_sales]]/dataset[[#This Row],[soda_units_sold]]</f>
        <v>0.65068129785708484</v>
      </c>
      <c r="L1531" s="29">
        <f>dataset[[#This Row],[implied_soda_ppu]]-dataset[[#This Row],[soda_ppu]]</f>
        <v>-1.8702142915105746E-5</v>
      </c>
      <c r="M1531">
        <f>dataset[[#This Row],[soda_sales]]/dataset[[#This Row],[total_sales]]</f>
        <v>9.2971662972326202E-2</v>
      </c>
      <c r="N1531">
        <f>LN(dataset[[#This Row],[soda_units_sold]])</f>
        <v>12.597006010792372</v>
      </c>
      <c r="O1531">
        <f>LN(dataset[[#This Row],[soda_sales]])</f>
        <v>12.16727069632303</v>
      </c>
      <c r="P1531">
        <f>LN(dataset[[#This Row],[soda_ppu]])</f>
        <v>-0.42970657248119876</v>
      </c>
      <c r="Q1531">
        <f>IF(dataset[[#This Row],[state]]="VA",1,0)</f>
        <v>1</v>
      </c>
    </row>
    <row r="1532" spans="1:17" x14ac:dyDescent="0.35">
      <c r="A1532">
        <v>202307</v>
      </c>
      <c r="B1532">
        <v>82</v>
      </c>
      <c r="C1532" s="2">
        <v>1985391.5484</v>
      </c>
      <c r="D1532" s="2">
        <v>0.67559999999999998</v>
      </c>
      <c r="E1532" s="3">
        <v>295419</v>
      </c>
      <c r="F1532" s="2">
        <v>199594.23879999999</v>
      </c>
      <c r="G1532" t="s">
        <v>2892</v>
      </c>
      <c r="H1532" t="s">
        <v>3</v>
      </c>
      <c r="I1532">
        <f>HLOOKUP(G1532,zip_tiers!$A$1:$EON$2,2,FALSE)</f>
        <v>47096</v>
      </c>
      <c r="J1532" t="str">
        <f t="shared" si="23"/>
        <v>Med</v>
      </c>
      <c r="K1532">
        <f>dataset[[#This Row],[soda_sales]]/dataset[[#This Row],[soda_units_sold]]</f>
        <v>0.67563101493133482</v>
      </c>
      <c r="L1532" s="29">
        <f>dataset[[#This Row],[implied_soda_ppu]]-dataset[[#This Row],[soda_ppu]]</f>
        <v>3.1014931334838458E-5</v>
      </c>
      <c r="M1532">
        <f>dataset[[#This Row],[soda_sales]]/dataset[[#This Row],[total_sales]]</f>
        <v>0.10053142361810206</v>
      </c>
      <c r="N1532">
        <f>LN(dataset[[#This Row],[soda_units_sold]])</f>
        <v>12.596149966577691</v>
      </c>
      <c r="O1532">
        <f>LN(dataset[[#This Row],[soda_sales]])</f>
        <v>12.20404177871548</v>
      </c>
      <c r="P1532">
        <f>LN(dataset[[#This Row],[soda_ppu]])</f>
        <v>-0.39215409404849205</v>
      </c>
      <c r="Q1532">
        <f>IF(dataset[[#This Row],[state]]="VA",1,0)</f>
        <v>1</v>
      </c>
    </row>
    <row r="1533" spans="1:17" x14ac:dyDescent="0.35">
      <c r="A1533">
        <v>202308</v>
      </c>
      <c r="B1533">
        <v>82</v>
      </c>
      <c r="C1533" s="2">
        <v>1823590.2618</v>
      </c>
      <c r="D1533" s="2">
        <v>0.66890000000000005</v>
      </c>
      <c r="E1533" s="3">
        <v>254096</v>
      </c>
      <c r="F1533" s="2">
        <v>169972.3413</v>
      </c>
      <c r="G1533" t="s">
        <v>2892</v>
      </c>
      <c r="H1533" t="s">
        <v>3</v>
      </c>
      <c r="I1533">
        <f>HLOOKUP(G1533,zip_tiers!$A$1:$EON$2,2,FALSE)</f>
        <v>47096</v>
      </c>
      <c r="J1533" t="str">
        <f t="shared" si="23"/>
        <v>Med</v>
      </c>
      <c r="K1533">
        <f>dataset[[#This Row],[soda_sales]]/dataset[[#This Row],[soda_units_sold]]</f>
        <v>0.66892962226874886</v>
      </c>
      <c r="L1533" s="29">
        <f>dataset[[#This Row],[implied_soda_ppu]]-dataset[[#This Row],[soda_ppu]]</f>
        <v>2.9622268748807912E-5</v>
      </c>
      <c r="M1533">
        <f>dataset[[#This Row],[soda_sales]]/dataset[[#This Row],[total_sales]]</f>
        <v>9.3207528500523162E-2</v>
      </c>
      <c r="N1533">
        <f>LN(dataset[[#This Row],[soda_units_sold]])</f>
        <v>12.445467427350428</v>
      </c>
      <c r="O1533">
        <f>LN(dataset[[#This Row],[soda_sales]])</f>
        <v>12.043391004560311</v>
      </c>
      <c r="P1533">
        <f>LN(dataset[[#This Row],[soda_ppu]])</f>
        <v>-0.40212070685777462</v>
      </c>
      <c r="Q1533">
        <f>IF(dataset[[#This Row],[state]]="VA",1,0)</f>
        <v>1</v>
      </c>
    </row>
    <row r="1534" spans="1:17" x14ac:dyDescent="0.35">
      <c r="A1534">
        <v>202309</v>
      </c>
      <c r="B1534">
        <v>82</v>
      </c>
      <c r="C1534" s="2">
        <v>1873721.2041</v>
      </c>
      <c r="D1534" s="2">
        <v>0.69520000000000004</v>
      </c>
      <c r="E1534" s="3">
        <v>239498</v>
      </c>
      <c r="F1534" s="2">
        <v>166494.08960000001</v>
      </c>
      <c r="G1534" t="s">
        <v>2892</v>
      </c>
      <c r="H1534" t="s">
        <v>3</v>
      </c>
      <c r="I1534">
        <f>HLOOKUP(G1534,zip_tiers!$A$1:$EON$2,2,FALSE)</f>
        <v>47096</v>
      </c>
      <c r="J1534" t="str">
        <f t="shared" si="23"/>
        <v>Med</v>
      </c>
      <c r="K1534">
        <f>dataset[[#This Row],[soda_sales]]/dataset[[#This Row],[soda_units_sold]]</f>
        <v>0.6951794570309564</v>
      </c>
      <c r="L1534" s="29">
        <f>dataset[[#This Row],[implied_soda_ppu]]-dataset[[#This Row],[soda_ppu]]</f>
        <v>-2.0542969043635395E-5</v>
      </c>
      <c r="M1534">
        <f>dataset[[#This Row],[soda_sales]]/dataset[[#This Row],[total_sales]]</f>
        <v>8.8857450743303992E-2</v>
      </c>
      <c r="N1534">
        <f>LN(dataset[[#This Row],[soda_units_sold]])</f>
        <v>12.38630034506755</v>
      </c>
      <c r="O1534">
        <f>LN(dataset[[#This Row],[soda_sales]])</f>
        <v>12.022715089874673</v>
      </c>
      <c r="P1534">
        <f>LN(dataset[[#This Row],[soda_ppu]])</f>
        <v>-0.36355570503095469</v>
      </c>
      <c r="Q1534">
        <f>IF(dataset[[#This Row],[state]]="VA",1,0)</f>
        <v>1</v>
      </c>
    </row>
    <row r="1535" spans="1:17" x14ac:dyDescent="0.35">
      <c r="A1535">
        <v>202310</v>
      </c>
      <c r="B1535">
        <v>82</v>
      </c>
      <c r="C1535" s="2">
        <v>2275125.0906000002</v>
      </c>
      <c r="D1535" s="2">
        <v>0.68979999999999997</v>
      </c>
      <c r="E1535" s="3">
        <v>237817</v>
      </c>
      <c r="F1535" s="2">
        <v>164053.94099999999</v>
      </c>
      <c r="G1535" t="s">
        <v>2892</v>
      </c>
      <c r="H1535" t="s">
        <v>3</v>
      </c>
      <c r="I1535">
        <f>HLOOKUP(G1535,zip_tiers!$A$1:$EON$2,2,FALSE)</f>
        <v>47096</v>
      </c>
      <c r="J1535" t="str">
        <f t="shared" si="23"/>
        <v>Med</v>
      </c>
      <c r="K1535">
        <f>dataset[[#This Row],[soda_sales]]/dataset[[#This Row],[soda_units_sold]]</f>
        <v>0.68983269068233133</v>
      </c>
      <c r="L1535" s="29">
        <f>dataset[[#This Row],[implied_soda_ppu]]-dataset[[#This Row],[soda_ppu]]</f>
        <v>3.2690682331359966E-5</v>
      </c>
      <c r="M1535">
        <f>dataset[[#This Row],[soda_sales]]/dataset[[#This Row],[total_sales]]</f>
        <v>7.210765758674631E-2</v>
      </c>
      <c r="N1535">
        <f>LN(dataset[[#This Row],[soda_units_sold]])</f>
        <v>12.379256749329548</v>
      </c>
      <c r="O1535">
        <f>LN(dataset[[#This Row],[soda_sales]])</f>
        <v>12.007950561264366</v>
      </c>
      <c r="P1535">
        <f>LN(dataset[[#This Row],[soda_ppu]])</f>
        <v>-0.37135357847939654</v>
      </c>
      <c r="Q1535">
        <f>IF(dataset[[#This Row],[state]]="VA",1,0)</f>
        <v>1</v>
      </c>
    </row>
    <row r="1536" spans="1:17" x14ac:dyDescent="0.35">
      <c r="A1536">
        <v>202311</v>
      </c>
      <c r="B1536">
        <v>82</v>
      </c>
      <c r="C1536" s="2">
        <v>2600420.7012</v>
      </c>
      <c r="D1536" s="2">
        <v>0.68410000000000004</v>
      </c>
      <c r="E1536" s="3">
        <v>221710</v>
      </c>
      <c r="F1536" s="2">
        <v>151661.40839999999</v>
      </c>
      <c r="G1536" t="s">
        <v>2892</v>
      </c>
      <c r="H1536" t="s">
        <v>3</v>
      </c>
      <c r="I1536">
        <f>HLOOKUP(G1536,zip_tiers!$A$1:$EON$2,2,FALSE)</f>
        <v>47096</v>
      </c>
      <c r="J1536" t="str">
        <f t="shared" si="23"/>
        <v>Med</v>
      </c>
      <c r="K1536">
        <f>dataset[[#This Row],[soda_sales]]/dataset[[#This Row],[soda_units_sold]]</f>
        <v>0.68405308014974509</v>
      </c>
      <c r="L1536" s="29">
        <f>dataset[[#This Row],[implied_soda_ppu]]-dataset[[#This Row],[soda_ppu]]</f>
        <v>-4.6919850254956152E-5</v>
      </c>
      <c r="M1536">
        <f>dataset[[#This Row],[soda_sales]]/dataset[[#This Row],[total_sales]]</f>
        <v>5.8321873968321253E-2</v>
      </c>
      <c r="N1536">
        <f>LN(dataset[[#This Row],[soda_units_sold]])</f>
        <v>12.309125500586255</v>
      </c>
      <c r="O1536">
        <f>LN(dataset[[#This Row],[soda_sales]])</f>
        <v>11.929405738773854</v>
      </c>
      <c r="P1536">
        <f>LN(dataset[[#This Row],[soda_ppu]])</f>
        <v>-0.37965117321518466</v>
      </c>
      <c r="Q1536">
        <f>IF(dataset[[#This Row],[state]]="VA",1,0)</f>
        <v>1</v>
      </c>
    </row>
    <row r="1537" spans="1:17" x14ac:dyDescent="0.35">
      <c r="A1537">
        <v>202312</v>
      </c>
      <c r="B1537">
        <v>82</v>
      </c>
      <c r="C1537" s="2">
        <v>2698950.2064</v>
      </c>
      <c r="D1537" s="2">
        <v>0.68020000000000003</v>
      </c>
      <c r="E1537" s="3">
        <v>215851</v>
      </c>
      <c r="F1537" s="2">
        <v>146813.27340000001</v>
      </c>
      <c r="G1537" t="s">
        <v>2892</v>
      </c>
      <c r="H1537" t="s">
        <v>3</v>
      </c>
      <c r="I1537">
        <f>HLOOKUP(G1537,zip_tiers!$A$1:$EON$2,2,FALSE)</f>
        <v>47096</v>
      </c>
      <c r="J1537" t="str">
        <f t="shared" si="23"/>
        <v>Med</v>
      </c>
      <c r="K1537">
        <f>dataset[[#This Row],[soda_sales]]/dataset[[#This Row],[soda_units_sold]]</f>
        <v>0.68016026518292716</v>
      </c>
      <c r="L1537" s="29">
        <f>dataset[[#This Row],[implied_soda_ppu]]-dataset[[#This Row],[soda_ppu]]</f>
        <v>-3.9734817072867301E-5</v>
      </c>
      <c r="M1537">
        <f>dataset[[#This Row],[soda_sales]]/dataset[[#This Row],[total_sales]]</f>
        <v>5.4396436455871923E-2</v>
      </c>
      <c r="N1537">
        <f>LN(dataset[[#This Row],[soda_units_sold]])</f>
        <v>12.282343633819776</v>
      </c>
      <c r="O1537">
        <f>LN(dataset[[#This Row],[soda_sales]])</f>
        <v>11.896916809331199</v>
      </c>
      <c r="P1537">
        <f>LN(dataset[[#This Row],[soda_ppu]])</f>
        <v>-0.38536840640904191</v>
      </c>
      <c r="Q1537">
        <f>IF(dataset[[#This Row],[state]]="VA",1,0)</f>
        <v>1</v>
      </c>
    </row>
    <row r="1538" spans="1:17" x14ac:dyDescent="0.35">
      <c r="A1538">
        <v>202401</v>
      </c>
      <c r="B1538">
        <v>82</v>
      </c>
      <c r="C1538" s="2">
        <v>1545161.8004999999</v>
      </c>
      <c r="D1538" s="2">
        <v>0.67789999999999995</v>
      </c>
      <c r="E1538" s="3">
        <v>160165</v>
      </c>
      <c r="F1538" s="2">
        <v>108573.0488</v>
      </c>
      <c r="G1538" t="s">
        <v>2892</v>
      </c>
      <c r="H1538" t="s">
        <v>3</v>
      </c>
      <c r="I1538">
        <f>HLOOKUP(G1538,zip_tiers!$A$1:$EON$2,2,FALSE)</f>
        <v>47096</v>
      </c>
      <c r="J1538" t="str">
        <f t="shared" ref="J1538:J1601" si="24">IF(I1538="","No Data",IF(I1538&gt;=100000,"High",IF(I1538&gt;=40000,"Med","Low")))</f>
        <v>Med</v>
      </c>
      <c r="K1538">
        <f>dataset[[#This Row],[soda_sales]]/dataset[[#This Row],[soda_units_sold]]</f>
        <v>0.67788248868354517</v>
      </c>
      <c r="L1538" s="29">
        <f>dataset[[#This Row],[implied_soda_ppu]]-dataset[[#This Row],[soda_ppu]]</f>
        <v>-1.7511316454776882E-5</v>
      </c>
      <c r="M1538">
        <f>dataset[[#This Row],[soda_sales]]/dataset[[#This Row],[total_sales]]</f>
        <v>7.0266459321520106E-2</v>
      </c>
      <c r="N1538">
        <f>LN(dataset[[#This Row],[soda_units_sold]])</f>
        <v>11.98395981284297</v>
      </c>
      <c r="O1538">
        <f>LN(dataset[[#This Row],[soda_sales]])</f>
        <v>11.595178486253745</v>
      </c>
      <c r="P1538">
        <f>LN(dataset[[#This Row],[soda_ppu]])</f>
        <v>-0.38875549454521718</v>
      </c>
      <c r="Q1538">
        <f>IF(dataset[[#This Row],[state]]="VA",1,0)</f>
        <v>1</v>
      </c>
    </row>
    <row r="1539" spans="1:17" x14ac:dyDescent="0.35">
      <c r="A1539">
        <v>202402</v>
      </c>
      <c r="B1539">
        <v>82</v>
      </c>
      <c r="C1539" s="2">
        <v>1781351.3345000001</v>
      </c>
      <c r="D1539" s="2">
        <v>0.69259999999999999</v>
      </c>
      <c r="E1539" s="3">
        <v>179069</v>
      </c>
      <c r="F1539" s="2">
        <v>124022.0626</v>
      </c>
      <c r="G1539" t="s">
        <v>2892</v>
      </c>
      <c r="H1539" t="s">
        <v>3</v>
      </c>
      <c r="I1539">
        <f>HLOOKUP(G1539,zip_tiers!$A$1:$EON$2,2,FALSE)</f>
        <v>47096</v>
      </c>
      <c r="J1539" t="str">
        <f t="shared" si="24"/>
        <v>Med</v>
      </c>
      <c r="K1539">
        <f>dataset[[#This Row],[soda_sales]]/dataset[[#This Row],[soda_units_sold]]</f>
        <v>0.69259370745355142</v>
      </c>
      <c r="L1539" s="29">
        <f>dataset[[#This Row],[implied_soda_ppu]]-dataset[[#This Row],[soda_ppu]]</f>
        <v>-6.2925464485719118E-6</v>
      </c>
      <c r="M1539">
        <f>dataset[[#This Row],[soda_sales]]/dataset[[#This Row],[total_sales]]</f>
        <v>6.9622460318762014E-2</v>
      </c>
      <c r="N1539">
        <f>LN(dataset[[#This Row],[soda_units_sold]])</f>
        <v>12.09552648540688</v>
      </c>
      <c r="O1539">
        <f>LN(dataset[[#This Row],[soda_sales]])</f>
        <v>11.72821475295409</v>
      </c>
      <c r="P1539">
        <f>LN(dataset[[#This Row],[soda_ppu]])</f>
        <v>-0.36730264701381549</v>
      </c>
      <c r="Q1539">
        <f>IF(dataset[[#This Row],[state]]="VA",1,0)</f>
        <v>1</v>
      </c>
    </row>
    <row r="1540" spans="1:17" x14ac:dyDescent="0.35">
      <c r="A1540">
        <v>202403</v>
      </c>
      <c r="B1540">
        <v>82</v>
      </c>
      <c r="C1540" s="2">
        <v>2010990.4908</v>
      </c>
      <c r="D1540" s="2">
        <v>0.69889999999999997</v>
      </c>
      <c r="E1540" s="3">
        <v>214402</v>
      </c>
      <c r="F1540" s="2">
        <v>149849.54680000001</v>
      </c>
      <c r="G1540" t="s">
        <v>2892</v>
      </c>
      <c r="H1540" t="s">
        <v>3</v>
      </c>
      <c r="I1540">
        <f>HLOOKUP(G1540,zip_tiers!$A$1:$EON$2,2,FALSE)</f>
        <v>47096</v>
      </c>
      <c r="J1540" t="str">
        <f t="shared" si="24"/>
        <v>Med</v>
      </c>
      <c r="K1540">
        <f>dataset[[#This Row],[soda_sales]]/dataset[[#This Row],[soda_units_sold]]</f>
        <v>0.69891860523689153</v>
      </c>
      <c r="L1540" s="29">
        <f>dataset[[#This Row],[implied_soda_ppu]]-dataset[[#This Row],[soda_ppu]]</f>
        <v>1.860523689156679E-5</v>
      </c>
      <c r="M1540">
        <f>dataset[[#This Row],[soda_sales]]/dataset[[#This Row],[total_sales]]</f>
        <v>7.4515293575748223E-2</v>
      </c>
      <c r="N1540">
        <f>LN(dataset[[#This Row],[soda_units_sold]])</f>
        <v>12.275608036493484</v>
      </c>
      <c r="O1540">
        <f>LN(dataset[[#This Row],[soda_sales]])</f>
        <v>11.917387048382546</v>
      </c>
      <c r="P1540">
        <f>LN(dataset[[#This Row],[soda_ppu]])</f>
        <v>-0.35824760849905374</v>
      </c>
      <c r="Q1540">
        <f>IF(dataset[[#This Row],[state]]="VA",1,0)</f>
        <v>1</v>
      </c>
    </row>
    <row r="1541" spans="1:17" x14ac:dyDescent="0.35">
      <c r="A1541">
        <v>202404</v>
      </c>
      <c r="B1541">
        <v>82</v>
      </c>
      <c r="C1541" s="2">
        <v>2082133.9007999999</v>
      </c>
      <c r="D1541" s="2">
        <v>0.71650000000000003</v>
      </c>
      <c r="E1541" s="3">
        <v>231703</v>
      </c>
      <c r="F1541" s="2">
        <v>166007.34400000001</v>
      </c>
      <c r="G1541" t="s">
        <v>2892</v>
      </c>
      <c r="H1541" t="s">
        <v>3</v>
      </c>
      <c r="I1541">
        <f>HLOOKUP(G1541,zip_tiers!$A$1:$EON$2,2,FALSE)</f>
        <v>47096</v>
      </c>
      <c r="J1541" t="str">
        <f t="shared" si="24"/>
        <v>Med</v>
      </c>
      <c r="K1541">
        <f>dataset[[#This Row],[soda_sales]]/dataset[[#This Row],[soda_units_sold]]</f>
        <v>0.7164660966841172</v>
      </c>
      <c r="L1541" s="29">
        <f>dataset[[#This Row],[implied_soda_ppu]]-dataset[[#This Row],[soda_ppu]]</f>
        <v>-3.3903315882821694E-5</v>
      </c>
      <c r="M1541">
        <f>dataset[[#This Row],[soda_sales]]/dataset[[#This Row],[total_sales]]</f>
        <v>7.9729427553250284E-2</v>
      </c>
      <c r="N1541">
        <f>LN(dataset[[#This Row],[soda_units_sold]])</f>
        <v>12.353211658113944</v>
      </c>
      <c r="O1541">
        <f>LN(dataset[[#This Row],[soda_sales]])</f>
        <v>12.019787307323933</v>
      </c>
      <c r="P1541">
        <f>LN(dataset[[#This Row],[soda_ppu]])</f>
        <v>-0.33337703171391048</v>
      </c>
      <c r="Q1541">
        <f>IF(dataset[[#This Row],[state]]="VA",1,0)</f>
        <v>1</v>
      </c>
    </row>
    <row r="1542" spans="1:17" x14ac:dyDescent="0.35">
      <c r="A1542">
        <v>202405</v>
      </c>
      <c r="B1542">
        <v>82</v>
      </c>
      <c r="C1542" s="2">
        <v>2220875.9564</v>
      </c>
      <c r="D1542" s="2">
        <v>0.70550000000000002</v>
      </c>
      <c r="E1542" s="3">
        <v>267532</v>
      </c>
      <c r="F1542" s="2">
        <v>188741.55679999999</v>
      </c>
      <c r="G1542" t="s">
        <v>2892</v>
      </c>
      <c r="H1542" t="s">
        <v>3</v>
      </c>
      <c r="I1542">
        <f>HLOOKUP(G1542,zip_tiers!$A$1:$EON$2,2,FALSE)</f>
        <v>47096</v>
      </c>
      <c r="J1542" t="str">
        <f t="shared" si="24"/>
        <v>Med</v>
      </c>
      <c r="K1542">
        <f>dataset[[#This Row],[soda_sales]]/dataset[[#This Row],[soda_units_sold]]</f>
        <v>0.705491518024012</v>
      </c>
      <c r="L1542" s="29">
        <f>dataset[[#This Row],[implied_soda_ppu]]-dataset[[#This Row],[soda_ppu]]</f>
        <v>-8.4819759880172541E-6</v>
      </c>
      <c r="M1542">
        <f>dataset[[#This Row],[soda_sales]]/dataset[[#This Row],[total_sales]]</f>
        <v>8.4985186253241557E-2</v>
      </c>
      <c r="N1542">
        <f>LN(dataset[[#This Row],[soda_units_sold]])</f>
        <v>12.496994464331783</v>
      </c>
      <c r="O1542">
        <f>LN(dataset[[#This Row],[soda_sales]])</f>
        <v>12.148133933925326</v>
      </c>
      <c r="P1542">
        <f>LN(dataset[[#This Row],[soda_ppu]])</f>
        <v>-0.34884850768926834</v>
      </c>
      <c r="Q1542">
        <f>IF(dataset[[#This Row],[state]]="VA",1,0)</f>
        <v>1</v>
      </c>
    </row>
    <row r="1543" spans="1:17" x14ac:dyDescent="0.35">
      <c r="A1543">
        <v>202406</v>
      </c>
      <c r="B1543">
        <v>82</v>
      </c>
      <c r="C1543" s="2">
        <v>2100514.4852999998</v>
      </c>
      <c r="D1543" s="2">
        <v>0.70509999999999995</v>
      </c>
      <c r="E1543" s="3">
        <v>277315</v>
      </c>
      <c r="F1543" s="2">
        <v>195545.75279999999</v>
      </c>
      <c r="G1543" t="s">
        <v>2892</v>
      </c>
      <c r="H1543" t="s">
        <v>3</v>
      </c>
      <c r="I1543">
        <f>HLOOKUP(G1543,zip_tiers!$A$1:$EON$2,2,FALSE)</f>
        <v>47096</v>
      </c>
      <c r="J1543" t="str">
        <f t="shared" si="24"/>
        <v>Med</v>
      </c>
      <c r="K1543">
        <f>dataset[[#This Row],[soda_sales]]/dataset[[#This Row],[soda_units_sold]]</f>
        <v>0.70513947244108677</v>
      </c>
      <c r="L1543" s="29">
        <f>dataset[[#This Row],[implied_soda_ppu]]-dataset[[#This Row],[soda_ppu]]</f>
        <v>3.9472441086818577E-5</v>
      </c>
      <c r="M1543">
        <f>dataset[[#This Row],[soda_sales]]/dataset[[#This Row],[total_sales]]</f>
        <v>9.3094217711177429E-2</v>
      </c>
      <c r="N1543">
        <f>LN(dataset[[#This Row],[soda_units_sold]])</f>
        <v>12.532909323180922</v>
      </c>
      <c r="O1543">
        <f>LN(dataset[[#This Row],[soda_sales]])</f>
        <v>12.183549660694405</v>
      </c>
      <c r="P1543">
        <f>LN(dataset[[#This Row],[soda_ppu]])</f>
        <v>-0.34941564225714222</v>
      </c>
      <c r="Q1543">
        <f>IF(dataset[[#This Row],[state]]="VA",1,0)</f>
        <v>1</v>
      </c>
    </row>
    <row r="1544" spans="1:17" x14ac:dyDescent="0.35">
      <c r="A1544">
        <v>202407</v>
      </c>
      <c r="B1544">
        <v>82</v>
      </c>
      <c r="C1544" s="2">
        <v>1958595.5189</v>
      </c>
      <c r="D1544" s="2">
        <v>0.71409999999999996</v>
      </c>
      <c r="E1544" s="3">
        <v>272778</v>
      </c>
      <c r="F1544" s="2">
        <v>194797.92420000001</v>
      </c>
      <c r="G1544" t="s">
        <v>2892</v>
      </c>
      <c r="H1544" t="s">
        <v>3</v>
      </c>
      <c r="I1544">
        <f>HLOOKUP(G1544,zip_tiers!$A$1:$EON$2,2,FALSE)</f>
        <v>47096</v>
      </c>
      <c r="J1544" t="str">
        <f t="shared" si="24"/>
        <v>Med</v>
      </c>
      <c r="K1544">
        <f>dataset[[#This Row],[soda_sales]]/dataset[[#This Row],[soda_units_sold]]</f>
        <v>0.71412622792160663</v>
      </c>
      <c r="L1544" s="29">
        <f>dataset[[#This Row],[implied_soda_ppu]]-dataset[[#This Row],[soda_ppu]]</f>
        <v>2.6227921606669646E-5</v>
      </c>
      <c r="M1544">
        <f>dataset[[#This Row],[soda_sales]]/dataset[[#This Row],[total_sales]]</f>
        <v>9.9457964812154659E-2</v>
      </c>
      <c r="N1544">
        <f>LN(dataset[[#This Row],[soda_units_sold]])</f>
        <v>12.516413556538158</v>
      </c>
      <c r="O1544">
        <f>LN(dataset[[#This Row],[soda_sales]])</f>
        <v>12.1797180140763</v>
      </c>
      <c r="P1544">
        <f>LN(dataset[[#This Row],[soda_ppu]])</f>
        <v>-0.33673227042707282</v>
      </c>
      <c r="Q1544">
        <f>IF(dataset[[#This Row],[state]]="VA",1,0)</f>
        <v>1</v>
      </c>
    </row>
    <row r="1545" spans="1:17" x14ac:dyDescent="0.35">
      <c r="A1545">
        <v>202408</v>
      </c>
      <c r="B1545">
        <v>82</v>
      </c>
      <c r="C1545" s="2">
        <v>1923886.4423</v>
      </c>
      <c r="D1545" s="2">
        <v>0.72230000000000005</v>
      </c>
      <c r="E1545" s="3">
        <v>245259</v>
      </c>
      <c r="F1545" s="2">
        <v>177140.92790000001</v>
      </c>
      <c r="G1545" t="s">
        <v>2892</v>
      </c>
      <c r="H1545" t="s">
        <v>3</v>
      </c>
      <c r="I1545">
        <f>HLOOKUP(G1545,zip_tiers!$A$1:$EON$2,2,FALSE)</f>
        <v>47096</v>
      </c>
      <c r="J1545" t="str">
        <f t="shared" si="24"/>
        <v>Med</v>
      </c>
      <c r="K1545">
        <f>dataset[[#This Row],[soda_sales]]/dataset[[#This Row],[soda_units_sold]]</f>
        <v>0.72226066280951973</v>
      </c>
      <c r="L1545" s="29">
        <f>dataset[[#This Row],[implied_soda_ppu]]-dataset[[#This Row],[soda_ppu]]</f>
        <v>-3.9337190480326356E-5</v>
      </c>
      <c r="M1545">
        <f>dataset[[#This Row],[soda_sales]]/dataset[[#This Row],[total_sales]]</f>
        <v>9.2074523737600958E-2</v>
      </c>
      <c r="N1545">
        <f>LN(dataset[[#This Row],[soda_units_sold]])</f>
        <v>12.410070074001988</v>
      </c>
      <c r="O1545">
        <f>LN(dataset[[#This Row],[soda_sales]])</f>
        <v>12.084700897579504</v>
      </c>
      <c r="P1545">
        <f>LN(dataset[[#This Row],[soda_ppu]])</f>
        <v>-0.32531471392533584</v>
      </c>
      <c r="Q1545">
        <f>IF(dataset[[#This Row],[state]]="VA",1,0)</f>
        <v>1</v>
      </c>
    </row>
    <row r="1546" spans="1:17" x14ac:dyDescent="0.35">
      <c r="A1546">
        <v>202409</v>
      </c>
      <c r="B1546">
        <v>82</v>
      </c>
      <c r="C1546" s="2">
        <v>1919774.6538</v>
      </c>
      <c r="D1546" s="2">
        <v>0.71330000000000005</v>
      </c>
      <c r="E1546" s="3">
        <v>238716</v>
      </c>
      <c r="F1546" s="2">
        <v>170269.5074</v>
      </c>
      <c r="G1546" t="s">
        <v>2892</v>
      </c>
      <c r="H1546" t="s">
        <v>3</v>
      </c>
      <c r="I1546">
        <f>HLOOKUP(G1546,zip_tiers!$A$1:$EON$2,2,FALSE)</f>
        <v>47096</v>
      </c>
      <c r="J1546" t="str">
        <f t="shared" si="24"/>
        <v>Med</v>
      </c>
      <c r="K1546">
        <f>dataset[[#This Row],[soda_sales]]/dataset[[#This Row],[soda_units_sold]]</f>
        <v>0.71327228757184269</v>
      </c>
      <c r="L1546" s="29">
        <f>dataset[[#This Row],[implied_soda_ppu]]-dataset[[#This Row],[soda_ppu]]</f>
        <v>-2.7712428157355973E-5</v>
      </c>
      <c r="M1546">
        <f>dataset[[#This Row],[soda_sales]]/dataset[[#This Row],[total_sales]]</f>
        <v>8.8692444742391366E-2</v>
      </c>
      <c r="N1546">
        <f>LN(dataset[[#This Row],[soda_units_sold]])</f>
        <v>12.383029839824978</v>
      </c>
      <c r="O1546">
        <f>LN(dataset[[#This Row],[soda_sales]])</f>
        <v>12.045137798358294</v>
      </c>
      <c r="P1546">
        <f>LN(dataset[[#This Row],[soda_ppu]])</f>
        <v>-0.33785318969814454</v>
      </c>
      <c r="Q1546">
        <f>IF(dataset[[#This Row],[state]]="VA",1,0)</f>
        <v>1</v>
      </c>
    </row>
    <row r="1547" spans="1:17" x14ac:dyDescent="0.35">
      <c r="A1547">
        <v>202410</v>
      </c>
      <c r="B1547">
        <v>82</v>
      </c>
      <c r="C1547" s="2">
        <v>2330819.0325000002</v>
      </c>
      <c r="D1547" s="2">
        <v>0.73240000000000005</v>
      </c>
      <c r="E1547" s="3">
        <v>221536</v>
      </c>
      <c r="F1547" s="2">
        <v>162244.32870000001</v>
      </c>
      <c r="G1547" t="s">
        <v>2892</v>
      </c>
      <c r="H1547" t="s">
        <v>3</v>
      </c>
      <c r="I1547">
        <f>HLOOKUP(G1547,zip_tiers!$A$1:$EON$2,2,FALSE)</f>
        <v>47096</v>
      </c>
      <c r="J1547" t="str">
        <f t="shared" si="24"/>
        <v>Med</v>
      </c>
      <c r="K1547">
        <f>dataset[[#This Row],[soda_sales]]/dataset[[#This Row],[soda_units_sold]]</f>
        <v>0.73236100994872166</v>
      </c>
      <c r="L1547" s="29">
        <f>dataset[[#This Row],[implied_soda_ppu]]-dataset[[#This Row],[soda_ppu]]</f>
        <v>-3.899005127838695E-5</v>
      </c>
      <c r="M1547">
        <f>dataset[[#This Row],[soda_sales]]/dataset[[#This Row],[total_sales]]</f>
        <v>6.9608290664238862E-2</v>
      </c>
      <c r="N1547">
        <f>LN(dataset[[#This Row],[soda_units_sold]])</f>
        <v>12.308340383477752</v>
      </c>
      <c r="O1547">
        <f>LN(dataset[[#This Row],[soda_sales]])</f>
        <v>11.996858679872224</v>
      </c>
      <c r="P1547">
        <f>LN(dataset[[#This Row],[soda_ppu]])</f>
        <v>-0.31142846618178133</v>
      </c>
      <c r="Q1547">
        <f>IF(dataset[[#This Row],[state]]="VA",1,0)</f>
        <v>1</v>
      </c>
    </row>
    <row r="1548" spans="1:17" x14ac:dyDescent="0.35">
      <c r="A1548">
        <v>202411</v>
      </c>
      <c r="B1548">
        <v>82</v>
      </c>
      <c r="C1548" s="2">
        <v>2676069.7174999998</v>
      </c>
      <c r="D1548" s="2">
        <v>0.71960000000000002</v>
      </c>
      <c r="E1548" s="3">
        <v>213684</v>
      </c>
      <c r="F1548" s="2">
        <v>153764.43290000001</v>
      </c>
      <c r="G1548" t="s">
        <v>2892</v>
      </c>
      <c r="H1548" t="s">
        <v>3</v>
      </c>
      <c r="I1548">
        <f>HLOOKUP(G1548,zip_tiers!$A$1:$EON$2,2,FALSE)</f>
        <v>47096</v>
      </c>
      <c r="J1548" t="str">
        <f t="shared" si="24"/>
        <v>Med</v>
      </c>
      <c r="K1548">
        <f>dataset[[#This Row],[soda_sales]]/dataset[[#This Row],[soda_units_sold]]</f>
        <v>0.71958795651522811</v>
      </c>
      <c r="L1548" s="29">
        <f>dataset[[#This Row],[implied_soda_ppu]]-dataset[[#This Row],[soda_ppu]]</f>
        <v>-1.2043484771906421E-5</v>
      </c>
      <c r="M1548">
        <f>dataset[[#This Row],[soda_sales]]/dataset[[#This Row],[total_sales]]</f>
        <v>5.7459053437384902E-2</v>
      </c>
      <c r="N1548">
        <f>LN(dataset[[#This Row],[soda_units_sold]])</f>
        <v>12.272253567189315</v>
      </c>
      <c r="O1548">
        <f>LN(dataset[[#This Row],[soda_sales]])</f>
        <v>11.943177053783341</v>
      </c>
      <c r="P1548">
        <f>LN(dataset[[#This Row],[soda_ppu]])</f>
        <v>-0.32905977690575899</v>
      </c>
      <c r="Q1548">
        <f>IF(dataset[[#This Row],[state]]="VA",1,0)</f>
        <v>1</v>
      </c>
    </row>
    <row r="1549" spans="1:17" x14ac:dyDescent="0.35">
      <c r="A1549">
        <v>202412</v>
      </c>
      <c r="B1549">
        <v>82</v>
      </c>
      <c r="C1549" s="2">
        <v>2806348.8659999999</v>
      </c>
      <c r="D1549" s="2">
        <v>0.74639999999999995</v>
      </c>
      <c r="E1549" s="3">
        <v>199952</v>
      </c>
      <c r="F1549" s="2">
        <v>149236.28700000001</v>
      </c>
      <c r="G1549" t="s">
        <v>2892</v>
      </c>
      <c r="H1549" t="s">
        <v>3</v>
      </c>
      <c r="I1549">
        <f>HLOOKUP(G1549,zip_tiers!$A$1:$EON$2,2,FALSE)</f>
        <v>47096</v>
      </c>
      <c r="J1549" t="str">
        <f t="shared" si="24"/>
        <v>Med</v>
      </c>
      <c r="K1549">
        <f>dataset[[#This Row],[soda_sales]]/dataset[[#This Row],[soda_units_sold]]</f>
        <v>0.74636056153476837</v>
      </c>
      <c r="L1549" s="29">
        <f>dataset[[#This Row],[implied_soda_ppu]]-dataset[[#This Row],[soda_ppu]]</f>
        <v>-3.9438465231578235E-5</v>
      </c>
      <c r="M1549">
        <f>dataset[[#This Row],[soda_sales]]/dataset[[#This Row],[total_sales]]</f>
        <v>5.317809514278686E-2</v>
      </c>
      <c r="N1549">
        <f>LN(dataset[[#This Row],[soda_units_sold]])</f>
        <v>12.205832616725566</v>
      </c>
      <c r="O1549">
        <f>LN(dataset[[#This Row],[soda_sales]])</f>
        <v>11.913286147636693</v>
      </c>
      <c r="P1549">
        <f>LN(dataset[[#This Row],[soda_ppu]])</f>
        <v>-0.29249362944900303</v>
      </c>
      <c r="Q1549">
        <f>IF(dataset[[#This Row],[state]]="VA",1,0)</f>
        <v>1</v>
      </c>
    </row>
    <row r="1550" spans="1:17" x14ac:dyDescent="0.35">
      <c r="A1550">
        <v>202201</v>
      </c>
      <c r="B1550">
        <v>57</v>
      </c>
      <c r="C1550" s="2">
        <v>1858919.2934000001</v>
      </c>
      <c r="D1550" s="2">
        <v>0.6885</v>
      </c>
      <c r="E1550" s="3">
        <v>154898</v>
      </c>
      <c r="F1550" s="2">
        <v>106654.53230000001</v>
      </c>
      <c r="G1550" t="s">
        <v>2977</v>
      </c>
      <c r="H1550" t="s">
        <v>3</v>
      </c>
      <c r="I1550">
        <f>HLOOKUP(G1550,zip_tiers!$A$1:$EON$2,2,FALSE)</f>
        <v>70332.333333333328</v>
      </c>
      <c r="J1550" t="str">
        <f t="shared" si="24"/>
        <v>Med</v>
      </c>
      <c r="K1550">
        <f>dataset[[#This Row],[soda_sales]]/dataset[[#This Row],[soda_units_sold]]</f>
        <v>0.68854686503376417</v>
      </c>
      <c r="L1550" s="29">
        <f>dataset[[#This Row],[implied_soda_ppu]]-dataset[[#This Row],[soda_ppu]]</f>
        <v>4.6865033764165176E-5</v>
      </c>
      <c r="M1550">
        <f>dataset[[#This Row],[soda_sales]]/dataset[[#This Row],[total_sales]]</f>
        <v>5.7374482409576134E-2</v>
      </c>
      <c r="N1550">
        <f>LN(dataset[[#This Row],[soda_units_sold]])</f>
        <v>11.950522114765763</v>
      </c>
      <c r="O1550">
        <f>LN(dataset[[#This Row],[soda_sales]])</f>
        <v>11.577350219949176</v>
      </c>
      <c r="P1550">
        <f>LN(dataset[[#This Row],[soda_ppu]])</f>
        <v>-0.37323996081342753</v>
      </c>
      <c r="Q1550">
        <f>IF(dataset[[#This Row],[state]]="VA",1,0)</f>
        <v>1</v>
      </c>
    </row>
    <row r="1551" spans="1:17" x14ac:dyDescent="0.35">
      <c r="A1551">
        <v>202202</v>
      </c>
      <c r="B1551">
        <v>57</v>
      </c>
      <c r="C1551" s="2">
        <v>2120710.3278999999</v>
      </c>
      <c r="D1551" s="2">
        <v>0.69720000000000004</v>
      </c>
      <c r="E1551" s="3">
        <v>172237</v>
      </c>
      <c r="F1551" s="2">
        <v>120090.8971</v>
      </c>
      <c r="G1551" t="s">
        <v>2977</v>
      </c>
      <c r="H1551" t="s">
        <v>3</v>
      </c>
      <c r="I1551">
        <f>HLOOKUP(G1551,zip_tiers!$A$1:$EON$2,2,FALSE)</f>
        <v>70332.333333333328</v>
      </c>
      <c r="J1551" t="str">
        <f t="shared" si="24"/>
        <v>Med</v>
      </c>
      <c r="K1551">
        <f>dataset[[#This Row],[soda_sales]]/dataset[[#This Row],[soda_units_sold]]</f>
        <v>0.69724215528603029</v>
      </c>
      <c r="L1551" s="29">
        <f>dataset[[#This Row],[implied_soda_ppu]]-dataset[[#This Row],[soda_ppu]]</f>
        <v>4.2155286030243211E-5</v>
      </c>
      <c r="M1551">
        <f>dataset[[#This Row],[soda_sales]]/dataset[[#This Row],[total_sales]]</f>
        <v>5.6627675887690951E-2</v>
      </c>
      <c r="N1551">
        <f>LN(dataset[[#This Row],[soda_units_sold]])</f>
        <v>12.05662671432966</v>
      </c>
      <c r="O1551">
        <f>LN(dataset[[#This Row],[soda_sales]])</f>
        <v>11.696004210857486</v>
      </c>
      <c r="P1551">
        <f>LN(dataset[[#This Row],[soda_ppu]])</f>
        <v>-0.36068296533627114</v>
      </c>
      <c r="Q1551">
        <f>IF(dataset[[#This Row],[state]]="VA",1,0)</f>
        <v>1</v>
      </c>
    </row>
    <row r="1552" spans="1:17" x14ac:dyDescent="0.35">
      <c r="A1552">
        <v>202203</v>
      </c>
      <c r="B1552">
        <v>57</v>
      </c>
      <c r="C1552" s="2">
        <v>2399861.8448999999</v>
      </c>
      <c r="D1552" s="2">
        <v>0.68530000000000002</v>
      </c>
      <c r="E1552" s="3">
        <v>209385</v>
      </c>
      <c r="F1552" s="2">
        <v>143489.598</v>
      </c>
      <c r="G1552" t="s">
        <v>2977</v>
      </c>
      <c r="H1552" t="s">
        <v>3</v>
      </c>
      <c r="I1552">
        <f>HLOOKUP(G1552,zip_tiers!$A$1:$EON$2,2,FALSE)</f>
        <v>70332.333333333328</v>
      </c>
      <c r="J1552" t="str">
        <f t="shared" si="24"/>
        <v>Med</v>
      </c>
      <c r="K1552">
        <f>dataset[[#This Row],[soda_sales]]/dataset[[#This Row],[soda_units_sold]]</f>
        <v>0.68529072283114834</v>
      </c>
      <c r="L1552" s="29">
        <f>dataset[[#This Row],[implied_soda_ppu]]-dataset[[#This Row],[soda_ppu]]</f>
        <v>-9.277168851684614E-6</v>
      </c>
      <c r="M1552">
        <f>dataset[[#This Row],[soda_sales]]/dataset[[#This Row],[total_sales]]</f>
        <v>5.9790774333502966E-2</v>
      </c>
      <c r="N1552">
        <f>LN(dataset[[#This Row],[soda_units_sold]])</f>
        <v>12.251929941614968</v>
      </c>
      <c r="O1552">
        <f>LN(dataset[[#This Row],[soda_sales]])</f>
        <v>11.874017823749567</v>
      </c>
      <c r="P1552">
        <f>LN(dataset[[#This Row],[soda_ppu]])</f>
        <v>-0.37789858039035901</v>
      </c>
      <c r="Q1552">
        <f>IF(dataset[[#This Row],[state]]="VA",1,0)</f>
        <v>1</v>
      </c>
    </row>
    <row r="1553" spans="1:17" x14ac:dyDescent="0.35">
      <c r="A1553">
        <v>202204</v>
      </c>
      <c r="B1553">
        <v>57</v>
      </c>
      <c r="C1553" s="2">
        <v>2496029.8588999999</v>
      </c>
      <c r="D1553" s="2">
        <v>0.69040000000000001</v>
      </c>
      <c r="E1553" s="3">
        <v>238717</v>
      </c>
      <c r="F1553" s="2">
        <v>164803.65229999999</v>
      </c>
      <c r="G1553" t="s">
        <v>2977</v>
      </c>
      <c r="H1553" t="s">
        <v>3</v>
      </c>
      <c r="I1553">
        <f>HLOOKUP(G1553,zip_tiers!$A$1:$EON$2,2,FALSE)</f>
        <v>70332.333333333328</v>
      </c>
      <c r="J1553" t="str">
        <f t="shared" si="24"/>
        <v>Med</v>
      </c>
      <c r="K1553">
        <f>dataset[[#This Row],[soda_sales]]/dataset[[#This Row],[soda_units_sold]]</f>
        <v>0.69037250091112068</v>
      </c>
      <c r="L1553" s="29">
        <f>dataset[[#This Row],[implied_soda_ppu]]-dataset[[#This Row],[soda_ppu]]</f>
        <v>-2.7499088879334721E-5</v>
      </c>
      <c r="M1553">
        <f>dataset[[#This Row],[soda_sales]]/dataset[[#This Row],[total_sales]]</f>
        <v>6.6026314433846128E-2</v>
      </c>
      <c r="N1553">
        <f>LN(dataset[[#This Row],[soda_units_sold]])</f>
        <v>12.383034028894439</v>
      </c>
      <c r="O1553">
        <f>LN(dataset[[#This Row],[soda_sales]])</f>
        <v>12.012510058226498</v>
      </c>
      <c r="P1553">
        <f>LN(dataset[[#This Row],[soda_ppu]])</f>
        <v>-0.37048413921291884</v>
      </c>
      <c r="Q1553">
        <f>IF(dataset[[#This Row],[state]]="VA",1,0)</f>
        <v>1</v>
      </c>
    </row>
    <row r="1554" spans="1:17" x14ac:dyDescent="0.35">
      <c r="A1554">
        <v>202205</v>
      </c>
      <c r="B1554">
        <v>57</v>
      </c>
      <c r="C1554" s="2">
        <v>2581323.5274</v>
      </c>
      <c r="D1554" s="2">
        <v>0.68920000000000003</v>
      </c>
      <c r="E1554" s="3">
        <v>263836</v>
      </c>
      <c r="F1554" s="2">
        <v>181847.9975</v>
      </c>
      <c r="G1554" t="s">
        <v>2977</v>
      </c>
      <c r="H1554" t="s">
        <v>3</v>
      </c>
      <c r="I1554">
        <f>HLOOKUP(G1554,zip_tiers!$A$1:$EON$2,2,FALSE)</f>
        <v>70332.333333333328</v>
      </c>
      <c r="J1554" t="str">
        <f t="shared" si="24"/>
        <v>Med</v>
      </c>
      <c r="K1554">
        <f>dataset[[#This Row],[soda_sales]]/dataset[[#This Row],[soda_units_sold]]</f>
        <v>0.689246340529723</v>
      </c>
      <c r="L1554" s="29">
        <f>dataset[[#This Row],[implied_soda_ppu]]-dataset[[#This Row],[soda_ppu]]</f>
        <v>4.6340529722965762E-5</v>
      </c>
      <c r="M1554">
        <f>dataset[[#This Row],[soda_sales]]/dataset[[#This Row],[total_sales]]</f>
        <v>7.0447580696389386E-2</v>
      </c>
      <c r="N1554">
        <f>LN(dataset[[#This Row],[soda_units_sold]])</f>
        <v>12.483082976975044</v>
      </c>
      <c r="O1554">
        <f>LN(dataset[[#This Row],[soda_sales]])</f>
        <v>12.110926438531573</v>
      </c>
      <c r="P1554">
        <f>LN(dataset[[#This Row],[soda_ppu]])</f>
        <v>-0.37222377432836246</v>
      </c>
      <c r="Q1554">
        <f>IF(dataset[[#This Row],[state]]="VA",1,0)</f>
        <v>1</v>
      </c>
    </row>
    <row r="1555" spans="1:17" x14ac:dyDescent="0.35">
      <c r="A1555">
        <v>202206</v>
      </c>
      <c r="B1555">
        <v>57</v>
      </c>
      <c r="C1555" s="2">
        <v>2521286.1740000001</v>
      </c>
      <c r="D1555" s="2">
        <v>0.69650000000000001</v>
      </c>
      <c r="E1555" s="3">
        <v>277162</v>
      </c>
      <c r="F1555" s="2">
        <v>193047.8303</v>
      </c>
      <c r="G1555" t="s">
        <v>2977</v>
      </c>
      <c r="H1555" t="s">
        <v>3</v>
      </c>
      <c r="I1555">
        <f>HLOOKUP(G1555,zip_tiers!$A$1:$EON$2,2,FALSE)</f>
        <v>70332.333333333328</v>
      </c>
      <c r="J1555" t="str">
        <f t="shared" si="24"/>
        <v>Med</v>
      </c>
      <c r="K1555">
        <f>dataset[[#This Row],[soda_sales]]/dataset[[#This Row],[soda_units_sold]]</f>
        <v>0.69651622625035181</v>
      </c>
      <c r="L1555" s="29">
        <f>dataset[[#This Row],[implied_soda_ppu]]-dataset[[#This Row],[soda_ppu]]</f>
        <v>1.6226250351802918E-5</v>
      </c>
      <c r="M1555">
        <f>dataset[[#This Row],[soda_sales]]/dataset[[#This Row],[total_sales]]</f>
        <v>7.6567202997718894E-2</v>
      </c>
      <c r="N1555">
        <f>LN(dataset[[#This Row],[soda_units_sold]])</f>
        <v>12.532357451763774</v>
      </c>
      <c r="O1555">
        <f>LN(dataset[[#This Row],[soda_sales]])</f>
        <v>12.170693262571985</v>
      </c>
      <c r="P1555">
        <f>LN(dataset[[#This Row],[soda_ppu]])</f>
        <v>-0.36168748576227666</v>
      </c>
      <c r="Q1555">
        <f>IF(dataset[[#This Row],[state]]="VA",1,0)</f>
        <v>1</v>
      </c>
    </row>
    <row r="1556" spans="1:17" x14ac:dyDescent="0.35">
      <c r="A1556">
        <v>202207</v>
      </c>
      <c r="B1556">
        <v>57</v>
      </c>
      <c r="C1556" s="2">
        <v>2334270.0534999999</v>
      </c>
      <c r="D1556" s="2">
        <v>0.68159999999999998</v>
      </c>
      <c r="E1556" s="3">
        <v>287778</v>
      </c>
      <c r="F1556" s="2">
        <v>196160.37659999999</v>
      </c>
      <c r="G1556" t="s">
        <v>2977</v>
      </c>
      <c r="H1556" t="s">
        <v>3</v>
      </c>
      <c r="I1556">
        <f>HLOOKUP(G1556,zip_tiers!$A$1:$EON$2,2,FALSE)</f>
        <v>70332.333333333328</v>
      </c>
      <c r="J1556" t="str">
        <f t="shared" si="24"/>
        <v>Med</v>
      </c>
      <c r="K1556">
        <f>dataset[[#This Row],[soda_sales]]/dataset[[#This Row],[soda_units_sold]]</f>
        <v>0.68163784792444171</v>
      </c>
      <c r="L1556" s="29">
        <f>dataset[[#This Row],[implied_soda_ppu]]-dataset[[#This Row],[soda_ppu]]</f>
        <v>3.7847924441725134E-5</v>
      </c>
      <c r="M1556">
        <f>dataset[[#This Row],[soda_sales]]/dataset[[#This Row],[total_sales]]</f>
        <v>8.4034996853032284E-2</v>
      </c>
      <c r="N1556">
        <f>LN(dataset[[#This Row],[soda_units_sold]])</f>
        <v>12.569944628539975</v>
      </c>
      <c r="O1556">
        <f>LN(dataset[[#This Row],[soda_sales]])</f>
        <v>12.186687851589479</v>
      </c>
      <c r="P1556">
        <f>LN(dataset[[#This Row],[soda_ppu]])</f>
        <v>-0.3833123034670311</v>
      </c>
      <c r="Q1556">
        <f>IF(dataset[[#This Row],[state]]="VA",1,0)</f>
        <v>1</v>
      </c>
    </row>
    <row r="1557" spans="1:17" x14ac:dyDescent="0.35">
      <c r="A1557">
        <v>202208</v>
      </c>
      <c r="B1557">
        <v>57</v>
      </c>
      <c r="C1557" s="2">
        <v>2282291.5447999998</v>
      </c>
      <c r="D1557" s="2">
        <v>0.70130000000000003</v>
      </c>
      <c r="E1557" s="3">
        <v>245822</v>
      </c>
      <c r="F1557" s="2">
        <v>172398.81349999999</v>
      </c>
      <c r="G1557" t="s">
        <v>2977</v>
      </c>
      <c r="H1557" t="s">
        <v>3</v>
      </c>
      <c r="I1557">
        <f>HLOOKUP(G1557,zip_tiers!$A$1:$EON$2,2,FALSE)</f>
        <v>70332.333333333328</v>
      </c>
      <c r="J1557" t="str">
        <f t="shared" si="24"/>
        <v>Med</v>
      </c>
      <c r="K1557">
        <f>dataset[[#This Row],[soda_sales]]/dataset[[#This Row],[soda_units_sold]]</f>
        <v>0.70131564099226262</v>
      </c>
      <c r="L1557" s="29">
        <f>dataset[[#This Row],[implied_soda_ppu]]-dataset[[#This Row],[soda_ppu]]</f>
        <v>1.564099226258886E-5</v>
      </c>
      <c r="M1557">
        <f>dataset[[#This Row],[soda_sales]]/dataset[[#This Row],[total_sales]]</f>
        <v>7.5537594613096434E-2</v>
      </c>
      <c r="N1557">
        <f>LN(dataset[[#This Row],[soda_units_sold]])</f>
        <v>12.412362975770371</v>
      </c>
      <c r="O1557">
        <f>LN(dataset[[#This Row],[soda_sales]])</f>
        <v>12.057565754937468</v>
      </c>
      <c r="P1557">
        <f>LN(dataset[[#This Row],[soda_ppu]])</f>
        <v>-0.35481952343927226</v>
      </c>
      <c r="Q1557">
        <f>IF(dataset[[#This Row],[state]]="VA",1,0)</f>
        <v>1</v>
      </c>
    </row>
    <row r="1558" spans="1:17" x14ac:dyDescent="0.35">
      <c r="A1558">
        <v>202209</v>
      </c>
      <c r="B1558">
        <v>57</v>
      </c>
      <c r="C1558" s="2">
        <v>2217399.0175000001</v>
      </c>
      <c r="D1558" s="2">
        <v>0.69679999999999997</v>
      </c>
      <c r="E1558" s="3">
        <v>234002</v>
      </c>
      <c r="F1558" s="2">
        <v>163044.20209999999</v>
      </c>
      <c r="G1558" t="s">
        <v>2977</v>
      </c>
      <c r="H1558" t="s">
        <v>3</v>
      </c>
      <c r="I1558">
        <f>HLOOKUP(G1558,zip_tiers!$A$1:$EON$2,2,FALSE)</f>
        <v>70332.333333333328</v>
      </c>
      <c r="J1558" t="str">
        <f t="shared" si="24"/>
        <v>Med</v>
      </c>
      <c r="K1558">
        <f>dataset[[#This Row],[soda_sales]]/dataset[[#This Row],[soda_units_sold]]</f>
        <v>0.69676413919539149</v>
      </c>
      <c r="L1558" s="29">
        <f>dataset[[#This Row],[implied_soda_ppu]]-dataset[[#This Row],[soda_ppu]]</f>
        <v>-3.5860804608489616E-5</v>
      </c>
      <c r="M1558">
        <f>dataset[[#This Row],[soda_sales]]/dataset[[#This Row],[total_sales]]</f>
        <v>7.3529482431097901E-2</v>
      </c>
      <c r="N1558">
        <f>LN(dataset[[#This Row],[soda_units_sold]])</f>
        <v>12.363084941311859</v>
      </c>
      <c r="O1558">
        <f>LN(dataset[[#This Row],[soda_sales]])</f>
        <v>12.001776621554257</v>
      </c>
      <c r="P1558">
        <f>LN(dataset[[#This Row],[soda_ppu]])</f>
        <v>-0.36125685344384406</v>
      </c>
      <c r="Q1558">
        <f>IF(dataset[[#This Row],[state]]="VA",1,0)</f>
        <v>1</v>
      </c>
    </row>
    <row r="1559" spans="1:17" x14ac:dyDescent="0.35">
      <c r="A1559">
        <v>202210</v>
      </c>
      <c r="B1559">
        <v>57</v>
      </c>
      <c r="C1559" s="2">
        <v>2769147.753</v>
      </c>
      <c r="D1559" s="2">
        <v>0.68320000000000003</v>
      </c>
      <c r="E1559" s="3">
        <v>232255</v>
      </c>
      <c r="F1559" s="2">
        <v>158676.08230000001</v>
      </c>
      <c r="G1559" t="s">
        <v>2977</v>
      </c>
      <c r="H1559" t="s">
        <v>3</v>
      </c>
      <c r="I1559">
        <f>HLOOKUP(G1559,zip_tiers!$A$1:$EON$2,2,FALSE)</f>
        <v>70332.333333333328</v>
      </c>
      <c r="J1559" t="str">
        <f t="shared" si="24"/>
        <v>Med</v>
      </c>
      <c r="K1559">
        <f>dataset[[#This Row],[soda_sales]]/dataset[[#This Row],[soda_units_sold]]</f>
        <v>0.68319770209468045</v>
      </c>
      <c r="L1559" s="29">
        <f>dataset[[#This Row],[implied_soda_ppu]]-dataset[[#This Row],[soda_ppu]]</f>
        <v>-2.2979053195815169E-6</v>
      </c>
      <c r="M1559">
        <f>dataset[[#This Row],[soda_sales]]/dataset[[#This Row],[total_sales]]</f>
        <v>5.7301414172680303E-2</v>
      </c>
      <c r="N1559">
        <f>LN(dataset[[#This Row],[soda_units_sold]])</f>
        <v>12.355591184969645</v>
      </c>
      <c r="O1559">
        <f>LN(dataset[[#This Row],[soda_sales]])</f>
        <v>11.974620185011657</v>
      </c>
      <c r="P1559">
        <f>LN(dataset[[#This Row],[soda_ppu]])</f>
        <v>-0.38096763650777687</v>
      </c>
      <c r="Q1559">
        <f>IF(dataset[[#This Row],[state]]="VA",1,0)</f>
        <v>1</v>
      </c>
    </row>
    <row r="1560" spans="1:17" x14ac:dyDescent="0.35">
      <c r="A1560">
        <v>202211</v>
      </c>
      <c r="B1560">
        <v>57</v>
      </c>
      <c r="C1560" s="2">
        <v>3082069.4303000001</v>
      </c>
      <c r="D1560" s="2">
        <v>0.6905</v>
      </c>
      <c r="E1560" s="3">
        <v>213120</v>
      </c>
      <c r="F1560" s="2">
        <v>147155.24739999999</v>
      </c>
      <c r="G1560" t="s">
        <v>2977</v>
      </c>
      <c r="H1560" t="s">
        <v>3</v>
      </c>
      <c r="I1560">
        <f>HLOOKUP(G1560,zip_tiers!$A$1:$EON$2,2,FALSE)</f>
        <v>70332.333333333328</v>
      </c>
      <c r="J1560" t="str">
        <f t="shared" si="24"/>
        <v>Med</v>
      </c>
      <c r="K1560">
        <f>dataset[[#This Row],[soda_sales]]/dataset[[#This Row],[soda_units_sold]]</f>
        <v>0.69048070289039032</v>
      </c>
      <c r="L1560" s="29">
        <f>dataset[[#This Row],[implied_soda_ppu]]-dataset[[#This Row],[soda_ppu]]</f>
        <v>-1.9297109609683893E-5</v>
      </c>
      <c r="M1560">
        <f>dataset[[#This Row],[soda_sales]]/dataset[[#This Row],[total_sales]]</f>
        <v>4.7745597796502691E-2</v>
      </c>
      <c r="N1560">
        <f>LN(dataset[[#This Row],[soda_units_sold]])</f>
        <v>12.269610666334161</v>
      </c>
      <c r="O1560">
        <f>LN(dataset[[#This Row],[soda_sales]])</f>
        <v>11.899243413236478</v>
      </c>
      <c r="P1560">
        <f>LN(dataset[[#This Row],[soda_ppu]])</f>
        <v>-0.37033930613279026</v>
      </c>
      <c r="Q1560">
        <f>IF(dataset[[#This Row],[state]]="VA",1,0)</f>
        <v>1</v>
      </c>
    </row>
    <row r="1561" spans="1:17" x14ac:dyDescent="0.35">
      <c r="A1561">
        <v>202212</v>
      </c>
      <c r="B1561">
        <v>57</v>
      </c>
      <c r="C1561" s="2">
        <v>3258063.1647999999</v>
      </c>
      <c r="D1561" s="2">
        <v>0.68830000000000002</v>
      </c>
      <c r="E1561" s="3">
        <v>213054</v>
      </c>
      <c r="F1561" s="2">
        <v>146655.2795</v>
      </c>
      <c r="G1561" t="s">
        <v>2977</v>
      </c>
      <c r="H1561" t="s">
        <v>3</v>
      </c>
      <c r="I1561">
        <f>HLOOKUP(G1561,zip_tiers!$A$1:$EON$2,2,FALSE)</f>
        <v>70332.333333333328</v>
      </c>
      <c r="J1561" t="str">
        <f t="shared" si="24"/>
        <v>Med</v>
      </c>
      <c r="K1561">
        <f>dataset[[#This Row],[soda_sales]]/dataset[[#This Row],[soda_units_sold]]</f>
        <v>0.68834792822476931</v>
      </c>
      <c r="L1561" s="29">
        <f>dataset[[#This Row],[implied_soda_ppu]]-dataset[[#This Row],[soda_ppu]]</f>
        <v>4.7928224769289152E-5</v>
      </c>
      <c r="M1561">
        <f>dataset[[#This Row],[soda_sales]]/dataset[[#This Row],[total_sales]]</f>
        <v>4.5013025249006369E-2</v>
      </c>
      <c r="N1561">
        <f>LN(dataset[[#This Row],[soda_units_sold]])</f>
        <v>12.269300933687273</v>
      </c>
      <c r="O1561">
        <f>LN(dataset[[#This Row],[soda_sales]])</f>
        <v>11.895840074439484</v>
      </c>
      <c r="P1561">
        <f>LN(dataset[[#This Row],[soda_ppu]])</f>
        <v>-0.37353048957781854</v>
      </c>
      <c r="Q1561">
        <f>IF(dataset[[#This Row],[state]]="VA",1,0)</f>
        <v>1</v>
      </c>
    </row>
    <row r="1562" spans="1:17" x14ac:dyDescent="0.35">
      <c r="A1562">
        <v>202301</v>
      </c>
      <c r="B1562">
        <v>57</v>
      </c>
      <c r="C1562" s="2">
        <v>1842223.2397</v>
      </c>
      <c r="D1562" s="2">
        <v>0.72209999999999996</v>
      </c>
      <c r="E1562" s="3">
        <v>147769</v>
      </c>
      <c r="F1562" s="2">
        <v>106702.10490000001</v>
      </c>
      <c r="G1562" t="s">
        <v>2977</v>
      </c>
      <c r="H1562" t="s">
        <v>3</v>
      </c>
      <c r="I1562">
        <f>HLOOKUP(G1562,zip_tiers!$A$1:$EON$2,2,FALSE)</f>
        <v>70332.333333333328</v>
      </c>
      <c r="J1562" t="str">
        <f t="shared" si="24"/>
        <v>Med</v>
      </c>
      <c r="K1562">
        <f>dataset[[#This Row],[soda_sales]]/dataset[[#This Row],[soda_units_sold]]</f>
        <v>0.72208720976659524</v>
      </c>
      <c r="L1562" s="29">
        <f>dataset[[#This Row],[implied_soda_ppu]]-dataset[[#This Row],[soda_ppu]]</f>
        <v>-1.2790233404724738E-5</v>
      </c>
      <c r="M1562">
        <f>dataset[[#This Row],[soda_sales]]/dataset[[#This Row],[total_sales]]</f>
        <v>5.792029033211854E-2</v>
      </c>
      <c r="N1562">
        <f>LN(dataset[[#This Row],[soda_units_sold]])</f>
        <v>11.903405522601316</v>
      </c>
      <c r="O1562">
        <f>LN(dataset[[#This Row],[soda_sales]])</f>
        <v>11.577796164367992</v>
      </c>
      <c r="P1562">
        <f>LN(dataset[[#This Row],[soda_ppu]])</f>
        <v>-0.32559164552500114</v>
      </c>
      <c r="Q1562">
        <f>IF(dataset[[#This Row],[state]]="VA",1,0)</f>
        <v>1</v>
      </c>
    </row>
    <row r="1563" spans="1:17" x14ac:dyDescent="0.35">
      <c r="A1563">
        <v>202302</v>
      </c>
      <c r="B1563">
        <v>57</v>
      </c>
      <c r="C1563" s="2">
        <v>2150605.5482000001</v>
      </c>
      <c r="D1563" s="2">
        <v>0.72160000000000002</v>
      </c>
      <c r="E1563" s="3">
        <v>171905</v>
      </c>
      <c r="F1563" s="2">
        <v>124049.42509999999</v>
      </c>
      <c r="G1563" t="s">
        <v>2977</v>
      </c>
      <c r="H1563" t="s">
        <v>3</v>
      </c>
      <c r="I1563">
        <f>HLOOKUP(G1563,zip_tiers!$A$1:$EON$2,2,FALSE)</f>
        <v>70332.333333333328</v>
      </c>
      <c r="J1563" t="str">
        <f t="shared" si="24"/>
        <v>Med</v>
      </c>
      <c r="K1563">
        <f>dataset[[#This Row],[soda_sales]]/dataset[[#This Row],[soda_units_sold]]</f>
        <v>0.72161615485297104</v>
      </c>
      <c r="L1563" s="29">
        <f>dataset[[#This Row],[implied_soda_ppu]]-dataset[[#This Row],[soda_ppu]]</f>
        <v>1.6154852971017597E-5</v>
      </c>
      <c r="M1563">
        <f>dataset[[#This Row],[soda_sales]]/dataset[[#This Row],[total_sales]]</f>
        <v>5.7681161105450546E-2</v>
      </c>
      <c r="N1563">
        <f>LN(dataset[[#This Row],[soda_units_sold]])</f>
        <v>12.054697277626232</v>
      </c>
      <c r="O1563">
        <f>LN(dataset[[#This Row],[soda_sales]])</f>
        <v>11.728435354687603</v>
      </c>
      <c r="P1563">
        <f>LN(dataset[[#This Row],[soda_ppu]])</f>
        <v>-0.32628431023372312</v>
      </c>
      <c r="Q1563">
        <f>IF(dataset[[#This Row],[state]]="VA",1,0)</f>
        <v>1</v>
      </c>
    </row>
    <row r="1564" spans="1:17" x14ac:dyDescent="0.35">
      <c r="A1564">
        <v>202303</v>
      </c>
      <c r="B1564">
        <v>57</v>
      </c>
      <c r="C1564" s="2">
        <v>2380241.1002000002</v>
      </c>
      <c r="D1564" s="2">
        <v>0.70579999999999998</v>
      </c>
      <c r="E1564" s="3">
        <v>205461</v>
      </c>
      <c r="F1564" s="2">
        <v>145013.3677</v>
      </c>
      <c r="G1564" t="s">
        <v>2977</v>
      </c>
      <c r="H1564" t="s">
        <v>3</v>
      </c>
      <c r="I1564">
        <f>HLOOKUP(G1564,zip_tiers!$A$1:$EON$2,2,FALSE)</f>
        <v>70332.333333333328</v>
      </c>
      <c r="J1564" t="str">
        <f t="shared" si="24"/>
        <v>Med</v>
      </c>
      <c r="K1564">
        <f>dataset[[#This Row],[soda_sales]]/dataset[[#This Row],[soda_units_sold]]</f>
        <v>0.70579510320693462</v>
      </c>
      <c r="L1564" s="29">
        <f>dataset[[#This Row],[implied_soda_ppu]]-dataset[[#This Row],[soda_ppu]]</f>
        <v>-4.8967930653676106E-6</v>
      </c>
      <c r="M1564">
        <f>dataset[[#This Row],[soda_sales]]/dataset[[#This Row],[total_sales]]</f>
        <v>6.0923814687434491E-2</v>
      </c>
      <c r="N1564">
        <f>LN(dataset[[#This Row],[soda_units_sold]])</f>
        <v>12.233011513885831</v>
      </c>
      <c r="O1564">
        <f>LN(dataset[[#This Row],[soda_sales]])</f>
        <v>11.884581208187862</v>
      </c>
      <c r="P1564">
        <f>LN(dataset[[#This Row],[soda_ppu]])</f>
        <v>-0.34842336774096738</v>
      </c>
      <c r="Q1564">
        <f>IF(dataset[[#This Row],[state]]="VA",1,0)</f>
        <v>1</v>
      </c>
    </row>
    <row r="1565" spans="1:17" x14ac:dyDescent="0.35">
      <c r="A1565">
        <v>202304</v>
      </c>
      <c r="B1565">
        <v>57</v>
      </c>
      <c r="C1565" s="2">
        <v>2524625.9761999999</v>
      </c>
      <c r="D1565" s="2">
        <v>0.71850000000000003</v>
      </c>
      <c r="E1565" s="3">
        <v>235281</v>
      </c>
      <c r="F1565" s="2">
        <v>169047.54199999999</v>
      </c>
      <c r="G1565" t="s">
        <v>2977</v>
      </c>
      <c r="H1565" t="s">
        <v>3</v>
      </c>
      <c r="I1565">
        <f>HLOOKUP(G1565,zip_tiers!$A$1:$EON$2,2,FALSE)</f>
        <v>70332.333333333328</v>
      </c>
      <c r="J1565" t="str">
        <f t="shared" si="24"/>
        <v>Med</v>
      </c>
      <c r="K1565">
        <f>dataset[[#This Row],[soda_sales]]/dataset[[#This Row],[soda_units_sold]]</f>
        <v>0.718492109435101</v>
      </c>
      <c r="L1565" s="29">
        <f>dataset[[#This Row],[implied_soda_ppu]]-dataset[[#This Row],[soda_ppu]]</f>
        <v>-7.8905648990268418E-6</v>
      </c>
      <c r="M1565">
        <f>dataset[[#This Row],[soda_sales]]/dataset[[#This Row],[total_sales]]</f>
        <v>6.6959440168022771E-2</v>
      </c>
      <c r="N1565">
        <f>LN(dataset[[#This Row],[soda_units_sold]])</f>
        <v>12.368535823473859</v>
      </c>
      <c r="O1565">
        <f>LN(dataset[[#This Row],[soda_sales]])</f>
        <v>12.037935267953424</v>
      </c>
      <c r="P1565">
        <f>LN(dataset[[#This Row],[soda_ppu]])</f>
        <v>-0.3305895734630574</v>
      </c>
      <c r="Q1565">
        <f>IF(dataset[[#This Row],[state]]="VA",1,0)</f>
        <v>1</v>
      </c>
    </row>
    <row r="1566" spans="1:17" x14ac:dyDescent="0.35">
      <c r="A1566">
        <v>202305</v>
      </c>
      <c r="B1566">
        <v>57</v>
      </c>
      <c r="C1566" s="2">
        <v>2640973.7354000001</v>
      </c>
      <c r="D1566" s="2">
        <v>0.70089999999999997</v>
      </c>
      <c r="E1566" s="3">
        <v>261367</v>
      </c>
      <c r="F1566" s="2">
        <v>183186.0037</v>
      </c>
      <c r="G1566" t="s">
        <v>2977</v>
      </c>
      <c r="H1566" t="s">
        <v>3</v>
      </c>
      <c r="I1566">
        <f>HLOOKUP(G1566,zip_tiers!$A$1:$EON$2,2,FALSE)</f>
        <v>70332.333333333328</v>
      </c>
      <c r="J1566" t="str">
        <f t="shared" si="24"/>
        <v>Med</v>
      </c>
      <c r="K1566">
        <f>dataset[[#This Row],[soda_sales]]/dataset[[#This Row],[soda_units_sold]]</f>
        <v>0.70087655939732252</v>
      </c>
      <c r="L1566" s="29">
        <f>dataset[[#This Row],[implied_soda_ppu]]-dataset[[#This Row],[soda_ppu]]</f>
        <v>-2.3440602677449185E-5</v>
      </c>
      <c r="M1566">
        <f>dataset[[#This Row],[soda_sales]]/dataset[[#This Row],[total_sales]]</f>
        <v>6.9363053954133613E-2</v>
      </c>
      <c r="N1566">
        <f>LN(dataset[[#This Row],[soda_units_sold]])</f>
        <v>12.473680828897622</v>
      </c>
      <c r="O1566">
        <f>LN(dataset[[#This Row],[soda_sales]])</f>
        <v>12.118257329286147</v>
      </c>
      <c r="P1566">
        <f>LN(dataset[[#This Row],[soda_ppu]])</f>
        <v>-0.355390055475858</v>
      </c>
      <c r="Q1566">
        <f>IF(dataset[[#This Row],[state]]="VA",1,0)</f>
        <v>1</v>
      </c>
    </row>
    <row r="1567" spans="1:17" x14ac:dyDescent="0.35">
      <c r="A1567">
        <v>202306</v>
      </c>
      <c r="B1567">
        <v>57</v>
      </c>
      <c r="C1567" s="2">
        <v>2544421.4325999999</v>
      </c>
      <c r="D1567" s="2">
        <v>0.71299999999999997</v>
      </c>
      <c r="E1567" s="3">
        <v>267278</v>
      </c>
      <c r="F1567" s="2">
        <v>190575.696</v>
      </c>
      <c r="G1567" t="s">
        <v>2977</v>
      </c>
      <c r="H1567" t="s">
        <v>3</v>
      </c>
      <c r="I1567">
        <f>HLOOKUP(G1567,zip_tiers!$A$1:$EON$2,2,FALSE)</f>
        <v>70332.333333333328</v>
      </c>
      <c r="J1567" t="str">
        <f t="shared" si="24"/>
        <v>Med</v>
      </c>
      <c r="K1567">
        <f>dataset[[#This Row],[soda_sales]]/dataset[[#This Row],[soda_units_sold]]</f>
        <v>0.71302425190251351</v>
      </c>
      <c r="L1567" s="29">
        <f>dataset[[#This Row],[implied_soda_ppu]]-dataset[[#This Row],[soda_ppu]]</f>
        <v>2.4251902513539036E-5</v>
      </c>
      <c r="M1567">
        <f>dataset[[#This Row],[soda_sales]]/dataset[[#This Row],[total_sales]]</f>
        <v>7.4899422539945165E-2</v>
      </c>
      <c r="N1567">
        <f>LN(dataset[[#This Row],[soda_units_sold]])</f>
        <v>12.496044594213059</v>
      </c>
      <c r="O1567">
        <f>LN(dataset[[#This Row],[soda_sales]])</f>
        <v>12.157804748955275</v>
      </c>
      <c r="P1567">
        <f>LN(dataset[[#This Row],[soda_ppu]])</f>
        <v>-0.33827385856784115</v>
      </c>
      <c r="Q1567">
        <f>IF(dataset[[#This Row],[state]]="VA",1,0)</f>
        <v>1</v>
      </c>
    </row>
    <row r="1568" spans="1:17" x14ac:dyDescent="0.35">
      <c r="A1568">
        <v>202307</v>
      </c>
      <c r="B1568">
        <v>57</v>
      </c>
      <c r="C1568" s="2">
        <v>2378464.5839</v>
      </c>
      <c r="D1568" s="2">
        <v>0.70379999999999998</v>
      </c>
      <c r="E1568" s="3">
        <v>276972</v>
      </c>
      <c r="F1568" s="2">
        <v>194933.8008</v>
      </c>
      <c r="G1568" t="s">
        <v>2977</v>
      </c>
      <c r="H1568" t="s">
        <v>3</v>
      </c>
      <c r="I1568">
        <f>HLOOKUP(G1568,zip_tiers!$A$1:$EON$2,2,FALSE)</f>
        <v>70332.333333333328</v>
      </c>
      <c r="J1568" t="str">
        <f t="shared" si="24"/>
        <v>Med</v>
      </c>
      <c r="K1568">
        <f>dataset[[#This Row],[soda_sales]]/dataset[[#This Row],[soda_units_sold]]</f>
        <v>0.70380327542134224</v>
      </c>
      <c r="L1568" s="29">
        <f>dataset[[#This Row],[implied_soda_ppu]]-dataset[[#This Row],[soda_ppu]]</f>
        <v>3.2754213422636624E-6</v>
      </c>
      <c r="M1568">
        <f>dataset[[#This Row],[soda_sales]]/dataset[[#This Row],[total_sales]]</f>
        <v>8.1957832006211526E-2</v>
      </c>
      <c r="N1568">
        <f>LN(dataset[[#This Row],[soda_units_sold]])</f>
        <v>12.53167169702775</v>
      </c>
      <c r="O1568">
        <f>LN(dataset[[#This Row],[soda_sales]])</f>
        <v>12.180415296831535</v>
      </c>
      <c r="P1568">
        <f>LN(dataset[[#This Row],[soda_ppu]])</f>
        <v>-0.3512610540946523</v>
      </c>
      <c r="Q1568">
        <f>IF(dataset[[#This Row],[state]]="VA",1,0)</f>
        <v>1</v>
      </c>
    </row>
    <row r="1569" spans="1:17" x14ac:dyDescent="0.35">
      <c r="A1569">
        <v>202308</v>
      </c>
      <c r="B1569">
        <v>57</v>
      </c>
      <c r="C1569" s="2">
        <v>2243343.3870999999</v>
      </c>
      <c r="D1569" s="2">
        <v>0.70199999999999996</v>
      </c>
      <c r="E1569" s="3">
        <v>241944</v>
      </c>
      <c r="F1569" s="2">
        <v>169841.20110000001</v>
      </c>
      <c r="G1569" t="s">
        <v>2977</v>
      </c>
      <c r="H1569" t="s">
        <v>3</v>
      </c>
      <c r="I1569">
        <f>HLOOKUP(G1569,zip_tiers!$A$1:$EON$2,2,FALSE)</f>
        <v>70332.333333333328</v>
      </c>
      <c r="J1569" t="str">
        <f t="shared" si="24"/>
        <v>Med</v>
      </c>
      <c r="K1569">
        <f>dataset[[#This Row],[soda_sales]]/dataset[[#This Row],[soda_units_sold]]</f>
        <v>0.70198558798730282</v>
      </c>
      <c r="L1569" s="29">
        <f>dataset[[#This Row],[implied_soda_ppu]]-dataset[[#This Row],[soda_ppu]]</f>
        <v>-1.441201269714032E-5</v>
      </c>
      <c r="M1569">
        <f>dataset[[#This Row],[soda_sales]]/dataset[[#This Row],[total_sales]]</f>
        <v>7.5708962826041531E-2</v>
      </c>
      <c r="N1569">
        <f>LN(dataset[[#This Row],[soda_units_sold]])</f>
        <v>12.396461573401886</v>
      </c>
      <c r="O1569">
        <f>LN(dataset[[#This Row],[soda_sales]])</f>
        <v>12.042619168302203</v>
      </c>
      <c r="P1569">
        <f>LN(dataset[[#This Row],[soda_ppu]])</f>
        <v>-0.353821874956326</v>
      </c>
      <c r="Q1569">
        <f>IF(dataset[[#This Row],[state]]="VA",1,0)</f>
        <v>1</v>
      </c>
    </row>
    <row r="1570" spans="1:17" x14ac:dyDescent="0.35">
      <c r="A1570">
        <v>202309</v>
      </c>
      <c r="B1570">
        <v>57</v>
      </c>
      <c r="C1570" s="2">
        <v>2300377.9874999998</v>
      </c>
      <c r="D1570" s="2">
        <v>0.71319999999999995</v>
      </c>
      <c r="E1570" s="3">
        <v>235464</v>
      </c>
      <c r="F1570" s="2">
        <v>167924.61970000001</v>
      </c>
      <c r="G1570" t="s">
        <v>2977</v>
      </c>
      <c r="H1570" t="s">
        <v>3</v>
      </c>
      <c r="I1570">
        <f>HLOOKUP(G1570,zip_tiers!$A$1:$EON$2,2,FALSE)</f>
        <v>70332.333333333328</v>
      </c>
      <c r="J1570" t="str">
        <f t="shared" si="24"/>
        <v>Med</v>
      </c>
      <c r="K1570">
        <f>dataset[[#This Row],[soda_sales]]/dataset[[#This Row],[soda_units_sold]]</f>
        <v>0.71316472879081305</v>
      </c>
      <c r="L1570" s="29">
        <f>dataset[[#This Row],[implied_soda_ppu]]-dataset[[#This Row],[soda_ppu]]</f>
        <v>-3.5271209186893415E-5</v>
      </c>
      <c r="M1570">
        <f>dataset[[#This Row],[soda_sales]]/dataset[[#This Row],[total_sales]]</f>
        <v>7.2998707435249277E-2</v>
      </c>
      <c r="N1570">
        <f>LN(dataset[[#This Row],[soda_units_sold]])</f>
        <v>12.369313314511336</v>
      </c>
      <c r="O1570">
        <f>LN(dataset[[#This Row],[soda_sales]])</f>
        <v>12.031270465430998</v>
      </c>
      <c r="P1570">
        <f>LN(dataset[[#This Row],[soda_ppu]])</f>
        <v>-0.33799339299315179</v>
      </c>
      <c r="Q1570">
        <f>IF(dataset[[#This Row],[state]]="VA",1,0)</f>
        <v>1</v>
      </c>
    </row>
    <row r="1571" spans="1:17" x14ac:dyDescent="0.35">
      <c r="A1571">
        <v>202310</v>
      </c>
      <c r="B1571">
        <v>57</v>
      </c>
      <c r="C1571" s="2">
        <v>2839179.2653999999</v>
      </c>
      <c r="D1571" s="2">
        <v>0.7056</v>
      </c>
      <c r="E1571" s="3">
        <v>226494</v>
      </c>
      <c r="F1571" s="2">
        <v>159818.8517</v>
      </c>
      <c r="G1571" t="s">
        <v>2977</v>
      </c>
      <c r="H1571" t="s">
        <v>3</v>
      </c>
      <c r="I1571">
        <f>HLOOKUP(G1571,zip_tiers!$A$1:$EON$2,2,FALSE)</f>
        <v>70332.333333333328</v>
      </c>
      <c r="J1571" t="str">
        <f t="shared" si="24"/>
        <v>Med</v>
      </c>
      <c r="K1571">
        <f>dataset[[#This Row],[soda_sales]]/dataset[[#This Row],[soda_units_sold]]</f>
        <v>0.70562068619919294</v>
      </c>
      <c r="L1571" s="29">
        <f>dataset[[#This Row],[implied_soda_ppu]]-dataset[[#This Row],[soda_ppu]]</f>
        <v>2.0686199192931909E-5</v>
      </c>
      <c r="M1571">
        <f>dataset[[#This Row],[soda_sales]]/dataset[[#This Row],[total_sales]]</f>
        <v>5.6290511010576784E-2</v>
      </c>
      <c r="N1571">
        <f>LN(dataset[[#This Row],[soda_units_sold]])</f>
        <v>12.330473733488132</v>
      </c>
      <c r="O1571">
        <f>LN(dataset[[#This Row],[soda_sales]])</f>
        <v>11.981796275944564</v>
      </c>
      <c r="P1571">
        <f>LN(dataset[[#This Row],[soda_ppu]])</f>
        <v>-0.34870677428955549</v>
      </c>
      <c r="Q1571">
        <f>IF(dataset[[#This Row],[state]]="VA",1,0)</f>
        <v>1</v>
      </c>
    </row>
    <row r="1572" spans="1:17" x14ac:dyDescent="0.35">
      <c r="A1572">
        <v>202311</v>
      </c>
      <c r="B1572">
        <v>57</v>
      </c>
      <c r="C1572" s="2">
        <v>3159660.2980999998</v>
      </c>
      <c r="D1572" s="2">
        <v>0.71509999999999996</v>
      </c>
      <c r="E1572" s="3">
        <v>210892</v>
      </c>
      <c r="F1572" s="2">
        <v>150804.2041</v>
      </c>
      <c r="G1572" t="s">
        <v>2977</v>
      </c>
      <c r="H1572" t="s">
        <v>3</v>
      </c>
      <c r="I1572">
        <f>HLOOKUP(G1572,zip_tiers!$A$1:$EON$2,2,FALSE)</f>
        <v>70332.333333333328</v>
      </c>
      <c r="J1572" t="str">
        <f t="shared" si="24"/>
        <v>Med</v>
      </c>
      <c r="K1572">
        <f>dataset[[#This Row],[soda_sales]]/dataset[[#This Row],[soda_units_sold]]</f>
        <v>0.71507787919883159</v>
      </c>
      <c r="L1572" s="29">
        <f>dataset[[#This Row],[implied_soda_ppu]]-dataset[[#This Row],[soda_ppu]]</f>
        <v>-2.2120801168368232E-5</v>
      </c>
      <c r="M1572">
        <f>dataset[[#This Row],[soda_sales]]/dataset[[#This Row],[total_sales]]</f>
        <v>4.7727980185301305E-2</v>
      </c>
      <c r="N1572">
        <f>LN(dataset[[#This Row],[soda_units_sold]])</f>
        <v>12.259101433077893</v>
      </c>
      <c r="O1572">
        <f>LN(dataset[[#This Row],[soda_sales]])</f>
        <v>11.923737612814605</v>
      </c>
      <c r="P1572">
        <f>LN(dataset[[#This Row],[soda_ppu]])</f>
        <v>-0.33533288592778687</v>
      </c>
      <c r="Q1572">
        <f>IF(dataset[[#This Row],[state]]="VA",1,0)</f>
        <v>1</v>
      </c>
    </row>
    <row r="1573" spans="1:17" x14ac:dyDescent="0.35">
      <c r="A1573">
        <v>202312</v>
      </c>
      <c r="B1573">
        <v>57</v>
      </c>
      <c r="C1573" s="2">
        <v>3374980.6422999999</v>
      </c>
      <c r="D1573" s="2">
        <v>0.70289999999999997</v>
      </c>
      <c r="E1573" s="3">
        <v>219703</v>
      </c>
      <c r="F1573" s="2">
        <v>154435.2064</v>
      </c>
      <c r="G1573" t="s">
        <v>2977</v>
      </c>
      <c r="H1573" t="s">
        <v>3</v>
      </c>
      <c r="I1573">
        <f>HLOOKUP(G1573,zip_tiers!$A$1:$EON$2,2,FALSE)</f>
        <v>70332.333333333328</v>
      </c>
      <c r="J1573" t="str">
        <f t="shared" si="24"/>
        <v>Med</v>
      </c>
      <c r="K1573">
        <f>dataset[[#This Row],[soda_sales]]/dataset[[#This Row],[soda_units_sold]]</f>
        <v>0.70292716257857191</v>
      </c>
      <c r="L1573" s="29">
        <f>dataset[[#This Row],[implied_soda_ppu]]-dataset[[#This Row],[soda_ppu]]</f>
        <v>2.7162578571937601E-5</v>
      </c>
      <c r="M1573">
        <f>dataset[[#This Row],[soda_sales]]/dataset[[#This Row],[total_sales]]</f>
        <v>4.57588421291669E-2</v>
      </c>
      <c r="N1573">
        <f>LN(dataset[[#This Row],[soda_units_sold]])</f>
        <v>12.300031913263542</v>
      </c>
      <c r="O1573">
        <f>LN(dataset[[#This Row],[soda_sales]])</f>
        <v>11.947529911305427</v>
      </c>
      <c r="P1573">
        <f>LN(dataset[[#This Row],[soda_ppu]])</f>
        <v>-0.35254064480027741</v>
      </c>
      <c r="Q1573">
        <f>IF(dataset[[#This Row],[state]]="VA",1,0)</f>
        <v>1</v>
      </c>
    </row>
    <row r="1574" spans="1:17" x14ac:dyDescent="0.35">
      <c r="A1574">
        <v>202401</v>
      </c>
      <c r="B1574">
        <v>57</v>
      </c>
      <c r="C1574" s="2">
        <v>1893354.1225999999</v>
      </c>
      <c r="D1574" s="2">
        <v>0.74039999999999995</v>
      </c>
      <c r="E1574" s="3">
        <v>143106</v>
      </c>
      <c r="F1574" s="2">
        <v>105959.5637</v>
      </c>
      <c r="G1574" t="s">
        <v>2977</v>
      </c>
      <c r="H1574" t="s">
        <v>3</v>
      </c>
      <c r="I1574">
        <f>HLOOKUP(G1574,zip_tiers!$A$1:$EON$2,2,FALSE)</f>
        <v>70332.333333333328</v>
      </c>
      <c r="J1574" t="str">
        <f t="shared" si="24"/>
        <v>Med</v>
      </c>
      <c r="K1574">
        <f>dataset[[#This Row],[soda_sales]]/dataset[[#This Row],[soda_units_sold]]</f>
        <v>0.74042712185373083</v>
      </c>
      <c r="L1574" s="29">
        <f>dataset[[#This Row],[implied_soda_ppu]]-dataset[[#This Row],[soda_ppu]]</f>
        <v>2.7121853730882606E-5</v>
      </c>
      <c r="M1574">
        <f>dataset[[#This Row],[soda_sales]]/dataset[[#This Row],[total_sales]]</f>
        <v>5.5963943794356735E-2</v>
      </c>
      <c r="N1574">
        <f>LN(dataset[[#This Row],[soda_units_sold]])</f>
        <v>11.871340893386732</v>
      </c>
      <c r="O1574">
        <f>LN(dataset[[#This Row],[soda_sales]])</f>
        <v>11.570812825785985</v>
      </c>
      <c r="P1574">
        <f>LN(dataset[[#This Row],[soda_ppu]])</f>
        <v>-0.3005646982827947</v>
      </c>
      <c r="Q1574">
        <f>IF(dataset[[#This Row],[state]]="VA",1,0)</f>
        <v>1</v>
      </c>
    </row>
    <row r="1575" spans="1:17" x14ac:dyDescent="0.35">
      <c r="A1575">
        <v>202402</v>
      </c>
      <c r="B1575">
        <v>57</v>
      </c>
      <c r="C1575" s="2">
        <v>2187757.0499999998</v>
      </c>
      <c r="D1575" s="2">
        <v>0.71379999999999999</v>
      </c>
      <c r="E1575" s="3">
        <v>175617</v>
      </c>
      <c r="F1575" s="2">
        <v>125358.07709999999</v>
      </c>
      <c r="G1575" t="s">
        <v>2977</v>
      </c>
      <c r="H1575" t="s">
        <v>3</v>
      </c>
      <c r="I1575">
        <f>HLOOKUP(G1575,zip_tiers!$A$1:$EON$2,2,FALSE)</f>
        <v>70332.333333333328</v>
      </c>
      <c r="J1575" t="str">
        <f t="shared" si="24"/>
        <v>Med</v>
      </c>
      <c r="K1575">
        <f>dataset[[#This Row],[soda_sales]]/dataset[[#This Row],[soda_units_sold]]</f>
        <v>0.71381516083294894</v>
      </c>
      <c r="L1575" s="29">
        <f>dataset[[#This Row],[implied_soda_ppu]]-dataset[[#This Row],[soda_ppu]]</f>
        <v>1.5160832948946101E-5</v>
      </c>
      <c r="M1575">
        <f>dataset[[#This Row],[soda_sales]]/dataset[[#This Row],[total_sales]]</f>
        <v>5.7299816311870644E-2</v>
      </c>
      <c r="N1575">
        <f>LN(dataset[[#This Row],[soda_units_sold]])</f>
        <v>12.076060766431219</v>
      </c>
      <c r="O1575">
        <f>LN(dataset[[#This Row],[soda_sales]])</f>
        <v>11.738929537888646</v>
      </c>
      <c r="P1575">
        <f>LN(dataset[[#This Row],[soda_ppu]])</f>
        <v>-0.33715246792607712</v>
      </c>
      <c r="Q1575">
        <f>IF(dataset[[#This Row],[state]]="VA",1,0)</f>
        <v>1</v>
      </c>
    </row>
    <row r="1576" spans="1:17" x14ac:dyDescent="0.35">
      <c r="A1576">
        <v>202403</v>
      </c>
      <c r="B1576">
        <v>57</v>
      </c>
      <c r="C1576" s="2">
        <v>2436474.1666000001</v>
      </c>
      <c r="D1576" s="2">
        <v>0.72060000000000002</v>
      </c>
      <c r="E1576" s="3">
        <v>205173</v>
      </c>
      <c r="F1576" s="2">
        <v>147840.67920000001</v>
      </c>
      <c r="G1576" t="s">
        <v>2977</v>
      </c>
      <c r="H1576" t="s">
        <v>3</v>
      </c>
      <c r="I1576">
        <f>HLOOKUP(G1576,zip_tiers!$A$1:$EON$2,2,FALSE)</f>
        <v>70332.333333333328</v>
      </c>
      <c r="J1576" t="str">
        <f t="shared" si="24"/>
        <v>Med</v>
      </c>
      <c r="K1576">
        <f>dataset[[#This Row],[soda_sales]]/dataset[[#This Row],[soda_units_sold]]</f>
        <v>0.72056595750902908</v>
      </c>
      <c r="L1576" s="29">
        <f>dataset[[#This Row],[implied_soda_ppu]]-dataset[[#This Row],[soda_ppu]]</f>
        <v>-3.4042490970942474E-5</v>
      </c>
      <c r="M1576">
        <f>dataset[[#This Row],[soda_sales]]/dataset[[#This Row],[total_sales]]</f>
        <v>6.0678123013430355E-2</v>
      </c>
      <c r="N1576">
        <f>LN(dataset[[#This Row],[soda_units_sold]])</f>
        <v>12.231608804674114</v>
      </c>
      <c r="O1576">
        <f>LN(dataset[[#This Row],[soda_sales]])</f>
        <v>11.903890481020802</v>
      </c>
      <c r="P1576">
        <f>LN(dataset[[#This Row],[soda_ppu]])</f>
        <v>-0.32767108066814415</v>
      </c>
      <c r="Q1576">
        <f>IF(dataset[[#This Row],[state]]="VA",1,0)</f>
        <v>1</v>
      </c>
    </row>
    <row r="1577" spans="1:17" x14ac:dyDescent="0.35">
      <c r="A1577">
        <v>202404</v>
      </c>
      <c r="B1577">
        <v>57</v>
      </c>
      <c r="C1577" s="2">
        <v>2504360.7629</v>
      </c>
      <c r="D1577" s="2">
        <v>0.73629999999999995</v>
      </c>
      <c r="E1577" s="3">
        <v>229383</v>
      </c>
      <c r="F1577" s="2">
        <v>168897.76610000001</v>
      </c>
      <c r="G1577" t="s">
        <v>2977</v>
      </c>
      <c r="H1577" t="s">
        <v>3</v>
      </c>
      <c r="I1577">
        <f>HLOOKUP(G1577,zip_tiers!$A$1:$EON$2,2,FALSE)</f>
        <v>70332.333333333328</v>
      </c>
      <c r="J1577" t="str">
        <f t="shared" si="24"/>
        <v>Med</v>
      </c>
      <c r="K1577">
        <f>dataset[[#This Row],[soda_sales]]/dataset[[#This Row],[soda_units_sold]]</f>
        <v>0.73631335408465326</v>
      </c>
      <c r="L1577" s="29">
        <f>dataset[[#This Row],[implied_soda_ppu]]-dataset[[#This Row],[soda_ppu]]</f>
        <v>1.3354084653305343E-5</v>
      </c>
      <c r="M1577">
        <f>dataset[[#This Row],[soda_sales]]/dataset[[#This Row],[total_sales]]</f>
        <v>6.7441467939475197E-2</v>
      </c>
      <c r="N1577">
        <f>LN(dataset[[#This Row],[soda_units_sold]])</f>
        <v>12.343148374566967</v>
      </c>
      <c r="O1577">
        <f>LN(dataset[[#This Row],[soda_sales]])</f>
        <v>12.037048876539094</v>
      </c>
      <c r="P1577">
        <f>LN(dataset[[#This Row],[soda_ppu]])</f>
        <v>-0.30611763460746594</v>
      </c>
      <c r="Q1577">
        <f>IF(dataset[[#This Row],[state]]="VA",1,0)</f>
        <v>1</v>
      </c>
    </row>
    <row r="1578" spans="1:17" x14ac:dyDescent="0.35">
      <c r="A1578">
        <v>202405</v>
      </c>
      <c r="B1578">
        <v>57</v>
      </c>
      <c r="C1578" s="2">
        <v>2720237.9885999998</v>
      </c>
      <c r="D1578" s="2">
        <v>0.7056</v>
      </c>
      <c r="E1578" s="3">
        <v>270114</v>
      </c>
      <c r="F1578" s="2">
        <v>190592.76379999999</v>
      </c>
      <c r="G1578" t="s">
        <v>2977</v>
      </c>
      <c r="H1578" t="s">
        <v>3</v>
      </c>
      <c r="I1578">
        <f>HLOOKUP(G1578,zip_tiers!$A$1:$EON$2,2,FALSE)</f>
        <v>70332.333333333328</v>
      </c>
      <c r="J1578" t="str">
        <f t="shared" si="24"/>
        <v>Med</v>
      </c>
      <c r="K1578">
        <f>dataset[[#This Row],[soda_sales]]/dataset[[#This Row],[soda_units_sold]]</f>
        <v>0.70560120467654397</v>
      </c>
      <c r="L1578" s="29">
        <f>dataset[[#This Row],[implied_soda_ppu]]-dataset[[#This Row],[soda_ppu]]</f>
        <v>1.2046765439643892E-6</v>
      </c>
      <c r="M1578">
        <f>dataset[[#This Row],[soda_sales]]/dataset[[#This Row],[total_sales]]</f>
        <v>7.0064738673137436E-2</v>
      </c>
      <c r="N1578">
        <f>LN(dataset[[#This Row],[soda_units_sold]])</f>
        <v>12.506599371092014</v>
      </c>
      <c r="O1578">
        <f>LN(dataset[[#This Row],[soda_sales]])</f>
        <v>12.157894304109028</v>
      </c>
      <c r="P1578">
        <f>LN(dataset[[#This Row],[soda_ppu]])</f>
        <v>-0.34870677428955549</v>
      </c>
      <c r="Q1578">
        <f>IF(dataset[[#This Row],[state]]="VA",1,0)</f>
        <v>1</v>
      </c>
    </row>
    <row r="1579" spans="1:17" x14ac:dyDescent="0.35">
      <c r="A1579">
        <v>202406</v>
      </c>
      <c r="B1579">
        <v>57</v>
      </c>
      <c r="C1579" s="2">
        <v>2588061.5098999999</v>
      </c>
      <c r="D1579" s="2">
        <v>0.74660000000000004</v>
      </c>
      <c r="E1579" s="3">
        <v>261295</v>
      </c>
      <c r="F1579" s="2">
        <v>195086.15659999999</v>
      </c>
      <c r="G1579" t="s">
        <v>2977</v>
      </c>
      <c r="H1579" t="s">
        <v>3</v>
      </c>
      <c r="I1579">
        <f>HLOOKUP(G1579,zip_tiers!$A$1:$EON$2,2,FALSE)</f>
        <v>70332.333333333328</v>
      </c>
      <c r="J1579" t="str">
        <f t="shared" si="24"/>
        <v>Med</v>
      </c>
      <c r="K1579">
        <f>dataset[[#This Row],[soda_sales]]/dataset[[#This Row],[soda_units_sold]]</f>
        <v>0.74661266614363075</v>
      </c>
      <c r="L1579" s="29">
        <f>dataset[[#This Row],[implied_soda_ppu]]-dataset[[#This Row],[soda_ppu]]</f>
        <v>1.2666143630712945E-5</v>
      </c>
      <c r="M1579">
        <f>dataset[[#This Row],[soda_sales]]/dataset[[#This Row],[total_sales]]</f>
        <v>7.5379258125722798E-2</v>
      </c>
      <c r="N1579">
        <f>LN(dataset[[#This Row],[soda_units_sold]])</f>
        <v>12.473405316231863</v>
      </c>
      <c r="O1579">
        <f>LN(dataset[[#This Row],[soda_sales]])</f>
        <v>12.181196568686266</v>
      </c>
      <c r="P1579">
        <f>LN(dataset[[#This Row],[soda_ppu]])</f>
        <v>-0.29222571250165352</v>
      </c>
      <c r="Q1579">
        <f>IF(dataset[[#This Row],[state]]="VA",1,0)</f>
        <v>1</v>
      </c>
    </row>
    <row r="1580" spans="1:17" x14ac:dyDescent="0.35">
      <c r="A1580">
        <v>202407</v>
      </c>
      <c r="B1580">
        <v>57</v>
      </c>
      <c r="C1580" s="2">
        <v>2403315.3635</v>
      </c>
      <c r="D1580" s="2">
        <v>0.75239999999999996</v>
      </c>
      <c r="E1580" s="3">
        <v>265798</v>
      </c>
      <c r="F1580" s="2">
        <v>199981.41390000001</v>
      </c>
      <c r="G1580" t="s">
        <v>2977</v>
      </c>
      <c r="H1580" t="s">
        <v>3</v>
      </c>
      <c r="I1580">
        <f>HLOOKUP(G1580,zip_tiers!$A$1:$EON$2,2,FALSE)</f>
        <v>70332.333333333328</v>
      </c>
      <c r="J1580" t="str">
        <f t="shared" si="24"/>
        <v>Med</v>
      </c>
      <c r="K1580">
        <f>dataset[[#This Row],[soda_sales]]/dataset[[#This Row],[soda_units_sold]]</f>
        <v>0.75238118383133057</v>
      </c>
      <c r="L1580" s="29">
        <f>dataset[[#This Row],[implied_soda_ppu]]-dataset[[#This Row],[soda_ppu]]</f>
        <v>-1.8816168669388844E-5</v>
      </c>
      <c r="M1580">
        <f>dataset[[#This Row],[soda_sales]]/dataset[[#This Row],[total_sales]]</f>
        <v>8.3210641823036807E-2</v>
      </c>
      <c r="N1580">
        <f>LN(dataset[[#This Row],[soda_units_sold]])</f>
        <v>12.490491900778496</v>
      </c>
      <c r="O1580">
        <f>LN(dataset[[#This Row],[soda_sales]])</f>
        <v>12.205979710711867</v>
      </c>
      <c r="P1580">
        <f>LN(dataset[[#This Row],[soda_ppu]])</f>
        <v>-0.28448718155526176</v>
      </c>
      <c r="Q1580">
        <f>IF(dataset[[#This Row],[state]]="VA",1,0)</f>
        <v>1</v>
      </c>
    </row>
    <row r="1581" spans="1:17" x14ac:dyDescent="0.35">
      <c r="A1581">
        <v>202408</v>
      </c>
      <c r="B1581">
        <v>57</v>
      </c>
      <c r="C1581" s="2">
        <v>2320647.4350999999</v>
      </c>
      <c r="D1581" s="2">
        <v>0.74419999999999997</v>
      </c>
      <c r="E1581" s="3">
        <v>237284</v>
      </c>
      <c r="F1581" s="2">
        <v>176577.98300000001</v>
      </c>
      <c r="G1581" t="s">
        <v>2977</v>
      </c>
      <c r="H1581" t="s">
        <v>3</v>
      </c>
      <c r="I1581">
        <f>HLOOKUP(G1581,zip_tiers!$A$1:$EON$2,2,FALSE)</f>
        <v>70332.333333333328</v>
      </c>
      <c r="J1581" t="str">
        <f t="shared" si="24"/>
        <v>Med</v>
      </c>
      <c r="K1581">
        <f>dataset[[#This Row],[soda_sales]]/dataset[[#This Row],[soda_units_sold]]</f>
        <v>0.74416304091299879</v>
      </c>
      <c r="L1581" s="29">
        <f>dataset[[#This Row],[implied_soda_ppu]]-dataset[[#This Row],[soda_ppu]]</f>
        <v>-3.6959087001187108E-5</v>
      </c>
      <c r="M1581">
        <f>dataset[[#This Row],[soda_sales]]/dataset[[#This Row],[total_sales]]</f>
        <v>7.6089965381747449E-2</v>
      </c>
      <c r="N1581">
        <f>LN(dataset[[#This Row],[soda_units_sold]])</f>
        <v>12.377013014950505</v>
      </c>
      <c r="O1581">
        <f>LN(dataset[[#This Row],[soda_sales]])</f>
        <v>12.081517887805671</v>
      </c>
      <c r="P1581">
        <f>LN(dataset[[#This Row],[soda_ppu]])</f>
        <v>-0.29544546306961494</v>
      </c>
      <c r="Q1581">
        <f>IF(dataset[[#This Row],[state]]="VA",1,0)</f>
        <v>1</v>
      </c>
    </row>
    <row r="1582" spans="1:17" x14ac:dyDescent="0.35">
      <c r="A1582">
        <v>202409</v>
      </c>
      <c r="B1582">
        <v>57</v>
      </c>
      <c r="C1582" s="2">
        <v>2330516.4182000002</v>
      </c>
      <c r="D1582" s="2">
        <v>0.74660000000000004</v>
      </c>
      <c r="E1582" s="3">
        <v>226098</v>
      </c>
      <c r="F1582" s="2">
        <v>168803.1415</v>
      </c>
      <c r="G1582" t="s">
        <v>2977</v>
      </c>
      <c r="H1582" t="s">
        <v>3</v>
      </c>
      <c r="I1582">
        <f>HLOOKUP(G1582,zip_tiers!$A$1:$EON$2,2,FALSE)</f>
        <v>70332.333333333328</v>
      </c>
      <c r="J1582" t="str">
        <f t="shared" si="24"/>
        <v>Med</v>
      </c>
      <c r="K1582">
        <f>dataset[[#This Row],[soda_sales]]/dataset[[#This Row],[soda_units_sold]]</f>
        <v>0.74659281152420631</v>
      </c>
      <c r="L1582" s="29">
        <f>dataset[[#This Row],[implied_soda_ppu]]-dataset[[#This Row],[soda_ppu]]</f>
        <v>-7.1884757937290544E-6</v>
      </c>
      <c r="M1582">
        <f>dataset[[#This Row],[soda_sales]]/dataset[[#This Row],[total_sales]]</f>
        <v>7.2431646557708854E-2</v>
      </c>
      <c r="N1582">
        <f>LN(dataset[[#This Row],[soda_units_sold]])</f>
        <v>12.328723812583418</v>
      </c>
      <c r="O1582">
        <f>LN(dataset[[#This Row],[soda_sales]])</f>
        <v>12.036488471752806</v>
      </c>
      <c r="P1582">
        <f>LN(dataset[[#This Row],[soda_ppu]])</f>
        <v>-0.29222571250165352</v>
      </c>
      <c r="Q1582">
        <f>IF(dataset[[#This Row],[state]]="VA",1,0)</f>
        <v>1</v>
      </c>
    </row>
    <row r="1583" spans="1:17" x14ac:dyDescent="0.35">
      <c r="A1583">
        <v>202410</v>
      </c>
      <c r="B1583">
        <v>57</v>
      </c>
      <c r="C1583" s="2">
        <v>2877467.9240000001</v>
      </c>
      <c r="D1583" s="2">
        <v>0.75660000000000005</v>
      </c>
      <c r="E1583" s="3">
        <v>216089</v>
      </c>
      <c r="F1583" s="2">
        <v>163500.57120000001</v>
      </c>
      <c r="G1583" t="s">
        <v>2977</v>
      </c>
      <c r="H1583" t="s">
        <v>3</v>
      </c>
      <c r="I1583">
        <f>HLOOKUP(G1583,zip_tiers!$A$1:$EON$2,2,FALSE)</f>
        <v>70332.333333333328</v>
      </c>
      <c r="J1583" t="str">
        <f t="shared" si="24"/>
        <v>Med</v>
      </c>
      <c r="K1583">
        <f>dataset[[#This Row],[soda_sales]]/dataset[[#This Row],[soda_units_sold]]</f>
        <v>0.75663532711058867</v>
      </c>
      <c r="L1583" s="29">
        <f>dataset[[#This Row],[implied_soda_ppu]]-dataset[[#This Row],[soda_ppu]]</f>
        <v>3.5327110588623256E-5</v>
      </c>
      <c r="M1583">
        <f>dataset[[#This Row],[soda_sales]]/dataset[[#This Row],[total_sales]]</f>
        <v>5.6820988284976622E-2</v>
      </c>
      <c r="N1583">
        <f>LN(dataset[[#This Row],[soda_units_sold]])</f>
        <v>12.283445638839389</v>
      </c>
      <c r="O1583">
        <f>LN(dataset[[#This Row],[soda_sales]])</f>
        <v>12.004571762891324</v>
      </c>
      <c r="P1583">
        <f>LN(dataset[[#This Row],[soda_ppu]])</f>
        <v>-0.27892056678320809</v>
      </c>
      <c r="Q1583">
        <f>IF(dataset[[#This Row],[state]]="VA",1,0)</f>
        <v>1</v>
      </c>
    </row>
    <row r="1584" spans="1:17" x14ac:dyDescent="0.35">
      <c r="A1584">
        <v>202411</v>
      </c>
      <c r="B1584">
        <v>57</v>
      </c>
      <c r="C1584" s="2">
        <v>3218045.2623000001</v>
      </c>
      <c r="D1584" s="2">
        <v>0.76449999999999996</v>
      </c>
      <c r="E1584" s="3">
        <v>202580</v>
      </c>
      <c r="F1584" s="2">
        <v>154880.10250000001</v>
      </c>
      <c r="G1584" t="s">
        <v>2977</v>
      </c>
      <c r="H1584" t="s">
        <v>3</v>
      </c>
      <c r="I1584">
        <f>HLOOKUP(G1584,zip_tiers!$A$1:$EON$2,2,FALSE)</f>
        <v>70332.333333333328</v>
      </c>
      <c r="J1584" t="str">
        <f t="shared" si="24"/>
        <v>Med</v>
      </c>
      <c r="K1584">
        <f>dataset[[#This Row],[soda_sales]]/dataset[[#This Row],[soda_units_sold]]</f>
        <v>0.76453797265277923</v>
      </c>
      <c r="L1584" s="29">
        <f>dataset[[#This Row],[implied_soda_ppu]]-dataset[[#This Row],[soda_ppu]]</f>
        <v>3.7972652779272309E-5</v>
      </c>
      <c r="M1584">
        <f>dataset[[#This Row],[soda_sales]]/dataset[[#This Row],[total_sales]]</f>
        <v>4.8128627746305892E-2</v>
      </c>
      <c r="N1584">
        <f>LN(dataset[[#This Row],[soda_units_sold]])</f>
        <v>12.218890149240789</v>
      </c>
      <c r="O1584">
        <f>LN(dataset[[#This Row],[soda_sales]])</f>
        <v>11.950406564312871</v>
      </c>
      <c r="P1584">
        <f>LN(dataset[[#This Row],[soda_ppu]])</f>
        <v>-0.26853325361302011</v>
      </c>
      <c r="Q1584">
        <f>IF(dataset[[#This Row],[state]]="VA",1,0)</f>
        <v>1</v>
      </c>
    </row>
    <row r="1585" spans="1:17" x14ac:dyDescent="0.35">
      <c r="A1585">
        <v>202412</v>
      </c>
      <c r="B1585">
        <v>57</v>
      </c>
      <c r="C1585" s="2">
        <v>3403909.8969999999</v>
      </c>
      <c r="D1585" s="2">
        <v>0.73529999999999995</v>
      </c>
      <c r="E1585" s="3">
        <v>206997</v>
      </c>
      <c r="F1585" s="2">
        <v>152194.9467</v>
      </c>
      <c r="G1585" t="s">
        <v>2977</v>
      </c>
      <c r="H1585" t="s">
        <v>3</v>
      </c>
      <c r="I1585">
        <f>HLOOKUP(G1585,zip_tiers!$A$1:$EON$2,2,FALSE)</f>
        <v>70332.333333333328</v>
      </c>
      <c r="J1585" t="str">
        <f t="shared" si="24"/>
        <v>Med</v>
      </c>
      <c r="K1585">
        <f>dataset[[#This Row],[soda_sales]]/dataset[[#This Row],[soda_units_sold]]</f>
        <v>0.73525194423107576</v>
      </c>
      <c r="L1585" s="29">
        <f>dataset[[#This Row],[implied_soda_ppu]]-dataset[[#This Row],[soda_ppu]]</f>
        <v>-4.8055768924193387E-5</v>
      </c>
      <c r="M1585">
        <f>dataset[[#This Row],[soda_sales]]/dataset[[#This Row],[total_sales]]</f>
        <v>4.4711802399392361E-2</v>
      </c>
      <c r="N1585">
        <f>LN(dataset[[#This Row],[soda_units_sold]])</f>
        <v>12.240459579388862</v>
      </c>
      <c r="O1585">
        <f>LN(dataset[[#This Row],[soda_sales]])</f>
        <v>11.932917522150255</v>
      </c>
      <c r="P1585">
        <f>LN(dataset[[#This Row],[soda_ppu]])</f>
        <v>-0.30747669977996056</v>
      </c>
      <c r="Q1585">
        <f>IF(dataset[[#This Row],[state]]="VA",1,0)</f>
        <v>1</v>
      </c>
    </row>
    <row r="1586" spans="1:17" x14ac:dyDescent="0.35">
      <c r="A1586">
        <v>202201</v>
      </c>
      <c r="B1586">
        <v>27</v>
      </c>
      <c r="C1586" s="2">
        <v>1818445.2986999999</v>
      </c>
      <c r="D1586" s="2">
        <v>0.69720000000000004</v>
      </c>
      <c r="E1586" s="3">
        <v>151104</v>
      </c>
      <c r="F1586" s="2">
        <v>105350.4504</v>
      </c>
      <c r="G1586" t="s">
        <v>3021</v>
      </c>
      <c r="H1586" t="s">
        <v>3</v>
      </c>
      <c r="I1586">
        <f>HLOOKUP(G1586,zip_tiers!$A$1:$EON$2,2,FALSE)</f>
        <v>68834</v>
      </c>
      <c r="J1586" t="str">
        <f t="shared" si="24"/>
        <v>Med</v>
      </c>
      <c r="K1586">
        <f>dataset[[#This Row],[soda_sales]]/dataset[[#This Row],[soda_units_sold]]</f>
        <v>0.69720490787801781</v>
      </c>
      <c r="L1586" s="29">
        <f>dataset[[#This Row],[implied_soda_ppu]]-dataset[[#This Row],[soda_ppu]]</f>
        <v>4.9078780177680414E-6</v>
      </c>
      <c r="M1586">
        <f>dataset[[#This Row],[soda_sales]]/dataset[[#This Row],[total_sales]]</f>
        <v>5.7934352204773311E-2</v>
      </c>
      <c r="N1586">
        <f>LN(dataset[[#This Row],[soda_units_sold]])</f>
        <v>11.925723620445185</v>
      </c>
      <c r="O1586">
        <f>LN(dataset[[#This Row],[soda_sales]])</f>
        <v>11.565047694496096</v>
      </c>
      <c r="P1586">
        <f>LN(dataset[[#This Row],[soda_ppu]])</f>
        <v>-0.36068296533627114</v>
      </c>
      <c r="Q1586">
        <f>IF(dataset[[#This Row],[state]]="VA",1,0)</f>
        <v>1</v>
      </c>
    </row>
    <row r="1587" spans="1:17" x14ac:dyDescent="0.35">
      <c r="A1587">
        <v>202202</v>
      </c>
      <c r="B1587">
        <v>27</v>
      </c>
      <c r="C1587" s="2">
        <v>2060995.7555</v>
      </c>
      <c r="D1587" s="2">
        <v>0.70450000000000002</v>
      </c>
      <c r="E1587" s="3">
        <v>169064</v>
      </c>
      <c r="F1587" s="2">
        <v>119108.84940000001</v>
      </c>
      <c r="G1587" t="s">
        <v>3021</v>
      </c>
      <c r="H1587" t="s">
        <v>3</v>
      </c>
      <c r="I1587">
        <f>HLOOKUP(G1587,zip_tiers!$A$1:$EON$2,2,FALSE)</f>
        <v>68834</v>
      </c>
      <c r="J1587" t="str">
        <f t="shared" si="24"/>
        <v>Med</v>
      </c>
      <c r="K1587">
        <f>dataset[[#This Row],[soda_sales]]/dataset[[#This Row],[soda_units_sold]]</f>
        <v>0.70451929091941512</v>
      </c>
      <c r="L1587" s="29">
        <f>dataset[[#This Row],[implied_soda_ppu]]-dataset[[#This Row],[soda_ppu]]</f>
        <v>1.9290919415104746E-5</v>
      </c>
      <c r="M1587">
        <f>dataset[[#This Row],[soda_sales]]/dataset[[#This Row],[total_sales]]</f>
        <v>5.7791894564627119E-2</v>
      </c>
      <c r="N1587">
        <f>LN(dataset[[#This Row],[soda_units_sold]])</f>
        <v>12.038032620441989</v>
      </c>
      <c r="O1587">
        <f>LN(dataset[[#This Row],[soda_sales]])</f>
        <v>11.687793054850117</v>
      </c>
      <c r="P1587">
        <f>LN(dataset[[#This Row],[soda_ppu]])</f>
        <v>-0.3502669476434021</v>
      </c>
      <c r="Q1587">
        <f>IF(dataset[[#This Row],[state]]="VA",1,0)</f>
        <v>1</v>
      </c>
    </row>
    <row r="1588" spans="1:17" x14ac:dyDescent="0.35">
      <c r="A1588">
        <v>202203</v>
      </c>
      <c r="B1588">
        <v>27</v>
      </c>
      <c r="C1588" s="2">
        <v>2309362.2588</v>
      </c>
      <c r="D1588" s="2">
        <v>0.71689999999999998</v>
      </c>
      <c r="E1588" s="3">
        <v>196968</v>
      </c>
      <c r="F1588" s="2">
        <v>141214.1464</v>
      </c>
      <c r="G1588" t="s">
        <v>3021</v>
      </c>
      <c r="H1588" t="s">
        <v>3</v>
      </c>
      <c r="I1588">
        <f>HLOOKUP(G1588,zip_tiers!$A$1:$EON$2,2,FALSE)</f>
        <v>68834</v>
      </c>
      <c r="J1588" t="str">
        <f t="shared" si="24"/>
        <v>Med</v>
      </c>
      <c r="K1588">
        <f>dataset[[#This Row],[soda_sales]]/dataset[[#This Row],[soda_units_sold]]</f>
        <v>0.71693953535599686</v>
      </c>
      <c r="L1588" s="29">
        <f>dataset[[#This Row],[implied_soda_ppu]]-dataset[[#This Row],[soda_ppu]]</f>
        <v>3.9535355996878074E-5</v>
      </c>
      <c r="M1588">
        <f>dataset[[#This Row],[soda_sales]]/dataset[[#This Row],[total_sales]]</f>
        <v>6.1148546903757858E-2</v>
      </c>
      <c r="N1588">
        <f>LN(dataset[[#This Row],[soda_units_sold]])</f>
        <v>12.190796557977658</v>
      </c>
      <c r="O1588">
        <f>LN(dataset[[#This Row],[soda_sales]])</f>
        <v>11.858032785991739</v>
      </c>
      <c r="P1588">
        <f>LN(dataset[[#This Row],[soda_ppu]])</f>
        <v>-0.33281891812331055</v>
      </c>
      <c r="Q1588">
        <f>IF(dataset[[#This Row],[state]]="VA",1,0)</f>
        <v>1</v>
      </c>
    </row>
    <row r="1589" spans="1:17" x14ac:dyDescent="0.35">
      <c r="A1589">
        <v>202204</v>
      </c>
      <c r="B1589">
        <v>27</v>
      </c>
      <c r="C1589" s="2">
        <v>2383293.5957999998</v>
      </c>
      <c r="D1589" s="2">
        <v>0.71619999999999995</v>
      </c>
      <c r="E1589" s="3">
        <v>224474</v>
      </c>
      <c r="F1589" s="2">
        <v>160759.56030000001</v>
      </c>
      <c r="G1589" t="s">
        <v>3021</v>
      </c>
      <c r="H1589" t="s">
        <v>3</v>
      </c>
      <c r="I1589">
        <f>HLOOKUP(G1589,zip_tiers!$A$1:$EON$2,2,FALSE)</f>
        <v>68834</v>
      </c>
      <c r="J1589" t="str">
        <f t="shared" si="24"/>
        <v>Med</v>
      </c>
      <c r="K1589">
        <f>dataset[[#This Row],[soda_sales]]/dataset[[#This Row],[soda_units_sold]]</f>
        <v>0.71616116031255295</v>
      </c>
      <c r="L1589" s="29">
        <f>dataset[[#This Row],[implied_soda_ppu]]-dataset[[#This Row],[soda_ppu]]</f>
        <v>-3.8839687447000948E-5</v>
      </c>
      <c r="M1589">
        <f>dataset[[#This Row],[soda_sales]]/dataset[[#This Row],[total_sales]]</f>
        <v>6.7452688407043646E-2</v>
      </c>
      <c r="N1589">
        <f>LN(dataset[[#This Row],[soda_units_sold]])</f>
        <v>12.321515166540017</v>
      </c>
      <c r="O1589">
        <f>LN(dataset[[#This Row],[soda_sales]])</f>
        <v>11.98766511342628</v>
      </c>
      <c r="P1589">
        <f>LN(dataset[[#This Row],[soda_ppu]])</f>
        <v>-0.33379582141780478</v>
      </c>
      <c r="Q1589">
        <f>IF(dataset[[#This Row],[state]]="VA",1,0)</f>
        <v>1</v>
      </c>
    </row>
    <row r="1590" spans="1:17" x14ac:dyDescent="0.35">
      <c r="A1590">
        <v>202205</v>
      </c>
      <c r="B1590">
        <v>27</v>
      </c>
      <c r="C1590" s="2">
        <v>2507198.0614</v>
      </c>
      <c r="D1590" s="2">
        <v>0.74199999999999999</v>
      </c>
      <c r="E1590" s="3">
        <v>237587</v>
      </c>
      <c r="F1590" s="2">
        <v>176290.3321</v>
      </c>
      <c r="G1590" t="s">
        <v>3021</v>
      </c>
      <c r="H1590" t="s">
        <v>3</v>
      </c>
      <c r="I1590">
        <f>HLOOKUP(G1590,zip_tiers!$A$1:$EON$2,2,FALSE)</f>
        <v>68834</v>
      </c>
      <c r="J1590" t="str">
        <f t="shared" si="24"/>
        <v>Med</v>
      </c>
      <c r="K1590">
        <f>dataset[[#This Row],[soda_sales]]/dataset[[#This Row],[soda_units_sold]]</f>
        <v>0.74200327501083818</v>
      </c>
      <c r="L1590" s="29">
        <f>dataset[[#This Row],[implied_soda_ppu]]-dataset[[#This Row],[soda_ppu]]</f>
        <v>3.2750108381884857E-6</v>
      </c>
      <c r="M1590">
        <f>dataset[[#This Row],[soda_sales]]/dataset[[#This Row],[total_sales]]</f>
        <v>7.031368395425483E-2</v>
      </c>
      <c r="N1590">
        <f>LN(dataset[[#This Row],[soda_units_sold]])</f>
        <v>12.378289151169058</v>
      </c>
      <c r="O1590">
        <f>LN(dataset[[#This Row],[soda_sales]])</f>
        <v>12.079887529105799</v>
      </c>
      <c r="P1590">
        <f>LN(dataset[[#This Row],[soda_ppu]])</f>
        <v>-0.29840603581475661</v>
      </c>
      <c r="Q1590">
        <f>IF(dataset[[#This Row],[state]]="VA",1,0)</f>
        <v>1</v>
      </c>
    </row>
    <row r="1591" spans="1:17" x14ac:dyDescent="0.35">
      <c r="A1591">
        <v>202206</v>
      </c>
      <c r="B1591">
        <v>27</v>
      </c>
      <c r="C1591" s="2">
        <v>2417197.6748000002</v>
      </c>
      <c r="D1591" s="2">
        <v>0.73529999999999995</v>
      </c>
      <c r="E1591" s="3">
        <v>251051</v>
      </c>
      <c r="F1591" s="2">
        <v>184586.76490000001</v>
      </c>
      <c r="G1591" t="s">
        <v>3021</v>
      </c>
      <c r="H1591" t="s">
        <v>3</v>
      </c>
      <c r="I1591">
        <f>HLOOKUP(G1591,zip_tiers!$A$1:$EON$2,2,FALSE)</f>
        <v>68834</v>
      </c>
      <c r="J1591" t="str">
        <f t="shared" si="24"/>
        <v>Med</v>
      </c>
      <c r="K1591">
        <f>dataset[[#This Row],[soda_sales]]/dataset[[#This Row],[soda_units_sold]]</f>
        <v>0.73525604319441074</v>
      </c>
      <c r="L1591" s="29">
        <f>dataset[[#This Row],[implied_soda_ppu]]-dataset[[#This Row],[soda_ppu]]</f>
        <v>-4.3956805589218106E-5</v>
      </c>
      <c r="M1591">
        <f>dataset[[#This Row],[soda_sales]]/dataset[[#This Row],[total_sales]]</f>
        <v>7.6363951043132122E-2</v>
      </c>
      <c r="N1591">
        <f>LN(dataset[[#This Row],[soda_units_sold]])</f>
        <v>12.433411384725183</v>
      </c>
      <c r="O1591">
        <f>LN(dataset[[#This Row],[soda_sales]])</f>
        <v>12.125874902380925</v>
      </c>
      <c r="P1591">
        <f>LN(dataset[[#This Row],[soda_ppu]])</f>
        <v>-0.30747669977996056</v>
      </c>
      <c r="Q1591">
        <f>IF(dataset[[#This Row],[state]]="VA",1,0)</f>
        <v>1</v>
      </c>
    </row>
    <row r="1592" spans="1:17" x14ac:dyDescent="0.35">
      <c r="A1592">
        <v>202207</v>
      </c>
      <c r="B1592">
        <v>27</v>
      </c>
      <c r="C1592" s="2">
        <v>2321468.2389000002</v>
      </c>
      <c r="D1592" s="2">
        <v>0.73070000000000002</v>
      </c>
      <c r="E1592" s="3">
        <v>265634</v>
      </c>
      <c r="F1592" s="2">
        <v>194104.3315</v>
      </c>
      <c r="G1592" t="s">
        <v>3021</v>
      </c>
      <c r="H1592" t="s">
        <v>3</v>
      </c>
      <c r="I1592">
        <f>HLOOKUP(G1592,zip_tiers!$A$1:$EON$2,2,FALSE)</f>
        <v>68834</v>
      </c>
      <c r="J1592" t="str">
        <f t="shared" si="24"/>
        <v>Med</v>
      </c>
      <c r="K1592">
        <f>dataset[[#This Row],[soda_sales]]/dataset[[#This Row],[soda_units_sold]]</f>
        <v>0.73072096004276565</v>
      </c>
      <c r="L1592" s="29">
        <f>dataset[[#This Row],[implied_soda_ppu]]-dataset[[#This Row],[soda_ppu]]</f>
        <v>2.0960042765638676E-5</v>
      </c>
      <c r="M1592">
        <f>dataset[[#This Row],[soda_sales]]/dataset[[#This Row],[total_sales]]</f>
        <v>8.3612744834266617E-2</v>
      </c>
      <c r="N1592">
        <f>LN(dataset[[#This Row],[soda_units_sold]])</f>
        <v>12.489874700439765</v>
      </c>
      <c r="O1592">
        <f>LN(dataset[[#This Row],[soda_sales]])</f>
        <v>12.176151084724697</v>
      </c>
      <c r="P1592">
        <f>LN(dataset[[#This Row],[soda_ppu]])</f>
        <v>-0.31375230018496492</v>
      </c>
      <c r="Q1592">
        <f>IF(dataset[[#This Row],[state]]="VA",1,0)</f>
        <v>1</v>
      </c>
    </row>
    <row r="1593" spans="1:17" x14ac:dyDescent="0.35">
      <c r="A1593">
        <v>202208</v>
      </c>
      <c r="B1593">
        <v>27</v>
      </c>
      <c r="C1593" s="2">
        <v>2203809.0726999999</v>
      </c>
      <c r="D1593" s="2">
        <v>0.73409999999999997</v>
      </c>
      <c r="E1593" s="3">
        <v>225646</v>
      </c>
      <c r="F1593" s="2">
        <v>165653.31909999999</v>
      </c>
      <c r="G1593" t="s">
        <v>3021</v>
      </c>
      <c r="H1593" t="s">
        <v>3</v>
      </c>
      <c r="I1593">
        <f>HLOOKUP(G1593,zip_tiers!$A$1:$EON$2,2,FALSE)</f>
        <v>68834</v>
      </c>
      <c r="J1593" t="str">
        <f t="shared" si="24"/>
        <v>Med</v>
      </c>
      <c r="K1593">
        <f>dataset[[#This Row],[soda_sales]]/dataset[[#This Row],[soda_units_sold]]</f>
        <v>0.73412920725384001</v>
      </c>
      <c r="L1593" s="29">
        <f>dataset[[#This Row],[implied_soda_ppu]]-dataset[[#This Row],[soda_ppu]]</f>
        <v>2.9207253840035641E-5</v>
      </c>
      <c r="M1593">
        <f>dataset[[#This Row],[soda_sales]]/dataset[[#This Row],[total_sales]]</f>
        <v>7.5166819645156271E-2</v>
      </c>
      <c r="N1593">
        <f>LN(dataset[[#This Row],[soda_units_sold]])</f>
        <v>12.326722678530336</v>
      </c>
      <c r="O1593">
        <f>LN(dataset[[#This Row],[soda_sales]])</f>
        <v>12.017652444351938</v>
      </c>
      <c r="P1593">
        <f>LN(dataset[[#This Row],[soda_ppu]])</f>
        <v>-0.30911001986540143</v>
      </c>
      <c r="Q1593">
        <f>IF(dataset[[#This Row],[state]]="VA",1,0)</f>
        <v>1</v>
      </c>
    </row>
    <row r="1594" spans="1:17" x14ac:dyDescent="0.35">
      <c r="A1594">
        <v>202209</v>
      </c>
      <c r="B1594">
        <v>27</v>
      </c>
      <c r="C1594" s="2">
        <v>2185902.9884000001</v>
      </c>
      <c r="D1594" s="2">
        <v>0.71630000000000005</v>
      </c>
      <c r="E1594" s="3">
        <v>226415</v>
      </c>
      <c r="F1594" s="2">
        <v>162177.90900000001</v>
      </c>
      <c r="G1594" t="s">
        <v>3021</v>
      </c>
      <c r="H1594" t="s">
        <v>3</v>
      </c>
      <c r="I1594">
        <f>HLOOKUP(G1594,zip_tiers!$A$1:$EON$2,2,FALSE)</f>
        <v>68834</v>
      </c>
      <c r="J1594" t="str">
        <f t="shared" si="24"/>
        <v>Med</v>
      </c>
      <c r="K1594">
        <f>dataset[[#This Row],[soda_sales]]/dataset[[#This Row],[soda_units_sold]]</f>
        <v>0.71628606320252641</v>
      </c>
      <c r="L1594" s="29">
        <f>dataset[[#This Row],[implied_soda_ppu]]-dataset[[#This Row],[soda_ppu]]</f>
        <v>-1.3936797473634854E-5</v>
      </c>
      <c r="M1594">
        <f>dataset[[#This Row],[soda_sales]]/dataset[[#This Row],[total_sales]]</f>
        <v>7.4192637944425988E-2</v>
      </c>
      <c r="N1594">
        <f>LN(dataset[[#This Row],[soda_units_sold]])</f>
        <v>12.330124877533398</v>
      </c>
      <c r="O1594">
        <f>LN(dataset[[#This Row],[soda_sales]])</f>
        <v>11.996449215333671</v>
      </c>
      <c r="P1594">
        <f>LN(dataset[[#This Row],[soda_ppu]])</f>
        <v>-0.33365620536173146</v>
      </c>
      <c r="Q1594">
        <f>IF(dataset[[#This Row],[state]]="VA",1,0)</f>
        <v>1</v>
      </c>
    </row>
    <row r="1595" spans="1:17" x14ac:dyDescent="0.35">
      <c r="A1595">
        <v>202210</v>
      </c>
      <c r="B1595">
        <v>27</v>
      </c>
      <c r="C1595" s="2">
        <v>2697729.6642</v>
      </c>
      <c r="D1595" s="2">
        <v>0.69359999999999999</v>
      </c>
      <c r="E1595" s="3">
        <v>222847</v>
      </c>
      <c r="F1595" s="2">
        <v>154572.39319999999</v>
      </c>
      <c r="G1595" t="s">
        <v>3021</v>
      </c>
      <c r="H1595" t="s">
        <v>3</v>
      </c>
      <c r="I1595">
        <f>HLOOKUP(G1595,zip_tiers!$A$1:$EON$2,2,FALSE)</f>
        <v>68834</v>
      </c>
      <c r="J1595" t="str">
        <f t="shared" si="24"/>
        <v>Med</v>
      </c>
      <c r="K1595">
        <f>dataset[[#This Row],[soda_sales]]/dataset[[#This Row],[soda_units_sold]]</f>
        <v>0.69362564091057988</v>
      </c>
      <c r="L1595" s="29">
        <f>dataset[[#This Row],[implied_soda_ppu]]-dataset[[#This Row],[soda_ppu]]</f>
        <v>2.5640910579882714E-5</v>
      </c>
      <c r="M1595">
        <f>dataset[[#This Row],[soda_sales]]/dataset[[#This Row],[total_sales]]</f>
        <v>5.7297213746521844E-2</v>
      </c>
      <c r="N1595">
        <f>LN(dataset[[#This Row],[soda_units_sold]])</f>
        <v>12.314240716314155</v>
      </c>
      <c r="O1595">
        <f>LN(dataset[[#This Row],[soda_sales]])</f>
        <v>11.948417829979212</v>
      </c>
      <c r="P1595">
        <f>LN(dataset[[#This Row],[soda_ppu]])</f>
        <v>-0.36585985351580497</v>
      </c>
      <c r="Q1595">
        <f>IF(dataset[[#This Row],[state]]="VA",1,0)</f>
        <v>1</v>
      </c>
    </row>
    <row r="1596" spans="1:17" x14ac:dyDescent="0.35">
      <c r="A1596">
        <v>202211</v>
      </c>
      <c r="B1596">
        <v>27</v>
      </c>
      <c r="C1596" s="2">
        <v>3052203.3440999999</v>
      </c>
      <c r="D1596" s="2">
        <v>0.74070000000000003</v>
      </c>
      <c r="E1596" s="3">
        <v>196867</v>
      </c>
      <c r="F1596" s="2">
        <v>145812.2395</v>
      </c>
      <c r="G1596" t="s">
        <v>3021</v>
      </c>
      <c r="H1596" t="s">
        <v>3</v>
      </c>
      <c r="I1596">
        <f>HLOOKUP(G1596,zip_tiers!$A$1:$EON$2,2,FALSE)</f>
        <v>68834</v>
      </c>
      <c r="J1596" t="str">
        <f t="shared" si="24"/>
        <v>Med</v>
      </c>
      <c r="K1596">
        <f>dataset[[#This Row],[soda_sales]]/dataset[[#This Row],[soda_units_sold]]</f>
        <v>0.74066369427075129</v>
      </c>
      <c r="L1596" s="29">
        <f>dataset[[#This Row],[implied_soda_ppu]]-dataset[[#This Row],[soda_ppu]]</f>
        <v>-3.6305729248731211E-5</v>
      </c>
      <c r="M1596">
        <f>dataset[[#This Row],[soda_sales]]/dataset[[#This Row],[total_sales]]</f>
        <v>4.7772780205440575E-2</v>
      </c>
      <c r="N1596">
        <f>LN(dataset[[#This Row],[soda_units_sold]])</f>
        <v>12.190283652815779</v>
      </c>
      <c r="O1596">
        <f>LN(dataset[[#This Row],[soda_sales]])</f>
        <v>11.890075042221255</v>
      </c>
      <c r="P1596">
        <f>LN(dataset[[#This Row],[soda_ppu]])</f>
        <v>-0.30015959396289349</v>
      </c>
      <c r="Q1596">
        <f>IF(dataset[[#This Row],[state]]="VA",1,0)</f>
        <v>1</v>
      </c>
    </row>
    <row r="1597" spans="1:17" x14ac:dyDescent="0.35">
      <c r="A1597">
        <v>202212</v>
      </c>
      <c r="B1597">
        <v>27</v>
      </c>
      <c r="C1597" s="2">
        <v>3176039.1179</v>
      </c>
      <c r="D1597" s="2">
        <v>0.72489999999999999</v>
      </c>
      <c r="E1597" s="3">
        <v>194255</v>
      </c>
      <c r="F1597" s="2">
        <v>140814.96340000001</v>
      </c>
      <c r="G1597" t="s">
        <v>3021</v>
      </c>
      <c r="H1597" t="s">
        <v>3</v>
      </c>
      <c r="I1597">
        <f>HLOOKUP(G1597,zip_tiers!$A$1:$EON$2,2,FALSE)</f>
        <v>68834</v>
      </c>
      <c r="J1597" t="str">
        <f t="shared" si="24"/>
        <v>Med</v>
      </c>
      <c r="K1597">
        <f>dataset[[#This Row],[soda_sales]]/dataset[[#This Row],[soda_units_sold]]</f>
        <v>0.72489749761910893</v>
      </c>
      <c r="L1597" s="29">
        <f>dataset[[#This Row],[implied_soda_ppu]]-dataset[[#This Row],[soda_ppu]]</f>
        <v>-2.5023808910562551E-6</v>
      </c>
      <c r="M1597">
        <f>dataset[[#This Row],[soda_sales]]/dataset[[#This Row],[total_sales]]</f>
        <v>4.4336659018578771E-2</v>
      </c>
      <c r="N1597">
        <f>LN(dataset[[#This Row],[soda_units_sold]])</f>
        <v>12.176927007924364</v>
      </c>
      <c r="O1597">
        <f>LN(dataset[[#This Row],[soda_sales]])</f>
        <v>11.855201991207108</v>
      </c>
      <c r="P1597">
        <f>LN(dataset[[#This Row],[soda_ppu]])</f>
        <v>-0.32172156467530499</v>
      </c>
      <c r="Q1597">
        <f>IF(dataset[[#This Row],[state]]="VA",1,0)</f>
        <v>1</v>
      </c>
    </row>
    <row r="1598" spans="1:17" x14ac:dyDescent="0.35">
      <c r="A1598">
        <v>202301</v>
      </c>
      <c r="B1598">
        <v>27</v>
      </c>
      <c r="C1598" s="2">
        <v>1850732.9628999999</v>
      </c>
      <c r="D1598" s="2">
        <v>0.74470000000000003</v>
      </c>
      <c r="E1598" s="3">
        <v>142881</v>
      </c>
      <c r="F1598" s="2">
        <v>106406.6977</v>
      </c>
      <c r="G1598" t="s">
        <v>3021</v>
      </c>
      <c r="H1598" t="s">
        <v>3</v>
      </c>
      <c r="I1598">
        <f>HLOOKUP(G1598,zip_tiers!$A$1:$EON$2,2,FALSE)</f>
        <v>68834</v>
      </c>
      <c r="J1598" t="str">
        <f t="shared" si="24"/>
        <v>Med</v>
      </c>
      <c r="K1598">
        <f>dataset[[#This Row],[soda_sales]]/dataset[[#This Row],[soda_units_sold]]</f>
        <v>0.74472251523995492</v>
      </c>
      <c r="L1598" s="29">
        <f>dataset[[#This Row],[implied_soda_ppu]]-dataset[[#This Row],[soda_ppu]]</f>
        <v>2.2515239954890021E-5</v>
      </c>
      <c r="M1598">
        <f>dataset[[#This Row],[soda_sales]]/dataset[[#This Row],[total_sales]]</f>
        <v>5.7494354849154675E-2</v>
      </c>
      <c r="N1598">
        <f>LN(dataset[[#This Row],[soda_units_sold]])</f>
        <v>11.869767394966013</v>
      </c>
      <c r="O1598">
        <f>LN(dataset[[#This Row],[soda_sales]])</f>
        <v>11.575023802216791</v>
      </c>
      <c r="P1598">
        <f>LN(dataset[[#This Row],[soda_ppu]])</f>
        <v>-0.29477382626553716</v>
      </c>
      <c r="Q1598">
        <f>IF(dataset[[#This Row],[state]]="VA",1,0)</f>
        <v>1</v>
      </c>
    </row>
    <row r="1599" spans="1:17" x14ac:dyDescent="0.35">
      <c r="A1599">
        <v>202302</v>
      </c>
      <c r="B1599">
        <v>27</v>
      </c>
      <c r="C1599" s="2">
        <v>2059361.9512</v>
      </c>
      <c r="D1599" s="2">
        <v>0.73340000000000005</v>
      </c>
      <c r="E1599" s="3">
        <v>161535</v>
      </c>
      <c r="F1599" s="2">
        <v>118476.54519999999</v>
      </c>
      <c r="G1599" t="s">
        <v>3021</v>
      </c>
      <c r="H1599" t="s">
        <v>3</v>
      </c>
      <c r="I1599">
        <f>HLOOKUP(G1599,zip_tiers!$A$1:$EON$2,2,FALSE)</f>
        <v>68834</v>
      </c>
      <c r="J1599" t="str">
        <f t="shared" si="24"/>
        <v>Med</v>
      </c>
      <c r="K1599">
        <f>dataset[[#This Row],[soda_sales]]/dataset[[#This Row],[soda_units_sold]]</f>
        <v>0.73344194880366476</v>
      </c>
      <c r="L1599" s="29">
        <f>dataset[[#This Row],[implied_soda_ppu]]-dataset[[#This Row],[soda_ppu]]</f>
        <v>4.1948803664704215E-5</v>
      </c>
      <c r="M1599">
        <f>dataset[[#This Row],[soda_sales]]/dataset[[#This Row],[total_sales]]</f>
        <v>5.753070514435947E-2</v>
      </c>
      <c r="N1599">
        <f>LN(dataset[[#This Row],[soda_units_sold]])</f>
        <v>11.992477116431091</v>
      </c>
      <c r="O1599">
        <f>LN(dataset[[#This Row],[soda_sales]])</f>
        <v>11.682470289164749</v>
      </c>
      <c r="P1599">
        <f>LN(dataset[[#This Row],[soda_ppu]])</f>
        <v>-0.31006402334491134</v>
      </c>
      <c r="Q1599">
        <f>IF(dataset[[#This Row],[state]]="VA",1,0)</f>
        <v>1</v>
      </c>
    </row>
    <row r="1600" spans="1:17" x14ac:dyDescent="0.35">
      <c r="A1600">
        <v>202303</v>
      </c>
      <c r="B1600">
        <v>27</v>
      </c>
      <c r="C1600" s="2">
        <v>2345883.8634000001</v>
      </c>
      <c r="D1600" s="2">
        <v>0.75180000000000002</v>
      </c>
      <c r="E1600" s="3">
        <v>192623</v>
      </c>
      <c r="F1600" s="2">
        <v>144811.79749999999</v>
      </c>
      <c r="G1600" t="s">
        <v>3021</v>
      </c>
      <c r="H1600" t="s">
        <v>3</v>
      </c>
      <c r="I1600">
        <f>HLOOKUP(G1600,zip_tiers!$A$1:$EON$2,2,FALSE)</f>
        <v>68834</v>
      </c>
      <c r="J1600" t="str">
        <f t="shared" si="24"/>
        <v>Med</v>
      </c>
      <c r="K1600">
        <f>dataset[[#This Row],[soda_sales]]/dataset[[#This Row],[soda_units_sold]]</f>
        <v>0.75178871422415805</v>
      </c>
      <c r="L1600" s="29">
        <f>dataset[[#This Row],[implied_soda_ppu]]-dataset[[#This Row],[soda_ppu]]</f>
        <v>-1.1285775841973766E-5</v>
      </c>
      <c r="M1600">
        <f>dataset[[#This Row],[soda_sales]]/dataset[[#This Row],[total_sales]]</f>
        <v>6.1730164804542971E-2</v>
      </c>
      <c r="N1600">
        <f>LN(dataset[[#This Row],[soda_units_sold]])</f>
        <v>12.168490189700247</v>
      </c>
      <c r="O1600">
        <f>LN(dataset[[#This Row],[soda_sales]])</f>
        <v>11.883190230062404</v>
      </c>
      <c r="P1600">
        <f>LN(dataset[[#This Row],[soda_ppu]])</f>
        <v>-0.28528494785205938</v>
      </c>
      <c r="Q1600">
        <f>IF(dataset[[#This Row],[state]]="VA",1,0)</f>
        <v>1</v>
      </c>
    </row>
    <row r="1601" spans="1:17" x14ac:dyDescent="0.35">
      <c r="A1601">
        <v>202304</v>
      </c>
      <c r="B1601">
        <v>27</v>
      </c>
      <c r="C1601" s="2">
        <v>2461254.0660000001</v>
      </c>
      <c r="D1601" s="2">
        <v>0.72130000000000005</v>
      </c>
      <c r="E1601" s="3">
        <v>227129</v>
      </c>
      <c r="F1601" s="2">
        <v>163837.1194</v>
      </c>
      <c r="G1601" t="s">
        <v>3021</v>
      </c>
      <c r="H1601" t="s">
        <v>3</v>
      </c>
      <c r="I1601">
        <f>HLOOKUP(G1601,zip_tiers!$A$1:$EON$2,2,FALSE)</f>
        <v>68834</v>
      </c>
      <c r="J1601" t="str">
        <f t="shared" si="24"/>
        <v>Med</v>
      </c>
      <c r="K1601">
        <f>dataset[[#This Row],[soda_sales]]/dataset[[#This Row],[soda_units_sold]]</f>
        <v>0.72133950046009099</v>
      </c>
      <c r="L1601" s="29">
        <f>dataset[[#This Row],[implied_soda_ppu]]-dataset[[#This Row],[soda_ppu]]</f>
        <v>3.9500460090935441E-5</v>
      </c>
      <c r="M1601">
        <f>dataset[[#This Row],[soda_sales]]/dataset[[#This Row],[total_sales]]</f>
        <v>6.6566520564967951E-2</v>
      </c>
      <c r="N1601">
        <f>LN(dataset[[#This Row],[soda_units_sold]])</f>
        <v>12.333273416990833</v>
      </c>
      <c r="O1601">
        <f>LN(dataset[[#This Row],[soda_sales]])</f>
        <v>12.006628038891609</v>
      </c>
      <c r="P1601">
        <f>LN(dataset[[#This Row],[soda_ppu]])</f>
        <v>-0.32670013947251003</v>
      </c>
      <c r="Q1601">
        <f>IF(dataset[[#This Row],[state]]="VA",1,0)</f>
        <v>1</v>
      </c>
    </row>
    <row r="1602" spans="1:17" x14ac:dyDescent="0.35">
      <c r="A1602">
        <v>202305</v>
      </c>
      <c r="B1602">
        <v>27</v>
      </c>
      <c r="C1602" s="2">
        <v>2496293.9068</v>
      </c>
      <c r="D1602" s="2">
        <v>0.73470000000000002</v>
      </c>
      <c r="E1602" s="3">
        <v>233142</v>
      </c>
      <c r="F1602" s="2">
        <v>171281.44769999999</v>
      </c>
      <c r="G1602" t="s">
        <v>3021</v>
      </c>
      <c r="H1602" t="s">
        <v>3</v>
      </c>
      <c r="I1602">
        <f>HLOOKUP(G1602,zip_tiers!$A$1:$EON$2,2,FALSE)</f>
        <v>68834</v>
      </c>
      <c r="J1602" t="str">
        <f t="shared" ref="J1602:J1665" si="25">IF(I1602="","No Data",IF(I1602&gt;=100000,"High",IF(I1602&gt;=40000,"Med","Low")))</f>
        <v>Med</v>
      </c>
      <c r="K1602">
        <f>dataset[[#This Row],[soda_sales]]/dataset[[#This Row],[soda_units_sold]]</f>
        <v>0.73466577321975446</v>
      </c>
      <c r="L1602" s="29">
        <f>dataset[[#This Row],[implied_soda_ppu]]-dataset[[#This Row],[soda_ppu]]</f>
        <v>-3.4226780245560917E-5</v>
      </c>
      <c r="M1602">
        <f>dataset[[#This Row],[soda_sales]]/dataset[[#This Row],[total_sales]]</f>
        <v>6.8614295469544978E-2</v>
      </c>
      <c r="N1602">
        <f>LN(dataset[[#This Row],[soda_units_sold]])</f>
        <v>12.35940298897353</v>
      </c>
      <c r="O1602">
        <f>LN(dataset[[#This Row],[soda_sales]])</f>
        <v>12.051063375469788</v>
      </c>
      <c r="P1602">
        <f>LN(dataset[[#This Row],[soda_ppu]])</f>
        <v>-0.30829302635590528</v>
      </c>
      <c r="Q1602">
        <f>IF(dataset[[#This Row],[state]]="VA",1,0)</f>
        <v>1</v>
      </c>
    </row>
    <row r="1603" spans="1:17" x14ac:dyDescent="0.35">
      <c r="A1603">
        <v>202306</v>
      </c>
      <c r="B1603">
        <v>27</v>
      </c>
      <c r="C1603" s="2">
        <v>2485403.0550000002</v>
      </c>
      <c r="D1603" s="2">
        <v>0.69540000000000002</v>
      </c>
      <c r="E1603" s="3">
        <v>271968</v>
      </c>
      <c r="F1603" s="2">
        <v>189130.48860000001</v>
      </c>
      <c r="G1603" t="s">
        <v>3021</v>
      </c>
      <c r="H1603" t="s">
        <v>3</v>
      </c>
      <c r="I1603">
        <f>HLOOKUP(G1603,zip_tiers!$A$1:$EON$2,2,FALSE)</f>
        <v>68834</v>
      </c>
      <c r="J1603" t="str">
        <f t="shared" si="25"/>
        <v>Med</v>
      </c>
      <c r="K1603">
        <f>dataset[[#This Row],[soda_sales]]/dataset[[#This Row],[soda_units_sold]]</f>
        <v>0.69541449214613493</v>
      </c>
      <c r="L1603" s="29">
        <f>dataset[[#This Row],[implied_soda_ppu]]-dataset[[#This Row],[soda_ppu]]</f>
        <v>1.4492146134914563E-5</v>
      </c>
      <c r="M1603">
        <f>dataset[[#This Row],[soda_sales]]/dataset[[#This Row],[total_sales]]</f>
        <v>7.6096506045374601E-2</v>
      </c>
      <c r="N1603">
        <f>LN(dataset[[#This Row],[soda_units_sold]])</f>
        <v>12.513439691298354</v>
      </c>
      <c r="O1603">
        <f>LN(dataset[[#This Row],[soda_sales]])</f>
        <v>12.150192471687401</v>
      </c>
      <c r="P1603">
        <f>LN(dataset[[#This Row],[soda_ppu]])</f>
        <v>-0.36326805940837598</v>
      </c>
      <c r="Q1603">
        <f>IF(dataset[[#This Row],[state]]="VA",1,0)</f>
        <v>1</v>
      </c>
    </row>
    <row r="1604" spans="1:17" x14ac:dyDescent="0.35">
      <c r="A1604">
        <v>202307</v>
      </c>
      <c r="B1604">
        <v>27</v>
      </c>
      <c r="C1604" s="2">
        <v>2341073.5057999999</v>
      </c>
      <c r="D1604" s="2">
        <v>0.7429</v>
      </c>
      <c r="E1604" s="3">
        <v>264239</v>
      </c>
      <c r="F1604" s="2">
        <v>196315.5888</v>
      </c>
      <c r="G1604" t="s">
        <v>3021</v>
      </c>
      <c r="H1604" t="s">
        <v>3</v>
      </c>
      <c r="I1604">
        <f>HLOOKUP(G1604,zip_tiers!$A$1:$EON$2,2,FALSE)</f>
        <v>68834</v>
      </c>
      <c r="J1604" t="str">
        <f t="shared" si="25"/>
        <v>Med</v>
      </c>
      <c r="K1604">
        <f>dataset[[#This Row],[soda_sales]]/dataset[[#This Row],[soda_units_sold]]</f>
        <v>0.74294706231858276</v>
      </c>
      <c r="L1604" s="29">
        <f>dataset[[#This Row],[implied_soda_ppu]]-dataset[[#This Row],[soda_ppu]]</f>
        <v>4.7062318582757889E-5</v>
      </c>
      <c r="M1604">
        <f>dataset[[#This Row],[soda_sales]]/dataset[[#This Row],[total_sales]]</f>
        <v>8.3857080229915434E-2</v>
      </c>
      <c r="N1604">
        <f>LN(dataset[[#This Row],[soda_units_sold]])</f>
        <v>12.484609275619121</v>
      </c>
      <c r="O1604">
        <f>LN(dataset[[#This Row],[soda_sales]])</f>
        <v>12.187478790254644</v>
      </c>
      <c r="P1604">
        <f>LN(dataset[[#This Row],[soda_ppu]])</f>
        <v>-0.2971938328243765</v>
      </c>
      <c r="Q1604">
        <f>IF(dataset[[#This Row],[state]]="VA",1,0)</f>
        <v>1</v>
      </c>
    </row>
    <row r="1605" spans="1:17" x14ac:dyDescent="0.35">
      <c r="A1605">
        <v>202308</v>
      </c>
      <c r="B1605">
        <v>27</v>
      </c>
      <c r="C1605" s="2">
        <v>2225298.6586000002</v>
      </c>
      <c r="D1605" s="2">
        <v>0.75280000000000002</v>
      </c>
      <c r="E1605" s="3">
        <v>228657</v>
      </c>
      <c r="F1605" s="2">
        <v>172127.29560000001</v>
      </c>
      <c r="G1605" t="s">
        <v>3021</v>
      </c>
      <c r="H1605" t="s">
        <v>3</v>
      </c>
      <c r="I1605">
        <f>HLOOKUP(G1605,zip_tiers!$A$1:$EON$2,2,FALSE)</f>
        <v>68834</v>
      </c>
      <c r="J1605" t="str">
        <f t="shared" si="25"/>
        <v>Med</v>
      </c>
      <c r="K1605">
        <f>dataset[[#This Row],[soda_sales]]/dataset[[#This Row],[soda_units_sold]]</f>
        <v>0.75277509807265908</v>
      </c>
      <c r="L1605" s="29">
        <f>dataset[[#This Row],[implied_soda_ppu]]-dataset[[#This Row],[soda_ppu]]</f>
        <v>-2.4901927340947871E-5</v>
      </c>
      <c r="M1605">
        <f>dataset[[#This Row],[soda_sales]]/dataset[[#This Row],[total_sales]]</f>
        <v>7.7350199684338219E-2</v>
      </c>
      <c r="N1605">
        <f>LN(dataset[[#This Row],[soda_units_sold]])</f>
        <v>12.339978343093861</v>
      </c>
      <c r="O1605">
        <f>LN(dataset[[#This Row],[soda_sales]])</f>
        <v>12.055989572761193</v>
      </c>
      <c r="P1605">
        <f>LN(dataset[[#This Row],[soda_ppu]])</f>
        <v>-0.28395569071096716</v>
      </c>
      <c r="Q1605">
        <f>IF(dataset[[#This Row],[state]]="VA",1,0)</f>
        <v>1</v>
      </c>
    </row>
    <row r="1606" spans="1:17" x14ac:dyDescent="0.35">
      <c r="A1606">
        <v>202309</v>
      </c>
      <c r="B1606">
        <v>27</v>
      </c>
      <c r="C1606" s="2">
        <v>2224122.5438999999</v>
      </c>
      <c r="D1606" s="2">
        <v>0.72940000000000005</v>
      </c>
      <c r="E1606" s="3">
        <v>223862</v>
      </c>
      <c r="F1606" s="2">
        <v>163277.83590000001</v>
      </c>
      <c r="G1606" t="s">
        <v>3021</v>
      </c>
      <c r="H1606" t="s">
        <v>3</v>
      </c>
      <c r="I1606">
        <f>HLOOKUP(G1606,zip_tiers!$A$1:$EON$2,2,FALSE)</f>
        <v>68834</v>
      </c>
      <c r="J1606" t="str">
        <f t="shared" si="25"/>
        <v>Med</v>
      </c>
      <c r="K1606">
        <f>dataset[[#This Row],[soda_sales]]/dataset[[#This Row],[soda_units_sold]]</f>
        <v>0.72936825320956666</v>
      </c>
      <c r="L1606" s="29">
        <f>dataset[[#This Row],[implied_soda_ppu]]-dataset[[#This Row],[soda_ppu]]</f>
        <v>-3.1746790433384575E-5</v>
      </c>
      <c r="M1606">
        <f>dataset[[#This Row],[soda_sales]]/dataset[[#This Row],[total_sales]]</f>
        <v>7.3412248056122051E-2</v>
      </c>
      <c r="N1606">
        <f>LN(dataset[[#This Row],[soda_units_sold]])</f>
        <v>12.318785069558626</v>
      </c>
      <c r="O1606">
        <f>LN(dataset[[#This Row],[soda_sales]])</f>
        <v>12.003208543476246</v>
      </c>
      <c r="P1606">
        <f>LN(dataset[[#This Row],[soda_ppu]])</f>
        <v>-0.31553300060755712</v>
      </c>
      <c r="Q1606">
        <f>IF(dataset[[#This Row],[state]]="VA",1,0)</f>
        <v>1</v>
      </c>
    </row>
    <row r="1607" spans="1:17" x14ac:dyDescent="0.35">
      <c r="A1607">
        <v>202310</v>
      </c>
      <c r="B1607">
        <v>27</v>
      </c>
      <c r="C1607" s="2">
        <v>2720493.6242</v>
      </c>
      <c r="D1607" s="2">
        <v>0.72960000000000003</v>
      </c>
      <c r="E1607" s="3">
        <v>213537</v>
      </c>
      <c r="F1607" s="2">
        <v>155794.78039999999</v>
      </c>
      <c r="G1607" t="s">
        <v>3021</v>
      </c>
      <c r="H1607" t="s">
        <v>3</v>
      </c>
      <c r="I1607">
        <f>HLOOKUP(G1607,zip_tiers!$A$1:$EON$2,2,FALSE)</f>
        <v>68834</v>
      </c>
      <c r="J1607" t="str">
        <f t="shared" si="25"/>
        <v>Med</v>
      </c>
      <c r="K1607">
        <f>dataset[[#This Row],[soda_sales]]/dataset[[#This Row],[soda_units_sold]]</f>
        <v>0.72959150123866112</v>
      </c>
      <c r="L1607" s="29">
        <f>dataset[[#This Row],[implied_soda_ppu]]-dataset[[#This Row],[soda_ppu]]</f>
        <v>-8.4987613389042593E-6</v>
      </c>
      <c r="M1607">
        <f>dataset[[#This Row],[soda_sales]]/dataset[[#This Row],[total_sales]]</f>
        <v>5.7267099990287118E-2</v>
      </c>
      <c r="N1607">
        <f>LN(dataset[[#This Row],[soda_units_sold]])</f>
        <v>12.271565398743469</v>
      </c>
      <c r="O1607">
        <f>LN(dataset[[#This Row],[soda_sales]])</f>
        <v>11.956294909932037</v>
      </c>
      <c r="P1607">
        <f>LN(dataset[[#This Row],[soda_ppu]])</f>
        <v>-0.31525884022201539</v>
      </c>
      <c r="Q1607">
        <f>IF(dataset[[#This Row],[state]]="VA",1,0)</f>
        <v>1</v>
      </c>
    </row>
    <row r="1608" spans="1:17" x14ac:dyDescent="0.35">
      <c r="A1608">
        <v>202311</v>
      </c>
      <c r="B1608">
        <v>27</v>
      </c>
      <c r="C1608" s="2">
        <v>3076219.7840999998</v>
      </c>
      <c r="D1608" s="2">
        <v>0.72109999999999996</v>
      </c>
      <c r="E1608" s="3">
        <v>203082</v>
      </c>
      <c r="F1608" s="2">
        <v>146444.37409999999</v>
      </c>
      <c r="G1608" t="s">
        <v>3021</v>
      </c>
      <c r="H1608" t="s">
        <v>3</v>
      </c>
      <c r="I1608">
        <f>HLOOKUP(G1608,zip_tiers!$A$1:$EON$2,2,FALSE)</f>
        <v>68834</v>
      </c>
      <c r="J1608" t="str">
        <f t="shared" si="25"/>
        <v>Med</v>
      </c>
      <c r="K1608">
        <f>dataset[[#This Row],[soda_sales]]/dataset[[#This Row],[soda_units_sold]]</f>
        <v>0.72110957199554848</v>
      </c>
      <c r="L1608" s="29">
        <f>dataset[[#This Row],[implied_soda_ppu]]-dataset[[#This Row],[soda_ppu]]</f>
        <v>9.5719955485185082E-6</v>
      </c>
      <c r="M1608">
        <f>dataset[[#This Row],[soda_sales]]/dataset[[#This Row],[total_sales]]</f>
        <v>4.7605302734519919E-2</v>
      </c>
      <c r="N1608">
        <f>LN(dataset[[#This Row],[soda_units_sold]])</f>
        <v>12.221365117348467</v>
      </c>
      <c r="O1608">
        <f>LN(dataset[[#This Row],[soda_sales]])</f>
        <v>11.894400936359242</v>
      </c>
      <c r="P1608">
        <f>LN(dataset[[#This Row],[soda_ppu]])</f>
        <v>-0.32697745505942327</v>
      </c>
      <c r="Q1608">
        <f>IF(dataset[[#This Row],[state]]="VA",1,0)</f>
        <v>1</v>
      </c>
    </row>
    <row r="1609" spans="1:17" x14ac:dyDescent="0.35">
      <c r="A1609">
        <v>202312</v>
      </c>
      <c r="B1609">
        <v>27</v>
      </c>
      <c r="C1609" s="2">
        <v>3186270.1046000002</v>
      </c>
      <c r="D1609" s="2">
        <v>0.7319</v>
      </c>
      <c r="E1609" s="3">
        <v>195589</v>
      </c>
      <c r="F1609" s="2">
        <v>143149.52249999999</v>
      </c>
      <c r="G1609" t="s">
        <v>3021</v>
      </c>
      <c r="H1609" t="s">
        <v>3</v>
      </c>
      <c r="I1609">
        <f>HLOOKUP(G1609,zip_tiers!$A$1:$EON$2,2,FALSE)</f>
        <v>68834</v>
      </c>
      <c r="J1609" t="str">
        <f t="shared" si="25"/>
        <v>Med</v>
      </c>
      <c r="K1609">
        <f>dataset[[#This Row],[soda_sales]]/dataset[[#This Row],[soda_units_sold]]</f>
        <v>0.73188943396612283</v>
      </c>
      <c r="L1609" s="29">
        <f>dataset[[#This Row],[implied_soda_ppu]]-dataset[[#This Row],[soda_ppu]]</f>
        <v>-1.0566033877168479E-5</v>
      </c>
      <c r="M1609">
        <f>dataset[[#This Row],[soda_sales]]/dataset[[#This Row],[total_sales]]</f>
        <v>4.4926989175630726E-2</v>
      </c>
      <c r="N1609">
        <f>LN(dataset[[#This Row],[soda_units_sold]])</f>
        <v>12.183770797782669</v>
      </c>
      <c r="O1609">
        <f>LN(dataset[[#This Row],[soda_sales]])</f>
        <v>11.871644974858805</v>
      </c>
      <c r="P1609">
        <f>LN(dataset[[#This Row],[soda_ppu]])</f>
        <v>-0.31211138637495561</v>
      </c>
      <c r="Q1609">
        <f>IF(dataset[[#This Row],[state]]="VA",1,0)</f>
        <v>1</v>
      </c>
    </row>
    <row r="1610" spans="1:17" x14ac:dyDescent="0.35">
      <c r="A1610">
        <v>202401</v>
      </c>
      <c r="B1610">
        <v>27</v>
      </c>
      <c r="C1610" s="2">
        <v>1852501.3428</v>
      </c>
      <c r="D1610" s="2">
        <v>0.71919999999999995</v>
      </c>
      <c r="E1610" s="3">
        <v>149135</v>
      </c>
      <c r="F1610" s="2">
        <v>107257.1302</v>
      </c>
      <c r="G1610" t="s">
        <v>3021</v>
      </c>
      <c r="H1610" t="s">
        <v>3</v>
      </c>
      <c r="I1610">
        <f>HLOOKUP(G1610,zip_tiers!$A$1:$EON$2,2,FALSE)</f>
        <v>68834</v>
      </c>
      <c r="J1610" t="str">
        <f t="shared" si="25"/>
        <v>Med</v>
      </c>
      <c r="K1610">
        <f>dataset[[#This Row],[soda_sales]]/dataset[[#This Row],[soda_units_sold]]</f>
        <v>0.71919489187648777</v>
      </c>
      <c r="L1610" s="29">
        <f>dataset[[#This Row],[implied_soda_ppu]]-dataset[[#This Row],[soda_ppu]]</f>
        <v>-5.1081235121763768E-6</v>
      </c>
      <c r="M1610">
        <f>dataset[[#This Row],[soda_sales]]/dataset[[#This Row],[total_sales]]</f>
        <v>5.7898543834728929E-2</v>
      </c>
      <c r="N1610">
        <f>LN(dataset[[#This Row],[soda_units_sold]])</f>
        <v>11.912607214989325</v>
      </c>
      <c r="O1610">
        <f>LN(dataset[[#This Row],[soda_sales]])</f>
        <v>11.582984316631713</v>
      </c>
      <c r="P1610">
        <f>LN(dataset[[#This Row],[soda_ppu]])</f>
        <v>-0.32961579582472661</v>
      </c>
      <c r="Q1610">
        <f>IF(dataset[[#This Row],[state]]="VA",1,0)</f>
        <v>1</v>
      </c>
    </row>
    <row r="1611" spans="1:17" x14ac:dyDescent="0.35">
      <c r="A1611">
        <v>202402</v>
      </c>
      <c r="B1611">
        <v>27</v>
      </c>
      <c r="C1611" s="2">
        <v>2098354.7966999998</v>
      </c>
      <c r="D1611" s="2">
        <v>0.73660000000000003</v>
      </c>
      <c r="E1611" s="3">
        <v>164194</v>
      </c>
      <c r="F1611" s="2">
        <v>120947.2809</v>
      </c>
      <c r="G1611" t="s">
        <v>3021</v>
      </c>
      <c r="H1611" t="s">
        <v>3</v>
      </c>
      <c r="I1611">
        <f>HLOOKUP(G1611,zip_tiers!$A$1:$EON$2,2,FALSE)</f>
        <v>68834</v>
      </c>
      <c r="J1611" t="str">
        <f t="shared" si="25"/>
        <v>Med</v>
      </c>
      <c r="K1611">
        <f>dataset[[#This Row],[soda_sales]]/dataset[[#This Row],[soda_units_sold]]</f>
        <v>0.73661206195110662</v>
      </c>
      <c r="L1611" s="29">
        <f>dataset[[#This Row],[implied_soda_ppu]]-dataset[[#This Row],[soda_ppu]]</f>
        <v>1.206195110659003E-5</v>
      </c>
      <c r="M1611">
        <f>dataset[[#This Row],[soda_sales]]/dataset[[#This Row],[total_sales]]</f>
        <v>5.7639099493664768E-2</v>
      </c>
      <c r="N1611">
        <f>LN(dataset[[#This Row],[soda_units_sold]])</f>
        <v>12.008803934528936</v>
      </c>
      <c r="O1611">
        <f>LN(dataset[[#This Row],[soda_sales]])</f>
        <v>11.703110034594893</v>
      </c>
      <c r="P1611">
        <f>LN(dataset[[#This Row],[soda_ppu]])</f>
        <v>-0.30571027497117209</v>
      </c>
      <c r="Q1611">
        <f>IF(dataset[[#This Row],[state]]="VA",1,0)</f>
        <v>1</v>
      </c>
    </row>
    <row r="1612" spans="1:17" x14ac:dyDescent="0.35">
      <c r="A1612">
        <v>202403</v>
      </c>
      <c r="B1612">
        <v>27</v>
      </c>
      <c r="C1612" s="2">
        <v>2385345.8173000002</v>
      </c>
      <c r="D1612" s="2">
        <v>0.74339999999999995</v>
      </c>
      <c r="E1612" s="3">
        <v>193676</v>
      </c>
      <c r="F1612" s="2">
        <v>143971.26389999999</v>
      </c>
      <c r="G1612" t="s">
        <v>3021</v>
      </c>
      <c r="H1612" t="s">
        <v>3</v>
      </c>
      <c r="I1612">
        <f>HLOOKUP(G1612,zip_tiers!$A$1:$EON$2,2,FALSE)</f>
        <v>68834</v>
      </c>
      <c r="J1612" t="str">
        <f t="shared" si="25"/>
        <v>Med</v>
      </c>
      <c r="K1612">
        <f>dataset[[#This Row],[soda_sales]]/dataset[[#This Row],[soda_units_sold]]</f>
        <v>0.74336140719552235</v>
      </c>
      <c r="L1612" s="29">
        <f>dataset[[#This Row],[implied_soda_ppu]]-dataset[[#This Row],[soda_ppu]]</f>
        <v>-3.8592804477599607E-5</v>
      </c>
      <c r="M1612">
        <f>dataset[[#This Row],[soda_sales]]/dataset[[#This Row],[total_sales]]</f>
        <v>6.0356558305228333E-2</v>
      </c>
      <c r="N1612">
        <f>LN(dataset[[#This Row],[soda_units_sold]])</f>
        <v>12.173941938775789</v>
      </c>
      <c r="O1612">
        <f>LN(dataset[[#This Row],[soda_sales]])</f>
        <v>11.87736900239414</v>
      </c>
      <c r="P1612">
        <f>LN(dataset[[#This Row],[soda_ppu]])</f>
        <v>-0.29652102111898537</v>
      </c>
      <c r="Q1612">
        <f>IF(dataset[[#This Row],[state]]="VA",1,0)</f>
        <v>1</v>
      </c>
    </row>
    <row r="1613" spans="1:17" x14ac:dyDescent="0.35">
      <c r="A1613">
        <v>202404</v>
      </c>
      <c r="B1613">
        <v>27</v>
      </c>
      <c r="C1613" s="2">
        <v>2500857.2193999998</v>
      </c>
      <c r="D1613" s="2">
        <v>0.79139999999999999</v>
      </c>
      <c r="E1613" s="3">
        <v>211944</v>
      </c>
      <c r="F1613" s="2">
        <v>167742.9129</v>
      </c>
      <c r="G1613" t="s">
        <v>3021</v>
      </c>
      <c r="H1613" t="s">
        <v>3</v>
      </c>
      <c r="I1613">
        <f>HLOOKUP(G1613,zip_tiers!$A$1:$EON$2,2,FALSE)</f>
        <v>68834</v>
      </c>
      <c r="J1613" t="str">
        <f t="shared" si="25"/>
        <v>Med</v>
      </c>
      <c r="K1613">
        <f>dataset[[#This Row],[soda_sales]]/dataset[[#This Row],[soda_units_sold]]</f>
        <v>0.79144921724606498</v>
      </c>
      <c r="L1613" s="29">
        <f>dataset[[#This Row],[implied_soda_ppu]]-dataset[[#This Row],[soda_ppu]]</f>
        <v>4.9217246064992004E-5</v>
      </c>
      <c r="M1613">
        <f>dataset[[#This Row],[soda_sales]]/dataset[[#This Row],[total_sales]]</f>
        <v>6.7074166249380882E-2</v>
      </c>
      <c r="N1613">
        <f>LN(dataset[[#This Row],[soda_units_sold]])</f>
        <v>12.264077367816748</v>
      </c>
      <c r="O1613">
        <f>LN(dataset[[#This Row],[soda_sales]])</f>
        <v>12.030187805953378</v>
      </c>
      <c r="P1613">
        <f>LN(dataset[[#This Row],[soda_ppu]])</f>
        <v>-0.23395175003081314</v>
      </c>
      <c r="Q1613">
        <f>IF(dataset[[#This Row],[state]]="VA",1,0)</f>
        <v>1</v>
      </c>
    </row>
    <row r="1614" spans="1:17" x14ac:dyDescent="0.35">
      <c r="A1614">
        <v>202405</v>
      </c>
      <c r="B1614">
        <v>27</v>
      </c>
      <c r="C1614" s="2">
        <v>2617626.3975999998</v>
      </c>
      <c r="D1614" s="2">
        <v>0.77239999999999998</v>
      </c>
      <c r="E1614" s="3">
        <v>238443</v>
      </c>
      <c r="F1614" s="2">
        <v>184170.5577</v>
      </c>
      <c r="G1614" t="s">
        <v>3021</v>
      </c>
      <c r="H1614" t="s">
        <v>3</v>
      </c>
      <c r="I1614">
        <f>HLOOKUP(G1614,zip_tiers!$A$1:$EON$2,2,FALSE)</f>
        <v>68834</v>
      </c>
      <c r="J1614" t="str">
        <f t="shared" si="25"/>
        <v>Med</v>
      </c>
      <c r="K1614">
        <f>dataset[[#This Row],[soda_sales]]/dataset[[#This Row],[soda_units_sold]]</f>
        <v>0.77238819214655074</v>
      </c>
      <c r="L1614" s="29">
        <f>dataset[[#This Row],[implied_soda_ppu]]-dataset[[#This Row],[soda_ppu]]</f>
        <v>-1.1807853449230521E-5</v>
      </c>
      <c r="M1614">
        <f>dataset[[#This Row],[soda_sales]]/dataset[[#This Row],[total_sales]]</f>
        <v>7.0357847043741178E-2</v>
      </c>
      <c r="N1614">
        <f>LN(dataset[[#This Row],[soda_units_sold]])</f>
        <v>12.381885567036294</v>
      </c>
      <c r="O1614">
        <f>LN(dataset[[#This Row],[soda_sales]])</f>
        <v>12.123617551265552</v>
      </c>
      <c r="P1614">
        <f>LN(dataset[[#This Row],[soda_ppu]])</f>
        <v>-0.25825272842777769</v>
      </c>
      <c r="Q1614">
        <f>IF(dataset[[#This Row],[state]]="VA",1,0)</f>
        <v>1</v>
      </c>
    </row>
    <row r="1615" spans="1:17" x14ac:dyDescent="0.35">
      <c r="A1615">
        <v>202406</v>
      </c>
      <c r="B1615">
        <v>27</v>
      </c>
      <c r="C1615" s="2">
        <v>2474601.1945000002</v>
      </c>
      <c r="D1615" s="2">
        <v>0.7621</v>
      </c>
      <c r="E1615" s="3">
        <v>246234</v>
      </c>
      <c r="F1615" s="2">
        <v>187661.8302</v>
      </c>
      <c r="G1615" t="s">
        <v>3021</v>
      </c>
      <c r="H1615" t="s">
        <v>3</v>
      </c>
      <c r="I1615">
        <f>HLOOKUP(G1615,zip_tiers!$A$1:$EON$2,2,FALSE)</f>
        <v>68834</v>
      </c>
      <c r="J1615" t="str">
        <f t="shared" si="25"/>
        <v>Med</v>
      </c>
      <c r="K1615">
        <f>dataset[[#This Row],[soda_sales]]/dataset[[#This Row],[soda_units_sold]]</f>
        <v>0.76212801725188239</v>
      </c>
      <c r="L1615" s="29">
        <f>dataset[[#This Row],[implied_soda_ppu]]-dataset[[#This Row],[soda_ppu]]</f>
        <v>2.8017251882395122E-5</v>
      </c>
      <c r="M1615">
        <f>dataset[[#This Row],[soda_sales]]/dataset[[#This Row],[total_sales]]</f>
        <v>7.5835181287834771E-2</v>
      </c>
      <c r="N1615">
        <f>LN(dataset[[#This Row],[soda_units_sold]])</f>
        <v>12.414037582304104</v>
      </c>
      <c r="O1615">
        <f>LN(dataset[[#This Row],[soda_sales]])</f>
        <v>12.142396846540807</v>
      </c>
      <c r="P1615">
        <f>LN(dataset[[#This Row],[soda_ppu]])</f>
        <v>-0.27167749831006527</v>
      </c>
      <c r="Q1615">
        <f>IF(dataset[[#This Row],[state]]="VA",1,0)</f>
        <v>1</v>
      </c>
    </row>
    <row r="1616" spans="1:17" x14ac:dyDescent="0.35">
      <c r="A1616">
        <v>202407</v>
      </c>
      <c r="B1616">
        <v>27</v>
      </c>
      <c r="C1616" s="2">
        <v>2372653.9660999998</v>
      </c>
      <c r="D1616" s="2">
        <v>0.74809999999999999</v>
      </c>
      <c r="E1616" s="3">
        <v>266250</v>
      </c>
      <c r="F1616" s="2">
        <v>199187.30319999999</v>
      </c>
      <c r="G1616" t="s">
        <v>3021</v>
      </c>
      <c r="H1616" t="s">
        <v>3</v>
      </c>
      <c r="I1616">
        <f>HLOOKUP(G1616,zip_tiers!$A$1:$EON$2,2,FALSE)</f>
        <v>68834</v>
      </c>
      <c r="J1616" t="str">
        <f t="shared" si="25"/>
        <v>Med</v>
      </c>
      <c r="K1616">
        <f>dataset[[#This Row],[soda_sales]]/dataset[[#This Row],[soda_units_sold]]</f>
        <v>0.74812132657276997</v>
      </c>
      <c r="L1616" s="29">
        <f>dataset[[#This Row],[implied_soda_ppu]]-dataset[[#This Row],[soda_ppu]]</f>
        <v>2.1326572769986285E-5</v>
      </c>
      <c r="M1616">
        <f>dataset[[#This Row],[soda_sales]]/dataset[[#This Row],[total_sales]]</f>
        <v>8.3951265564194313E-2</v>
      </c>
      <c r="N1616">
        <f>LN(dataset[[#This Row],[soda_units_sold]])</f>
        <v>12.492190996005771</v>
      </c>
      <c r="O1616">
        <f>LN(dataset[[#This Row],[soda_sales]])</f>
        <v>12.202000883145399</v>
      </c>
      <c r="P1616">
        <f>LN(dataset[[#This Row],[soda_ppu]])</f>
        <v>-0.29021862010377786</v>
      </c>
      <c r="Q1616">
        <f>IF(dataset[[#This Row],[state]]="VA",1,0)</f>
        <v>1</v>
      </c>
    </row>
    <row r="1617" spans="1:17" x14ac:dyDescent="0.35">
      <c r="A1617">
        <v>202408</v>
      </c>
      <c r="B1617">
        <v>27</v>
      </c>
      <c r="C1617" s="2">
        <v>2275911.3155999999</v>
      </c>
      <c r="D1617" s="2">
        <v>0.77100000000000002</v>
      </c>
      <c r="E1617" s="3">
        <v>223704</v>
      </c>
      <c r="F1617" s="2">
        <v>172485.01639999999</v>
      </c>
      <c r="G1617" t="s">
        <v>3021</v>
      </c>
      <c r="H1617" t="s">
        <v>3</v>
      </c>
      <c r="I1617">
        <f>HLOOKUP(G1617,zip_tiers!$A$1:$EON$2,2,FALSE)</f>
        <v>68834</v>
      </c>
      <c r="J1617" t="str">
        <f t="shared" si="25"/>
        <v>Med</v>
      </c>
      <c r="K1617">
        <f>dataset[[#This Row],[soda_sales]]/dataset[[#This Row],[soda_units_sold]]</f>
        <v>0.77104127060758854</v>
      </c>
      <c r="L1617" s="29">
        <f>dataset[[#This Row],[implied_soda_ppu]]-dataset[[#This Row],[soda_ppu]]</f>
        <v>4.1270607588517194E-5</v>
      </c>
      <c r="M1617">
        <f>dataset[[#This Row],[soda_sales]]/dataset[[#This Row],[total_sales]]</f>
        <v>7.578723090733773E-2</v>
      </c>
      <c r="N1617">
        <f>LN(dataset[[#This Row],[soda_units_sold]])</f>
        <v>12.318079028409104</v>
      </c>
      <c r="O1617">
        <f>LN(dataset[[#This Row],[soda_sales]])</f>
        <v>12.058065650231603</v>
      </c>
      <c r="P1617">
        <f>LN(dataset[[#This Row],[soda_ppu]])</f>
        <v>-0.26006690541880756</v>
      </c>
      <c r="Q1617">
        <f>IF(dataset[[#This Row],[state]]="VA",1,0)</f>
        <v>1</v>
      </c>
    </row>
    <row r="1618" spans="1:17" x14ac:dyDescent="0.35">
      <c r="A1618">
        <v>202409</v>
      </c>
      <c r="B1618">
        <v>27</v>
      </c>
      <c r="C1618" s="2">
        <v>2283891.2590999999</v>
      </c>
      <c r="D1618" s="2">
        <v>0.74880000000000002</v>
      </c>
      <c r="E1618" s="3">
        <v>225384</v>
      </c>
      <c r="F1618" s="2">
        <v>168758.8126</v>
      </c>
      <c r="G1618" t="s">
        <v>3021</v>
      </c>
      <c r="H1618" t="s">
        <v>3</v>
      </c>
      <c r="I1618">
        <f>HLOOKUP(G1618,zip_tiers!$A$1:$EON$2,2,FALSE)</f>
        <v>68834</v>
      </c>
      <c r="J1618" t="str">
        <f t="shared" si="25"/>
        <v>Med</v>
      </c>
      <c r="K1618">
        <f>dataset[[#This Row],[soda_sales]]/dataset[[#This Row],[soda_units_sold]]</f>
        <v>0.74876128119121144</v>
      </c>
      <c r="L1618" s="29">
        <f>dataset[[#This Row],[implied_soda_ppu]]-dataset[[#This Row],[soda_ppu]]</f>
        <v>-3.8718808788584802E-5</v>
      </c>
      <c r="M1618">
        <f>dataset[[#This Row],[soda_sales]]/dataset[[#This Row],[total_sales]]</f>
        <v>7.3890913994960436E-2</v>
      </c>
      <c r="N1618">
        <f>LN(dataset[[#This Row],[soda_units_sold]])</f>
        <v>12.325560893152559</v>
      </c>
      <c r="O1618">
        <f>LN(dataset[[#This Row],[soda_sales]])</f>
        <v>12.036225830186027</v>
      </c>
      <c r="P1618">
        <f>LN(dataset[[#This Row],[soda_ppu]])</f>
        <v>-0.28928335381875475</v>
      </c>
      <c r="Q1618">
        <f>IF(dataset[[#This Row],[state]]="VA",1,0)</f>
        <v>1</v>
      </c>
    </row>
    <row r="1619" spans="1:17" x14ac:dyDescent="0.35">
      <c r="A1619">
        <v>202410</v>
      </c>
      <c r="B1619">
        <v>27</v>
      </c>
      <c r="C1619" s="2">
        <v>2771026.6985999998</v>
      </c>
      <c r="D1619" s="2">
        <v>0.7641</v>
      </c>
      <c r="E1619" s="3">
        <v>207289</v>
      </c>
      <c r="F1619" s="2">
        <v>158385.57</v>
      </c>
      <c r="G1619" t="s">
        <v>3021</v>
      </c>
      <c r="H1619" t="s">
        <v>3</v>
      </c>
      <c r="I1619">
        <f>HLOOKUP(G1619,zip_tiers!$A$1:$EON$2,2,FALSE)</f>
        <v>68834</v>
      </c>
      <c r="J1619" t="str">
        <f t="shared" si="25"/>
        <v>Med</v>
      </c>
      <c r="K1619">
        <f>dataset[[#This Row],[soda_sales]]/dataset[[#This Row],[soda_units_sold]]</f>
        <v>0.76408092083998669</v>
      </c>
      <c r="L1619" s="29">
        <f>dataset[[#This Row],[implied_soda_ppu]]-dataset[[#This Row],[soda_ppu]]</f>
        <v>-1.9079160013313334E-5</v>
      </c>
      <c r="M1619">
        <f>dataset[[#This Row],[soda_sales]]/dataset[[#This Row],[total_sales]]</f>
        <v>5.7157720667224472E-2</v>
      </c>
      <c r="N1619">
        <f>LN(dataset[[#This Row],[soda_units_sold]])</f>
        <v>12.241869233822531</v>
      </c>
      <c r="O1619">
        <f>LN(dataset[[#This Row],[soda_sales]])</f>
        <v>11.972787655727895</v>
      </c>
      <c r="P1619">
        <f>LN(dataset[[#This Row],[soda_ppu]])</f>
        <v>-0.26905660832861605</v>
      </c>
      <c r="Q1619">
        <f>IF(dataset[[#This Row],[state]]="VA",1,0)</f>
        <v>1</v>
      </c>
    </row>
    <row r="1620" spans="1:17" x14ac:dyDescent="0.35">
      <c r="A1620">
        <v>202411</v>
      </c>
      <c r="B1620">
        <v>27</v>
      </c>
      <c r="C1620" s="2">
        <v>3161721.4010999999</v>
      </c>
      <c r="D1620" s="2">
        <v>0.79020000000000001</v>
      </c>
      <c r="E1620" s="3">
        <v>189964</v>
      </c>
      <c r="F1620" s="2">
        <v>150112.93950000001</v>
      </c>
      <c r="G1620" t="s">
        <v>3021</v>
      </c>
      <c r="H1620" t="s">
        <v>3</v>
      </c>
      <c r="I1620">
        <f>HLOOKUP(G1620,zip_tiers!$A$1:$EON$2,2,FALSE)</f>
        <v>68834</v>
      </c>
      <c r="J1620" t="str">
        <f t="shared" si="25"/>
        <v>Med</v>
      </c>
      <c r="K1620">
        <f>dataset[[#This Row],[soda_sales]]/dataset[[#This Row],[soda_units_sold]]</f>
        <v>0.79021782811480079</v>
      </c>
      <c r="L1620" s="29">
        <f>dataset[[#This Row],[implied_soda_ppu]]-dataset[[#This Row],[soda_ppu]]</f>
        <v>1.7828114800777506E-5</v>
      </c>
      <c r="M1620">
        <f>dataset[[#This Row],[soda_sales]]/dataset[[#This Row],[total_sales]]</f>
        <v>4.7478231145784686E-2</v>
      </c>
      <c r="N1620">
        <f>LN(dataset[[#This Row],[soda_units_sold]])</f>
        <v>12.154589859506007</v>
      </c>
      <c r="O1620">
        <f>LN(dataset[[#This Row],[soda_sales]])</f>
        <v>11.919143219768801</v>
      </c>
      <c r="P1620">
        <f>LN(dataset[[#This Row],[soda_ppu]])</f>
        <v>-0.23546920100484667</v>
      </c>
      <c r="Q1620">
        <f>IF(dataset[[#This Row],[state]]="VA",1,0)</f>
        <v>1</v>
      </c>
    </row>
    <row r="1621" spans="1:17" x14ac:dyDescent="0.35">
      <c r="A1621">
        <v>202412</v>
      </c>
      <c r="B1621">
        <v>27</v>
      </c>
      <c r="C1621" s="2">
        <v>3288003.1677000001</v>
      </c>
      <c r="D1621" s="2">
        <v>0.76429999999999998</v>
      </c>
      <c r="E1621" s="3">
        <v>195392</v>
      </c>
      <c r="F1621" s="2">
        <v>149342.47959999999</v>
      </c>
      <c r="G1621" t="s">
        <v>3021</v>
      </c>
      <c r="H1621" t="s">
        <v>3</v>
      </c>
      <c r="I1621">
        <f>HLOOKUP(G1621,zip_tiers!$A$1:$EON$2,2,FALSE)</f>
        <v>68834</v>
      </c>
      <c r="J1621" t="str">
        <f t="shared" si="25"/>
        <v>Med</v>
      </c>
      <c r="K1621">
        <f>dataset[[#This Row],[soda_sales]]/dataset[[#This Row],[soda_units_sold]]</f>
        <v>0.76432238576809686</v>
      </c>
      <c r="L1621" s="29">
        <f>dataset[[#This Row],[implied_soda_ppu]]-dataset[[#This Row],[soda_ppu]]</f>
        <v>2.2385768096877534E-5</v>
      </c>
      <c r="M1621">
        <f>dataset[[#This Row],[soda_sales]]/dataset[[#This Row],[total_sales]]</f>
        <v>4.5420418406855415E-2</v>
      </c>
      <c r="N1621">
        <f>LN(dataset[[#This Row],[soda_units_sold]])</f>
        <v>12.182763076094549</v>
      </c>
      <c r="O1621">
        <f>LN(dataset[[#This Row],[soda_sales]])</f>
        <v>11.9139974681749</v>
      </c>
      <c r="P1621">
        <f>LN(dataset[[#This Row],[soda_ppu]])</f>
        <v>-0.26879489673329865</v>
      </c>
      <c r="Q1621">
        <f>IF(dataset[[#This Row],[state]]="VA",1,0)</f>
        <v>1</v>
      </c>
    </row>
    <row r="1622" spans="1:17" x14ac:dyDescent="0.35">
      <c r="A1622">
        <v>202201</v>
      </c>
      <c r="B1622">
        <v>40</v>
      </c>
      <c r="C1622" s="2">
        <v>1856748.0760999999</v>
      </c>
      <c r="D1622" s="2">
        <v>0.6532</v>
      </c>
      <c r="E1622" s="3">
        <v>165778</v>
      </c>
      <c r="F1622" s="2">
        <v>108277.9244</v>
      </c>
      <c r="G1622" t="s">
        <v>3055</v>
      </c>
      <c r="H1622" t="s">
        <v>3</v>
      </c>
      <c r="I1622">
        <f>HLOOKUP(G1622,zip_tiers!$A$1:$EON$2,2,FALSE)</f>
        <v>70259.5</v>
      </c>
      <c r="J1622" t="str">
        <f t="shared" si="25"/>
        <v>Med</v>
      </c>
      <c r="K1622">
        <f>dataset[[#This Row],[soda_sales]]/dataset[[#This Row],[soda_units_sold]]</f>
        <v>0.65315014296227492</v>
      </c>
      <c r="L1622" s="29">
        <f>dataset[[#This Row],[implied_soda_ppu]]-dataset[[#This Row],[soda_ppu]]</f>
        <v>-4.9857037725087316E-5</v>
      </c>
      <c r="M1622">
        <f>dataset[[#This Row],[soda_sales]]/dataset[[#This Row],[total_sales]]</f>
        <v>5.8315894220519131E-2</v>
      </c>
      <c r="N1622">
        <f>LN(dataset[[#This Row],[soda_units_sold]])</f>
        <v>12.018404822891299</v>
      </c>
      <c r="O1622">
        <f>LN(dataset[[#This Row],[soda_sales]])</f>
        <v>11.59245657472294</v>
      </c>
      <c r="P1622">
        <f>LN(dataset[[#This Row],[soda_ppu]])</f>
        <v>-0.42587191788582701</v>
      </c>
      <c r="Q1622">
        <f>IF(dataset[[#This Row],[state]]="VA",1,0)</f>
        <v>1</v>
      </c>
    </row>
    <row r="1623" spans="1:17" x14ac:dyDescent="0.35">
      <c r="A1623">
        <v>202202</v>
      </c>
      <c r="B1623">
        <v>40</v>
      </c>
      <c r="C1623" s="2">
        <v>2107375.1033999999</v>
      </c>
      <c r="D1623" s="2">
        <v>0.70920000000000005</v>
      </c>
      <c r="E1623" s="3">
        <v>169447</v>
      </c>
      <c r="F1623" s="2">
        <v>120179.57550000001</v>
      </c>
      <c r="G1623" t="s">
        <v>3055</v>
      </c>
      <c r="H1623" t="s">
        <v>3</v>
      </c>
      <c r="I1623">
        <f>HLOOKUP(G1623,zip_tiers!$A$1:$EON$2,2,FALSE)</f>
        <v>70259.5</v>
      </c>
      <c r="J1623" t="str">
        <f t="shared" si="25"/>
        <v>Med</v>
      </c>
      <c r="K1623">
        <f>dataset[[#This Row],[soda_sales]]/dataset[[#This Row],[soda_units_sold]]</f>
        <v>0.70924581432542333</v>
      </c>
      <c r="L1623" s="29">
        <f>dataset[[#This Row],[implied_soda_ppu]]-dataset[[#This Row],[soda_ppu]]</f>
        <v>4.5814325423276792E-5</v>
      </c>
      <c r="M1623">
        <f>dataset[[#This Row],[soda_sales]]/dataset[[#This Row],[total_sales]]</f>
        <v>5.7028089259526939E-2</v>
      </c>
      <c r="N1623">
        <f>LN(dataset[[#This Row],[soda_units_sold]])</f>
        <v>12.040295472540912</v>
      </c>
      <c r="O1623">
        <f>LN(dataset[[#This Row],[soda_sales]])</f>
        <v>11.696742365679983</v>
      </c>
      <c r="P1623">
        <f>LN(dataset[[#This Row],[soda_ppu]])</f>
        <v>-0.34361770478208414</v>
      </c>
      <c r="Q1623">
        <f>IF(dataset[[#This Row],[state]]="VA",1,0)</f>
        <v>1</v>
      </c>
    </row>
    <row r="1624" spans="1:17" x14ac:dyDescent="0.35">
      <c r="A1624">
        <v>202203</v>
      </c>
      <c r="B1624">
        <v>40</v>
      </c>
      <c r="C1624" s="2">
        <v>2346322.8925000001</v>
      </c>
      <c r="D1624" s="2">
        <v>0.72140000000000004</v>
      </c>
      <c r="E1624" s="3">
        <v>200143</v>
      </c>
      <c r="F1624" s="2">
        <v>144375.90049999999</v>
      </c>
      <c r="G1624" t="s">
        <v>3055</v>
      </c>
      <c r="H1624" t="s">
        <v>3</v>
      </c>
      <c r="I1624">
        <f>HLOOKUP(G1624,zip_tiers!$A$1:$EON$2,2,FALSE)</f>
        <v>70259.5</v>
      </c>
      <c r="J1624" t="str">
        <f t="shared" si="25"/>
        <v>Med</v>
      </c>
      <c r="K1624">
        <f>dataset[[#This Row],[soda_sales]]/dataset[[#This Row],[soda_units_sold]]</f>
        <v>0.72136372743488397</v>
      </c>
      <c r="L1624" s="29">
        <f>dataset[[#This Row],[implied_soda_ppu]]-dataset[[#This Row],[soda_ppu]]</f>
        <v>-3.6272565116068911E-5</v>
      </c>
      <c r="M1624">
        <f>dataset[[#This Row],[soda_sales]]/dataset[[#This Row],[total_sales]]</f>
        <v>6.1532835468424335E-2</v>
      </c>
      <c r="N1624">
        <f>LN(dataset[[#This Row],[soda_units_sold]])</f>
        <v>12.20678739003945</v>
      </c>
      <c r="O1624">
        <f>LN(dataset[[#This Row],[soda_sales]])</f>
        <v>11.880175597468181</v>
      </c>
      <c r="P1624">
        <f>LN(dataset[[#This Row],[soda_ppu]])</f>
        <v>-0.32656151051269838</v>
      </c>
      <c r="Q1624">
        <f>IF(dataset[[#This Row],[state]]="VA",1,0)</f>
        <v>1</v>
      </c>
    </row>
    <row r="1625" spans="1:17" x14ac:dyDescent="0.35">
      <c r="A1625">
        <v>202204</v>
      </c>
      <c r="B1625">
        <v>40</v>
      </c>
      <c r="C1625" s="2">
        <v>2476520.1241000001</v>
      </c>
      <c r="D1625" s="2">
        <v>0.69540000000000002</v>
      </c>
      <c r="E1625" s="3">
        <v>241508</v>
      </c>
      <c r="F1625" s="2">
        <v>167945.7525</v>
      </c>
      <c r="G1625" t="s">
        <v>3055</v>
      </c>
      <c r="H1625" t="s">
        <v>3</v>
      </c>
      <c r="I1625">
        <f>HLOOKUP(G1625,zip_tiers!$A$1:$EON$2,2,FALSE)</f>
        <v>70259.5</v>
      </c>
      <c r="J1625" t="str">
        <f t="shared" si="25"/>
        <v>Med</v>
      </c>
      <c r="K1625">
        <f>dataset[[#This Row],[soda_sales]]/dataset[[#This Row],[soda_units_sold]]</f>
        <v>0.69540451040959306</v>
      </c>
      <c r="L1625" s="29">
        <f>dataset[[#This Row],[implied_soda_ppu]]-dataset[[#This Row],[soda_ppu]]</f>
        <v>4.5104095930392774E-6</v>
      </c>
      <c r="M1625">
        <f>dataset[[#This Row],[soda_sales]]/dataset[[#This Row],[total_sales]]</f>
        <v>6.781521816263604E-2</v>
      </c>
      <c r="N1625">
        <f>LN(dataset[[#This Row],[soda_units_sold]])</f>
        <v>12.394657877820096</v>
      </c>
      <c r="O1625">
        <f>LN(dataset[[#This Row],[soda_sales]])</f>
        <v>12.031396304455674</v>
      </c>
      <c r="P1625">
        <f>LN(dataset[[#This Row],[soda_ppu]])</f>
        <v>-0.36326805940837598</v>
      </c>
      <c r="Q1625">
        <f>IF(dataset[[#This Row],[state]]="VA",1,0)</f>
        <v>1</v>
      </c>
    </row>
    <row r="1626" spans="1:17" x14ac:dyDescent="0.35">
      <c r="A1626">
        <v>202205</v>
      </c>
      <c r="B1626">
        <v>40</v>
      </c>
      <c r="C1626" s="2">
        <v>2597556.7524999999</v>
      </c>
      <c r="D1626" s="2">
        <v>0.70779999999999998</v>
      </c>
      <c r="E1626" s="3">
        <v>260504</v>
      </c>
      <c r="F1626" s="2">
        <v>184376.94810000001</v>
      </c>
      <c r="G1626" t="s">
        <v>3055</v>
      </c>
      <c r="H1626" t="s">
        <v>3</v>
      </c>
      <c r="I1626">
        <f>HLOOKUP(G1626,zip_tiers!$A$1:$EON$2,2,FALSE)</f>
        <v>70259.5</v>
      </c>
      <c r="J1626" t="str">
        <f t="shared" si="25"/>
        <v>Med</v>
      </c>
      <c r="K1626">
        <f>dataset[[#This Row],[soda_sales]]/dataset[[#This Row],[soda_units_sold]]</f>
        <v>0.70777012291557906</v>
      </c>
      <c r="L1626" s="29">
        <f>dataset[[#This Row],[implied_soda_ppu]]-dataset[[#This Row],[soda_ppu]]</f>
        <v>-2.9877084420926181E-5</v>
      </c>
      <c r="M1626">
        <f>dataset[[#This Row],[soda_sales]]/dataset[[#This Row],[total_sales]]</f>
        <v>7.0980912321760722E-2</v>
      </c>
      <c r="N1626">
        <f>LN(dataset[[#This Row],[soda_units_sold]])</f>
        <v>12.470373495144043</v>
      </c>
      <c r="O1626">
        <f>LN(dataset[[#This Row],[soda_sales]])</f>
        <v>12.124737571986504</v>
      </c>
      <c r="P1626">
        <f>LN(dataset[[#This Row],[soda_ppu]])</f>
        <v>-0.34559371107077408</v>
      </c>
      <c r="Q1626">
        <f>IF(dataset[[#This Row],[state]]="VA",1,0)</f>
        <v>1</v>
      </c>
    </row>
    <row r="1627" spans="1:17" x14ac:dyDescent="0.35">
      <c r="A1627">
        <v>202206</v>
      </c>
      <c r="B1627">
        <v>40</v>
      </c>
      <c r="C1627" s="2">
        <v>2473837.9350000001</v>
      </c>
      <c r="D1627" s="2">
        <v>0.6915</v>
      </c>
      <c r="E1627" s="3">
        <v>279096</v>
      </c>
      <c r="F1627" s="2">
        <v>193003.6207</v>
      </c>
      <c r="G1627" t="s">
        <v>3055</v>
      </c>
      <c r="H1627" t="s">
        <v>3</v>
      </c>
      <c r="I1627">
        <f>HLOOKUP(G1627,zip_tiers!$A$1:$EON$2,2,FALSE)</f>
        <v>70259.5</v>
      </c>
      <c r="J1627" t="str">
        <f t="shared" si="25"/>
        <v>Med</v>
      </c>
      <c r="K1627">
        <f>dataset[[#This Row],[soda_sales]]/dataset[[#This Row],[soda_units_sold]]</f>
        <v>0.69153130356579817</v>
      </c>
      <c r="L1627" s="29">
        <f>dataset[[#This Row],[implied_soda_ppu]]-dataset[[#This Row],[soda_ppu]]</f>
        <v>3.130356579816862E-5</v>
      </c>
      <c r="M1627">
        <f>dataset[[#This Row],[soda_sales]]/dataset[[#This Row],[total_sales]]</f>
        <v>7.801789194408161E-2</v>
      </c>
      <c r="N1627">
        <f>LN(dataset[[#This Row],[soda_units_sold]])</f>
        <v>12.539311087640989</v>
      </c>
      <c r="O1627">
        <f>LN(dataset[[#This Row],[soda_sales]])</f>
        <v>12.170464227814682</v>
      </c>
      <c r="P1627">
        <f>LN(dataset[[#This Row],[soda_ppu]])</f>
        <v>-0.36889212787732417</v>
      </c>
      <c r="Q1627">
        <f>IF(dataset[[#This Row],[state]]="VA",1,0)</f>
        <v>1</v>
      </c>
    </row>
    <row r="1628" spans="1:17" x14ac:dyDescent="0.35">
      <c r="A1628">
        <v>202207</v>
      </c>
      <c r="B1628">
        <v>40</v>
      </c>
      <c r="C1628" s="2">
        <v>2380326.1908999998</v>
      </c>
      <c r="D1628" s="2">
        <v>0.70030000000000003</v>
      </c>
      <c r="E1628" s="3">
        <v>287335</v>
      </c>
      <c r="F1628" s="2">
        <v>201226.11319999999</v>
      </c>
      <c r="G1628" t="s">
        <v>3055</v>
      </c>
      <c r="H1628" t="s">
        <v>3</v>
      </c>
      <c r="I1628">
        <f>HLOOKUP(G1628,zip_tiers!$A$1:$EON$2,2,FALSE)</f>
        <v>70259.5</v>
      </c>
      <c r="J1628" t="str">
        <f t="shared" si="25"/>
        <v>Med</v>
      </c>
      <c r="K1628">
        <f>dataset[[#This Row],[soda_sales]]/dataset[[#This Row],[soda_units_sold]]</f>
        <v>0.70031883759374947</v>
      </c>
      <c r="L1628" s="29">
        <f>dataset[[#This Row],[implied_soda_ppu]]-dataset[[#This Row],[soda_ppu]]</f>
        <v>1.883759374943228E-5</v>
      </c>
      <c r="M1628">
        <f>dataset[[#This Row],[soda_sales]]/dataset[[#This Row],[total_sales]]</f>
        <v>8.4537200812766139E-2</v>
      </c>
      <c r="N1628">
        <f>LN(dataset[[#This Row],[soda_units_sold]])</f>
        <v>12.568404061424935</v>
      </c>
      <c r="O1628">
        <f>LN(dataset[[#This Row],[soda_sales]])</f>
        <v>12.212184496062424</v>
      </c>
      <c r="P1628">
        <f>LN(dataset[[#This Row],[soda_ppu]])</f>
        <v>-0.35624646432066498</v>
      </c>
      <c r="Q1628">
        <f>IF(dataset[[#This Row],[state]]="VA",1,0)</f>
        <v>1</v>
      </c>
    </row>
    <row r="1629" spans="1:17" x14ac:dyDescent="0.35">
      <c r="A1629">
        <v>202208</v>
      </c>
      <c r="B1629">
        <v>40</v>
      </c>
      <c r="C1629" s="2">
        <v>2253239.0356000001</v>
      </c>
      <c r="D1629" s="2">
        <v>0.72450000000000003</v>
      </c>
      <c r="E1629" s="3">
        <v>242182</v>
      </c>
      <c r="F1629" s="2">
        <v>175466.20199999999</v>
      </c>
      <c r="G1629" t="s">
        <v>3055</v>
      </c>
      <c r="H1629" t="s">
        <v>3</v>
      </c>
      <c r="I1629">
        <f>HLOOKUP(G1629,zip_tiers!$A$1:$EON$2,2,FALSE)</f>
        <v>70259.5</v>
      </c>
      <c r="J1629" t="str">
        <f t="shared" si="25"/>
        <v>Med</v>
      </c>
      <c r="K1629">
        <f>dataset[[#This Row],[soda_sales]]/dataset[[#This Row],[soda_units_sold]]</f>
        <v>0.72452206192037394</v>
      </c>
      <c r="L1629" s="29">
        <f>dataset[[#This Row],[implied_soda_ppu]]-dataset[[#This Row],[soda_ppu]]</f>
        <v>2.2061920373905863E-5</v>
      </c>
      <c r="M1629">
        <f>dataset[[#This Row],[soda_sales]]/dataset[[#This Row],[total_sales]]</f>
        <v>7.7872875104560868E-2</v>
      </c>
      <c r="N1629">
        <f>LN(dataset[[#This Row],[soda_units_sold]])</f>
        <v>12.397444788594516</v>
      </c>
      <c r="O1629">
        <f>LN(dataset[[#This Row],[soda_sales]])</f>
        <v>12.075201722145337</v>
      </c>
      <c r="P1629">
        <f>LN(dataset[[#This Row],[soda_ppu]])</f>
        <v>-0.32227351722139996</v>
      </c>
      <c r="Q1629">
        <f>IF(dataset[[#This Row],[state]]="VA",1,0)</f>
        <v>1</v>
      </c>
    </row>
    <row r="1630" spans="1:17" x14ac:dyDescent="0.35">
      <c r="A1630">
        <v>202209</v>
      </c>
      <c r="B1630">
        <v>40</v>
      </c>
      <c r="C1630" s="2">
        <v>2223585.6145000001</v>
      </c>
      <c r="D1630" s="2">
        <v>0.69240000000000002</v>
      </c>
      <c r="E1630" s="3">
        <v>237459</v>
      </c>
      <c r="F1630" s="2">
        <v>164419.1838</v>
      </c>
      <c r="G1630" t="s">
        <v>3055</v>
      </c>
      <c r="H1630" t="s">
        <v>3</v>
      </c>
      <c r="I1630">
        <f>HLOOKUP(G1630,zip_tiers!$A$1:$EON$2,2,FALSE)</f>
        <v>70259.5</v>
      </c>
      <c r="J1630" t="str">
        <f t="shared" si="25"/>
        <v>Med</v>
      </c>
      <c r="K1630">
        <f>dataset[[#This Row],[soda_sales]]/dataset[[#This Row],[soda_units_sold]]</f>
        <v>0.69241083218576682</v>
      </c>
      <c r="L1630" s="29">
        <f>dataset[[#This Row],[implied_soda_ppu]]-dataset[[#This Row],[soda_ppu]]</f>
        <v>1.0832185766807001E-5</v>
      </c>
      <c r="M1630">
        <f>dataset[[#This Row],[soda_sales]]/dataset[[#This Row],[total_sales]]</f>
        <v>7.3943266554623591E-2</v>
      </c>
      <c r="N1630">
        <f>LN(dataset[[#This Row],[soda_units_sold]])</f>
        <v>12.377750255975339</v>
      </c>
      <c r="O1630">
        <f>LN(dataset[[#This Row],[soda_sales]])</f>
        <v>12.010174444577515</v>
      </c>
      <c r="P1630">
        <f>LN(dataset[[#This Row],[soda_ppu]])</f>
        <v>-0.36759145568008283</v>
      </c>
      <c r="Q1630">
        <f>IF(dataset[[#This Row],[state]]="VA",1,0)</f>
        <v>1</v>
      </c>
    </row>
    <row r="1631" spans="1:17" x14ac:dyDescent="0.35">
      <c r="A1631">
        <v>202210</v>
      </c>
      <c r="B1631">
        <v>40</v>
      </c>
      <c r="C1631" s="2">
        <v>2753714.7859999998</v>
      </c>
      <c r="D1631" s="2">
        <v>0.70050000000000001</v>
      </c>
      <c r="E1631" s="3">
        <v>229461</v>
      </c>
      <c r="F1631" s="2">
        <v>160726.34820000001</v>
      </c>
      <c r="G1631" t="s">
        <v>3055</v>
      </c>
      <c r="H1631" t="s">
        <v>3</v>
      </c>
      <c r="I1631">
        <f>HLOOKUP(G1631,zip_tiers!$A$1:$EON$2,2,FALSE)</f>
        <v>70259.5</v>
      </c>
      <c r="J1631" t="str">
        <f t="shared" si="25"/>
        <v>Med</v>
      </c>
      <c r="K1631">
        <f>dataset[[#This Row],[soda_sales]]/dataset[[#This Row],[soda_units_sold]]</f>
        <v>0.70045170290376146</v>
      </c>
      <c r="L1631" s="29">
        <f>dataset[[#This Row],[implied_soda_ppu]]-dataset[[#This Row],[soda_ppu]]</f>
        <v>-4.829709623854761E-5</v>
      </c>
      <c r="M1631">
        <f>dataset[[#This Row],[soda_sales]]/dataset[[#This Row],[total_sales]]</f>
        <v>5.8367100695082663E-2</v>
      </c>
      <c r="N1631">
        <f>LN(dataset[[#This Row],[soda_units_sold]])</f>
        <v>12.343488359401688</v>
      </c>
      <c r="O1631">
        <f>LN(dataset[[#This Row],[soda_sales]])</f>
        <v>11.98745849721549</v>
      </c>
      <c r="P1631">
        <f>LN(dataset[[#This Row],[soda_ppu]])</f>
        <v>-0.35596091320507534</v>
      </c>
      <c r="Q1631">
        <f>IF(dataset[[#This Row],[state]]="VA",1,0)</f>
        <v>1</v>
      </c>
    </row>
    <row r="1632" spans="1:17" x14ac:dyDescent="0.35">
      <c r="A1632">
        <v>202211</v>
      </c>
      <c r="B1632">
        <v>40</v>
      </c>
      <c r="C1632" s="2">
        <v>3155995.6077999999</v>
      </c>
      <c r="D1632" s="2">
        <v>0.68820000000000003</v>
      </c>
      <c r="E1632" s="3">
        <v>221124</v>
      </c>
      <c r="F1632" s="2">
        <v>152171.5514</v>
      </c>
      <c r="G1632" t="s">
        <v>3055</v>
      </c>
      <c r="H1632" t="s">
        <v>3</v>
      </c>
      <c r="I1632">
        <f>HLOOKUP(G1632,zip_tiers!$A$1:$EON$2,2,FALSE)</f>
        <v>70259.5</v>
      </c>
      <c r="J1632" t="str">
        <f t="shared" si="25"/>
        <v>Med</v>
      </c>
      <c r="K1632">
        <f>dataset[[#This Row],[soda_sales]]/dataset[[#This Row],[soda_units_sold]]</f>
        <v>0.68817293192959605</v>
      </c>
      <c r="L1632" s="29">
        <f>dataset[[#This Row],[implied_soda_ppu]]-dataset[[#This Row],[soda_ppu]]</f>
        <v>-2.7068070403979405E-5</v>
      </c>
      <c r="M1632">
        <f>dataset[[#This Row],[soda_sales]]/dataset[[#This Row],[total_sales]]</f>
        <v>4.8216654999110292E-2</v>
      </c>
      <c r="N1632">
        <f>LN(dataset[[#This Row],[soda_units_sold]])</f>
        <v>12.306478909122861</v>
      </c>
      <c r="O1632">
        <f>LN(dataset[[#This Row],[soda_sales]])</f>
        <v>11.932763791038637</v>
      </c>
      <c r="P1632">
        <f>LN(dataset[[#This Row],[soda_ppu]])</f>
        <v>-0.37367578561875697</v>
      </c>
      <c r="Q1632">
        <f>IF(dataset[[#This Row],[state]]="VA",1,0)</f>
        <v>1</v>
      </c>
    </row>
    <row r="1633" spans="1:17" x14ac:dyDescent="0.35">
      <c r="A1633">
        <v>202212</v>
      </c>
      <c r="B1633">
        <v>40</v>
      </c>
      <c r="C1633" s="2">
        <v>3256602.1088</v>
      </c>
      <c r="D1633" s="2">
        <v>0.70169999999999999</v>
      </c>
      <c r="E1633" s="3">
        <v>208590</v>
      </c>
      <c r="F1633" s="2">
        <v>146358.92619999999</v>
      </c>
      <c r="G1633" t="s">
        <v>3055</v>
      </c>
      <c r="H1633" t="s">
        <v>3</v>
      </c>
      <c r="I1633">
        <f>HLOOKUP(G1633,zip_tiers!$A$1:$EON$2,2,FALSE)</f>
        <v>70259.5</v>
      </c>
      <c r="J1633" t="str">
        <f t="shared" si="25"/>
        <v>Med</v>
      </c>
      <c r="K1633">
        <f>dataset[[#This Row],[soda_sales]]/dataset[[#This Row],[soda_units_sold]]</f>
        <v>0.70165840260798695</v>
      </c>
      <c r="L1633" s="29">
        <f>dataset[[#This Row],[implied_soda_ppu]]-dataset[[#This Row],[soda_ppu]]</f>
        <v>-4.1597392013037471E-5</v>
      </c>
      <c r="M1633">
        <f>dataset[[#This Row],[soda_sales]]/dataset[[#This Row],[total_sales]]</f>
        <v>4.4942219316418314E-2</v>
      </c>
      <c r="N1633">
        <f>LN(dataset[[#This Row],[soda_units_sold]])</f>
        <v>12.248125881761172</v>
      </c>
      <c r="O1633">
        <f>LN(dataset[[#This Row],[soda_sales]])</f>
        <v>11.893817282402212</v>
      </c>
      <c r="P1633">
        <f>LN(dataset[[#This Row],[soda_ppu]])</f>
        <v>-0.35424931672389404</v>
      </c>
      <c r="Q1633">
        <f>IF(dataset[[#This Row],[state]]="VA",1,0)</f>
        <v>1</v>
      </c>
    </row>
    <row r="1634" spans="1:17" x14ac:dyDescent="0.35">
      <c r="A1634">
        <v>202301</v>
      </c>
      <c r="B1634">
        <v>40</v>
      </c>
      <c r="C1634" s="2">
        <v>1877085.1099</v>
      </c>
      <c r="D1634" s="2">
        <v>0.72509999999999997</v>
      </c>
      <c r="E1634" s="3">
        <v>148375</v>
      </c>
      <c r="F1634" s="2">
        <v>107585.75049999999</v>
      </c>
      <c r="G1634" t="s">
        <v>3055</v>
      </c>
      <c r="H1634" t="s">
        <v>3</v>
      </c>
      <c r="I1634">
        <f>HLOOKUP(G1634,zip_tiers!$A$1:$EON$2,2,FALSE)</f>
        <v>70259.5</v>
      </c>
      <c r="J1634" t="str">
        <f t="shared" si="25"/>
        <v>Med</v>
      </c>
      <c r="K1634">
        <f>dataset[[#This Row],[soda_sales]]/dataset[[#This Row],[soda_units_sold]]</f>
        <v>0.7250935164279696</v>
      </c>
      <c r="L1634" s="29">
        <f>dataset[[#This Row],[implied_soda_ppu]]-dataset[[#This Row],[soda_ppu]]</f>
        <v>-6.4835720303690891E-6</v>
      </c>
      <c r="M1634">
        <f>dataset[[#This Row],[soda_sales]]/dataset[[#This Row],[total_sales]]</f>
        <v>5.7315328928122779E-2</v>
      </c>
      <c r="N1634">
        <f>LN(dataset[[#This Row],[soda_units_sold]])</f>
        <v>11.90749813191197</v>
      </c>
      <c r="O1634">
        <f>LN(dataset[[#This Row],[soda_sales]])</f>
        <v>11.586043487642756</v>
      </c>
      <c r="P1634">
        <f>LN(dataset[[#This Row],[soda_ppu]])</f>
        <v>-0.3214457026045901</v>
      </c>
      <c r="Q1634">
        <f>IF(dataset[[#This Row],[state]]="VA",1,0)</f>
        <v>1</v>
      </c>
    </row>
    <row r="1635" spans="1:17" x14ac:dyDescent="0.35">
      <c r="A1635">
        <v>202302</v>
      </c>
      <c r="B1635">
        <v>40</v>
      </c>
      <c r="C1635" s="2">
        <v>2159488.1135</v>
      </c>
      <c r="D1635" s="2">
        <v>0.73760000000000003</v>
      </c>
      <c r="E1635" s="3">
        <v>167669</v>
      </c>
      <c r="F1635" s="2">
        <v>123680.4748</v>
      </c>
      <c r="G1635" t="s">
        <v>3055</v>
      </c>
      <c r="H1635" t="s">
        <v>3</v>
      </c>
      <c r="I1635">
        <f>HLOOKUP(G1635,zip_tiers!$A$1:$EON$2,2,FALSE)</f>
        <v>70259.5</v>
      </c>
      <c r="J1635" t="str">
        <f t="shared" si="25"/>
        <v>Med</v>
      </c>
      <c r="K1635">
        <f>dataset[[#This Row],[soda_sales]]/dataset[[#This Row],[soda_units_sold]]</f>
        <v>0.73764664189563955</v>
      </c>
      <c r="L1635" s="29">
        <f>dataset[[#This Row],[implied_soda_ppu]]-dataset[[#This Row],[soda_ppu]]</f>
        <v>4.6641895639520925E-5</v>
      </c>
      <c r="M1635">
        <f>dataset[[#This Row],[soda_sales]]/dataset[[#This Row],[total_sales]]</f>
        <v>5.7273051899111554E-2</v>
      </c>
      <c r="N1635">
        <f>LN(dataset[[#This Row],[soda_units_sold]])</f>
        <v>12.029747076817927</v>
      </c>
      <c r="O1635">
        <f>LN(dataset[[#This Row],[soda_sales]])</f>
        <v>11.725456702753078</v>
      </c>
      <c r="P1635">
        <f>LN(dataset[[#This Row],[soda_ppu]])</f>
        <v>-0.30435360673975292</v>
      </c>
      <c r="Q1635">
        <f>IF(dataset[[#This Row],[state]]="VA",1,0)</f>
        <v>1</v>
      </c>
    </row>
    <row r="1636" spans="1:17" x14ac:dyDescent="0.35">
      <c r="A1636">
        <v>202303</v>
      </c>
      <c r="B1636">
        <v>40</v>
      </c>
      <c r="C1636" s="2">
        <v>2386857.0375999999</v>
      </c>
      <c r="D1636" s="2">
        <v>0.72189999999999999</v>
      </c>
      <c r="E1636" s="3">
        <v>205318</v>
      </c>
      <c r="F1636" s="2">
        <v>148215.7004</v>
      </c>
      <c r="G1636" t="s">
        <v>3055</v>
      </c>
      <c r="H1636" t="s">
        <v>3</v>
      </c>
      <c r="I1636">
        <f>HLOOKUP(G1636,zip_tiers!$A$1:$EON$2,2,FALSE)</f>
        <v>70259.5</v>
      </c>
      <c r="J1636" t="str">
        <f t="shared" si="25"/>
        <v>Med</v>
      </c>
      <c r="K1636">
        <f>dataset[[#This Row],[soda_sales]]/dataset[[#This Row],[soda_units_sold]]</f>
        <v>0.7218836166337097</v>
      </c>
      <c r="L1636" s="29">
        <f>dataset[[#This Row],[implied_soda_ppu]]-dataset[[#This Row],[soda_ppu]]</f>
        <v>-1.6383366290284584E-5</v>
      </c>
      <c r="M1636">
        <f>dataset[[#This Row],[soda_sales]]/dataset[[#This Row],[total_sales]]</f>
        <v>6.2096597351734076E-2</v>
      </c>
      <c r="N1636">
        <f>LN(dataset[[#This Row],[soda_units_sold]])</f>
        <v>12.23231527573453</v>
      </c>
      <c r="O1636">
        <f>LN(dataset[[#This Row],[soda_sales]])</f>
        <v>11.906423926853595</v>
      </c>
      <c r="P1636">
        <f>LN(dataset[[#This Row],[soda_ppu]])</f>
        <v>-0.32586865383702174</v>
      </c>
      <c r="Q1636">
        <f>IF(dataset[[#This Row],[state]]="VA",1,0)</f>
        <v>1</v>
      </c>
    </row>
    <row r="1637" spans="1:17" x14ac:dyDescent="0.35">
      <c r="A1637">
        <v>202304</v>
      </c>
      <c r="B1637">
        <v>40</v>
      </c>
      <c r="C1637" s="2">
        <v>2533560.1819000002</v>
      </c>
      <c r="D1637" s="2">
        <v>0.73229999999999995</v>
      </c>
      <c r="E1637" s="3">
        <v>235234</v>
      </c>
      <c r="F1637" s="2">
        <v>172262.54250000001</v>
      </c>
      <c r="G1637" t="s">
        <v>3055</v>
      </c>
      <c r="H1637" t="s">
        <v>3</v>
      </c>
      <c r="I1637">
        <f>HLOOKUP(G1637,zip_tiers!$A$1:$EON$2,2,FALSE)</f>
        <v>70259.5</v>
      </c>
      <c r="J1637" t="str">
        <f t="shared" si="25"/>
        <v>Med</v>
      </c>
      <c r="K1637">
        <f>dataset[[#This Row],[soda_sales]]/dataset[[#This Row],[soda_units_sold]]</f>
        <v>0.73230290901825423</v>
      </c>
      <c r="L1637" s="29">
        <f>dataset[[#This Row],[implied_soda_ppu]]-dataset[[#This Row],[soda_ppu]]</f>
        <v>2.9090182542823584E-6</v>
      </c>
      <c r="M1637">
        <f>dataset[[#This Row],[soda_sales]]/dataset[[#This Row],[total_sales]]</f>
        <v>6.7992283637333867E-2</v>
      </c>
      <c r="N1637">
        <f>LN(dataset[[#This Row],[soda_units_sold]])</f>
        <v>12.368336042382262</v>
      </c>
      <c r="O1637">
        <f>LN(dataset[[#This Row],[soda_sales]])</f>
        <v>12.056775001899863</v>
      </c>
      <c r="P1637">
        <f>LN(dataset[[#This Row],[soda_ppu]])</f>
        <v>-0.31156501291511302</v>
      </c>
      <c r="Q1637">
        <f>IF(dataset[[#This Row],[state]]="VA",1,0)</f>
        <v>1</v>
      </c>
    </row>
    <row r="1638" spans="1:17" x14ac:dyDescent="0.35">
      <c r="A1638">
        <v>202305</v>
      </c>
      <c r="B1638">
        <v>40</v>
      </c>
      <c r="C1638" s="2">
        <v>2646885.4742000001</v>
      </c>
      <c r="D1638" s="2">
        <v>0.70050000000000001</v>
      </c>
      <c r="E1638" s="3">
        <v>266859</v>
      </c>
      <c r="F1638" s="2">
        <v>186930.89679999999</v>
      </c>
      <c r="G1638" t="s">
        <v>3055</v>
      </c>
      <c r="H1638" t="s">
        <v>3</v>
      </c>
      <c r="I1638">
        <f>HLOOKUP(G1638,zip_tiers!$A$1:$EON$2,2,FALSE)</f>
        <v>70259.5</v>
      </c>
      <c r="J1638" t="str">
        <f t="shared" si="25"/>
        <v>Med</v>
      </c>
      <c r="K1638">
        <f>dataset[[#This Row],[soda_sales]]/dataset[[#This Row],[soda_units_sold]]</f>
        <v>0.70048563773378447</v>
      </c>
      <c r="L1638" s="29">
        <f>dataset[[#This Row],[implied_soda_ppu]]-dataset[[#This Row],[soda_ppu]]</f>
        <v>-1.4362266215539599E-5</v>
      </c>
      <c r="M1638">
        <f>dataset[[#This Row],[soda_sales]]/dataset[[#This Row],[total_sales]]</f>
        <v>7.0622963714173675E-2</v>
      </c>
      <c r="N1638">
        <f>LN(dataset[[#This Row],[soda_units_sold]])</f>
        <v>12.494475708006171</v>
      </c>
      <c r="O1638">
        <f>LN(dataset[[#This Row],[soda_sales]])</f>
        <v>12.138494291712657</v>
      </c>
      <c r="P1638">
        <f>LN(dataset[[#This Row],[soda_ppu]])</f>
        <v>-0.35596091320507534</v>
      </c>
      <c r="Q1638">
        <f>IF(dataset[[#This Row],[state]]="VA",1,0)</f>
        <v>1</v>
      </c>
    </row>
    <row r="1639" spans="1:17" x14ac:dyDescent="0.35">
      <c r="A1639">
        <v>202306</v>
      </c>
      <c r="B1639">
        <v>40</v>
      </c>
      <c r="C1639" s="2">
        <v>2468951.0394000001</v>
      </c>
      <c r="D1639" s="2">
        <v>0.70530000000000004</v>
      </c>
      <c r="E1639" s="3">
        <v>269755</v>
      </c>
      <c r="F1639" s="2">
        <v>190263.8553</v>
      </c>
      <c r="G1639" t="s">
        <v>3055</v>
      </c>
      <c r="H1639" t="s">
        <v>3</v>
      </c>
      <c r="I1639">
        <f>HLOOKUP(G1639,zip_tiers!$A$1:$EON$2,2,FALSE)</f>
        <v>70259.5</v>
      </c>
      <c r="J1639" t="str">
        <f t="shared" si="25"/>
        <v>Med</v>
      </c>
      <c r="K1639">
        <f>dataset[[#This Row],[soda_sales]]/dataset[[#This Row],[soda_units_sold]]</f>
        <v>0.70532095901836855</v>
      </c>
      <c r="L1639" s="29">
        <f>dataset[[#This Row],[implied_soda_ppu]]-dataset[[#This Row],[soda_ppu]]</f>
        <v>2.0959018368515991E-5</v>
      </c>
      <c r="M1639">
        <f>dataset[[#This Row],[soda_sales]]/dataset[[#This Row],[total_sales]]</f>
        <v>7.7062627919198254E-2</v>
      </c>
      <c r="N1639">
        <f>LN(dataset[[#This Row],[soda_units_sold]])</f>
        <v>12.505269418629783</v>
      </c>
      <c r="O1639">
        <f>LN(dataset[[#This Row],[soda_sales]])</f>
        <v>12.156167099879022</v>
      </c>
      <c r="P1639">
        <f>LN(dataset[[#This Row],[soda_ppu]])</f>
        <v>-0.34913203476800347</v>
      </c>
      <c r="Q1639">
        <f>IF(dataset[[#This Row],[state]]="VA",1,0)</f>
        <v>1</v>
      </c>
    </row>
    <row r="1640" spans="1:17" x14ac:dyDescent="0.35">
      <c r="A1640">
        <v>202307</v>
      </c>
      <c r="B1640">
        <v>40</v>
      </c>
      <c r="C1640" s="2">
        <v>2401125.3344000001</v>
      </c>
      <c r="D1640" s="2">
        <v>0.69199999999999995</v>
      </c>
      <c r="E1640" s="3">
        <v>289624</v>
      </c>
      <c r="F1640" s="2">
        <v>200427.4454</v>
      </c>
      <c r="G1640" t="s">
        <v>3055</v>
      </c>
      <c r="H1640" t="s">
        <v>3</v>
      </c>
      <c r="I1640">
        <f>HLOOKUP(G1640,zip_tiers!$A$1:$EON$2,2,FALSE)</f>
        <v>70259.5</v>
      </c>
      <c r="J1640" t="str">
        <f t="shared" si="25"/>
        <v>Med</v>
      </c>
      <c r="K1640">
        <f>dataset[[#This Row],[soda_sales]]/dataset[[#This Row],[soda_units_sold]]</f>
        <v>0.69202637005220557</v>
      </c>
      <c r="L1640" s="29">
        <f>dataset[[#This Row],[implied_soda_ppu]]-dataset[[#This Row],[soda_ppu]]</f>
        <v>2.6370052205626493E-5</v>
      </c>
      <c r="M1640">
        <f>dataset[[#This Row],[soda_sales]]/dataset[[#This Row],[total_sales]]</f>
        <v>8.3472296313962871E-2</v>
      </c>
      <c r="N1640">
        <f>LN(dataset[[#This Row],[soda_units_sold]])</f>
        <v>12.576338808988103</v>
      </c>
      <c r="O1640">
        <f>LN(dataset[[#This Row],[soda_sales]])</f>
        <v>12.20820759190944</v>
      </c>
      <c r="P1640">
        <f>LN(dataset[[#This Row],[soda_ppu]])</f>
        <v>-0.36816932336446756</v>
      </c>
      <c r="Q1640">
        <f>IF(dataset[[#This Row],[state]]="VA",1,0)</f>
        <v>1</v>
      </c>
    </row>
    <row r="1641" spans="1:17" x14ac:dyDescent="0.35">
      <c r="A1641">
        <v>202308</v>
      </c>
      <c r="B1641">
        <v>40</v>
      </c>
      <c r="C1641" s="2">
        <v>2313212.2231000001</v>
      </c>
      <c r="D1641" s="2">
        <v>0.68269999999999997</v>
      </c>
      <c r="E1641" s="3">
        <v>257080</v>
      </c>
      <c r="F1641" s="2">
        <v>175518.95310000001</v>
      </c>
      <c r="G1641" t="s">
        <v>3055</v>
      </c>
      <c r="H1641" t="s">
        <v>3</v>
      </c>
      <c r="I1641">
        <f>HLOOKUP(G1641,zip_tiers!$A$1:$EON$2,2,FALSE)</f>
        <v>70259.5</v>
      </c>
      <c r="J1641" t="str">
        <f t="shared" si="25"/>
        <v>Med</v>
      </c>
      <c r="K1641">
        <f>dataset[[#This Row],[soda_sales]]/dataset[[#This Row],[soda_units_sold]]</f>
        <v>0.68274059864633585</v>
      </c>
      <c r="L1641" s="29">
        <f>dataset[[#This Row],[implied_soda_ppu]]-dataset[[#This Row],[soda_ppu]]</f>
        <v>4.0598646335876509E-5</v>
      </c>
      <c r="M1641">
        <f>dataset[[#This Row],[soda_sales]]/dataset[[#This Row],[total_sales]]</f>
        <v>7.5876718680304295E-2</v>
      </c>
      <c r="N1641">
        <f>LN(dataset[[#This Row],[soda_units_sold]])</f>
        <v>12.457142599485222</v>
      </c>
      <c r="O1641">
        <f>LN(dataset[[#This Row],[soda_sales]])</f>
        <v>12.075502310928826</v>
      </c>
      <c r="P1641">
        <f>LN(dataset[[#This Row],[soda_ppu]])</f>
        <v>-0.38169975455790245</v>
      </c>
      <c r="Q1641">
        <f>IF(dataset[[#This Row],[state]]="VA",1,0)</f>
        <v>1</v>
      </c>
    </row>
    <row r="1642" spans="1:17" x14ac:dyDescent="0.35">
      <c r="A1642">
        <v>202309</v>
      </c>
      <c r="B1642">
        <v>40</v>
      </c>
      <c r="C1642" s="2">
        <v>2312506.1866000001</v>
      </c>
      <c r="D1642" s="2">
        <v>0.69979999999999998</v>
      </c>
      <c r="E1642" s="3">
        <v>246347</v>
      </c>
      <c r="F1642" s="2">
        <v>172384.2763</v>
      </c>
      <c r="G1642" t="s">
        <v>3055</v>
      </c>
      <c r="H1642" t="s">
        <v>3</v>
      </c>
      <c r="I1642">
        <f>HLOOKUP(G1642,zip_tiers!$A$1:$EON$2,2,FALSE)</f>
        <v>70259.5</v>
      </c>
      <c r="J1642" t="str">
        <f t="shared" si="25"/>
        <v>Med</v>
      </c>
      <c r="K1642">
        <f>dataset[[#This Row],[soda_sales]]/dataset[[#This Row],[soda_units_sold]]</f>
        <v>0.69976202795244102</v>
      </c>
      <c r="L1642" s="29">
        <f>dataset[[#This Row],[implied_soda_ppu]]-dataset[[#This Row],[soda_ppu]]</f>
        <v>-3.7972047558954003E-5</v>
      </c>
      <c r="M1642">
        <f>dataset[[#This Row],[soda_sales]]/dataset[[#This Row],[total_sales]]</f>
        <v>7.4544352486014653E-2</v>
      </c>
      <c r="N1642">
        <f>LN(dataset[[#This Row],[soda_units_sold]])</f>
        <v>12.414496390102141</v>
      </c>
      <c r="O1642">
        <f>LN(dataset[[#This Row],[soda_sales]])</f>
        <v>12.057481428295942</v>
      </c>
      <c r="P1642">
        <f>LN(dataset[[#This Row],[soda_ppu]])</f>
        <v>-0.35696069904854943</v>
      </c>
      <c r="Q1642">
        <f>IF(dataset[[#This Row],[state]]="VA",1,0)</f>
        <v>1</v>
      </c>
    </row>
    <row r="1643" spans="1:17" x14ac:dyDescent="0.35">
      <c r="A1643">
        <v>202310</v>
      </c>
      <c r="B1643">
        <v>40</v>
      </c>
      <c r="C1643" s="2">
        <v>2793503.4822</v>
      </c>
      <c r="D1643" s="2">
        <v>0.70489999999999997</v>
      </c>
      <c r="E1643" s="3">
        <v>227831</v>
      </c>
      <c r="F1643" s="2">
        <v>160588.57029999999</v>
      </c>
      <c r="G1643" t="s">
        <v>3055</v>
      </c>
      <c r="H1643" t="s">
        <v>3</v>
      </c>
      <c r="I1643">
        <f>HLOOKUP(G1643,zip_tiers!$A$1:$EON$2,2,FALSE)</f>
        <v>70259.5</v>
      </c>
      <c r="J1643" t="str">
        <f t="shared" si="25"/>
        <v>Med</v>
      </c>
      <c r="K1643">
        <f>dataset[[#This Row],[soda_sales]]/dataset[[#This Row],[soda_units_sold]]</f>
        <v>0.70485829540317158</v>
      </c>
      <c r="L1643" s="29">
        <f>dataset[[#This Row],[implied_soda_ppu]]-dataset[[#This Row],[soda_ppu]]</f>
        <v>-4.1704596828395779E-5</v>
      </c>
      <c r="M1643">
        <f>dataset[[#This Row],[soda_sales]]/dataset[[#This Row],[total_sales]]</f>
        <v>5.7486439993097778E-2</v>
      </c>
      <c r="N1643">
        <f>LN(dataset[[#This Row],[soda_units_sold]])</f>
        <v>12.336359405021053</v>
      </c>
      <c r="O1643">
        <f>LN(dataset[[#This Row],[soda_sales]])</f>
        <v>11.986600909219966</v>
      </c>
      <c r="P1643">
        <f>LN(dataset[[#This Row],[soda_ppu]])</f>
        <v>-0.3496993302023072</v>
      </c>
      <c r="Q1643">
        <f>IF(dataset[[#This Row],[state]]="VA",1,0)</f>
        <v>1</v>
      </c>
    </row>
    <row r="1644" spans="1:17" x14ac:dyDescent="0.35">
      <c r="A1644">
        <v>202311</v>
      </c>
      <c r="B1644">
        <v>40</v>
      </c>
      <c r="C1644" s="2">
        <v>3112000.9018999999</v>
      </c>
      <c r="D1644" s="2">
        <v>0.71950000000000003</v>
      </c>
      <c r="E1644" s="3">
        <v>210281</v>
      </c>
      <c r="F1644" s="2">
        <v>151298.538</v>
      </c>
      <c r="G1644" t="s">
        <v>3055</v>
      </c>
      <c r="H1644" t="s">
        <v>3</v>
      </c>
      <c r="I1644">
        <f>HLOOKUP(G1644,zip_tiers!$A$1:$EON$2,2,FALSE)</f>
        <v>70259.5</v>
      </c>
      <c r="J1644" t="str">
        <f t="shared" si="25"/>
        <v>Med</v>
      </c>
      <c r="K1644">
        <f>dataset[[#This Row],[soda_sales]]/dataset[[#This Row],[soda_units_sold]]</f>
        <v>0.7195064604029846</v>
      </c>
      <c r="L1644" s="29">
        <f>dataset[[#This Row],[implied_soda_ppu]]-dataset[[#This Row],[soda_ppu]]</f>
        <v>6.4604029845760635E-6</v>
      </c>
      <c r="M1644">
        <f>dataset[[#This Row],[soda_sales]]/dataset[[#This Row],[total_sales]]</f>
        <v>4.861776804358451E-2</v>
      </c>
      <c r="N1644">
        <f>LN(dataset[[#This Row],[soda_units_sold]])</f>
        <v>12.256200010486086</v>
      </c>
      <c r="O1644">
        <f>LN(dataset[[#This Row],[soda_sales]])</f>
        <v>11.927010236808412</v>
      </c>
      <c r="P1644">
        <f>LN(dataset[[#This Row],[soda_ppu]])</f>
        <v>-0.32919875265471449</v>
      </c>
      <c r="Q1644">
        <f>IF(dataset[[#This Row],[state]]="VA",1,0)</f>
        <v>1</v>
      </c>
    </row>
    <row r="1645" spans="1:17" x14ac:dyDescent="0.35">
      <c r="A1645">
        <v>202312</v>
      </c>
      <c r="B1645">
        <v>40</v>
      </c>
      <c r="C1645" s="2">
        <v>3400923.3009000001</v>
      </c>
      <c r="D1645" s="2">
        <v>0.70730000000000004</v>
      </c>
      <c r="E1645" s="3">
        <v>215322</v>
      </c>
      <c r="F1645" s="2">
        <v>152303.40109999999</v>
      </c>
      <c r="G1645" t="s">
        <v>3055</v>
      </c>
      <c r="H1645" t="s">
        <v>3</v>
      </c>
      <c r="I1645">
        <f>HLOOKUP(G1645,zip_tiers!$A$1:$EON$2,2,FALSE)</f>
        <v>70259.5</v>
      </c>
      <c r="J1645" t="str">
        <f t="shared" si="25"/>
        <v>Med</v>
      </c>
      <c r="K1645">
        <f>dataset[[#This Row],[soda_sales]]/dataset[[#This Row],[soda_units_sold]]</f>
        <v>0.70732856419687717</v>
      </c>
      <c r="L1645" s="29">
        <f>dataset[[#This Row],[implied_soda_ppu]]-dataset[[#This Row],[soda_ppu]]</f>
        <v>2.8564196877134407E-5</v>
      </c>
      <c r="M1645">
        <f>dataset[[#This Row],[soda_sales]]/dataset[[#This Row],[total_sales]]</f>
        <v>4.4782956751684262E-2</v>
      </c>
      <c r="N1645">
        <f>LN(dataset[[#This Row],[soda_units_sold]])</f>
        <v>12.279889861132592</v>
      </c>
      <c r="O1645">
        <f>LN(dataset[[#This Row],[soda_sales]])</f>
        <v>11.933629870216309</v>
      </c>
      <c r="P1645">
        <f>LN(dataset[[#This Row],[soda_ppu]])</f>
        <v>-0.34630037494019272</v>
      </c>
      <c r="Q1645">
        <f>IF(dataset[[#This Row],[state]]="VA",1,0)</f>
        <v>1</v>
      </c>
    </row>
    <row r="1646" spans="1:17" x14ac:dyDescent="0.35">
      <c r="A1646">
        <v>202401</v>
      </c>
      <c r="B1646">
        <v>40</v>
      </c>
      <c r="C1646" s="2">
        <v>1906444.7505999999</v>
      </c>
      <c r="D1646" s="2">
        <v>0.72499999999999998</v>
      </c>
      <c r="E1646" s="3">
        <v>151554</v>
      </c>
      <c r="F1646" s="2">
        <v>109883.838</v>
      </c>
      <c r="G1646" t="s">
        <v>3055</v>
      </c>
      <c r="H1646" t="s">
        <v>3</v>
      </c>
      <c r="I1646">
        <f>HLOOKUP(G1646,zip_tiers!$A$1:$EON$2,2,FALSE)</f>
        <v>70259.5</v>
      </c>
      <c r="J1646" t="str">
        <f t="shared" si="25"/>
        <v>Med</v>
      </c>
      <c r="K1646">
        <f>dataset[[#This Row],[soda_sales]]/dataset[[#This Row],[soda_units_sold]]</f>
        <v>0.72504742863929694</v>
      </c>
      <c r="L1646" s="29">
        <f>dataset[[#This Row],[implied_soda_ppu]]-dataset[[#This Row],[soda_ppu]]</f>
        <v>4.7428639296964725E-5</v>
      </c>
      <c r="M1646">
        <f>dataset[[#This Row],[soda_sales]]/dataset[[#This Row],[total_sales]]</f>
        <v>5.7638092037766715E-2</v>
      </c>
      <c r="N1646">
        <f>LN(dataset[[#This Row],[soda_units_sold]])</f>
        <v>11.928697276067032</v>
      </c>
      <c r="O1646">
        <f>LN(dataset[[#This Row],[soda_sales]])</f>
        <v>11.607179068612675</v>
      </c>
      <c r="P1646">
        <f>LN(dataset[[#This Row],[soda_ppu]])</f>
        <v>-0.32158362412746233</v>
      </c>
      <c r="Q1646">
        <f>IF(dataset[[#This Row],[state]]="VA",1,0)</f>
        <v>1</v>
      </c>
    </row>
    <row r="1647" spans="1:17" x14ac:dyDescent="0.35">
      <c r="A1647">
        <v>202402</v>
      </c>
      <c r="B1647">
        <v>40</v>
      </c>
      <c r="C1647" s="2">
        <v>2194795.5995999998</v>
      </c>
      <c r="D1647" s="2">
        <v>0.71319999999999995</v>
      </c>
      <c r="E1647" s="3">
        <v>178397</v>
      </c>
      <c r="F1647" s="2">
        <v>127231.8049</v>
      </c>
      <c r="G1647" t="s">
        <v>3055</v>
      </c>
      <c r="H1647" t="s">
        <v>3</v>
      </c>
      <c r="I1647">
        <f>HLOOKUP(G1647,zip_tiers!$A$1:$EON$2,2,FALSE)</f>
        <v>70259.5</v>
      </c>
      <c r="J1647" t="str">
        <f t="shared" si="25"/>
        <v>Med</v>
      </c>
      <c r="K1647">
        <f>dataset[[#This Row],[soda_sales]]/dataset[[#This Row],[soda_units_sold]]</f>
        <v>0.71319475607773675</v>
      </c>
      <c r="L1647" s="29">
        <f>dataset[[#This Row],[implied_soda_ppu]]-dataset[[#This Row],[soda_ppu]]</f>
        <v>-5.243922263198364E-6</v>
      </c>
      <c r="M1647">
        <f>dataset[[#This Row],[soda_sales]]/dataset[[#This Row],[total_sales]]</f>
        <v>5.7969774006831398E-2</v>
      </c>
      <c r="N1647">
        <f>LN(dataset[[#This Row],[soda_units_sold]])</f>
        <v>12.091766682843156</v>
      </c>
      <c r="O1647">
        <f>LN(dataset[[#This Row],[soda_sales]])</f>
        <v>11.75376593715575</v>
      </c>
      <c r="P1647">
        <f>LN(dataset[[#This Row],[soda_ppu]])</f>
        <v>-0.33799339299315179</v>
      </c>
      <c r="Q1647">
        <f>IF(dataset[[#This Row],[state]]="VA",1,0)</f>
        <v>1</v>
      </c>
    </row>
    <row r="1648" spans="1:17" x14ac:dyDescent="0.35">
      <c r="A1648">
        <v>202403</v>
      </c>
      <c r="B1648">
        <v>40</v>
      </c>
      <c r="C1648" s="2">
        <v>2454535.5830000001</v>
      </c>
      <c r="D1648" s="2">
        <v>0.747</v>
      </c>
      <c r="E1648" s="3">
        <v>201050</v>
      </c>
      <c r="F1648" s="2">
        <v>150189.5367</v>
      </c>
      <c r="G1648" t="s">
        <v>3055</v>
      </c>
      <c r="H1648" t="s">
        <v>3</v>
      </c>
      <c r="I1648">
        <f>HLOOKUP(G1648,zip_tiers!$A$1:$EON$2,2,FALSE)</f>
        <v>70259.5</v>
      </c>
      <c r="J1648" t="str">
        <f t="shared" si="25"/>
        <v>Med</v>
      </c>
      <c r="K1648">
        <f>dataset[[#This Row],[soda_sales]]/dataset[[#This Row],[soda_units_sold]]</f>
        <v>0.74702579806018399</v>
      </c>
      <c r="L1648" s="29">
        <f>dataset[[#This Row],[implied_soda_ppu]]-dataset[[#This Row],[soda_ppu]]</f>
        <v>2.5798060183990223E-5</v>
      </c>
      <c r="M1648">
        <f>dataset[[#This Row],[soda_sales]]/dataset[[#This Row],[total_sales]]</f>
        <v>6.1188575851255034E-2</v>
      </c>
      <c r="N1648">
        <f>LN(dataset[[#This Row],[soda_units_sold]])</f>
        <v>12.211308912325419</v>
      </c>
      <c r="O1648">
        <f>LN(dataset[[#This Row],[soda_sales]])</f>
        <v>11.919653353435564</v>
      </c>
      <c r="P1648">
        <f>LN(dataset[[#This Row],[soda_ppu]])</f>
        <v>-0.29169009384931976</v>
      </c>
      <c r="Q1648">
        <f>IF(dataset[[#This Row],[state]]="VA",1,0)</f>
        <v>1</v>
      </c>
    </row>
    <row r="1649" spans="1:17" x14ac:dyDescent="0.35">
      <c r="A1649">
        <v>202404</v>
      </c>
      <c r="B1649">
        <v>40</v>
      </c>
      <c r="C1649" s="2">
        <v>2525068.8528</v>
      </c>
      <c r="D1649" s="2">
        <v>0.73460000000000003</v>
      </c>
      <c r="E1649" s="3">
        <v>233319</v>
      </c>
      <c r="F1649" s="2">
        <v>171400.40030000001</v>
      </c>
      <c r="G1649" t="s">
        <v>3055</v>
      </c>
      <c r="H1649" t="s">
        <v>3</v>
      </c>
      <c r="I1649">
        <f>HLOOKUP(G1649,zip_tiers!$A$1:$EON$2,2,FALSE)</f>
        <v>70259.5</v>
      </c>
      <c r="J1649" t="str">
        <f t="shared" si="25"/>
        <v>Med</v>
      </c>
      <c r="K1649">
        <f>dataset[[#This Row],[soda_sales]]/dataset[[#This Row],[soda_units_sold]]</f>
        <v>0.73461827069377128</v>
      </c>
      <c r="L1649" s="29">
        <f>dataset[[#This Row],[implied_soda_ppu]]-dataset[[#This Row],[soda_ppu]]</f>
        <v>1.8270693771249569E-5</v>
      </c>
      <c r="M1649">
        <f>dataset[[#This Row],[soda_sales]]/dataset[[#This Row],[total_sales]]</f>
        <v>6.787949568580573E-2</v>
      </c>
      <c r="N1649">
        <f>LN(dataset[[#This Row],[soda_units_sold]])</f>
        <v>12.360161894899191</v>
      </c>
      <c r="O1649">
        <f>LN(dataset[[#This Row],[soda_sales]])</f>
        <v>12.051757620615668</v>
      </c>
      <c r="P1649">
        <f>LN(dataset[[#This Row],[soda_ppu]])</f>
        <v>-0.30842914559657009</v>
      </c>
      <c r="Q1649">
        <f>IF(dataset[[#This Row],[state]]="VA",1,0)</f>
        <v>1</v>
      </c>
    </row>
    <row r="1650" spans="1:17" x14ac:dyDescent="0.35">
      <c r="A1650">
        <v>202405</v>
      </c>
      <c r="B1650">
        <v>40</v>
      </c>
      <c r="C1650" s="2">
        <v>2678558.5669</v>
      </c>
      <c r="D1650" s="2">
        <v>0.7359</v>
      </c>
      <c r="E1650" s="3">
        <v>255610</v>
      </c>
      <c r="F1650" s="2">
        <v>188103.69899999999</v>
      </c>
      <c r="G1650" t="s">
        <v>3055</v>
      </c>
      <c r="H1650" t="s">
        <v>3</v>
      </c>
      <c r="I1650">
        <f>HLOOKUP(G1650,zip_tiers!$A$1:$EON$2,2,FALSE)</f>
        <v>70259.5</v>
      </c>
      <c r="J1650" t="str">
        <f t="shared" si="25"/>
        <v>Med</v>
      </c>
      <c r="K1650">
        <f>dataset[[#This Row],[soda_sales]]/dataset[[#This Row],[soda_units_sold]]</f>
        <v>0.73590117366300223</v>
      </c>
      <c r="L1650" s="29">
        <f>dataset[[#This Row],[implied_soda_ppu]]-dataset[[#This Row],[soda_ppu]]</f>
        <v>1.1736630022296524E-6</v>
      </c>
      <c r="M1650">
        <f>dataset[[#This Row],[soda_sales]]/dataset[[#This Row],[total_sales]]</f>
        <v>7.022571816217546E-2</v>
      </c>
      <c r="N1650">
        <f>LN(dataset[[#This Row],[soda_units_sold]])</f>
        <v>12.451408124350881</v>
      </c>
      <c r="O1650">
        <f>LN(dataset[[#This Row],[soda_sales]])</f>
        <v>12.144748680167536</v>
      </c>
      <c r="P1650">
        <f>LN(dataset[[#This Row],[soda_ppu]])</f>
        <v>-0.30666103904958375</v>
      </c>
      <c r="Q1650">
        <f>IF(dataset[[#This Row],[state]]="VA",1,0)</f>
        <v>1</v>
      </c>
    </row>
    <row r="1651" spans="1:17" x14ac:dyDescent="0.35">
      <c r="A1651">
        <v>202406</v>
      </c>
      <c r="B1651">
        <v>40</v>
      </c>
      <c r="C1651" s="2">
        <v>2584458.8931999998</v>
      </c>
      <c r="D1651" s="2">
        <v>0.74390000000000001</v>
      </c>
      <c r="E1651" s="3">
        <v>270753</v>
      </c>
      <c r="F1651" s="2">
        <v>201409.5569</v>
      </c>
      <c r="G1651" t="s">
        <v>3055</v>
      </c>
      <c r="H1651" t="s">
        <v>3</v>
      </c>
      <c r="I1651">
        <f>HLOOKUP(G1651,zip_tiers!$A$1:$EON$2,2,FALSE)</f>
        <v>70259.5</v>
      </c>
      <c r="J1651" t="str">
        <f t="shared" si="25"/>
        <v>Med</v>
      </c>
      <c r="K1651">
        <f>dataset[[#This Row],[soda_sales]]/dataset[[#This Row],[soda_units_sold]]</f>
        <v>0.74388670448711558</v>
      </c>
      <c r="L1651" s="29">
        <f>dataset[[#This Row],[implied_soda_ppu]]-dataset[[#This Row],[soda_ppu]]</f>
        <v>-1.3295512884425875E-5</v>
      </c>
      <c r="M1651">
        <f>dataset[[#This Row],[soda_sales]]/dataset[[#This Row],[total_sales]]</f>
        <v>7.7931035169462759E-2</v>
      </c>
      <c r="N1651">
        <f>LN(dataset[[#This Row],[soda_units_sold]])</f>
        <v>12.50896224513426</v>
      </c>
      <c r="O1651">
        <f>LN(dataset[[#This Row],[soda_sales]])</f>
        <v>12.213095710474438</v>
      </c>
      <c r="P1651">
        <f>LN(dataset[[#This Row],[soda_ppu]])</f>
        <v>-0.29584866178484137</v>
      </c>
      <c r="Q1651">
        <f>IF(dataset[[#This Row],[state]]="VA",1,0)</f>
        <v>1</v>
      </c>
    </row>
    <row r="1652" spans="1:17" x14ac:dyDescent="0.35">
      <c r="A1652">
        <v>202407</v>
      </c>
      <c r="B1652">
        <v>40</v>
      </c>
      <c r="C1652" s="2">
        <v>2451040.1326000001</v>
      </c>
      <c r="D1652" s="2">
        <v>0.74219999999999997</v>
      </c>
      <c r="E1652" s="3">
        <v>278161</v>
      </c>
      <c r="F1652" s="2">
        <v>206447.7678</v>
      </c>
      <c r="G1652" t="s">
        <v>3055</v>
      </c>
      <c r="H1652" t="s">
        <v>3</v>
      </c>
      <c r="I1652">
        <f>HLOOKUP(G1652,zip_tiers!$A$1:$EON$2,2,FALSE)</f>
        <v>70259.5</v>
      </c>
      <c r="J1652" t="str">
        <f t="shared" si="25"/>
        <v>Med</v>
      </c>
      <c r="K1652">
        <f>dataset[[#This Row],[soda_sales]]/dataset[[#This Row],[soda_units_sold]]</f>
        <v>0.74218804145800454</v>
      </c>
      <c r="L1652" s="29">
        <f>dataset[[#This Row],[implied_soda_ppu]]-dataset[[#This Row],[soda_ppu]]</f>
        <v>-1.1958541995427119E-5</v>
      </c>
      <c r="M1652">
        <f>dataset[[#This Row],[soda_sales]]/dataset[[#This Row],[total_sales]]</f>
        <v>8.4228636265129428E-2</v>
      </c>
      <c r="N1652">
        <f>LN(dataset[[#This Row],[soda_units_sold]])</f>
        <v>12.535955361728488</v>
      </c>
      <c r="O1652">
        <f>LN(dataset[[#This Row],[soda_sales]])</f>
        <v>12.237802718952562</v>
      </c>
      <c r="P1652">
        <f>LN(dataset[[#This Row],[soda_ppu]])</f>
        <v>-0.29813653035563986</v>
      </c>
      <c r="Q1652">
        <f>IF(dataset[[#This Row],[state]]="VA",1,0)</f>
        <v>1</v>
      </c>
    </row>
    <row r="1653" spans="1:17" x14ac:dyDescent="0.35">
      <c r="A1653">
        <v>202408</v>
      </c>
      <c r="B1653">
        <v>40</v>
      </c>
      <c r="C1653" s="2">
        <v>2335023.5975000001</v>
      </c>
      <c r="D1653" s="2">
        <v>0.75439999999999996</v>
      </c>
      <c r="E1653" s="3">
        <v>242379</v>
      </c>
      <c r="F1653" s="2">
        <v>182845.9871</v>
      </c>
      <c r="G1653" t="s">
        <v>3055</v>
      </c>
      <c r="H1653" t="s">
        <v>3</v>
      </c>
      <c r="I1653">
        <f>HLOOKUP(G1653,zip_tiers!$A$1:$EON$2,2,FALSE)</f>
        <v>70259.5</v>
      </c>
      <c r="J1653" t="str">
        <f t="shared" si="25"/>
        <v>Med</v>
      </c>
      <c r="K1653">
        <f>dataset[[#This Row],[soda_sales]]/dataset[[#This Row],[soda_units_sold]]</f>
        <v>0.75438048304514826</v>
      </c>
      <c r="L1653" s="29">
        <f>dataset[[#This Row],[implied_soda_ppu]]-dataset[[#This Row],[soda_ppu]]</f>
        <v>-1.9516954851694912E-5</v>
      </c>
      <c r="M1653">
        <f>dataset[[#This Row],[soda_sales]]/dataset[[#This Row],[total_sales]]</f>
        <v>7.8305841232510276E-2</v>
      </c>
      <c r="N1653">
        <f>LN(dataset[[#This Row],[soda_units_sold]])</f>
        <v>12.398257895761018</v>
      </c>
      <c r="O1653">
        <f>LN(dataset[[#This Row],[soda_sales]])</f>
        <v>12.116399476932544</v>
      </c>
      <c r="P1653">
        <f>LN(dataset[[#This Row],[soda_ppu]])</f>
        <v>-0.28183254766288934</v>
      </c>
      <c r="Q1653">
        <f>IF(dataset[[#This Row],[state]]="VA",1,0)</f>
        <v>1</v>
      </c>
    </row>
    <row r="1654" spans="1:17" x14ac:dyDescent="0.35">
      <c r="A1654">
        <v>202409</v>
      </c>
      <c r="B1654">
        <v>40</v>
      </c>
      <c r="C1654" s="2">
        <v>2337341.83</v>
      </c>
      <c r="D1654" s="2">
        <v>0.74790000000000001</v>
      </c>
      <c r="E1654" s="3">
        <v>228622</v>
      </c>
      <c r="F1654" s="2">
        <v>170992.02609999999</v>
      </c>
      <c r="G1654" t="s">
        <v>3055</v>
      </c>
      <c r="H1654" t="s">
        <v>3</v>
      </c>
      <c r="I1654">
        <f>HLOOKUP(G1654,zip_tiers!$A$1:$EON$2,2,FALSE)</f>
        <v>70259.5</v>
      </c>
      <c r="J1654" t="str">
        <f t="shared" si="25"/>
        <v>Med</v>
      </c>
      <c r="K1654">
        <f>dataset[[#This Row],[soda_sales]]/dataset[[#This Row],[soda_units_sold]]</f>
        <v>0.74792463586181557</v>
      </c>
      <c r="L1654" s="29">
        <f>dataset[[#This Row],[implied_soda_ppu]]-dataset[[#This Row],[soda_ppu]]</f>
        <v>2.4635861815558435E-5</v>
      </c>
      <c r="M1654">
        <f>dataset[[#This Row],[soda_sales]]/dataset[[#This Row],[total_sales]]</f>
        <v>7.3156619158268335E-2</v>
      </c>
      <c r="N1654">
        <f>LN(dataset[[#This Row],[soda_units_sold]])</f>
        <v>12.339825263682524</v>
      </c>
      <c r="O1654">
        <f>LN(dataset[[#This Row],[soda_sales]])</f>
        <v>12.049372203403387</v>
      </c>
      <c r="P1654">
        <f>LN(dataset[[#This Row],[soda_ppu]])</f>
        <v>-0.29048599978451517</v>
      </c>
      <c r="Q1654">
        <f>IF(dataset[[#This Row],[state]]="VA",1,0)</f>
        <v>1</v>
      </c>
    </row>
    <row r="1655" spans="1:17" x14ac:dyDescent="0.35">
      <c r="A1655">
        <v>202410</v>
      </c>
      <c r="B1655">
        <v>40</v>
      </c>
      <c r="C1655" s="2">
        <v>2902665.8868</v>
      </c>
      <c r="D1655" s="2">
        <v>0.77049999999999996</v>
      </c>
      <c r="E1655" s="3">
        <v>215760</v>
      </c>
      <c r="F1655" s="2">
        <v>166252.5062</v>
      </c>
      <c r="G1655" t="s">
        <v>3055</v>
      </c>
      <c r="H1655" t="s">
        <v>3</v>
      </c>
      <c r="I1655">
        <f>HLOOKUP(G1655,zip_tiers!$A$1:$EON$2,2,FALSE)</f>
        <v>70259.5</v>
      </c>
      <c r="J1655" t="str">
        <f t="shared" si="25"/>
        <v>Med</v>
      </c>
      <c r="K1655">
        <f>dataset[[#This Row],[soda_sales]]/dataset[[#This Row],[soda_units_sold]]</f>
        <v>0.77054368835743425</v>
      </c>
      <c r="L1655" s="29">
        <f>dataset[[#This Row],[implied_soda_ppu]]-dataset[[#This Row],[soda_ppu]]</f>
        <v>4.3688357434290559E-5</v>
      </c>
      <c r="M1655">
        <f>dataset[[#This Row],[soda_sales]]/dataset[[#This Row],[total_sales]]</f>
        <v>5.7275798415532611E-2</v>
      </c>
      <c r="N1655">
        <f>LN(dataset[[#This Row],[soda_units_sold]])</f>
        <v>12.281921957813612</v>
      </c>
      <c r="O1655">
        <f>LN(dataset[[#This Row],[soda_sales]])</f>
        <v>12.021263033291694</v>
      </c>
      <c r="P1655">
        <f>LN(dataset[[#This Row],[soda_ppu]])</f>
        <v>-0.26071562422196665</v>
      </c>
      <c r="Q1655">
        <f>IF(dataset[[#This Row],[state]]="VA",1,0)</f>
        <v>1</v>
      </c>
    </row>
    <row r="1656" spans="1:17" x14ac:dyDescent="0.35">
      <c r="A1656">
        <v>202411</v>
      </c>
      <c r="B1656">
        <v>40</v>
      </c>
      <c r="C1656" s="2">
        <v>3263569.2313000001</v>
      </c>
      <c r="D1656" s="2">
        <v>0.74380000000000002</v>
      </c>
      <c r="E1656" s="3">
        <v>210334</v>
      </c>
      <c r="F1656" s="2">
        <v>156438.44099999999</v>
      </c>
      <c r="G1656" t="s">
        <v>3055</v>
      </c>
      <c r="H1656" t="s">
        <v>3</v>
      </c>
      <c r="I1656">
        <f>HLOOKUP(G1656,zip_tiers!$A$1:$EON$2,2,FALSE)</f>
        <v>70259.5</v>
      </c>
      <c r="J1656" t="str">
        <f t="shared" si="25"/>
        <v>Med</v>
      </c>
      <c r="K1656">
        <f>dataset[[#This Row],[soda_sales]]/dataset[[#This Row],[soda_units_sold]]</f>
        <v>0.74376202135650915</v>
      </c>
      <c r="L1656" s="29">
        <f>dataset[[#This Row],[implied_soda_ppu]]-dataset[[#This Row],[soda_ppu]]</f>
        <v>-3.7978643490865771E-5</v>
      </c>
      <c r="M1656">
        <f>dataset[[#This Row],[soda_sales]]/dataset[[#This Row],[total_sales]]</f>
        <v>4.793477015889281E-2</v>
      </c>
      <c r="N1656">
        <f>LN(dataset[[#This Row],[soda_units_sold]])</f>
        <v>12.256452022422325</v>
      </c>
      <c r="O1656">
        <f>LN(dataset[[#This Row],[soda_sales]])</f>
        <v>11.96041786333782</v>
      </c>
      <c r="P1656">
        <f>LN(dataset[[#This Row],[soda_ppu]])</f>
        <v>-0.29598309749116736</v>
      </c>
      <c r="Q1656">
        <f>IF(dataset[[#This Row],[state]]="VA",1,0)</f>
        <v>1</v>
      </c>
    </row>
    <row r="1657" spans="1:17" x14ac:dyDescent="0.35">
      <c r="A1657">
        <v>202412</v>
      </c>
      <c r="B1657">
        <v>40</v>
      </c>
      <c r="C1657" s="2">
        <v>3418375.9116000002</v>
      </c>
      <c r="D1657" s="2">
        <v>0.73580000000000001</v>
      </c>
      <c r="E1657" s="3">
        <v>211554</v>
      </c>
      <c r="F1657" s="2">
        <v>155669.51360000001</v>
      </c>
      <c r="G1657" t="s">
        <v>3055</v>
      </c>
      <c r="H1657" t="s">
        <v>3</v>
      </c>
      <c r="I1657">
        <f>HLOOKUP(G1657,zip_tiers!$A$1:$EON$2,2,FALSE)</f>
        <v>70259.5</v>
      </c>
      <c r="J1657" t="str">
        <f t="shared" si="25"/>
        <v>Med</v>
      </c>
      <c r="K1657">
        <f>dataset[[#This Row],[soda_sales]]/dataset[[#This Row],[soda_units_sold]]</f>
        <v>0.73583819544891615</v>
      </c>
      <c r="L1657" s="29">
        <f>dataset[[#This Row],[implied_soda_ppu]]-dataset[[#This Row],[soda_ppu]]</f>
        <v>3.8195448916145125E-5</v>
      </c>
      <c r="M1657">
        <f>dataset[[#This Row],[soda_sales]]/dataset[[#This Row],[total_sales]]</f>
        <v>4.5539027194682502E-2</v>
      </c>
      <c r="N1657">
        <f>LN(dataset[[#This Row],[soda_units_sold]])</f>
        <v>12.262235564029019</v>
      </c>
      <c r="O1657">
        <f>LN(dataset[[#This Row],[soda_sales]])</f>
        <v>11.955490536466653</v>
      </c>
      <c r="P1657">
        <f>LN(dataset[[#This Row],[soda_ppu]])</f>
        <v>-0.30679693631146304</v>
      </c>
      <c r="Q1657">
        <f>IF(dataset[[#This Row],[state]]="VA",1,0)</f>
        <v>1</v>
      </c>
    </row>
    <row r="1658" spans="1:17" x14ac:dyDescent="0.35">
      <c r="A1658">
        <v>202201</v>
      </c>
      <c r="B1658">
        <v>98</v>
      </c>
      <c r="C1658" s="2">
        <v>1930571.5001000001</v>
      </c>
      <c r="D1658" s="2">
        <v>0.69940000000000002</v>
      </c>
      <c r="E1658" s="3">
        <v>137122</v>
      </c>
      <c r="F1658" s="2">
        <v>95907.958199999994</v>
      </c>
      <c r="G1658" t="s">
        <v>3065</v>
      </c>
      <c r="H1658" t="s">
        <v>3</v>
      </c>
      <c r="I1658">
        <f>HLOOKUP(G1658,zip_tiers!$A$1:$EON$2,2,FALSE)</f>
        <v>78901.666666666672</v>
      </c>
      <c r="J1658" t="str">
        <f t="shared" si="25"/>
        <v>Med</v>
      </c>
      <c r="K1658">
        <f>dataset[[#This Row],[soda_sales]]/dataset[[#This Row],[soda_units_sold]]</f>
        <v>0.6994352343168857</v>
      </c>
      <c r="L1658" s="29">
        <f>dataset[[#This Row],[implied_soda_ppu]]-dataset[[#This Row],[soda_ppu]]</f>
        <v>3.5234316885679462E-5</v>
      </c>
      <c r="M1658">
        <f>dataset[[#This Row],[soda_sales]]/dataset[[#This Row],[total_sales]]</f>
        <v>4.9678532079766087E-2</v>
      </c>
      <c r="N1658">
        <f>LN(dataset[[#This Row],[soda_units_sold]])</f>
        <v>11.82862631948953</v>
      </c>
      <c r="O1658">
        <f>LN(dataset[[#This Row],[soda_sales]])</f>
        <v>11.471144241787226</v>
      </c>
      <c r="P1658">
        <f>LN(dataset[[#This Row],[soda_ppu]])</f>
        <v>-0.35753245435286157</v>
      </c>
      <c r="Q1658">
        <f>IF(dataset[[#This Row],[state]]="VA",1,0)</f>
        <v>1</v>
      </c>
    </row>
    <row r="1659" spans="1:17" x14ac:dyDescent="0.35">
      <c r="A1659">
        <v>202202</v>
      </c>
      <c r="B1659">
        <v>98</v>
      </c>
      <c r="C1659" s="2">
        <v>2172634.1065000002</v>
      </c>
      <c r="D1659" s="2">
        <v>0.69950000000000001</v>
      </c>
      <c r="E1659" s="3">
        <v>152118</v>
      </c>
      <c r="F1659" s="2">
        <v>106409.44289999999</v>
      </c>
      <c r="G1659" t="s">
        <v>3065</v>
      </c>
      <c r="H1659" t="s">
        <v>3</v>
      </c>
      <c r="I1659">
        <f>HLOOKUP(G1659,zip_tiers!$A$1:$EON$2,2,FALSE)</f>
        <v>78901.666666666672</v>
      </c>
      <c r="J1659" t="str">
        <f t="shared" si="25"/>
        <v>Med</v>
      </c>
      <c r="K1659">
        <f>dataset[[#This Row],[soda_sales]]/dataset[[#This Row],[soda_units_sold]]</f>
        <v>0.69951907663787316</v>
      </c>
      <c r="L1659" s="29">
        <f>dataset[[#This Row],[implied_soda_ppu]]-dataset[[#This Row],[soda_ppu]]</f>
        <v>1.9076637873149949E-5</v>
      </c>
      <c r="M1659">
        <f>dataset[[#This Row],[soda_sales]]/dataset[[#This Row],[total_sales]]</f>
        <v>4.8977157535016344E-2</v>
      </c>
      <c r="N1659">
        <f>LN(dataset[[#This Row],[soda_units_sold]])</f>
        <v>11.932411814440647</v>
      </c>
      <c r="O1659">
        <f>LN(dataset[[#This Row],[soda_sales]])</f>
        <v>11.575049601011866</v>
      </c>
      <c r="P1659">
        <f>LN(dataset[[#This Row],[soda_ppu]])</f>
        <v>-0.35738948487660116</v>
      </c>
      <c r="Q1659">
        <f>IF(dataset[[#This Row],[state]]="VA",1,0)</f>
        <v>1</v>
      </c>
    </row>
    <row r="1660" spans="1:17" x14ac:dyDescent="0.35">
      <c r="A1660">
        <v>202203</v>
      </c>
      <c r="B1660">
        <v>98</v>
      </c>
      <c r="C1660" s="2">
        <v>2399906.6531000002</v>
      </c>
      <c r="D1660" s="2">
        <v>0.70120000000000005</v>
      </c>
      <c r="E1660" s="3">
        <v>175930</v>
      </c>
      <c r="F1660" s="2">
        <v>123353.3643</v>
      </c>
      <c r="G1660" t="s">
        <v>3065</v>
      </c>
      <c r="H1660" t="s">
        <v>3</v>
      </c>
      <c r="I1660">
        <f>HLOOKUP(G1660,zip_tiers!$A$1:$EON$2,2,FALSE)</f>
        <v>78901.666666666672</v>
      </c>
      <c r="J1660" t="str">
        <f t="shared" si="25"/>
        <v>Med</v>
      </c>
      <c r="K1660">
        <f>dataset[[#This Row],[soda_sales]]/dataset[[#This Row],[soda_units_sold]]</f>
        <v>0.70115025464673453</v>
      </c>
      <c r="L1660" s="29">
        <f>dataset[[#This Row],[implied_soda_ppu]]-dataset[[#This Row],[soda_ppu]]</f>
        <v>-4.9745353265517878E-5</v>
      </c>
      <c r="M1660">
        <f>dataset[[#This Row],[soda_sales]]/dataset[[#This Row],[total_sales]]</f>
        <v>5.1399234274659124E-2</v>
      </c>
      <c r="N1660">
        <f>LN(dataset[[#This Row],[soda_units_sold]])</f>
        <v>12.077841467633093</v>
      </c>
      <c r="O1660">
        <f>LN(dataset[[#This Row],[soda_sales]])</f>
        <v>11.722808396007938</v>
      </c>
      <c r="P1660">
        <f>LN(dataset[[#This Row],[soda_ppu]])</f>
        <v>-0.35496212593505755</v>
      </c>
      <c r="Q1660">
        <f>IF(dataset[[#This Row],[state]]="VA",1,0)</f>
        <v>1</v>
      </c>
    </row>
    <row r="1661" spans="1:17" x14ac:dyDescent="0.35">
      <c r="A1661">
        <v>202204</v>
      </c>
      <c r="B1661">
        <v>98</v>
      </c>
      <c r="C1661" s="2">
        <v>2528771.7451999998</v>
      </c>
      <c r="D1661" s="2">
        <v>0.69440000000000002</v>
      </c>
      <c r="E1661" s="3">
        <v>212190</v>
      </c>
      <c r="F1661" s="2">
        <v>147343.4835</v>
      </c>
      <c r="G1661" t="s">
        <v>3065</v>
      </c>
      <c r="H1661" t="s">
        <v>3</v>
      </c>
      <c r="I1661">
        <f>HLOOKUP(G1661,zip_tiers!$A$1:$EON$2,2,FALSE)</f>
        <v>78901.666666666672</v>
      </c>
      <c r="J1661" t="str">
        <f t="shared" si="25"/>
        <v>Med</v>
      </c>
      <c r="K1661">
        <f>dataset[[#This Row],[soda_sales]]/dataset[[#This Row],[soda_units_sold]]</f>
        <v>0.6943940972713134</v>
      </c>
      <c r="L1661" s="29">
        <f>dataset[[#This Row],[implied_soda_ppu]]-dataset[[#This Row],[soda_ppu]]</f>
        <v>-5.9027286866131234E-6</v>
      </c>
      <c r="M1661">
        <f>dataset[[#This Row],[soda_sales]]/dataset[[#This Row],[total_sales]]</f>
        <v>5.8266818181467242E-2</v>
      </c>
      <c r="N1661">
        <f>LN(dataset[[#This Row],[soda_units_sold]])</f>
        <v>12.265237378698146</v>
      </c>
      <c r="O1661">
        <f>LN(dataset[[#This Row],[soda_sales]])</f>
        <v>11.90052176255268</v>
      </c>
      <c r="P1661">
        <f>LN(dataset[[#This Row],[soda_ppu]])</f>
        <v>-0.36470711563599661</v>
      </c>
      <c r="Q1661">
        <f>IF(dataset[[#This Row],[state]]="VA",1,0)</f>
        <v>1</v>
      </c>
    </row>
    <row r="1662" spans="1:17" x14ac:dyDescent="0.35">
      <c r="A1662">
        <v>202205</v>
      </c>
      <c r="B1662">
        <v>98</v>
      </c>
      <c r="C1662" s="2">
        <v>2709608.4717000001</v>
      </c>
      <c r="D1662" s="2">
        <v>0.67789999999999995</v>
      </c>
      <c r="E1662" s="3">
        <v>235492</v>
      </c>
      <c r="F1662" s="2">
        <v>159648.60260000001</v>
      </c>
      <c r="G1662" t="s">
        <v>3065</v>
      </c>
      <c r="H1662" t="s">
        <v>3</v>
      </c>
      <c r="I1662">
        <f>HLOOKUP(G1662,zip_tiers!$A$1:$EON$2,2,FALSE)</f>
        <v>78901.666666666672</v>
      </c>
      <c r="J1662" t="str">
        <f t="shared" si="25"/>
        <v>Med</v>
      </c>
      <c r="K1662">
        <f>dataset[[#This Row],[soda_sales]]/dataset[[#This Row],[soda_units_sold]]</f>
        <v>0.67793641652370362</v>
      </c>
      <c r="L1662" s="29">
        <f>dataset[[#This Row],[implied_soda_ppu]]-dataset[[#This Row],[soda_ppu]]</f>
        <v>3.6416523703675097E-5</v>
      </c>
      <c r="M1662">
        <f>dataset[[#This Row],[soda_sales]]/dataset[[#This Row],[total_sales]]</f>
        <v>5.8919435876961579E-2</v>
      </c>
      <c r="N1662">
        <f>LN(dataset[[#This Row],[soda_units_sold]])</f>
        <v>12.369432221585598</v>
      </c>
      <c r="O1662">
        <f>LN(dataset[[#This Row],[soda_sales]])</f>
        <v>11.980730445207659</v>
      </c>
      <c r="P1662">
        <f>LN(dataset[[#This Row],[soda_ppu]])</f>
        <v>-0.38875549454521718</v>
      </c>
      <c r="Q1662">
        <f>IF(dataset[[#This Row],[state]]="VA",1,0)</f>
        <v>1</v>
      </c>
    </row>
    <row r="1663" spans="1:17" x14ac:dyDescent="0.35">
      <c r="A1663">
        <v>202206</v>
      </c>
      <c r="B1663">
        <v>98</v>
      </c>
      <c r="C1663" s="2">
        <v>2539007.5666999999</v>
      </c>
      <c r="D1663" s="2">
        <v>0.72860000000000003</v>
      </c>
      <c r="E1663" s="3">
        <v>232412</v>
      </c>
      <c r="F1663" s="2">
        <v>169325.33660000001</v>
      </c>
      <c r="G1663" t="s">
        <v>3065</v>
      </c>
      <c r="H1663" t="s">
        <v>3</v>
      </c>
      <c r="I1663">
        <f>HLOOKUP(G1663,zip_tiers!$A$1:$EON$2,2,FALSE)</f>
        <v>78901.666666666672</v>
      </c>
      <c r="J1663" t="str">
        <f t="shared" si="25"/>
        <v>Med</v>
      </c>
      <c r="K1663">
        <f>dataset[[#This Row],[soda_sales]]/dataset[[#This Row],[soda_units_sold]]</f>
        <v>0.7285567724558113</v>
      </c>
      <c r="L1663" s="29">
        <f>dataset[[#This Row],[implied_soda_ppu]]-dataset[[#This Row],[soda_ppu]]</f>
        <v>-4.322754418872865E-5</v>
      </c>
      <c r="M1663">
        <f>dataset[[#This Row],[soda_sales]]/dataset[[#This Row],[total_sales]]</f>
        <v>6.6689575415513874E-2</v>
      </c>
      <c r="N1663">
        <f>LN(dataset[[#This Row],[soda_units_sold]])</f>
        <v>12.356266937738722</v>
      </c>
      <c r="O1663">
        <f>LN(dataset[[#This Row],[soda_sales]])</f>
        <v>12.039577211974233</v>
      </c>
      <c r="P1663">
        <f>LN(dataset[[#This Row],[soda_ppu]])</f>
        <v>-0.3166303944076736</v>
      </c>
      <c r="Q1663">
        <f>IF(dataset[[#This Row],[state]]="VA",1,0)</f>
        <v>1</v>
      </c>
    </row>
    <row r="1664" spans="1:17" x14ac:dyDescent="0.35">
      <c r="A1664">
        <v>202207</v>
      </c>
      <c r="B1664">
        <v>98</v>
      </c>
      <c r="C1664" s="2">
        <v>2435526.0786000001</v>
      </c>
      <c r="D1664" s="2">
        <v>0.67859999999999998</v>
      </c>
      <c r="E1664" s="3">
        <v>252903</v>
      </c>
      <c r="F1664" s="2">
        <v>171628.1575</v>
      </c>
      <c r="G1664" t="s">
        <v>3065</v>
      </c>
      <c r="H1664" t="s">
        <v>3</v>
      </c>
      <c r="I1664">
        <f>HLOOKUP(G1664,zip_tiers!$A$1:$EON$2,2,FALSE)</f>
        <v>78901.666666666672</v>
      </c>
      <c r="J1664" t="str">
        <f t="shared" si="25"/>
        <v>Med</v>
      </c>
      <c r="K1664">
        <f>dataset[[#This Row],[soda_sales]]/dataset[[#This Row],[soda_units_sold]]</f>
        <v>0.67863235113857878</v>
      </c>
      <c r="L1664" s="29">
        <f>dataset[[#This Row],[implied_soda_ppu]]-dataset[[#This Row],[soda_ppu]]</f>
        <v>3.235113857880112E-5</v>
      </c>
      <c r="M1664">
        <f>dataset[[#This Row],[soda_sales]]/dataset[[#This Row],[total_sales]]</f>
        <v>7.0468618261996213E-2</v>
      </c>
      <c r="N1664">
        <f>LN(dataset[[#This Row],[soda_units_sold]])</f>
        <v>12.440761294983902</v>
      </c>
      <c r="O1664">
        <f>LN(dataset[[#This Row],[soda_sales]])</f>
        <v>12.053085540570374</v>
      </c>
      <c r="P1664">
        <f>LN(dataset[[#This Row],[soda_ppu]])</f>
        <v>-0.38772342663200732</v>
      </c>
      <c r="Q1664">
        <f>IF(dataset[[#This Row],[state]]="VA",1,0)</f>
        <v>1</v>
      </c>
    </row>
    <row r="1665" spans="1:17" x14ac:dyDescent="0.35">
      <c r="A1665">
        <v>202208</v>
      </c>
      <c r="B1665">
        <v>98</v>
      </c>
      <c r="C1665" s="2">
        <v>2292327.358</v>
      </c>
      <c r="D1665" s="2">
        <v>0.69110000000000005</v>
      </c>
      <c r="E1665" s="3">
        <v>214681</v>
      </c>
      <c r="F1665" s="2">
        <v>148367.62789999999</v>
      </c>
      <c r="G1665" t="s">
        <v>3065</v>
      </c>
      <c r="H1665" t="s">
        <v>3</v>
      </c>
      <c r="I1665">
        <f>HLOOKUP(G1665,zip_tiers!$A$1:$EON$2,2,FALSE)</f>
        <v>78901.666666666672</v>
      </c>
      <c r="J1665" t="str">
        <f t="shared" si="25"/>
        <v>Med</v>
      </c>
      <c r="K1665">
        <f>dataset[[#This Row],[soda_sales]]/dataset[[#This Row],[soda_units_sold]]</f>
        <v>0.69110740074808663</v>
      </c>
      <c r="L1665" s="29">
        <f>dataset[[#This Row],[implied_soda_ppu]]-dataset[[#This Row],[soda_ppu]]</f>
        <v>7.4007480865834196E-6</v>
      </c>
      <c r="M1665">
        <f>dataset[[#This Row],[soda_sales]]/dataset[[#This Row],[total_sales]]</f>
        <v>6.4723577713371241E-2</v>
      </c>
      <c r="N1665">
        <f>LN(dataset[[#This Row],[soda_units_sold]])</f>
        <v>12.276908484375687</v>
      </c>
      <c r="O1665">
        <f>LN(dataset[[#This Row],[soda_sales]])</f>
        <v>11.907448445083665</v>
      </c>
      <c r="P1665">
        <f>LN(dataset[[#This Row],[soda_ppu]])</f>
        <v>-0.36947074788478834</v>
      </c>
      <c r="Q1665">
        <f>IF(dataset[[#This Row],[state]]="VA",1,0)</f>
        <v>1</v>
      </c>
    </row>
    <row r="1666" spans="1:17" x14ac:dyDescent="0.35">
      <c r="A1666">
        <v>202209</v>
      </c>
      <c r="B1666">
        <v>98</v>
      </c>
      <c r="C1666" s="2">
        <v>2293456.4212000002</v>
      </c>
      <c r="D1666" s="2">
        <v>0.71760000000000002</v>
      </c>
      <c r="E1666" s="3">
        <v>199011</v>
      </c>
      <c r="F1666" s="2">
        <v>142810.8616</v>
      </c>
      <c r="G1666" t="s">
        <v>3065</v>
      </c>
      <c r="H1666" t="s">
        <v>3</v>
      </c>
      <c r="I1666">
        <f>HLOOKUP(G1666,zip_tiers!$A$1:$EON$2,2,FALSE)</f>
        <v>78901.666666666672</v>
      </c>
      <c r="J1666" t="str">
        <f t="shared" ref="J1666:J1729" si="26">IF(I1666="","No Data",IF(I1666&gt;=100000,"High",IF(I1666&gt;=40000,"Med","Low")))</f>
        <v>Med</v>
      </c>
      <c r="K1666">
        <f>dataset[[#This Row],[soda_sales]]/dataset[[#This Row],[soda_units_sold]]</f>
        <v>0.7176028541135917</v>
      </c>
      <c r="L1666" s="29">
        <f>dataset[[#This Row],[implied_soda_ppu]]-dataset[[#This Row],[soda_ppu]]</f>
        <v>2.8541135916881899E-6</v>
      </c>
      <c r="M1666">
        <f>dataset[[#This Row],[soda_sales]]/dataset[[#This Row],[total_sales]]</f>
        <v>6.2268835928121706E-2</v>
      </c>
      <c r="N1666">
        <f>LN(dataset[[#This Row],[soda_units_sold]])</f>
        <v>12.201115378560855</v>
      </c>
      <c r="O1666">
        <f>LN(dataset[[#This Row],[soda_sales]])</f>
        <v>11.869276387619733</v>
      </c>
      <c r="P1666">
        <f>LN(dataset[[#This Row],[soda_ppu]])</f>
        <v>-0.33184296823755066</v>
      </c>
      <c r="Q1666">
        <f>IF(dataset[[#This Row],[state]]="VA",1,0)</f>
        <v>1</v>
      </c>
    </row>
    <row r="1667" spans="1:17" x14ac:dyDescent="0.35">
      <c r="A1667">
        <v>202210</v>
      </c>
      <c r="B1667">
        <v>98</v>
      </c>
      <c r="C1667" s="2">
        <v>2827578.9191999999</v>
      </c>
      <c r="D1667" s="2">
        <v>0.68049999999999999</v>
      </c>
      <c r="E1667" s="3">
        <v>202143</v>
      </c>
      <c r="F1667" s="2">
        <v>137568.21539999999</v>
      </c>
      <c r="G1667" t="s">
        <v>3065</v>
      </c>
      <c r="H1667" t="s">
        <v>3</v>
      </c>
      <c r="I1667">
        <f>HLOOKUP(G1667,zip_tiers!$A$1:$EON$2,2,FALSE)</f>
        <v>78901.666666666672</v>
      </c>
      <c r="J1667" t="str">
        <f t="shared" si="26"/>
        <v>Med</v>
      </c>
      <c r="K1667">
        <f>dataset[[#This Row],[soda_sales]]/dataset[[#This Row],[soda_units_sold]]</f>
        <v>0.68054899452367867</v>
      </c>
      <c r="L1667" s="29">
        <f>dataset[[#This Row],[implied_soda_ppu]]-dataset[[#This Row],[soda_ppu]]</f>
        <v>4.8994523678680402E-5</v>
      </c>
      <c r="M1667">
        <f>dataset[[#This Row],[soda_sales]]/dataset[[#This Row],[total_sales]]</f>
        <v>4.8652299133324216E-2</v>
      </c>
      <c r="N1667">
        <f>LN(dataset[[#This Row],[soda_units_sold]])</f>
        <v>12.216730646717693</v>
      </c>
      <c r="O1667">
        <f>LN(dataset[[#This Row],[soda_sales]])</f>
        <v>11.831875185065892</v>
      </c>
      <c r="P1667">
        <f>LN(dataset[[#This Row],[soda_ppu]])</f>
        <v>-0.3849274568906163</v>
      </c>
      <c r="Q1667">
        <f>IF(dataset[[#This Row],[state]]="VA",1,0)</f>
        <v>1</v>
      </c>
    </row>
    <row r="1668" spans="1:17" x14ac:dyDescent="0.35">
      <c r="A1668">
        <v>202211</v>
      </c>
      <c r="B1668">
        <v>98</v>
      </c>
      <c r="C1668" s="2">
        <v>3196069.9646999999</v>
      </c>
      <c r="D1668" s="2">
        <v>0.6865</v>
      </c>
      <c r="E1668" s="3">
        <v>191128</v>
      </c>
      <c r="F1668" s="2">
        <v>131211.47</v>
      </c>
      <c r="G1668" t="s">
        <v>3065</v>
      </c>
      <c r="H1668" t="s">
        <v>3</v>
      </c>
      <c r="I1668">
        <f>HLOOKUP(G1668,zip_tiers!$A$1:$EON$2,2,FALSE)</f>
        <v>78901.666666666672</v>
      </c>
      <c r="J1668" t="str">
        <f t="shared" si="26"/>
        <v>Med</v>
      </c>
      <c r="K1668">
        <f>dataset[[#This Row],[soda_sales]]/dataset[[#This Row],[soda_units_sold]]</f>
        <v>0.68651097693692187</v>
      </c>
      <c r="L1668" s="29">
        <f>dataset[[#This Row],[implied_soda_ppu]]-dataset[[#This Row],[soda_ppu]]</f>
        <v>1.0976936921869296E-5</v>
      </c>
      <c r="M1668">
        <f>dataset[[#This Row],[soda_sales]]/dataset[[#This Row],[total_sales]]</f>
        <v>4.1054004276879531E-2</v>
      </c>
      <c r="N1668">
        <f>LN(dataset[[#This Row],[soda_units_sold]])</f>
        <v>12.160698639641856</v>
      </c>
      <c r="O1668">
        <f>LN(dataset[[#This Row],[soda_sales]])</f>
        <v>11.784565575451378</v>
      </c>
      <c r="P1668">
        <f>LN(dataset[[#This Row],[soda_ppu]])</f>
        <v>-0.37614905377411129</v>
      </c>
      <c r="Q1668">
        <f>IF(dataset[[#This Row],[state]]="VA",1,0)</f>
        <v>1</v>
      </c>
    </row>
    <row r="1669" spans="1:17" x14ac:dyDescent="0.35">
      <c r="A1669">
        <v>202212</v>
      </c>
      <c r="B1669">
        <v>98</v>
      </c>
      <c r="C1669" s="2">
        <v>3349501.1296000001</v>
      </c>
      <c r="D1669" s="2">
        <v>0.68469999999999998</v>
      </c>
      <c r="E1669" s="3">
        <v>185017</v>
      </c>
      <c r="F1669" s="2">
        <v>126672.5842</v>
      </c>
      <c r="G1669" t="s">
        <v>3065</v>
      </c>
      <c r="H1669" t="s">
        <v>3</v>
      </c>
      <c r="I1669">
        <f>HLOOKUP(G1669,zip_tiers!$A$1:$EON$2,2,FALSE)</f>
        <v>78901.666666666672</v>
      </c>
      <c r="J1669" t="str">
        <f t="shared" si="26"/>
        <v>Med</v>
      </c>
      <c r="K1669">
        <f>dataset[[#This Row],[soda_sales]]/dataset[[#This Row],[soda_units_sold]]</f>
        <v>0.68465375722230926</v>
      </c>
      <c r="L1669" s="29">
        <f>dataset[[#This Row],[implied_soda_ppu]]-dataset[[#This Row],[soda_ppu]]</f>
        <v>-4.6242777690719272E-5</v>
      </c>
      <c r="M1669">
        <f>dataset[[#This Row],[soda_sales]]/dataset[[#This Row],[total_sales]]</f>
        <v>3.7818343478250249E-2</v>
      </c>
      <c r="N1669">
        <f>LN(dataset[[#This Row],[soda_units_sold]])</f>
        <v>12.128202991730552</v>
      </c>
      <c r="O1669">
        <f>LN(dataset[[#This Row],[soda_sales]])</f>
        <v>11.749360959311657</v>
      </c>
      <c r="P1669">
        <f>LN(dataset[[#This Row],[soda_ppu]])</f>
        <v>-0.37877449285511988</v>
      </c>
      <c r="Q1669">
        <f>IF(dataset[[#This Row],[state]]="VA",1,0)</f>
        <v>1</v>
      </c>
    </row>
    <row r="1670" spans="1:17" x14ac:dyDescent="0.35">
      <c r="A1670">
        <v>202301</v>
      </c>
      <c r="B1670">
        <v>98</v>
      </c>
      <c r="C1670" s="2">
        <v>1966149.5774000001</v>
      </c>
      <c r="D1670" s="2">
        <v>0.69479999999999997</v>
      </c>
      <c r="E1670" s="3">
        <v>136674</v>
      </c>
      <c r="F1670" s="2">
        <v>94959.625499999995</v>
      </c>
      <c r="G1670" t="s">
        <v>3065</v>
      </c>
      <c r="H1670" t="s">
        <v>3</v>
      </c>
      <c r="I1670">
        <f>HLOOKUP(G1670,zip_tiers!$A$1:$EON$2,2,FALSE)</f>
        <v>78901.666666666672</v>
      </c>
      <c r="J1670" t="str">
        <f t="shared" si="26"/>
        <v>Med</v>
      </c>
      <c r="K1670">
        <f>dataset[[#This Row],[soda_sales]]/dataset[[#This Row],[soda_units_sold]]</f>
        <v>0.69478924667456865</v>
      </c>
      <c r="L1670" s="29">
        <f>dataset[[#This Row],[implied_soda_ppu]]-dataset[[#This Row],[soda_ppu]]</f>
        <v>-1.0753325431323013E-5</v>
      </c>
      <c r="M1670">
        <f>dataset[[#This Row],[soda_sales]]/dataset[[#This Row],[total_sales]]</f>
        <v>4.8297253978800969E-2</v>
      </c>
      <c r="N1670">
        <f>LN(dataset[[#This Row],[soda_units_sold]])</f>
        <v>11.825353807109398</v>
      </c>
      <c r="O1670">
        <f>LN(dataset[[#This Row],[soda_sales]])</f>
        <v>11.461207085509978</v>
      </c>
      <c r="P1670">
        <f>LN(dataset[[#This Row],[soda_ppu]])</f>
        <v>-0.3641312446151872</v>
      </c>
      <c r="Q1670">
        <f>IF(dataset[[#This Row],[state]]="VA",1,0)</f>
        <v>1</v>
      </c>
    </row>
    <row r="1671" spans="1:17" x14ac:dyDescent="0.35">
      <c r="A1671">
        <v>202302</v>
      </c>
      <c r="B1671">
        <v>98</v>
      </c>
      <c r="C1671" s="2">
        <v>2211210.0780000002</v>
      </c>
      <c r="D1671" s="2">
        <v>0.72609999999999997</v>
      </c>
      <c r="E1671" s="3">
        <v>144936</v>
      </c>
      <c r="F1671" s="2">
        <v>105244.0436</v>
      </c>
      <c r="G1671" t="s">
        <v>3065</v>
      </c>
      <c r="H1671" t="s">
        <v>3</v>
      </c>
      <c r="I1671">
        <f>HLOOKUP(G1671,zip_tiers!$A$1:$EON$2,2,FALSE)</f>
        <v>78901.666666666672</v>
      </c>
      <c r="J1671" t="str">
        <f t="shared" si="26"/>
        <v>Med</v>
      </c>
      <c r="K1671">
        <f>dataset[[#This Row],[soda_sales]]/dataset[[#This Row],[soda_units_sold]]</f>
        <v>0.72614149417674012</v>
      </c>
      <c r="L1671" s="29">
        <f>dataset[[#This Row],[implied_soda_ppu]]-dataset[[#This Row],[soda_ppu]]</f>
        <v>4.1494176740153321E-5</v>
      </c>
      <c r="M1671">
        <f>dataset[[#This Row],[soda_sales]]/dataset[[#This Row],[total_sales]]</f>
        <v>4.7595678333372714E-2</v>
      </c>
      <c r="N1671">
        <f>LN(dataset[[#This Row],[soda_units_sold]])</f>
        <v>11.884047544655846</v>
      </c>
      <c r="O1671">
        <f>LN(dataset[[#This Row],[soda_sales]])</f>
        <v>11.564037157069082</v>
      </c>
      <c r="P1671">
        <f>LN(dataset[[#This Row],[soda_ppu]])</f>
        <v>-0.32006753259593601</v>
      </c>
      <c r="Q1671">
        <f>IF(dataset[[#This Row],[state]]="VA",1,0)</f>
        <v>1</v>
      </c>
    </row>
    <row r="1672" spans="1:17" x14ac:dyDescent="0.35">
      <c r="A1672">
        <v>202303</v>
      </c>
      <c r="B1672">
        <v>98</v>
      </c>
      <c r="C1672" s="2">
        <v>2489862.2198000001</v>
      </c>
      <c r="D1672" s="2">
        <v>0.7258</v>
      </c>
      <c r="E1672" s="3">
        <v>178467</v>
      </c>
      <c r="F1672" s="2">
        <v>129535.9132</v>
      </c>
      <c r="G1672" t="s">
        <v>3065</v>
      </c>
      <c r="H1672" t="s">
        <v>3</v>
      </c>
      <c r="I1672">
        <f>HLOOKUP(G1672,zip_tiers!$A$1:$EON$2,2,FALSE)</f>
        <v>78901.666666666672</v>
      </c>
      <c r="J1672" t="str">
        <f t="shared" si="26"/>
        <v>Med</v>
      </c>
      <c r="K1672">
        <f>dataset[[#This Row],[soda_sales]]/dataset[[#This Row],[soda_units_sold]]</f>
        <v>0.72582557671726422</v>
      </c>
      <c r="L1672" s="29">
        <f>dataset[[#This Row],[implied_soda_ppu]]-dataset[[#This Row],[soda_ppu]]</f>
        <v>2.5576717264219617E-5</v>
      </c>
      <c r="M1672">
        <f>dataset[[#This Row],[soda_sales]]/dataset[[#This Row],[total_sales]]</f>
        <v>5.2025333839719475E-2</v>
      </c>
      <c r="N1672">
        <f>LN(dataset[[#This Row],[soda_units_sold]])</f>
        <v>12.092158989160955</v>
      </c>
      <c r="O1672">
        <f>LN(dataset[[#This Row],[soda_sales]])</f>
        <v>11.771713443682811</v>
      </c>
      <c r="P1672">
        <f>LN(dataset[[#This Row],[soda_ppu]])</f>
        <v>-0.32048078420316711</v>
      </c>
      <c r="Q1672">
        <f>IF(dataset[[#This Row],[state]]="VA",1,0)</f>
        <v>1</v>
      </c>
    </row>
    <row r="1673" spans="1:17" x14ac:dyDescent="0.35">
      <c r="A1673">
        <v>202304</v>
      </c>
      <c r="B1673">
        <v>98</v>
      </c>
      <c r="C1673" s="2">
        <v>2592058.4674999998</v>
      </c>
      <c r="D1673" s="2">
        <v>0.70679999999999998</v>
      </c>
      <c r="E1673" s="3">
        <v>211754</v>
      </c>
      <c r="F1673" s="2">
        <v>149671.57990000001</v>
      </c>
      <c r="G1673" t="s">
        <v>3065</v>
      </c>
      <c r="H1673" t="s">
        <v>3</v>
      </c>
      <c r="I1673">
        <f>HLOOKUP(G1673,zip_tiers!$A$1:$EON$2,2,FALSE)</f>
        <v>78901.666666666672</v>
      </c>
      <c r="J1673" t="str">
        <f t="shared" si="26"/>
        <v>Med</v>
      </c>
      <c r="K1673">
        <f>dataset[[#This Row],[soda_sales]]/dataset[[#This Row],[soda_units_sold]]</f>
        <v>0.70681819422537473</v>
      </c>
      <c r="L1673" s="29">
        <f>dataset[[#This Row],[implied_soda_ppu]]-dataset[[#This Row],[soda_ppu]]</f>
        <v>1.8194225374745798E-5</v>
      </c>
      <c r="M1673">
        <f>dataset[[#This Row],[soda_sales]]/dataset[[#This Row],[total_sales]]</f>
        <v>5.7742362595839099E-2</v>
      </c>
      <c r="N1673">
        <f>LN(dataset[[#This Row],[soda_units_sold]])</f>
        <v>12.263180502536592</v>
      </c>
      <c r="O1673">
        <f>LN(dataset[[#This Row],[soda_sales]])</f>
        <v>11.916198705357104</v>
      </c>
      <c r="P1673">
        <f>LN(dataset[[#This Row],[soda_ppu]])</f>
        <v>-0.34700753853659572</v>
      </c>
      <c r="Q1673">
        <f>IF(dataset[[#This Row],[state]]="VA",1,0)</f>
        <v>1</v>
      </c>
    </row>
    <row r="1674" spans="1:17" x14ac:dyDescent="0.35">
      <c r="A1674">
        <v>202305</v>
      </c>
      <c r="B1674">
        <v>98</v>
      </c>
      <c r="C1674" s="2">
        <v>2746433.93</v>
      </c>
      <c r="D1674" s="2">
        <v>0.68679999999999997</v>
      </c>
      <c r="E1674" s="3">
        <v>240032</v>
      </c>
      <c r="F1674" s="2">
        <v>164848.93549999999</v>
      </c>
      <c r="G1674" t="s">
        <v>3065</v>
      </c>
      <c r="H1674" t="s">
        <v>3</v>
      </c>
      <c r="I1674">
        <f>HLOOKUP(G1674,zip_tiers!$A$1:$EON$2,2,FALSE)</f>
        <v>78901.666666666672</v>
      </c>
      <c r="J1674" t="str">
        <f t="shared" si="26"/>
        <v>Med</v>
      </c>
      <c r="K1674">
        <f>dataset[[#This Row],[soda_sales]]/dataset[[#This Row],[soda_units_sold]]</f>
        <v>0.68677899405079323</v>
      </c>
      <c r="L1674" s="29">
        <f>dataset[[#This Row],[implied_soda_ppu]]-dataset[[#This Row],[soda_ppu]]</f>
        <v>-2.10059492067316E-5</v>
      </c>
      <c r="M1674">
        <f>dataset[[#This Row],[soda_sales]]/dataset[[#This Row],[total_sales]]</f>
        <v>6.0022902316823612E-2</v>
      </c>
      <c r="N1674">
        <f>LN(dataset[[#This Row],[soda_units_sold]])</f>
        <v>12.388527526769362</v>
      </c>
      <c r="O1674">
        <f>LN(dataset[[#This Row],[soda_sales]])</f>
        <v>12.012784791093527</v>
      </c>
      <c r="P1674">
        <f>LN(dataset[[#This Row],[soda_ppu]])</f>
        <v>-0.37571214995881663</v>
      </c>
      <c r="Q1674">
        <f>IF(dataset[[#This Row],[state]]="VA",1,0)</f>
        <v>1</v>
      </c>
    </row>
    <row r="1675" spans="1:17" x14ac:dyDescent="0.35">
      <c r="A1675">
        <v>202306</v>
      </c>
      <c r="B1675">
        <v>98</v>
      </c>
      <c r="C1675" s="2">
        <v>2649793.2055000002</v>
      </c>
      <c r="D1675" s="2">
        <v>0.7097</v>
      </c>
      <c r="E1675" s="3">
        <v>246472</v>
      </c>
      <c r="F1675" s="2">
        <v>174919.02799999999</v>
      </c>
      <c r="G1675" t="s">
        <v>3065</v>
      </c>
      <c r="H1675" t="s">
        <v>3</v>
      </c>
      <c r="I1675">
        <f>HLOOKUP(G1675,zip_tiers!$A$1:$EON$2,2,FALSE)</f>
        <v>78901.666666666672</v>
      </c>
      <c r="J1675" t="str">
        <f t="shared" si="26"/>
        <v>Med</v>
      </c>
      <c r="K1675">
        <f>dataset[[#This Row],[soda_sales]]/dataset[[#This Row],[soda_units_sold]]</f>
        <v>0.70969127527670484</v>
      </c>
      <c r="L1675" s="29">
        <f>dataset[[#This Row],[implied_soda_ppu]]-dataset[[#This Row],[soda_ppu]]</f>
        <v>-8.7247232951614961E-6</v>
      </c>
      <c r="M1675">
        <f>dataset[[#This Row],[soda_sales]]/dataset[[#This Row],[total_sales]]</f>
        <v>6.6012331693255211E-2</v>
      </c>
      <c r="N1675">
        <f>LN(dataset[[#This Row],[soda_units_sold]])</f>
        <v>12.415003675749327</v>
      </c>
      <c r="O1675">
        <f>LN(dataset[[#This Row],[soda_sales]])</f>
        <v>12.07207844868544</v>
      </c>
      <c r="P1675">
        <f>LN(dataset[[#This Row],[soda_ppu]])</f>
        <v>-0.34291293345119983</v>
      </c>
      <c r="Q1675">
        <f>IF(dataset[[#This Row],[state]]="VA",1,0)</f>
        <v>1</v>
      </c>
    </row>
    <row r="1676" spans="1:17" x14ac:dyDescent="0.35">
      <c r="A1676">
        <v>202307</v>
      </c>
      <c r="B1676">
        <v>98</v>
      </c>
      <c r="C1676" s="2">
        <v>2489896.4372</v>
      </c>
      <c r="D1676" s="2">
        <v>0.71719999999999995</v>
      </c>
      <c r="E1676" s="3">
        <v>244096</v>
      </c>
      <c r="F1676" s="2">
        <v>175061.6404</v>
      </c>
      <c r="G1676" t="s">
        <v>3065</v>
      </c>
      <c r="H1676" t="s">
        <v>3</v>
      </c>
      <c r="I1676">
        <f>HLOOKUP(G1676,zip_tiers!$A$1:$EON$2,2,FALSE)</f>
        <v>78901.666666666672</v>
      </c>
      <c r="J1676" t="str">
        <f t="shared" si="26"/>
        <v>Med</v>
      </c>
      <c r="K1676">
        <f>dataset[[#This Row],[soda_sales]]/dataset[[#This Row],[soda_units_sold]]</f>
        <v>0.71718356875983225</v>
      </c>
      <c r="L1676" s="29">
        <f>dataset[[#This Row],[implied_soda_ppu]]-dataset[[#This Row],[soda_ppu]]</f>
        <v>-1.6431240167702477E-5</v>
      </c>
      <c r="M1676">
        <f>dataset[[#This Row],[soda_sales]]/dataset[[#This Row],[total_sales]]</f>
        <v>7.0308803926345087E-2</v>
      </c>
      <c r="N1676">
        <f>LN(dataset[[#This Row],[soda_units_sold]])</f>
        <v>12.405316869520036</v>
      </c>
      <c r="O1676">
        <f>LN(dataset[[#This Row],[soda_sales]])</f>
        <v>12.072893421744068</v>
      </c>
      <c r="P1676">
        <f>LN(dataset[[#This Row],[soda_ppu]])</f>
        <v>-0.33240053725115931</v>
      </c>
      <c r="Q1676">
        <f>IF(dataset[[#This Row],[state]]="VA",1,0)</f>
        <v>1</v>
      </c>
    </row>
    <row r="1677" spans="1:17" x14ac:dyDescent="0.35">
      <c r="A1677">
        <v>202308</v>
      </c>
      <c r="B1677">
        <v>98</v>
      </c>
      <c r="C1677" s="2">
        <v>2391428.182</v>
      </c>
      <c r="D1677" s="2">
        <v>0.73119999999999996</v>
      </c>
      <c r="E1677" s="3">
        <v>207291</v>
      </c>
      <c r="F1677" s="2">
        <v>151564.00090000001</v>
      </c>
      <c r="G1677" t="s">
        <v>3065</v>
      </c>
      <c r="H1677" t="s">
        <v>3</v>
      </c>
      <c r="I1677">
        <f>HLOOKUP(G1677,zip_tiers!$A$1:$EON$2,2,FALSE)</f>
        <v>78901.666666666672</v>
      </c>
      <c r="J1677" t="str">
        <f t="shared" si="26"/>
        <v>Med</v>
      </c>
      <c r="K1677">
        <f>dataset[[#This Row],[soda_sales]]/dataset[[#This Row],[soda_units_sold]]</f>
        <v>0.73116537090370548</v>
      </c>
      <c r="L1677" s="29">
        <f>dataset[[#This Row],[implied_soda_ppu]]-dataset[[#This Row],[soda_ppu]]</f>
        <v>-3.4629096294480632E-5</v>
      </c>
      <c r="M1677">
        <f>dataset[[#This Row],[soda_sales]]/dataset[[#This Row],[total_sales]]</f>
        <v>6.3378027423447003E-2</v>
      </c>
      <c r="N1677">
        <f>LN(dataset[[#This Row],[soda_units_sold]])</f>
        <v>12.241878882141311</v>
      </c>
      <c r="O1677">
        <f>LN(dataset[[#This Row],[soda_sales]])</f>
        <v>11.928763262910268</v>
      </c>
      <c r="P1677">
        <f>LN(dataset[[#This Row],[soda_ppu]])</f>
        <v>-0.31306825884219686</v>
      </c>
      <c r="Q1677">
        <f>IF(dataset[[#This Row],[state]]="VA",1,0)</f>
        <v>1</v>
      </c>
    </row>
    <row r="1678" spans="1:17" x14ac:dyDescent="0.35">
      <c r="A1678">
        <v>202309</v>
      </c>
      <c r="B1678">
        <v>98</v>
      </c>
      <c r="C1678" s="2">
        <v>2396483.5861</v>
      </c>
      <c r="D1678" s="2">
        <v>0.68669999999999998</v>
      </c>
      <c r="E1678" s="3">
        <v>220512</v>
      </c>
      <c r="F1678" s="2">
        <v>151418.0459</v>
      </c>
      <c r="G1678" t="s">
        <v>3065</v>
      </c>
      <c r="H1678" t="s">
        <v>3</v>
      </c>
      <c r="I1678">
        <f>HLOOKUP(G1678,zip_tiers!$A$1:$EON$2,2,FALSE)</f>
        <v>78901.666666666672</v>
      </c>
      <c r="J1678" t="str">
        <f t="shared" si="26"/>
        <v>Med</v>
      </c>
      <c r="K1678">
        <f>dataset[[#This Row],[soda_sales]]/dataset[[#This Row],[soda_units_sold]]</f>
        <v>0.68666578644246112</v>
      </c>
      <c r="L1678" s="29">
        <f>dataset[[#This Row],[implied_soda_ppu]]-dataset[[#This Row],[soda_ppu]]</f>
        <v>-3.4213557538853578E-5</v>
      </c>
      <c r="M1678">
        <f>dataset[[#This Row],[soda_sales]]/dataset[[#This Row],[total_sales]]</f>
        <v>6.3183427075507476E-2</v>
      </c>
      <c r="N1678">
        <f>LN(dataset[[#This Row],[soda_units_sold]])</f>
        <v>12.303707394156934</v>
      </c>
      <c r="O1678">
        <f>LN(dataset[[#This Row],[soda_sales]])</f>
        <v>11.927799806409581</v>
      </c>
      <c r="P1678">
        <f>LN(dataset[[#This Row],[soda_ppu]])</f>
        <v>-0.37585776335550636</v>
      </c>
      <c r="Q1678">
        <f>IF(dataset[[#This Row],[state]]="VA",1,0)</f>
        <v>1</v>
      </c>
    </row>
    <row r="1679" spans="1:17" x14ac:dyDescent="0.35">
      <c r="A1679">
        <v>202310</v>
      </c>
      <c r="B1679">
        <v>98</v>
      </c>
      <c r="C1679" s="2">
        <v>2889575.9742999999</v>
      </c>
      <c r="D1679" s="2">
        <v>0.73329999999999995</v>
      </c>
      <c r="E1679" s="3">
        <v>194045</v>
      </c>
      <c r="F1679" s="2">
        <v>142291.15289999999</v>
      </c>
      <c r="G1679" t="s">
        <v>3065</v>
      </c>
      <c r="H1679" t="s">
        <v>3</v>
      </c>
      <c r="I1679">
        <f>HLOOKUP(G1679,zip_tiers!$A$1:$EON$2,2,FALSE)</f>
        <v>78901.666666666672</v>
      </c>
      <c r="J1679" t="str">
        <f t="shared" si="26"/>
        <v>Med</v>
      </c>
      <c r="K1679">
        <f>dataset[[#This Row],[soda_sales]]/dataset[[#This Row],[soda_units_sold]]</f>
        <v>0.73328945811538548</v>
      </c>
      <c r="L1679" s="29">
        <f>dataset[[#This Row],[implied_soda_ppu]]-dataset[[#This Row],[soda_ppu]]</f>
        <v>-1.0541884614467811E-5</v>
      </c>
      <c r="M1679">
        <f>dataset[[#This Row],[soda_sales]]/dataset[[#This Row],[total_sales]]</f>
        <v>4.9242918049410361E-2</v>
      </c>
      <c r="N1679">
        <f>LN(dataset[[#This Row],[soda_units_sold]])</f>
        <v>12.175845369910077</v>
      </c>
      <c r="O1679">
        <f>LN(dataset[[#This Row],[soda_sales]])</f>
        <v>11.865630609973705</v>
      </c>
      <c r="P1679">
        <f>LN(dataset[[#This Row],[soda_ppu]])</f>
        <v>-0.3102003838823833</v>
      </c>
      <c r="Q1679">
        <f>IF(dataset[[#This Row],[state]]="VA",1,0)</f>
        <v>1</v>
      </c>
    </row>
    <row r="1680" spans="1:17" x14ac:dyDescent="0.35">
      <c r="A1680">
        <v>202311</v>
      </c>
      <c r="B1680">
        <v>98</v>
      </c>
      <c r="C1680" s="2">
        <v>3323222.1682000002</v>
      </c>
      <c r="D1680" s="2">
        <v>0.72729999999999995</v>
      </c>
      <c r="E1680" s="3">
        <v>182821</v>
      </c>
      <c r="F1680" s="2">
        <v>132971.70740000001</v>
      </c>
      <c r="G1680" t="s">
        <v>3065</v>
      </c>
      <c r="H1680" t="s">
        <v>3</v>
      </c>
      <c r="I1680">
        <f>HLOOKUP(G1680,zip_tiers!$A$1:$EON$2,2,FALSE)</f>
        <v>78901.666666666672</v>
      </c>
      <c r="J1680" t="str">
        <f t="shared" si="26"/>
        <v>Med</v>
      </c>
      <c r="K1680">
        <f>dataset[[#This Row],[soda_sales]]/dataset[[#This Row],[soda_units_sold]]</f>
        <v>0.72733278671487422</v>
      </c>
      <c r="L1680" s="29">
        <f>dataset[[#This Row],[implied_soda_ppu]]-dataset[[#This Row],[soda_ppu]]</f>
        <v>3.2786714874277756E-5</v>
      </c>
      <c r="M1680">
        <f>dataset[[#This Row],[soda_sales]]/dataset[[#This Row],[total_sales]]</f>
        <v>4.0012885287179945E-2</v>
      </c>
      <c r="N1680">
        <f>LN(dataset[[#This Row],[soda_units_sold]])</f>
        <v>12.116262811053916</v>
      </c>
      <c r="O1680">
        <f>LN(dataset[[#This Row],[soda_sales]])</f>
        <v>11.797891658258649</v>
      </c>
      <c r="P1680">
        <f>LN(dataset[[#This Row],[soda_ppu]])</f>
        <v>-0.31841623182164214</v>
      </c>
      <c r="Q1680">
        <f>IF(dataset[[#This Row],[state]]="VA",1,0)</f>
        <v>1</v>
      </c>
    </row>
    <row r="1681" spans="1:17" x14ac:dyDescent="0.35">
      <c r="A1681">
        <v>202312</v>
      </c>
      <c r="B1681">
        <v>98</v>
      </c>
      <c r="C1681" s="2">
        <v>3428384.8407999999</v>
      </c>
      <c r="D1681" s="2">
        <v>0.73170000000000002</v>
      </c>
      <c r="E1681" s="3">
        <v>179054</v>
      </c>
      <c r="F1681" s="2">
        <v>131007.3716</v>
      </c>
      <c r="G1681" t="s">
        <v>3065</v>
      </c>
      <c r="H1681" t="s">
        <v>3</v>
      </c>
      <c r="I1681">
        <f>HLOOKUP(G1681,zip_tiers!$A$1:$EON$2,2,FALSE)</f>
        <v>78901.666666666672</v>
      </c>
      <c r="J1681" t="str">
        <f t="shared" si="26"/>
        <v>Med</v>
      </c>
      <c r="K1681">
        <f>dataset[[#This Row],[soda_sales]]/dataset[[#This Row],[soda_units_sold]]</f>
        <v>0.73166403207970776</v>
      </c>
      <c r="L1681" s="29">
        <f>dataset[[#This Row],[implied_soda_ppu]]-dataset[[#This Row],[soda_ppu]]</f>
        <v>-3.5967920292256927E-5</v>
      </c>
      <c r="M1681">
        <f>dataset[[#This Row],[soda_sales]]/dataset[[#This Row],[total_sales]]</f>
        <v>3.8212562965781273E-2</v>
      </c>
      <c r="N1681">
        <f>LN(dataset[[#This Row],[soda_units_sold]])</f>
        <v>12.095442715305497</v>
      </c>
      <c r="O1681">
        <f>LN(dataset[[#This Row],[soda_sales]])</f>
        <v>11.783008872355818</v>
      </c>
      <c r="P1681">
        <f>LN(dataset[[#This Row],[soda_ppu]])</f>
        <v>-0.31238468509215273</v>
      </c>
      <c r="Q1681">
        <f>IF(dataset[[#This Row],[state]]="VA",1,0)</f>
        <v>1</v>
      </c>
    </row>
    <row r="1682" spans="1:17" x14ac:dyDescent="0.35">
      <c r="A1682">
        <v>202401</v>
      </c>
      <c r="B1682">
        <v>98</v>
      </c>
      <c r="C1682" s="2">
        <v>1969020.7878</v>
      </c>
      <c r="D1682" s="2">
        <v>0.72499999999999998</v>
      </c>
      <c r="E1682" s="3">
        <v>132917</v>
      </c>
      <c r="F1682" s="2">
        <v>96370.848199999993</v>
      </c>
      <c r="G1682" t="s">
        <v>3065</v>
      </c>
      <c r="H1682" t="s">
        <v>3</v>
      </c>
      <c r="I1682">
        <f>HLOOKUP(G1682,zip_tiers!$A$1:$EON$2,2,FALSE)</f>
        <v>78901.666666666672</v>
      </c>
      <c r="J1682" t="str">
        <f t="shared" si="26"/>
        <v>Med</v>
      </c>
      <c r="K1682">
        <f>dataset[[#This Row],[soda_sales]]/dataset[[#This Row],[soda_units_sold]]</f>
        <v>0.72504531549764129</v>
      </c>
      <c r="L1682" s="29">
        <f>dataset[[#This Row],[implied_soda_ppu]]-dataset[[#This Row],[soda_ppu]]</f>
        <v>4.5315497641307267E-5</v>
      </c>
      <c r="M1682">
        <f>dataset[[#This Row],[soda_sales]]/dataset[[#This Row],[total_sales]]</f>
        <v>4.8943540259763219E-2</v>
      </c>
      <c r="N1682">
        <f>LN(dataset[[#This Row],[soda_units_sold]])</f>
        <v>11.797480152246928</v>
      </c>
      <c r="O1682">
        <f>LN(dataset[[#This Row],[soda_sales]])</f>
        <v>11.475959030300841</v>
      </c>
      <c r="P1682">
        <f>LN(dataset[[#This Row],[soda_ppu]])</f>
        <v>-0.32158362412746233</v>
      </c>
      <c r="Q1682">
        <f>IF(dataset[[#This Row],[state]]="VA",1,0)</f>
        <v>1</v>
      </c>
    </row>
    <row r="1683" spans="1:17" x14ac:dyDescent="0.35">
      <c r="A1683">
        <v>202402</v>
      </c>
      <c r="B1683">
        <v>98</v>
      </c>
      <c r="C1683" s="2">
        <v>2274307.6521000001</v>
      </c>
      <c r="D1683" s="2">
        <v>0.73550000000000004</v>
      </c>
      <c r="E1683" s="3">
        <v>152002</v>
      </c>
      <c r="F1683" s="2">
        <v>111799.65949999999</v>
      </c>
      <c r="G1683" t="s">
        <v>3065</v>
      </c>
      <c r="H1683" t="s">
        <v>3</v>
      </c>
      <c r="I1683">
        <f>HLOOKUP(G1683,zip_tiers!$A$1:$EON$2,2,FALSE)</f>
        <v>78901.666666666672</v>
      </c>
      <c r="J1683" t="str">
        <f t="shared" si="26"/>
        <v>Med</v>
      </c>
      <c r="K1683">
        <f>dataset[[#This Row],[soda_sales]]/dataset[[#This Row],[soda_units_sold]]</f>
        <v>0.73551439783687056</v>
      </c>
      <c r="L1683" s="29">
        <f>dataset[[#This Row],[implied_soda_ppu]]-dataset[[#This Row],[soda_ppu]]</f>
        <v>1.4397836870516656E-5</v>
      </c>
      <c r="M1683">
        <f>dataset[[#This Row],[soda_sales]]/dataset[[#This Row],[total_sales]]</f>
        <v>4.9157667563915063E-2</v>
      </c>
      <c r="N1683">
        <f>LN(dataset[[#This Row],[soda_units_sold]])</f>
        <v>11.931648957636586</v>
      </c>
      <c r="O1683">
        <f>LN(dataset[[#This Row],[soda_sales]])</f>
        <v>11.624463794081324</v>
      </c>
      <c r="P1683">
        <f>LN(dataset[[#This Row],[soda_ppu]])</f>
        <v>-0.30720473894064476</v>
      </c>
      <c r="Q1683">
        <f>IF(dataset[[#This Row],[state]]="VA",1,0)</f>
        <v>1</v>
      </c>
    </row>
    <row r="1684" spans="1:17" x14ac:dyDescent="0.35">
      <c r="A1684">
        <v>202403</v>
      </c>
      <c r="B1684">
        <v>98</v>
      </c>
      <c r="C1684" s="2">
        <v>2527364.9270000001</v>
      </c>
      <c r="D1684" s="2">
        <v>0.72519999999999996</v>
      </c>
      <c r="E1684" s="3">
        <v>179917</v>
      </c>
      <c r="F1684" s="2">
        <v>130474.9353</v>
      </c>
      <c r="G1684" t="s">
        <v>3065</v>
      </c>
      <c r="H1684" t="s">
        <v>3</v>
      </c>
      <c r="I1684">
        <f>HLOOKUP(G1684,zip_tiers!$A$1:$EON$2,2,FALSE)</f>
        <v>78901.666666666672</v>
      </c>
      <c r="J1684" t="str">
        <f t="shared" si="26"/>
        <v>Med</v>
      </c>
      <c r="K1684">
        <f>dataset[[#This Row],[soda_sales]]/dataset[[#This Row],[soda_units_sold]]</f>
        <v>0.72519514720676759</v>
      </c>
      <c r="L1684" s="29">
        <f>dataset[[#This Row],[implied_soda_ppu]]-dataset[[#This Row],[soda_ppu]]</f>
        <v>-4.8527932323683132E-6</v>
      </c>
      <c r="M1684">
        <f>dataset[[#This Row],[soda_sales]]/dataset[[#This Row],[total_sales]]</f>
        <v>5.1624889586038003E-2</v>
      </c>
      <c r="N1684">
        <f>LN(dataset[[#This Row],[soda_units_sold]])</f>
        <v>12.100250912416815</v>
      </c>
      <c r="O1684">
        <f>LN(dataset[[#This Row],[soda_sales]])</f>
        <v>11.778936420631053</v>
      </c>
      <c r="P1684">
        <f>LN(dataset[[#This Row],[soda_ppu]])</f>
        <v>-0.32130780010144111</v>
      </c>
      <c r="Q1684">
        <f>IF(dataset[[#This Row],[state]]="VA",1,0)</f>
        <v>1</v>
      </c>
    </row>
    <row r="1685" spans="1:17" x14ac:dyDescent="0.35">
      <c r="A1685">
        <v>202404</v>
      </c>
      <c r="B1685">
        <v>98</v>
      </c>
      <c r="C1685" s="2">
        <v>2651903.7574999998</v>
      </c>
      <c r="D1685" s="2">
        <v>0.73860000000000003</v>
      </c>
      <c r="E1685" s="3">
        <v>207503</v>
      </c>
      <c r="F1685" s="2">
        <v>153260.6061</v>
      </c>
      <c r="G1685" t="s">
        <v>3065</v>
      </c>
      <c r="H1685" t="s">
        <v>3</v>
      </c>
      <c r="I1685">
        <f>HLOOKUP(G1685,zip_tiers!$A$1:$EON$2,2,FALSE)</f>
        <v>78901.666666666672</v>
      </c>
      <c r="J1685" t="str">
        <f t="shared" si="26"/>
        <v>Med</v>
      </c>
      <c r="K1685">
        <f>dataset[[#This Row],[soda_sales]]/dataset[[#This Row],[soda_units_sold]]</f>
        <v>0.73859465212551145</v>
      </c>
      <c r="L1685" s="29">
        <f>dataset[[#This Row],[implied_soda_ppu]]-dataset[[#This Row],[soda_ppu]]</f>
        <v>-5.3478744885815388E-6</v>
      </c>
      <c r="M1685">
        <f>dataset[[#This Row],[soda_sales]]/dataset[[#This Row],[total_sales]]</f>
        <v>5.779267277952866E-2</v>
      </c>
      <c r="N1685">
        <f>LN(dataset[[#This Row],[soda_units_sold]])</f>
        <v>12.242901076379702</v>
      </c>
      <c r="O1685">
        <f>LN(dataset[[#This Row],[soda_sales]])</f>
        <v>11.939895059234049</v>
      </c>
      <c r="P1685">
        <f>LN(dataset[[#This Row],[soda_ppu]])</f>
        <v>-0.30299877656367419</v>
      </c>
      <c r="Q1685">
        <f>IF(dataset[[#This Row],[state]]="VA",1,0)</f>
        <v>1</v>
      </c>
    </row>
    <row r="1686" spans="1:17" x14ac:dyDescent="0.35">
      <c r="A1686">
        <v>202405</v>
      </c>
      <c r="B1686">
        <v>98</v>
      </c>
      <c r="C1686" s="2">
        <v>2796356.8119000001</v>
      </c>
      <c r="D1686" s="2">
        <v>0.7369</v>
      </c>
      <c r="E1686" s="3">
        <v>221999</v>
      </c>
      <c r="F1686" s="2">
        <v>163593.17480000001</v>
      </c>
      <c r="G1686" t="s">
        <v>3065</v>
      </c>
      <c r="H1686" t="s">
        <v>3</v>
      </c>
      <c r="I1686">
        <f>HLOOKUP(G1686,zip_tiers!$A$1:$EON$2,2,FALSE)</f>
        <v>78901.666666666672</v>
      </c>
      <c r="J1686" t="str">
        <f t="shared" si="26"/>
        <v>Med</v>
      </c>
      <c r="K1686">
        <f>dataset[[#This Row],[soda_sales]]/dataset[[#This Row],[soda_units_sold]]</f>
        <v>0.73690951220501</v>
      </c>
      <c r="L1686" s="29">
        <f>dataset[[#This Row],[implied_soda_ppu]]-dataset[[#This Row],[soda_ppu]]</f>
        <v>9.5122050099982758E-6</v>
      </c>
      <c r="M1686">
        <f>dataset[[#This Row],[soda_sales]]/dataset[[#This Row],[total_sales]]</f>
        <v>5.8502253397643388E-2</v>
      </c>
      <c r="N1686">
        <f>LN(dataset[[#This Row],[soda_units_sold]])</f>
        <v>12.310428156339766</v>
      </c>
      <c r="O1686">
        <f>LN(dataset[[#This Row],[soda_sales]])</f>
        <v>12.005137983454123</v>
      </c>
      <c r="P1686">
        <f>LN(dataset[[#This Row],[soda_ppu]])</f>
        <v>-0.30530308120918342</v>
      </c>
      <c r="Q1686">
        <f>IF(dataset[[#This Row],[state]]="VA",1,0)</f>
        <v>1</v>
      </c>
    </row>
    <row r="1687" spans="1:17" x14ac:dyDescent="0.35">
      <c r="A1687">
        <v>202406</v>
      </c>
      <c r="B1687">
        <v>98</v>
      </c>
      <c r="C1687" s="2">
        <v>2696884.8958999999</v>
      </c>
      <c r="D1687" s="2">
        <v>0.74029999999999996</v>
      </c>
      <c r="E1687" s="3">
        <v>239000</v>
      </c>
      <c r="F1687" s="2">
        <v>176920.0736</v>
      </c>
      <c r="G1687" t="s">
        <v>3065</v>
      </c>
      <c r="H1687" t="s">
        <v>3</v>
      </c>
      <c r="I1687">
        <f>HLOOKUP(G1687,zip_tiers!$A$1:$EON$2,2,FALSE)</f>
        <v>78901.666666666672</v>
      </c>
      <c r="J1687" t="str">
        <f t="shared" si="26"/>
        <v>Med</v>
      </c>
      <c r="K1687">
        <f>dataset[[#This Row],[soda_sales]]/dataset[[#This Row],[soda_units_sold]]</f>
        <v>0.74025135397489539</v>
      </c>
      <c r="L1687" s="29">
        <f>dataset[[#This Row],[implied_soda_ppu]]-dataset[[#This Row],[soda_ppu]]</f>
        <v>-4.8646025104570612E-5</v>
      </c>
      <c r="M1687">
        <f>dataset[[#This Row],[soda_sales]]/dataset[[#This Row],[total_sales]]</f>
        <v>6.5601640570187747E-2</v>
      </c>
      <c r="N1687">
        <f>LN(dataset[[#This Row],[soda_units_sold]])</f>
        <v>12.384218830913648</v>
      </c>
      <c r="O1687">
        <f>LN(dataset[[#This Row],[soda_sales]])</f>
        <v>12.083453347989412</v>
      </c>
      <c r="P1687">
        <f>LN(dataset[[#This Row],[soda_ppu]])</f>
        <v>-0.30069976953308447</v>
      </c>
      <c r="Q1687">
        <f>IF(dataset[[#This Row],[state]]="VA",1,0)</f>
        <v>1</v>
      </c>
    </row>
    <row r="1688" spans="1:17" x14ac:dyDescent="0.35">
      <c r="A1688">
        <v>202407</v>
      </c>
      <c r="B1688">
        <v>98</v>
      </c>
      <c r="C1688" s="2">
        <v>2548377.7387999999</v>
      </c>
      <c r="D1688" s="2">
        <v>0.70750000000000002</v>
      </c>
      <c r="E1688" s="3">
        <v>252896</v>
      </c>
      <c r="F1688" s="2">
        <v>178913.29569999999</v>
      </c>
      <c r="G1688" t="s">
        <v>3065</v>
      </c>
      <c r="H1688" t="s">
        <v>3</v>
      </c>
      <c r="I1688">
        <f>HLOOKUP(G1688,zip_tiers!$A$1:$EON$2,2,FALSE)</f>
        <v>78901.666666666672</v>
      </c>
      <c r="J1688" t="str">
        <f t="shared" si="26"/>
        <v>Med</v>
      </c>
      <c r="K1688">
        <f>dataset[[#This Row],[soda_sales]]/dataset[[#This Row],[soda_units_sold]]</f>
        <v>0.70745798945020877</v>
      </c>
      <c r="L1688" s="29">
        <f>dataset[[#This Row],[implied_soda_ppu]]-dataset[[#This Row],[soda_ppu]]</f>
        <v>-4.2010549791249296E-5</v>
      </c>
      <c r="M1688">
        <f>dataset[[#This Row],[soda_sales]]/dataset[[#This Row],[total_sales]]</f>
        <v>7.0206740930113476E-2</v>
      </c>
      <c r="N1688">
        <f>LN(dataset[[#This Row],[soda_units_sold]])</f>
        <v>12.440733616004701</v>
      </c>
      <c r="O1688">
        <f>LN(dataset[[#This Row],[soda_sales]])</f>
        <v>12.094656585908</v>
      </c>
      <c r="P1688">
        <f>LN(dataset[[#This Row],[soda_ppu]])</f>
        <v>-0.34601764946474434</v>
      </c>
      <c r="Q1688">
        <f>IF(dataset[[#This Row],[state]]="VA",1,0)</f>
        <v>1</v>
      </c>
    </row>
    <row r="1689" spans="1:17" x14ac:dyDescent="0.35">
      <c r="A1689">
        <v>202408</v>
      </c>
      <c r="B1689">
        <v>98</v>
      </c>
      <c r="C1689" s="2">
        <v>2417802.5942000002</v>
      </c>
      <c r="D1689" s="2">
        <v>0.72350000000000003</v>
      </c>
      <c r="E1689" s="3">
        <v>219024</v>
      </c>
      <c r="F1689" s="2">
        <v>158465.85569999999</v>
      </c>
      <c r="G1689" t="s">
        <v>3065</v>
      </c>
      <c r="H1689" t="s">
        <v>3</v>
      </c>
      <c r="I1689">
        <f>HLOOKUP(G1689,zip_tiers!$A$1:$EON$2,2,FALSE)</f>
        <v>78901.666666666672</v>
      </c>
      <c r="J1689" t="str">
        <f t="shared" si="26"/>
        <v>Med</v>
      </c>
      <c r="K1689">
        <f>dataset[[#This Row],[soda_sales]]/dataset[[#This Row],[soda_units_sold]]</f>
        <v>0.72350909352399728</v>
      </c>
      <c r="L1689" s="29">
        <f>dataset[[#This Row],[implied_soda_ppu]]-dataset[[#This Row],[soda_ppu]]</f>
        <v>9.0935239972500526E-6</v>
      </c>
      <c r="M1689">
        <f>dataset[[#This Row],[soda_sales]]/dataset[[#This Row],[total_sales]]</f>
        <v>6.5541271268439921E-2</v>
      </c>
      <c r="N1689">
        <f>LN(dataset[[#This Row],[soda_units_sold]])</f>
        <v>12.296936591835294</v>
      </c>
      <c r="O1689">
        <f>LN(dataset[[#This Row],[soda_sales]])</f>
        <v>11.973294427641834</v>
      </c>
      <c r="P1689">
        <f>LN(dataset[[#This Row],[soda_ppu]])</f>
        <v>-0.32365473291059843</v>
      </c>
      <c r="Q1689">
        <f>IF(dataset[[#This Row],[state]]="VA",1,0)</f>
        <v>1</v>
      </c>
    </row>
    <row r="1690" spans="1:17" x14ac:dyDescent="0.35">
      <c r="A1690">
        <v>202409</v>
      </c>
      <c r="B1690">
        <v>98</v>
      </c>
      <c r="C1690" s="2">
        <v>2447462.8206000002</v>
      </c>
      <c r="D1690" s="2">
        <v>0.77049999999999996</v>
      </c>
      <c r="E1690" s="3">
        <v>199133</v>
      </c>
      <c r="F1690" s="2">
        <v>153430.68770000001</v>
      </c>
      <c r="G1690" t="s">
        <v>3065</v>
      </c>
      <c r="H1690" t="s">
        <v>3</v>
      </c>
      <c r="I1690">
        <f>HLOOKUP(G1690,zip_tiers!$A$1:$EON$2,2,FALSE)</f>
        <v>78901.666666666672</v>
      </c>
      <c r="J1690" t="str">
        <f t="shared" si="26"/>
        <v>Med</v>
      </c>
      <c r="K1690">
        <f>dataset[[#This Row],[soda_sales]]/dataset[[#This Row],[soda_units_sold]]</f>
        <v>0.77049352794363568</v>
      </c>
      <c r="L1690" s="29">
        <f>dataset[[#This Row],[implied_soda_ppu]]-dataset[[#This Row],[soda_ppu]]</f>
        <v>-6.4720563642817197E-6</v>
      </c>
      <c r="M1690">
        <f>dataset[[#This Row],[soda_sales]]/dataset[[#This Row],[total_sales]]</f>
        <v>6.268969089482887E-2</v>
      </c>
      <c r="N1690">
        <f>LN(dataset[[#This Row],[soda_units_sold]])</f>
        <v>12.201728222174314</v>
      </c>
      <c r="O1690">
        <f>LN(dataset[[#This Row],[soda_sales]])</f>
        <v>11.941004198103489</v>
      </c>
      <c r="P1690">
        <f>LN(dataset[[#This Row],[soda_ppu]])</f>
        <v>-0.26071562422196665</v>
      </c>
      <c r="Q1690">
        <f>IF(dataset[[#This Row],[state]]="VA",1,0)</f>
        <v>1</v>
      </c>
    </row>
    <row r="1691" spans="1:17" x14ac:dyDescent="0.35">
      <c r="A1691">
        <v>202410</v>
      </c>
      <c r="B1691">
        <v>98</v>
      </c>
      <c r="C1691" s="2">
        <v>2966879.3374999999</v>
      </c>
      <c r="D1691" s="2">
        <v>0.73550000000000004</v>
      </c>
      <c r="E1691" s="3">
        <v>196666</v>
      </c>
      <c r="F1691" s="2">
        <v>144643.98550000001</v>
      </c>
      <c r="G1691" t="s">
        <v>3065</v>
      </c>
      <c r="H1691" t="s">
        <v>3</v>
      </c>
      <c r="I1691">
        <f>HLOOKUP(G1691,zip_tiers!$A$1:$EON$2,2,FALSE)</f>
        <v>78901.666666666672</v>
      </c>
      <c r="J1691" t="str">
        <f t="shared" si="26"/>
        <v>Med</v>
      </c>
      <c r="K1691">
        <f>dataset[[#This Row],[soda_sales]]/dataset[[#This Row],[soda_units_sold]]</f>
        <v>0.73548038552673067</v>
      </c>
      <c r="L1691" s="29">
        <f>dataset[[#This Row],[implied_soda_ppu]]-dataset[[#This Row],[soda_ppu]]</f>
        <v>-1.961447326936927E-5</v>
      </c>
      <c r="M1691">
        <f>dataset[[#This Row],[soda_sales]]/dataset[[#This Row],[total_sales]]</f>
        <v>4.8752904667124841E-2</v>
      </c>
      <c r="N1691">
        <f>LN(dataset[[#This Row],[soda_units_sold]])</f>
        <v>12.189262137377538</v>
      </c>
      <c r="O1691">
        <f>LN(dataset[[#This Row],[soda_sales]])</f>
        <v>11.882030729864745</v>
      </c>
      <c r="P1691">
        <f>LN(dataset[[#This Row],[soda_ppu]])</f>
        <v>-0.30720473894064476</v>
      </c>
      <c r="Q1691">
        <f>IF(dataset[[#This Row],[state]]="VA",1,0)</f>
        <v>1</v>
      </c>
    </row>
    <row r="1692" spans="1:17" x14ac:dyDescent="0.35">
      <c r="A1692">
        <v>202411</v>
      </c>
      <c r="B1692">
        <v>98</v>
      </c>
      <c r="C1692" s="2">
        <v>3347045.3413999998</v>
      </c>
      <c r="D1692" s="2">
        <v>0.75180000000000002</v>
      </c>
      <c r="E1692" s="3">
        <v>179411</v>
      </c>
      <c r="F1692" s="2">
        <v>134875.51610000001</v>
      </c>
      <c r="G1692" t="s">
        <v>3065</v>
      </c>
      <c r="H1692" t="s">
        <v>3</v>
      </c>
      <c r="I1692">
        <f>HLOOKUP(G1692,zip_tiers!$A$1:$EON$2,2,FALSE)</f>
        <v>78901.666666666672</v>
      </c>
      <c r="J1692" t="str">
        <f t="shared" si="26"/>
        <v>Med</v>
      </c>
      <c r="K1692">
        <f>dataset[[#This Row],[soda_sales]]/dataset[[#This Row],[soda_units_sold]]</f>
        <v>0.75176837596356971</v>
      </c>
      <c r="L1692" s="29">
        <f>dataset[[#This Row],[implied_soda_ppu]]-dataset[[#This Row],[soda_ppu]]</f>
        <v>-3.1624036430311087E-5</v>
      </c>
      <c r="M1692">
        <f>dataset[[#This Row],[soda_sales]]/dataset[[#This Row],[total_sales]]</f>
        <v>4.0296889448048039E-2</v>
      </c>
      <c r="N1692">
        <f>LN(dataset[[#This Row],[soda_units_sold]])</f>
        <v>12.097434542223212</v>
      </c>
      <c r="O1692">
        <f>LN(dataset[[#This Row],[soda_sales]])</f>
        <v>11.812107529059139</v>
      </c>
      <c r="P1692">
        <f>LN(dataset[[#This Row],[soda_ppu]])</f>
        <v>-0.28528494785205938</v>
      </c>
      <c r="Q1692">
        <f>IF(dataset[[#This Row],[state]]="VA",1,0)</f>
        <v>1</v>
      </c>
    </row>
    <row r="1693" spans="1:17" x14ac:dyDescent="0.35">
      <c r="A1693">
        <v>202412</v>
      </c>
      <c r="B1693">
        <v>98</v>
      </c>
      <c r="C1693" s="2">
        <v>3531813.1392999999</v>
      </c>
      <c r="D1693" s="2">
        <v>0.76849999999999996</v>
      </c>
      <c r="E1693" s="3">
        <v>176628</v>
      </c>
      <c r="F1693" s="2">
        <v>135733.5851</v>
      </c>
      <c r="G1693" t="s">
        <v>3065</v>
      </c>
      <c r="H1693" t="s">
        <v>3</v>
      </c>
      <c r="I1693">
        <f>HLOOKUP(G1693,zip_tiers!$A$1:$EON$2,2,FALSE)</f>
        <v>78901.666666666672</v>
      </c>
      <c r="J1693" t="str">
        <f t="shared" si="26"/>
        <v>Med</v>
      </c>
      <c r="K1693">
        <f>dataset[[#This Row],[soda_sales]]/dataset[[#This Row],[soda_units_sold]]</f>
        <v>0.76847150565029321</v>
      </c>
      <c r="L1693" s="29">
        <f>dataset[[#This Row],[implied_soda_ppu]]-dataset[[#This Row],[soda_ppu]]</f>
        <v>-2.8494349706753574E-5</v>
      </c>
      <c r="M1693">
        <f>dataset[[#This Row],[soda_sales]]/dataset[[#This Row],[total_sales]]</f>
        <v>3.8431700587336901E-2</v>
      </c>
      <c r="N1693">
        <f>LN(dataset[[#This Row],[soda_units_sold]])</f>
        <v>12.081801104980586</v>
      </c>
      <c r="O1693">
        <f>LN(dataset[[#This Row],[soda_sales]])</f>
        <v>11.818449310411095</v>
      </c>
      <c r="P1693">
        <f>LN(dataset[[#This Row],[soda_ppu]])</f>
        <v>-0.26331471600348655</v>
      </c>
      <c r="Q1693">
        <f>IF(dataset[[#This Row],[state]]="VA",1,0)</f>
        <v>1</v>
      </c>
    </row>
    <row r="1694" spans="1:17" x14ac:dyDescent="0.35">
      <c r="A1694">
        <v>202201</v>
      </c>
      <c r="B1694">
        <v>59</v>
      </c>
      <c r="C1694" s="2">
        <v>2007257.0563000001</v>
      </c>
      <c r="D1694" s="2">
        <v>0.70469999999999999</v>
      </c>
      <c r="E1694" s="3">
        <v>133592</v>
      </c>
      <c r="F1694" s="2">
        <v>94141.505300000004</v>
      </c>
      <c r="G1694" t="s">
        <v>3104</v>
      </c>
      <c r="H1694" t="s">
        <v>3</v>
      </c>
      <c r="I1694">
        <f>HLOOKUP(G1694,zip_tiers!$A$1:$EON$2,2,FALSE)</f>
        <v>86125.666666666672</v>
      </c>
      <c r="J1694" t="str">
        <f t="shared" si="26"/>
        <v>Med</v>
      </c>
      <c r="K1694">
        <f>dataset[[#This Row],[soda_sales]]/dataset[[#This Row],[soda_units_sold]]</f>
        <v>0.70469418303491227</v>
      </c>
      <c r="L1694" s="29">
        <f>dataset[[#This Row],[implied_soda_ppu]]-dataset[[#This Row],[soda_ppu]]</f>
        <v>-5.81696508772378E-6</v>
      </c>
      <c r="M1694">
        <f>dataset[[#This Row],[soda_sales]]/dataset[[#This Row],[total_sales]]</f>
        <v>4.6900572602062297E-2</v>
      </c>
      <c r="N1694">
        <f>LN(dataset[[#This Row],[soda_units_sold]])</f>
        <v>11.802545658052269</v>
      </c>
      <c r="O1694">
        <f>LN(dataset[[#This Row],[soda_sales]])</f>
        <v>11.452554304842167</v>
      </c>
      <c r="P1694">
        <f>LN(dataset[[#This Row],[soda_ppu]])</f>
        <v>-0.34998309864916027</v>
      </c>
      <c r="Q1694">
        <f>IF(dataset[[#This Row],[state]]="VA",1,0)</f>
        <v>1</v>
      </c>
    </row>
    <row r="1695" spans="1:17" x14ac:dyDescent="0.35">
      <c r="A1695">
        <v>202202</v>
      </c>
      <c r="B1695">
        <v>59</v>
      </c>
      <c r="C1695" s="2">
        <v>2282062.3873999999</v>
      </c>
      <c r="D1695" s="2">
        <v>0.70689999999999997</v>
      </c>
      <c r="E1695" s="3">
        <v>153077</v>
      </c>
      <c r="F1695" s="2">
        <v>108203.15429999999</v>
      </c>
      <c r="G1695" t="s">
        <v>3104</v>
      </c>
      <c r="H1695" t="s">
        <v>3</v>
      </c>
      <c r="I1695">
        <f>HLOOKUP(G1695,zip_tiers!$A$1:$EON$2,2,FALSE)</f>
        <v>86125.666666666672</v>
      </c>
      <c r="J1695" t="str">
        <f t="shared" si="26"/>
        <v>Med</v>
      </c>
      <c r="K1695">
        <f>dataset[[#This Row],[soda_sales]]/dataset[[#This Row],[soda_units_sold]]</f>
        <v>0.70685442163094392</v>
      </c>
      <c r="L1695" s="29">
        <f>dataset[[#This Row],[implied_soda_ppu]]-dataset[[#This Row],[soda_ppu]]</f>
        <v>-4.5578369056054058E-5</v>
      </c>
      <c r="M1695">
        <f>dataset[[#This Row],[soda_sales]]/dataset[[#This Row],[total_sales]]</f>
        <v>4.7414634629370518E-2</v>
      </c>
      <c r="N1695">
        <f>LN(dataset[[#This Row],[soda_units_sold]])</f>
        <v>11.938696341751575</v>
      </c>
      <c r="O1695">
        <f>LN(dataset[[#This Row],[soda_sales]])</f>
        <v>11.591765797464971</v>
      </c>
      <c r="P1695">
        <f>LN(dataset[[#This Row],[soda_ppu]])</f>
        <v>-0.34686606580522872</v>
      </c>
      <c r="Q1695">
        <f>IF(dataset[[#This Row],[state]]="VA",1,0)</f>
        <v>1</v>
      </c>
    </row>
    <row r="1696" spans="1:17" x14ac:dyDescent="0.35">
      <c r="A1696">
        <v>202203</v>
      </c>
      <c r="B1696">
        <v>59</v>
      </c>
      <c r="C1696" s="2">
        <v>2523944.9985000002</v>
      </c>
      <c r="D1696" s="2">
        <v>0.70930000000000004</v>
      </c>
      <c r="E1696" s="3">
        <v>178109</v>
      </c>
      <c r="F1696" s="2">
        <v>126325.6213</v>
      </c>
      <c r="G1696" t="s">
        <v>3104</v>
      </c>
      <c r="H1696" t="s">
        <v>3</v>
      </c>
      <c r="I1696">
        <f>HLOOKUP(G1696,zip_tiers!$A$1:$EON$2,2,FALSE)</f>
        <v>86125.666666666672</v>
      </c>
      <c r="J1696" t="str">
        <f t="shared" si="26"/>
        <v>Med</v>
      </c>
      <c r="K1696">
        <f>dataset[[#This Row],[soda_sales]]/dataset[[#This Row],[soda_units_sold]]</f>
        <v>0.70926017944067954</v>
      </c>
      <c r="L1696" s="29">
        <f>dataset[[#This Row],[implied_soda_ppu]]-dataset[[#This Row],[soda_ppu]]</f>
        <v>-3.9820559320502547E-5</v>
      </c>
      <c r="M1696">
        <f>dataset[[#This Row],[soda_sales]]/dataset[[#This Row],[total_sales]]</f>
        <v>5.0050861399545662E-2</v>
      </c>
      <c r="N1696">
        <f>LN(dataset[[#This Row],[soda_units_sold]])</f>
        <v>12.090151001409181</v>
      </c>
      <c r="O1696">
        <f>LN(dataset[[#This Row],[soda_sales]])</f>
        <v>11.746618148414392</v>
      </c>
      <c r="P1696">
        <f>LN(dataset[[#This Row],[soda_ppu]])</f>
        <v>-0.34347671077409592</v>
      </c>
      <c r="Q1696">
        <f>IF(dataset[[#This Row],[state]]="VA",1,0)</f>
        <v>1</v>
      </c>
    </row>
    <row r="1697" spans="1:17" x14ac:dyDescent="0.35">
      <c r="A1697">
        <v>202204</v>
      </c>
      <c r="B1697">
        <v>59</v>
      </c>
      <c r="C1697" s="2">
        <v>2718372.5529</v>
      </c>
      <c r="D1697" s="2">
        <v>0.76380000000000003</v>
      </c>
      <c r="E1697" s="3">
        <v>198591</v>
      </c>
      <c r="F1697" s="2">
        <v>151690.5387</v>
      </c>
      <c r="G1697" t="s">
        <v>3104</v>
      </c>
      <c r="H1697" t="s">
        <v>3</v>
      </c>
      <c r="I1697">
        <f>HLOOKUP(G1697,zip_tiers!$A$1:$EON$2,2,FALSE)</f>
        <v>86125.666666666672</v>
      </c>
      <c r="J1697" t="str">
        <f t="shared" si="26"/>
        <v>Med</v>
      </c>
      <c r="K1697">
        <f>dataset[[#This Row],[soda_sales]]/dataset[[#This Row],[soda_units_sold]]</f>
        <v>0.7638339033490944</v>
      </c>
      <c r="L1697" s="29">
        <f>dataset[[#This Row],[implied_soda_ppu]]-dataset[[#This Row],[soda_ppu]]</f>
        <v>3.390334909436632E-5</v>
      </c>
      <c r="M1697">
        <f>dataset[[#This Row],[soda_sales]]/dataset[[#This Row],[total_sales]]</f>
        <v>5.5801968180621268E-2</v>
      </c>
      <c r="N1697">
        <f>LN(dataset[[#This Row],[soda_units_sold]])</f>
        <v>12.199002712345809</v>
      </c>
      <c r="O1697">
        <f>LN(dataset[[#This Row],[soda_sales]])</f>
        <v>11.929597794901186</v>
      </c>
      <c r="P1697">
        <f>LN(dataset[[#This Row],[soda_ppu]])</f>
        <v>-0.26944930419072116</v>
      </c>
      <c r="Q1697">
        <f>IF(dataset[[#This Row],[state]]="VA",1,0)</f>
        <v>1</v>
      </c>
    </row>
    <row r="1698" spans="1:17" x14ac:dyDescent="0.35">
      <c r="A1698">
        <v>202205</v>
      </c>
      <c r="B1698">
        <v>59</v>
      </c>
      <c r="C1698" s="2">
        <v>2748332.4396000002</v>
      </c>
      <c r="D1698" s="2">
        <v>0.71220000000000006</v>
      </c>
      <c r="E1698" s="3">
        <v>222346</v>
      </c>
      <c r="F1698" s="2">
        <v>158363.3744</v>
      </c>
      <c r="G1698" t="s">
        <v>3104</v>
      </c>
      <c r="H1698" t="s">
        <v>3</v>
      </c>
      <c r="I1698">
        <f>HLOOKUP(G1698,zip_tiers!$A$1:$EON$2,2,FALSE)</f>
        <v>86125.666666666672</v>
      </c>
      <c r="J1698" t="str">
        <f t="shared" si="26"/>
        <v>Med</v>
      </c>
      <c r="K1698">
        <f>dataset[[#This Row],[soda_sales]]/dataset[[#This Row],[soda_units_sold]]</f>
        <v>0.7122384679733389</v>
      </c>
      <c r="L1698" s="29">
        <f>dataset[[#This Row],[implied_soda_ppu]]-dataset[[#This Row],[soda_ppu]]</f>
        <v>3.8467973338840444E-5</v>
      </c>
      <c r="M1698">
        <f>dataset[[#This Row],[soda_sales]]/dataset[[#This Row],[total_sales]]</f>
        <v>5.762162252214606E-2</v>
      </c>
      <c r="N1698">
        <f>LN(dataset[[#This Row],[soda_units_sold]])</f>
        <v>12.311990006121079</v>
      </c>
      <c r="O1698">
        <f>LN(dataset[[#This Row],[soda_sales]])</f>
        <v>11.972647509404261</v>
      </c>
      <c r="P1698">
        <f>LN(dataset[[#This Row],[soda_ppu]])</f>
        <v>-0.33939650813845962</v>
      </c>
      <c r="Q1698">
        <f>IF(dataset[[#This Row],[state]]="VA",1,0)</f>
        <v>1</v>
      </c>
    </row>
    <row r="1699" spans="1:17" x14ac:dyDescent="0.35">
      <c r="A1699">
        <v>202206</v>
      </c>
      <c r="B1699">
        <v>59</v>
      </c>
      <c r="C1699" s="2">
        <v>2702669.6853999998</v>
      </c>
      <c r="D1699" s="2">
        <v>0.71409999999999996</v>
      </c>
      <c r="E1699" s="3">
        <v>241849</v>
      </c>
      <c r="F1699" s="2">
        <v>172709.9393</v>
      </c>
      <c r="G1699" t="s">
        <v>3104</v>
      </c>
      <c r="H1699" t="s">
        <v>3</v>
      </c>
      <c r="I1699">
        <f>HLOOKUP(G1699,zip_tiers!$A$1:$EON$2,2,FALSE)</f>
        <v>86125.666666666672</v>
      </c>
      <c r="J1699" t="str">
        <f t="shared" si="26"/>
        <v>Med</v>
      </c>
      <c r="K1699">
        <f>dataset[[#This Row],[soda_sales]]/dataset[[#This Row],[soda_units_sold]]</f>
        <v>0.7141230242837473</v>
      </c>
      <c r="L1699" s="29">
        <f>dataset[[#This Row],[implied_soda_ppu]]-dataset[[#This Row],[soda_ppu]]</f>
        <v>2.3024283747341556E-5</v>
      </c>
      <c r="M1699">
        <f>dataset[[#This Row],[soda_sales]]/dataset[[#This Row],[total_sales]]</f>
        <v>6.3903458211334696E-2</v>
      </c>
      <c r="N1699">
        <f>LN(dataset[[#This Row],[soda_units_sold]])</f>
        <v>12.396068843448287</v>
      </c>
      <c r="O1699">
        <f>LN(dataset[[#This Row],[soda_sales]])</f>
        <v>12.059368814881704</v>
      </c>
      <c r="P1699">
        <f>LN(dataset[[#This Row],[soda_ppu]])</f>
        <v>-0.33673227042707282</v>
      </c>
      <c r="Q1699">
        <f>IF(dataset[[#This Row],[state]]="VA",1,0)</f>
        <v>1</v>
      </c>
    </row>
    <row r="1700" spans="1:17" x14ac:dyDescent="0.35">
      <c r="A1700">
        <v>202207</v>
      </c>
      <c r="B1700">
        <v>59</v>
      </c>
      <c r="C1700" s="2">
        <v>2523068.7302000001</v>
      </c>
      <c r="D1700" s="2">
        <v>0.71430000000000005</v>
      </c>
      <c r="E1700" s="3">
        <v>243962</v>
      </c>
      <c r="F1700" s="2">
        <v>174252.54209999999</v>
      </c>
      <c r="G1700" t="s">
        <v>3104</v>
      </c>
      <c r="H1700" t="s">
        <v>3</v>
      </c>
      <c r="I1700">
        <f>HLOOKUP(G1700,zip_tiers!$A$1:$EON$2,2,FALSE)</f>
        <v>86125.666666666672</v>
      </c>
      <c r="J1700" t="str">
        <f t="shared" si="26"/>
        <v>Med</v>
      </c>
      <c r="K1700">
        <f>dataset[[#This Row],[soda_sales]]/dataset[[#This Row],[soda_units_sold]]</f>
        <v>0.7142610000737819</v>
      </c>
      <c r="L1700" s="29">
        <f>dataset[[#This Row],[implied_soda_ppu]]-dataset[[#This Row],[soda_ppu]]</f>
        <v>-3.8999926218141745E-5</v>
      </c>
      <c r="M1700">
        <f>dataset[[#This Row],[soda_sales]]/dataset[[#This Row],[total_sales]]</f>
        <v>6.9063731801783795E-2</v>
      </c>
      <c r="N1700">
        <f>LN(dataset[[#This Row],[soda_units_sold]])</f>
        <v>12.404767754442044</v>
      </c>
      <c r="O1700">
        <f>LN(dataset[[#This Row],[soda_sales]])</f>
        <v>12.068260917325537</v>
      </c>
      <c r="P1700">
        <f>LN(dataset[[#This Row],[soda_ppu]])</f>
        <v>-0.33645223682121023</v>
      </c>
      <c r="Q1700">
        <f>IF(dataset[[#This Row],[state]]="VA",1,0)</f>
        <v>1</v>
      </c>
    </row>
    <row r="1701" spans="1:17" x14ac:dyDescent="0.35">
      <c r="A1701">
        <v>202208</v>
      </c>
      <c r="B1701">
        <v>59</v>
      </c>
      <c r="C1701" s="2">
        <v>2425861.3229999999</v>
      </c>
      <c r="D1701" s="2">
        <v>0.71460000000000001</v>
      </c>
      <c r="E1701" s="3">
        <v>213159</v>
      </c>
      <c r="F1701" s="2">
        <v>152313.38039999999</v>
      </c>
      <c r="G1701" t="s">
        <v>3104</v>
      </c>
      <c r="H1701" t="s">
        <v>3</v>
      </c>
      <c r="I1701">
        <f>HLOOKUP(G1701,zip_tiers!$A$1:$EON$2,2,FALSE)</f>
        <v>86125.666666666672</v>
      </c>
      <c r="J1701" t="str">
        <f t="shared" si="26"/>
        <v>Med</v>
      </c>
      <c r="K1701">
        <f>dataset[[#This Row],[soda_sales]]/dataset[[#This Row],[soda_units_sold]]</f>
        <v>0.71455289431832569</v>
      </c>
      <c r="L1701" s="29">
        <f>dataset[[#This Row],[implied_soda_ppu]]-dataset[[#This Row],[soda_ppu]]</f>
        <v>-4.7105681674319833E-5</v>
      </c>
      <c r="M1701">
        <f>dataset[[#This Row],[soda_sales]]/dataset[[#This Row],[total_sales]]</f>
        <v>6.2787340296780847E-2</v>
      </c>
      <c r="N1701">
        <f>LN(dataset[[#This Row],[soda_units_sold]])</f>
        <v>12.269793645088024</v>
      </c>
      <c r="O1701">
        <f>LN(dataset[[#This Row],[soda_sales]])</f>
        <v>11.93369539057244</v>
      </c>
      <c r="P1701">
        <f>LN(dataset[[#This Row],[soda_ppu]])</f>
        <v>-0.33603233339282762</v>
      </c>
      <c r="Q1701">
        <f>IF(dataset[[#This Row],[state]]="VA",1,0)</f>
        <v>1</v>
      </c>
    </row>
    <row r="1702" spans="1:17" x14ac:dyDescent="0.35">
      <c r="A1702">
        <v>202209</v>
      </c>
      <c r="B1702">
        <v>59</v>
      </c>
      <c r="C1702" s="2">
        <v>2451469.9172</v>
      </c>
      <c r="D1702" s="2">
        <v>0.72250000000000003</v>
      </c>
      <c r="E1702" s="3">
        <v>202325</v>
      </c>
      <c r="F1702" s="2">
        <v>146182.58590000001</v>
      </c>
      <c r="G1702" t="s">
        <v>3104</v>
      </c>
      <c r="H1702" t="s">
        <v>3</v>
      </c>
      <c r="I1702">
        <f>HLOOKUP(G1702,zip_tiers!$A$1:$EON$2,2,FALSE)</f>
        <v>86125.666666666672</v>
      </c>
      <c r="J1702" t="str">
        <f t="shared" si="26"/>
        <v>Med</v>
      </c>
      <c r="K1702">
        <f>dataset[[#This Row],[soda_sales]]/dataset[[#This Row],[soda_units_sold]]</f>
        <v>0.72251370764858525</v>
      </c>
      <c r="L1702" s="29">
        <f>dataset[[#This Row],[implied_soda_ppu]]-dataset[[#This Row],[soda_ppu]]</f>
        <v>1.3707648585215004E-5</v>
      </c>
      <c r="M1702">
        <f>dataset[[#This Row],[soda_sales]]/dataset[[#This Row],[total_sales]]</f>
        <v>5.9630585255953557E-2</v>
      </c>
      <c r="N1702">
        <f>LN(dataset[[#This Row],[soda_units_sold]])</f>
        <v>12.217630594363902</v>
      </c>
      <c r="O1702">
        <f>LN(dataset[[#This Row],[soda_sales]])</f>
        <v>11.892611707712371</v>
      </c>
      <c r="P1702">
        <f>LN(dataset[[#This Row],[soda_ppu]])</f>
        <v>-0.32503785899554977</v>
      </c>
      <c r="Q1702">
        <f>IF(dataset[[#This Row],[state]]="VA",1,0)</f>
        <v>1</v>
      </c>
    </row>
    <row r="1703" spans="1:17" x14ac:dyDescent="0.35">
      <c r="A1703">
        <v>202210</v>
      </c>
      <c r="B1703">
        <v>59</v>
      </c>
      <c r="C1703" s="2">
        <v>2966027.1277000001</v>
      </c>
      <c r="D1703" s="2">
        <v>0.7198</v>
      </c>
      <c r="E1703" s="3">
        <v>198258</v>
      </c>
      <c r="F1703" s="2">
        <v>142710.35930000001</v>
      </c>
      <c r="G1703" t="s">
        <v>3104</v>
      </c>
      <c r="H1703" t="s">
        <v>3</v>
      </c>
      <c r="I1703">
        <f>HLOOKUP(G1703,zip_tiers!$A$1:$EON$2,2,FALSE)</f>
        <v>86125.666666666672</v>
      </c>
      <c r="J1703" t="str">
        <f t="shared" si="26"/>
        <v>Med</v>
      </c>
      <c r="K1703">
        <f>dataset[[#This Row],[soda_sales]]/dataset[[#This Row],[soda_units_sold]]</f>
        <v>0.71982144125331649</v>
      </c>
      <c r="L1703" s="29">
        <f>dataset[[#This Row],[implied_soda_ppu]]-dataset[[#This Row],[soda_ppu]]</f>
        <v>2.1441253316489828E-5</v>
      </c>
      <c r="M1703">
        <f>dataset[[#This Row],[soda_sales]]/dataset[[#This Row],[total_sales]]</f>
        <v>4.8114987879650475E-2</v>
      </c>
      <c r="N1703">
        <f>LN(dataset[[#This Row],[soda_units_sold]])</f>
        <v>12.197324491772465</v>
      </c>
      <c r="O1703">
        <f>LN(dataset[[#This Row],[soda_sales]])</f>
        <v>11.868572395784492</v>
      </c>
      <c r="P1703">
        <f>LN(dataset[[#This Row],[soda_ppu]])</f>
        <v>-0.32878188333720676</v>
      </c>
      <c r="Q1703">
        <f>IF(dataset[[#This Row],[state]]="VA",1,0)</f>
        <v>1</v>
      </c>
    </row>
    <row r="1704" spans="1:17" x14ac:dyDescent="0.35">
      <c r="A1704">
        <v>202211</v>
      </c>
      <c r="B1704">
        <v>59</v>
      </c>
      <c r="C1704" s="2">
        <v>3364905.0417999998</v>
      </c>
      <c r="D1704" s="2">
        <v>0.72929999999999995</v>
      </c>
      <c r="E1704" s="3">
        <v>184079</v>
      </c>
      <c r="F1704" s="2">
        <v>134241.6925</v>
      </c>
      <c r="G1704" t="s">
        <v>3104</v>
      </c>
      <c r="H1704" t="s">
        <v>3</v>
      </c>
      <c r="I1704">
        <f>HLOOKUP(G1704,zip_tiers!$A$1:$EON$2,2,FALSE)</f>
        <v>86125.666666666672</v>
      </c>
      <c r="J1704" t="str">
        <f t="shared" si="26"/>
        <v>Med</v>
      </c>
      <c r="K1704">
        <f>dataset[[#This Row],[soda_sales]]/dataset[[#This Row],[soda_units_sold]]</f>
        <v>0.72926130900319974</v>
      </c>
      <c r="L1704" s="29">
        <f>dataset[[#This Row],[implied_soda_ppu]]-dataset[[#This Row],[soda_ppu]]</f>
        <v>-3.8690996800205824E-5</v>
      </c>
      <c r="M1704">
        <f>dataset[[#This Row],[soda_sales]]/dataset[[#This Row],[total_sales]]</f>
        <v>3.989464511848146E-2</v>
      </c>
      <c r="N1704">
        <f>LN(dataset[[#This Row],[soda_units_sold]])</f>
        <v>12.123120292273805</v>
      </c>
      <c r="O1704">
        <f>LN(dataset[[#This Row],[soda_sales]])</f>
        <v>11.807397129637048</v>
      </c>
      <c r="P1704">
        <f>LN(dataset[[#This Row],[soda_ppu]])</f>
        <v>-0.31567010899194975</v>
      </c>
      <c r="Q1704">
        <f>IF(dataset[[#This Row],[state]]="VA",1,0)</f>
        <v>1</v>
      </c>
    </row>
    <row r="1705" spans="1:17" x14ac:dyDescent="0.35">
      <c r="A1705">
        <v>202212</v>
      </c>
      <c r="B1705">
        <v>59</v>
      </c>
      <c r="C1705" s="2">
        <v>3431612.1919</v>
      </c>
      <c r="D1705" s="2">
        <v>0.71230000000000004</v>
      </c>
      <c r="E1705" s="3">
        <v>177568</v>
      </c>
      <c r="F1705" s="2">
        <v>126482.3974</v>
      </c>
      <c r="G1705" t="s">
        <v>3104</v>
      </c>
      <c r="H1705" t="s">
        <v>3</v>
      </c>
      <c r="I1705">
        <f>HLOOKUP(G1705,zip_tiers!$A$1:$EON$2,2,FALSE)</f>
        <v>86125.666666666672</v>
      </c>
      <c r="J1705" t="str">
        <f t="shared" si="26"/>
        <v>Med</v>
      </c>
      <c r="K1705">
        <f>dataset[[#This Row],[soda_sales]]/dataset[[#This Row],[soda_units_sold]]</f>
        <v>0.71230400409983785</v>
      </c>
      <c r="L1705" s="29">
        <f>dataset[[#This Row],[implied_soda_ppu]]-dataset[[#This Row],[soda_ppu]]</f>
        <v>4.0040998378065851E-6</v>
      </c>
      <c r="M1705">
        <f>dataset[[#This Row],[soda_sales]]/dataset[[#This Row],[total_sales]]</f>
        <v>3.6858010266588366E-2</v>
      </c>
      <c r="N1705">
        <f>LN(dataset[[#This Row],[soda_units_sold]])</f>
        <v>12.087108913125627</v>
      </c>
      <c r="O1705">
        <f>LN(dataset[[#This Row],[soda_sales]])</f>
        <v>11.747858426479173</v>
      </c>
      <c r="P1705">
        <f>LN(dataset[[#This Row],[soda_ppu]])</f>
        <v>-0.33925610799782885</v>
      </c>
      <c r="Q1705">
        <f>IF(dataset[[#This Row],[state]]="VA",1,0)</f>
        <v>1</v>
      </c>
    </row>
    <row r="1706" spans="1:17" x14ac:dyDescent="0.35">
      <c r="A1706">
        <v>202301</v>
      </c>
      <c r="B1706">
        <v>59</v>
      </c>
      <c r="C1706" s="2">
        <v>2002611.8711000001</v>
      </c>
      <c r="D1706" s="2">
        <v>0.72629999999999995</v>
      </c>
      <c r="E1706" s="3">
        <v>131899</v>
      </c>
      <c r="F1706" s="2">
        <v>95800.061499999996</v>
      </c>
      <c r="G1706" t="s">
        <v>3104</v>
      </c>
      <c r="H1706" t="s">
        <v>3</v>
      </c>
      <c r="I1706">
        <f>HLOOKUP(G1706,zip_tiers!$A$1:$EON$2,2,FALSE)</f>
        <v>86125.666666666672</v>
      </c>
      <c r="J1706" t="str">
        <f t="shared" si="26"/>
        <v>Med</v>
      </c>
      <c r="K1706">
        <f>dataset[[#This Row],[soda_sales]]/dataset[[#This Row],[soda_units_sold]]</f>
        <v>0.72631378175725358</v>
      </c>
      <c r="L1706" s="29">
        <f>dataset[[#This Row],[implied_soda_ppu]]-dataset[[#This Row],[soda_ppu]]</f>
        <v>1.3781757253639171E-5</v>
      </c>
      <c r="M1706">
        <f>dataset[[#This Row],[soda_sales]]/dataset[[#This Row],[total_sales]]</f>
        <v>4.7837557982405583E-2</v>
      </c>
      <c r="N1706">
        <f>LN(dataset[[#This Row],[soda_units_sold]])</f>
        <v>11.789791757175529</v>
      </c>
      <c r="O1706">
        <f>LN(dataset[[#This Row],[soda_sales]])</f>
        <v>11.470018605921167</v>
      </c>
      <c r="P1706">
        <f>LN(dataset[[#This Row],[soda_ppu]])</f>
        <v>-0.31979212637001464</v>
      </c>
      <c r="Q1706">
        <f>IF(dataset[[#This Row],[state]]="VA",1,0)</f>
        <v>1</v>
      </c>
    </row>
    <row r="1707" spans="1:17" x14ac:dyDescent="0.35">
      <c r="A1707">
        <v>202302</v>
      </c>
      <c r="B1707">
        <v>59</v>
      </c>
      <c r="C1707" s="2">
        <v>2279237.0128000001</v>
      </c>
      <c r="D1707" s="2">
        <v>0.75190000000000001</v>
      </c>
      <c r="E1707" s="3">
        <v>143647</v>
      </c>
      <c r="F1707" s="2">
        <v>108001.8618</v>
      </c>
      <c r="G1707" t="s">
        <v>3104</v>
      </c>
      <c r="H1707" t="s">
        <v>3</v>
      </c>
      <c r="I1707">
        <f>HLOOKUP(G1707,zip_tiers!$A$1:$EON$2,2,FALSE)</f>
        <v>86125.666666666672</v>
      </c>
      <c r="J1707" t="str">
        <f t="shared" si="26"/>
        <v>Med</v>
      </c>
      <c r="K1707">
        <f>dataset[[#This Row],[soda_sales]]/dataset[[#This Row],[soda_units_sold]]</f>
        <v>0.75185602066176116</v>
      </c>
      <c r="L1707" s="29">
        <f>dataset[[#This Row],[implied_soda_ppu]]-dataset[[#This Row],[soda_ppu]]</f>
        <v>-4.3979338238853138E-5</v>
      </c>
      <c r="M1707">
        <f>dataset[[#This Row],[soda_sales]]/dataset[[#This Row],[total_sales]]</f>
        <v>4.7385094745948216E-2</v>
      </c>
      <c r="N1707">
        <f>LN(dataset[[#This Row],[soda_units_sold]])</f>
        <v>11.875114180096078</v>
      </c>
      <c r="O1707">
        <f>LN(dataset[[#This Row],[soda_sales]])</f>
        <v>11.589903744846657</v>
      </c>
      <c r="P1707">
        <f>LN(dataset[[#This Row],[soda_ppu]])</f>
        <v>-0.28515194259815579</v>
      </c>
      <c r="Q1707">
        <f>IF(dataset[[#This Row],[state]]="VA",1,0)</f>
        <v>1</v>
      </c>
    </row>
    <row r="1708" spans="1:17" x14ac:dyDescent="0.35">
      <c r="A1708">
        <v>202303</v>
      </c>
      <c r="B1708">
        <v>59</v>
      </c>
      <c r="C1708" s="2">
        <v>2587593.6164000002</v>
      </c>
      <c r="D1708" s="2">
        <v>0.73870000000000002</v>
      </c>
      <c r="E1708" s="3">
        <v>177455</v>
      </c>
      <c r="F1708" s="2">
        <v>131082.78510000001</v>
      </c>
      <c r="G1708" t="s">
        <v>3104</v>
      </c>
      <c r="H1708" t="s">
        <v>3</v>
      </c>
      <c r="I1708">
        <f>HLOOKUP(G1708,zip_tiers!$A$1:$EON$2,2,FALSE)</f>
        <v>86125.666666666672</v>
      </c>
      <c r="J1708" t="str">
        <f t="shared" si="26"/>
        <v>Med</v>
      </c>
      <c r="K1708">
        <f>dataset[[#This Row],[soda_sales]]/dataset[[#This Row],[soda_units_sold]]</f>
        <v>0.73868183539488885</v>
      </c>
      <c r="L1708" s="29">
        <f>dataset[[#This Row],[implied_soda_ppu]]-dataset[[#This Row],[soda_ppu]]</f>
        <v>-1.8164605111170573E-5</v>
      </c>
      <c r="M1708">
        <f>dataset[[#This Row],[soda_sales]]/dataset[[#This Row],[total_sales]]</f>
        <v>5.0658180739512511E-2</v>
      </c>
      <c r="N1708">
        <f>LN(dataset[[#This Row],[soda_units_sold]])</f>
        <v>12.086472334628933</v>
      </c>
      <c r="O1708">
        <f>LN(dataset[[#This Row],[soda_sales]])</f>
        <v>11.783584349916904</v>
      </c>
      <c r="P1708">
        <f>LN(dataset[[#This Row],[soda_ppu]])</f>
        <v>-0.30286339444744492</v>
      </c>
      <c r="Q1708">
        <f>IF(dataset[[#This Row],[state]]="VA",1,0)</f>
        <v>1</v>
      </c>
    </row>
    <row r="1709" spans="1:17" x14ac:dyDescent="0.35">
      <c r="A1709">
        <v>202304</v>
      </c>
      <c r="B1709">
        <v>59</v>
      </c>
      <c r="C1709" s="2">
        <v>2687411.6806000001</v>
      </c>
      <c r="D1709" s="2">
        <v>0.70960000000000001</v>
      </c>
      <c r="E1709" s="3">
        <v>209512</v>
      </c>
      <c r="F1709" s="2">
        <v>148665.7072</v>
      </c>
      <c r="G1709" t="s">
        <v>3104</v>
      </c>
      <c r="H1709" t="s">
        <v>3</v>
      </c>
      <c r="I1709">
        <f>HLOOKUP(G1709,zip_tiers!$A$1:$EON$2,2,FALSE)</f>
        <v>86125.666666666672</v>
      </c>
      <c r="J1709" t="str">
        <f t="shared" si="26"/>
        <v>Med</v>
      </c>
      <c r="K1709">
        <f>dataset[[#This Row],[soda_sales]]/dataset[[#This Row],[soda_units_sold]]</f>
        <v>0.70958086983084501</v>
      </c>
      <c r="L1709" s="29">
        <f>dataset[[#This Row],[implied_soda_ppu]]-dataset[[#This Row],[soda_ppu]]</f>
        <v>-1.9130169155001653E-5</v>
      </c>
      <c r="M1709">
        <f>dataset[[#This Row],[soda_sales]]/dataset[[#This Row],[total_sales]]</f>
        <v>5.531929040615334E-2</v>
      </c>
      <c r="N1709">
        <f>LN(dataset[[#This Row],[soda_units_sold]])</f>
        <v>12.252536295940214</v>
      </c>
      <c r="O1709">
        <f>LN(dataset[[#This Row],[soda_sales]])</f>
        <v>11.909455488501607</v>
      </c>
      <c r="P1709">
        <f>LN(dataset[[#This Row],[soda_ppu]])</f>
        <v>-0.3430538479867673</v>
      </c>
      <c r="Q1709">
        <f>IF(dataset[[#This Row],[state]]="VA",1,0)</f>
        <v>1</v>
      </c>
    </row>
    <row r="1710" spans="1:17" x14ac:dyDescent="0.35">
      <c r="A1710">
        <v>202305</v>
      </c>
      <c r="B1710">
        <v>59</v>
      </c>
      <c r="C1710" s="2">
        <v>2756711.5343999998</v>
      </c>
      <c r="D1710" s="2">
        <v>0.75629999999999997</v>
      </c>
      <c r="E1710" s="3">
        <v>215923</v>
      </c>
      <c r="F1710" s="2">
        <v>163309.6808</v>
      </c>
      <c r="G1710" t="s">
        <v>3104</v>
      </c>
      <c r="H1710" t="s">
        <v>3</v>
      </c>
      <c r="I1710">
        <f>HLOOKUP(G1710,zip_tiers!$A$1:$EON$2,2,FALSE)</f>
        <v>86125.666666666672</v>
      </c>
      <c r="J1710" t="str">
        <f t="shared" si="26"/>
        <v>Med</v>
      </c>
      <c r="K1710">
        <f>dataset[[#This Row],[soda_sales]]/dataset[[#This Row],[soda_units_sold]]</f>
        <v>0.75633295572958881</v>
      </c>
      <c r="L1710" s="29">
        <f>dataset[[#This Row],[implied_soda_ppu]]-dataset[[#This Row],[soda_ppu]]</f>
        <v>3.295572958883497E-5</v>
      </c>
      <c r="M1710">
        <f>dataset[[#This Row],[soda_sales]]/dataset[[#This Row],[total_sales]]</f>
        <v>5.9240757969093949E-2</v>
      </c>
      <c r="N1710">
        <f>LN(dataset[[#This Row],[soda_units_sold]])</f>
        <v>12.282677141630193</v>
      </c>
      <c r="O1710">
        <f>LN(dataset[[#This Row],[soda_sales]])</f>
        <v>12.003403559503941</v>
      </c>
      <c r="P1710">
        <f>LN(dataset[[#This Row],[soda_ppu]])</f>
        <v>-0.27931715612015323</v>
      </c>
      <c r="Q1710">
        <f>IF(dataset[[#This Row],[state]]="VA",1,0)</f>
        <v>1</v>
      </c>
    </row>
    <row r="1711" spans="1:17" x14ac:dyDescent="0.35">
      <c r="A1711">
        <v>202306</v>
      </c>
      <c r="B1711">
        <v>59</v>
      </c>
      <c r="C1711" s="2">
        <v>2728183.7196999998</v>
      </c>
      <c r="D1711" s="2">
        <v>0.74850000000000005</v>
      </c>
      <c r="E1711" s="3">
        <v>229261</v>
      </c>
      <c r="F1711" s="2">
        <v>171611.46799999999</v>
      </c>
      <c r="G1711" t="s">
        <v>3104</v>
      </c>
      <c r="H1711" t="s">
        <v>3</v>
      </c>
      <c r="I1711">
        <f>HLOOKUP(G1711,zip_tiers!$A$1:$EON$2,2,FALSE)</f>
        <v>86125.666666666672</v>
      </c>
      <c r="J1711" t="str">
        <f t="shared" si="26"/>
        <v>Med</v>
      </c>
      <c r="K1711">
        <f>dataset[[#This Row],[soda_sales]]/dataset[[#This Row],[soda_units_sold]]</f>
        <v>0.74854191510985291</v>
      </c>
      <c r="L1711" s="29">
        <f>dataset[[#This Row],[implied_soda_ppu]]-dataset[[#This Row],[soda_ppu]]</f>
        <v>4.1915109852852517E-5</v>
      </c>
      <c r="M1711">
        <f>dataset[[#This Row],[soda_sales]]/dataset[[#This Row],[total_sales]]</f>
        <v>6.2903193344644309E-2</v>
      </c>
      <c r="N1711">
        <f>LN(dataset[[#This Row],[soda_units_sold]])</f>
        <v>12.342616371519386</v>
      </c>
      <c r="O1711">
        <f>LN(dataset[[#This Row],[soda_sales]])</f>
        <v>12.052988293639814</v>
      </c>
      <c r="P1711">
        <f>LN(dataset[[#This Row],[soda_ppu]])</f>
        <v>-0.28968407512245392</v>
      </c>
      <c r="Q1711">
        <f>IF(dataset[[#This Row],[state]]="VA",1,0)</f>
        <v>1</v>
      </c>
    </row>
    <row r="1712" spans="1:17" x14ac:dyDescent="0.35">
      <c r="A1712">
        <v>202307</v>
      </c>
      <c r="B1712">
        <v>59</v>
      </c>
      <c r="C1712" s="2">
        <v>2658787.5942000002</v>
      </c>
      <c r="D1712" s="2">
        <v>0.72709999999999997</v>
      </c>
      <c r="E1712" s="3">
        <v>249426</v>
      </c>
      <c r="F1712" s="2">
        <v>181364.37049999999</v>
      </c>
      <c r="G1712" t="s">
        <v>3104</v>
      </c>
      <c r="H1712" t="s">
        <v>3</v>
      </c>
      <c r="I1712">
        <f>HLOOKUP(G1712,zip_tiers!$A$1:$EON$2,2,FALSE)</f>
        <v>86125.666666666672</v>
      </c>
      <c r="J1712" t="str">
        <f t="shared" si="26"/>
        <v>Med</v>
      </c>
      <c r="K1712">
        <f>dataset[[#This Row],[soda_sales]]/dataset[[#This Row],[soda_units_sold]]</f>
        <v>0.72712696551281741</v>
      </c>
      <c r="L1712" s="29">
        <f>dataset[[#This Row],[implied_soda_ppu]]-dataset[[#This Row],[soda_ppu]]</f>
        <v>2.6965512817445081E-5</v>
      </c>
      <c r="M1712">
        <f>dataset[[#This Row],[soda_sales]]/dataset[[#This Row],[total_sales]]</f>
        <v>6.8213185173436358E-2</v>
      </c>
      <c r="N1712">
        <f>LN(dataset[[#This Row],[soda_units_sold]])</f>
        <v>12.42691755699488</v>
      </c>
      <c r="O1712">
        <f>LN(dataset[[#This Row],[soda_sales]])</f>
        <v>12.108263383369211</v>
      </c>
      <c r="P1712">
        <f>LN(dataset[[#This Row],[soda_ppu]])</f>
        <v>-0.31869125932612596</v>
      </c>
      <c r="Q1712">
        <f>IF(dataset[[#This Row],[state]]="VA",1,0)</f>
        <v>1</v>
      </c>
    </row>
    <row r="1713" spans="1:17" x14ac:dyDescent="0.35">
      <c r="A1713">
        <v>202308</v>
      </c>
      <c r="B1713">
        <v>59</v>
      </c>
      <c r="C1713" s="2">
        <v>2410681.1017999998</v>
      </c>
      <c r="D1713" s="2">
        <v>0.72109999999999996</v>
      </c>
      <c r="E1713" s="3">
        <v>214803</v>
      </c>
      <c r="F1713" s="2">
        <v>154894.685</v>
      </c>
      <c r="G1713" t="s">
        <v>3104</v>
      </c>
      <c r="H1713" t="s">
        <v>3</v>
      </c>
      <c r="I1713">
        <f>HLOOKUP(G1713,zip_tiers!$A$1:$EON$2,2,FALSE)</f>
        <v>86125.666666666672</v>
      </c>
      <c r="J1713" t="str">
        <f t="shared" si="26"/>
        <v>Med</v>
      </c>
      <c r="K1713">
        <f>dataset[[#This Row],[soda_sales]]/dataset[[#This Row],[soda_units_sold]]</f>
        <v>0.72110112521705938</v>
      </c>
      <c r="L1713" s="29">
        <f>dataset[[#This Row],[implied_soda_ppu]]-dataset[[#This Row],[soda_ppu]]</f>
        <v>1.1252170594167055E-6</v>
      </c>
      <c r="M1713">
        <f>dataset[[#This Row],[soda_sales]]/dataset[[#This Row],[total_sales]]</f>
        <v>6.4253494534944389E-2</v>
      </c>
      <c r="N1713">
        <f>LN(dataset[[#This Row],[soda_units_sold]])</f>
        <v>12.277476607999763</v>
      </c>
      <c r="O1713">
        <f>LN(dataset[[#This Row],[soda_sales]])</f>
        <v>11.950500713356623</v>
      </c>
      <c r="P1713">
        <f>LN(dataset[[#This Row],[soda_ppu]])</f>
        <v>-0.32697745505942327</v>
      </c>
      <c r="Q1713">
        <f>IF(dataset[[#This Row],[state]]="VA",1,0)</f>
        <v>1</v>
      </c>
    </row>
    <row r="1714" spans="1:17" x14ac:dyDescent="0.35">
      <c r="A1714">
        <v>202309</v>
      </c>
      <c r="B1714">
        <v>59</v>
      </c>
      <c r="C1714" s="2">
        <v>2476025.4386999998</v>
      </c>
      <c r="D1714" s="2">
        <v>0.73729999999999996</v>
      </c>
      <c r="E1714" s="3">
        <v>207305</v>
      </c>
      <c r="F1714" s="2">
        <v>152850.8205</v>
      </c>
      <c r="G1714" t="s">
        <v>3104</v>
      </c>
      <c r="H1714" t="s">
        <v>3</v>
      </c>
      <c r="I1714">
        <f>HLOOKUP(G1714,zip_tiers!$A$1:$EON$2,2,FALSE)</f>
        <v>86125.666666666672</v>
      </c>
      <c r="J1714" t="str">
        <f t="shared" si="26"/>
        <v>Med</v>
      </c>
      <c r="K1714">
        <f>dataset[[#This Row],[soda_sales]]/dataset[[#This Row],[soda_units_sold]]</f>
        <v>0.73732336653722774</v>
      </c>
      <c r="L1714" s="29">
        <f>dataset[[#This Row],[implied_soda_ppu]]-dataset[[#This Row],[soda_ppu]]</f>
        <v>2.3366537227786921E-5</v>
      </c>
      <c r="M1714">
        <f>dataset[[#This Row],[soda_sales]]/dataset[[#This Row],[total_sales]]</f>
        <v>6.1732330415899136E-2</v>
      </c>
      <c r="N1714">
        <f>LN(dataset[[#This Row],[soda_units_sold]])</f>
        <v>12.241946417766378</v>
      </c>
      <c r="O1714">
        <f>LN(dataset[[#This Row],[soda_sales]])</f>
        <v>11.937217695312423</v>
      </c>
      <c r="P1714">
        <f>LN(dataset[[#This Row],[soda_ppu]])</f>
        <v>-0.3047604139865322</v>
      </c>
      <c r="Q1714">
        <f>IF(dataset[[#This Row],[state]]="VA",1,0)</f>
        <v>1</v>
      </c>
    </row>
    <row r="1715" spans="1:17" x14ac:dyDescent="0.35">
      <c r="A1715">
        <v>202310</v>
      </c>
      <c r="B1715">
        <v>59</v>
      </c>
      <c r="C1715" s="2">
        <v>3000457.2999</v>
      </c>
      <c r="D1715" s="2">
        <v>0.73899999999999999</v>
      </c>
      <c r="E1715" s="3">
        <v>197484</v>
      </c>
      <c r="F1715" s="2">
        <v>145946.71789999999</v>
      </c>
      <c r="G1715" t="s">
        <v>3104</v>
      </c>
      <c r="H1715" t="s">
        <v>3</v>
      </c>
      <c r="I1715">
        <f>HLOOKUP(G1715,zip_tiers!$A$1:$EON$2,2,FALSE)</f>
        <v>86125.666666666672</v>
      </c>
      <c r="J1715" t="str">
        <f t="shared" si="26"/>
        <v>Med</v>
      </c>
      <c r="K1715">
        <f>dataset[[#This Row],[soda_sales]]/dataset[[#This Row],[soda_units_sold]]</f>
        <v>0.73903059437726593</v>
      </c>
      <c r="L1715" s="29">
        <f>dataset[[#This Row],[implied_soda_ppu]]-dataset[[#This Row],[soda_ppu]]</f>
        <v>3.0594377265935613E-5</v>
      </c>
      <c r="M1715">
        <f>dataset[[#This Row],[soda_sales]]/dataset[[#This Row],[total_sales]]</f>
        <v>4.8641491383618139E-2</v>
      </c>
      <c r="N1715">
        <f>LN(dataset[[#This Row],[soda_units_sold]])</f>
        <v>12.193412847383383</v>
      </c>
      <c r="O1715">
        <f>LN(dataset[[#This Row],[soda_sales]])</f>
        <v>11.890996888191104</v>
      </c>
      <c r="P1715">
        <f>LN(dataset[[#This Row],[soda_ppu]])</f>
        <v>-0.30245735803393531</v>
      </c>
      <c r="Q1715">
        <f>IF(dataset[[#This Row],[state]]="VA",1,0)</f>
        <v>1</v>
      </c>
    </row>
    <row r="1716" spans="1:17" x14ac:dyDescent="0.35">
      <c r="A1716">
        <v>202311</v>
      </c>
      <c r="B1716">
        <v>59</v>
      </c>
      <c r="C1716" s="2">
        <v>3359465.1860000002</v>
      </c>
      <c r="D1716" s="2">
        <v>0.70809999999999995</v>
      </c>
      <c r="E1716" s="3">
        <v>186017</v>
      </c>
      <c r="F1716" s="2">
        <v>131725.3958</v>
      </c>
      <c r="G1716" t="s">
        <v>3104</v>
      </c>
      <c r="H1716" t="s">
        <v>3</v>
      </c>
      <c r="I1716">
        <f>HLOOKUP(G1716,zip_tiers!$A$1:$EON$2,2,FALSE)</f>
        <v>86125.666666666672</v>
      </c>
      <c r="J1716" t="str">
        <f t="shared" si="26"/>
        <v>Med</v>
      </c>
      <c r="K1716">
        <f>dataset[[#This Row],[soda_sales]]/dataset[[#This Row],[soda_units_sold]]</f>
        <v>0.70813633055043357</v>
      </c>
      <c r="L1716" s="29">
        <f>dataset[[#This Row],[implied_soda_ppu]]-dataset[[#This Row],[soda_ppu]]</f>
        <v>3.6330550433616438E-5</v>
      </c>
      <c r="M1716">
        <f>dataset[[#This Row],[soda_sales]]/dataset[[#This Row],[total_sales]]</f>
        <v>3.9210227969899251E-2</v>
      </c>
      <c r="N1716">
        <f>LN(dataset[[#This Row],[soda_units_sold]])</f>
        <v>12.133593346368272</v>
      </c>
      <c r="O1716">
        <f>LN(dataset[[#This Row],[soda_sales]])</f>
        <v>11.788474699817705</v>
      </c>
      <c r="P1716">
        <f>LN(dataset[[#This Row],[soda_ppu]])</f>
        <v>-0.34516995232440884</v>
      </c>
      <c r="Q1716">
        <f>IF(dataset[[#This Row],[state]]="VA",1,0)</f>
        <v>1</v>
      </c>
    </row>
    <row r="1717" spans="1:17" x14ac:dyDescent="0.35">
      <c r="A1717">
        <v>202312</v>
      </c>
      <c r="B1717">
        <v>59</v>
      </c>
      <c r="C1717" s="2">
        <v>3523960.5279999999</v>
      </c>
      <c r="D1717" s="2">
        <v>0.72799999999999998</v>
      </c>
      <c r="E1717" s="3">
        <v>178542</v>
      </c>
      <c r="F1717" s="2">
        <v>129979.77039999999</v>
      </c>
      <c r="G1717" t="s">
        <v>3104</v>
      </c>
      <c r="H1717" t="s">
        <v>3</v>
      </c>
      <c r="I1717">
        <f>HLOOKUP(G1717,zip_tiers!$A$1:$EON$2,2,FALSE)</f>
        <v>86125.666666666672</v>
      </c>
      <c r="J1717" t="str">
        <f t="shared" si="26"/>
        <v>Med</v>
      </c>
      <c r="K1717">
        <f>dataset[[#This Row],[soda_sales]]/dataset[[#This Row],[soda_units_sold]]</f>
        <v>0.72800668974246951</v>
      </c>
      <c r="L1717" s="29">
        <f>dataset[[#This Row],[implied_soda_ppu]]-dataset[[#This Row],[soda_ppu]]</f>
        <v>6.6897424695344654E-6</v>
      </c>
      <c r="M1717">
        <f>dataset[[#This Row],[soda_sales]]/dataset[[#This Row],[total_sales]]</f>
        <v>3.688457046190842E-2</v>
      </c>
      <c r="N1717">
        <f>LN(dataset[[#This Row],[soda_units_sold]])</f>
        <v>12.092579146642159</v>
      </c>
      <c r="O1717">
        <f>LN(dataset[[#This Row],[soda_sales]])</f>
        <v>11.775134105021175</v>
      </c>
      <c r="P1717">
        <f>LN(dataset[[#This Row],[soda_ppu]])</f>
        <v>-0.3174542307854511</v>
      </c>
      <c r="Q1717">
        <f>IF(dataset[[#This Row],[state]]="VA",1,0)</f>
        <v>1</v>
      </c>
    </row>
    <row r="1718" spans="1:17" x14ac:dyDescent="0.35">
      <c r="A1718">
        <v>202401</v>
      </c>
      <c r="B1718">
        <v>59</v>
      </c>
      <c r="C1718" s="2">
        <v>2043048.0699</v>
      </c>
      <c r="D1718" s="2">
        <v>0.78790000000000004</v>
      </c>
      <c r="E1718" s="3">
        <v>123037</v>
      </c>
      <c r="F1718" s="2">
        <v>96942.024999999994</v>
      </c>
      <c r="G1718" t="s">
        <v>3104</v>
      </c>
      <c r="H1718" t="s">
        <v>3</v>
      </c>
      <c r="I1718">
        <f>HLOOKUP(G1718,zip_tiers!$A$1:$EON$2,2,FALSE)</f>
        <v>86125.666666666672</v>
      </c>
      <c r="J1718" t="str">
        <f t="shared" si="26"/>
        <v>Med</v>
      </c>
      <c r="K1718">
        <f>dataset[[#This Row],[soda_sales]]/dataset[[#This Row],[soda_units_sold]]</f>
        <v>0.7879095312792086</v>
      </c>
      <c r="L1718" s="29">
        <f>dataset[[#This Row],[implied_soda_ppu]]-dataset[[#This Row],[soda_ppu]]</f>
        <v>9.5312792085522346E-6</v>
      </c>
      <c r="M1718">
        <f>dataset[[#This Row],[soda_sales]]/dataset[[#This Row],[total_sales]]</f>
        <v>4.7449703425110776E-2</v>
      </c>
      <c r="N1718">
        <f>LN(dataset[[#This Row],[soda_units_sold]])</f>
        <v>11.720240402127523</v>
      </c>
      <c r="O1718">
        <f>LN(dataset[[#This Row],[soda_sales]])</f>
        <v>11.481868398391011</v>
      </c>
      <c r="P1718">
        <f>LN(dataset[[#This Row],[soda_ppu]])</f>
        <v>-0.2383841007304946</v>
      </c>
      <c r="Q1718">
        <f>IF(dataset[[#This Row],[state]]="VA",1,0)</f>
        <v>1</v>
      </c>
    </row>
    <row r="1719" spans="1:17" x14ac:dyDescent="0.35">
      <c r="A1719">
        <v>202402</v>
      </c>
      <c r="B1719">
        <v>59</v>
      </c>
      <c r="C1719" s="2">
        <v>2301818.8354000002</v>
      </c>
      <c r="D1719" s="2">
        <v>0.73409999999999997</v>
      </c>
      <c r="E1719" s="3">
        <v>147464</v>
      </c>
      <c r="F1719" s="2">
        <v>108252.4448</v>
      </c>
      <c r="G1719" t="s">
        <v>3104</v>
      </c>
      <c r="H1719" t="s">
        <v>3</v>
      </c>
      <c r="I1719">
        <f>HLOOKUP(G1719,zip_tiers!$A$1:$EON$2,2,FALSE)</f>
        <v>86125.666666666672</v>
      </c>
      <c r="J1719" t="str">
        <f t="shared" si="26"/>
        <v>Med</v>
      </c>
      <c r="K1719">
        <f>dataset[[#This Row],[soda_sales]]/dataset[[#This Row],[soda_units_sold]]</f>
        <v>0.73409404871697492</v>
      </c>
      <c r="L1719" s="29">
        <f>dataset[[#This Row],[implied_soda_ppu]]-dataset[[#This Row],[soda_ppu]]</f>
        <v>-5.9512830250518789E-6</v>
      </c>
      <c r="M1719">
        <f>dataset[[#This Row],[soda_sales]]/dataset[[#This Row],[total_sales]]</f>
        <v>4.7029089837640654E-2</v>
      </c>
      <c r="N1719">
        <f>LN(dataset[[#This Row],[soda_units_sold]])</f>
        <v>11.90133935717601</v>
      </c>
      <c r="O1719">
        <f>LN(dataset[[#This Row],[soda_sales]])</f>
        <v>11.59222123036721</v>
      </c>
      <c r="P1719">
        <f>LN(dataset[[#This Row],[soda_ppu]])</f>
        <v>-0.30911001986540143</v>
      </c>
      <c r="Q1719">
        <f>IF(dataset[[#This Row],[state]]="VA",1,0)</f>
        <v>1</v>
      </c>
    </row>
    <row r="1720" spans="1:17" x14ac:dyDescent="0.35">
      <c r="A1720">
        <v>202403</v>
      </c>
      <c r="B1720">
        <v>59</v>
      </c>
      <c r="C1720" s="2">
        <v>2651911.1368</v>
      </c>
      <c r="D1720" s="2">
        <v>0.75580000000000003</v>
      </c>
      <c r="E1720" s="3">
        <v>174366</v>
      </c>
      <c r="F1720" s="2">
        <v>131779.89739999999</v>
      </c>
      <c r="G1720" t="s">
        <v>3104</v>
      </c>
      <c r="H1720" t="s">
        <v>3</v>
      </c>
      <c r="I1720">
        <f>HLOOKUP(G1720,zip_tiers!$A$1:$EON$2,2,FALSE)</f>
        <v>86125.666666666672</v>
      </c>
      <c r="J1720" t="str">
        <f t="shared" si="26"/>
        <v>Med</v>
      </c>
      <c r="K1720">
        <f>dataset[[#This Row],[soda_sales]]/dataset[[#This Row],[soda_units_sold]]</f>
        <v>0.7557660174575318</v>
      </c>
      <c r="L1720" s="29">
        <f>dataset[[#This Row],[implied_soda_ppu]]-dataset[[#This Row],[soda_ppu]]</f>
        <v>-3.3982542468224963E-5</v>
      </c>
      <c r="M1720">
        <f>dataset[[#This Row],[soda_sales]]/dataset[[#This Row],[total_sales]]</f>
        <v>4.969242580240292E-2</v>
      </c>
      <c r="N1720">
        <f>LN(dataset[[#This Row],[soda_units_sold]])</f>
        <v>12.068911817322549</v>
      </c>
      <c r="O1720">
        <f>LN(dataset[[#This Row],[soda_sales]])</f>
        <v>11.788888365897163</v>
      </c>
      <c r="P1720">
        <f>LN(dataset[[#This Row],[soda_ppu]])</f>
        <v>-0.27997848806674841</v>
      </c>
      <c r="Q1720">
        <f>IF(dataset[[#This Row],[state]]="VA",1,0)</f>
        <v>1</v>
      </c>
    </row>
    <row r="1721" spans="1:17" x14ac:dyDescent="0.35">
      <c r="A1721">
        <v>202404</v>
      </c>
      <c r="B1721">
        <v>59</v>
      </c>
      <c r="C1721" s="2">
        <v>2737604.0074999998</v>
      </c>
      <c r="D1721" s="2">
        <v>0.75860000000000005</v>
      </c>
      <c r="E1721" s="3">
        <v>200546</v>
      </c>
      <c r="F1721" s="2">
        <v>152130.41450000001</v>
      </c>
      <c r="G1721" t="s">
        <v>3104</v>
      </c>
      <c r="H1721" t="s">
        <v>3</v>
      </c>
      <c r="I1721">
        <f>HLOOKUP(G1721,zip_tiers!$A$1:$EON$2,2,FALSE)</f>
        <v>86125.666666666672</v>
      </c>
      <c r="J1721" t="str">
        <f t="shared" si="26"/>
        <v>Med</v>
      </c>
      <c r="K1721">
        <f>dataset[[#This Row],[soda_sales]]/dataset[[#This Row],[soda_units_sold]]</f>
        <v>0.75858114597149784</v>
      </c>
      <c r="L1721" s="29">
        <f>dataset[[#This Row],[implied_soda_ppu]]-dataset[[#This Row],[soda_ppu]]</f>
        <v>-1.8854028502213183E-5</v>
      </c>
      <c r="M1721">
        <f>dataset[[#This Row],[soda_sales]]/dataset[[#This Row],[total_sales]]</f>
        <v>5.5570642826069876E-2</v>
      </c>
      <c r="N1721">
        <f>LN(dataset[[#This Row],[soda_units_sold]])</f>
        <v>12.208798925848457</v>
      </c>
      <c r="O1721">
        <f>LN(dataset[[#This Row],[soda_sales]])</f>
        <v>11.93249342209686</v>
      </c>
      <c r="P1721">
        <f>LN(dataset[[#This Row],[soda_ppu]])</f>
        <v>-0.2762806497273384</v>
      </c>
      <c r="Q1721">
        <f>IF(dataset[[#This Row],[state]]="VA",1,0)</f>
        <v>1</v>
      </c>
    </row>
    <row r="1722" spans="1:17" x14ac:dyDescent="0.35">
      <c r="A1722">
        <v>202405</v>
      </c>
      <c r="B1722">
        <v>59</v>
      </c>
      <c r="C1722" s="2">
        <v>2928879.5315</v>
      </c>
      <c r="D1722" s="2">
        <v>0.76729999999999998</v>
      </c>
      <c r="E1722" s="3">
        <v>223998</v>
      </c>
      <c r="F1722" s="2">
        <v>171881.09169999999</v>
      </c>
      <c r="G1722" t="s">
        <v>3104</v>
      </c>
      <c r="H1722" t="s">
        <v>3</v>
      </c>
      <c r="I1722">
        <f>HLOOKUP(G1722,zip_tiers!$A$1:$EON$2,2,FALSE)</f>
        <v>86125.666666666672</v>
      </c>
      <c r="J1722" t="str">
        <f t="shared" si="26"/>
        <v>Med</v>
      </c>
      <c r="K1722">
        <f>dataset[[#This Row],[soda_sales]]/dataset[[#This Row],[soda_units_sold]]</f>
        <v>0.7673331534210126</v>
      </c>
      <c r="L1722" s="29">
        <f>dataset[[#This Row],[implied_soda_ppu]]-dataset[[#This Row],[soda_ppu]]</f>
        <v>3.3153421012621642E-5</v>
      </c>
      <c r="M1722">
        <f>dataset[[#This Row],[soda_sales]]/dataset[[#This Row],[total_sales]]</f>
        <v>5.8684930483287101E-2</v>
      </c>
      <c r="N1722">
        <f>LN(dataset[[#This Row],[soda_units_sold]])</f>
        <v>12.319392402225889</v>
      </c>
      <c r="O1722">
        <f>LN(dataset[[#This Row],[soda_sales]])</f>
        <v>12.054558189393079</v>
      </c>
      <c r="P1722">
        <f>LN(dataset[[#This Row],[soda_ppu]])</f>
        <v>-0.26487741979851753</v>
      </c>
      <c r="Q1722">
        <f>IF(dataset[[#This Row],[state]]="VA",1,0)</f>
        <v>1</v>
      </c>
    </row>
    <row r="1723" spans="1:17" x14ac:dyDescent="0.35">
      <c r="A1723">
        <v>202406</v>
      </c>
      <c r="B1723">
        <v>59</v>
      </c>
      <c r="C1723" s="2">
        <v>2829800.0529</v>
      </c>
      <c r="D1723" s="2">
        <v>0.7611</v>
      </c>
      <c r="E1723" s="3">
        <v>234756</v>
      </c>
      <c r="F1723" s="2">
        <v>178675.38579999999</v>
      </c>
      <c r="G1723" t="s">
        <v>3104</v>
      </c>
      <c r="H1723" t="s">
        <v>3</v>
      </c>
      <c r="I1723">
        <f>HLOOKUP(G1723,zip_tiers!$A$1:$EON$2,2,FALSE)</f>
        <v>86125.666666666672</v>
      </c>
      <c r="J1723" t="str">
        <f t="shared" si="26"/>
        <v>Med</v>
      </c>
      <c r="K1723">
        <f>dataset[[#This Row],[soda_sales]]/dataset[[#This Row],[soda_units_sold]]</f>
        <v>0.76111105062277429</v>
      </c>
      <c r="L1723" s="29">
        <f>dataset[[#This Row],[implied_soda_ppu]]-dataset[[#This Row],[soda_ppu]]</f>
        <v>1.1050622774289032E-5</v>
      </c>
      <c r="M1723">
        <f>dataset[[#This Row],[soda_sales]]/dataset[[#This Row],[total_sales]]</f>
        <v>6.3140639783680882E-2</v>
      </c>
      <c r="N1723">
        <f>LN(dataset[[#This Row],[soda_units_sold]])</f>
        <v>12.366301955849313</v>
      </c>
      <c r="O1723">
        <f>LN(dataset[[#This Row],[soda_sales]])</f>
        <v>12.093325951313496</v>
      </c>
      <c r="P1723">
        <f>LN(dataset[[#This Row],[soda_ppu]])</f>
        <v>-0.27299052370879118</v>
      </c>
      <c r="Q1723">
        <f>IF(dataset[[#This Row],[state]]="VA",1,0)</f>
        <v>1</v>
      </c>
    </row>
    <row r="1724" spans="1:17" x14ac:dyDescent="0.35">
      <c r="A1724">
        <v>202407</v>
      </c>
      <c r="B1724">
        <v>59</v>
      </c>
      <c r="C1724" s="2">
        <v>2626319.6121</v>
      </c>
      <c r="D1724" s="2">
        <v>0.74529999999999996</v>
      </c>
      <c r="E1724" s="3">
        <v>240795</v>
      </c>
      <c r="F1724" s="2">
        <v>179458.44070000001</v>
      </c>
      <c r="G1724" t="s">
        <v>3104</v>
      </c>
      <c r="H1724" t="s">
        <v>3</v>
      </c>
      <c r="I1724">
        <f>HLOOKUP(G1724,zip_tiers!$A$1:$EON$2,2,FALSE)</f>
        <v>86125.666666666672</v>
      </c>
      <c r="J1724" t="str">
        <f t="shared" si="26"/>
        <v>Med</v>
      </c>
      <c r="K1724">
        <f>dataset[[#This Row],[soda_sales]]/dataset[[#This Row],[soda_units_sold]]</f>
        <v>0.74527478020723026</v>
      </c>
      <c r="L1724" s="29">
        <f>dataset[[#This Row],[implied_soda_ppu]]-dataset[[#This Row],[soda_ppu]]</f>
        <v>-2.5219792769703986E-5</v>
      </c>
      <c r="M1724">
        <f>dataset[[#This Row],[soda_sales]]/dataset[[#This Row],[total_sales]]</f>
        <v>6.8330769748357237E-2</v>
      </c>
      <c r="N1724">
        <f>LN(dataset[[#This Row],[soda_units_sold]])</f>
        <v>12.391701228081624</v>
      </c>
      <c r="O1724">
        <f>LN(dataset[[#This Row],[soda_sales]])</f>
        <v>12.09769893196999</v>
      </c>
      <c r="P1724">
        <f>LN(dataset[[#This Row],[soda_ppu]])</f>
        <v>-0.29396845709448899</v>
      </c>
      <c r="Q1724">
        <f>IF(dataset[[#This Row],[state]]="VA",1,0)</f>
        <v>1</v>
      </c>
    </row>
    <row r="1725" spans="1:17" x14ac:dyDescent="0.35">
      <c r="A1725">
        <v>202408</v>
      </c>
      <c r="B1725">
        <v>59</v>
      </c>
      <c r="C1725" s="2">
        <v>2475053.5411</v>
      </c>
      <c r="D1725" s="2">
        <v>0.78010000000000002</v>
      </c>
      <c r="E1725" s="3">
        <v>206257</v>
      </c>
      <c r="F1725" s="2">
        <v>160906.76029999999</v>
      </c>
      <c r="G1725" t="s">
        <v>3104</v>
      </c>
      <c r="H1725" t="s">
        <v>3</v>
      </c>
      <c r="I1725">
        <f>HLOOKUP(G1725,zip_tiers!$A$1:$EON$2,2,FALSE)</f>
        <v>86125.666666666672</v>
      </c>
      <c r="J1725" t="str">
        <f t="shared" si="26"/>
        <v>Med</v>
      </c>
      <c r="K1725">
        <f>dataset[[#This Row],[soda_sales]]/dataset[[#This Row],[soda_units_sold]]</f>
        <v>0.78012751227837118</v>
      </c>
      <c r="L1725" s="29">
        <f>dataset[[#This Row],[implied_soda_ppu]]-dataset[[#This Row],[soda_ppu]]</f>
        <v>2.7512278371166765E-5</v>
      </c>
      <c r="M1725">
        <f>dataset[[#This Row],[soda_sales]]/dataset[[#This Row],[total_sales]]</f>
        <v>6.5011426067367997E-2</v>
      </c>
      <c r="N1725">
        <f>LN(dataset[[#This Row],[soda_units_sold]])</f>
        <v>12.236878243014939</v>
      </c>
      <c r="O1725">
        <f>LN(dataset[[#This Row],[soda_sales]])</f>
        <v>11.988580347635448</v>
      </c>
      <c r="P1725">
        <f>LN(dataset[[#This Row],[soda_ppu]])</f>
        <v>-0.24833316238786959</v>
      </c>
      <c r="Q1725">
        <f>IF(dataset[[#This Row],[state]]="VA",1,0)</f>
        <v>1</v>
      </c>
    </row>
    <row r="1726" spans="1:17" x14ac:dyDescent="0.35">
      <c r="A1726">
        <v>202409</v>
      </c>
      <c r="B1726">
        <v>59</v>
      </c>
      <c r="C1726" s="2">
        <v>2492126.5773999998</v>
      </c>
      <c r="D1726" s="2">
        <v>0.75600000000000001</v>
      </c>
      <c r="E1726" s="3">
        <v>196122</v>
      </c>
      <c r="F1726" s="2">
        <v>148263.39629999999</v>
      </c>
      <c r="G1726" t="s">
        <v>3104</v>
      </c>
      <c r="H1726" t="s">
        <v>3</v>
      </c>
      <c r="I1726">
        <f>HLOOKUP(G1726,zip_tiers!$A$1:$EON$2,2,FALSE)</f>
        <v>86125.666666666672</v>
      </c>
      <c r="J1726" t="str">
        <f t="shared" si="26"/>
        <v>Med</v>
      </c>
      <c r="K1726">
        <f>dataset[[#This Row],[soda_sales]]/dataset[[#This Row],[soda_units_sold]]</f>
        <v>0.75597534340869454</v>
      </c>
      <c r="L1726" s="29">
        <f>dataset[[#This Row],[implied_soda_ppu]]-dataset[[#This Row],[soda_ppu]]</f>
        <v>-2.4656591305460829E-5</v>
      </c>
      <c r="M1726">
        <f>dataset[[#This Row],[soda_sales]]/dataset[[#This Row],[total_sales]]</f>
        <v>5.949272306011081E-2</v>
      </c>
      <c r="N1726">
        <f>LN(dataset[[#This Row],[soda_units_sold]])</f>
        <v>12.18649219355123</v>
      </c>
      <c r="O1726">
        <f>LN(dataset[[#This Row],[soda_sales]])</f>
        <v>11.906745675677996</v>
      </c>
      <c r="P1726">
        <f>LN(dataset[[#This Row],[soda_ppu]])</f>
        <v>-0.27971390280260405</v>
      </c>
      <c r="Q1726">
        <f>IF(dataset[[#This Row],[state]]="VA",1,0)</f>
        <v>1</v>
      </c>
    </row>
    <row r="1727" spans="1:17" x14ac:dyDescent="0.35">
      <c r="A1727">
        <v>202410</v>
      </c>
      <c r="B1727">
        <v>59</v>
      </c>
      <c r="C1727" s="2">
        <v>3057717.9155999999</v>
      </c>
      <c r="D1727" s="2">
        <v>0.75349999999999995</v>
      </c>
      <c r="E1727" s="3">
        <v>194707</v>
      </c>
      <c r="F1727" s="2">
        <v>146713.02499999999</v>
      </c>
      <c r="G1727" t="s">
        <v>3104</v>
      </c>
      <c r="H1727" t="s">
        <v>3</v>
      </c>
      <c r="I1727">
        <f>HLOOKUP(G1727,zip_tiers!$A$1:$EON$2,2,FALSE)</f>
        <v>86125.666666666672</v>
      </c>
      <c r="J1727" t="str">
        <f t="shared" si="26"/>
        <v>Med</v>
      </c>
      <c r="K1727">
        <f>dataset[[#This Row],[soda_sales]]/dataset[[#This Row],[soda_units_sold]]</f>
        <v>0.75350667926679571</v>
      </c>
      <c r="L1727" s="29">
        <f>dataset[[#This Row],[implied_soda_ppu]]-dataset[[#This Row],[soda_ppu]]</f>
        <v>6.6792667957615848E-6</v>
      </c>
      <c r="M1727">
        <f>dataset[[#This Row],[soda_sales]]/dataset[[#This Row],[total_sales]]</f>
        <v>4.7981216400470761E-2</v>
      </c>
      <c r="N1727">
        <f>LN(dataset[[#This Row],[soda_units_sold]])</f>
        <v>12.179251143461824</v>
      </c>
      <c r="O1727">
        <f>LN(dataset[[#This Row],[soda_sales]])</f>
        <v>11.896233746829173</v>
      </c>
      <c r="P1727">
        <f>LN(dataset[[#This Row],[soda_ppu]])</f>
        <v>-0.28302626091558697</v>
      </c>
      <c r="Q1727">
        <f>IF(dataset[[#This Row],[state]]="VA",1,0)</f>
        <v>1</v>
      </c>
    </row>
    <row r="1728" spans="1:17" x14ac:dyDescent="0.35">
      <c r="A1728">
        <v>202411</v>
      </c>
      <c r="B1728">
        <v>59</v>
      </c>
      <c r="C1728" s="2">
        <v>3465685.0581999999</v>
      </c>
      <c r="D1728" s="2">
        <v>0.76849999999999996</v>
      </c>
      <c r="E1728" s="3">
        <v>179507</v>
      </c>
      <c r="F1728" s="2">
        <v>137949.17970000001</v>
      </c>
      <c r="G1728" t="s">
        <v>3104</v>
      </c>
      <c r="H1728" t="s">
        <v>3</v>
      </c>
      <c r="I1728">
        <f>HLOOKUP(G1728,zip_tiers!$A$1:$EON$2,2,FALSE)</f>
        <v>86125.666666666672</v>
      </c>
      <c r="J1728" t="str">
        <f t="shared" si="26"/>
        <v>Med</v>
      </c>
      <c r="K1728">
        <f>dataset[[#This Row],[soda_sales]]/dataset[[#This Row],[soda_units_sold]]</f>
        <v>0.76848913802804353</v>
      </c>
      <c r="L1728" s="29">
        <f>dataset[[#This Row],[implied_soda_ppu]]-dataset[[#This Row],[soda_ppu]]</f>
        <v>-1.0861971956432903E-5</v>
      </c>
      <c r="M1728">
        <f>dataset[[#This Row],[soda_sales]]/dataset[[#This Row],[total_sales]]</f>
        <v>3.9804303444597407E-2</v>
      </c>
      <c r="N1728">
        <f>LN(dataset[[#This Row],[soda_units_sold]])</f>
        <v>12.097969483364583</v>
      </c>
      <c r="O1728">
        <f>LN(dataset[[#This Row],[soda_sales]])</f>
        <v>11.834640633270377</v>
      </c>
      <c r="P1728">
        <f>LN(dataset[[#This Row],[soda_ppu]])</f>
        <v>-0.26331471600348655</v>
      </c>
      <c r="Q1728">
        <f>IF(dataset[[#This Row],[state]]="VA",1,0)</f>
        <v>1</v>
      </c>
    </row>
    <row r="1729" spans="1:17" x14ac:dyDescent="0.35">
      <c r="A1729">
        <v>202412</v>
      </c>
      <c r="B1729">
        <v>59</v>
      </c>
      <c r="C1729" s="2">
        <v>3647787.8580999998</v>
      </c>
      <c r="D1729" s="2">
        <v>0.7631</v>
      </c>
      <c r="E1729" s="3">
        <v>179471</v>
      </c>
      <c r="F1729" s="2">
        <v>136951.51079999999</v>
      </c>
      <c r="G1729" t="s">
        <v>3104</v>
      </c>
      <c r="H1729" t="s">
        <v>3</v>
      </c>
      <c r="I1729">
        <f>HLOOKUP(G1729,zip_tiers!$A$1:$EON$2,2,FALSE)</f>
        <v>86125.666666666672</v>
      </c>
      <c r="J1729" t="str">
        <f t="shared" si="26"/>
        <v>Med</v>
      </c>
      <c r="K1729">
        <f>dataset[[#This Row],[soda_sales]]/dataset[[#This Row],[soda_units_sold]]</f>
        <v>0.76308434677468773</v>
      </c>
      <c r="L1729" s="29">
        <f>dataset[[#This Row],[implied_soda_ppu]]-dataset[[#This Row],[soda_ppu]]</f>
        <v>-1.56532253122732E-5</v>
      </c>
      <c r="M1729">
        <f>dataset[[#This Row],[soda_sales]]/dataset[[#This Row],[total_sales]]</f>
        <v>3.7543715842985742E-2</v>
      </c>
      <c r="N1729">
        <f>LN(dataset[[#This Row],[soda_units_sold]])</f>
        <v>12.097768913969686</v>
      </c>
      <c r="O1729">
        <f>LN(dataset[[#This Row],[soda_sales]])</f>
        <v>11.827382206393793</v>
      </c>
      <c r="P1729">
        <f>LN(dataset[[#This Row],[soda_ppu]])</f>
        <v>-0.27036619468654954</v>
      </c>
      <c r="Q1729">
        <f>IF(dataset[[#This Row],[state]]="VA",1,0)</f>
        <v>1</v>
      </c>
    </row>
    <row r="1730" spans="1:17" x14ac:dyDescent="0.35">
      <c r="A1730">
        <v>202201</v>
      </c>
      <c r="B1730">
        <v>56</v>
      </c>
      <c r="C1730" s="2">
        <v>1768734.2564999999</v>
      </c>
      <c r="D1730" s="2">
        <v>0.67369999999999997</v>
      </c>
      <c r="E1730" s="3">
        <v>155168</v>
      </c>
      <c r="F1730" s="2">
        <v>104534.7396</v>
      </c>
      <c r="G1730" t="s">
        <v>3110</v>
      </c>
      <c r="H1730" t="s">
        <v>3</v>
      </c>
      <c r="I1730">
        <f>HLOOKUP(G1730,zip_tiers!$A$1:$EON$2,2,FALSE)</f>
        <v>66000</v>
      </c>
      <c r="J1730" t="str">
        <f t="shared" ref="J1730:J1793" si="27">IF(I1730="","No Data",IF(I1730&gt;=100000,"High",IF(I1730&gt;=40000,"Med","Low")))</f>
        <v>Med</v>
      </c>
      <c r="K1730">
        <f>dataset[[#This Row],[soda_sales]]/dataset[[#This Row],[soda_units_sold]]</f>
        <v>0.6736874845328934</v>
      </c>
      <c r="L1730" s="29">
        <f>dataset[[#This Row],[implied_soda_ppu]]-dataset[[#This Row],[soda_ppu]]</f>
        <v>-1.2515467106566369E-5</v>
      </c>
      <c r="M1730">
        <f>dataset[[#This Row],[soda_sales]]/dataset[[#This Row],[total_sales]]</f>
        <v>5.9101438905160938E-2</v>
      </c>
      <c r="N1730">
        <f>LN(dataset[[#This Row],[soda_units_sold]])</f>
        <v>11.952263679905078</v>
      </c>
      <c r="O1730">
        <f>LN(dataset[[#This Row],[soda_sales]])</f>
        <v>11.557274731505915</v>
      </c>
      <c r="P1730">
        <f>LN(dataset[[#This Row],[soda_ppu]])</f>
        <v>-0.39497037101552296</v>
      </c>
      <c r="Q1730">
        <f>IF(dataset[[#This Row],[state]]="VA",1,0)</f>
        <v>1</v>
      </c>
    </row>
    <row r="1731" spans="1:17" x14ac:dyDescent="0.35">
      <c r="A1731">
        <v>202202</v>
      </c>
      <c r="B1731">
        <v>56</v>
      </c>
      <c r="C1731" s="2">
        <v>2043084.2054000001</v>
      </c>
      <c r="D1731" s="2">
        <v>0.65639999999999998</v>
      </c>
      <c r="E1731" s="3">
        <v>179636</v>
      </c>
      <c r="F1731" s="2">
        <v>117920.6758</v>
      </c>
      <c r="G1731" t="s">
        <v>3110</v>
      </c>
      <c r="H1731" t="s">
        <v>3</v>
      </c>
      <c r="I1731">
        <f>HLOOKUP(G1731,zip_tiers!$A$1:$EON$2,2,FALSE)</f>
        <v>66000</v>
      </c>
      <c r="J1731" t="str">
        <f t="shared" si="27"/>
        <v>Med</v>
      </c>
      <c r="K1731">
        <f>dataset[[#This Row],[soda_sales]]/dataset[[#This Row],[soda_units_sold]]</f>
        <v>0.65644233783874051</v>
      </c>
      <c r="L1731" s="29">
        <f>dataset[[#This Row],[implied_soda_ppu]]-dataset[[#This Row],[soda_ppu]]</f>
        <v>4.233783874052488E-5</v>
      </c>
      <c r="M1731">
        <f>dataset[[#This Row],[soda_sales]]/dataset[[#This Row],[total_sales]]</f>
        <v>5.7716992519607477E-2</v>
      </c>
      <c r="N1731">
        <f>LN(dataset[[#This Row],[soda_units_sold]])</f>
        <v>12.098687860198034</v>
      </c>
      <c r="O1731">
        <f>LN(dataset[[#This Row],[soda_sales]])</f>
        <v>11.677767438410813</v>
      </c>
      <c r="P1731">
        <f>LN(dataset[[#This Row],[soda_ppu]])</f>
        <v>-0.42098491976620123</v>
      </c>
      <c r="Q1731">
        <f>IF(dataset[[#This Row],[state]]="VA",1,0)</f>
        <v>1</v>
      </c>
    </row>
    <row r="1732" spans="1:17" x14ac:dyDescent="0.35">
      <c r="A1732">
        <v>202203</v>
      </c>
      <c r="B1732">
        <v>56</v>
      </c>
      <c r="C1732" s="2">
        <v>2280571.7842999999</v>
      </c>
      <c r="D1732" s="2">
        <v>0.69279999999999997</v>
      </c>
      <c r="E1732" s="3">
        <v>200587</v>
      </c>
      <c r="F1732" s="2">
        <v>138959.79829999999</v>
      </c>
      <c r="G1732" t="s">
        <v>3110</v>
      </c>
      <c r="H1732" t="s">
        <v>3</v>
      </c>
      <c r="I1732">
        <f>HLOOKUP(G1732,zip_tiers!$A$1:$EON$2,2,FALSE)</f>
        <v>66000</v>
      </c>
      <c r="J1732" t="str">
        <f t="shared" si="27"/>
        <v>Med</v>
      </c>
      <c r="K1732">
        <f>dataset[[#This Row],[soda_sales]]/dataset[[#This Row],[soda_units_sold]]</f>
        <v>0.69276572409976711</v>
      </c>
      <c r="L1732" s="29">
        <f>dataset[[#This Row],[implied_soda_ppu]]-dataset[[#This Row],[soda_ppu]]</f>
        <v>-3.4275900232860756E-5</v>
      </c>
      <c r="M1732">
        <f>dataset[[#This Row],[soda_sales]]/dataset[[#This Row],[total_sales]]</f>
        <v>6.0931999271688089E-2</v>
      </c>
      <c r="N1732">
        <f>LN(dataset[[#This Row],[soda_units_sold]])</f>
        <v>12.20900334682675</v>
      </c>
      <c r="O1732">
        <f>LN(dataset[[#This Row],[soda_sales]])</f>
        <v>11.8419399494171</v>
      </c>
      <c r="P1732">
        <f>LN(dataset[[#This Row],[soda_ppu]])</f>
        <v>-0.36701392173391167</v>
      </c>
      <c r="Q1732">
        <f>IF(dataset[[#This Row],[state]]="VA",1,0)</f>
        <v>1</v>
      </c>
    </row>
    <row r="1733" spans="1:17" x14ac:dyDescent="0.35">
      <c r="A1733">
        <v>202204</v>
      </c>
      <c r="B1733">
        <v>56</v>
      </c>
      <c r="C1733" s="2">
        <v>2404126.1521000001</v>
      </c>
      <c r="D1733" s="2">
        <v>0.69020000000000004</v>
      </c>
      <c r="E1733" s="3">
        <v>240592</v>
      </c>
      <c r="F1733" s="2">
        <v>166055.37400000001</v>
      </c>
      <c r="G1733" t="s">
        <v>3110</v>
      </c>
      <c r="H1733" t="s">
        <v>3</v>
      </c>
      <c r="I1733">
        <f>HLOOKUP(G1733,zip_tiers!$A$1:$EON$2,2,FALSE)</f>
        <v>66000</v>
      </c>
      <c r="J1733" t="str">
        <f t="shared" si="27"/>
        <v>Med</v>
      </c>
      <c r="K1733">
        <f>dataset[[#This Row],[soda_sales]]/dataset[[#This Row],[soda_units_sold]]</f>
        <v>0.69019491088648011</v>
      </c>
      <c r="L1733" s="29">
        <f>dataset[[#This Row],[implied_soda_ppu]]-dataset[[#This Row],[soda_ppu]]</f>
        <v>-5.0891135199293558E-6</v>
      </c>
      <c r="M1733">
        <f>dataset[[#This Row],[soda_sales]]/dataset[[#This Row],[total_sales]]</f>
        <v>6.9070990245229405E-2</v>
      </c>
      <c r="N1733">
        <f>LN(dataset[[#This Row],[soda_units_sold]])</f>
        <v>12.390857831762101</v>
      </c>
      <c r="O1733">
        <f>LN(dataset[[#This Row],[soda_sales]])</f>
        <v>12.020076590027058</v>
      </c>
      <c r="P1733">
        <f>LN(dataset[[#This Row],[soda_ppu]])</f>
        <v>-0.37077386831823395</v>
      </c>
      <c r="Q1733">
        <f>IF(dataset[[#This Row],[state]]="VA",1,0)</f>
        <v>1</v>
      </c>
    </row>
    <row r="1734" spans="1:17" x14ac:dyDescent="0.35">
      <c r="A1734">
        <v>202205</v>
      </c>
      <c r="B1734">
        <v>56</v>
      </c>
      <c r="C1734" s="2">
        <v>2477636.557</v>
      </c>
      <c r="D1734" s="2">
        <v>0.67079999999999995</v>
      </c>
      <c r="E1734" s="3">
        <v>266141</v>
      </c>
      <c r="F1734" s="2">
        <v>178519.96739999999</v>
      </c>
      <c r="G1734" t="s">
        <v>3110</v>
      </c>
      <c r="H1734" t="s">
        <v>3</v>
      </c>
      <c r="I1734">
        <f>HLOOKUP(G1734,zip_tiers!$A$1:$EON$2,2,FALSE)</f>
        <v>66000</v>
      </c>
      <c r="J1734" t="str">
        <f t="shared" si="27"/>
        <v>Med</v>
      </c>
      <c r="K1734">
        <f>dataset[[#This Row],[soda_sales]]/dataset[[#This Row],[soda_units_sold]]</f>
        <v>0.67077213732570329</v>
      </c>
      <c r="L1734" s="29">
        <f>dataset[[#This Row],[implied_soda_ppu]]-dataset[[#This Row],[soda_ppu]]</f>
        <v>-2.786267429666367E-5</v>
      </c>
      <c r="M1734">
        <f>dataset[[#This Row],[soda_sales]]/dataset[[#This Row],[total_sales]]</f>
        <v>7.2052523965079676E-2</v>
      </c>
      <c r="N1734">
        <f>LN(dataset[[#This Row],[soda_units_sold]])</f>
        <v>12.49178152251158</v>
      </c>
      <c r="O1734">
        <f>LN(dataset[[#This Row],[soda_sales]])</f>
        <v>12.092455736130598</v>
      </c>
      <c r="P1734">
        <f>LN(dataset[[#This Row],[soda_ppu]])</f>
        <v>-0.39928424903308335</v>
      </c>
      <c r="Q1734">
        <f>IF(dataset[[#This Row],[state]]="VA",1,0)</f>
        <v>1</v>
      </c>
    </row>
    <row r="1735" spans="1:17" x14ac:dyDescent="0.35">
      <c r="A1735">
        <v>202206</v>
      </c>
      <c r="B1735">
        <v>56</v>
      </c>
      <c r="C1735" s="2">
        <v>2388951.4087999999</v>
      </c>
      <c r="D1735" s="2">
        <v>0.68989999999999996</v>
      </c>
      <c r="E1735" s="3">
        <v>274705</v>
      </c>
      <c r="F1735" s="2">
        <v>189518.8505</v>
      </c>
      <c r="G1735" t="s">
        <v>3110</v>
      </c>
      <c r="H1735" t="s">
        <v>3</v>
      </c>
      <c r="I1735">
        <f>HLOOKUP(G1735,zip_tiers!$A$1:$EON$2,2,FALSE)</f>
        <v>66000</v>
      </c>
      <c r="J1735" t="str">
        <f t="shared" si="27"/>
        <v>Med</v>
      </c>
      <c r="K1735">
        <f>dataset[[#This Row],[soda_sales]]/dataset[[#This Row],[soda_units_sold]]</f>
        <v>0.68989953040534391</v>
      </c>
      <c r="L1735" s="29">
        <f>dataset[[#This Row],[implied_soda_ppu]]-dataset[[#This Row],[soda_ppu]]</f>
        <v>-4.6959465604956563E-7</v>
      </c>
      <c r="M1735">
        <f>dataset[[#This Row],[soda_sales]]/dataset[[#This Row],[total_sales]]</f>
        <v>7.9331396110395427E-2</v>
      </c>
      <c r="N1735">
        <f>LN(dataset[[#This Row],[soda_units_sold]])</f>
        <v>12.52345307359227</v>
      </c>
      <c r="O1735">
        <f>LN(dataset[[#This Row],[soda_sales]])</f>
        <v>12.152243773491351</v>
      </c>
      <c r="P1735">
        <f>LN(dataset[[#This Row],[soda_ppu]])</f>
        <v>-0.3712086194300741</v>
      </c>
      <c r="Q1735">
        <f>IF(dataset[[#This Row],[state]]="VA",1,0)</f>
        <v>1</v>
      </c>
    </row>
    <row r="1736" spans="1:17" x14ac:dyDescent="0.35">
      <c r="A1736">
        <v>202207</v>
      </c>
      <c r="B1736">
        <v>56</v>
      </c>
      <c r="C1736" s="2">
        <v>2279025.5690000001</v>
      </c>
      <c r="D1736" s="2">
        <v>0.69679999999999997</v>
      </c>
      <c r="E1736" s="3">
        <v>273178</v>
      </c>
      <c r="F1736" s="2">
        <v>190350.2451</v>
      </c>
      <c r="G1736" t="s">
        <v>3110</v>
      </c>
      <c r="H1736" t="s">
        <v>3</v>
      </c>
      <c r="I1736">
        <f>HLOOKUP(G1736,zip_tiers!$A$1:$EON$2,2,FALSE)</f>
        <v>66000</v>
      </c>
      <c r="J1736" t="str">
        <f t="shared" si="27"/>
        <v>Med</v>
      </c>
      <c r="K1736">
        <f>dataset[[#This Row],[soda_sales]]/dataset[[#This Row],[soda_units_sold]]</f>
        <v>0.69679932168769076</v>
      </c>
      <c r="L1736" s="29">
        <f>dataset[[#This Row],[implied_soda_ppu]]-dataset[[#This Row],[soda_ppu]]</f>
        <v>-6.7831230921022723E-7</v>
      </c>
      <c r="M1736">
        <f>dataset[[#This Row],[soda_sales]]/dataset[[#This Row],[total_sales]]</f>
        <v>8.3522645682085367E-2</v>
      </c>
      <c r="N1736">
        <f>LN(dataset[[#This Row],[soda_units_sold]])</f>
        <v>12.517878876349908</v>
      </c>
      <c r="O1736">
        <f>LN(dataset[[#This Row],[soda_sales]])</f>
        <v>12.156621049437868</v>
      </c>
      <c r="P1736">
        <f>LN(dataset[[#This Row],[soda_ppu]])</f>
        <v>-0.36125685344384406</v>
      </c>
      <c r="Q1736">
        <f>IF(dataset[[#This Row],[state]]="VA",1,0)</f>
        <v>1</v>
      </c>
    </row>
    <row r="1737" spans="1:17" x14ac:dyDescent="0.35">
      <c r="A1737">
        <v>202208</v>
      </c>
      <c r="B1737">
        <v>56</v>
      </c>
      <c r="C1737" s="2">
        <v>2163130.6822000002</v>
      </c>
      <c r="D1737" s="2">
        <v>0.68689999999999996</v>
      </c>
      <c r="E1737" s="3">
        <v>249588</v>
      </c>
      <c r="F1737" s="2">
        <v>171445.61379999999</v>
      </c>
      <c r="G1737" t="s">
        <v>3110</v>
      </c>
      <c r="H1737" t="s">
        <v>3</v>
      </c>
      <c r="I1737">
        <f>HLOOKUP(G1737,zip_tiers!$A$1:$EON$2,2,FALSE)</f>
        <v>66000</v>
      </c>
      <c r="J1737" t="str">
        <f t="shared" si="27"/>
        <v>Med</v>
      </c>
      <c r="K1737">
        <f>dataset[[#This Row],[soda_sales]]/dataset[[#This Row],[soda_units_sold]]</f>
        <v>0.68691449027998142</v>
      </c>
      <c r="L1737" s="29">
        <f>dataset[[#This Row],[implied_soda_ppu]]-dataset[[#This Row],[soda_ppu]]</f>
        <v>1.4490279981460574E-5</v>
      </c>
      <c r="M1737">
        <f>dataset[[#This Row],[soda_sales]]/dataset[[#This Row],[total_sales]]</f>
        <v>7.9258093471094485E-2</v>
      </c>
      <c r="N1737">
        <f>LN(dataset[[#This Row],[soda_units_sold]])</f>
        <v>12.427566837398601</v>
      </c>
      <c r="O1737">
        <f>LN(dataset[[#This Row],[soda_sales]])</f>
        <v>12.052021374595022</v>
      </c>
      <c r="P1737">
        <f>LN(dataset[[#This Row],[soda_ppu]])</f>
        <v>-0.37556655776230119</v>
      </c>
      <c r="Q1737">
        <f>IF(dataset[[#This Row],[state]]="VA",1,0)</f>
        <v>1</v>
      </c>
    </row>
    <row r="1738" spans="1:17" x14ac:dyDescent="0.35">
      <c r="A1738">
        <v>202209</v>
      </c>
      <c r="B1738">
        <v>56</v>
      </c>
      <c r="C1738" s="2">
        <v>2137450.5548999999</v>
      </c>
      <c r="D1738" s="2">
        <v>0.70479999999999998</v>
      </c>
      <c r="E1738" s="3">
        <v>224745</v>
      </c>
      <c r="F1738" s="2">
        <v>158390.16800000001</v>
      </c>
      <c r="G1738" t="s">
        <v>3110</v>
      </c>
      <c r="H1738" t="s">
        <v>3</v>
      </c>
      <c r="I1738">
        <f>HLOOKUP(G1738,zip_tiers!$A$1:$EON$2,2,FALSE)</f>
        <v>66000</v>
      </c>
      <c r="J1738" t="str">
        <f t="shared" si="27"/>
        <v>Med</v>
      </c>
      <c r="K1738">
        <f>dataset[[#This Row],[soda_sales]]/dataset[[#This Row],[soda_units_sold]]</f>
        <v>0.70475502458341677</v>
      </c>
      <c r="L1738" s="29">
        <f>dataset[[#This Row],[implied_soda_ppu]]-dataset[[#This Row],[soda_ppu]]</f>
        <v>-4.4975416583215022E-5</v>
      </c>
      <c r="M1738">
        <f>dataset[[#This Row],[soda_sales]]/dataset[[#This Row],[total_sales]]</f>
        <v>7.4102377543610709E-2</v>
      </c>
      <c r="N1738">
        <f>LN(dataset[[#This Row],[soda_units_sold]])</f>
        <v>12.322721705145355</v>
      </c>
      <c r="O1738">
        <f>LN(dataset[[#This Row],[soda_sales]])</f>
        <v>11.972816685728926</v>
      </c>
      <c r="P1738">
        <f>LN(dataset[[#This Row],[soda_ppu]])</f>
        <v>-0.3498412043601673</v>
      </c>
      <c r="Q1738">
        <f>IF(dataset[[#This Row],[state]]="VA",1,0)</f>
        <v>1</v>
      </c>
    </row>
    <row r="1739" spans="1:17" x14ac:dyDescent="0.35">
      <c r="A1739">
        <v>202210</v>
      </c>
      <c r="B1739">
        <v>56</v>
      </c>
      <c r="C1739" s="2">
        <v>2658237.0964000002</v>
      </c>
      <c r="D1739" s="2">
        <v>0.66420000000000001</v>
      </c>
      <c r="E1739" s="3">
        <v>237151</v>
      </c>
      <c r="F1739" s="2">
        <v>157510.37210000001</v>
      </c>
      <c r="G1739" t="s">
        <v>3110</v>
      </c>
      <c r="H1739" t="s">
        <v>3</v>
      </c>
      <c r="I1739">
        <f>HLOOKUP(G1739,zip_tiers!$A$1:$EON$2,2,FALSE)</f>
        <v>66000</v>
      </c>
      <c r="J1739" t="str">
        <f t="shared" si="27"/>
        <v>Med</v>
      </c>
      <c r="K1739">
        <f>dataset[[#This Row],[soda_sales]]/dataset[[#This Row],[soda_units_sold]]</f>
        <v>0.66417755818023116</v>
      </c>
      <c r="L1739" s="29">
        <f>dataset[[#This Row],[implied_soda_ppu]]-dataset[[#This Row],[soda_ppu]]</f>
        <v>-2.244181976884807E-5</v>
      </c>
      <c r="M1739">
        <f>dataset[[#This Row],[soda_sales]]/dataset[[#This Row],[total_sales]]</f>
        <v>5.9253695734407329E-2</v>
      </c>
      <c r="N1739">
        <f>LN(dataset[[#This Row],[soda_units_sold]])</f>
        <v>12.376452348037297</v>
      </c>
      <c r="O1739">
        <f>LN(dataset[[#This Row],[soda_sales]])</f>
        <v>11.967246589682681</v>
      </c>
      <c r="P1739">
        <f>LN(dataset[[#This Row],[soda_ppu]])</f>
        <v>-0.40917197003949085</v>
      </c>
      <c r="Q1739">
        <f>IF(dataset[[#This Row],[state]]="VA",1,0)</f>
        <v>1</v>
      </c>
    </row>
    <row r="1740" spans="1:17" x14ac:dyDescent="0.35">
      <c r="A1740">
        <v>202211</v>
      </c>
      <c r="B1740">
        <v>56</v>
      </c>
      <c r="C1740" s="2">
        <v>3010198.6316</v>
      </c>
      <c r="D1740" s="2">
        <v>0.65980000000000005</v>
      </c>
      <c r="E1740" s="3">
        <v>224828</v>
      </c>
      <c r="F1740" s="2">
        <v>148343.29810000001</v>
      </c>
      <c r="G1740" t="s">
        <v>3110</v>
      </c>
      <c r="H1740" t="s">
        <v>3</v>
      </c>
      <c r="I1740">
        <f>HLOOKUP(G1740,zip_tiers!$A$1:$EON$2,2,FALSE)</f>
        <v>66000</v>
      </c>
      <c r="J1740" t="str">
        <f t="shared" si="27"/>
        <v>Med</v>
      </c>
      <c r="K1740">
        <f>dataset[[#This Row],[soda_sales]]/dataset[[#This Row],[soda_units_sold]]</f>
        <v>0.6598079336203676</v>
      </c>
      <c r="L1740" s="29">
        <f>dataset[[#This Row],[implied_soda_ppu]]-dataset[[#This Row],[soda_ppu]]</f>
        <v>7.9336203675506312E-6</v>
      </c>
      <c r="M1740">
        <f>dataset[[#This Row],[soda_sales]]/dataset[[#This Row],[total_sales]]</f>
        <v>4.9280235710276579E-2</v>
      </c>
      <c r="N1740">
        <f>LN(dataset[[#This Row],[soda_units_sold]])</f>
        <v>12.323090944405466</v>
      </c>
      <c r="O1740">
        <f>LN(dataset[[#This Row],[soda_sales]])</f>
        <v>11.907284448426161</v>
      </c>
      <c r="P1740">
        <f>LN(dataset[[#This Row],[soda_ppu]])</f>
        <v>-0.41581852018765592</v>
      </c>
      <c r="Q1740">
        <f>IF(dataset[[#This Row],[state]]="VA",1,0)</f>
        <v>1</v>
      </c>
    </row>
    <row r="1741" spans="1:17" x14ac:dyDescent="0.35">
      <c r="A1741">
        <v>202212</v>
      </c>
      <c r="B1741">
        <v>56</v>
      </c>
      <c r="C1741" s="2">
        <v>3133357.7831000001</v>
      </c>
      <c r="D1741" s="2">
        <v>0.65959999999999996</v>
      </c>
      <c r="E1741" s="3">
        <v>213346</v>
      </c>
      <c r="F1741" s="2">
        <v>140715.541</v>
      </c>
      <c r="G1741" t="s">
        <v>3110</v>
      </c>
      <c r="H1741" t="s">
        <v>3</v>
      </c>
      <c r="I1741">
        <f>HLOOKUP(G1741,zip_tiers!$A$1:$EON$2,2,FALSE)</f>
        <v>66000</v>
      </c>
      <c r="J1741" t="str">
        <f t="shared" si="27"/>
        <v>Med</v>
      </c>
      <c r="K1741">
        <f>dataset[[#This Row],[soda_sales]]/dataset[[#This Row],[soda_units_sold]]</f>
        <v>0.65956493676937933</v>
      </c>
      <c r="L1741" s="29">
        <f>dataset[[#This Row],[implied_soda_ppu]]-dataset[[#This Row],[soda_ppu]]</f>
        <v>-3.5063230620635544E-5</v>
      </c>
      <c r="M1741">
        <f>dataset[[#This Row],[soda_sales]]/dataset[[#This Row],[total_sales]]</f>
        <v>4.4908864783638758E-2</v>
      </c>
      <c r="N1741">
        <f>LN(dataset[[#This Row],[soda_units_sold]])</f>
        <v>12.270670539905119</v>
      </c>
      <c r="O1741">
        <f>LN(dataset[[#This Row],[soda_sales]])</f>
        <v>11.854495691871305</v>
      </c>
      <c r="P1741">
        <f>LN(dataset[[#This Row],[soda_ppu]])</f>
        <v>-0.41612168829669327</v>
      </c>
      <c r="Q1741">
        <f>IF(dataset[[#This Row],[state]]="VA",1,0)</f>
        <v>1</v>
      </c>
    </row>
    <row r="1742" spans="1:17" x14ac:dyDescent="0.35">
      <c r="A1742">
        <v>202301</v>
      </c>
      <c r="B1742">
        <v>56</v>
      </c>
      <c r="C1742" s="2">
        <v>1815363.6555000001</v>
      </c>
      <c r="D1742" s="2">
        <v>0.69199999999999995</v>
      </c>
      <c r="E1742" s="3">
        <v>154068</v>
      </c>
      <c r="F1742" s="2">
        <v>106608.52559999999</v>
      </c>
      <c r="G1742" t="s">
        <v>3110</v>
      </c>
      <c r="H1742" t="s">
        <v>3</v>
      </c>
      <c r="I1742">
        <f>HLOOKUP(G1742,zip_tiers!$A$1:$EON$2,2,FALSE)</f>
        <v>66000</v>
      </c>
      <c r="J1742" t="str">
        <f t="shared" si="27"/>
        <v>Med</v>
      </c>
      <c r="K1742">
        <f>dataset[[#This Row],[soda_sales]]/dataset[[#This Row],[soda_units_sold]]</f>
        <v>0.69195761352130225</v>
      </c>
      <c r="L1742" s="29">
        <f>dataset[[#This Row],[implied_soda_ppu]]-dataset[[#This Row],[soda_ppu]]</f>
        <v>-4.238647869769796E-5</v>
      </c>
      <c r="M1742">
        <f>dataset[[#This Row],[soda_sales]]/dataset[[#This Row],[total_sales]]</f>
        <v>5.8725713317554072E-2</v>
      </c>
      <c r="N1742">
        <f>LN(dataset[[#This Row],[soda_units_sold]])</f>
        <v>11.945149342379084</v>
      </c>
      <c r="O1742">
        <f>LN(dataset[[#This Row],[soda_sales]])</f>
        <v>11.576918765001782</v>
      </c>
      <c r="P1742">
        <f>LN(dataset[[#This Row],[soda_ppu]])</f>
        <v>-0.36816932336446756</v>
      </c>
      <c r="Q1742">
        <f>IF(dataset[[#This Row],[state]]="VA",1,0)</f>
        <v>1</v>
      </c>
    </row>
    <row r="1743" spans="1:17" x14ac:dyDescent="0.35">
      <c r="A1743">
        <v>202302</v>
      </c>
      <c r="B1743">
        <v>56</v>
      </c>
      <c r="C1743" s="2">
        <v>2067165.9616</v>
      </c>
      <c r="D1743" s="2">
        <v>0.68700000000000006</v>
      </c>
      <c r="E1743" s="3">
        <v>175870</v>
      </c>
      <c r="F1743" s="2">
        <v>120819.61380000001</v>
      </c>
      <c r="G1743" t="s">
        <v>3110</v>
      </c>
      <c r="H1743" t="s">
        <v>3</v>
      </c>
      <c r="I1743">
        <f>HLOOKUP(G1743,zip_tiers!$A$1:$EON$2,2,FALSE)</f>
        <v>66000</v>
      </c>
      <c r="J1743" t="str">
        <f t="shared" si="27"/>
        <v>Med</v>
      </c>
      <c r="K1743">
        <f>dataset[[#This Row],[soda_sales]]/dataset[[#This Row],[soda_units_sold]]</f>
        <v>0.68698250867117761</v>
      </c>
      <c r="L1743" s="29">
        <f>dataset[[#This Row],[implied_soda_ppu]]-dataset[[#This Row],[soda_ppu]]</f>
        <v>-1.7491328822449859E-5</v>
      </c>
      <c r="M1743">
        <f>dataset[[#This Row],[soda_sales]]/dataset[[#This Row],[total_sales]]</f>
        <v>5.8446982992349988E-2</v>
      </c>
      <c r="N1743">
        <f>LN(dataset[[#This Row],[soda_units_sold]])</f>
        <v>12.07750036473041</v>
      </c>
      <c r="O1743">
        <f>LN(dataset[[#This Row],[soda_sales]])</f>
        <v>11.702053917196976</v>
      </c>
      <c r="P1743">
        <f>LN(dataset[[#This Row],[soda_ppu]])</f>
        <v>-0.37542098675978763</v>
      </c>
      <c r="Q1743">
        <f>IF(dataset[[#This Row],[state]]="VA",1,0)</f>
        <v>1</v>
      </c>
    </row>
    <row r="1744" spans="1:17" x14ac:dyDescent="0.35">
      <c r="A1744">
        <v>202303</v>
      </c>
      <c r="B1744">
        <v>56</v>
      </c>
      <c r="C1744" s="2">
        <v>2267010.0913</v>
      </c>
      <c r="D1744" s="2">
        <v>0.69669999999999999</v>
      </c>
      <c r="E1744" s="3">
        <v>200107</v>
      </c>
      <c r="F1744" s="2">
        <v>139414.04810000001</v>
      </c>
      <c r="G1744" t="s">
        <v>3110</v>
      </c>
      <c r="H1744" t="s">
        <v>3</v>
      </c>
      <c r="I1744">
        <f>HLOOKUP(G1744,zip_tiers!$A$1:$EON$2,2,FALSE)</f>
        <v>66000</v>
      </c>
      <c r="J1744" t="str">
        <f t="shared" si="27"/>
        <v>Med</v>
      </c>
      <c r="K1744">
        <f>dataset[[#This Row],[soda_sales]]/dataset[[#This Row],[soda_units_sold]]</f>
        <v>0.6966975073335766</v>
      </c>
      <c r="L1744" s="29">
        <f>dataset[[#This Row],[implied_soda_ppu]]-dataset[[#This Row],[soda_ppu]]</f>
        <v>-2.4926664233815288E-6</v>
      </c>
      <c r="M1744">
        <f>dataset[[#This Row],[soda_sales]]/dataset[[#This Row],[total_sales]]</f>
        <v>6.1496880245492894E-2</v>
      </c>
      <c r="N1744">
        <f>LN(dataset[[#This Row],[soda_units_sold]])</f>
        <v>12.206607502468696</v>
      </c>
      <c r="O1744">
        <f>LN(dataset[[#This Row],[soda_sales]])</f>
        <v>11.845203547697338</v>
      </c>
      <c r="P1744">
        <f>LN(dataset[[#This Row],[soda_ppu]])</f>
        <v>-0.36140037694606386</v>
      </c>
      <c r="Q1744">
        <f>IF(dataset[[#This Row],[state]]="VA",1,0)</f>
        <v>1</v>
      </c>
    </row>
    <row r="1745" spans="1:17" x14ac:dyDescent="0.35">
      <c r="A1745">
        <v>202304</v>
      </c>
      <c r="B1745">
        <v>56</v>
      </c>
      <c r="C1745" s="2">
        <v>2463536.4978</v>
      </c>
      <c r="D1745" s="2">
        <v>0.67579999999999996</v>
      </c>
      <c r="E1745" s="3">
        <v>249463</v>
      </c>
      <c r="F1745" s="2">
        <v>168581.57010000001</v>
      </c>
      <c r="G1745" t="s">
        <v>3110</v>
      </c>
      <c r="H1745" t="s">
        <v>3</v>
      </c>
      <c r="I1745">
        <f>HLOOKUP(G1745,zip_tiers!$A$1:$EON$2,2,FALSE)</f>
        <v>66000</v>
      </c>
      <c r="J1745" t="str">
        <f t="shared" si="27"/>
        <v>Med</v>
      </c>
      <c r="K1745">
        <f>dataset[[#This Row],[soda_sales]]/dataset[[#This Row],[soda_units_sold]]</f>
        <v>0.67577785122443013</v>
      </c>
      <c r="L1745" s="29">
        <f>dataset[[#This Row],[implied_soda_ppu]]-dataset[[#This Row],[soda_ppu]]</f>
        <v>-2.2148775569830192E-5</v>
      </c>
      <c r="M1745">
        <f>dataset[[#This Row],[soda_sales]]/dataset[[#This Row],[total_sales]]</f>
        <v>6.8430717487054718E-2</v>
      </c>
      <c r="N1745">
        <f>LN(dataset[[#This Row],[soda_units_sold]])</f>
        <v>12.427065886583497</v>
      </c>
      <c r="O1745">
        <f>LN(dataset[[#This Row],[soda_sales]])</f>
        <v>12.035175007187066</v>
      </c>
      <c r="P1745">
        <f>LN(dataset[[#This Row],[soda_ppu]])</f>
        <v>-0.39185810470194754</v>
      </c>
      <c r="Q1745">
        <f>IF(dataset[[#This Row],[state]]="VA",1,0)</f>
        <v>1</v>
      </c>
    </row>
    <row r="1746" spans="1:17" x14ac:dyDescent="0.35">
      <c r="A1746">
        <v>202305</v>
      </c>
      <c r="B1746">
        <v>56</v>
      </c>
      <c r="C1746" s="2">
        <v>2532288.2396</v>
      </c>
      <c r="D1746" s="2">
        <v>0.68730000000000002</v>
      </c>
      <c r="E1746" s="3">
        <v>263904</v>
      </c>
      <c r="F1746" s="2">
        <v>181374.8811</v>
      </c>
      <c r="G1746" t="s">
        <v>3110</v>
      </c>
      <c r="H1746" t="s">
        <v>3</v>
      </c>
      <c r="I1746">
        <f>HLOOKUP(G1746,zip_tiers!$A$1:$EON$2,2,FALSE)</f>
        <v>66000</v>
      </c>
      <c r="J1746" t="str">
        <f t="shared" si="27"/>
        <v>Med</v>
      </c>
      <c r="K1746">
        <f>dataset[[#This Row],[soda_sales]]/dataset[[#This Row],[soda_units_sold]]</f>
        <v>0.68727598331211348</v>
      </c>
      <c r="L1746" s="29">
        <f>dataset[[#This Row],[implied_soda_ppu]]-dataset[[#This Row],[soda_ppu]]</f>
        <v>-2.4016687886541099E-5</v>
      </c>
      <c r="M1746">
        <f>dataset[[#This Row],[soda_sales]]/dataset[[#This Row],[total_sales]]</f>
        <v>7.1624895722238138E-2</v>
      </c>
      <c r="N1746">
        <f>LN(dataset[[#This Row],[soda_units_sold]])</f>
        <v>12.483340679633082</v>
      </c>
      <c r="O1746">
        <f>LN(dataset[[#This Row],[soda_sales]])</f>
        <v>12.108321334638376</v>
      </c>
      <c r="P1746">
        <f>LN(dataset[[#This Row],[soda_ppu]])</f>
        <v>-0.37498440085457752</v>
      </c>
      <c r="Q1746">
        <f>IF(dataset[[#This Row],[state]]="VA",1,0)</f>
        <v>1</v>
      </c>
    </row>
    <row r="1747" spans="1:17" x14ac:dyDescent="0.35">
      <c r="A1747">
        <v>202306</v>
      </c>
      <c r="B1747">
        <v>56</v>
      </c>
      <c r="C1747" s="2">
        <v>2420472.5306000002</v>
      </c>
      <c r="D1747" s="2">
        <v>0.68889999999999996</v>
      </c>
      <c r="E1747" s="3">
        <v>278098</v>
      </c>
      <c r="F1747" s="2">
        <v>191583.92970000001</v>
      </c>
      <c r="G1747" t="s">
        <v>3110</v>
      </c>
      <c r="H1747" t="s">
        <v>3</v>
      </c>
      <c r="I1747">
        <f>HLOOKUP(G1747,zip_tiers!$A$1:$EON$2,2,FALSE)</f>
        <v>66000</v>
      </c>
      <c r="J1747" t="str">
        <f t="shared" si="27"/>
        <v>Med</v>
      </c>
      <c r="K1747">
        <f>dataset[[#This Row],[soda_sales]]/dataset[[#This Row],[soda_units_sold]]</f>
        <v>0.68890797380779445</v>
      </c>
      <c r="L1747" s="29">
        <f>dataset[[#This Row],[implied_soda_ppu]]-dataset[[#This Row],[soda_ppu]]</f>
        <v>7.9738077944924157E-6</v>
      </c>
      <c r="M1747">
        <f>dataset[[#This Row],[soda_sales]]/dataset[[#This Row],[total_sales]]</f>
        <v>7.9151457939706141E-2</v>
      </c>
      <c r="N1747">
        <f>LN(dataset[[#This Row],[soda_units_sold]])</f>
        <v>12.535728848538518</v>
      </c>
      <c r="O1747">
        <f>LN(dataset[[#This Row],[soda_sales]])</f>
        <v>12.16308126678414</v>
      </c>
      <c r="P1747">
        <f>LN(dataset[[#This Row],[soda_ppu]])</f>
        <v>-0.37265915638298697</v>
      </c>
      <c r="Q1747">
        <f>IF(dataset[[#This Row],[state]]="VA",1,0)</f>
        <v>1</v>
      </c>
    </row>
    <row r="1748" spans="1:17" x14ac:dyDescent="0.35">
      <c r="A1748">
        <v>202307</v>
      </c>
      <c r="B1748">
        <v>56</v>
      </c>
      <c r="C1748" s="2">
        <v>2311847.2930000001</v>
      </c>
      <c r="D1748" s="2">
        <v>0.68630000000000002</v>
      </c>
      <c r="E1748" s="3">
        <v>288309</v>
      </c>
      <c r="F1748" s="2">
        <v>197879.7873</v>
      </c>
      <c r="G1748" t="s">
        <v>3110</v>
      </c>
      <c r="H1748" t="s">
        <v>3</v>
      </c>
      <c r="I1748">
        <f>HLOOKUP(G1748,zip_tiers!$A$1:$EON$2,2,FALSE)</f>
        <v>66000</v>
      </c>
      <c r="J1748" t="str">
        <f t="shared" si="27"/>
        <v>Med</v>
      </c>
      <c r="K1748">
        <f>dataset[[#This Row],[soda_sales]]/dataset[[#This Row],[soda_units_sold]]</f>
        <v>0.68634620251188827</v>
      </c>
      <c r="L1748" s="29">
        <f>dataset[[#This Row],[implied_soda_ppu]]-dataset[[#This Row],[soda_ppu]]</f>
        <v>4.6202511888249198E-5</v>
      </c>
      <c r="M1748">
        <f>dataset[[#This Row],[soda_sales]]/dataset[[#This Row],[total_sales]]</f>
        <v>8.5593796743909753E-2</v>
      </c>
      <c r="N1748">
        <f>LN(dataset[[#This Row],[soda_units_sold]])</f>
        <v>12.571788100621028</v>
      </c>
      <c r="O1748">
        <f>LN(dataset[[#This Row],[soda_sales]])</f>
        <v>12.195414990447192</v>
      </c>
      <c r="P1748">
        <f>LN(dataset[[#This Row],[soda_ppu]])</f>
        <v>-0.37644042906754804</v>
      </c>
      <c r="Q1748">
        <f>IF(dataset[[#This Row],[state]]="VA",1,0)</f>
        <v>1</v>
      </c>
    </row>
    <row r="1749" spans="1:17" x14ac:dyDescent="0.35">
      <c r="A1749">
        <v>202308</v>
      </c>
      <c r="B1749">
        <v>56</v>
      </c>
      <c r="C1749" s="2">
        <v>2144683.6157</v>
      </c>
      <c r="D1749" s="2">
        <v>0.68179999999999996</v>
      </c>
      <c r="E1749" s="3">
        <v>246968</v>
      </c>
      <c r="F1749" s="2">
        <v>168388.5693</v>
      </c>
      <c r="G1749" t="s">
        <v>3110</v>
      </c>
      <c r="H1749" t="s">
        <v>3</v>
      </c>
      <c r="I1749">
        <f>HLOOKUP(G1749,zip_tiers!$A$1:$EON$2,2,FALSE)</f>
        <v>66000</v>
      </c>
      <c r="J1749" t="str">
        <f t="shared" si="27"/>
        <v>Med</v>
      </c>
      <c r="K1749">
        <f>dataset[[#This Row],[soda_sales]]/dataset[[#This Row],[soda_units_sold]]</f>
        <v>0.68182343178063554</v>
      </c>
      <c r="L1749" s="29">
        <f>dataset[[#This Row],[implied_soda_ppu]]-dataset[[#This Row],[soda_ppu]]</f>
        <v>2.3431780635574384E-5</v>
      </c>
      <c r="M1749">
        <f>dataset[[#This Row],[soda_sales]]/dataset[[#This Row],[total_sales]]</f>
        <v>7.8514410268873111E-2</v>
      </c>
      <c r="N1749">
        <f>LN(dataset[[#This Row],[soda_units_sold]])</f>
        <v>12.417014052561315</v>
      </c>
      <c r="O1749">
        <f>LN(dataset[[#This Row],[soda_sales]])</f>
        <v>12.034029500220496</v>
      </c>
      <c r="P1749">
        <f>LN(dataset[[#This Row],[soda_ppu]])</f>
        <v>-0.38301891927833437</v>
      </c>
      <c r="Q1749">
        <f>IF(dataset[[#This Row],[state]]="VA",1,0)</f>
        <v>1</v>
      </c>
    </row>
    <row r="1750" spans="1:17" x14ac:dyDescent="0.35">
      <c r="A1750">
        <v>202309</v>
      </c>
      <c r="B1750">
        <v>56</v>
      </c>
      <c r="C1750" s="2">
        <v>2168825.0003999998</v>
      </c>
      <c r="D1750" s="2">
        <v>0.69069999999999998</v>
      </c>
      <c r="E1750" s="3">
        <v>234995</v>
      </c>
      <c r="F1750" s="2">
        <v>162315.37729999999</v>
      </c>
      <c r="G1750" t="s">
        <v>3110</v>
      </c>
      <c r="H1750" t="s">
        <v>3</v>
      </c>
      <c r="I1750">
        <f>HLOOKUP(G1750,zip_tiers!$A$1:$EON$2,2,FALSE)</f>
        <v>66000</v>
      </c>
      <c r="J1750" t="str">
        <f t="shared" si="27"/>
        <v>Med</v>
      </c>
      <c r="K1750">
        <f>dataset[[#This Row],[soda_sales]]/dataset[[#This Row],[soda_units_sold]]</f>
        <v>0.69071842932828353</v>
      </c>
      <c r="L1750" s="29">
        <f>dataset[[#This Row],[implied_soda_ppu]]-dataset[[#This Row],[soda_ppu]]</f>
        <v>1.8429328283553481E-5</v>
      </c>
      <c r="M1750">
        <f>dataset[[#This Row],[soda_sales]]/dataset[[#This Row],[total_sales]]</f>
        <v>7.4840237119206898E-2</v>
      </c>
      <c r="N1750">
        <f>LN(dataset[[#This Row],[soda_units_sold]])</f>
        <v>12.367319516304201</v>
      </c>
      <c r="O1750">
        <f>LN(dataset[[#This Row],[soda_sales]])</f>
        <v>11.997296495163656</v>
      </c>
      <c r="P1750">
        <f>LN(dataset[[#This Row],[soda_ppu]])</f>
        <v>-0.37004970288720984</v>
      </c>
      <c r="Q1750">
        <f>IF(dataset[[#This Row],[state]]="VA",1,0)</f>
        <v>1</v>
      </c>
    </row>
    <row r="1751" spans="1:17" x14ac:dyDescent="0.35">
      <c r="A1751">
        <v>202310</v>
      </c>
      <c r="B1751">
        <v>56</v>
      </c>
      <c r="C1751" s="2">
        <v>2709419.0425999998</v>
      </c>
      <c r="D1751" s="2">
        <v>0.70530000000000004</v>
      </c>
      <c r="E1751" s="3">
        <v>227729</v>
      </c>
      <c r="F1751" s="2">
        <v>160607.50279999999</v>
      </c>
      <c r="G1751" t="s">
        <v>3110</v>
      </c>
      <c r="H1751" t="s">
        <v>3</v>
      </c>
      <c r="I1751">
        <f>HLOOKUP(G1751,zip_tiers!$A$1:$EON$2,2,FALSE)</f>
        <v>66000</v>
      </c>
      <c r="J1751" t="str">
        <f t="shared" si="27"/>
        <v>Med</v>
      </c>
      <c r="K1751">
        <f>dataset[[#This Row],[soda_sales]]/dataset[[#This Row],[soda_units_sold]]</f>
        <v>0.70525713808957136</v>
      </c>
      <c r="L1751" s="29">
        <f>dataset[[#This Row],[implied_soda_ppu]]-dataset[[#This Row],[soda_ppu]]</f>
        <v>-4.2861910428682037E-5</v>
      </c>
      <c r="M1751">
        <f>dataset[[#This Row],[soda_sales]]/dataset[[#This Row],[total_sales]]</f>
        <v>5.9277468813343316E-2</v>
      </c>
      <c r="N1751">
        <f>LN(dataset[[#This Row],[soda_units_sold]])</f>
        <v>12.335911604504306</v>
      </c>
      <c r="O1751">
        <f>LN(dataset[[#This Row],[soda_sales]])</f>
        <v>11.986718796713665</v>
      </c>
      <c r="P1751">
        <f>LN(dataset[[#This Row],[soda_ppu]])</f>
        <v>-0.34913203476800347</v>
      </c>
      <c r="Q1751">
        <f>IF(dataset[[#This Row],[state]]="VA",1,0)</f>
        <v>1</v>
      </c>
    </row>
    <row r="1752" spans="1:17" x14ac:dyDescent="0.35">
      <c r="A1752">
        <v>202311</v>
      </c>
      <c r="B1752">
        <v>56</v>
      </c>
      <c r="C1752" s="2">
        <v>3031282.8544999999</v>
      </c>
      <c r="D1752" s="2">
        <v>0.70089999999999997</v>
      </c>
      <c r="E1752" s="3">
        <v>211602</v>
      </c>
      <c r="F1752" s="2">
        <v>148318.9535</v>
      </c>
      <c r="G1752" t="s">
        <v>3110</v>
      </c>
      <c r="H1752" t="s">
        <v>3</v>
      </c>
      <c r="I1752">
        <f>HLOOKUP(G1752,zip_tiers!$A$1:$EON$2,2,FALSE)</f>
        <v>66000</v>
      </c>
      <c r="J1752" t="str">
        <f t="shared" si="27"/>
        <v>Med</v>
      </c>
      <c r="K1752">
        <f>dataset[[#This Row],[soda_sales]]/dataset[[#This Row],[soda_units_sold]]</f>
        <v>0.70093360885057798</v>
      </c>
      <c r="L1752" s="29">
        <f>dataset[[#This Row],[implied_soda_ppu]]-dataset[[#This Row],[soda_ppu]]</f>
        <v>3.3608850578015215E-5</v>
      </c>
      <c r="M1752">
        <f>dataset[[#This Row],[soda_sales]]/dataset[[#This Row],[total_sales]]</f>
        <v>4.8929433714777738E-2</v>
      </c>
      <c r="N1752">
        <f>LN(dataset[[#This Row],[soda_units_sold]])</f>
        <v>12.262462430717454</v>
      </c>
      <c r="O1752">
        <f>LN(dataset[[#This Row],[soda_sales]])</f>
        <v>11.907120325084392</v>
      </c>
      <c r="P1752">
        <f>LN(dataset[[#This Row],[soda_ppu]])</f>
        <v>-0.355390055475858</v>
      </c>
      <c r="Q1752">
        <f>IF(dataset[[#This Row],[state]]="VA",1,0)</f>
        <v>1</v>
      </c>
    </row>
    <row r="1753" spans="1:17" x14ac:dyDescent="0.35">
      <c r="A1753">
        <v>202312</v>
      </c>
      <c r="B1753">
        <v>56</v>
      </c>
      <c r="C1753" s="2">
        <v>3229066.9564</v>
      </c>
      <c r="D1753" s="2">
        <v>0.68259999999999998</v>
      </c>
      <c r="E1753" s="3">
        <v>217629</v>
      </c>
      <c r="F1753" s="2">
        <v>148559.99069999999</v>
      </c>
      <c r="G1753" t="s">
        <v>3110</v>
      </c>
      <c r="H1753" t="s">
        <v>3</v>
      </c>
      <c r="I1753">
        <f>HLOOKUP(G1753,zip_tiers!$A$1:$EON$2,2,FALSE)</f>
        <v>66000</v>
      </c>
      <c r="J1753" t="str">
        <f t="shared" si="27"/>
        <v>Med</v>
      </c>
      <c r="K1753">
        <f>dataset[[#This Row],[soda_sales]]/dataset[[#This Row],[soda_units_sold]]</f>
        <v>0.68262957004810942</v>
      </c>
      <c r="L1753" s="29">
        <f>dataset[[#This Row],[implied_soda_ppu]]-dataset[[#This Row],[soda_ppu]]</f>
        <v>2.9570048109439639E-5</v>
      </c>
      <c r="M1753">
        <f>dataset[[#This Row],[soda_sales]]/dataset[[#This Row],[total_sales]]</f>
        <v>4.6007095147269889E-2</v>
      </c>
      <c r="N1753">
        <f>LN(dataset[[#This Row],[soda_units_sold]])</f>
        <v>12.290547057142817</v>
      </c>
      <c r="O1753">
        <f>LN(dataset[[#This Row],[soda_sales]])</f>
        <v>11.908744133425616</v>
      </c>
      <c r="P1753">
        <f>LN(dataset[[#This Row],[soda_ppu]])</f>
        <v>-0.38184624250953042</v>
      </c>
      <c r="Q1753">
        <f>IF(dataset[[#This Row],[state]]="VA",1,0)</f>
        <v>1</v>
      </c>
    </row>
    <row r="1754" spans="1:17" x14ac:dyDescent="0.35">
      <c r="A1754">
        <v>202401</v>
      </c>
      <c r="B1754">
        <v>56</v>
      </c>
      <c r="C1754" s="2">
        <v>1839059.8648000001</v>
      </c>
      <c r="D1754" s="2">
        <v>0.69499999999999995</v>
      </c>
      <c r="E1754" s="3">
        <v>156627</v>
      </c>
      <c r="F1754" s="2">
        <v>108861.239</v>
      </c>
      <c r="G1754" t="s">
        <v>3110</v>
      </c>
      <c r="H1754" t="s">
        <v>3</v>
      </c>
      <c r="I1754">
        <f>HLOOKUP(G1754,zip_tiers!$A$1:$EON$2,2,FALSE)</f>
        <v>66000</v>
      </c>
      <c r="J1754" t="str">
        <f t="shared" si="27"/>
        <v>Med</v>
      </c>
      <c r="K1754">
        <f>dataset[[#This Row],[soda_sales]]/dataset[[#This Row],[soda_units_sold]]</f>
        <v>0.6950349492743908</v>
      </c>
      <c r="L1754" s="29">
        <f>dataset[[#This Row],[implied_soda_ppu]]-dataset[[#This Row],[soda_ppu]]</f>
        <v>3.4949274390849716E-5</v>
      </c>
      <c r="M1754">
        <f>dataset[[#This Row],[soda_sales]]/dataset[[#This Row],[total_sales]]</f>
        <v>5.9193961590716777E-2</v>
      </c>
      <c r="N1754">
        <f>LN(dataset[[#This Row],[soda_units_sold]])</f>
        <v>11.961622461470393</v>
      </c>
      <c r="O1754">
        <f>LN(dataset[[#This Row],[soda_sales]])</f>
        <v>11.597829313514456</v>
      </c>
      <c r="P1754">
        <f>LN(dataset[[#This Row],[soda_ppu]])</f>
        <v>-0.36384343341734499</v>
      </c>
      <c r="Q1754">
        <f>IF(dataset[[#This Row],[state]]="VA",1,0)</f>
        <v>1</v>
      </c>
    </row>
    <row r="1755" spans="1:17" x14ac:dyDescent="0.35">
      <c r="A1755">
        <v>202402</v>
      </c>
      <c r="B1755">
        <v>56</v>
      </c>
      <c r="C1755" s="2">
        <v>2067320.9184999999</v>
      </c>
      <c r="D1755" s="2">
        <v>0.70409999999999995</v>
      </c>
      <c r="E1755" s="3">
        <v>173698</v>
      </c>
      <c r="F1755" s="2">
        <v>122300.55160000001</v>
      </c>
      <c r="G1755" t="s">
        <v>3110</v>
      </c>
      <c r="H1755" t="s">
        <v>3</v>
      </c>
      <c r="I1755">
        <f>HLOOKUP(G1755,zip_tiers!$A$1:$EON$2,2,FALSE)</f>
        <v>66000</v>
      </c>
      <c r="J1755" t="str">
        <f t="shared" si="27"/>
        <v>Med</v>
      </c>
      <c r="K1755">
        <f>dataset[[#This Row],[soda_sales]]/dataset[[#This Row],[soda_units_sold]]</f>
        <v>0.70409878985365404</v>
      </c>
      <c r="L1755" s="29">
        <f>dataset[[#This Row],[implied_soda_ppu]]-dataset[[#This Row],[soda_ppu]]</f>
        <v>-1.2101463459091022E-6</v>
      </c>
      <c r="M1755">
        <f>dataset[[#This Row],[soda_sales]]/dataset[[#This Row],[total_sales]]</f>
        <v>5.9158958101550314E-2</v>
      </c>
      <c r="N1755">
        <f>LN(dataset[[#This Row],[soda_units_sold]])</f>
        <v>12.06507343805813</v>
      </c>
      <c r="O1755">
        <f>LN(dataset[[#This Row],[soda_sales]])</f>
        <v>11.714236831885861</v>
      </c>
      <c r="P1755">
        <f>LN(dataset[[#This Row],[soda_ppu]])</f>
        <v>-0.3508348874570496</v>
      </c>
      <c r="Q1755">
        <f>IF(dataset[[#This Row],[state]]="VA",1,0)</f>
        <v>1</v>
      </c>
    </row>
    <row r="1756" spans="1:17" x14ac:dyDescent="0.35">
      <c r="A1756">
        <v>202403</v>
      </c>
      <c r="B1756">
        <v>56</v>
      </c>
      <c r="C1756" s="2">
        <v>2317068.3059999999</v>
      </c>
      <c r="D1756" s="2">
        <v>0.71209999999999996</v>
      </c>
      <c r="E1756" s="3">
        <v>201170</v>
      </c>
      <c r="F1756" s="2">
        <v>143247.40460000001</v>
      </c>
      <c r="G1756" t="s">
        <v>3110</v>
      </c>
      <c r="H1756" t="s">
        <v>3</v>
      </c>
      <c r="I1756">
        <f>HLOOKUP(G1756,zip_tiers!$A$1:$EON$2,2,FALSE)</f>
        <v>66000</v>
      </c>
      <c r="J1756" t="str">
        <f t="shared" si="27"/>
        <v>Med</v>
      </c>
      <c r="K1756">
        <f>dataset[[#This Row],[soda_sales]]/dataset[[#This Row],[soda_units_sold]]</f>
        <v>0.71207140527911716</v>
      </c>
      <c r="L1756" s="29">
        <f>dataset[[#This Row],[implied_soda_ppu]]-dataset[[#This Row],[soda_ppu]]</f>
        <v>-2.8594720882790803E-5</v>
      </c>
      <c r="M1756">
        <f>dataset[[#This Row],[soda_sales]]/dataset[[#This Row],[total_sales]]</f>
        <v>6.1822693888248292E-2</v>
      </c>
      <c r="N1756">
        <f>LN(dataset[[#This Row],[soda_units_sold]])</f>
        <v>12.211905600722618</v>
      </c>
      <c r="O1756">
        <f>LN(dataset[[#This Row],[soda_sales]])</f>
        <v>11.872328516437287</v>
      </c>
      <c r="P1756">
        <f>LN(dataset[[#This Row],[soda_ppu]])</f>
        <v>-0.33953692799405805</v>
      </c>
      <c r="Q1756">
        <f>IF(dataset[[#This Row],[state]]="VA",1,0)</f>
        <v>1</v>
      </c>
    </row>
    <row r="1757" spans="1:17" x14ac:dyDescent="0.35">
      <c r="A1757">
        <v>202404</v>
      </c>
      <c r="B1757">
        <v>56</v>
      </c>
      <c r="C1757" s="2">
        <v>2436278.2673999998</v>
      </c>
      <c r="D1757" s="2">
        <v>0.71789999999999998</v>
      </c>
      <c r="E1757" s="3">
        <v>232760</v>
      </c>
      <c r="F1757" s="2">
        <v>167093.07310000001</v>
      </c>
      <c r="G1757" t="s">
        <v>3110</v>
      </c>
      <c r="H1757" t="s">
        <v>3</v>
      </c>
      <c r="I1757">
        <f>HLOOKUP(G1757,zip_tiers!$A$1:$EON$2,2,FALSE)</f>
        <v>66000</v>
      </c>
      <c r="J1757" t="str">
        <f t="shared" si="27"/>
        <v>Med</v>
      </c>
      <c r="K1757">
        <f>dataset[[#This Row],[soda_sales]]/dataset[[#This Row],[soda_units_sold]]</f>
        <v>0.71787709700979552</v>
      </c>
      <c r="L1757" s="29">
        <f>dataset[[#This Row],[implied_soda_ppu]]-dataset[[#This Row],[soda_ppu]]</f>
        <v>-2.290299020446529E-5</v>
      </c>
      <c r="M1757">
        <f>dataset[[#This Row],[soda_sales]]/dataset[[#This Row],[total_sales]]</f>
        <v>6.858538096238162E-2</v>
      </c>
      <c r="N1757">
        <f>LN(dataset[[#This Row],[soda_units_sold]])</f>
        <v>12.357763158770606</v>
      </c>
      <c r="O1757">
        <f>LN(dataset[[#This Row],[soda_sales]])</f>
        <v>12.026306260103674</v>
      </c>
      <c r="P1757">
        <f>LN(dataset[[#This Row],[soda_ppu]])</f>
        <v>-0.33142499539969977</v>
      </c>
      <c r="Q1757">
        <f>IF(dataset[[#This Row],[state]]="VA",1,0)</f>
        <v>1</v>
      </c>
    </row>
    <row r="1758" spans="1:17" x14ac:dyDescent="0.35">
      <c r="A1758">
        <v>202405</v>
      </c>
      <c r="B1758">
        <v>56</v>
      </c>
      <c r="C1758" s="2">
        <v>2605306.9358000001</v>
      </c>
      <c r="D1758" s="2">
        <v>0.71299999999999997</v>
      </c>
      <c r="E1758" s="3">
        <v>264323</v>
      </c>
      <c r="F1758" s="2">
        <v>188472.28479999999</v>
      </c>
      <c r="G1758" t="s">
        <v>3110</v>
      </c>
      <c r="H1758" t="s">
        <v>3</v>
      </c>
      <c r="I1758">
        <f>HLOOKUP(G1758,zip_tiers!$A$1:$EON$2,2,FALSE)</f>
        <v>66000</v>
      </c>
      <c r="J1758" t="str">
        <f t="shared" si="27"/>
        <v>Med</v>
      </c>
      <c r="K1758">
        <f>dataset[[#This Row],[soda_sales]]/dataset[[#This Row],[soda_units_sold]]</f>
        <v>0.71303777877823726</v>
      </c>
      <c r="L1758" s="29">
        <f>dataset[[#This Row],[implied_soda_ppu]]-dataset[[#This Row],[soda_ppu]]</f>
        <v>3.7778778237296251E-5</v>
      </c>
      <c r="M1758">
        <f>dataset[[#This Row],[soda_sales]]/dataset[[#This Row],[total_sales]]</f>
        <v>7.2341681592355891E-2</v>
      </c>
      <c r="N1758">
        <f>LN(dataset[[#This Row],[soda_units_sold]])</f>
        <v>12.484927119129276</v>
      </c>
      <c r="O1758">
        <f>LN(dataset[[#This Row],[soda_sales]])</f>
        <v>12.14670624482147</v>
      </c>
      <c r="P1758">
        <f>LN(dataset[[#This Row],[soda_ppu]])</f>
        <v>-0.33827385856784115</v>
      </c>
      <c r="Q1758">
        <f>IF(dataset[[#This Row],[state]]="VA",1,0)</f>
        <v>1</v>
      </c>
    </row>
    <row r="1759" spans="1:17" x14ac:dyDescent="0.35">
      <c r="A1759">
        <v>202406</v>
      </c>
      <c r="B1759">
        <v>56</v>
      </c>
      <c r="C1759" s="2">
        <v>2435732.4681000002</v>
      </c>
      <c r="D1759" s="2">
        <v>0.72409999999999997</v>
      </c>
      <c r="E1759" s="3">
        <v>259567</v>
      </c>
      <c r="F1759" s="2">
        <v>187952.6741</v>
      </c>
      <c r="G1759" t="s">
        <v>3110</v>
      </c>
      <c r="H1759" t="s">
        <v>3</v>
      </c>
      <c r="I1759">
        <f>HLOOKUP(G1759,zip_tiers!$A$1:$EON$2,2,FALSE)</f>
        <v>66000</v>
      </c>
      <c r="J1759" t="str">
        <f t="shared" si="27"/>
        <v>Med</v>
      </c>
      <c r="K1759">
        <f>dataset[[#This Row],[soda_sales]]/dataset[[#This Row],[soda_units_sold]]</f>
        <v>0.72410080672812804</v>
      </c>
      <c r="L1759" s="29">
        <f>dataset[[#This Row],[implied_soda_ppu]]-dataset[[#This Row],[soda_ppu]]</f>
        <v>8.067281280776939E-7</v>
      </c>
      <c r="M1759">
        <f>dataset[[#This Row],[soda_sales]]/dataset[[#This Row],[total_sales]]</f>
        <v>7.7164744717063694E-2</v>
      </c>
      <c r="N1759">
        <f>LN(dataset[[#This Row],[soda_units_sold]])</f>
        <v>12.466770137087744</v>
      </c>
      <c r="O1759">
        <f>LN(dataset[[#This Row],[soda_sales]])</f>
        <v>12.143945476611249</v>
      </c>
      <c r="P1759">
        <f>LN(dataset[[#This Row],[soda_ppu]])</f>
        <v>-0.322825774587362</v>
      </c>
      <c r="Q1759">
        <f>IF(dataset[[#This Row],[state]]="VA",1,0)</f>
        <v>1</v>
      </c>
    </row>
    <row r="1760" spans="1:17" x14ac:dyDescent="0.35">
      <c r="A1760">
        <v>202407</v>
      </c>
      <c r="B1760">
        <v>56</v>
      </c>
      <c r="C1760" s="2">
        <v>2365572.8928</v>
      </c>
      <c r="D1760" s="2">
        <v>0.73650000000000004</v>
      </c>
      <c r="E1760" s="3">
        <v>271582</v>
      </c>
      <c r="F1760" s="2">
        <v>200020.64259999999</v>
      </c>
      <c r="G1760" t="s">
        <v>3110</v>
      </c>
      <c r="H1760" t="s">
        <v>3</v>
      </c>
      <c r="I1760">
        <f>HLOOKUP(G1760,zip_tiers!$A$1:$EON$2,2,FALSE)</f>
        <v>66000</v>
      </c>
      <c r="J1760" t="str">
        <f t="shared" si="27"/>
        <v>Med</v>
      </c>
      <c r="K1760">
        <f>dataset[[#This Row],[soda_sales]]/dataset[[#This Row],[soda_units_sold]]</f>
        <v>0.73650183959172544</v>
      </c>
      <c r="L1760" s="29">
        <f>dataset[[#This Row],[implied_soda_ppu]]-dataset[[#This Row],[soda_ppu]]</f>
        <v>1.839591725394385E-6</v>
      </c>
      <c r="M1760">
        <f>dataset[[#This Row],[soda_sales]]/dataset[[#This Row],[total_sales]]</f>
        <v>8.455484217324051E-2</v>
      </c>
      <c r="N1760">
        <f>LN(dataset[[#This Row],[soda_units_sold]])</f>
        <v>12.512019398538211</v>
      </c>
      <c r="O1760">
        <f>LN(dataset[[#This Row],[soda_sales]])</f>
        <v>12.206175853204078</v>
      </c>
      <c r="P1760">
        <f>LN(dataset[[#This Row],[soda_ppu]])</f>
        <v>-0.30584604307945201</v>
      </c>
      <c r="Q1760">
        <f>IF(dataset[[#This Row],[state]]="VA",1,0)</f>
        <v>1</v>
      </c>
    </row>
    <row r="1761" spans="1:17" x14ac:dyDescent="0.35">
      <c r="A1761">
        <v>202408</v>
      </c>
      <c r="B1761">
        <v>56</v>
      </c>
      <c r="C1761" s="2">
        <v>2209011.4465000001</v>
      </c>
      <c r="D1761" s="2">
        <v>0.73809999999999998</v>
      </c>
      <c r="E1761" s="3">
        <v>237847</v>
      </c>
      <c r="F1761" s="2">
        <v>175561.40760000001</v>
      </c>
      <c r="G1761" t="s">
        <v>3110</v>
      </c>
      <c r="H1761" t="s">
        <v>3</v>
      </c>
      <c r="I1761">
        <f>HLOOKUP(G1761,zip_tiers!$A$1:$EON$2,2,FALSE)</f>
        <v>66000</v>
      </c>
      <c r="J1761" t="str">
        <f t="shared" si="27"/>
        <v>Med</v>
      </c>
      <c r="K1761">
        <f>dataset[[#This Row],[soda_sales]]/dataset[[#This Row],[soda_units_sold]]</f>
        <v>0.73812748363443725</v>
      </c>
      <c r="L1761" s="29">
        <f>dataset[[#This Row],[implied_soda_ppu]]-dataset[[#This Row],[soda_ppu]]</f>
        <v>2.7483634437275306E-5</v>
      </c>
      <c r="M1761">
        <f>dataset[[#This Row],[soda_sales]]/dataset[[#This Row],[total_sales]]</f>
        <v>7.9475100900071316E-2</v>
      </c>
      <c r="N1761">
        <f>LN(dataset[[#This Row],[soda_units_sold]])</f>
        <v>12.379382888789502</v>
      </c>
      <c r="O1761">
        <f>LN(dataset[[#This Row],[soda_sales]])</f>
        <v>12.07574416154173</v>
      </c>
      <c r="P1761">
        <f>LN(dataset[[#This Row],[soda_ppu]])</f>
        <v>-0.30367596220613041</v>
      </c>
      <c r="Q1761">
        <f>IF(dataset[[#This Row],[state]]="VA",1,0)</f>
        <v>1</v>
      </c>
    </row>
    <row r="1762" spans="1:17" x14ac:dyDescent="0.35">
      <c r="A1762">
        <v>202409</v>
      </c>
      <c r="B1762">
        <v>56</v>
      </c>
      <c r="C1762" s="2">
        <v>2299547.6060000001</v>
      </c>
      <c r="D1762" s="2">
        <v>0.72070000000000001</v>
      </c>
      <c r="E1762" s="3">
        <v>237907</v>
      </c>
      <c r="F1762" s="2">
        <v>171460.11</v>
      </c>
      <c r="G1762" t="s">
        <v>3110</v>
      </c>
      <c r="H1762" t="s">
        <v>3</v>
      </c>
      <c r="I1762">
        <f>HLOOKUP(G1762,zip_tiers!$A$1:$EON$2,2,FALSE)</f>
        <v>66000</v>
      </c>
      <c r="J1762" t="str">
        <f t="shared" si="27"/>
        <v>Med</v>
      </c>
      <c r="K1762">
        <f>dataset[[#This Row],[soda_sales]]/dataset[[#This Row],[soda_units_sold]]</f>
        <v>0.72070224919821602</v>
      </c>
      <c r="L1762" s="29">
        <f>dataset[[#This Row],[implied_soda_ppu]]-dataset[[#This Row],[soda_ppu]]</f>
        <v>2.2491982160088853E-6</v>
      </c>
      <c r="M1762">
        <f>dataset[[#This Row],[soda_sales]]/dataset[[#This Row],[total_sales]]</f>
        <v>7.4562539845935236E-2</v>
      </c>
      <c r="N1762">
        <f>LN(dataset[[#This Row],[soda_units_sold]])</f>
        <v>12.379635119985952</v>
      </c>
      <c r="O1762">
        <f>LN(dataset[[#This Row],[soda_sales]])</f>
        <v>12.052105923781591</v>
      </c>
      <c r="P1762">
        <f>LN(dataset[[#This Row],[soda_ppu]])</f>
        <v>-0.32753231705174168</v>
      </c>
      <c r="Q1762">
        <f>IF(dataset[[#This Row],[state]]="VA",1,0)</f>
        <v>1</v>
      </c>
    </row>
    <row r="1763" spans="1:17" x14ac:dyDescent="0.35">
      <c r="A1763">
        <v>202410</v>
      </c>
      <c r="B1763">
        <v>56</v>
      </c>
      <c r="C1763" s="2">
        <v>2710271.7933</v>
      </c>
      <c r="D1763" s="2">
        <v>0.747</v>
      </c>
      <c r="E1763" s="3">
        <v>211168</v>
      </c>
      <c r="F1763" s="2">
        <v>157733.4608</v>
      </c>
      <c r="G1763" t="s">
        <v>3110</v>
      </c>
      <c r="H1763" t="s">
        <v>3</v>
      </c>
      <c r="I1763">
        <f>HLOOKUP(G1763,zip_tiers!$A$1:$EON$2,2,FALSE)</f>
        <v>66000</v>
      </c>
      <c r="J1763" t="str">
        <f t="shared" si="27"/>
        <v>Med</v>
      </c>
      <c r="K1763">
        <f>dataset[[#This Row],[soda_sales]]/dataset[[#This Row],[soda_units_sold]]</f>
        <v>0.74695721321412334</v>
      </c>
      <c r="L1763" s="29">
        <f>dataset[[#This Row],[implied_soda_ppu]]-dataset[[#This Row],[soda_ppu]]</f>
        <v>-4.2786785876658406E-5</v>
      </c>
      <c r="M1763">
        <f>dataset[[#This Row],[soda_sales]]/dataset[[#This Row],[total_sales]]</f>
        <v>5.8198392201818737E-2</v>
      </c>
      <c r="N1763">
        <f>LN(dataset[[#This Row],[soda_units_sold]])</f>
        <v>12.260409304183149</v>
      </c>
      <c r="O1763">
        <f>LN(dataset[[#This Row],[soda_sales]])</f>
        <v>11.968661930532894</v>
      </c>
      <c r="P1763">
        <f>LN(dataset[[#This Row],[soda_ppu]])</f>
        <v>-0.29169009384931976</v>
      </c>
      <c r="Q1763">
        <f>IF(dataset[[#This Row],[state]]="VA",1,0)</f>
        <v>1</v>
      </c>
    </row>
    <row r="1764" spans="1:17" x14ac:dyDescent="0.35">
      <c r="A1764">
        <v>202411</v>
      </c>
      <c r="B1764">
        <v>56</v>
      </c>
      <c r="C1764" s="2">
        <v>3131993.4328000001</v>
      </c>
      <c r="D1764" s="2">
        <v>0.76070000000000004</v>
      </c>
      <c r="E1764" s="3">
        <v>203784</v>
      </c>
      <c r="F1764" s="2">
        <v>155026.98929999999</v>
      </c>
      <c r="G1764" t="s">
        <v>3110</v>
      </c>
      <c r="H1764" t="s">
        <v>3</v>
      </c>
      <c r="I1764">
        <f>HLOOKUP(G1764,zip_tiers!$A$1:$EON$2,2,FALSE)</f>
        <v>66000</v>
      </c>
      <c r="J1764" t="str">
        <f t="shared" si="27"/>
        <v>Med</v>
      </c>
      <c r="K1764">
        <f>dataset[[#This Row],[soda_sales]]/dataset[[#This Row],[soda_units_sold]]</f>
        <v>0.76074171328465423</v>
      </c>
      <c r="L1764" s="29">
        <f>dataset[[#This Row],[implied_soda_ppu]]-dataset[[#This Row],[soda_ppu]]</f>
        <v>4.1713284654187888E-5</v>
      </c>
      <c r="M1764">
        <f>dataset[[#This Row],[soda_sales]]/dataset[[#This Row],[total_sales]]</f>
        <v>4.9497865377516437E-2</v>
      </c>
      <c r="N1764">
        <f>LN(dataset[[#This Row],[soda_units_sold]])</f>
        <v>12.22481588834731</v>
      </c>
      <c r="O1764">
        <f>LN(dataset[[#This Row],[soda_sales]])</f>
        <v>11.951354505259598</v>
      </c>
      <c r="P1764">
        <f>LN(dataset[[#This Row],[soda_ppu]])</f>
        <v>-0.27351621697888151</v>
      </c>
      <c r="Q1764">
        <f>IF(dataset[[#This Row],[state]]="VA",1,0)</f>
        <v>1</v>
      </c>
    </row>
    <row r="1765" spans="1:17" x14ac:dyDescent="0.35">
      <c r="A1765">
        <v>202412</v>
      </c>
      <c r="B1765">
        <v>56</v>
      </c>
      <c r="C1765" s="2">
        <v>3308914.2127999999</v>
      </c>
      <c r="D1765" s="2">
        <v>0.73119999999999996</v>
      </c>
      <c r="E1765" s="3">
        <v>203152</v>
      </c>
      <c r="F1765" s="2">
        <v>148539.0681</v>
      </c>
      <c r="G1765" t="s">
        <v>3110</v>
      </c>
      <c r="H1765" t="s">
        <v>3</v>
      </c>
      <c r="I1765">
        <f>HLOOKUP(G1765,zip_tiers!$A$1:$EON$2,2,FALSE)</f>
        <v>66000</v>
      </c>
      <c r="J1765" t="str">
        <f t="shared" si="27"/>
        <v>Med</v>
      </c>
      <c r="K1765">
        <f>dataset[[#This Row],[soda_sales]]/dataset[[#This Row],[soda_units_sold]]</f>
        <v>0.73117206869733009</v>
      </c>
      <c r="L1765" s="29">
        <f>dataset[[#This Row],[implied_soda_ppu]]-dataset[[#This Row],[soda_ppu]]</f>
        <v>-2.7931302669870206E-5</v>
      </c>
      <c r="M1765">
        <f>dataset[[#This Row],[soda_sales]]/dataset[[#This Row],[total_sales]]</f>
        <v>4.489057695282659E-2</v>
      </c>
      <c r="N1765">
        <f>LN(dataset[[#This Row],[soda_units_sold]])</f>
        <v>12.221709746309573</v>
      </c>
      <c r="O1765">
        <f>LN(dataset[[#This Row],[soda_sales]])</f>
        <v>11.908603287472626</v>
      </c>
      <c r="P1765">
        <f>LN(dataset[[#This Row],[soda_ppu]])</f>
        <v>-0.31306825884219686</v>
      </c>
      <c r="Q1765">
        <f>IF(dataset[[#This Row],[state]]="VA",1,0)</f>
        <v>1</v>
      </c>
    </row>
    <row r="1766" spans="1:17" x14ac:dyDescent="0.35">
      <c r="A1766">
        <v>202201</v>
      </c>
      <c r="B1766">
        <v>97</v>
      </c>
      <c r="C1766" s="2">
        <v>1288201.0482999999</v>
      </c>
      <c r="D1766" s="2">
        <v>0.71589999999999998</v>
      </c>
      <c r="E1766" s="3">
        <v>115092</v>
      </c>
      <c r="F1766" s="2">
        <v>82398.574299999993</v>
      </c>
      <c r="G1766" t="s">
        <v>3135</v>
      </c>
      <c r="H1766" t="s">
        <v>3</v>
      </c>
      <c r="I1766">
        <f>HLOOKUP(G1766,zip_tiers!$A$1:$EON$2,2,FALSE)</f>
        <v>25878</v>
      </c>
      <c r="J1766" t="str">
        <f t="shared" si="27"/>
        <v>Low</v>
      </c>
      <c r="K1766">
        <f>dataset[[#This Row],[soda_sales]]/dataset[[#This Row],[soda_units_sold]]</f>
        <v>0.71593659246515828</v>
      </c>
      <c r="L1766" s="29">
        <f>dataset[[#This Row],[implied_soda_ppu]]-dataset[[#This Row],[soda_ppu]]</f>
        <v>3.6592465158302723E-5</v>
      </c>
      <c r="M1766">
        <f>dataset[[#This Row],[soda_sales]]/dataset[[#This Row],[total_sales]]</f>
        <v>6.3964064001297713E-2</v>
      </c>
      <c r="N1766">
        <f>LN(dataset[[#This Row],[soda_units_sold]])</f>
        <v>11.653487087515952</v>
      </c>
      <c r="O1766">
        <f>LN(dataset[[#This Row],[soda_sales]])</f>
        <v>11.319323413563412</v>
      </c>
      <c r="P1766">
        <f>LN(dataset[[#This Row],[soda_ppu]])</f>
        <v>-0.33421478657999776</v>
      </c>
      <c r="Q1766">
        <f>IF(dataset[[#This Row],[state]]="VA",1,0)</f>
        <v>1</v>
      </c>
    </row>
    <row r="1767" spans="1:17" x14ac:dyDescent="0.35">
      <c r="A1767">
        <v>202202</v>
      </c>
      <c r="B1767">
        <v>97</v>
      </c>
      <c r="C1767" s="2">
        <v>1447274.8813</v>
      </c>
      <c r="D1767" s="2">
        <v>0.71740000000000004</v>
      </c>
      <c r="E1767" s="3">
        <v>131754</v>
      </c>
      <c r="F1767" s="2">
        <v>94522.808300000004</v>
      </c>
      <c r="G1767" t="s">
        <v>3135</v>
      </c>
      <c r="H1767" t="s">
        <v>3</v>
      </c>
      <c r="I1767">
        <f>HLOOKUP(G1767,zip_tiers!$A$1:$EON$2,2,FALSE)</f>
        <v>25878</v>
      </c>
      <c r="J1767" t="str">
        <f t="shared" si="27"/>
        <v>Low</v>
      </c>
      <c r="K1767">
        <f>dataset[[#This Row],[soda_sales]]/dataset[[#This Row],[soda_units_sold]]</f>
        <v>0.71741888899008766</v>
      </c>
      <c r="L1767" s="29">
        <f>dataset[[#This Row],[implied_soda_ppu]]-dataset[[#This Row],[soda_ppu]]</f>
        <v>1.8888990087617685E-5</v>
      </c>
      <c r="M1767">
        <f>dataset[[#This Row],[soda_sales]]/dataset[[#This Row],[total_sales]]</f>
        <v>6.5310888429913089E-2</v>
      </c>
      <c r="N1767">
        <f>LN(dataset[[#This Row],[soda_units_sold]])</f>
        <v>11.788691826474047</v>
      </c>
      <c r="O1767">
        <f>LN(dataset[[#This Row],[soda_sales]])</f>
        <v>11.456596442031715</v>
      </c>
      <c r="P1767">
        <f>LN(dataset[[#This Row],[soda_ppu]])</f>
        <v>-0.33212171388395478</v>
      </c>
      <c r="Q1767">
        <f>IF(dataset[[#This Row],[state]]="VA",1,0)</f>
        <v>1</v>
      </c>
    </row>
    <row r="1768" spans="1:17" x14ac:dyDescent="0.35">
      <c r="A1768">
        <v>202203</v>
      </c>
      <c r="B1768">
        <v>97</v>
      </c>
      <c r="C1768" s="2">
        <v>1587708.5660999999</v>
      </c>
      <c r="D1768" s="2">
        <v>0.73429999999999995</v>
      </c>
      <c r="E1768" s="3">
        <v>144939</v>
      </c>
      <c r="F1768" s="2">
        <v>106423.0077</v>
      </c>
      <c r="G1768" t="s">
        <v>3135</v>
      </c>
      <c r="H1768" t="s">
        <v>3</v>
      </c>
      <c r="I1768">
        <f>HLOOKUP(G1768,zip_tiers!$A$1:$EON$2,2,FALSE)</f>
        <v>25878</v>
      </c>
      <c r="J1768" t="str">
        <f t="shared" si="27"/>
        <v>Low</v>
      </c>
      <c r="K1768">
        <f>dataset[[#This Row],[soda_sales]]/dataset[[#This Row],[soda_units_sold]]</f>
        <v>0.73426067311075693</v>
      </c>
      <c r="L1768" s="29">
        <f>dataset[[#This Row],[implied_soda_ppu]]-dataset[[#This Row],[soda_ppu]]</f>
        <v>-3.9326889243018748E-5</v>
      </c>
      <c r="M1768">
        <f>dataset[[#This Row],[soda_sales]]/dataset[[#This Row],[total_sales]]</f>
        <v>6.7029308761251002E-2</v>
      </c>
      <c r="N1768">
        <f>LN(dataset[[#This Row],[soda_units_sold]])</f>
        <v>11.88406824323282</v>
      </c>
      <c r="O1768">
        <f>LN(dataset[[#This Row],[soda_sales]])</f>
        <v>11.575177070295616</v>
      </c>
      <c r="P1768">
        <f>LN(dataset[[#This Row],[soda_ppu]])</f>
        <v>-0.30883761452457231</v>
      </c>
      <c r="Q1768">
        <f>IF(dataset[[#This Row],[state]]="VA",1,0)</f>
        <v>1</v>
      </c>
    </row>
    <row r="1769" spans="1:17" x14ac:dyDescent="0.35">
      <c r="A1769">
        <v>202204</v>
      </c>
      <c r="B1769">
        <v>97</v>
      </c>
      <c r="C1769" s="2">
        <v>1666788.7208</v>
      </c>
      <c r="D1769" s="2">
        <v>0.70030000000000003</v>
      </c>
      <c r="E1769" s="3">
        <v>188763</v>
      </c>
      <c r="F1769" s="2">
        <v>132198.47289999999</v>
      </c>
      <c r="G1769" t="s">
        <v>3135</v>
      </c>
      <c r="H1769" t="s">
        <v>3</v>
      </c>
      <c r="I1769">
        <f>HLOOKUP(G1769,zip_tiers!$A$1:$EON$2,2,FALSE)</f>
        <v>25878</v>
      </c>
      <c r="J1769" t="str">
        <f t="shared" si="27"/>
        <v>Low</v>
      </c>
      <c r="K1769">
        <f>dataset[[#This Row],[soda_sales]]/dataset[[#This Row],[soda_units_sold]]</f>
        <v>0.7003410249890073</v>
      </c>
      <c r="L1769" s="29">
        <f>dataset[[#This Row],[implied_soda_ppu]]-dataset[[#This Row],[soda_ppu]]</f>
        <v>4.1024989007265589E-5</v>
      </c>
      <c r="M1769">
        <f>dataset[[#This Row],[soda_sales]]/dataset[[#This Row],[total_sales]]</f>
        <v>7.9313275432143171E-2</v>
      </c>
      <c r="N1769">
        <f>LN(dataset[[#This Row],[soda_units_sold]])</f>
        <v>12.14824753891174</v>
      </c>
      <c r="O1769">
        <f>LN(dataset[[#This Row],[soda_sales]])</f>
        <v>11.792059654895787</v>
      </c>
      <c r="P1769">
        <f>LN(dataset[[#This Row],[soda_ppu]])</f>
        <v>-0.35624646432066498</v>
      </c>
      <c r="Q1769">
        <f>IF(dataset[[#This Row],[state]]="VA",1,0)</f>
        <v>1</v>
      </c>
    </row>
    <row r="1770" spans="1:17" x14ac:dyDescent="0.35">
      <c r="A1770">
        <v>202205</v>
      </c>
      <c r="B1770">
        <v>97</v>
      </c>
      <c r="C1770" s="2">
        <v>1783878.2825</v>
      </c>
      <c r="D1770" s="2">
        <v>0.72030000000000005</v>
      </c>
      <c r="E1770" s="3">
        <v>197345</v>
      </c>
      <c r="F1770" s="2">
        <v>142154.27299999999</v>
      </c>
      <c r="G1770" t="s">
        <v>3135</v>
      </c>
      <c r="H1770" t="s">
        <v>3</v>
      </c>
      <c r="I1770">
        <f>HLOOKUP(G1770,zip_tiers!$A$1:$EON$2,2,FALSE)</f>
        <v>25878</v>
      </c>
      <c r="J1770" t="str">
        <f t="shared" si="27"/>
        <v>Low</v>
      </c>
      <c r="K1770">
        <f>dataset[[#This Row],[soda_sales]]/dataset[[#This Row],[soda_units_sold]]</f>
        <v>0.72033379614380899</v>
      </c>
      <c r="L1770" s="29">
        <f>dataset[[#This Row],[implied_soda_ppu]]-dataset[[#This Row],[soda_ppu]]</f>
        <v>3.3796143808939583E-5</v>
      </c>
      <c r="M1770">
        <f>dataset[[#This Row],[soda_sales]]/dataset[[#This Row],[total_sales]]</f>
        <v>7.9688325372053503E-2</v>
      </c>
      <c r="N1770">
        <f>LN(dataset[[#This Row],[soda_units_sold]])</f>
        <v>12.192708745072041</v>
      </c>
      <c r="O1770">
        <f>LN(dataset[[#This Row],[soda_sales]])</f>
        <v>11.864668176423349</v>
      </c>
      <c r="P1770">
        <f>LN(dataset[[#This Row],[soda_ppu]])</f>
        <v>-0.32808748708681973</v>
      </c>
      <c r="Q1770">
        <f>IF(dataset[[#This Row],[state]]="VA",1,0)</f>
        <v>1</v>
      </c>
    </row>
    <row r="1771" spans="1:17" x14ac:dyDescent="0.35">
      <c r="A1771">
        <v>202206</v>
      </c>
      <c r="B1771">
        <v>97</v>
      </c>
      <c r="C1771" s="2">
        <v>1675554.2275</v>
      </c>
      <c r="D1771" s="2">
        <v>0.72360000000000002</v>
      </c>
      <c r="E1771" s="3">
        <v>201187</v>
      </c>
      <c r="F1771" s="2">
        <v>145578.34270000001</v>
      </c>
      <c r="G1771" t="s">
        <v>3135</v>
      </c>
      <c r="H1771" t="s">
        <v>3</v>
      </c>
      <c r="I1771">
        <f>HLOOKUP(G1771,zip_tiers!$A$1:$EON$2,2,FALSE)</f>
        <v>25878</v>
      </c>
      <c r="J1771" t="str">
        <f t="shared" si="27"/>
        <v>Low</v>
      </c>
      <c r="K1771">
        <f>dataset[[#This Row],[soda_sales]]/dataset[[#This Row],[soda_units_sold]]</f>
        <v>0.72359716432970322</v>
      </c>
      <c r="L1771" s="29">
        <f>dataset[[#This Row],[implied_soda_ppu]]-dataset[[#This Row],[soda_ppu]]</f>
        <v>-2.8356702967968772E-6</v>
      </c>
      <c r="M1771">
        <f>dataset[[#This Row],[soda_sales]]/dataset[[#This Row],[total_sales]]</f>
        <v>8.6883695144387679E-2</v>
      </c>
      <c r="N1771">
        <f>LN(dataset[[#This Row],[soda_units_sold]])</f>
        <v>12.211990102794211</v>
      </c>
      <c r="O1771">
        <f>LN(dataset[[#This Row],[soda_sales]])</f>
        <v>11.888469658488752</v>
      </c>
      <c r="P1771">
        <f>LN(dataset[[#This Row],[soda_ppu]])</f>
        <v>-0.32351652546099696</v>
      </c>
      <c r="Q1771">
        <f>IF(dataset[[#This Row],[state]]="VA",1,0)</f>
        <v>1</v>
      </c>
    </row>
    <row r="1772" spans="1:17" x14ac:dyDescent="0.35">
      <c r="A1772">
        <v>202207</v>
      </c>
      <c r="B1772">
        <v>97</v>
      </c>
      <c r="C1772" s="2">
        <v>1603185.9051999999</v>
      </c>
      <c r="D1772" s="2">
        <v>0.73080000000000001</v>
      </c>
      <c r="E1772" s="3">
        <v>202171</v>
      </c>
      <c r="F1772" s="2">
        <v>147736.6213</v>
      </c>
      <c r="G1772" t="s">
        <v>3135</v>
      </c>
      <c r="H1772" t="s">
        <v>3</v>
      </c>
      <c r="I1772">
        <f>HLOOKUP(G1772,zip_tiers!$A$1:$EON$2,2,FALSE)</f>
        <v>25878</v>
      </c>
      <c r="J1772" t="str">
        <f t="shared" si="27"/>
        <v>Low</v>
      </c>
      <c r="K1772">
        <f>dataset[[#This Row],[soda_sales]]/dataset[[#This Row],[soda_units_sold]]</f>
        <v>0.7307508064954914</v>
      </c>
      <c r="L1772" s="29">
        <f>dataset[[#This Row],[implied_soda_ppu]]-dataset[[#This Row],[soda_ppu]]</f>
        <v>-4.9193504508604491E-5</v>
      </c>
      <c r="M1772">
        <f>dataset[[#This Row],[soda_sales]]/dataset[[#This Row],[total_sales]]</f>
        <v>9.2151896308974621E-2</v>
      </c>
      <c r="N1772">
        <f>LN(dataset[[#This Row],[soda_units_sold]])</f>
        <v>12.216869152928433</v>
      </c>
      <c r="O1772">
        <f>LN(dataset[[#This Row],[soda_sales]])</f>
        <v>11.903186381591496</v>
      </c>
      <c r="P1772">
        <f>LN(dataset[[#This Row],[soda_ppu]])</f>
        <v>-0.31361545447828537</v>
      </c>
      <c r="Q1772">
        <f>IF(dataset[[#This Row],[state]]="VA",1,0)</f>
        <v>1</v>
      </c>
    </row>
    <row r="1773" spans="1:17" x14ac:dyDescent="0.35">
      <c r="A1773">
        <v>202208</v>
      </c>
      <c r="B1773">
        <v>97</v>
      </c>
      <c r="C1773" s="2">
        <v>1540260.4575</v>
      </c>
      <c r="D1773" s="2">
        <v>0.71360000000000001</v>
      </c>
      <c r="E1773" s="3">
        <v>190502</v>
      </c>
      <c r="F1773" s="2">
        <v>135943.8224</v>
      </c>
      <c r="G1773" t="s">
        <v>3135</v>
      </c>
      <c r="H1773" t="s">
        <v>3</v>
      </c>
      <c r="I1773">
        <f>HLOOKUP(G1773,zip_tiers!$A$1:$EON$2,2,FALSE)</f>
        <v>25878</v>
      </c>
      <c r="J1773" t="str">
        <f t="shared" si="27"/>
        <v>Low</v>
      </c>
      <c r="K1773">
        <f>dataset[[#This Row],[soda_sales]]/dataset[[#This Row],[soda_units_sold]]</f>
        <v>0.71360837366536833</v>
      </c>
      <c r="L1773" s="29">
        <f>dataset[[#This Row],[implied_soda_ppu]]-dataset[[#This Row],[soda_ppu]]</f>
        <v>8.3736653683219586E-6</v>
      </c>
      <c r="M1773">
        <f>dataset[[#This Row],[soda_sales]]/dataset[[#This Row],[total_sales]]</f>
        <v>8.8260282043889318E-2</v>
      </c>
      <c r="N1773">
        <f>LN(dataset[[#This Row],[soda_units_sold]])</f>
        <v>12.157417972181445</v>
      </c>
      <c r="O1773">
        <f>LN(dataset[[#This Row],[soda_sales]])</f>
        <v>11.819997008792797</v>
      </c>
      <c r="P1773">
        <f>LN(dataset[[#This Row],[soda_ppu]])</f>
        <v>-0.33743269771633744</v>
      </c>
      <c r="Q1773">
        <f>IF(dataset[[#This Row],[state]]="VA",1,0)</f>
        <v>1</v>
      </c>
    </row>
    <row r="1774" spans="1:17" x14ac:dyDescent="0.35">
      <c r="A1774">
        <v>202209</v>
      </c>
      <c r="B1774">
        <v>97</v>
      </c>
      <c r="C1774" s="2">
        <v>1523257.3049000001</v>
      </c>
      <c r="D1774" s="2">
        <v>0.73460000000000003</v>
      </c>
      <c r="E1774" s="3">
        <v>167682</v>
      </c>
      <c r="F1774" s="2">
        <v>123171.9173</v>
      </c>
      <c r="G1774" t="s">
        <v>3135</v>
      </c>
      <c r="H1774" t="s">
        <v>3</v>
      </c>
      <c r="I1774">
        <f>HLOOKUP(G1774,zip_tiers!$A$1:$EON$2,2,FALSE)</f>
        <v>25878</v>
      </c>
      <c r="J1774" t="str">
        <f t="shared" si="27"/>
        <v>Low</v>
      </c>
      <c r="K1774">
        <f>dataset[[#This Row],[soda_sales]]/dataset[[#This Row],[soda_units_sold]]</f>
        <v>0.73455658508367028</v>
      </c>
      <c r="L1774" s="29">
        <f>dataset[[#This Row],[implied_soda_ppu]]-dataset[[#This Row],[soda_ppu]]</f>
        <v>-4.3414916329753694E-5</v>
      </c>
      <c r="M1774">
        <f>dataset[[#This Row],[soda_sales]]/dataset[[#This Row],[total_sales]]</f>
        <v>8.086087419622523E-2</v>
      </c>
      <c r="N1774">
        <f>LN(dataset[[#This Row],[soda_units_sold]])</f>
        <v>12.029824607524599</v>
      </c>
      <c r="O1774">
        <f>LN(dataset[[#This Row],[soda_sales]])</f>
        <v>11.721336360104869</v>
      </c>
      <c r="P1774">
        <f>LN(dataset[[#This Row],[soda_ppu]])</f>
        <v>-0.30842914559657009</v>
      </c>
      <c r="Q1774">
        <f>IF(dataset[[#This Row],[state]]="VA",1,0)</f>
        <v>1</v>
      </c>
    </row>
    <row r="1775" spans="1:17" x14ac:dyDescent="0.35">
      <c r="A1775">
        <v>202210</v>
      </c>
      <c r="B1775">
        <v>97</v>
      </c>
      <c r="C1775" s="2">
        <v>1875158.1845</v>
      </c>
      <c r="D1775" s="2">
        <v>0.71379999999999999</v>
      </c>
      <c r="E1775" s="3">
        <v>174777</v>
      </c>
      <c r="F1775" s="2">
        <v>124754.387</v>
      </c>
      <c r="G1775" t="s">
        <v>3135</v>
      </c>
      <c r="H1775" t="s">
        <v>3</v>
      </c>
      <c r="I1775">
        <f>HLOOKUP(G1775,zip_tiers!$A$1:$EON$2,2,FALSE)</f>
        <v>25878</v>
      </c>
      <c r="J1775" t="str">
        <f t="shared" si="27"/>
        <v>Low</v>
      </c>
      <c r="K1775">
        <f>dataset[[#This Row],[soda_sales]]/dataset[[#This Row],[soda_units_sold]]</f>
        <v>0.71379178610457894</v>
      </c>
      <c r="L1775" s="29">
        <f>dataset[[#This Row],[implied_soda_ppu]]-dataset[[#This Row],[soda_ppu]]</f>
        <v>-8.2138954210497772E-6</v>
      </c>
      <c r="M1775">
        <f>dataset[[#This Row],[soda_sales]]/dataset[[#This Row],[total_sales]]</f>
        <v>6.6530060253698023E-2</v>
      </c>
      <c r="N1775">
        <f>LN(dataset[[#This Row],[soda_units_sold]])</f>
        <v>12.071266154598934</v>
      </c>
      <c r="O1775">
        <f>LN(dataset[[#This Row],[soda_sales]])</f>
        <v>11.73410217932811</v>
      </c>
      <c r="P1775">
        <f>LN(dataset[[#This Row],[soda_ppu]])</f>
        <v>-0.33715246792607712</v>
      </c>
      <c r="Q1775">
        <f>IF(dataset[[#This Row],[state]]="VA",1,0)</f>
        <v>1</v>
      </c>
    </row>
    <row r="1776" spans="1:17" x14ac:dyDescent="0.35">
      <c r="A1776">
        <v>202211</v>
      </c>
      <c r="B1776">
        <v>97</v>
      </c>
      <c r="C1776" s="2">
        <v>2114784.2884</v>
      </c>
      <c r="D1776" s="2">
        <v>0.70350000000000001</v>
      </c>
      <c r="E1776" s="3">
        <v>171027</v>
      </c>
      <c r="F1776" s="2">
        <v>120312.48510000001</v>
      </c>
      <c r="G1776" t="s">
        <v>3135</v>
      </c>
      <c r="H1776" t="s">
        <v>3</v>
      </c>
      <c r="I1776">
        <f>HLOOKUP(G1776,zip_tiers!$A$1:$EON$2,2,FALSE)</f>
        <v>25878</v>
      </c>
      <c r="J1776" t="str">
        <f t="shared" si="27"/>
        <v>Low</v>
      </c>
      <c r="K1776">
        <f>dataset[[#This Row],[soda_sales]]/dataset[[#This Row],[soda_units_sold]]</f>
        <v>0.70347070988791249</v>
      </c>
      <c r="L1776" s="29">
        <f>dataset[[#This Row],[implied_soda_ppu]]-dataset[[#This Row],[soda_ppu]]</f>
        <v>-2.9290112087521081E-5</v>
      </c>
      <c r="M1776">
        <f>dataset[[#This Row],[soda_sales]]/dataset[[#This Row],[total_sales]]</f>
        <v>5.6891138145832278E-2</v>
      </c>
      <c r="N1776">
        <f>LN(dataset[[#This Row],[soda_units_sold]])</f>
        <v>12.049576717757578</v>
      </c>
      <c r="O1776">
        <f>LN(dataset[[#This Row],[soda_sales]])</f>
        <v>11.697847679620077</v>
      </c>
      <c r="P1776">
        <f>LN(dataset[[#This Row],[soda_ppu]])</f>
        <v>-0.35168740242769331</v>
      </c>
      <c r="Q1776">
        <f>IF(dataset[[#This Row],[state]]="VA",1,0)</f>
        <v>1</v>
      </c>
    </row>
    <row r="1777" spans="1:17" x14ac:dyDescent="0.35">
      <c r="A1777">
        <v>202212</v>
      </c>
      <c r="B1777">
        <v>97</v>
      </c>
      <c r="C1777" s="2">
        <v>2195118.9134999998</v>
      </c>
      <c r="D1777" s="2">
        <v>0.74729999999999996</v>
      </c>
      <c r="E1777" s="3">
        <v>136816</v>
      </c>
      <c r="F1777" s="2">
        <v>102246.26360000001</v>
      </c>
      <c r="G1777" t="s">
        <v>3135</v>
      </c>
      <c r="H1777" t="s">
        <v>3</v>
      </c>
      <c r="I1777">
        <f>HLOOKUP(G1777,zip_tiers!$A$1:$EON$2,2,FALSE)</f>
        <v>25878</v>
      </c>
      <c r="J1777" t="str">
        <f t="shared" si="27"/>
        <v>Low</v>
      </c>
      <c r="K1777">
        <f>dataset[[#This Row],[soda_sales]]/dataset[[#This Row],[soda_units_sold]]</f>
        <v>0.74732680095895221</v>
      </c>
      <c r="L1777" s="29">
        <f>dataset[[#This Row],[implied_soda_ppu]]-dataset[[#This Row],[soda_ppu]]</f>
        <v>2.6800958952244436E-5</v>
      </c>
      <c r="M1777">
        <f>dataset[[#This Row],[soda_sales]]/dataset[[#This Row],[total_sales]]</f>
        <v>4.6578917876013287E-2</v>
      </c>
      <c r="N1777">
        <f>LN(dataset[[#This Row],[soda_units_sold]])</f>
        <v>11.826392236395737</v>
      </c>
      <c r="O1777">
        <f>LN(dataset[[#This Row],[soda_sales]])</f>
        <v>11.535139531428088</v>
      </c>
      <c r="P1777">
        <f>LN(dataset[[#This Row],[soda_ppu]])</f>
        <v>-0.29128856804589265</v>
      </c>
      <c r="Q1777">
        <f>IF(dataset[[#This Row],[state]]="VA",1,0)</f>
        <v>1</v>
      </c>
    </row>
    <row r="1778" spans="1:17" x14ac:dyDescent="0.35">
      <c r="A1778">
        <v>202301</v>
      </c>
      <c r="B1778">
        <v>97</v>
      </c>
      <c r="C1778" s="2">
        <v>1286240.9598999999</v>
      </c>
      <c r="D1778" s="2">
        <v>0.7198</v>
      </c>
      <c r="E1778" s="3">
        <v>120057</v>
      </c>
      <c r="F1778" s="2">
        <v>86411.079899999997</v>
      </c>
      <c r="G1778" t="s">
        <v>3135</v>
      </c>
      <c r="H1778" t="s">
        <v>3</v>
      </c>
      <c r="I1778">
        <f>HLOOKUP(G1778,zip_tiers!$A$1:$EON$2,2,FALSE)</f>
        <v>25878</v>
      </c>
      <c r="J1778" t="str">
        <f t="shared" si="27"/>
        <v>Low</v>
      </c>
      <c r="K1778">
        <f>dataset[[#This Row],[soda_sales]]/dataset[[#This Row],[soda_units_sold]]</f>
        <v>0.71975045103575797</v>
      </c>
      <c r="L1778" s="29">
        <f>dataset[[#This Row],[implied_soda_ppu]]-dataset[[#This Row],[soda_ppu]]</f>
        <v>-4.9548964242029925E-5</v>
      </c>
      <c r="M1778">
        <f>dataset[[#This Row],[soda_sales]]/dataset[[#This Row],[total_sales]]</f>
        <v>6.7181097938848189E-2</v>
      </c>
      <c r="N1778">
        <f>LN(dataset[[#This Row],[soda_units_sold]])</f>
        <v>11.695721908987394</v>
      </c>
      <c r="O1778">
        <f>LN(dataset[[#This Row],[soda_sales]])</f>
        <v>11.366871186153487</v>
      </c>
      <c r="P1778">
        <f>LN(dataset[[#This Row],[soda_ppu]])</f>
        <v>-0.32878188333720676</v>
      </c>
      <c r="Q1778">
        <f>IF(dataset[[#This Row],[state]]="VA",1,0)</f>
        <v>1</v>
      </c>
    </row>
    <row r="1779" spans="1:17" x14ac:dyDescent="0.35">
      <c r="A1779">
        <v>202302</v>
      </c>
      <c r="B1779">
        <v>97</v>
      </c>
      <c r="C1779" s="2">
        <v>1453964.0499</v>
      </c>
      <c r="D1779" s="2">
        <v>0.71250000000000002</v>
      </c>
      <c r="E1779" s="3">
        <v>139955</v>
      </c>
      <c r="F1779" s="2">
        <v>99724.862399999998</v>
      </c>
      <c r="G1779" t="s">
        <v>3135</v>
      </c>
      <c r="H1779" t="s">
        <v>3</v>
      </c>
      <c r="I1779">
        <f>HLOOKUP(G1779,zip_tiers!$A$1:$EON$2,2,FALSE)</f>
        <v>25878</v>
      </c>
      <c r="J1779" t="str">
        <f t="shared" si="27"/>
        <v>Low</v>
      </c>
      <c r="K1779">
        <f>dataset[[#This Row],[soda_sales]]/dataset[[#This Row],[soda_units_sold]]</f>
        <v>0.7125494794755457</v>
      </c>
      <c r="L1779" s="29">
        <f>dataset[[#This Row],[implied_soda_ppu]]-dataset[[#This Row],[soda_ppu]]</f>
        <v>4.9479475545677332E-5</v>
      </c>
      <c r="M1779">
        <f>dataset[[#This Row],[soda_sales]]/dataset[[#This Row],[total_sales]]</f>
        <v>6.8588258703410732E-2</v>
      </c>
      <c r="N1779">
        <f>LN(dataset[[#This Row],[soda_units_sold]])</f>
        <v>11.849076221350778</v>
      </c>
      <c r="O1779">
        <f>LN(dataset[[#This Row],[soda_sales]])</f>
        <v>11.51017029697822</v>
      </c>
      <c r="P1779">
        <f>LN(dataset[[#This Row],[soda_ppu]])</f>
        <v>-0.33897536683933144</v>
      </c>
      <c r="Q1779">
        <f>IF(dataset[[#This Row],[state]]="VA",1,0)</f>
        <v>1</v>
      </c>
    </row>
    <row r="1780" spans="1:17" x14ac:dyDescent="0.35">
      <c r="A1780">
        <v>202303</v>
      </c>
      <c r="B1780">
        <v>97</v>
      </c>
      <c r="C1780" s="2">
        <v>1648633.7091000001</v>
      </c>
      <c r="D1780" s="2">
        <v>0.72499999999999998</v>
      </c>
      <c r="E1780" s="3">
        <v>161850</v>
      </c>
      <c r="F1780" s="2">
        <v>117337.4936</v>
      </c>
      <c r="G1780" t="s">
        <v>3135</v>
      </c>
      <c r="H1780" t="s">
        <v>3</v>
      </c>
      <c r="I1780">
        <f>HLOOKUP(G1780,zip_tiers!$A$1:$EON$2,2,FALSE)</f>
        <v>25878</v>
      </c>
      <c r="J1780" t="str">
        <f t="shared" si="27"/>
        <v>Low</v>
      </c>
      <c r="K1780">
        <f>dataset[[#This Row],[soda_sales]]/dataset[[#This Row],[soda_units_sold]]</f>
        <v>0.72497679085573064</v>
      </c>
      <c r="L1780" s="29">
        <f>dataset[[#This Row],[implied_soda_ppu]]-dataset[[#This Row],[soda_ppu]]</f>
        <v>-2.320914426934273E-5</v>
      </c>
      <c r="M1780">
        <f>dataset[[#This Row],[soda_sales]]/dataset[[#This Row],[total_sales]]</f>
        <v>7.1172567291527294E-2</v>
      </c>
      <c r="N1780">
        <f>LN(dataset[[#This Row],[soda_units_sold]])</f>
        <v>11.99442525935439</v>
      </c>
      <c r="O1780">
        <f>LN(dataset[[#This Row],[soda_sales]])</f>
        <v>11.672809622101727</v>
      </c>
      <c r="P1780">
        <f>LN(dataset[[#This Row],[soda_ppu]])</f>
        <v>-0.32158362412746233</v>
      </c>
      <c r="Q1780">
        <f>IF(dataset[[#This Row],[state]]="VA",1,0)</f>
        <v>1</v>
      </c>
    </row>
    <row r="1781" spans="1:17" x14ac:dyDescent="0.35">
      <c r="A1781">
        <v>202304</v>
      </c>
      <c r="B1781">
        <v>97</v>
      </c>
      <c r="C1781" s="2">
        <v>1712913.0127000001</v>
      </c>
      <c r="D1781" s="2">
        <v>0.72109999999999996</v>
      </c>
      <c r="E1781" s="3">
        <v>189493</v>
      </c>
      <c r="F1781" s="2">
        <v>136637.6139</v>
      </c>
      <c r="G1781" t="s">
        <v>3135</v>
      </c>
      <c r="H1781" t="s">
        <v>3</v>
      </c>
      <c r="I1781">
        <f>HLOOKUP(G1781,zip_tiers!$A$1:$EON$2,2,FALSE)</f>
        <v>25878</v>
      </c>
      <c r="J1781" t="str">
        <f t="shared" si="27"/>
        <v>Low</v>
      </c>
      <c r="K1781">
        <f>dataset[[#This Row],[soda_sales]]/dataset[[#This Row],[soda_units_sold]]</f>
        <v>0.72106945322518512</v>
      </c>
      <c r="L1781" s="29">
        <f>dataset[[#This Row],[implied_soda_ppu]]-dataset[[#This Row],[soda_ppu]]</f>
        <v>-3.054677481484358E-5</v>
      </c>
      <c r="M1781">
        <f>dataset[[#This Row],[soda_sales]]/dataset[[#This Row],[total_sales]]</f>
        <v>7.976914933036984E-2</v>
      </c>
      <c r="N1781">
        <f>LN(dataset[[#This Row],[soda_units_sold]])</f>
        <v>12.15210736350836</v>
      </c>
      <c r="O1781">
        <f>LN(dataset[[#This Row],[soda_sales]])</f>
        <v>11.825087546194279</v>
      </c>
      <c r="P1781">
        <f>LN(dataset[[#This Row],[soda_ppu]])</f>
        <v>-0.32697745505942327</v>
      </c>
      <c r="Q1781">
        <f>IF(dataset[[#This Row],[state]]="VA",1,0)</f>
        <v>1</v>
      </c>
    </row>
    <row r="1782" spans="1:17" x14ac:dyDescent="0.35">
      <c r="A1782">
        <v>202305</v>
      </c>
      <c r="B1782">
        <v>97</v>
      </c>
      <c r="C1782" s="2">
        <v>1793703.6762999999</v>
      </c>
      <c r="D1782" s="2">
        <v>0.71499999999999997</v>
      </c>
      <c r="E1782" s="3">
        <v>210357</v>
      </c>
      <c r="F1782" s="2">
        <v>150398.6421</v>
      </c>
      <c r="G1782" t="s">
        <v>3135</v>
      </c>
      <c r="H1782" t="s">
        <v>3</v>
      </c>
      <c r="I1782">
        <f>HLOOKUP(G1782,zip_tiers!$A$1:$EON$2,2,FALSE)</f>
        <v>25878</v>
      </c>
      <c r="J1782" t="str">
        <f t="shared" si="27"/>
        <v>Low</v>
      </c>
      <c r="K1782">
        <f>dataset[[#This Row],[soda_sales]]/dataset[[#This Row],[soda_units_sold]]</f>
        <v>0.71496856344214832</v>
      </c>
      <c r="L1782" s="29">
        <f>dataset[[#This Row],[implied_soda_ppu]]-dataset[[#This Row],[soda_ppu]]</f>
        <v>-3.143655785164956E-5</v>
      </c>
      <c r="M1782">
        <f>dataset[[#This Row],[soda_sales]]/dataset[[#This Row],[total_sales]]</f>
        <v>8.3848098260152965E-2</v>
      </c>
      <c r="N1782">
        <f>LN(dataset[[#This Row],[soda_units_sold]])</f>
        <v>12.256561366335188</v>
      </c>
      <c r="O1782">
        <f>LN(dataset[[#This Row],[soda_sales]])</f>
        <v>11.921044661866693</v>
      </c>
      <c r="P1782">
        <f>LN(dataset[[#This Row],[soda_ppu]])</f>
        <v>-0.33547273628812946</v>
      </c>
      <c r="Q1782">
        <f>IF(dataset[[#This Row],[state]]="VA",1,0)</f>
        <v>1</v>
      </c>
    </row>
    <row r="1783" spans="1:17" x14ac:dyDescent="0.35">
      <c r="A1783">
        <v>202306</v>
      </c>
      <c r="B1783">
        <v>97</v>
      </c>
      <c r="C1783" s="2">
        <v>1719761.1007999999</v>
      </c>
      <c r="D1783" s="2">
        <v>0.69789999999999996</v>
      </c>
      <c r="E1783" s="3">
        <v>229789</v>
      </c>
      <c r="F1783" s="2">
        <v>160381.0122</v>
      </c>
      <c r="G1783" t="s">
        <v>3135</v>
      </c>
      <c r="H1783" t="s">
        <v>3</v>
      </c>
      <c r="I1783">
        <f>HLOOKUP(G1783,zip_tiers!$A$1:$EON$2,2,FALSE)</f>
        <v>25878</v>
      </c>
      <c r="J1783" t="str">
        <f t="shared" si="27"/>
        <v>Low</v>
      </c>
      <c r="K1783">
        <f>dataset[[#This Row],[soda_sales]]/dataset[[#This Row],[soda_units_sold]]</f>
        <v>0.69794904107681388</v>
      </c>
      <c r="L1783" s="29">
        <f>dataset[[#This Row],[implied_soda_ppu]]-dataset[[#This Row],[soda_ppu]]</f>
        <v>4.9041076813916007E-5</v>
      </c>
      <c r="M1783">
        <f>dataset[[#This Row],[soda_sales]]/dataset[[#This Row],[total_sales]]</f>
        <v>9.3257727556108713E-2</v>
      </c>
      <c r="N1783">
        <f>LN(dataset[[#This Row],[soda_units_sold]])</f>
        <v>12.344916775540044</v>
      </c>
      <c r="O1783">
        <f>LN(dataset[[#This Row],[soda_sales]])</f>
        <v>11.985307589601859</v>
      </c>
      <c r="P1783">
        <f>LN(dataset[[#This Row],[soda_ppu]])</f>
        <v>-0.35967945295903114</v>
      </c>
      <c r="Q1783">
        <f>IF(dataset[[#This Row],[state]]="VA",1,0)</f>
        <v>1</v>
      </c>
    </row>
    <row r="1784" spans="1:17" x14ac:dyDescent="0.35">
      <c r="A1784">
        <v>202307</v>
      </c>
      <c r="B1784">
        <v>97</v>
      </c>
      <c r="C1784" s="2">
        <v>1652366.5626999999</v>
      </c>
      <c r="D1784" s="2">
        <v>0.73440000000000005</v>
      </c>
      <c r="E1784" s="3">
        <v>208745</v>
      </c>
      <c r="F1784" s="2">
        <v>153304.38320000001</v>
      </c>
      <c r="G1784" t="s">
        <v>3135</v>
      </c>
      <c r="H1784" t="s">
        <v>3</v>
      </c>
      <c r="I1784">
        <f>HLOOKUP(G1784,zip_tiers!$A$1:$EON$2,2,FALSE)</f>
        <v>25878</v>
      </c>
      <c r="J1784" t="str">
        <f t="shared" si="27"/>
        <v>Low</v>
      </c>
      <c r="K1784">
        <f>dataset[[#This Row],[soda_sales]]/dataset[[#This Row],[soda_units_sold]]</f>
        <v>0.73440984550528166</v>
      </c>
      <c r="L1784" s="29">
        <f>dataset[[#This Row],[implied_soda_ppu]]-dataset[[#This Row],[soda_ppu]]</f>
        <v>9.8455052816026623E-6</v>
      </c>
      <c r="M1784">
        <f>dataset[[#This Row],[soda_sales]]/dataset[[#This Row],[total_sales]]</f>
        <v>9.2778676754083911E-2</v>
      </c>
      <c r="N1784">
        <f>LN(dataset[[#This Row],[soda_units_sold]])</f>
        <v>12.248868690330438</v>
      </c>
      <c r="O1784">
        <f>LN(dataset[[#This Row],[soda_sales]])</f>
        <v>11.940180656753828</v>
      </c>
      <c r="P1784">
        <f>LN(dataset[[#This Row],[soda_ppu]])</f>
        <v>-0.30870143967585628</v>
      </c>
      <c r="Q1784">
        <f>IF(dataset[[#This Row],[state]]="VA",1,0)</f>
        <v>1</v>
      </c>
    </row>
    <row r="1785" spans="1:17" x14ac:dyDescent="0.35">
      <c r="A1785">
        <v>202308</v>
      </c>
      <c r="B1785">
        <v>97</v>
      </c>
      <c r="C1785" s="2">
        <v>1553764.1862000001</v>
      </c>
      <c r="D1785" s="2">
        <v>0.71450000000000002</v>
      </c>
      <c r="E1785" s="3">
        <v>194505</v>
      </c>
      <c r="F1785" s="2">
        <v>138976.8119</v>
      </c>
      <c r="G1785" t="s">
        <v>3135</v>
      </c>
      <c r="H1785" t="s">
        <v>3</v>
      </c>
      <c r="I1785">
        <f>HLOOKUP(G1785,zip_tiers!$A$1:$EON$2,2,FALSE)</f>
        <v>25878</v>
      </c>
      <c r="J1785" t="str">
        <f t="shared" si="27"/>
        <v>Low</v>
      </c>
      <c r="K1785">
        <f>dataset[[#This Row],[soda_sales]]/dataset[[#This Row],[soda_units_sold]]</f>
        <v>0.7145153692707128</v>
      </c>
      <c r="L1785" s="29">
        <f>dataset[[#This Row],[implied_soda_ppu]]-dataset[[#This Row],[soda_ppu]]</f>
        <v>1.5369270712772831E-5</v>
      </c>
      <c r="M1785">
        <f>dataset[[#This Row],[soda_sales]]/dataset[[#This Row],[total_sales]]</f>
        <v>8.9445240876539905E-2</v>
      </c>
      <c r="N1785">
        <f>LN(dataset[[#This Row],[soda_units_sold]])</f>
        <v>12.178213148651094</v>
      </c>
      <c r="O1785">
        <f>LN(dataset[[#This Row],[soda_sales]])</f>
        <v>11.842062377333372</v>
      </c>
      <c r="P1785">
        <f>LN(dataset[[#This Row],[soda_ppu]])</f>
        <v>-0.33617228161221491</v>
      </c>
      <c r="Q1785">
        <f>IF(dataset[[#This Row],[state]]="VA",1,0)</f>
        <v>1</v>
      </c>
    </row>
    <row r="1786" spans="1:17" x14ac:dyDescent="0.35">
      <c r="A1786">
        <v>202309</v>
      </c>
      <c r="B1786">
        <v>97</v>
      </c>
      <c r="C1786" s="2">
        <v>1563494.2010999999</v>
      </c>
      <c r="D1786" s="2">
        <v>0.73680000000000001</v>
      </c>
      <c r="E1786" s="3">
        <v>173666</v>
      </c>
      <c r="F1786" s="2">
        <v>127965.2597</v>
      </c>
      <c r="G1786" t="s">
        <v>3135</v>
      </c>
      <c r="H1786" t="s">
        <v>3</v>
      </c>
      <c r="I1786">
        <f>HLOOKUP(G1786,zip_tiers!$A$1:$EON$2,2,FALSE)</f>
        <v>25878</v>
      </c>
      <c r="J1786" t="str">
        <f t="shared" si="27"/>
        <v>Low</v>
      </c>
      <c r="K1786">
        <f>dataset[[#This Row],[soda_sales]]/dataset[[#This Row],[soda_units_sold]]</f>
        <v>0.7368469343452374</v>
      </c>
      <c r="L1786" s="29">
        <f>dataset[[#This Row],[implied_soda_ppu]]-dataset[[#This Row],[soda_ppu]]</f>
        <v>4.6934345237392705E-5</v>
      </c>
      <c r="M1786">
        <f>dataset[[#This Row],[soda_sales]]/dataset[[#This Row],[total_sales]]</f>
        <v>8.1845688720795853E-2</v>
      </c>
      <c r="N1786">
        <f>LN(dataset[[#This Row],[soda_units_sold]])</f>
        <v>12.064889193288433</v>
      </c>
      <c r="O1786">
        <f>LN(dataset[[#This Row],[soda_sales]])</f>
        <v>11.759514097470026</v>
      </c>
      <c r="P1786">
        <f>LN(dataset[[#This Row],[soda_ppu]])</f>
        <v>-0.30543879404103996</v>
      </c>
      <c r="Q1786">
        <f>IF(dataset[[#This Row],[state]]="VA",1,0)</f>
        <v>1</v>
      </c>
    </row>
    <row r="1787" spans="1:17" x14ac:dyDescent="0.35">
      <c r="A1787">
        <v>202310</v>
      </c>
      <c r="B1787">
        <v>97</v>
      </c>
      <c r="C1787" s="2">
        <v>1904260.4595999999</v>
      </c>
      <c r="D1787" s="2">
        <v>0.73150000000000004</v>
      </c>
      <c r="E1787" s="3">
        <v>169975</v>
      </c>
      <c r="F1787" s="2">
        <v>124333.99430000001</v>
      </c>
      <c r="G1787" t="s">
        <v>3135</v>
      </c>
      <c r="H1787" t="s">
        <v>3</v>
      </c>
      <c r="I1787">
        <f>HLOOKUP(G1787,zip_tiers!$A$1:$EON$2,2,FALSE)</f>
        <v>25878</v>
      </c>
      <c r="J1787" t="str">
        <f t="shared" si="27"/>
        <v>Low</v>
      </c>
      <c r="K1787">
        <f>dataset[[#This Row],[soda_sales]]/dataset[[#This Row],[soda_units_sold]]</f>
        <v>0.73148400823650539</v>
      </c>
      <c r="L1787" s="29">
        <f>dataset[[#This Row],[implied_soda_ppu]]-dataset[[#This Row],[soda_ppu]]</f>
        <v>-1.5991763494649369E-5</v>
      </c>
      <c r="M1787">
        <f>dataset[[#This Row],[soda_sales]]/dataset[[#This Row],[total_sales]]</f>
        <v>6.5292535836256882E-2</v>
      </c>
      <c r="N1787">
        <f>LN(dataset[[#This Row],[soda_units_sold]])</f>
        <v>12.04340664639466</v>
      </c>
      <c r="O1787">
        <f>LN(dataset[[#This Row],[soda_sales]])</f>
        <v>11.730726726029504</v>
      </c>
      <c r="P1787">
        <f>LN(dataset[[#This Row],[soda_ppu]])</f>
        <v>-0.31265805852195799</v>
      </c>
      <c r="Q1787">
        <f>IF(dataset[[#This Row],[state]]="VA",1,0)</f>
        <v>1</v>
      </c>
    </row>
    <row r="1788" spans="1:17" x14ac:dyDescent="0.35">
      <c r="A1788">
        <v>202311</v>
      </c>
      <c r="B1788">
        <v>97</v>
      </c>
      <c r="C1788" s="2">
        <v>2165795.6105</v>
      </c>
      <c r="D1788" s="2">
        <v>0.73529999999999995</v>
      </c>
      <c r="E1788" s="3">
        <v>159952</v>
      </c>
      <c r="F1788" s="2">
        <v>117608.2426</v>
      </c>
      <c r="G1788" t="s">
        <v>3135</v>
      </c>
      <c r="H1788" t="s">
        <v>3</v>
      </c>
      <c r="I1788">
        <f>HLOOKUP(G1788,zip_tiers!$A$1:$EON$2,2,FALSE)</f>
        <v>25878</v>
      </c>
      <c r="J1788" t="str">
        <f t="shared" si="27"/>
        <v>Low</v>
      </c>
      <c r="K1788">
        <f>dataset[[#This Row],[soda_sales]]/dataset[[#This Row],[soda_units_sold]]</f>
        <v>0.73527209787936376</v>
      </c>
      <c r="L1788" s="29">
        <f>dataset[[#This Row],[implied_soda_ppu]]-dataset[[#This Row],[soda_ppu]]</f>
        <v>-2.7902120636191796E-5</v>
      </c>
      <c r="M1788">
        <f>dataset[[#This Row],[soda_sales]]/dataset[[#This Row],[total_sales]]</f>
        <v>5.4302558390008339E-2</v>
      </c>
      <c r="N1788">
        <f>LN(dataset[[#This Row],[soda_units_sold]])</f>
        <v>11.982629049206961</v>
      </c>
      <c r="O1788">
        <f>LN(dataset[[#This Row],[soda_sales]])</f>
        <v>11.675114402126519</v>
      </c>
      <c r="P1788">
        <f>LN(dataset[[#This Row],[soda_ppu]])</f>
        <v>-0.30747669977996056</v>
      </c>
      <c r="Q1788">
        <f>IF(dataset[[#This Row],[state]]="VA",1,0)</f>
        <v>1</v>
      </c>
    </row>
    <row r="1789" spans="1:17" x14ac:dyDescent="0.35">
      <c r="A1789">
        <v>202312</v>
      </c>
      <c r="B1789">
        <v>97</v>
      </c>
      <c r="C1789" s="2">
        <v>2267288.0732</v>
      </c>
      <c r="D1789" s="2">
        <v>0.7167</v>
      </c>
      <c r="E1789" s="3">
        <v>168696</v>
      </c>
      <c r="F1789" s="2">
        <v>120912.3388</v>
      </c>
      <c r="G1789" t="s">
        <v>3135</v>
      </c>
      <c r="H1789" t="s">
        <v>3</v>
      </c>
      <c r="I1789">
        <f>HLOOKUP(G1789,zip_tiers!$A$1:$EON$2,2,FALSE)</f>
        <v>25878</v>
      </c>
      <c r="J1789" t="str">
        <f t="shared" si="27"/>
        <v>Low</v>
      </c>
      <c r="K1789">
        <f>dataset[[#This Row],[soda_sales]]/dataset[[#This Row],[soda_units_sold]]</f>
        <v>0.71674692227438708</v>
      </c>
      <c r="L1789" s="29">
        <f>dataset[[#This Row],[implied_soda_ppu]]-dataset[[#This Row],[soda_ppu]]</f>
        <v>4.6922274387073415E-5</v>
      </c>
      <c r="M1789">
        <f>dataset[[#This Row],[soda_sales]]/dataset[[#This Row],[total_sales]]</f>
        <v>5.332905872404075E-2</v>
      </c>
      <c r="N1789">
        <f>LN(dataset[[#This Row],[soda_units_sold]])</f>
        <v>12.035853557523851</v>
      </c>
      <c r="O1789">
        <f>LN(dataset[[#This Row],[soda_sales]])</f>
        <v>11.702821089294421</v>
      </c>
      <c r="P1789">
        <f>LN(dataset[[#This Row],[soda_ppu]])</f>
        <v>-0.3330979359822635</v>
      </c>
      <c r="Q1789">
        <f>IF(dataset[[#This Row],[state]]="VA",1,0)</f>
        <v>1</v>
      </c>
    </row>
    <row r="1790" spans="1:17" x14ac:dyDescent="0.35">
      <c r="A1790">
        <v>202401</v>
      </c>
      <c r="B1790">
        <v>97</v>
      </c>
      <c r="C1790" s="2">
        <v>1291589.8861</v>
      </c>
      <c r="D1790" s="2">
        <v>0.74770000000000003</v>
      </c>
      <c r="E1790" s="3">
        <v>113632</v>
      </c>
      <c r="F1790" s="2">
        <v>84963.922000000006</v>
      </c>
      <c r="G1790" t="s">
        <v>3135</v>
      </c>
      <c r="H1790" t="s">
        <v>3</v>
      </c>
      <c r="I1790">
        <f>HLOOKUP(G1790,zip_tiers!$A$1:$EON$2,2,FALSE)</f>
        <v>25878</v>
      </c>
      <c r="J1790" t="str">
        <f t="shared" si="27"/>
        <v>Low</v>
      </c>
      <c r="K1790">
        <f>dataset[[#This Row],[soda_sales]]/dataset[[#This Row],[soda_units_sold]]</f>
        <v>0.74771122571106741</v>
      </c>
      <c r="L1790" s="29">
        <f>dataset[[#This Row],[implied_soda_ppu]]-dataset[[#This Row],[soda_ppu]]</f>
        <v>1.1225711067375244E-5</v>
      </c>
      <c r="M1790">
        <f>dataset[[#This Row],[soda_sales]]/dataset[[#This Row],[total_sales]]</f>
        <v>6.5782430564357772E-2</v>
      </c>
      <c r="N1790">
        <f>LN(dataset[[#This Row],[soda_units_sold]])</f>
        <v>11.640720435742814</v>
      </c>
      <c r="O1790">
        <f>LN(dataset[[#This Row],[soda_sales]])</f>
        <v>11.349981998310481</v>
      </c>
      <c r="P1790">
        <f>LN(dataset[[#This Row],[soda_ppu]])</f>
        <v>-0.29075345097626715</v>
      </c>
      <c r="Q1790">
        <f>IF(dataset[[#This Row],[state]]="VA",1,0)</f>
        <v>1</v>
      </c>
    </row>
    <row r="1791" spans="1:17" x14ac:dyDescent="0.35">
      <c r="A1791">
        <v>202402</v>
      </c>
      <c r="B1791">
        <v>97</v>
      </c>
      <c r="C1791" s="2">
        <v>1486612.6466999999</v>
      </c>
      <c r="D1791" s="2">
        <v>0.73960000000000004</v>
      </c>
      <c r="E1791" s="3">
        <v>133773</v>
      </c>
      <c r="F1791" s="2">
        <v>98937.813699999999</v>
      </c>
      <c r="G1791" t="s">
        <v>3135</v>
      </c>
      <c r="H1791" t="s">
        <v>3</v>
      </c>
      <c r="I1791">
        <f>HLOOKUP(G1791,zip_tiers!$A$1:$EON$2,2,FALSE)</f>
        <v>25878</v>
      </c>
      <c r="J1791" t="str">
        <f t="shared" si="27"/>
        <v>Low</v>
      </c>
      <c r="K1791">
        <f>dataset[[#This Row],[soda_sales]]/dataset[[#This Row],[soda_units_sold]]</f>
        <v>0.73959478893349184</v>
      </c>
      <c r="L1791" s="29">
        <f>dataset[[#This Row],[implied_soda_ppu]]-dataset[[#This Row],[soda_ppu]]</f>
        <v>-5.2110665081928076E-6</v>
      </c>
      <c r="M1791">
        <f>dataset[[#This Row],[soda_sales]]/dataset[[#This Row],[total_sales]]</f>
        <v>6.6552517173604914E-2</v>
      </c>
      <c r="N1791">
        <f>LN(dataset[[#This Row],[soda_units_sold]])</f>
        <v>11.803899612591199</v>
      </c>
      <c r="O1791">
        <f>LN(dataset[[#This Row],[soda_sales]])</f>
        <v>11.502246787306907</v>
      </c>
      <c r="P1791">
        <f>LN(dataset[[#This Row],[soda_ppu]])</f>
        <v>-0.30164577946916721</v>
      </c>
      <c r="Q1791">
        <f>IF(dataset[[#This Row],[state]]="VA",1,0)</f>
        <v>1</v>
      </c>
    </row>
    <row r="1792" spans="1:17" x14ac:dyDescent="0.35">
      <c r="A1792">
        <v>202403</v>
      </c>
      <c r="B1792">
        <v>97</v>
      </c>
      <c r="C1792" s="2">
        <v>1653977.7774</v>
      </c>
      <c r="D1792" s="2">
        <v>0.75139999999999996</v>
      </c>
      <c r="E1792" s="3">
        <v>153304</v>
      </c>
      <c r="F1792" s="2">
        <v>115194.018</v>
      </c>
      <c r="G1792" t="s">
        <v>3135</v>
      </c>
      <c r="H1792" t="s">
        <v>3</v>
      </c>
      <c r="I1792">
        <f>HLOOKUP(G1792,zip_tiers!$A$1:$EON$2,2,FALSE)</f>
        <v>25878</v>
      </c>
      <c r="J1792" t="str">
        <f t="shared" si="27"/>
        <v>Low</v>
      </c>
      <c r="K1792">
        <f>dataset[[#This Row],[soda_sales]]/dataset[[#This Row],[soda_units_sold]]</f>
        <v>0.75140908260710737</v>
      </c>
      <c r="L1792" s="29">
        <f>dataset[[#This Row],[implied_soda_ppu]]-dataset[[#This Row],[soda_ppu]]</f>
        <v>9.0826071074134873E-6</v>
      </c>
      <c r="M1792">
        <f>dataset[[#This Row],[soda_sales]]/dataset[[#This Row],[total_sales]]</f>
        <v>6.9646654008303124E-2</v>
      </c>
      <c r="N1792">
        <f>LN(dataset[[#This Row],[soda_units_sold]])</f>
        <v>11.940178157148331</v>
      </c>
      <c r="O1792">
        <f>LN(dataset[[#This Row],[soda_sales]])</f>
        <v>11.654373098812338</v>
      </c>
      <c r="P1792">
        <f>LN(dataset[[#This Row],[soda_ppu]])</f>
        <v>-0.28581714584226858</v>
      </c>
      <c r="Q1792">
        <f>IF(dataset[[#This Row],[state]]="VA",1,0)</f>
        <v>1</v>
      </c>
    </row>
    <row r="1793" spans="1:17" x14ac:dyDescent="0.35">
      <c r="A1793">
        <v>202404</v>
      </c>
      <c r="B1793">
        <v>97</v>
      </c>
      <c r="C1793" s="2">
        <v>1727503.0360000001</v>
      </c>
      <c r="D1793" s="2">
        <v>0.75290000000000001</v>
      </c>
      <c r="E1793" s="3">
        <v>176085</v>
      </c>
      <c r="F1793" s="2">
        <v>132569.2586</v>
      </c>
      <c r="G1793" t="s">
        <v>3135</v>
      </c>
      <c r="H1793" t="s">
        <v>3</v>
      </c>
      <c r="I1793">
        <f>HLOOKUP(G1793,zip_tiers!$A$1:$EON$2,2,FALSE)</f>
        <v>25878</v>
      </c>
      <c r="J1793" t="str">
        <f t="shared" si="27"/>
        <v>Low</v>
      </c>
      <c r="K1793">
        <f>dataset[[#This Row],[soda_sales]]/dataset[[#This Row],[soda_units_sold]]</f>
        <v>0.75287082147826334</v>
      </c>
      <c r="L1793" s="29">
        <f>dataset[[#This Row],[implied_soda_ppu]]-dataset[[#This Row],[soda_ppu]]</f>
        <v>-2.9178521736672458E-5</v>
      </c>
      <c r="M1793">
        <f>dataset[[#This Row],[soda_sales]]/dataset[[#This Row],[total_sales]]</f>
        <v>7.6740391094745369E-2</v>
      </c>
      <c r="N1793">
        <f>LN(dataset[[#This Row],[soda_units_sold]])</f>
        <v>12.078722111980733</v>
      </c>
      <c r="O1793">
        <f>LN(dataset[[#This Row],[soda_sales]])</f>
        <v>11.794860494260096</v>
      </c>
      <c r="P1793">
        <f>LN(dataset[[#This Row],[soda_ppu]])</f>
        <v>-0.28382286212606045</v>
      </c>
      <c r="Q1793">
        <f>IF(dataset[[#This Row],[state]]="VA",1,0)</f>
        <v>1</v>
      </c>
    </row>
    <row r="1794" spans="1:17" x14ac:dyDescent="0.35">
      <c r="A1794">
        <v>202405</v>
      </c>
      <c r="B1794">
        <v>97</v>
      </c>
      <c r="C1794" s="2">
        <v>1838203.5993999999</v>
      </c>
      <c r="D1794" s="2">
        <v>0.74299999999999999</v>
      </c>
      <c r="E1794" s="3">
        <v>203358</v>
      </c>
      <c r="F1794" s="2">
        <v>151103.9025</v>
      </c>
      <c r="G1794" t="s">
        <v>3135</v>
      </c>
      <c r="H1794" t="s">
        <v>3</v>
      </c>
      <c r="I1794">
        <f>HLOOKUP(G1794,zip_tiers!$A$1:$EON$2,2,FALSE)</f>
        <v>25878</v>
      </c>
      <c r="J1794" t="str">
        <f t="shared" ref="J1794:J1857" si="28">IF(I1794="","No Data",IF(I1794&gt;=100000,"High",IF(I1794&gt;=40000,"Med","Low")))</f>
        <v>Low</v>
      </c>
      <c r="K1794">
        <f>dataset[[#This Row],[soda_sales]]/dataset[[#This Row],[soda_units_sold]]</f>
        <v>0.74304380698079253</v>
      </c>
      <c r="L1794" s="29">
        <f>dataset[[#This Row],[implied_soda_ppu]]-dataset[[#This Row],[soda_ppu]]</f>
        <v>4.3806980792537864E-5</v>
      </c>
      <c r="M1794">
        <f>dataset[[#This Row],[soda_sales]]/dataset[[#This Row],[total_sales]]</f>
        <v>8.2201940279804236E-2</v>
      </c>
      <c r="N1794">
        <f>LN(dataset[[#This Row],[soda_units_sold]])</f>
        <v>12.222723251599152</v>
      </c>
      <c r="O1794">
        <f>LN(dataset[[#This Row],[soda_sales]])</f>
        <v>11.925722975194024</v>
      </c>
      <c r="P1794">
        <f>LN(dataset[[#This Row],[soda_ppu]])</f>
        <v>-0.29705923426437791</v>
      </c>
      <c r="Q1794">
        <f>IF(dataset[[#This Row],[state]]="VA",1,0)</f>
        <v>1</v>
      </c>
    </row>
    <row r="1795" spans="1:17" x14ac:dyDescent="0.35">
      <c r="A1795">
        <v>202406</v>
      </c>
      <c r="B1795">
        <v>97</v>
      </c>
      <c r="C1795" s="2">
        <v>1786622.4225000001</v>
      </c>
      <c r="D1795" s="2">
        <v>0.7752</v>
      </c>
      <c r="E1795" s="3">
        <v>193278</v>
      </c>
      <c r="F1795" s="2">
        <v>149836.6606</v>
      </c>
      <c r="G1795" t="s">
        <v>3135</v>
      </c>
      <c r="H1795" t="s">
        <v>3</v>
      </c>
      <c r="I1795">
        <f>HLOOKUP(G1795,zip_tiers!$A$1:$EON$2,2,FALSE)</f>
        <v>25878</v>
      </c>
      <c r="J1795" t="str">
        <f t="shared" si="28"/>
        <v>Low</v>
      </c>
      <c r="K1795">
        <f>dataset[[#This Row],[soda_sales]]/dataset[[#This Row],[soda_units_sold]]</f>
        <v>0.77523908877368353</v>
      </c>
      <c r="L1795" s="29">
        <f>dataset[[#This Row],[implied_soda_ppu]]-dataset[[#This Row],[soda_ppu]]</f>
        <v>3.908877368352659E-5</v>
      </c>
      <c r="M1795">
        <f>dataset[[#This Row],[soda_sales]]/dataset[[#This Row],[total_sales]]</f>
        <v>8.3865879389521655E-2</v>
      </c>
      <c r="N1795">
        <f>LN(dataset[[#This Row],[soda_units_sold]])</f>
        <v>12.171884845992931</v>
      </c>
      <c r="O1795">
        <f>LN(dataset[[#This Row],[soda_sales]])</f>
        <v>11.917301050430755</v>
      </c>
      <c r="P1795">
        <f>LN(dataset[[#This Row],[soda_ppu]])</f>
        <v>-0.25463421840558059</v>
      </c>
      <c r="Q1795">
        <f>IF(dataset[[#This Row],[state]]="VA",1,0)</f>
        <v>1</v>
      </c>
    </row>
    <row r="1796" spans="1:17" x14ac:dyDescent="0.35">
      <c r="A1796">
        <v>202407</v>
      </c>
      <c r="B1796">
        <v>97</v>
      </c>
      <c r="C1796" s="2">
        <v>1656616.5939</v>
      </c>
      <c r="D1796" s="2">
        <v>0.75149999999999995</v>
      </c>
      <c r="E1796" s="3">
        <v>214570</v>
      </c>
      <c r="F1796" s="2">
        <v>161240.27299999999</v>
      </c>
      <c r="G1796" t="s">
        <v>3135</v>
      </c>
      <c r="H1796" t="s">
        <v>3</v>
      </c>
      <c r="I1796">
        <f>HLOOKUP(G1796,zip_tiers!$A$1:$EON$2,2,FALSE)</f>
        <v>25878</v>
      </c>
      <c r="J1796" t="str">
        <f t="shared" si="28"/>
        <v>Low</v>
      </c>
      <c r="K1796">
        <f>dataset[[#This Row],[soda_sales]]/dataset[[#This Row],[soda_units_sold]]</f>
        <v>0.75145767348650783</v>
      </c>
      <c r="L1796" s="29">
        <f>dataset[[#This Row],[implied_soda_ppu]]-dataset[[#This Row],[soda_ppu]]</f>
        <v>-4.2326513492119133E-5</v>
      </c>
      <c r="M1796">
        <f>dataset[[#This Row],[soda_sales]]/dataset[[#This Row],[total_sales]]</f>
        <v>9.7331074428277209E-2</v>
      </c>
      <c r="N1796">
        <f>LN(dataset[[#This Row],[soda_units_sold]])</f>
        <v>12.276391304439127</v>
      </c>
      <c r="O1796">
        <f>LN(dataset[[#This Row],[soda_sales]])</f>
        <v>11.990650910357925</v>
      </c>
      <c r="P1796">
        <f>LN(dataset[[#This Row],[soda_ppu]])</f>
        <v>-0.28568406978910793</v>
      </c>
      <c r="Q1796">
        <f>IF(dataset[[#This Row],[state]]="VA",1,0)</f>
        <v>1</v>
      </c>
    </row>
    <row r="1797" spans="1:17" x14ac:dyDescent="0.35">
      <c r="A1797">
        <v>202408</v>
      </c>
      <c r="B1797">
        <v>97</v>
      </c>
      <c r="C1797" s="2">
        <v>1590907.0821</v>
      </c>
      <c r="D1797" s="2">
        <v>0.76319999999999999</v>
      </c>
      <c r="E1797" s="3">
        <v>176838</v>
      </c>
      <c r="F1797" s="2">
        <v>134956.2991</v>
      </c>
      <c r="G1797" t="s">
        <v>3135</v>
      </c>
      <c r="H1797" t="s">
        <v>3</v>
      </c>
      <c r="I1797">
        <f>HLOOKUP(G1797,zip_tiers!$A$1:$EON$2,2,FALSE)</f>
        <v>25878</v>
      </c>
      <c r="J1797" t="str">
        <f t="shared" si="28"/>
        <v>Low</v>
      </c>
      <c r="K1797">
        <f>dataset[[#This Row],[soda_sales]]/dataset[[#This Row],[soda_units_sold]]</f>
        <v>0.76316345525283025</v>
      </c>
      <c r="L1797" s="29">
        <f>dataset[[#This Row],[implied_soda_ppu]]-dataset[[#This Row],[soda_ppu]]</f>
        <v>-3.6544747169742209E-5</v>
      </c>
      <c r="M1797">
        <f>dataset[[#This Row],[soda_sales]]/dataset[[#This Row],[total_sales]]</f>
        <v>8.4829780832867671E-2</v>
      </c>
      <c r="N1797">
        <f>LN(dataset[[#This Row],[soda_units_sold]])</f>
        <v>12.082989338217777</v>
      </c>
      <c r="O1797">
        <f>LN(dataset[[#This Row],[soda_sales]])</f>
        <v>11.812706294644684</v>
      </c>
      <c r="P1797">
        <f>LN(dataset[[#This Row],[soda_ppu]])</f>
        <v>-0.27023515884806032</v>
      </c>
      <c r="Q1797">
        <f>IF(dataset[[#This Row],[state]]="VA",1,0)</f>
        <v>1</v>
      </c>
    </row>
    <row r="1798" spans="1:17" x14ac:dyDescent="0.35">
      <c r="A1798">
        <v>202409</v>
      </c>
      <c r="B1798">
        <v>97</v>
      </c>
      <c r="C1798" s="2">
        <v>1561518.1162</v>
      </c>
      <c r="D1798" s="2">
        <v>0.77370000000000005</v>
      </c>
      <c r="E1798" s="3">
        <v>165410</v>
      </c>
      <c r="F1798" s="2">
        <v>127977.4096</v>
      </c>
      <c r="G1798" t="s">
        <v>3135</v>
      </c>
      <c r="H1798" t="s">
        <v>3</v>
      </c>
      <c r="I1798">
        <f>HLOOKUP(G1798,zip_tiers!$A$1:$EON$2,2,FALSE)</f>
        <v>25878</v>
      </c>
      <c r="J1798" t="str">
        <f t="shared" si="28"/>
        <v>Low</v>
      </c>
      <c r="K1798">
        <f>dataset[[#This Row],[soda_sales]]/dataset[[#This Row],[soda_units_sold]]</f>
        <v>0.77369814158757022</v>
      </c>
      <c r="L1798" s="29">
        <f>dataset[[#This Row],[implied_soda_ppu]]-dataset[[#This Row],[soda_ppu]]</f>
        <v>-1.8584124298337557E-6</v>
      </c>
      <c r="M1798">
        <f>dataset[[#This Row],[soda_sales]]/dataset[[#This Row],[total_sales]]</f>
        <v>8.195704441229075E-2</v>
      </c>
      <c r="N1798">
        <f>LN(dataset[[#This Row],[soda_units_sold]])</f>
        <v>12.016182519236267</v>
      </c>
      <c r="O1798">
        <f>LN(dataset[[#This Row],[soda_sales]])</f>
        <v>11.759609039826003</v>
      </c>
      <c r="P1798">
        <f>LN(dataset[[#This Row],[soda_ppu]])</f>
        <v>-0.25657107742672819</v>
      </c>
      <c r="Q1798">
        <f>IF(dataset[[#This Row],[state]]="VA",1,0)</f>
        <v>1</v>
      </c>
    </row>
    <row r="1799" spans="1:17" x14ac:dyDescent="0.35">
      <c r="A1799">
        <v>202410</v>
      </c>
      <c r="B1799">
        <v>97</v>
      </c>
      <c r="C1799" s="2">
        <v>1955493.8838</v>
      </c>
      <c r="D1799" s="2">
        <v>0.76160000000000005</v>
      </c>
      <c r="E1799" s="3">
        <v>168443</v>
      </c>
      <c r="F1799" s="2">
        <v>128279.64509999999</v>
      </c>
      <c r="G1799" t="s">
        <v>3135</v>
      </c>
      <c r="H1799" t="s">
        <v>3</v>
      </c>
      <c r="I1799">
        <f>HLOOKUP(G1799,zip_tiers!$A$1:$EON$2,2,FALSE)</f>
        <v>25878</v>
      </c>
      <c r="J1799" t="str">
        <f t="shared" si="28"/>
        <v>Low</v>
      </c>
      <c r="K1799">
        <f>dataset[[#This Row],[soda_sales]]/dataset[[#This Row],[soda_units_sold]]</f>
        <v>0.76156115184365036</v>
      </c>
      <c r="L1799" s="29">
        <f>dataset[[#This Row],[implied_soda_ppu]]-dataset[[#This Row],[soda_ppu]]</f>
        <v>-3.8848156349691187E-5</v>
      </c>
      <c r="M1799">
        <f>dataset[[#This Row],[soda_sales]]/dataset[[#This Row],[total_sales]]</f>
        <v>6.5599614584690727E-2</v>
      </c>
      <c r="N1799">
        <f>LN(dataset[[#This Row],[soda_units_sold]])</f>
        <v>12.034352692613579</v>
      </c>
      <c r="O1799">
        <f>LN(dataset[[#This Row],[soda_sales]])</f>
        <v>11.761967887198962</v>
      </c>
      <c r="P1799">
        <f>LN(dataset[[#This Row],[soda_ppu]])</f>
        <v>-0.27233379550498144</v>
      </c>
      <c r="Q1799">
        <f>IF(dataset[[#This Row],[state]]="VA",1,0)</f>
        <v>1</v>
      </c>
    </row>
    <row r="1800" spans="1:17" x14ac:dyDescent="0.35">
      <c r="A1800">
        <v>202411</v>
      </c>
      <c r="B1800">
        <v>97</v>
      </c>
      <c r="C1800" s="2">
        <v>2177618.1749</v>
      </c>
      <c r="D1800" s="2">
        <v>0.78959999999999997</v>
      </c>
      <c r="E1800" s="3">
        <v>143640</v>
      </c>
      <c r="F1800" s="2">
        <v>113424.0721</v>
      </c>
      <c r="G1800" t="s">
        <v>3135</v>
      </c>
      <c r="H1800" t="s">
        <v>3</v>
      </c>
      <c r="I1800">
        <f>HLOOKUP(G1800,zip_tiers!$A$1:$EON$2,2,FALSE)</f>
        <v>25878</v>
      </c>
      <c r="J1800" t="str">
        <f t="shared" si="28"/>
        <v>Low</v>
      </c>
      <c r="K1800">
        <f>dataset[[#This Row],[soda_sales]]/dataset[[#This Row],[soda_units_sold]]</f>
        <v>0.78964127053745481</v>
      </c>
      <c r="L1800" s="29">
        <f>dataset[[#This Row],[implied_soda_ppu]]-dataset[[#This Row],[soda_ppu]]</f>
        <v>4.127053745484055E-5</v>
      </c>
      <c r="M1800">
        <f>dataset[[#This Row],[soda_sales]]/dataset[[#This Row],[total_sales]]</f>
        <v>5.2086299337214446E-2</v>
      </c>
      <c r="N1800">
        <f>LN(dataset[[#This Row],[soda_units_sold]])</f>
        <v>11.875065448340019</v>
      </c>
      <c r="O1800">
        <f>LN(dataset[[#This Row],[soda_sales]])</f>
        <v>11.638888923762533</v>
      </c>
      <c r="P1800">
        <f>LN(dataset[[#This Row],[soda_ppu]])</f>
        <v>-0.23622879086286527</v>
      </c>
      <c r="Q1800">
        <f>IF(dataset[[#This Row],[state]]="VA",1,0)</f>
        <v>1</v>
      </c>
    </row>
    <row r="1801" spans="1:17" x14ac:dyDescent="0.35">
      <c r="A1801">
        <v>202412</v>
      </c>
      <c r="B1801">
        <v>97</v>
      </c>
      <c r="C1801" s="2">
        <v>2334841.2376000001</v>
      </c>
      <c r="D1801" s="2">
        <v>0.7853</v>
      </c>
      <c r="E1801" s="3">
        <v>145696</v>
      </c>
      <c r="F1801" s="2">
        <v>114411.9626</v>
      </c>
      <c r="G1801" t="s">
        <v>3135</v>
      </c>
      <c r="H1801" t="s">
        <v>3</v>
      </c>
      <c r="I1801">
        <f>HLOOKUP(G1801,zip_tiers!$A$1:$EON$2,2,FALSE)</f>
        <v>25878</v>
      </c>
      <c r="J1801" t="str">
        <f t="shared" si="28"/>
        <v>Low</v>
      </c>
      <c r="K1801">
        <f>dataset[[#This Row],[soda_sales]]/dataset[[#This Row],[soda_units_sold]]</f>
        <v>0.78527868026575887</v>
      </c>
      <c r="L1801" s="29">
        <f>dataset[[#This Row],[implied_soda_ppu]]-dataset[[#This Row],[soda_ppu]]</f>
        <v>-2.1319734241131982E-5</v>
      </c>
      <c r="M1801">
        <f>dataset[[#This Row],[soda_sales]]/dataset[[#This Row],[total_sales]]</f>
        <v>4.9002030955048945E-2</v>
      </c>
      <c r="N1801">
        <f>LN(dataset[[#This Row],[soda_units_sold]])</f>
        <v>11.889277538134509</v>
      </c>
      <c r="O1801">
        <f>LN(dataset[[#This Row],[soda_sales]])</f>
        <v>11.647560920642782</v>
      </c>
      <c r="P1801">
        <f>LN(dataset[[#This Row],[soda_ppu]])</f>
        <v>-0.24168946860130811</v>
      </c>
      <c r="Q1801">
        <f>IF(dataset[[#This Row],[state]]="VA",1,0)</f>
        <v>1</v>
      </c>
    </row>
    <row r="1802" spans="1:17" x14ac:dyDescent="0.35">
      <c r="A1802">
        <v>202201</v>
      </c>
      <c r="B1802">
        <v>87</v>
      </c>
      <c r="C1802" s="2">
        <v>2676188.7508</v>
      </c>
      <c r="D1802" s="2">
        <v>0.7167</v>
      </c>
      <c r="E1802" s="3">
        <v>130671</v>
      </c>
      <c r="F1802" s="2">
        <v>93657.026100000003</v>
      </c>
      <c r="G1802" t="s">
        <v>3184</v>
      </c>
      <c r="H1802" t="s">
        <v>8</v>
      </c>
      <c r="I1802">
        <f>HLOOKUP(G1802,zip_tiers!$A$1:$EON$2,2,FALSE)</f>
        <v>125297</v>
      </c>
      <c r="J1802" t="str">
        <f t="shared" si="28"/>
        <v>High</v>
      </c>
      <c r="K1802">
        <f>dataset[[#This Row],[soda_sales]]/dataset[[#This Row],[soda_units_sold]]</f>
        <v>0.7167391854351769</v>
      </c>
      <c r="L1802" s="29">
        <f>dataset[[#This Row],[implied_soda_ppu]]-dataset[[#This Row],[soda_ppu]]</f>
        <v>3.9185435176891659E-5</v>
      </c>
      <c r="M1802">
        <f>dataset[[#This Row],[soda_sales]]/dataset[[#This Row],[total_sales]]</f>
        <v>3.4996420215877101E-2</v>
      </c>
      <c r="N1802">
        <f>LN(dataset[[#This Row],[soda_units_sold]])</f>
        <v>11.780437992819907</v>
      </c>
      <c r="O1802">
        <f>LN(dataset[[#This Row],[soda_sales]])</f>
        <v>11.447394730151427</v>
      </c>
      <c r="P1802">
        <f>LN(dataset[[#This Row],[soda_ppu]])</f>
        <v>-0.3330979359822635</v>
      </c>
      <c r="Q1802">
        <f>IF(dataset[[#This Row],[state]]="VA",1,0)</f>
        <v>0</v>
      </c>
    </row>
    <row r="1803" spans="1:17" x14ac:dyDescent="0.35">
      <c r="A1803">
        <v>202202</v>
      </c>
      <c r="B1803">
        <v>87</v>
      </c>
      <c r="C1803" s="2">
        <v>3032613.3509</v>
      </c>
      <c r="D1803" s="2">
        <v>0.74129999999999996</v>
      </c>
      <c r="E1803" s="3">
        <v>143903</v>
      </c>
      <c r="F1803" s="2">
        <v>106673.0218</v>
      </c>
      <c r="G1803" t="s">
        <v>3184</v>
      </c>
      <c r="H1803" t="s">
        <v>8</v>
      </c>
      <c r="I1803">
        <f>HLOOKUP(G1803,zip_tiers!$A$1:$EON$2,2,FALSE)</f>
        <v>125297</v>
      </c>
      <c r="J1803" t="str">
        <f t="shared" si="28"/>
        <v>High</v>
      </c>
      <c r="K1803">
        <f>dataset[[#This Row],[soda_sales]]/dataset[[#This Row],[soda_units_sold]]</f>
        <v>0.7412842108920592</v>
      </c>
      <c r="L1803" s="29">
        <f>dataset[[#This Row],[implied_soda_ppu]]-dataset[[#This Row],[soda_ppu]]</f>
        <v>-1.578910794075572E-5</v>
      </c>
      <c r="M1803">
        <f>dataset[[#This Row],[soda_sales]]/dataset[[#This Row],[total_sales]]</f>
        <v>3.5175279357107049E-2</v>
      </c>
      <c r="N1803">
        <f>LN(dataset[[#This Row],[soda_units_sold]])</f>
        <v>11.876894740469126</v>
      </c>
      <c r="O1803">
        <f>LN(dataset[[#This Row],[soda_sales]])</f>
        <v>11.577523563708018</v>
      </c>
      <c r="P1803">
        <f>LN(dataset[[#This Row],[soda_ppu]])</f>
        <v>-0.29934987731946305</v>
      </c>
      <c r="Q1803">
        <f>IF(dataset[[#This Row],[state]]="VA",1,0)</f>
        <v>0</v>
      </c>
    </row>
    <row r="1804" spans="1:17" x14ac:dyDescent="0.35">
      <c r="A1804">
        <v>202203</v>
      </c>
      <c r="B1804">
        <v>87</v>
      </c>
      <c r="C1804" s="2">
        <v>3342016.4210000001</v>
      </c>
      <c r="D1804" s="2">
        <v>0.72499999999999998</v>
      </c>
      <c r="E1804" s="3">
        <v>164669</v>
      </c>
      <c r="F1804" s="2">
        <v>119389.79519999999</v>
      </c>
      <c r="G1804" t="s">
        <v>3184</v>
      </c>
      <c r="H1804" t="s">
        <v>8</v>
      </c>
      <c r="I1804">
        <f>HLOOKUP(G1804,zip_tiers!$A$1:$EON$2,2,FALSE)</f>
        <v>125297</v>
      </c>
      <c r="J1804" t="str">
        <f t="shared" si="28"/>
        <v>High</v>
      </c>
      <c r="K1804">
        <f>dataset[[#This Row],[soda_sales]]/dataset[[#This Row],[soda_units_sold]]</f>
        <v>0.7250289684154273</v>
      </c>
      <c r="L1804" s="29">
        <f>dataset[[#This Row],[implied_soda_ppu]]-dataset[[#This Row],[soda_ppu]]</f>
        <v>2.8968415427321759E-5</v>
      </c>
      <c r="M1804">
        <f>dataset[[#This Row],[soda_sales]]/dataset[[#This Row],[total_sales]]</f>
        <v>3.5723880484188675E-2</v>
      </c>
      <c r="N1804">
        <f>LN(dataset[[#This Row],[soda_units_sold]])</f>
        <v>12.011692677442042</v>
      </c>
      <c r="O1804">
        <f>LN(dataset[[#This Row],[soda_sales]])</f>
        <v>11.690149008951414</v>
      </c>
      <c r="P1804">
        <f>LN(dataset[[#This Row],[soda_ppu]])</f>
        <v>-0.32158362412746233</v>
      </c>
      <c r="Q1804">
        <f>IF(dataset[[#This Row],[state]]="VA",1,0)</f>
        <v>0</v>
      </c>
    </row>
    <row r="1805" spans="1:17" x14ac:dyDescent="0.35">
      <c r="A1805">
        <v>202204</v>
      </c>
      <c r="B1805">
        <v>87</v>
      </c>
      <c r="C1805" s="2">
        <v>3581722.9504999998</v>
      </c>
      <c r="D1805" s="2">
        <v>0.72570000000000001</v>
      </c>
      <c r="E1805" s="3">
        <v>199507</v>
      </c>
      <c r="F1805" s="2">
        <v>144782.84599999999</v>
      </c>
      <c r="G1805" t="s">
        <v>3184</v>
      </c>
      <c r="H1805" t="s">
        <v>8</v>
      </c>
      <c r="I1805">
        <f>HLOOKUP(G1805,zip_tiers!$A$1:$EON$2,2,FALSE)</f>
        <v>125297</v>
      </c>
      <c r="J1805" t="str">
        <f t="shared" si="28"/>
        <v>High</v>
      </c>
      <c r="K1805">
        <f>dataset[[#This Row],[soda_sales]]/dataset[[#This Row],[soda_units_sold]]</f>
        <v>0.72570308811219653</v>
      </c>
      <c r="L1805" s="29">
        <f>dataset[[#This Row],[implied_soda_ppu]]-dataset[[#This Row],[soda_ppu]]</f>
        <v>3.088112196514281E-6</v>
      </c>
      <c r="M1805">
        <f>dataset[[#This Row],[soda_sales]]/dataset[[#This Row],[total_sales]]</f>
        <v>4.0422681486235179E-2</v>
      </c>
      <c r="N1805">
        <f>LN(dataset[[#This Row],[soda_units_sold]])</f>
        <v>12.203604602415794</v>
      </c>
      <c r="O1805">
        <f>LN(dataset[[#This Row],[soda_sales]])</f>
        <v>11.882990285065173</v>
      </c>
      <c r="P1805">
        <f>LN(dataset[[#This Row],[soda_ppu]])</f>
        <v>-0.32061857269804578</v>
      </c>
      <c r="Q1805">
        <f>IF(dataset[[#This Row],[state]]="VA",1,0)</f>
        <v>0</v>
      </c>
    </row>
    <row r="1806" spans="1:17" x14ac:dyDescent="0.35">
      <c r="A1806">
        <v>202205</v>
      </c>
      <c r="B1806">
        <v>87</v>
      </c>
      <c r="C1806" s="2">
        <v>3808478.9720000001</v>
      </c>
      <c r="D1806" s="2">
        <v>0.73160000000000003</v>
      </c>
      <c r="E1806" s="3">
        <v>218839</v>
      </c>
      <c r="F1806" s="2">
        <v>160098.34529999999</v>
      </c>
      <c r="G1806" t="s">
        <v>3184</v>
      </c>
      <c r="H1806" t="s">
        <v>8</v>
      </c>
      <c r="I1806">
        <f>HLOOKUP(G1806,zip_tiers!$A$1:$EON$2,2,FALSE)</f>
        <v>125297</v>
      </c>
      <c r="J1806" t="str">
        <f t="shared" si="28"/>
        <v>High</v>
      </c>
      <c r="K1806">
        <f>dataset[[#This Row],[soda_sales]]/dataset[[#This Row],[soda_units_sold]]</f>
        <v>0.73158050119037277</v>
      </c>
      <c r="L1806" s="29">
        <f>dataset[[#This Row],[implied_soda_ppu]]-dataset[[#This Row],[soda_ppu]]</f>
        <v>-1.9498809627260805E-5</v>
      </c>
      <c r="M1806">
        <f>dataset[[#This Row],[soda_sales]]/dataset[[#This Row],[total_sales]]</f>
        <v>4.2037345217617227E-2</v>
      </c>
      <c r="N1806">
        <f>LN(dataset[[#This Row],[soda_units_sold]])</f>
        <v>12.296091578618793</v>
      </c>
      <c r="O1806">
        <f>LN(dataset[[#This Row],[soda_sales]])</f>
        <v>11.983543563516029</v>
      </c>
      <c r="P1806">
        <f>LN(dataset[[#This Row],[soda_ppu]])</f>
        <v>-0.31252136246542639</v>
      </c>
      <c r="Q1806">
        <f>IF(dataset[[#This Row],[state]]="VA",1,0)</f>
        <v>0</v>
      </c>
    </row>
    <row r="1807" spans="1:17" x14ac:dyDescent="0.35">
      <c r="A1807">
        <v>202206</v>
      </c>
      <c r="B1807">
        <v>87</v>
      </c>
      <c r="C1807" s="2">
        <v>3638575.4424000001</v>
      </c>
      <c r="D1807" s="2">
        <v>0.7379</v>
      </c>
      <c r="E1807" s="3">
        <v>226468</v>
      </c>
      <c r="F1807" s="2">
        <v>167101.38920000001</v>
      </c>
      <c r="G1807" t="s">
        <v>3184</v>
      </c>
      <c r="H1807" t="s">
        <v>8</v>
      </c>
      <c r="I1807">
        <f>HLOOKUP(G1807,zip_tiers!$A$1:$EON$2,2,FALSE)</f>
        <v>125297</v>
      </c>
      <c r="J1807" t="str">
        <f t="shared" si="28"/>
        <v>High</v>
      </c>
      <c r="K1807">
        <f>dataset[[#This Row],[soda_sales]]/dataset[[#This Row],[soda_units_sold]]</f>
        <v>0.73785872264514196</v>
      </c>
      <c r="L1807" s="29">
        <f>dataset[[#This Row],[implied_soda_ppu]]-dataset[[#This Row],[soda_ppu]]</f>
        <v>-4.1277354858038073E-5</v>
      </c>
      <c r="M1807">
        <f>dataset[[#This Row],[soda_sales]]/dataset[[#This Row],[total_sales]]</f>
        <v>4.5924948333565439E-2</v>
      </c>
      <c r="N1807">
        <f>LN(dataset[[#This Row],[soda_units_sold]])</f>
        <v>12.330358933571016</v>
      </c>
      <c r="O1807">
        <f>LN(dataset[[#This Row],[soda_sales]])</f>
        <v>12.026356028133607</v>
      </c>
      <c r="P1807">
        <f>LN(dataset[[#This Row],[soda_ppu]])</f>
        <v>-0.30394696491781609</v>
      </c>
      <c r="Q1807">
        <f>IF(dataset[[#This Row],[state]]="VA",1,0)</f>
        <v>0</v>
      </c>
    </row>
    <row r="1808" spans="1:17" x14ac:dyDescent="0.35">
      <c r="A1808">
        <v>202207</v>
      </c>
      <c r="B1808">
        <v>87</v>
      </c>
      <c r="C1808" s="2">
        <v>3470565.5622999999</v>
      </c>
      <c r="D1808" s="2">
        <v>0.75749999999999995</v>
      </c>
      <c r="E1808" s="3">
        <v>229008</v>
      </c>
      <c r="F1808" s="2">
        <v>173466.78959999999</v>
      </c>
      <c r="G1808" t="s">
        <v>3184</v>
      </c>
      <c r="H1808" t="s">
        <v>8</v>
      </c>
      <c r="I1808">
        <f>HLOOKUP(G1808,zip_tiers!$A$1:$EON$2,2,FALSE)</f>
        <v>125297</v>
      </c>
      <c r="J1808" t="str">
        <f t="shared" si="28"/>
        <v>High</v>
      </c>
      <c r="K1808">
        <f>dataset[[#This Row],[soda_sales]]/dataset[[#This Row],[soda_units_sold]]</f>
        <v>0.75747043596730246</v>
      </c>
      <c r="L1808" s="29">
        <f>dataset[[#This Row],[implied_soda_ppu]]-dataset[[#This Row],[soda_ppu]]</f>
        <v>-2.9564032697493303E-5</v>
      </c>
      <c r="M1808">
        <f>dataset[[#This Row],[soda_sales]]/dataset[[#This Row],[total_sales]]</f>
        <v>4.9982282854509959E-2</v>
      </c>
      <c r="N1808">
        <f>LN(dataset[[#This Row],[soda_units_sold]])</f>
        <v>12.341512216423999</v>
      </c>
      <c r="O1808">
        <f>LN(dataset[[#This Row],[soda_sales]])</f>
        <v>12.063741445637753</v>
      </c>
      <c r="P1808">
        <f>LN(dataset[[#This Row],[soda_ppu]])</f>
        <v>-0.27773174159861291</v>
      </c>
      <c r="Q1808">
        <f>IF(dataset[[#This Row],[state]]="VA",1,0)</f>
        <v>0</v>
      </c>
    </row>
    <row r="1809" spans="1:17" x14ac:dyDescent="0.35">
      <c r="A1809">
        <v>202208</v>
      </c>
      <c r="B1809">
        <v>87</v>
      </c>
      <c r="C1809" s="2">
        <v>3173008.0233</v>
      </c>
      <c r="D1809" s="2">
        <v>0.73270000000000002</v>
      </c>
      <c r="E1809" s="3">
        <v>197363</v>
      </c>
      <c r="F1809" s="2">
        <v>144612.23300000001</v>
      </c>
      <c r="G1809" t="s">
        <v>3184</v>
      </c>
      <c r="H1809" t="s">
        <v>8</v>
      </c>
      <c r="I1809">
        <f>HLOOKUP(G1809,zip_tiers!$A$1:$EON$2,2,FALSE)</f>
        <v>125297</v>
      </c>
      <c r="J1809" t="str">
        <f t="shared" si="28"/>
        <v>High</v>
      </c>
      <c r="K1809">
        <f>dataset[[#This Row],[soda_sales]]/dataset[[#This Row],[soda_units_sold]]</f>
        <v>0.73272210596717724</v>
      </c>
      <c r="L1809" s="29">
        <f>dataset[[#This Row],[implied_soda_ppu]]-dataset[[#This Row],[soda_ppu]]</f>
        <v>2.2105967177221686E-5</v>
      </c>
      <c r="M1809">
        <f>dataset[[#This Row],[soda_sales]]/dataset[[#This Row],[total_sales]]</f>
        <v>4.5575753965349262E-2</v>
      </c>
      <c r="N1809">
        <f>LN(dataset[[#This Row],[soda_units_sold]])</f>
        <v>12.192799951736271</v>
      </c>
      <c r="O1809">
        <f>LN(dataset[[#This Row],[soda_sales]])</f>
        <v>11.881811184022016</v>
      </c>
      <c r="P1809">
        <f>LN(dataset[[#This Row],[soda_ppu]])</f>
        <v>-0.31101893781621887</v>
      </c>
      <c r="Q1809">
        <f>IF(dataset[[#This Row],[state]]="VA",1,0)</f>
        <v>0</v>
      </c>
    </row>
    <row r="1810" spans="1:17" x14ac:dyDescent="0.35">
      <c r="A1810">
        <v>202209</v>
      </c>
      <c r="B1810">
        <v>87</v>
      </c>
      <c r="C1810" s="2">
        <v>3245748.3944999999</v>
      </c>
      <c r="D1810" s="2">
        <v>0.71250000000000002</v>
      </c>
      <c r="E1810" s="3">
        <v>193921</v>
      </c>
      <c r="F1810" s="2">
        <v>138171.2408</v>
      </c>
      <c r="G1810" t="s">
        <v>3184</v>
      </c>
      <c r="H1810" t="s">
        <v>8</v>
      </c>
      <c r="I1810">
        <f>HLOOKUP(G1810,zip_tiers!$A$1:$EON$2,2,FALSE)</f>
        <v>125297</v>
      </c>
      <c r="J1810" t="str">
        <f t="shared" si="28"/>
        <v>High</v>
      </c>
      <c r="K1810">
        <f>dataset[[#This Row],[soda_sales]]/dataset[[#This Row],[soda_units_sold]]</f>
        <v>0.71251303778342723</v>
      </c>
      <c r="L1810" s="29">
        <f>dataset[[#This Row],[implied_soda_ppu]]-dataset[[#This Row],[soda_ppu]]</f>
        <v>1.3037783427205518E-5</v>
      </c>
      <c r="M1810">
        <f>dataset[[#This Row],[soda_sales]]/dataset[[#This Row],[total_sales]]</f>
        <v>4.2569917321421014E-2</v>
      </c>
      <c r="N1810">
        <f>LN(dataset[[#This Row],[soda_units_sold]])</f>
        <v>12.175206138615467</v>
      </c>
      <c r="O1810">
        <f>LN(dataset[[#This Row],[soda_sales]])</f>
        <v>11.836249070252125</v>
      </c>
      <c r="P1810">
        <f>LN(dataset[[#This Row],[soda_ppu]])</f>
        <v>-0.33897536683933144</v>
      </c>
      <c r="Q1810">
        <f>IF(dataset[[#This Row],[state]]="VA",1,0)</f>
        <v>0</v>
      </c>
    </row>
    <row r="1811" spans="1:17" x14ac:dyDescent="0.35">
      <c r="A1811">
        <v>202210</v>
      </c>
      <c r="B1811">
        <v>87</v>
      </c>
      <c r="C1811" s="2">
        <v>3966910.8339999998</v>
      </c>
      <c r="D1811" s="2">
        <v>0.7107</v>
      </c>
      <c r="E1811" s="3">
        <v>190011</v>
      </c>
      <c r="F1811" s="2">
        <v>135033.97510000001</v>
      </c>
      <c r="G1811" t="s">
        <v>3184</v>
      </c>
      <c r="H1811" t="s">
        <v>8</v>
      </c>
      <c r="I1811">
        <f>HLOOKUP(G1811,zip_tiers!$A$1:$EON$2,2,FALSE)</f>
        <v>125297</v>
      </c>
      <c r="J1811" t="str">
        <f t="shared" si="28"/>
        <v>High</v>
      </c>
      <c r="K1811">
        <f>dataset[[#This Row],[soda_sales]]/dataset[[#This Row],[soda_units_sold]]</f>
        <v>0.71066398840067158</v>
      </c>
      <c r="L1811" s="29">
        <f>dataset[[#This Row],[implied_soda_ppu]]-dataset[[#This Row],[soda_ppu]]</f>
        <v>-3.6011599328422683E-5</v>
      </c>
      <c r="M1811">
        <f>dataset[[#This Row],[soda_sales]]/dataset[[#This Row],[total_sales]]</f>
        <v>3.4040083266464467E-2</v>
      </c>
      <c r="N1811">
        <f>LN(dataset[[#This Row],[soda_units_sold]])</f>
        <v>12.15483724420363</v>
      </c>
      <c r="O1811">
        <f>LN(dataset[[#This Row],[soda_sales]])</f>
        <v>11.813281693165044</v>
      </c>
      <c r="P1811">
        <f>LN(dataset[[#This Row],[soda_ppu]])</f>
        <v>-0.34150487914928757</v>
      </c>
      <c r="Q1811">
        <f>IF(dataset[[#This Row],[state]]="VA",1,0)</f>
        <v>0</v>
      </c>
    </row>
    <row r="1812" spans="1:17" x14ac:dyDescent="0.35">
      <c r="A1812">
        <v>202211</v>
      </c>
      <c r="B1812">
        <v>87</v>
      </c>
      <c r="C1812" s="2">
        <v>4574079.8143999996</v>
      </c>
      <c r="D1812" s="2">
        <v>0.755</v>
      </c>
      <c r="E1812" s="3">
        <v>177222</v>
      </c>
      <c r="F1812" s="2">
        <v>133800.4014</v>
      </c>
      <c r="G1812" t="s">
        <v>3184</v>
      </c>
      <c r="H1812" t="s">
        <v>8</v>
      </c>
      <c r="I1812">
        <f>HLOOKUP(G1812,zip_tiers!$A$1:$EON$2,2,FALSE)</f>
        <v>125297</v>
      </c>
      <c r="J1812" t="str">
        <f t="shared" si="28"/>
        <v>High</v>
      </c>
      <c r="K1812">
        <f>dataset[[#This Row],[soda_sales]]/dataset[[#This Row],[soda_units_sold]]</f>
        <v>0.75498753766462401</v>
      </c>
      <c r="L1812" s="29">
        <f>dataset[[#This Row],[implied_soda_ppu]]-dataset[[#This Row],[soda_ppu]]</f>
        <v>-1.2462335375995615E-5</v>
      </c>
      <c r="M1812">
        <f>dataset[[#This Row],[soda_sales]]/dataset[[#This Row],[total_sales]]</f>
        <v>2.9251872907589641E-2</v>
      </c>
      <c r="N1812">
        <f>LN(dataset[[#This Row],[soda_units_sold]])</f>
        <v>12.08515846294558</v>
      </c>
      <c r="O1812">
        <f>LN(dataset[[#This Row],[soda_sales]])</f>
        <v>11.804104426671765</v>
      </c>
      <c r="P1812">
        <f>LN(dataset[[#This Row],[soda_ppu]])</f>
        <v>-0.28103752973311236</v>
      </c>
      <c r="Q1812">
        <f>IF(dataset[[#This Row],[state]]="VA",1,0)</f>
        <v>0</v>
      </c>
    </row>
    <row r="1813" spans="1:17" x14ac:dyDescent="0.35">
      <c r="A1813">
        <v>202212</v>
      </c>
      <c r="B1813">
        <v>87</v>
      </c>
      <c r="C1813" s="2">
        <v>4606782.5646000002</v>
      </c>
      <c r="D1813" s="2">
        <v>0.7107</v>
      </c>
      <c r="E1813" s="3">
        <v>170261</v>
      </c>
      <c r="F1813" s="2">
        <v>121008.7435</v>
      </c>
      <c r="G1813" t="s">
        <v>3184</v>
      </c>
      <c r="H1813" t="s">
        <v>8</v>
      </c>
      <c r="I1813">
        <f>HLOOKUP(G1813,zip_tiers!$A$1:$EON$2,2,FALSE)</f>
        <v>125297</v>
      </c>
      <c r="J1813" t="str">
        <f t="shared" si="28"/>
        <v>High</v>
      </c>
      <c r="K1813">
        <f>dataset[[#This Row],[soda_sales]]/dataset[[#This Row],[soda_units_sold]]</f>
        <v>0.71072496637515348</v>
      </c>
      <c r="L1813" s="29">
        <f>dataset[[#This Row],[implied_soda_ppu]]-dataset[[#This Row],[soda_ppu]]</f>
        <v>2.4966375153478992E-5</v>
      </c>
      <c r="M1813">
        <f>dataset[[#This Row],[soda_sales]]/dataset[[#This Row],[total_sales]]</f>
        <v>2.62675179049843E-2</v>
      </c>
      <c r="N1813">
        <f>LN(dataset[[#This Row],[soda_units_sold]])</f>
        <v>12.045087832790939</v>
      </c>
      <c r="O1813">
        <f>LN(dataset[[#This Row],[soda_sales]])</f>
        <v>11.703618082298805</v>
      </c>
      <c r="P1813">
        <f>LN(dataset[[#This Row],[soda_ppu]])</f>
        <v>-0.34150487914928757</v>
      </c>
      <c r="Q1813">
        <f>IF(dataset[[#This Row],[state]]="VA",1,0)</f>
        <v>0</v>
      </c>
    </row>
    <row r="1814" spans="1:17" x14ac:dyDescent="0.35">
      <c r="A1814">
        <v>202301</v>
      </c>
      <c r="B1814">
        <v>87</v>
      </c>
      <c r="C1814" s="2">
        <v>2726259.1691000001</v>
      </c>
      <c r="D1814" s="2">
        <v>0.74129999999999996</v>
      </c>
      <c r="E1814" s="3">
        <v>126408</v>
      </c>
      <c r="F1814" s="2">
        <v>93711.213000000003</v>
      </c>
      <c r="G1814" t="s">
        <v>3184</v>
      </c>
      <c r="H1814" t="s">
        <v>8</v>
      </c>
      <c r="I1814">
        <f>HLOOKUP(G1814,zip_tiers!$A$1:$EON$2,2,FALSE)</f>
        <v>125297</v>
      </c>
      <c r="J1814" t="str">
        <f t="shared" si="28"/>
        <v>High</v>
      </c>
      <c r="K1814">
        <f>dataset[[#This Row],[soda_sales]]/dataset[[#This Row],[soda_units_sold]]</f>
        <v>0.7413392585912284</v>
      </c>
      <c r="L1814" s="29">
        <f>dataset[[#This Row],[implied_soda_ppu]]-dataset[[#This Row],[soda_ppu]]</f>
        <v>3.9258591228441553E-5</v>
      </c>
      <c r="M1814">
        <f>dataset[[#This Row],[soda_sales]]/dataset[[#This Row],[total_sales]]</f>
        <v>3.4373552618233355E-2</v>
      </c>
      <c r="N1814">
        <f>LN(dataset[[#This Row],[soda_units_sold]])</f>
        <v>11.747270049831336</v>
      </c>
      <c r="O1814">
        <f>LN(dataset[[#This Row],[soda_sales]])</f>
        <v>11.447973130223614</v>
      </c>
      <c r="P1814">
        <f>LN(dataset[[#This Row],[soda_ppu]])</f>
        <v>-0.29934987731946305</v>
      </c>
      <c r="Q1814">
        <f>IF(dataset[[#This Row],[state]]="VA",1,0)</f>
        <v>0</v>
      </c>
    </row>
    <row r="1815" spans="1:17" x14ac:dyDescent="0.35">
      <c r="A1815">
        <v>202302</v>
      </c>
      <c r="B1815">
        <v>87</v>
      </c>
      <c r="C1815" s="2">
        <v>3019455.7094999999</v>
      </c>
      <c r="D1815" s="2">
        <v>0.75660000000000005</v>
      </c>
      <c r="E1815" s="3">
        <v>137805</v>
      </c>
      <c r="F1815" s="2">
        <v>104258.1312</v>
      </c>
      <c r="G1815" t="s">
        <v>3184</v>
      </c>
      <c r="H1815" t="s">
        <v>8</v>
      </c>
      <c r="I1815">
        <f>HLOOKUP(G1815,zip_tiers!$A$1:$EON$2,2,FALSE)</f>
        <v>125297</v>
      </c>
      <c r="J1815" t="str">
        <f t="shared" si="28"/>
        <v>High</v>
      </c>
      <c r="K1815">
        <f>dataset[[#This Row],[soda_sales]]/dataset[[#This Row],[soda_units_sold]]</f>
        <v>0.75656276042233594</v>
      </c>
      <c r="L1815" s="29">
        <f>dataset[[#This Row],[implied_soda_ppu]]-dataset[[#This Row],[soda_ppu]]</f>
        <v>-3.7239577664105461E-5</v>
      </c>
      <c r="M1815">
        <f>dataset[[#This Row],[soda_sales]]/dataset[[#This Row],[total_sales]]</f>
        <v>3.4528783075696907E-2</v>
      </c>
      <c r="N1815">
        <f>LN(dataset[[#This Row],[soda_units_sold]])</f>
        <v>11.833594921373676</v>
      </c>
      <c r="O1815">
        <f>LN(dataset[[#This Row],[soda_sales]])</f>
        <v>11.554625133741732</v>
      </c>
      <c r="P1815">
        <f>LN(dataset[[#This Row],[soda_ppu]])</f>
        <v>-0.27892056678320809</v>
      </c>
      <c r="Q1815">
        <f>IF(dataset[[#This Row],[state]]="VA",1,0)</f>
        <v>0</v>
      </c>
    </row>
    <row r="1816" spans="1:17" x14ac:dyDescent="0.35">
      <c r="A1816">
        <v>202303</v>
      </c>
      <c r="B1816">
        <v>87</v>
      </c>
      <c r="C1816" s="2">
        <v>3467888.5024000001</v>
      </c>
      <c r="D1816" s="2">
        <v>0.73299999999999998</v>
      </c>
      <c r="E1816" s="3">
        <v>170297</v>
      </c>
      <c r="F1816" s="2">
        <v>124826.1283</v>
      </c>
      <c r="G1816" t="s">
        <v>3184</v>
      </c>
      <c r="H1816" t="s">
        <v>8</v>
      </c>
      <c r="I1816">
        <f>HLOOKUP(G1816,zip_tiers!$A$1:$EON$2,2,FALSE)</f>
        <v>125297</v>
      </c>
      <c r="J1816" t="str">
        <f t="shared" si="28"/>
        <v>High</v>
      </c>
      <c r="K1816">
        <f>dataset[[#This Row],[soda_sales]]/dataset[[#This Row],[soda_units_sold]]</f>
        <v>0.73299076495769155</v>
      </c>
      <c r="L1816" s="29">
        <f>dataset[[#This Row],[implied_soda_ppu]]-dataset[[#This Row],[soda_ppu]]</f>
        <v>-9.235042308430863E-6</v>
      </c>
      <c r="M1816">
        <f>dataset[[#This Row],[soda_sales]]/dataset[[#This Row],[total_sales]]</f>
        <v>3.5994850530405562E-2</v>
      </c>
      <c r="N1816">
        <f>LN(dataset[[#This Row],[soda_units_sold]])</f>
        <v>12.045299250523803</v>
      </c>
      <c r="O1816">
        <f>LN(dataset[[#This Row],[soda_sales]])</f>
        <v>11.734677074382635</v>
      </c>
      <c r="P1816">
        <f>LN(dataset[[#This Row],[soda_ppu]])</f>
        <v>-0.31060957709548559</v>
      </c>
      <c r="Q1816">
        <f>IF(dataset[[#This Row],[state]]="VA",1,0)</f>
        <v>0</v>
      </c>
    </row>
    <row r="1817" spans="1:17" x14ac:dyDescent="0.35">
      <c r="A1817">
        <v>202304</v>
      </c>
      <c r="B1817">
        <v>87</v>
      </c>
      <c r="C1817" s="2">
        <v>3585683.1508999998</v>
      </c>
      <c r="D1817" s="2">
        <v>0.75309999999999999</v>
      </c>
      <c r="E1817" s="3">
        <v>191357</v>
      </c>
      <c r="F1817" s="2">
        <v>144106.39379999999</v>
      </c>
      <c r="G1817" t="s">
        <v>3184</v>
      </c>
      <c r="H1817" t="s">
        <v>8</v>
      </c>
      <c r="I1817">
        <f>HLOOKUP(G1817,zip_tiers!$A$1:$EON$2,2,FALSE)</f>
        <v>125297</v>
      </c>
      <c r="J1817" t="str">
        <f t="shared" si="28"/>
        <v>High</v>
      </c>
      <c r="K1817">
        <f>dataset[[#This Row],[soda_sales]]/dataset[[#This Row],[soda_units_sold]]</f>
        <v>0.75307615504005598</v>
      </c>
      <c r="L1817" s="29">
        <f>dataset[[#This Row],[implied_soda_ppu]]-dataset[[#This Row],[soda_ppu]]</f>
        <v>-2.3844959944008259E-5</v>
      </c>
      <c r="M1817">
        <f>dataset[[#This Row],[soda_sales]]/dataset[[#This Row],[total_sales]]</f>
        <v>4.0189383092543898E-2</v>
      </c>
      <c r="N1817">
        <f>LN(dataset[[#This Row],[soda_units_sold]])</f>
        <v>12.161896072363989</v>
      </c>
      <c r="O1817">
        <f>LN(dataset[[#This Row],[soda_sales]])</f>
        <v>11.878307151579257</v>
      </c>
      <c r="P1817">
        <f>LN(dataset[[#This Row],[soda_ppu]])</f>
        <v>-0.28355725787483105</v>
      </c>
      <c r="Q1817">
        <f>IF(dataset[[#This Row],[state]]="VA",1,0)</f>
        <v>0</v>
      </c>
    </row>
    <row r="1818" spans="1:17" x14ac:dyDescent="0.35">
      <c r="A1818">
        <v>202305</v>
      </c>
      <c r="B1818">
        <v>87</v>
      </c>
      <c r="C1818" s="2">
        <v>3786127.3648999999</v>
      </c>
      <c r="D1818" s="2">
        <v>0.75749999999999995</v>
      </c>
      <c r="E1818" s="3">
        <v>207254</v>
      </c>
      <c r="F1818" s="2">
        <v>157004.0569</v>
      </c>
      <c r="G1818" t="s">
        <v>3184</v>
      </c>
      <c r="H1818" t="s">
        <v>8</v>
      </c>
      <c r="I1818">
        <f>HLOOKUP(G1818,zip_tiers!$A$1:$EON$2,2,FALSE)</f>
        <v>125297</v>
      </c>
      <c r="J1818" t="str">
        <f t="shared" si="28"/>
        <v>High</v>
      </c>
      <c r="K1818">
        <f>dataset[[#This Row],[soda_sales]]/dataset[[#This Row],[soda_units_sold]]</f>
        <v>0.75754415789321317</v>
      </c>
      <c r="L1818" s="29">
        <f>dataset[[#This Row],[implied_soda_ppu]]-dataset[[#This Row],[soda_ppu]]</f>
        <v>4.4157893213214727E-5</v>
      </c>
      <c r="M1818">
        <f>dataset[[#This Row],[soda_sales]]/dataset[[#This Row],[total_sales]]</f>
        <v>4.1468244928983475E-2</v>
      </c>
      <c r="N1818">
        <f>LN(dataset[[#This Row],[soda_units_sold]])</f>
        <v>12.241700373173174</v>
      </c>
      <c r="O1818">
        <f>LN(dataset[[#This Row],[soda_sales]])</f>
        <v>11.964026924123983</v>
      </c>
      <c r="P1818">
        <f>LN(dataset[[#This Row],[soda_ppu]])</f>
        <v>-0.27773174159861291</v>
      </c>
      <c r="Q1818">
        <f>IF(dataset[[#This Row],[state]]="VA",1,0)</f>
        <v>0</v>
      </c>
    </row>
    <row r="1819" spans="1:17" x14ac:dyDescent="0.35">
      <c r="A1819">
        <v>202306</v>
      </c>
      <c r="B1819">
        <v>87</v>
      </c>
      <c r="C1819" s="2">
        <v>3593422.6065000002</v>
      </c>
      <c r="D1819" s="2">
        <v>0.75280000000000002</v>
      </c>
      <c r="E1819" s="3">
        <v>218635</v>
      </c>
      <c r="F1819" s="2">
        <v>164590.58499999999</v>
      </c>
      <c r="G1819" t="s">
        <v>3184</v>
      </c>
      <c r="H1819" t="s">
        <v>8</v>
      </c>
      <c r="I1819">
        <f>HLOOKUP(G1819,zip_tiers!$A$1:$EON$2,2,FALSE)</f>
        <v>125297</v>
      </c>
      <c r="J1819" t="str">
        <f t="shared" si="28"/>
        <v>High</v>
      </c>
      <c r="K1819">
        <f>dataset[[#This Row],[soda_sales]]/dataset[[#This Row],[soda_units_sold]]</f>
        <v>0.75280986575799846</v>
      </c>
      <c r="L1819" s="29">
        <f>dataset[[#This Row],[implied_soda_ppu]]-dataset[[#This Row],[soda_ppu]]</f>
        <v>9.8657579984395838E-6</v>
      </c>
      <c r="M1819">
        <f>dataset[[#This Row],[soda_sales]]/dataset[[#This Row],[total_sales]]</f>
        <v>4.580329202089356E-2</v>
      </c>
      <c r="N1819">
        <f>LN(dataset[[#This Row],[soda_units_sold]])</f>
        <v>12.295158951697941</v>
      </c>
      <c r="O1819">
        <f>LN(dataset[[#This Row],[soda_sales]])</f>
        <v>12.011216366318205</v>
      </c>
      <c r="P1819">
        <f>LN(dataset[[#This Row],[soda_ppu]])</f>
        <v>-0.28395569071096716</v>
      </c>
      <c r="Q1819">
        <f>IF(dataset[[#This Row],[state]]="VA",1,0)</f>
        <v>0</v>
      </c>
    </row>
    <row r="1820" spans="1:17" x14ac:dyDescent="0.35">
      <c r="A1820">
        <v>202307</v>
      </c>
      <c r="B1820">
        <v>87</v>
      </c>
      <c r="C1820" s="2">
        <v>3434931.9452</v>
      </c>
      <c r="D1820" s="2">
        <v>0.75009999999999999</v>
      </c>
      <c r="E1820" s="3">
        <v>229627</v>
      </c>
      <c r="F1820" s="2">
        <v>172240.7445</v>
      </c>
      <c r="G1820" t="s">
        <v>3184</v>
      </c>
      <c r="H1820" t="s">
        <v>8</v>
      </c>
      <c r="I1820">
        <f>HLOOKUP(G1820,zip_tiers!$A$1:$EON$2,2,FALSE)</f>
        <v>125297</v>
      </c>
      <c r="J1820" t="str">
        <f t="shared" si="28"/>
        <v>High</v>
      </c>
      <c r="K1820">
        <f>dataset[[#This Row],[soda_sales]]/dataset[[#This Row],[soda_units_sold]]</f>
        <v>0.75008925126400638</v>
      </c>
      <c r="L1820" s="29">
        <f>dataset[[#This Row],[implied_soda_ppu]]-dataset[[#This Row],[soda_ppu]]</f>
        <v>-1.0748735993604264E-5</v>
      </c>
      <c r="M1820">
        <f>dataset[[#This Row],[soda_sales]]/dataset[[#This Row],[total_sales]]</f>
        <v>5.014385939747381E-2</v>
      </c>
      <c r="N1820">
        <f>LN(dataset[[#This Row],[soda_units_sold]])</f>
        <v>12.344211532332517</v>
      </c>
      <c r="O1820">
        <f>LN(dataset[[#This Row],[soda_sales]])</f>
        <v>12.05664845448594</v>
      </c>
      <c r="P1820">
        <f>LN(dataset[[#This Row],[soda_ppu]])</f>
        <v>-0.28754874800654645</v>
      </c>
      <c r="Q1820">
        <f>IF(dataset[[#This Row],[state]]="VA",1,0)</f>
        <v>0</v>
      </c>
    </row>
    <row r="1821" spans="1:17" x14ac:dyDescent="0.35">
      <c r="A1821">
        <v>202308</v>
      </c>
      <c r="B1821">
        <v>87</v>
      </c>
      <c r="C1821" s="2">
        <v>3297339.9399000001</v>
      </c>
      <c r="D1821" s="2">
        <v>0.752</v>
      </c>
      <c r="E1821" s="3">
        <v>201075</v>
      </c>
      <c r="F1821" s="2">
        <v>151217.6017</v>
      </c>
      <c r="G1821" t="s">
        <v>3184</v>
      </c>
      <c r="H1821" t="s">
        <v>8</v>
      </c>
      <c r="I1821">
        <f>HLOOKUP(G1821,zip_tiers!$A$1:$EON$2,2,FALSE)</f>
        <v>125297</v>
      </c>
      <c r="J1821" t="str">
        <f t="shared" si="28"/>
        <v>High</v>
      </c>
      <c r="K1821">
        <f>dataset[[#This Row],[soda_sales]]/dataset[[#This Row],[soda_units_sold]]</f>
        <v>0.75204576252642052</v>
      </c>
      <c r="L1821" s="29">
        <f>dataset[[#This Row],[implied_soda_ppu]]-dataset[[#This Row],[soda_ppu]]</f>
        <v>4.5762526420523031E-5</v>
      </c>
      <c r="M1821">
        <f>dataset[[#This Row],[soda_sales]]/dataset[[#This Row],[total_sales]]</f>
        <v>4.5860482830467897E-2</v>
      </c>
      <c r="N1821">
        <f>LN(dataset[[#This Row],[soda_units_sold]])</f>
        <v>12.21143325177227</v>
      </c>
      <c r="O1821">
        <f>LN(dataset[[#This Row],[soda_sales]])</f>
        <v>11.926475149311848</v>
      </c>
      <c r="P1821">
        <f>LN(dataset[[#This Row],[soda_ppu]])</f>
        <v>-0.28501895503229724</v>
      </c>
      <c r="Q1821">
        <f>IF(dataset[[#This Row],[state]]="VA",1,0)</f>
        <v>0</v>
      </c>
    </row>
    <row r="1822" spans="1:17" x14ac:dyDescent="0.35">
      <c r="A1822">
        <v>202309</v>
      </c>
      <c r="B1822">
        <v>87</v>
      </c>
      <c r="C1822" s="2">
        <v>3266148.8327000001</v>
      </c>
      <c r="D1822" s="2">
        <v>0.72850000000000004</v>
      </c>
      <c r="E1822" s="3">
        <v>196386</v>
      </c>
      <c r="F1822" s="2">
        <v>143060.09400000001</v>
      </c>
      <c r="G1822" t="s">
        <v>3184</v>
      </c>
      <c r="H1822" t="s">
        <v>8</v>
      </c>
      <c r="I1822">
        <f>HLOOKUP(G1822,zip_tiers!$A$1:$EON$2,2,FALSE)</f>
        <v>125297</v>
      </c>
      <c r="J1822" t="str">
        <f t="shared" si="28"/>
        <v>High</v>
      </c>
      <c r="K1822">
        <f>dataset[[#This Row],[soda_sales]]/dataset[[#This Row],[soda_units_sold]]</f>
        <v>0.72846381106596203</v>
      </c>
      <c r="L1822" s="29">
        <f>dataset[[#This Row],[implied_soda_ppu]]-dataset[[#This Row],[soda_ppu]]</f>
        <v>-3.618893403800616E-5</v>
      </c>
      <c r="M1822">
        <f>dataset[[#This Row],[soda_sales]]/dataset[[#This Row],[total_sales]]</f>
        <v>4.3800849663589186E-2</v>
      </c>
      <c r="N1822">
        <f>LN(dataset[[#This Row],[soda_units_sold]])</f>
        <v>12.187837389266019</v>
      </c>
      <c r="O1822">
        <f>LN(dataset[[#This Row],[soda_sales]])</f>
        <v>11.871020058729124</v>
      </c>
      <c r="P1822">
        <f>LN(dataset[[#This Row],[soda_ppu]])</f>
        <v>-0.31676765334687745</v>
      </c>
      <c r="Q1822">
        <f>IF(dataset[[#This Row],[state]]="VA",1,0)</f>
        <v>0</v>
      </c>
    </row>
    <row r="1823" spans="1:17" x14ac:dyDescent="0.35">
      <c r="A1823">
        <v>202310</v>
      </c>
      <c r="B1823">
        <v>87</v>
      </c>
      <c r="C1823" s="2">
        <v>3961925.3258000002</v>
      </c>
      <c r="D1823" s="2">
        <v>0.74729999999999996</v>
      </c>
      <c r="E1823" s="3">
        <v>181615</v>
      </c>
      <c r="F1823" s="2">
        <v>135721.12669999999</v>
      </c>
      <c r="G1823" t="s">
        <v>3184</v>
      </c>
      <c r="H1823" t="s">
        <v>8</v>
      </c>
      <c r="I1823">
        <f>HLOOKUP(G1823,zip_tiers!$A$1:$EON$2,2,FALSE)</f>
        <v>125297</v>
      </c>
      <c r="J1823" t="str">
        <f t="shared" si="28"/>
        <v>High</v>
      </c>
      <c r="K1823">
        <f>dataset[[#This Row],[soda_sales]]/dataset[[#This Row],[soda_units_sold]]</f>
        <v>0.7473013060595215</v>
      </c>
      <c r="L1823" s="29">
        <f>dataset[[#This Row],[implied_soda_ppu]]-dataset[[#This Row],[soda_ppu]]</f>
        <v>1.306059521533065E-6</v>
      </c>
      <c r="M1823">
        <f>dataset[[#This Row],[soda_sales]]/dataset[[#This Row],[total_sales]]</f>
        <v>3.4256356579006171E-2</v>
      </c>
      <c r="N1823">
        <f>LN(dataset[[#This Row],[soda_units_sold]])</f>
        <v>12.109644340857153</v>
      </c>
      <c r="O1823">
        <f>LN(dataset[[#This Row],[soda_sales]])</f>
        <v>11.818357520514164</v>
      </c>
      <c r="P1823">
        <f>LN(dataset[[#This Row],[soda_ppu]])</f>
        <v>-0.29128856804589265</v>
      </c>
      <c r="Q1823">
        <f>IF(dataset[[#This Row],[state]]="VA",1,0)</f>
        <v>0</v>
      </c>
    </row>
    <row r="1824" spans="1:17" x14ac:dyDescent="0.35">
      <c r="A1824">
        <v>202311</v>
      </c>
      <c r="B1824">
        <v>87</v>
      </c>
      <c r="C1824" s="2">
        <v>4565152.7063999996</v>
      </c>
      <c r="D1824" s="2">
        <v>0.77110000000000001</v>
      </c>
      <c r="E1824" s="3">
        <v>175312</v>
      </c>
      <c r="F1824" s="2">
        <v>135174.33730000001</v>
      </c>
      <c r="G1824" t="s">
        <v>3184</v>
      </c>
      <c r="H1824" t="s">
        <v>8</v>
      </c>
      <c r="I1824">
        <f>HLOOKUP(G1824,zip_tiers!$A$1:$EON$2,2,FALSE)</f>
        <v>125297</v>
      </c>
      <c r="J1824" t="str">
        <f t="shared" si="28"/>
        <v>High</v>
      </c>
      <c r="K1824">
        <f>dataset[[#This Row],[soda_sales]]/dataset[[#This Row],[soda_units_sold]]</f>
        <v>0.771050112371087</v>
      </c>
      <c r="L1824" s="29">
        <f>dataset[[#This Row],[implied_soda_ppu]]-dataset[[#This Row],[soda_ppu]]</f>
        <v>-4.9887628913003468E-5</v>
      </c>
      <c r="M1824">
        <f>dataset[[#This Row],[soda_sales]]/dataset[[#This Row],[total_sales]]</f>
        <v>2.9610036288708546E-2</v>
      </c>
      <c r="N1824">
        <f>LN(dataset[[#This Row],[soda_units_sold]])</f>
        <v>12.074322522645174</v>
      </c>
      <c r="O1824">
        <f>LN(dataset[[#This Row],[soda_sales]])</f>
        <v>11.814320611704435</v>
      </c>
      <c r="P1824">
        <f>LN(dataset[[#This Row],[soda_ppu]])</f>
        <v>-0.25993721214322207</v>
      </c>
      <c r="Q1824">
        <f>IF(dataset[[#This Row],[state]]="VA",1,0)</f>
        <v>0</v>
      </c>
    </row>
    <row r="1825" spans="1:17" x14ac:dyDescent="0.35">
      <c r="A1825">
        <v>202312</v>
      </c>
      <c r="B1825">
        <v>87</v>
      </c>
      <c r="C1825" s="2">
        <v>4686035.2361000003</v>
      </c>
      <c r="D1825" s="2">
        <v>0.76880000000000004</v>
      </c>
      <c r="E1825" s="3">
        <v>165829</v>
      </c>
      <c r="F1825" s="2">
        <v>127496.0436</v>
      </c>
      <c r="G1825" t="s">
        <v>3184</v>
      </c>
      <c r="H1825" t="s">
        <v>8</v>
      </c>
      <c r="I1825">
        <f>HLOOKUP(G1825,zip_tiers!$A$1:$EON$2,2,FALSE)</f>
        <v>125297</v>
      </c>
      <c r="J1825" t="str">
        <f t="shared" si="28"/>
        <v>High</v>
      </c>
      <c r="K1825">
        <f>dataset[[#This Row],[soda_sales]]/dataset[[#This Row],[soda_units_sold]]</f>
        <v>0.76884045372039878</v>
      </c>
      <c r="L1825" s="29">
        <f>dataset[[#This Row],[implied_soda_ppu]]-dataset[[#This Row],[soda_ppu]]</f>
        <v>4.0453720398736515E-5</v>
      </c>
      <c r="M1825">
        <f>dataset[[#This Row],[soda_sales]]/dataset[[#This Row],[total_sales]]</f>
        <v>2.7207657897619621E-2</v>
      </c>
      <c r="N1825">
        <f>LN(dataset[[#This Row],[soda_units_sold]])</f>
        <v>12.018712415917998</v>
      </c>
      <c r="O1825">
        <f>LN(dataset[[#This Row],[soda_sales]])</f>
        <v>11.755840612510925</v>
      </c>
      <c r="P1825">
        <f>LN(dataset[[#This Row],[soda_ppu]])</f>
        <v>-0.26292442132605426</v>
      </c>
      <c r="Q1825">
        <f>IF(dataset[[#This Row],[state]]="VA",1,0)</f>
        <v>0</v>
      </c>
    </row>
    <row r="1826" spans="1:17" x14ac:dyDescent="0.35">
      <c r="A1826">
        <v>202401</v>
      </c>
      <c r="B1826">
        <v>87</v>
      </c>
      <c r="C1826" s="2">
        <v>2715771.19</v>
      </c>
      <c r="D1826" s="2">
        <v>0.76929999999999998</v>
      </c>
      <c r="E1826" s="3">
        <v>124572</v>
      </c>
      <c r="F1826" s="2">
        <v>95830.765499999994</v>
      </c>
      <c r="G1826" t="s">
        <v>3184</v>
      </c>
      <c r="H1826" t="s">
        <v>8</v>
      </c>
      <c r="I1826">
        <f>HLOOKUP(G1826,zip_tiers!$A$1:$EON$2,2,FALSE)</f>
        <v>125297</v>
      </c>
      <c r="J1826" t="str">
        <f t="shared" si="28"/>
        <v>High</v>
      </c>
      <c r="K1826">
        <f>dataset[[#This Row],[soda_sales]]/dataset[[#This Row],[soda_units_sold]]</f>
        <v>0.76928013919660909</v>
      </c>
      <c r="L1826" s="29">
        <f>dataset[[#This Row],[implied_soda_ppu]]-dataset[[#This Row],[soda_ppu]]</f>
        <v>-1.9860803390892023E-5</v>
      </c>
      <c r="M1826">
        <f>dataset[[#This Row],[soda_sales]]/dataset[[#This Row],[total_sales]]</f>
        <v>3.5286759743555565E-2</v>
      </c>
      <c r="N1826">
        <f>LN(dataset[[#This Row],[soda_units_sold]])</f>
        <v>11.732639140981245</v>
      </c>
      <c r="O1826">
        <f>LN(dataset[[#This Row],[soda_sales]])</f>
        <v>11.470339055409838</v>
      </c>
      <c r="P1826">
        <f>LN(dataset[[#This Row],[soda_ppu]])</f>
        <v>-0.26227426851724811</v>
      </c>
      <c r="Q1826">
        <f>IF(dataset[[#This Row],[state]]="VA",1,0)</f>
        <v>0</v>
      </c>
    </row>
    <row r="1827" spans="1:17" x14ac:dyDescent="0.35">
      <c r="A1827">
        <v>202402</v>
      </c>
      <c r="B1827">
        <v>87</v>
      </c>
      <c r="C1827" s="2">
        <v>3130327.9446</v>
      </c>
      <c r="D1827" s="2">
        <v>0.75729999999999997</v>
      </c>
      <c r="E1827" s="3">
        <v>143472</v>
      </c>
      <c r="F1827" s="2">
        <v>108646.8921</v>
      </c>
      <c r="G1827" t="s">
        <v>3184</v>
      </c>
      <c r="H1827" t="s">
        <v>8</v>
      </c>
      <c r="I1827">
        <f>HLOOKUP(G1827,zip_tiers!$A$1:$EON$2,2,FALSE)</f>
        <v>125297</v>
      </c>
      <c r="J1827" t="str">
        <f t="shared" si="28"/>
        <v>High</v>
      </c>
      <c r="K1827">
        <f>dataset[[#This Row],[soda_sales]]/dataset[[#This Row],[soda_units_sold]]</f>
        <v>0.75726895910003345</v>
      </c>
      <c r="L1827" s="29">
        <f>dataset[[#This Row],[implied_soda_ppu]]-dataset[[#This Row],[soda_ppu]]</f>
        <v>-3.1040899966527924E-5</v>
      </c>
      <c r="M1827">
        <f>dataset[[#This Row],[soda_sales]]/dataset[[#This Row],[total_sales]]</f>
        <v>3.4707830624399041E-2</v>
      </c>
      <c r="N1827">
        <f>LN(dataset[[#This Row],[soda_units_sold]])</f>
        <v>11.873895173191828</v>
      </c>
      <c r="O1827">
        <f>LN(dataset[[#This Row],[soda_sales]])</f>
        <v>11.595858380581483</v>
      </c>
      <c r="P1827">
        <f>LN(dataset[[#This Row],[soda_ppu]])</f>
        <v>-0.27799580286236009</v>
      </c>
      <c r="Q1827">
        <f>IF(dataset[[#This Row],[state]]="VA",1,0)</f>
        <v>0</v>
      </c>
    </row>
    <row r="1828" spans="1:17" x14ac:dyDescent="0.35">
      <c r="A1828">
        <v>202403</v>
      </c>
      <c r="B1828">
        <v>87</v>
      </c>
      <c r="C1828" s="2">
        <v>3498195.8002999998</v>
      </c>
      <c r="D1828" s="2">
        <v>0.77800000000000002</v>
      </c>
      <c r="E1828" s="3">
        <v>163952</v>
      </c>
      <c r="F1828" s="2">
        <v>127559.2335</v>
      </c>
      <c r="G1828" t="s">
        <v>3184</v>
      </c>
      <c r="H1828" t="s">
        <v>8</v>
      </c>
      <c r="I1828">
        <f>HLOOKUP(G1828,zip_tiers!$A$1:$EON$2,2,FALSE)</f>
        <v>125297</v>
      </c>
      <c r="J1828" t="str">
        <f t="shared" si="28"/>
        <v>High</v>
      </c>
      <c r="K1828">
        <f>dataset[[#This Row],[soda_sales]]/dataset[[#This Row],[soda_units_sold]]</f>
        <v>0.77802791975700203</v>
      </c>
      <c r="L1828" s="29">
        <f>dataset[[#This Row],[implied_soda_ppu]]-dataset[[#This Row],[soda_ppu]]</f>
        <v>2.7919757002003998E-5</v>
      </c>
      <c r="M1828">
        <f>dataset[[#This Row],[soda_sales]]/dataset[[#This Row],[total_sales]]</f>
        <v>3.6464292104250062E-2</v>
      </c>
      <c r="N1828">
        <f>LN(dataset[[#This Row],[soda_units_sold]])</f>
        <v>12.0073289810395</v>
      </c>
      <c r="O1828">
        <f>LN(dataset[[#This Row],[soda_sales]])</f>
        <v>11.75633611216897</v>
      </c>
      <c r="P1828">
        <f>LN(dataset[[#This Row],[soda_ppu]])</f>
        <v>-0.25102875480374542</v>
      </c>
      <c r="Q1828">
        <f>IF(dataset[[#This Row],[state]]="VA",1,0)</f>
        <v>0</v>
      </c>
    </row>
    <row r="1829" spans="1:17" x14ac:dyDescent="0.35">
      <c r="A1829">
        <v>202404</v>
      </c>
      <c r="B1829">
        <v>87</v>
      </c>
      <c r="C1829" s="2">
        <v>3719941.3369</v>
      </c>
      <c r="D1829" s="2">
        <v>0.77280000000000004</v>
      </c>
      <c r="E1829" s="3">
        <v>194551</v>
      </c>
      <c r="F1829" s="2">
        <v>150346.7935</v>
      </c>
      <c r="G1829" t="s">
        <v>3184</v>
      </c>
      <c r="H1829" t="s">
        <v>8</v>
      </c>
      <c r="I1829">
        <f>HLOOKUP(G1829,zip_tiers!$A$1:$EON$2,2,FALSE)</f>
        <v>125297</v>
      </c>
      <c r="J1829" t="str">
        <f t="shared" si="28"/>
        <v>High</v>
      </c>
      <c r="K1829">
        <f>dataset[[#This Row],[soda_sales]]/dataset[[#This Row],[soda_units_sold]]</f>
        <v>0.77278859270833866</v>
      </c>
      <c r="L1829" s="29">
        <f>dataset[[#This Row],[implied_soda_ppu]]-dataset[[#This Row],[soda_ppu]]</f>
        <v>-1.1407291661380548E-5</v>
      </c>
      <c r="M1829">
        <f>dataset[[#This Row],[soda_sales]]/dataset[[#This Row],[total_sales]]</f>
        <v>4.0416442057468298E-2</v>
      </c>
      <c r="N1829">
        <f>LN(dataset[[#This Row],[soda_units_sold]])</f>
        <v>12.17844961846631</v>
      </c>
      <c r="O1829">
        <f>LN(dataset[[#This Row],[soda_sales]])</f>
        <v>11.920699861285362</v>
      </c>
      <c r="P1829">
        <f>LN(dataset[[#This Row],[soda_ppu]])</f>
        <v>-0.25773499608382877</v>
      </c>
      <c r="Q1829">
        <f>IF(dataset[[#This Row],[state]]="VA",1,0)</f>
        <v>0</v>
      </c>
    </row>
    <row r="1830" spans="1:17" x14ac:dyDescent="0.35">
      <c r="A1830">
        <v>202405</v>
      </c>
      <c r="B1830">
        <v>87</v>
      </c>
      <c r="C1830" s="2">
        <v>3831772.7538000001</v>
      </c>
      <c r="D1830" s="2">
        <v>0.78169999999999995</v>
      </c>
      <c r="E1830" s="3">
        <v>211965</v>
      </c>
      <c r="F1830" s="2">
        <v>165688.68840000001</v>
      </c>
      <c r="G1830" t="s">
        <v>3184</v>
      </c>
      <c r="H1830" t="s">
        <v>8</v>
      </c>
      <c r="I1830">
        <f>HLOOKUP(G1830,zip_tiers!$A$1:$EON$2,2,FALSE)</f>
        <v>125297</v>
      </c>
      <c r="J1830" t="str">
        <f t="shared" si="28"/>
        <v>High</v>
      </c>
      <c r="K1830">
        <f>dataset[[#This Row],[soda_sales]]/dataset[[#This Row],[soda_units_sold]]</f>
        <v>0.78167946783667119</v>
      </c>
      <c r="L1830" s="29">
        <f>dataset[[#This Row],[implied_soda_ppu]]-dataset[[#This Row],[soda_ppu]]</f>
        <v>-2.0532163328756958E-5</v>
      </c>
      <c r="M1830">
        <f>dataset[[#This Row],[soda_sales]]/dataset[[#This Row],[total_sales]]</f>
        <v>4.3240739742638756E-2</v>
      </c>
      <c r="N1830">
        <f>LN(dataset[[#This Row],[soda_units_sold]])</f>
        <v>12.264176445684956</v>
      </c>
      <c r="O1830">
        <f>LN(dataset[[#This Row],[soda_sales]])</f>
        <v>12.017865935544323</v>
      </c>
      <c r="P1830">
        <f>LN(dataset[[#This Row],[soda_ppu]])</f>
        <v>-0.24628424375585237</v>
      </c>
      <c r="Q1830">
        <f>IF(dataset[[#This Row],[state]]="VA",1,0)</f>
        <v>0</v>
      </c>
    </row>
    <row r="1831" spans="1:17" x14ac:dyDescent="0.35">
      <c r="A1831">
        <v>202406</v>
      </c>
      <c r="B1831">
        <v>87</v>
      </c>
      <c r="C1831" s="2">
        <v>3711760.1211999999</v>
      </c>
      <c r="D1831" s="2">
        <v>0.80649999999999999</v>
      </c>
      <c r="E1831" s="3">
        <v>218744</v>
      </c>
      <c r="F1831" s="2">
        <v>176414.34349999999</v>
      </c>
      <c r="G1831" t="s">
        <v>3184</v>
      </c>
      <c r="H1831" t="s">
        <v>8</v>
      </c>
      <c r="I1831">
        <f>HLOOKUP(G1831,zip_tiers!$A$1:$EON$2,2,FALSE)</f>
        <v>125297</v>
      </c>
      <c r="J1831" t="str">
        <f t="shared" si="28"/>
        <v>High</v>
      </c>
      <c r="K1831">
        <f>dataset[[#This Row],[soda_sales]]/dataset[[#This Row],[soda_units_sold]]</f>
        <v>0.80648769109095564</v>
      </c>
      <c r="L1831" s="29">
        <f>dataset[[#This Row],[implied_soda_ppu]]-dataset[[#This Row],[soda_ppu]]</f>
        <v>-1.230890904435622E-5</v>
      </c>
      <c r="M1831">
        <f>dataset[[#This Row],[soda_sales]]/dataset[[#This Row],[total_sales]]</f>
        <v>4.7528487224267557E-2</v>
      </c>
      <c r="N1831">
        <f>LN(dataset[[#This Row],[soda_units_sold]])</f>
        <v>12.295657375272262</v>
      </c>
      <c r="O1831">
        <f>LN(dataset[[#This Row],[soda_sales]])</f>
        <v>12.080590731607433</v>
      </c>
      <c r="P1831">
        <f>LN(dataset[[#This Row],[soda_ppu]])</f>
        <v>-0.21505138141687349</v>
      </c>
      <c r="Q1831">
        <f>IF(dataset[[#This Row],[state]]="VA",1,0)</f>
        <v>0</v>
      </c>
    </row>
    <row r="1832" spans="1:17" x14ac:dyDescent="0.35">
      <c r="A1832">
        <v>202407</v>
      </c>
      <c r="B1832">
        <v>87</v>
      </c>
      <c r="C1832" s="2">
        <v>3466776.8668</v>
      </c>
      <c r="D1832" s="2">
        <v>0.79049999999999998</v>
      </c>
      <c r="E1832" s="3">
        <v>220354</v>
      </c>
      <c r="F1832" s="2">
        <v>174186.38260000001</v>
      </c>
      <c r="G1832" t="s">
        <v>3184</v>
      </c>
      <c r="H1832" t="s">
        <v>8</v>
      </c>
      <c r="I1832">
        <f>HLOOKUP(G1832,zip_tiers!$A$1:$EON$2,2,FALSE)</f>
        <v>125297</v>
      </c>
      <c r="J1832" t="str">
        <f t="shared" si="28"/>
        <v>High</v>
      </c>
      <c r="K1832">
        <f>dataset[[#This Row],[soda_sales]]/dataset[[#This Row],[soda_units_sold]]</f>
        <v>0.79048432340688168</v>
      </c>
      <c r="L1832" s="29">
        <f>dataset[[#This Row],[implied_soda_ppu]]-dataset[[#This Row],[soda_ppu]]</f>
        <v>-1.5676593118296722E-5</v>
      </c>
      <c r="M1832">
        <f>dataset[[#This Row],[soda_sales]]/dataset[[#This Row],[total_sales]]</f>
        <v>5.0244474707361923E-2</v>
      </c>
      <c r="N1832">
        <f>LN(dataset[[#This Row],[soda_units_sold]])</f>
        <v>12.302990623043877</v>
      </c>
      <c r="O1832">
        <f>LN(dataset[[#This Row],[soda_sales]])</f>
        <v>12.067881169277284</v>
      </c>
      <c r="P1832">
        <f>LN(dataset[[#This Row],[soda_ppu]])</f>
        <v>-0.23508962233261038</v>
      </c>
      <c r="Q1832">
        <f>IF(dataset[[#This Row],[state]]="VA",1,0)</f>
        <v>0</v>
      </c>
    </row>
    <row r="1833" spans="1:17" x14ac:dyDescent="0.35">
      <c r="A1833">
        <v>202408</v>
      </c>
      <c r="B1833">
        <v>87</v>
      </c>
      <c r="C1833" s="2">
        <v>3372701.3202</v>
      </c>
      <c r="D1833" s="2">
        <v>0.79759999999999998</v>
      </c>
      <c r="E1833" s="3">
        <v>195339</v>
      </c>
      <c r="F1833" s="2">
        <v>155803.80929999999</v>
      </c>
      <c r="G1833" t="s">
        <v>3184</v>
      </c>
      <c r="H1833" t="s">
        <v>8</v>
      </c>
      <c r="I1833">
        <f>HLOOKUP(G1833,zip_tiers!$A$1:$EON$2,2,FALSE)</f>
        <v>125297</v>
      </c>
      <c r="J1833" t="str">
        <f t="shared" si="28"/>
        <v>High</v>
      </c>
      <c r="K1833">
        <f>dataset[[#This Row],[soda_sales]]/dataset[[#This Row],[soda_units_sold]]</f>
        <v>0.79760728425967165</v>
      </c>
      <c r="L1833" s="29">
        <f>dataset[[#This Row],[implied_soda_ppu]]-dataset[[#This Row],[soda_ppu]]</f>
        <v>7.2842596716693464E-6</v>
      </c>
      <c r="M1833">
        <f>dataset[[#This Row],[soda_sales]]/dataset[[#This Row],[total_sales]]</f>
        <v>4.6195554989364097E-2</v>
      </c>
      <c r="N1833">
        <f>LN(dataset[[#This Row],[soda_units_sold]])</f>
        <v>12.182491789709159</v>
      </c>
      <c r="O1833">
        <f>LN(dataset[[#This Row],[soda_sales]])</f>
        <v>11.956352862055706</v>
      </c>
      <c r="P1833">
        <f>LN(dataset[[#This Row],[soda_ppu]])</f>
        <v>-0.22614806033450852</v>
      </c>
      <c r="Q1833">
        <f>IF(dataset[[#This Row],[state]]="VA",1,0)</f>
        <v>0</v>
      </c>
    </row>
    <row r="1834" spans="1:17" x14ac:dyDescent="0.35">
      <c r="A1834">
        <v>202409</v>
      </c>
      <c r="B1834">
        <v>87</v>
      </c>
      <c r="C1834" s="2">
        <v>3403300.3914000001</v>
      </c>
      <c r="D1834" s="2">
        <v>0.80310000000000004</v>
      </c>
      <c r="E1834" s="3">
        <v>188966</v>
      </c>
      <c r="F1834" s="2">
        <v>151757.15040000001</v>
      </c>
      <c r="G1834" t="s">
        <v>3184</v>
      </c>
      <c r="H1834" t="s">
        <v>8</v>
      </c>
      <c r="I1834">
        <f>HLOOKUP(G1834,zip_tiers!$A$1:$EON$2,2,FALSE)</f>
        <v>125297</v>
      </c>
      <c r="J1834" t="str">
        <f t="shared" si="28"/>
        <v>High</v>
      </c>
      <c r="K1834">
        <f>dataset[[#This Row],[soda_sales]]/dataset[[#This Row],[soda_units_sold]]</f>
        <v>0.8030923573552915</v>
      </c>
      <c r="L1834" s="29">
        <f>dataset[[#This Row],[implied_soda_ppu]]-dataset[[#This Row],[soda_ppu]]</f>
        <v>-7.6426447085387039E-6</v>
      </c>
      <c r="M1834">
        <f>dataset[[#This Row],[soda_sales]]/dataset[[#This Row],[total_sales]]</f>
        <v>4.4591171200604005E-2</v>
      </c>
      <c r="N1834">
        <f>LN(dataset[[#This Row],[soda_units_sold]])</f>
        <v>12.149322383678987</v>
      </c>
      <c r="O1834">
        <f>LN(dataset[[#This Row],[soda_sales]])</f>
        <v>11.930036827416265</v>
      </c>
      <c r="P1834">
        <f>LN(dataset[[#This Row],[soda_ppu]])</f>
        <v>-0.21927603978772048</v>
      </c>
      <c r="Q1834">
        <f>IF(dataset[[#This Row],[state]]="VA",1,0)</f>
        <v>0</v>
      </c>
    </row>
    <row r="1835" spans="1:17" x14ac:dyDescent="0.35">
      <c r="A1835">
        <v>202410</v>
      </c>
      <c r="B1835">
        <v>87</v>
      </c>
      <c r="C1835" s="2">
        <v>4145113.5092000002</v>
      </c>
      <c r="D1835" s="2">
        <v>0.75549999999999995</v>
      </c>
      <c r="E1835" s="3">
        <v>187736</v>
      </c>
      <c r="F1835" s="2">
        <v>141830.54819999999</v>
      </c>
      <c r="G1835" t="s">
        <v>3184</v>
      </c>
      <c r="H1835" t="s">
        <v>8</v>
      </c>
      <c r="I1835">
        <f>HLOOKUP(G1835,zip_tiers!$A$1:$EON$2,2,FALSE)</f>
        <v>125297</v>
      </c>
      <c r="J1835" t="str">
        <f t="shared" si="28"/>
        <v>High</v>
      </c>
      <c r="K1835">
        <f>dataset[[#This Row],[soda_sales]]/dataset[[#This Row],[soda_units_sold]]</f>
        <v>0.75547869454979333</v>
      </c>
      <c r="L1835" s="29">
        <f>dataset[[#This Row],[implied_soda_ppu]]-dataset[[#This Row],[soda_ppu]]</f>
        <v>-2.1305450206621224E-5</v>
      </c>
      <c r="M1835">
        <f>dataset[[#This Row],[soda_sales]]/dataset[[#This Row],[total_sales]]</f>
        <v>3.4216324326272321E-2</v>
      </c>
      <c r="N1835">
        <f>LN(dataset[[#This Row],[soda_units_sold]])</f>
        <v>12.142791999602432</v>
      </c>
      <c r="O1835">
        <f>LN(dataset[[#This Row],[soda_sales]])</f>
        <v>11.862388301471904</v>
      </c>
      <c r="P1835">
        <f>LN(dataset[[#This Row],[soda_ppu]])</f>
        <v>-0.28037549726934285</v>
      </c>
      <c r="Q1835">
        <f>IF(dataset[[#This Row],[state]]="VA",1,0)</f>
        <v>0</v>
      </c>
    </row>
    <row r="1836" spans="1:17" x14ac:dyDescent="0.35">
      <c r="A1836">
        <v>202411</v>
      </c>
      <c r="B1836">
        <v>87</v>
      </c>
      <c r="C1836" s="2">
        <v>4627259.9989</v>
      </c>
      <c r="D1836" s="2">
        <v>0.78359999999999996</v>
      </c>
      <c r="E1836" s="3">
        <v>170019</v>
      </c>
      <c r="F1836" s="2">
        <v>133223.75779999999</v>
      </c>
      <c r="G1836" t="s">
        <v>3184</v>
      </c>
      <c r="H1836" t="s">
        <v>8</v>
      </c>
      <c r="I1836">
        <f>HLOOKUP(G1836,zip_tiers!$A$1:$EON$2,2,FALSE)</f>
        <v>125297</v>
      </c>
      <c r="J1836" t="str">
        <f t="shared" si="28"/>
        <v>High</v>
      </c>
      <c r="K1836">
        <f>dataset[[#This Row],[soda_sales]]/dataset[[#This Row],[soda_units_sold]]</f>
        <v>0.78358158676383227</v>
      </c>
      <c r="L1836" s="29">
        <f>dataset[[#This Row],[implied_soda_ppu]]-dataset[[#This Row],[soda_ppu]]</f>
        <v>-1.8413236167691416E-5</v>
      </c>
      <c r="M1836">
        <f>dataset[[#This Row],[soda_sales]]/dataset[[#This Row],[total_sales]]</f>
        <v>2.8791068111943173E-2</v>
      </c>
      <c r="N1836">
        <f>LN(dataset[[#This Row],[soda_units_sold]])</f>
        <v>12.043665474493071</v>
      </c>
      <c r="O1836">
        <f>LN(dataset[[#This Row],[soda_sales]])</f>
        <v>11.799785383045702</v>
      </c>
      <c r="P1836">
        <f>LN(dataset[[#This Row],[soda_ppu]])</f>
        <v>-0.24385659291175141</v>
      </c>
      <c r="Q1836">
        <f>IF(dataset[[#This Row],[state]]="VA",1,0)</f>
        <v>0</v>
      </c>
    </row>
    <row r="1837" spans="1:17" x14ac:dyDescent="0.35">
      <c r="A1837">
        <v>202412</v>
      </c>
      <c r="B1837">
        <v>87</v>
      </c>
      <c r="C1837" s="2">
        <v>4835431.3945000004</v>
      </c>
      <c r="D1837" s="2">
        <v>0.75939999999999996</v>
      </c>
      <c r="E1837" s="3">
        <v>166402</v>
      </c>
      <c r="F1837" s="2">
        <v>126373.79670000001</v>
      </c>
      <c r="G1837" t="s">
        <v>3184</v>
      </c>
      <c r="H1837" t="s">
        <v>8</v>
      </c>
      <c r="I1837">
        <f>HLOOKUP(G1837,zip_tiers!$A$1:$EON$2,2,FALSE)</f>
        <v>125297</v>
      </c>
      <c r="J1837" t="str">
        <f t="shared" si="28"/>
        <v>High</v>
      </c>
      <c r="K1837">
        <f>dataset[[#This Row],[soda_sales]]/dataset[[#This Row],[soda_units_sold]]</f>
        <v>0.75944878487037415</v>
      </c>
      <c r="L1837" s="29">
        <f>dataset[[#This Row],[implied_soda_ppu]]-dataset[[#This Row],[soda_ppu]]</f>
        <v>4.8784870374185552E-5</v>
      </c>
      <c r="M1837">
        <f>dataset[[#This Row],[soda_sales]]/dataset[[#This Row],[total_sales]]</f>
        <v>2.6134958060565653E-2</v>
      </c>
      <c r="N1837">
        <f>LN(dataset[[#This Row],[soda_units_sold]])</f>
        <v>12.022161826527784</v>
      </c>
      <c r="O1837">
        <f>LN(dataset[[#This Row],[soda_sales]])</f>
        <v>11.74699943461572</v>
      </c>
      <c r="P1837">
        <f>LN(dataset[[#This Row],[soda_ppu]])</f>
        <v>-0.27522663118443513</v>
      </c>
      <c r="Q1837">
        <f>IF(dataset[[#This Row],[state]]="VA",1,0)</f>
        <v>0</v>
      </c>
    </row>
    <row r="1838" spans="1:17" x14ac:dyDescent="0.35">
      <c r="A1838">
        <v>202201</v>
      </c>
      <c r="B1838">
        <v>54</v>
      </c>
      <c r="C1838" s="2">
        <v>1396619.5817</v>
      </c>
      <c r="D1838" s="2">
        <v>0.71709999999999996</v>
      </c>
      <c r="E1838" s="3">
        <v>133261</v>
      </c>
      <c r="F1838" s="2">
        <v>95560.436100000006</v>
      </c>
      <c r="G1838" t="s">
        <v>3205</v>
      </c>
      <c r="H1838" t="s">
        <v>8</v>
      </c>
      <c r="I1838" t="str">
        <f>HLOOKUP(G1838,zip_tiers!$A$1:$EON$2,2,FALSE)</f>
        <v/>
      </c>
      <c r="J1838" t="str">
        <f t="shared" si="28"/>
        <v>No Data</v>
      </c>
      <c r="K1838">
        <f>dataset[[#This Row],[soda_sales]]/dataset[[#This Row],[soda_units_sold]]</f>
        <v>0.71709229331912572</v>
      </c>
      <c r="L1838" s="29">
        <f>dataset[[#This Row],[implied_soda_ppu]]-dataset[[#This Row],[soda_ppu]]</f>
        <v>-7.7066808742420889E-6</v>
      </c>
      <c r="M1838">
        <f>dataset[[#This Row],[soda_sales]]/dataset[[#This Row],[total_sales]]</f>
        <v>6.8422666667526943E-2</v>
      </c>
      <c r="N1838">
        <f>LN(dataset[[#This Row],[soda_units_sold]])</f>
        <v>11.800064890215642</v>
      </c>
      <c r="O1838">
        <f>LN(dataset[[#This Row],[soda_sales]])</f>
        <v>11.467514165054281</v>
      </c>
      <c r="P1838">
        <f>LN(dataset[[#This Row],[soda_ppu]])</f>
        <v>-0.33253997809360791</v>
      </c>
      <c r="Q1838">
        <f>IF(dataset[[#This Row],[state]]="VA",1,0)</f>
        <v>0</v>
      </c>
    </row>
    <row r="1839" spans="1:17" x14ac:dyDescent="0.35">
      <c r="A1839">
        <v>202202</v>
      </c>
      <c r="B1839">
        <v>54</v>
      </c>
      <c r="C1839" s="2">
        <v>1569845.6557</v>
      </c>
      <c r="D1839" s="2">
        <v>0.74039999999999995</v>
      </c>
      <c r="E1839" s="3">
        <v>141639</v>
      </c>
      <c r="F1839" s="2">
        <v>104869.5561</v>
      </c>
      <c r="G1839" t="s">
        <v>3205</v>
      </c>
      <c r="H1839" t="s">
        <v>8</v>
      </c>
      <c r="I1839" t="str">
        <f>HLOOKUP(G1839,zip_tiers!$A$1:$EON$2,2,FALSE)</f>
        <v/>
      </c>
      <c r="J1839" t="str">
        <f t="shared" si="28"/>
        <v>No Data</v>
      </c>
      <c r="K1839">
        <f>dataset[[#This Row],[soda_sales]]/dataset[[#This Row],[soda_units_sold]]</f>
        <v>0.74040028593819496</v>
      </c>
      <c r="L1839" s="29">
        <f>dataset[[#This Row],[implied_soda_ppu]]-dataset[[#This Row],[soda_ppu]]</f>
        <v>2.8593819501043782E-7</v>
      </c>
      <c r="M1839">
        <f>dataset[[#This Row],[soda_sales]]/dataset[[#This Row],[total_sales]]</f>
        <v>6.6802462853100222E-2</v>
      </c>
      <c r="N1839">
        <f>LN(dataset[[#This Row],[soda_units_sold]])</f>
        <v>11.861036846048417</v>
      </c>
      <c r="O1839">
        <f>LN(dataset[[#This Row],[soda_sales]])</f>
        <v>11.560472533959761</v>
      </c>
      <c r="P1839">
        <f>LN(dataset[[#This Row],[soda_ppu]])</f>
        <v>-0.3005646982827947</v>
      </c>
      <c r="Q1839">
        <f>IF(dataset[[#This Row],[state]]="VA",1,0)</f>
        <v>0</v>
      </c>
    </row>
    <row r="1840" spans="1:17" x14ac:dyDescent="0.35">
      <c r="A1840">
        <v>202203</v>
      </c>
      <c r="B1840">
        <v>54</v>
      </c>
      <c r="C1840" s="2">
        <v>1741140.3019999999</v>
      </c>
      <c r="D1840" s="2">
        <v>0.75600000000000001</v>
      </c>
      <c r="E1840" s="3">
        <v>157101</v>
      </c>
      <c r="F1840" s="2">
        <v>118767.3979</v>
      </c>
      <c r="G1840" t="s">
        <v>3205</v>
      </c>
      <c r="H1840" t="s">
        <v>8</v>
      </c>
      <c r="I1840" t="str">
        <f>HLOOKUP(G1840,zip_tiers!$A$1:$EON$2,2,FALSE)</f>
        <v/>
      </c>
      <c r="J1840" t="str">
        <f t="shared" si="28"/>
        <v>No Data</v>
      </c>
      <c r="K1840">
        <f>dataset[[#This Row],[soda_sales]]/dataset[[#This Row],[soda_units_sold]]</f>
        <v>0.75599390137554823</v>
      </c>
      <c r="L1840" s="29">
        <f>dataset[[#This Row],[implied_soda_ppu]]-dataset[[#This Row],[soda_ppu]]</f>
        <v>-6.0986244517780008E-6</v>
      </c>
      <c r="M1840">
        <f>dataset[[#This Row],[soda_sales]]/dataset[[#This Row],[total_sales]]</f>
        <v>6.8212422493221916E-2</v>
      </c>
      <c r="N1840">
        <f>LN(dataset[[#This Row],[soda_units_sold]])</f>
        <v>11.964644189595829</v>
      </c>
      <c r="O1840">
        <f>LN(dataset[[#This Row],[soda_sales]])</f>
        <v>11.684922219797125</v>
      </c>
      <c r="P1840">
        <f>LN(dataset[[#This Row],[soda_ppu]])</f>
        <v>-0.27971390280260405</v>
      </c>
      <c r="Q1840">
        <f>IF(dataset[[#This Row],[state]]="VA",1,0)</f>
        <v>0</v>
      </c>
    </row>
    <row r="1841" spans="1:17" x14ac:dyDescent="0.35">
      <c r="A1841">
        <v>202204</v>
      </c>
      <c r="B1841">
        <v>54</v>
      </c>
      <c r="C1841" s="2">
        <v>1840318.4898999999</v>
      </c>
      <c r="D1841" s="2">
        <v>0.76600000000000001</v>
      </c>
      <c r="E1841" s="3">
        <v>179888</v>
      </c>
      <c r="F1841" s="2">
        <v>137790.0428</v>
      </c>
      <c r="G1841" t="s">
        <v>3205</v>
      </c>
      <c r="H1841" t="s">
        <v>8</v>
      </c>
      <c r="I1841" t="str">
        <f>HLOOKUP(G1841,zip_tiers!$A$1:$EON$2,2,FALSE)</f>
        <v/>
      </c>
      <c r="J1841" t="str">
        <f t="shared" si="28"/>
        <v>No Data</v>
      </c>
      <c r="K1841">
        <f>dataset[[#This Row],[soda_sales]]/dataset[[#This Row],[soda_units_sold]]</f>
        <v>0.76597684559281332</v>
      </c>
      <c r="L1841" s="29">
        <f>dataset[[#This Row],[implied_soda_ppu]]-dataset[[#This Row],[soda_ppu]]</f>
        <v>-2.3154407186698478E-5</v>
      </c>
      <c r="M1841">
        <f>dataset[[#This Row],[soda_sales]]/dataset[[#This Row],[total_sales]]</f>
        <v>7.487293289515734E-2</v>
      </c>
      <c r="N1841">
        <f>LN(dataset[[#This Row],[soda_units_sold]])</f>
        <v>12.10008971398954</v>
      </c>
      <c r="O1841">
        <f>LN(dataset[[#This Row],[soda_sales]])</f>
        <v>11.833486376605507</v>
      </c>
      <c r="P1841">
        <f>LN(dataset[[#This Row],[soda_ppu]])</f>
        <v>-0.26657310924154576</v>
      </c>
      <c r="Q1841">
        <f>IF(dataset[[#This Row],[state]]="VA",1,0)</f>
        <v>0</v>
      </c>
    </row>
    <row r="1842" spans="1:17" x14ac:dyDescent="0.35">
      <c r="A1842">
        <v>202205</v>
      </c>
      <c r="B1842">
        <v>54</v>
      </c>
      <c r="C1842" s="2">
        <v>1977550.3396999999</v>
      </c>
      <c r="D1842" s="2">
        <v>0.75290000000000001</v>
      </c>
      <c r="E1842" s="3">
        <v>210472</v>
      </c>
      <c r="F1842" s="2">
        <v>158460.8573</v>
      </c>
      <c r="G1842" t="s">
        <v>3205</v>
      </c>
      <c r="H1842" t="s">
        <v>8</v>
      </c>
      <c r="I1842" t="str">
        <f>HLOOKUP(G1842,zip_tiers!$A$1:$EON$2,2,FALSE)</f>
        <v/>
      </c>
      <c r="J1842" t="str">
        <f t="shared" si="28"/>
        <v>No Data</v>
      </c>
      <c r="K1842">
        <f>dataset[[#This Row],[soda_sales]]/dataset[[#This Row],[soda_units_sold]]</f>
        <v>0.75288331607054626</v>
      </c>
      <c r="L1842" s="29">
        <f>dataset[[#This Row],[implied_soda_ppu]]-dataset[[#This Row],[soda_ppu]]</f>
        <v>-1.6683929453753521E-5</v>
      </c>
      <c r="M1842">
        <f>dataset[[#This Row],[soda_sales]]/dataset[[#This Row],[total_sales]]</f>
        <v>8.0129872862826329E-2</v>
      </c>
      <c r="N1842">
        <f>LN(dataset[[#This Row],[soda_units_sold]])</f>
        <v>12.257107906629999</v>
      </c>
      <c r="O1842">
        <f>LN(dataset[[#This Row],[soda_sales]])</f>
        <v>11.973262884702756</v>
      </c>
      <c r="P1842">
        <f>LN(dataset[[#This Row],[soda_ppu]])</f>
        <v>-0.28382286212606045</v>
      </c>
      <c r="Q1842">
        <f>IF(dataset[[#This Row],[state]]="VA",1,0)</f>
        <v>0</v>
      </c>
    </row>
    <row r="1843" spans="1:17" x14ac:dyDescent="0.35">
      <c r="A1843">
        <v>202206</v>
      </c>
      <c r="B1843">
        <v>54</v>
      </c>
      <c r="C1843" s="2">
        <v>1852565.3910999999</v>
      </c>
      <c r="D1843" s="2">
        <v>0.72729999999999995</v>
      </c>
      <c r="E1843" s="3">
        <v>233586</v>
      </c>
      <c r="F1843" s="2">
        <v>169881.70259999999</v>
      </c>
      <c r="G1843" t="s">
        <v>3205</v>
      </c>
      <c r="H1843" t="s">
        <v>8</v>
      </c>
      <c r="I1843" t="str">
        <f>HLOOKUP(G1843,zip_tiers!$A$1:$EON$2,2,FALSE)</f>
        <v/>
      </c>
      <c r="J1843" t="str">
        <f t="shared" si="28"/>
        <v>No Data</v>
      </c>
      <c r="K1843">
        <f>dataset[[#This Row],[soda_sales]]/dataset[[#This Row],[soda_units_sold]]</f>
        <v>0.72727690272533452</v>
      </c>
      <c r="L1843" s="29">
        <f>dataset[[#This Row],[implied_soda_ppu]]-dataset[[#This Row],[soda_ppu]]</f>
        <v>-2.3097274665428991E-5</v>
      </c>
      <c r="M1843">
        <f>dataset[[#This Row],[soda_sales]]/dataset[[#This Row],[total_sales]]</f>
        <v>9.1700786064630696E-2</v>
      </c>
      <c r="N1843">
        <f>LN(dataset[[#This Row],[soda_units_sold]])</f>
        <v>12.361305596633395</v>
      </c>
      <c r="O1843">
        <f>LN(dataset[[#This Row],[soda_sales]])</f>
        <v>12.042857606745715</v>
      </c>
      <c r="P1843">
        <f>LN(dataset[[#This Row],[soda_ppu]])</f>
        <v>-0.31841623182164214</v>
      </c>
      <c r="Q1843">
        <f>IF(dataset[[#This Row],[state]]="VA",1,0)</f>
        <v>0</v>
      </c>
    </row>
    <row r="1844" spans="1:17" x14ac:dyDescent="0.35">
      <c r="A1844">
        <v>202207</v>
      </c>
      <c r="B1844">
        <v>54</v>
      </c>
      <c r="C1844" s="2">
        <v>1749448.7893000001</v>
      </c>
      <c r="D1844" s="2">
        <v>0.75490000000000002</v>
      </c>
      <c r="E1844" s="3">
        <v>215226</v>
      </c>
      <c r="F1844" s="2">
        <v>162478.7666</v>
      </c>
      <c r="G1844" t="s">
        <v>3205</v>
      </c>
      <c r="H1844" t="s">
        <v>8</v>
      </c>
      <c r="I1844" t="str">
        <f>HLOOKUP(G1844,zip_tiers!$A$1:$EON$2,2,FALSE)</f>
        <v/>
      </c>
      <c r="J1844" t="str">
        <f t="shared" si="28"/>
        <v>No Data</v>
      </c>
      <c r="K1844">
        <f>dataset[[#This Row],[soda_sales]]/dataset[[#This Row],[soda_units_sold]]</f>
        <v>0.7549216479421631</v>
      </c>
      <c r="L1844" s="29">
        <f>dataset[[#This Row],[implied_soda_ppu]]-dataset[[#This Row],[soda_ppu]]</f>
        <v>2.16479421630833E-5</v>
      </c>
      <c r="M1844">
        <f>dataset[[#This Row],[soda_sales]]/dataset[[#This Row],[total_sales]]</f>
        <v>9.2874262792803433E-2</v>
      </c>
      <c r="N1844">
        <f>LN(dataset[[#This Row],[soda_units_sold]])</f>
        <v>12.279443917815744</v>
      </c>
      <c r="O1844">
        <f>LN(dataset[[#This Row],[soda_sales]])</f>
        <v>11.99830260513732</v>
      </c>
      <c r="P1844">
        <f>LN(dataset[[#This Row],[soda_ppu]])</f>
        <v>-0.28116998883655786</v>
      </c>
      <c r="Q1844">
        <f>IF(dataset[[#This Row],[state]]="VA",1,0)</f>
        <v>0</v>
      </c>
    </row>
    <row r="1845" spans="1:17" x14ac:dyDescent="0.35">
      <c r="A1845">
        <v>202208</v>
      </c>
      <c r="B1845">
        <v>54</v>
      </c>
      <c r="C1845" s="2">
        <v>1702787.3069</v>
      </c>
      <c r="D1845" s="2">
        <v>0.72650000000000003</v>
      </c>
      <c r="E1845" s="3">
        <v>214698</v>
      </c>
      <c r="F1845" s="2">
        <v>155987.75459999999</v>
      </c>
      <c r="G1845" t="s">
        <v>3205</v>
      </c>
      <c r="H1845" t="s">
        <v>8</v>
      </c>
      <c r="I1845" t="str">
        <f>HLOOKUP(G1845,zip_tiers!$A$1:$EON$2,2,FALSE)</f>
        <v/>
      </c>
      <c r="J1845" t="str">
        <f t="shared" si="28"/>
        <v>No Data</v>
      </c>
      <c r="K1845">
        <f>dataset[[#This Row],[soda_sales]]/dataset[[#This Row],[soda_units_sold]]</f>
        <v>0.72654498225414299</v>
      </c>
      <c r="L1845" s="29">
        <f>dataset[[#This Row],[implied_soda_ppu]]-dataset[[#This Row],[soda_ppu]]</f>
        <v>4.4982254142955647E-5</v>
      </c>
      <c r="M1845">
        <f>dataset[[#This Row],[soda_sales]]/dataset[[#This Row],[total_sales]]</f>
        <v>9.1607304076034388E-2</v>
      </c>
      <c r="N1845">
        <f>LN(dataset[[#This Row],[soda_units_sold]])</f>
        <v>12.276987668499777</v>
      </c>
      <c r="O1845">
        <f>LN(dataset[[#This Row],[soda_sales]])</f>
        <v>11.957532786996843</v>
      </c>
      <c r="P1845">
        <f>LN(dataset[[#This Row],[soda_ppu]])</f>
        <v>-0.31951679597179938</v>
      </c>
      <c r="Q1845">
        <f>IF(dataset[[#This Row],[state]]="VA",1,0)</f>
        <v>0</v>
      </c>
    </row>
    <row r="1846" spans="1:17" x14ac:dyDescent="0.35">
      <c r="A1846">
        <v>202209</v>
      </c>
      <c r="B1846">
        <v>54</v>
      </c>
      <c r="C1846" s="2">
        <v>1662879.6155000001</v>
      </c>
      <c r="D1846" s="2">
        <v>0.74129999999999996</v>
      </c>
      <c r="E1846" s="3">
        <v>189892</v>
      </c>
      <c r="F1846" s="2">
        <v>140776.39110000001</v>
      </c>
      <c r="G1846" t="s">
        <v>3205</v>
      </c>
      <c r="H1846" t="s">
        <v>8</v>
      </c>
      <c r="I1846" t="str">
        <f>HLOOKUP(G1846,zip_tiers!$A$1:$EON$2,2,FALSE)</f>
        <v/>
      </c>
      <c r="J1846" t="str">
        <f t="shared" si="28"/>
        <v>No Data</v>
      </c>
      <c r="K1846">
        <f>dataset[[#This Row],[soda_sales]]/dataset[[#This Row],[soda_units_sold]]</f>
        <v>0.74134977302887961</v>
      </c>
      <c r="L1846" s="29">
        <f>dataset[[#This Row],[implied_soda_ppu]]-dataset[[#This Row],[soda_ppu]]</f>
        <v>4.9773028879651626E-5</v>
      </c>
      <c r="M1846">
        <f>dataset[[#This Row],[soda_sales]]/dataset[[#This Row],[total_sales]]</f>
        <v>8.46581976156289E-2</v>
      </c>
      <c r="N1846">
        <f>LN(dataset[[#This Row],[soda_units_sold]])</f>
        <v>12.154210768477499</v>
      </c>
      <c r="O1846">
        <f>LN(dataset[[#This Row],[soda_sales]])</f>
        <v>11.854928031800155</v>
      </c>
      <c r="P1846">
        <f>LN(dataset[[#This Row],[soda_ppu]])</f>
        <v>-0.29934987731946305</v>
      </c>
      <c r="Q1846">
        <f>IF(dataset[[#This Row],[state]]="VA",1,0)</f>
        <v>0</v>
      </c>
    </row>
    <row r="1847" spans="1:17" x14ac:dyDescent="0.35">
      <c r="A1847">
        <v>202210</v>
      </c>
      <c r="B1847">
        <v>54</v>
      </c>
      <c r="C1847" s="2">
        <v>2007638.6568</v>
      </c>
      <c r="D1847" s="2">
        <v>0.73680000000000001</v>
      </c>
      <c r="E1847" s="3">
        <v>183286</v>
      </c>
      <c r="F1847" s="2">
        <v>135041.15030000001</v>
      </c>
      <c r="G1847" t="s">
        <v>3205</v>
      </c>
      <c r="H1847" t="s">
        <v>8</v>
      </c>
      <c r="I1847" t="str">
        <f>HLOOKUP(G1847,zip_tiers!$A$1:$EON$2,2,FALSE)</f>
        <v/>
      </c>
      <c r="J1847" t="str">
        <f t="shared" si="28"/>
        <v>No Data</v>
      </c>
      <c r="K1847">
        <f>dataset[[#This Row],[soda_sales]]/dataset[[#This Row],[soda_units_sold]]</f>
        <v>0.73677831531049842</v>
      </c>
      <c r="L1847" s="29">
        <f>dataset[[#This Row],[implied_soda_ppu]]-dataset[[#This Row],[soda_ppu]]</f>
        <v>-2.168468950158875E-5</v>
      </c>
      <c r="M1847">
        <f>dataset[[#This Row],[soda_sales]]/dataset[[#This Row],[total_sales]]</f>
        <v>6.7263673093067342E-2</v>
      </c>
      <c r="N1847">
        <f>LN(dataset[[#This Row],[soda_units_sold]])</f>
        <v>12.118803053387699</v>
      </c>
      <c r="O1847">
        <f>LN(dataset[[#This Row],[soda_sales]])</f>
        <v>11.813334828010328</v>
      </c>
      <c r="P1847">
        <f>LN(dataset[[#This Row],[soda_ppu]])</f>
        <v>-0.30543879404103996</v>
      </c>
      <c r="Q1847">
        <f>IF(dataset[[#This Row],[state]]="VA",1,0)</f>
        <v>0</v>
      </c>
    </row>
    <row r="1848" spans="1:17" x14ac:dyDescent="0.35">
      <c r="A1848">
        <v>202211</v>
      </c>
      <c r="B1848">
        <v>54</v>
      </c>
      <c r="C1848" s="2">
        <v>2323022.9079</v>
      </c>
      <c r="D1848" s="2">
        <v>0.7329</v>
      </c>
      <c r="E1848" s="3">
        <v>177199</v>
      </c>
      <c r="F1848" s="2">
        <v>129869.133</v>
      </c>
      <c r="G1848" t="s">
        <v>3205</v>
      </c>
      <c r="H1848" t="s">
        <v>8</v>
      </c>
      <c r="I1848" t="str">
        <f>HLOOKUP(G1848,zip_tiers!$A$1:$EON$2,2,FALSE)</f>
        <v/>
      </c>
      <c r="J1848" t="str">
        <f t="shared" si="28"/>
        <v>No Data</v>
      </c>
      <c r="K1848">
        <f>dataset[[#This Row],[soda_sales]]/dataset[[#This Row],[soda_units_sold]]</f>
        <v>0.73289992042844487</v>
      </c>
      <c r="L1848" s="29">
        <f>dataset[[#This Row],[implied_soda_ppu]]-dataset[[#This Row],[soda_ppu]]</f>
        <v>-7.9571555122726068E-8</v>
      </c>
      <c r="M1848">
        <f>dataset[[#This Row],[soda_sales]]/dataset[[#This Row],[total_sales]]</f>
        <v>5.590523130802915E-2</v>
      </c>
      <c r="N1848">
        <f>LN(dataset[[#This Row],[soda_units_sold]])</f>
        <v>12.085028673796335</v>
      </c>
      <c r="O1848">
        <f>LN(dataset[[#This Row],[soda_sales]])</f>
        <v>11.774282553175176</v>
      </c>
      <c r="P1848">
        <f>LN(dataset[[#This Row],[soda_ppu]])</f>
        <v>-0.31074601205033259</v>
      </c>
      <c r="Q1848">
        <f>IF(dataset[[#This Row],[state]]="VA",1,0)</f>
        <v>0</v>
      </c>
    </row>
    <row r="1849" spans="1:17" x14ac:dyDescent="0.35">
      <c r="A1849">
        <v>202212</v>
      </c>
      <c r="B1849">
        <v>54</v>
      </c>
      <c r="C1849" s="2">
        <v>2471825.4764999999</v>
      </c>
      <c r="D1849" s="2">
        <v>0.71509999999999996</v>
      </c>
      <c r="E1849" s="3">
        <v>185917</v>
      </c>
      <c r="F1849" s="2">
        <v>132953.35680000001</v>
      </c>
      <c r="G1849" t="s">
        <v>3205</v>
      </c>
      <c r="H1849" t="s">
        <v>8</v>
      </c>
      <c r="I1849" t="str">
        <f>HLOOKUP(G1849,zip_tiers!$A$1:$EON$2,2,FALSE)</f>
        <v/>
      </c>
      <c r="J1849" t="str">
        <f t="shared" si="28"/>
        <v>No Data</v>
      </c>
      <c r="K1849">
        <f>dataset[[#This Row],[soda_sales]]/dataset[[#This Row],[soda_units_sold]]</f>
        <v>0.71512210717685853</v>
      </c>
      <c r="L1849" s="29">
        <f>dataset[[#This Row],[implied_soda_ppu]]-dataset[[#This Row],[soda_ppu]]</f>
        <v>2.2107176858576771E-5</v>
      </c>
      <c r="M1849">
        <f>dataset[[#This Row],[soda_sales]]/dataset[[#This Row],[total_sales]]</f>
        <v>5.378751779363336E-2</v>
      </c>
      <c r="N1849">
        <f>LN(dataset[[#This Row],[soda_units_sold]])</f>
        <v>12.133055616543036</v>
      </c>
      <c r="O1849">
        <f>LN(dataset[[#This Row],[soda_sales]])</f>
        <v>11.797753644942121</v>
      </c>
      <c r="P1849">
        <f>LN(dataset[[#This Row],[soda_ppu]])</f>
        <v>-0.33533288592778687</v>
      </c>
      <c r="Q1849">
        <f>IF(dataset[[#This Row],[state]]="VA",1,0)</f>
        <v>0</v>
      </c>
    </row>
    <row r="1850" spans="1:17" x14ac:dyDescent="0.35">
      <c r="A1850">
        <v>202301</v>
      </c>
      <c r="B1850">
        <v>54</v>
      </c>
      <c r="C1850" s="2">
        <v>1408965.0744</v>
      </c>
      <c r="D1850" s="2">
        <v>0.74380000000000002</v>
      </c>
      <c r="E1850" s="3">
        <v>129929</v>
      </c>
      <c r="F1850" s="2">
        <v>96635.135899999994</v>
      </c>
      <c r="G1850" t="s">
        <v>3205</v>
      </c>
      <c r="H1850" t="s">
        <v>8</v>
      </c>
      <c r="I1850" t="str">
        <f>HLOOKUP(G1850,zip_tiers!$A$1:$EON$2,2,FALSE)</f>
        <v/>
      </c>
      <c r="J1850" t="str">
        <f t="shared" si="28"/>
        <v>No Data</v>
      </c>
      <c r="K1850">
        <f>dataset[[#This Row],[soda_sales]]/dataset[[#This Row],[soda_units_sold]]</f>
        <v>0.74375340301241444</v>
      </c>
      <c r="L1850" s="29">
        <f>dataset[[#This Row],[implied_soda_ppu]]-dataset[[#This Row],[soda_ppu]]</f>
        <v>-4.6596987585578731E-5</v>
      </c>
      <c r="M1850">
        <f>dataset[[#This Row],[soda_sales]]/dataset[[#This Row],[total_sales]]</f>
        <v>6.8585898725099015E-2</v>
      </c>
      <c r="N1850">
        <f>LN(dataset[[#This Row],[soda_units_sold]])</f>
        <v>11.774743426395229</v>
      </c>
      <c r="O1850">
        <f>LN(dataset[[#This Row],[soda_sales]])</f>
        <v>11.478697679741341</v>
      </c>
      <c r="P1850">
        <f>LN(dataset[[#This Row],[soda_ppu]])</f>
        <v>-0.29598309749116736</v>
      </c>
      <c r="Q1850">
        <f>IF(dataset[[#This Row],[state]]="VA",1,0)</f>
        <v>0</v>
      </c>
    </row>
    <row r="1851" spans="1:17" x14ac:dyDescent="0.35">
      <c r="A1851">
        <v>202302</v>
      </c>
      <c r="B1851">
        <v>54</v>
      </c>
      <c r="C1851" s="2">
        <v>1575260.0478999999</v>
      </c>
      <c r="D1851" s="2">
        <v>0.72409999999999997</v>
      </c>
      <c r="E1851" s="3">
        <v>154881</v>
      </c>
      <c r="F1851" s="2">
        <v>112155.77619999999</v>
      </c>
      <c r="G1851" t="s">
        <v>3205</v>
      </c>
      <c r="H1851" t="s">
        <v>8</v>
      </c>
      <c r="I1851" t="str">
        <f>HLOOKUP(G1851,zip_tiers!$A$1:$EON$2,2,FALSE)</f>
        <v/>
      </c>
      <c r="J1851" t="str">
        <f t="shared" si="28"/>
        <v>No Data</v>
      </c>
      <c r="K1851">
        <f>dataset[[#This Row],[soda_sales]]/dataset[[#This Row],[soda_units_sold]]</f>
        <v>0.72414160678198092</v>
      </c>
      <c r="L1851" s="29">
        <f>dataset[[#This Row],[implied_soda_ppu]]-dataset[[#This Row],[soda_ppu]]</f>
        <v>4.1606781980951801E-5</v>
      </c>
      <c r="M1851">
        <f>dataset[[#This Row],[soda_sales]]/dataset[[#This Row],[total_sales]]</f>
        <v>7.1198261105851285E-2</v>
      </c>
      <c r="N1851">
        <f>LN(dataset[[#This Row],[soda_units_sold]])</f>
        <v>11.950412359101131</v>
      </c>
      <c r="O1851">
        <f>LN(dataset[[#This Row],[soda_sales]])</f>
        <v>11.627644042857456</v>
      </c>
      <c r="P1851">
        <f>LN(dataset[[#This Row],[soda_ppu]])</f>
        <v>-0.322825774587362</v>
      </c>
      <c r="Q1851">
        <f>IF(dataset[[#This Row],[state]]="VA",1,0)</f>
        <v>0</v>
      </c>
    </row>
    <row r="1852" spans="1:17" x14ac:dyDescent="0.35">
      <c r="A1852">
        <v>202303</v>
      </c>
      <c r="B1852">
        <v>54</v>
      </c>
      <c r="C1852" s="2">
        <v>1783207.0615000001</v>
      </c>
      <c r="D1852" s="2">
        <v>0.76319999999999999</v>
      </c>
      <c r="E1852" s="3">
        <v>162035</v>
      </c>
      <c r="F1852" s="2">
        <v>123661.23360000001</v>
      </c>
      <c r="G1852" t="s">
        <v>3205</v>
      </c>
      <c r="H1852" t="s">
        <v>8</v>
      </c>
      <c r="I1852" t="str">
        <f>HLOOKUP(G1852,zip_tiers!$A$1:$EON$2,2,FALSE)</f>
        <v/>
      </c>
      <c r="J1852" t="str">
        <f t="shared" si="28"/>
        <v>No Data</v>
      </c>
      <c r="K1852">
        <f>dataset[[#This Row],[soda_sales]]/dataset[[#This Row],[soda_units_sold]]</f>
        <v>0.76317606443052433</v>
      </c>
      <c r="L1852" s="29">
        <f>dataset[[#This Row],[implied_soda_ppu]]-dataset[[#This Row],[soda_ppu]]</f>
        <v>-2.3935569475663776E-5</v>
      </c>
      <c r="M1852">
        <f>dataset[[#This Row],[soda_sales]]/dataset[[#This Row],[total_sales]]</f>
        <v>6.9347658087434066E-2</v>
      </c>
      <c r="N1852">
        <f>LN(dataset[[#This Row],[soda_units_sold]])</f>
        <v>11.99556764026193</v>
      </c>
      <c r="O1852">
        <f>LN(dataset[[#This Row],[soda_sales]])</f>
        <v>11.725301118802735</v>
      </c>
      <c r="P1852">
        <f>LN(dataset[[#This Row],[soda_ppu]])</f>
        <v>-0.27023515884806032</v>
      </c>
      <c r="Q1852">
        <f>IF(dataset[[#This Row],[state]]="VA",1,0)</f>
        <v>0</v>
      </c>
    </row>
    <row r="1853" spans="1:17" x14ac:dyDescent="0.35">
      <c r="A1853">
        <v>202304</v>
      </c>
      <c r="B1853">
        <v>54</v>
      </c>
      <c r="C1853" s="2">
        <v>1854101.0149000001</v>
      </c>
      <c r="D1853" s="2">
        <v>0.75970000000000004</v>
      </c>
      <c r="E1853" s="3">
        <v>189786</v>
      </c>
      <c r="F1853" s="2">
        <v>144189.32829999999</v>
      </c>
      <c r="G1853" t="s">
        <v>3205</v>
      </c>
      <c r="H1853" t="s">
        <v>8</v>
      </c>
      <c r="I1853" t="str">
        <f>HLOOKUP(G1853,zip_tiers!$A$1:$EON$2,2,FALSE)</f>
        <v/>
      </c>
      <c r="J1853" t="str">
        <f t="shared" si="28"/>
        <v>No Data</v>
      </c>
      <c r="K1853">
        <f>dataset[[#This Row],[soda_sales]]/dataset[[#This Row],[soda_units_sold]]</f>
        <v>0.75974691652703563</v>
      </c>
      <c r="L1853" s="29">
        <f>dataset[[#This Row],[implied_soda_ppu]]-dataset[[#This Row],[soda_ppu]]</f>
        <v>4.6916527035589795E-5</v>
      </c>
      <c r="M1853">
        <f>dataset[[#This Row],[soda_sales]]/dataset[[#This Row],[total_sales]]</f>
        <v>7.7767784571207282E-2</v>
      </c>
      <c r="N1853">
        <f>LN(dataset[[#This Row],[soda_units_sold]])</f>
        <v>12.153652400582841</v>
      </c>
      <c r="O1853">
        <f>LN(dataset[[#This Row],[soda_sales]])</f>
        <v>11.878882494853057</v>
      </c>
      <c r="P1853">
        <f>LN(dataset[[#This Row],[soda_ppu]])</f>
        <v>-0.27483166047296109</v>
      </c>
      <c r="Q1853">
        <f>IF(dataset[[#This Row],[state]]="VA",1,0)</f>
        <v>0</v>
      </c>
    </row>
    <row r="1854" spans="1:17" x14ac:dyDescent="0.35">
      <c r="A1854">
        <v>202305</v>
      </c>
      <c r="B1854">
        <v>54</v>
      </c>
      <c r="C1854" s="2">
        <v>1959027.4759</v>
      </c>
      <c r="D1854" s="2">
        <v>0.73409999999999997</v>
      </c>
      <c r="E1854" s="3">
        <v>226615</v>
      </c>
      <c r="F1854" s="2">
        <v>166354.7738</v>
      </c>
      <c r="G1854" t="s">
        <v>3205</v>
      </c>
      <c r="H1854" t="s">
        <v>8</v>
      </c>
      <c r="I1854" t="str">
        <f>HLOOKUP(G1854,zip_tiers!$A$1:$EON$2,2,FALSE)</f>
        <v/>
      </c>
      <c r="J1854" t="str">
        <f t="shared" si="28"/>
        <v>No Data</v>
      </c>
      <c r="K1854">
        <f>dataset[[#This Row],[soda_sales]]/dataset[[#This Row],[soda_units_sold]]</f>
        <v>0.73408544800653086</v>
      </c>
      <c r="L1854" s="29">
        <f>dataset[[#This Row],[implied_soda_ppu]]-dataset[[#This Row],[soda_ppu]]</f>
        <v>-1.4551993469114066E-5</v>
      </c>
      <c r="M1854">
        <f>dataset[[#This Row],[soda_sales]]/dataset[[#This Row],[total_sales]]</f>
        <v>8.4917019207999975E-2</v>
      </c>
      <c r="N1854">
        <f>LN(dataset[[#This Row],[soda_units_sold]])</f>
        <v>12.331007821325171</v>
      </c>
      <c r="O1854">
        <f>LN(dataset[[#This Row],[soda_sales]])</f>
        <v>12.021877978359779</v>
      </c>
      <c r="P1854">
        <f>LN(dataset[[#This Row],[soda_ppu]])</f>
        <v>-0.30911001986540143</v>
      </c>
      <c r="Q1854">
        <f>IF(dataset[[#This Row],[state]]="VA",1,0)</f>
        <v>0</v>
      </c>
    </row>
    <row r="1855" spans="1:17" x14ac:dyDescent="0.35">
      <c r="A1855">
        <v>202306</v>
      </c>
      <c r="B1855">
        <v>54</v>
      </c>
      <c r="C1855" s="2">
        <v>1888941.9717000001</v>
      </c>
      <c r="D1855" s="2">
        <v>0.74550000000000005</v>
      </c>
      <c r="E1855" s="3">
        <v>224760</v>
      </c>
      <c r="F1855" s="2">
        <v>167568.5232</v>
      </c>
      <c r="G1855" t="s">
        <v>3205</v>
      </c>
      <c r="H1855" t="s">
        <v>8</v>
      </c>
      <c r="I1855" t="str">
        <f>HLOOKUP(G1855,zip_tiers!$A$1:$EON$2,2,FALSE)</f>
        <v/>
      </c>
      <c r="J1855" t="str">
        <f t="shared" si="28"/>
        <v>No Data</v>
      </c>
      <c r="K1855">
        <f>dataset[[#This Row],[soda_sales]]/dataset[[#This Row],[soda_units_sold]]</f>
        <v>0.74554423918846768</v>
      </c>
      <c r="L1855" s="29">
        <f>dataset[[#This Row],[implied_soda_ppu]]-dataset[[#This Row],[soda_ppu]]</f>
        <v>4.4239188467631863E-5</v>
      </c>
      <c r="M1855">
        <f>dataset[[#This Row],[soda_sales]]/dataset[[#This Row],[total_sales]]</f>
        <v>8.871025458193009E-2</v>
      </c>
      <c r="N1855">
        <f>LN(dataset[[#This Row],[soda_units_sold]])</f>
        <v>12.322788445226134</v>
      </c>
      <c r="O1855">
        <f>LN(dataset[[#This Row],[soda_sales]])</f>
        <v>12.029147640322575</v>
      </c>
      <c r="P1855">
        <f>LN(dataset[[#This Row],[soda_ppu]])</f>
        <v>-0.29370014477734385</v>
      </c>
      <c r="Q1855">
        <f>IF(dataset[[#This Row],[state]]="VA",1,0)</f>
        <v>0</v>
      </c>
    </row>
    <row r="1856" spans="1:17" x14ac:dyDescent="0.35">
      <c r="A1856">
        <v>202307</v>
      </c>
      <c r="B1856">
        <v>54</v>
      </c>
      <c r="C1856" s="2">
        <v>1799190.2575999999</v>
      </c>
      <c r="D1856" s="2">
        <v>0.73640000000000005</v>
      </c>
      <c r="E1856" s="3">
        <v>240026</v>
      </c>
      <c r="F1856" s="2">
        <v>176751.9412</v>
      </c>
      <c r="G1856" t="s">
        <v>3205</v>
      </c>
      <c r="H1856" t="s">
        <v>8</v>
      </c>
      <c r="I1856" t="str">
        <f>HLOOKUP(G1856,zip_tiers!$A$1:$EON$2,2,FALSE)</f>
        <v/>
      </c>
      <c r="J1856" t="str">
        <f t="shared" si="28"/>
        <v>No Data</v>
      </c>
      <c r="K1856">
        <f>dataset[[#This Row],[soda_sales]]/dataset[[#This Row],[soda_units_sold]]</f>
        <v>0.73638664644663498</v>
      </c>
      <c r="L1856" s="29">
        <f>dataset[[#This Row],[implied_soda_ppu]]-dataset[[#This Row],[soda_ppu]]</f>
        <v>-1.3353553365069715E-5</v>
      </c>
      <c r="M1856">
        <f>dataset[[#This Row],[soda_sales]]/dataset[[#This Row],[total_sales]]</f>
        <v>9.8239716702209878E-2</v>
      </c>
      <c r="N1856">
        <f>LN(dataset[[#This Row],[soda_units_sold]])</f>
        <v>12.388502529789831</v>
      </c>
      <c r="O1856">
        <f>LN(dataset[[#This Row],[soda_sales]])</f>
        <v>12.082502566442498</v>
      </c>
      <c r="P1856">
        <f>LN(dataset[[#This Row],[soda_ppu]])</f>
        <v>-0.30598182962321419</v>
      </c>
      <c r="Q1856">
        <f>IF(dataset[[#This Row],[state]]="VA",1,0)</f>
        <v>0</v>
      </c>
    </row>
    <row r="1857" spans="1:17" x14ac:dyDescent="0.35">
      <c r="A1857">
        <v>202308</v>
      </c>
      <c r="B1857">
        <v>54</v>
      </c>
      <c r="C1857" s="2">
        <v>1692112.6346</v>
      </c>
      <c r="D1857" s="2">
        <v>0.74729999999999996</v>
      </c>
      <c r="E1857" s="3">
        <v>205264</v>
      </c>
      <c r="F1857" s="2">
        <v>153389.6758</v>
      </c>
      <c r="G1857" t="s">
        <v>3205</v>
      </c>
      <c r="H1857" t="s">
        <v>8</v>
      </c>
      <c r="I1857" t="str">
        <f>HLOOKUP(G1857,zip_tiers!$A$1:$EON$2,2,FALSE)</f>
        <v/>
      </c>
      <c r="J1857" t="str">
        <f t="shared" si="28"/>
        <v>No Data</v>
      </c>
      <c r="K1857">
        <f>dataset[[#This Row],[soda_sales]]/dataset[[#This Row],[soda_units_sold]]</f>
        <v>0.74727997018473769</v>
      </c>
      <c r="L1857" s="29">
        <f>dataset[[#This Row],[implied_soda_ppu]]-dataset[[#This Row],[soda_ppu]]</f>
        <v>-2.0029815262279094E-5</v>
      </c>
      <c r="M1857">
        <f>dataset[[#This Row],[soda_sales]]/dataset[[#This Row],[total_sales]]</f>
        <v>9.0649802302469024E-2</v>
      </c>
      <c r="N1857">
        <f>LN(dataset[[#This Row],[soda_units_sold]])</f>
        <v>12.232052234489121</v>
      </c>
      <c r="O1857">
        <f>LN(dataset[[#This Row],[soda_sales]])</f>
        <v>11.940736863173196</v>
      </c>
      <c r="P1857">
        <f>LN(dataset[[#This Row],[soda_ppu]])</f>
        <v>-0.29128856804589265</v>
      </c>
      <c r="Q1857">
        <f>IF(dataset[[#This Row],[state]]="VA",1,0)</f>
        <v>0</v>
      </c>
    </row>
    <row r="1858" spans="1:17" x14ac:dyDescent="0.35">
      <c r="A1858">
        <v>202309</v>
      </c>
      <c r="B1858">
        <v>54</v>
      </c>
      <c r="C1858" s="2">
        <v>1710680.8526999999</v>
      </c>
      <c r="D1858" s="2">
        <v>0.73280000000000001</v>
      </c>
      <c r="E1858" s="3">
        <v>208179</v>
      </c>
      <c r="F1858" s="2">
        <v>152551.08489999999</v>
      </c>
      <c r="G1858" t="s">
        <v>3205</v>
      </c>
      <c r="H1858" t="s">
        <v>8</v>
      </c>
      <c r="I1858" t="str">
        <f>HLOOKUP(G1858,zip_tiers!$A$1:$EON$2,2,FALSE)</f>
        <v/>
      </c>
      <c r="J1858" t="str">
        <f t="shared" ref="J1858:J1921" si="29">IF(I1858="","No Data",IF(I1858&gt;=100000,"High",IF(I1858&gt;=40000,"Med","Low")))</f>
        <v>No Data</v>
      </c>
      <c r="K1858">
        <f>dataset[[#This Row],[soda_sales]]/dataset[[#This Row],[soda_units_sold]]</f>
        <v>0.73278805691256077</v>
      </c>
      <c r="L1858" s="29">
        <f>dataset[[#This Row],[implied_soda_ppu]]-dataset[[#This Row],[soda_ppu]]</f>
        <v>-1.1943087439236777E-5</v>
      </c>
      <c r="M1858">
        <f>dataset[[#This Row],[soda_sales]]/dataset[[#This Row],[total_sales]]</f>
        <v>8.9175654628521575E-2</v>
      </c>
      <c r="N1858">
        <f>LN(dataset[[#This Row],[soda_units_sold]])</f>
        <v>12.246153565522521</v>
      </c>
      <c r="O1858">
        <f>LN(dataset[[#This Row],[soda_sales]])</f>
        <v>11.935254801886162</v>
      </c>
      <c r="P1858">
        <f>LN(dataset[[#This Row],[soda_ppu]])</f>
        <v>-0.31088246562221655</v>
      </c>
      <c r="Q1858">
        <f>IF(dataset[[#This Row],[state]]="VA",1,0)</f>
        <v>0</v>
      </c>
    </row>
    <row r="1859" spans="1:17" x14ac:dyDescent="0.35">
      <c r="A1859">
        <v>202310</v>
      </c>
      <c r="B1859">
        <v>54</v>
      </c>
      <c r="C1859" s="2">
        <v>2069930.9919</v>
      </c>
      <c r="D1859" s="2">
        <v>0.73340000000000005</v>
      </c>
      <c r="E1859" s="3">
        <v>195353</v>
      </c>
      <c r="F1859" s="2">
        <v>143264.57260000001</v>
      </c>
      <c r="G1859" t="s">
        <v>3205</v>
      </c>
      <c r="H1859" t="s">
        <v>8</v>
      </c>
      <c r="I1859" t="str">
        <f>HLOOKUP(G1859,zip_tiers!$A$1:$EON$2,2,FALSE)</f>
        <v/>
      </c>
      <c r="J1859" t="str">
        <f t="shared" si="29"/>
        <v>No Data</v>
      </c>
      <c r="K1859">
        <f>dataset[[#This Row],[soda_sales]]/dataset[[#This Row],[soda_units_sold]]</f>
        <v>0.73336254165536241</v>
      </c>
      <c r="L1859" s="29">
        <f>dataset[[#This Row],[implied_soda_ppu]]-dataset[[#This Row],[soda_ppu]]</f>
        <v>-3.7458344637641972E-5</v>
      </c>
      <c r="M1859">
        <f>dataset[[#This Row],[soda_sales]]/dataset[[#This Row],[total_sales]]</f>
        <v>6.9212245799796804E-2</v>
      </c>
      <c r="N1859">
        <f>LN(dataset[[#This Row],[soda_units_sold]])</f>
        <v>12.182563457416745</v>
      </c>
      <c r="O1859">
        <f>LN(dataset[[#This Row],[soda_sales]])</f>
        <v>11.87244835784977</v>
      </c>
      <c r="P1859">
        <f>LN(dataset[[#This Row],[soda_ppu]])</f>
        <v>-0.31006402334491134</v>
      </c>
      <c r="Q1859">
        <f>IF(dataset[[#This Row],[state]]="VA",1,0)</f>
        <v>0</v>
      </c>
    </row>
    <row r="1860" spans="1:17" x14ac:dyDescent="0.35">
      <c r="A1860">
        <v>202311</v>
      </c>
      <c r="B1860">
        <v>54</v>
      </c>
      <c r="C1860" s="2">
        <v>2371568.4405</v>
      </c>
      <c r="D1860" s="2">
        <v>0.77100000000000002</v>
      </c>
      <c r="E1860" s="3">
        <v>170208</v>
      </c>
      <c r="F1860" s="2">
        <v>131235.21549999999</v>
      </c>
      <c r="G1860" t="s">
        <v>3205</v>
      </c>
      <c r="H1860" t="s">
        <v>8</v>
      </c>
      <c r="I1860" t="str">
        <f>HLOOKUP(G1860,zip_tiers!$A$1:$EON$2,2,FALSE)</f>
        <v/>
      </c>
      <c r="J1860" t="str">
        <f t="shared" si="29"/>
        <v>No Data</v>
      </c>
      <c r="K1860">
        <f>dataset[[#This Row],[soda_sales]]/dataset[[#This Row],[soda_units_sold]]</f>
        <v>0.77102847985993606</v>
      </c>
      <c r="L1860" s="29">
        <f>dataset[[#This Row],[implied_soda_ppu]]-dataset[[#This Row],[soda_ppu]]</f>
        <v>2.8479859936036966E-5</v>
      </c>
      <c r="M1860">
        <f>dataset[[#This Row],[soda_sales]]/dataset[[#This Row],[total_sales]]</f>
        <v>5.5336887293175291E-2</v>
      </c>
      <c r="N1860">
        <f>LN(dataset[[#This Row],[soda_units_sold]])</f>
        <v>12.044776497542044</v>
      </c>
      <c r="O1860">
        <f>LN(dataset[[#This Row],[soda_sales]])</f>
        <v>11.784746530299556</v>
      </c>
      <c r="P1860">
        <f>LN(dataset[[#This Row],[soda_ppu]])</f>
        <v>-0.26006690541880756</v>
      </c>
      <c r="Q1860">
        <f>IF(dataset[[#This Row],[state]]="VA",1,0)</f>
        <v>0</v>
      </c>
    </row>
    <row r="1861" spans="1:17" x14ac:dyDescent="0.35">
      <c r="A1861">
        <v>202312</v>
      </c>
      <c r="B1861">
        <v>54</v>
      </c>
      <c r="C1861" s="2">
        <v>2443089.5147000002</v>
      </c>
      <c r="D1861" s="2">
        <v>0.76739999999999997</v>
      </c>
      <c r="E1861" s="3">
        <v>163820</v>
      </c>
      <c r="F1861" s="2">
        <v>125721.5067</v>
      </c>
      <c r="G1861" t="s">
        <v>3205</v>
      </c>
      <c r="H1861" t="s">
        <v>8</v>
      </c>
      <c r="I1861" t="str">
        <f>HLOOKUP(G1861,zip_tiers!$A$1:$EON$2,2,FALSE)</f>
        <v/>
      </c>
      <c r="J1861" t="str">
        <f t="shared" si="29"/>
        <v>No Data</v>
      </c>
      <c r="K1861">
        <f>dataset[[#This Row],[soda_sales]]/dataset[[#This Row],[soda_units_sold]]</f>
        <v>0.76743686179953607</v>
      </c>
      <c r="L1861" s="29">
        <f>dataset[[#This Row],[implied_soda_ppu]]-dataset[[#This Row],[soda_ppu]]</f>
        <v>3.6861799536103135E-5</v>
      </c>
      <c r="M1861">
        <f>dataset[[#This Row],[soda_sales]]/dataset[[#This Row],[total_sales]]</f>
        <v>5.1460049230098719E-2</v>
      </c>
      <c r="N1861">
        <f>LN(dataset[[#This Row],[soda_units_sold]])</f>
        <v>12.006523543069592</v>
      </c>
      <c r="O1861">
        <f>LN(dataset[[#This Row],[soda_sales]])</f>
        <v>11.741824475408572</v>
      </c>
      <c r="P1861">
        <f>LN(dataset[[#This Row],[soda_ppu]])</f>
        <v>-0.26474710116928507</v>
      </c>
      <c r="Q1861">
        <f>IF(dataset[[#This Row],[state]]="VA",1,0)</f>
        <v>0</v>
      </c>
    </row>
    <row r="1862" spans="1:17" x14ac:dyDescent="0.35">
      <c r="A1862">
        <v>202401</v>
      </c>
      <c r="B1862">
        <v>54</v>
      </c>
      <c r="C1862" s="2">
        <v>1446946.7856999999</v>
      </c>
      <c r="D1862" s="2">
        <v>0.76600000000000001</v>
      </c>
      <c r="E1862" s="3">
        <v>127612</v>
      </c>
      <c r="F1862" s="2">
        <v>97749.860100000005</v>
      </c>
      <c r="G1862" t="s">
        <v>3205</v>
      </c>
      <c r="H1862" t="s">
        <v>8</v>
      </c>
      <c r="I1862" t="str">
        <f>HLOOKUP(G1862,zip_tiers!$A$1:$EON$2,2,FALSE)</f>
        <v/>
      </c>
      <c r="J1862" t="str">
        <f t="shared" si="29"/>
        <v>No Data</v>
      </c>
      <c r="K1862">
        <f>dataset[[#This Row],[soda_sales]]/dataset[[#This Row],[soda_units_sold]]</f>
        <v>0.76599269739522935</v>
      </c>
      <c r="L1862" s="29">
        <f>dataset[[#This Row],[implied_soda_ppu]]-dataset[[#This Row],[soda_ppu]]</f>
        <v>-7.3026047706648001E-6</v>
      </c>
      <c r="M1862">
        <f>dataset[[#This Row],[soda_sales]]/dataset[[#This Row],[total_sales]]</f>
        <v>6.7555946815771012E-2</v>
      </c>
      <c r="N1862">
        <f>LN(dataset[[#This Row],[soda_units_sold]])</f>
        <v>11.756749689358125</v>
      </c>
      <c r="O1862">
        <f>LN(dataset[[#This Row],[soda_sales]])</f>
        <v>11.490167046644542</v>
      </c>
      <c r="P1862">
        <f>LN(dataset[[#This Row],[soda_ppu]])</f>
        <v>-0.26657310924154576</v>
      </c>
      <c r="Q1862">
        <f>IF(dataset[[#This Row],[state]]="VA",1,0)</f>
        <v>0</v>
      </c>
    </row>
    <row r="1863" spans="1:17" x14ac:dyDescent="0.35">
      <c r="A1863">
        <v>202402</v>
      </c>
      <c r="B1863">
        <v>54</v>
      </c>
      <c r="C1863" s="2">
        <v>1636679.5189</v>
      </c>
      <c r="D1863" s="2">
        <v>0.76039999999999996</v>
      </c>
      <c r="E1863" s="3">
        <v>148754</v>
      </c>
      <c r="F1863" s="2">
        <v>113117.6468</v>
      </c>
      <c r="G1863" t="s">
        <v>3205</v>
      </c>
      <c r="H1863" t="s">
        <v>8</v>
      </c>
      <c r="I1863" t="str">
        <f>HLOOKUP(G1863,zip_tiers!$A$1:$EON$2,2,FALSE)</f>
        <v/>
      </c>
      <c r="J1863" t="str">
        <f t="shared" si="29"/>
        <v>No Data</v>
      </c>
      <c r="K1863">
        <f>dataset[[#This Row],[soda_sales]]/dataset[[#This Row],[soda_units_sold]]</f>
        <v>0.76043431974938491</v>
      </c>
      <c r="L1863" s="29">
        <f>dataset[[#This Row],[implied_soda_ppu]]-dataset[[#This Row],[soda_ppu]]</f>
        <v>3.4319749384947862E-5</v>
      </c>
      <c r="M1863">
        <f>dataset[[#This Row],[soda_sales]]/dataset[[#This Row],[total_sales]]</f>
        <v>6.9114109081065259E-2</v>
      </c>
      <c r="N1863">
        <f>LN(dataset[[#This Row],[soda_units_sold]])</f>
        <v>11.910049213802628</v>
      </c>
      <c r="O1863">
        <f>LN(dataset[[#This Row],[soda_sales]])</f>
        <v>11.63618367822661</v>
      </c>
      <c r="P1863">
        <f>LN(dataset[[#This Row],[soda_ppu]])</f>
        <v>-0.27391066836786299</v>
      </c>
      <c r="Q1863">
        <f>IF(dataset[[#This Row],[state]]="VA",1,0)</f>
        <v>0</v>
      </c>
    </row>
    <row r="1864" spans="1:17" x14ac:dyDescent="0.35">
      <c r="A1864">
        <v>202403</v>
      </c>
      <c r="B1864">
        <v>54</v>
      </c>
      <c r="C1864" s="2">
        <v>1791438.5988</v>
      </c>
      <c r="D1864" s="2">
        <v>0.78110000000000002</v>
      </c>
      <c r="E1864" s="3">
        <v>156219</v>
      </c>
      <c r="F1864" s="2">
        <v>122026.7886</v>
      </c>
      <c r="G1864" t="s">
        <v>3205</v>
      </c>
      <c r="H1864" t="s">
        <v>8</v>
      </c>
      <c r="I1864" t="str">
        <f>HLOOKUP(G1864,zip_tiers!$A$1:$EON$2,2,FALSE)</f>
        <v/>
      </c>
      <c r="J1864" t="str">
        <f t="shared" si="29"/>
        <v>No Data</v>
      </c>
      <c r="K1864">
        <f>dataset[[#This Row],[soda_sales]]/dataset[[#This Row],[soda_units_sold]]</f>
        <v>0.78112642252222841</v>
      </c>
      <c r="L1864" s="29">
        <f>dataset[[#This Row],[implied_soda_ppu]]-dataset[[#This Row],[soda_ppu]]</f>
        <v>2.6422522228397582E-5</v>
      </c>
      <c r="M1864">
        <f>dataset[[#This Row],[soda_sales]]/dataset[[#This Row],[total_sales]]</f>
        <v>6.8116645851964988E-2</v>
      </c>
      <c r="N1864">
        <f>LN(dataset[[#This Row],[soda_units_sold]])</f>
        <v>11.959014147914765</v>
      </c>
      <c r="O1864">
        <f>LN(dataset[[#This Row],[soda_sales]])</f>
        <v>11.711995878300046</v>
      </c>
      <c r="P1864">
        <f>LN(dataset[[#This Row],[soda_ppu]])</f>
        <v>-0.2470520963658854</v>
      </c>
      <c r="Q1864">
        <f>IF(dataset[[#This Row],[state]]="VA",1,0)</f>
        <v>0</v>
      </c>
    </row>
    <row r="1865" spans="1:17" x14ac:dyDescent="0.35">
      <c r="A1865">
        <v>202404</v>
      </c>
      <c r="B1865">
        <v>54</v>
      </c>
      <c r="C1865" s="2">
        <v>1903696.2276000001</v>
      </c>
      <c r="D1865" s="2">
        <v>0.78029999999999999</v>
      </c>
      <c r="E1865" s="3">
        <v>189959</v>
      </c>
      <c r="F1865" s="2">
        <v>148218.2911</v>
      </c>
      <c r="G1865" t="s">
        <v>3205</v>
      </c>
      <c r="H1865" t="s">
        <v>8</v>
      </c>
      <c r="I1865" t="str">
        <f>HLOOKUP(G1865,zip_tiers!$A$1:$EON$2,2,FALSE)</f>
        <v/>
      </c>
      <c r="J1865" t="str">
        <f t="shared" si="29"/>
        <v>No Data</v>
      </c>
      <c r="K1865">
        <f>dataset[[#This Row],[soda_sales]]/dataset[[#This Row],[soda_units_sold]]</f>
        <v>0.78026464184376632</v>
      </c>
      <c r="L1865" s="29">
        <f>dataset[[#This Row],[implied_soda_ppu]]-dataset[[#This Row],[soda_ppu]]</f>
        <v>-3.5358156233677995E-5</v>
      </c>
      <c r="M1865">
        <f>dataset[[#This Row],[soda_sales]]/dataset[[#This Row],[total_sales]]</f>
        <v>7.7858162952216162E-2</v>
      </c>
      <c r="N1865">
        <f>LN(dataset[[#This Row],[soda_units_sold]])</f>
        <v>12.154563538383041</v>
      </c>
      <c r="O1865">
        <f>LN(dataset[[#This Row],[soda_sales]])</f>
        <v>11.906441405955684</v>
      </c>
      <c r="P1865">
        <f>LN(dataset[[#This Row],[soda_ppu]])</f>
        <v>-0.24807681785942151</v>
      </c>
      <c r="Q1865">
        <f>IF(dataset[[#This Row],[state]]="VA",1,0)</f>
        <v>0</v>
      </c>
    </row>
    <row r="1866" spans="1:17" x14ac:dyDescent="0.35">
      <c r="A1866">
        <v>202405</v>
      </c>
      <c r="B1866">
        <v>54</v>
      </c>
      <c r="C1866" s="2">
        <v>2004672.2927000001</v>
      </c>
      <c r="D1866" s="2">
        <v>0.75790000000000002</v>
      </c>
      <c r="E1866" s="3">
        <v>217892</v>
      </c>
      <c r="F1866" s="2">
        <v>165130.65789999999</v>
      </c>
      <c r="G1866" t="s">
        <v>3205</v>
      </c>
      <c r="H1866" t="s">
        <v>8</v>
      </c>
      <c r="I1866" t="str">
        <f>HLOOKUP(G1866,zip_tiers!$A$1:$EON$2,2,FALSE)</f>
        <v/>
      </c>
      <c r="J1866" t="str">
        <f t="shared" si="29"/>
        <v>No Data</v>
      </c>
      <c r="K1866">
        <f>dataset[[#This Row],[soda_sales]]/dataset[[#This Row],[soda_units_sold]]</f>
        <v>0.75785553347529966</v>
      </c>
      <c r="L1866" s="29">
        <f>dataset[[#This Row],[implied_soda_ppu]]-dataset[[#This Row],[soda_ppu]]</f>
        <v>-4.44665247003595E-5</v>
      </c>
      <c r="M1866">
        <f>dataset[[#This Row],[soda_sales]]/dataset[[#This Row],[total_sales]]</f>
        <v>8.2372893814775666E-2</v>
      </c>
      <c r="N1866">
        <f>LN(dataset[[#This Row],[soda_units_sold]])</f>
        <v>12.291754806169701</v>
      </c>
      <c r="O1866">
        <f>LN(dataset[[#This Row],[soda_sales]])</f>
        <v>12.014492305582809</v>
      </c>
      <c r="P1866">
        <f>LN(dataset[[#This Row],[soda_ppu]])</f>
        <v>-0.27720382816415362</v>
      </c>
      <c r="Q1866">
        <f>IF(dataset[[#This Row],[state]]="VA",1,0)</f>
        <v>0</v>
      </c>
    </row>
    <row r="1867" spans="1:17" x14ac:dyDescent="0.35">
      <c r="A1867">
        <v>202406</v>
      </c>
      <c r="B1867">
        <v>54</v>
      </c>
      <c r="C1867" s="2">
        <v>1927277.1842</v>
      </c>
      <c r="D1867" s="2">
        <v>0.80130000000000001</v>
      </c>
      <c r="E1867" s="3">
        <v>207734</v>
      </c>
      <c r="F1867" s="2">
        <v>166456.26550000001</v>
      </c>
      <c r="G1867" t="s">
        <v>3205</v>
      </c>
      <c r="H1867" t="s">
        <v>8</v>
      </c>
      <c r="I1867" t="str">
        <f>HLOOKUP(G1867,zip_tiers!$A$1:$EON$2,2,FALSE)</f>
        <v/>
      </c>
      <c r="J1867" t="str">
        <f t="shared" si="29"/>
        <v>No Data</v>
      </c>
      <c r="K1867">
        <f>dataset[[#This Row],[soda_sales]]/dataset[[#This Row],[soda_units_sold]]</f>
        <v>0.8012952405480086</v>
      </c>
      <c r="L1867" s="29">
        <f>dataset[[#This Row],[implied_soda_ppu]]-dataset[[#This Row],[soda_ppu]]</f>
        <v>-4.7594519914095912E-6</v>
      </c>
      <c r="M1867">
        <f>dataset[[#This Row],[soda_sales]]/dataset[[#This Row],[total_sales]]</f>
        <v>8.6368617272400749E-2</v>
      </c>
      <c r="N1867">
        <f>LN(dataset[[#This Row],[soda_units_sold]])</f>
        <v>12.244013694108036</v>
      </c>
      <c r="O1867">
        <f>LN(dataset[[#This Row],[soda_sales]])</f>
        <v>12.022487884229246</v>
      </c>
      <c r="P1867">
        <f>LN(dataset[[#This Row],[soda_ppu]])</f>
        <v>-0.22151987019811217</v>
      </c>
      <c r="Q1867">
        <f>IF(dataset[[#This Row],[state]]="VA",1,0)</f>
        <v>0</v>
      </c>
    </row>
    <row r="1868" spans="1:17" x14ac:dyDescent="0.35">
      <c r="A1868">
        <v>202407</v>
      </c>
      <c r="B1868">
        <v>54</v>
      </c>
      <c r="C1868" s="2">
        <v>1819338.6259000001</v>
      </c>
      <c r="D1868" s="2">
        <v>0.76049999999999995</v>
      </c>
      <c r="E1868" s="3">
        <v>234902</v>
      </c>
      <c r="F1868" s="2">
        <v>178632.22700000001</v>
      </c>
      <c r="G1868" t="s">
        <v>3205</v>
      </c>
      <c r="H1868" t="s">
        <v>8</v>
      </c>
      <c r="I1868" t="str">
        <f>HLOOKUP(G1868,zip_tiers!$A$1:$EON$2,2,FALSE)</f>
        <v/>
      </c>
      <c r="J1868" t="str">
        <f t="shared" si="29"/>
        <v>No Data</v>
      </c>
      <c r="K1868">
        <f>dataset[[#This Row],[soda_sales]]/dataset[[#This Row],[soda_units_sold]]</f>
        <v>0.76045426177725184</v>
      </c>
      <c r="L1868" s="29">
        <f>dataset[[#This Row],[implied_soda_ppu]]-dataset[[#This Row],[soda_ppu]]</f>
        <v>-4.573822274811512E-5</v>
      </c>
      <c r="M1868">
        <f>dataset[[#This Row],[soda_sales]]/dataset[[#This Row],[total_sales]]</f>
        <v>9.8185255046532791E-2</v>
      </c>
      <c r="N1868">
        <f>LN(dataset[[#This Row],[soda_units_sold]])</f>
        <v>12.366923684872146</v>
      </c>
      <c r="O1868">
        <f>LN(dataset[[#This Row],[soda_sales]])</f>
        <v>12.093084373476005</v>
      </c>
      <c r="P1868">
        <f>LN(dataset[[#This Row],[soda_ppu]])</f>
        <v>-0.27377916728278956</v>
      </c>
      <c r="Q1868">
        <f>IF(dataset[[#This Row],[state]]="VA",1,0)</f>
        <v>0</v>
      </c>
    </row>
    <row r="1869" spans="1:17" x14ac:dyDescent="0.35">
      <c r="A1869">
        <v>202408</v>
      </c>
      <c r="B1869">
        <v>54</v>
      </c>
      <c r="C1869" s="2">
        <v>1715161.4535999999</v>
      </c>
      <c r="D1869" s="2">
        <v>0.74839999999999995</v>
      </c>
      <c r="E1869" s="3">
        <v>216529</v>
      </c>
      <c r="F1869" s="2">
        <v>162059.14850000001</v>
      </c>
      <c r="G1869" t="s">
        <v>3205</v>
      </c>
      <c r="H1869" t="s">
        <v>8</v>
      </c>
      <c r="I1869" t="str">
        <f>HLOOKUP(G1869,zip_tiers!$A$1:$EON$2,2,FALSE)</f>
        <v/>
      </c>
      <c r="J1869" t="str">
        <f t="shared" si="29"/>
        <v>No Data</v>
      </c>
      <c r="K1869">
        <f>dataset[[#This Row],[soda_sales]]/dataset[[#This Row],[soda_units_sold]]</f>
        <v>0.74844084856993753</v>
      </c>
      <c r="L1869" s="29">
        <f>dataset[[#This Row],[implied_soda_ppu]]-dataset[[#This Row],[soda_ppu]]</f>
        <v>4.0848569937579349E-5</v>
      </c>
      <c r="M1869">
        <f>dataset[[#This Row],[soda_sales]]/dataset[[#This Row],[total_sales]]</f>
        <v>9.4486235193689538E-2</v>
      </c>
      <c r="N1869">
        <f>LN(dataset[[#This Row],[soda_units_sold]])</f>
        <v>12.285479766645976</v>
      </c>
      <c r="O1869">
        <f>LN(dataset[[#This Row],[soda_sales]])</f>
        <v>11.995716661774082</v>
      </c>
      <c r="P1869">
        <f>LN(dataset[[#This Row],[soda_ppu]])</f>
        <v>-0.28981768458220258</v>
      </c>
      <c r="Q1869">
        <f>IF(dataset[[#This Row],[state]]="VA",1,0)</f>
        <v>0</v>
      </c>
    </row>
    <row r="1870" spans="1:17" x14ac:dyDescent="0.35">
      <c r="A1870">
        <v>202409</v>
      </c>
      <c r="B1870">
        <v>54</v>
      </c>
      <c r="C1870" s="2">
        <v>1737319.9471</v>
      </c>
      <c r="D1870" s="2">
        <v>0.79149999999999998</v>
      </c>
      <c r="E1870" s="3">
        <v>186104</v>
      </c>
      <c r="F1870" s="2">
        <v>147296.8824</v>
      </c>
      <c r="G1870" t="s">
        <v>3205</v>
      </c>
      <c r="H1870" t="s">
        <v>8</v>
      </c>
      <c r="I1870" t="str">
        <f>HLOOKUP(G1870,zip_tiers!$A$1:$EON$2,2,FALSE)</f>
        <v/>
      </c>
      <c r="J1870" t="str">
        <f t="shared" si="29"/>
        <v>No Data</v>
      </c>
      <c r="K1870">
        <f>dataset[[#This Row],[soda_sales]]/dataset[[#This Row],[soda_units_sold]]</f>
        <v>0.79147617676138071</v>
      </c>
      <c r="L1870" s="29">
        <f>dataset[[#This Row],[implied_soda_ppu]]-dataset[[#This Row],[soda_ppu]]</f>
        <v>-2.3823238619269382E-5</v>
      </c>
      <c r="M1870">
        <f>dataset[[#This Row],[soda_sales]]/dataset[[#This Row],[total_sales]]</f>
        <v>8.4783970071761111E-2</v>
      </c>
      <c r="N1870">
        <f>LN(dataset[[#This Row],[soda_units_sold]])</f>
        <v>12.13406093621988</v>
      </c>
      <c r="O1870">
        <f>LN(dataset[[#This Row],[soda_sales]])</f>
        <v>11.90020543725729</v>
      </c>
      <c r="P1870">
        <f>LN(dataset[[#This Row],[soda_ppu]])</f>
        <v>-0.23382539966107024</v>
      </c>
      <c r="Q1870">
        <f>IF(dataset[[#This Row],[state]]="VA",1,0)</f>
        <v>0</v>
      </c>
    </row>
    <row r="1871" spans="1:17" x14ac:dyDescent="0.35">
      <c r="A1871">
        <v>202410</v>
      </c>
      <c r="B1871">
        <v>54</v>
      </c>
      <c r="C1871" s="2">
        <v>2123062.1173999999</v>
      </c>
      <c r="D1871" s="2">
        <v>0.80169999999999997</v>
      </c>
      <c r="E1871" s="3">
        <v>175301</v>
      </c>
      <c r="F1871" s="2">
        <v>140547.50539999999</v>
      </c>
      <c r="G1871" t="s">
        <v>3205</v>
      </c>
      <c r="H1871" t="s">
        <v>8</v>
      </c>
      <c r="I1871" t="str">
        <f>HLOOKUP(G1871,zip_tiers!$A$1:$EON$2,2,FALSE)</f>
        <v/>
      </c>
      <c r="J1871" t="str">
        <f t="shared" si="29"/>
        <v>No Data</v>
      </c>
      <c r="K1871">
        <f>dataset[[#This Row],[soda_sales]]/dataset[[#This Row],[soda_units_sold]]</f>
        <v>0.80174959298577875</v>
      </c>
      <c r="L1871" s="29">
        <f>dataset[[#This Row],[implied_soda_ppu]]-dataset[[#This Row],[soda_ppu]]</f>
        <v>4.9592985778779131E-5</v>
      </c>
      <c r="M1871">
        <f>dataset[[#This Row],[soda_sales]]/dataset[[#This Row],[total_sales]]</f>
        <v>6.6200373624546116E-2</v>
      </c>
      <c r="N1871">
        <f>LN(dataset[[#This Row],[soda_units_sold]])</f>
        <v>12.074259775399616</v>
      </c>
      <c r="O1871">
        <f>LN(dataset[[#This Row],[soda_sales]])</f>
        <v>11.853300827333337</v>
      </c>
      <c r="P1871">
        <f>LN(dataset[[#This Row],[soda_ppu]])</f>
        <v>-0.22102080593323115</v>
      </c>
      <c r="Q1871">
        <f>IF(dataset[[#This Row],[state]]="VA",1,0)</f>
        <v>0</v>
      </c>
    </row>
    <row r="1872" spans="1:17" x14ac:dyDescent="0.35">
      <c r="A1872">
        <v>202411</v>
      </c>
      <c r="B1872">
        <v>54</v>
      </c>
      <c r="C1872" s="2">
        <v>2388669.6449000002</v>
      </c>
      <c r="D1872" s="2">
        <v>0.78310000000000002</v>
      </c>
      <c r="E1872" s="3">
        <v>170432</v>
      </c>
      <c r="F1872" s="2">
        <v>133470.36240000001</v>
      </c>
      <c r="G1872" t="s">
        <v>3205</v>
      </c>
      <c r="H1872" t="s">
        <v>8</v>
      </c>
      <c r="I1872" t="str">
        <f>HLOOKUP(G1872,zip_tiers!$A$1:$EON$2,2,FALSE)</f>
        <v/>
      </c>
      <c r="J1872" t="str">
        <f t="shared" si="29"/>
        <v>No Data</v>
      </c>
      <c r="K1872">
        <f>dataset[[#This Row],[soda_sales]]/dataset[[#This Row],[soda_units_sold]]</f>
        <v>0.78312970803604964</v>
      </c>
      <c r="L1872" s="29">
        <f>dataset[[#This Row],[implied_soda_ppu]]-dataset[[#This Row],[soda_ppu]]</f>
        <v>2.9708036049624909E-5</v>
      </c>
      <c r="M1872">
        <f>dataset[[#This Row],[soda_sales]]/dataset[[#This Row],[total_sales]]</f>
        <v>5.587644264034998E-2</v>
      </c>
      <c r="N1872">
        <f>LN(dataset[[#This Row],[soda_units_sold]])</f>
        <v>12.046091669173604</v>
      </c>
      <c r="O1872">
        <f>LN(dataset[[#This Row],[soda_sales]])</f>
        <v>11.801634727681414</v>
      </c>
      <c r="P1872">
        <f>LN(dataset[[#This Row],[soda_ppu]])</f>
        <v>-0.24449487722524504</v>
      </c>
      <c r="Q1872">
        <f>IF(dataset[[#This Row],[state]]="VA",1,0)</f>
        <v>0</v>
      </c>
    </row>
    <row r="1873" spans="1:17" x14ac:dyDescent="0.35">
      <c r="A1873">
        <v>202412</v>
      </c>
      <c r="B1873">
        <v>54</v>
      </c>
      <c r="C1873" s="2">
        <v>2553084.0208000001</v>
      </c>
      <c r="D1873" s="2">
        <v>0.80720000000000003</v>
      </c>
      <c r="E1873" s="3">
        <v>163610</v>
      </c>
      <c r="F1873" s="2">
        <v>132072.31839999999</v>
      </c>
      <c r="G1873" t="s">
        <v>3205</v>
      </c>
      <c r="H1873" t="s">
        <v>8</v>
      </c>
      <c r="I1873" t="str">
        <f>HLOOKUP(G1873,zip_tiers!$A$1:$EON$2,2,FALSE)</f>
        <v/>
      </c>
      <c r="J1873" t="str">
        <f t="shared" si="29"/>
        <v>No Data</v>
      </c>
      <c r="K1873">
        <f>dataset[[#This Row],[soda_sales]]/dataset[[#This Row],[soda_units_sold]]</f>
        <v>0.80723866756310736</v>
      </c>
      <c r="L1873" s="29">
        <f>dataset[[#This Row],[implied_soda_ppu]]-dataset[[#This Row],[soda_ppu]]</f>
        <v>3.8667563107330771E-5</v>
      </c>
      <c r="M1873">
        <f>dataset[[#This Row],[soda_sales]]/dataset[[#This Row],[total_sales]]</f>
        <v>5.1730502139375571E-2</v>
      </c>
      <c r="N1873">
        <f>LN(dataset[[#This Row],[soda_units_sold]])</f>
        <v>12.005240825977122</v>
      </c>
      <c r="O1873">
        <f>LN(dataset[[#This Row],[soda_sales]])</f>
        <v>11.791104918211026</v>
      </c>
      <c r="P1873">
        <f>LN(dataset[[#This Row],[soda_ppu]])</f>
        <v>-0.21418380994273781</v>
      </c>
      <c r="Q1873">
        <f>IF(dataset[[#This Row],[state]]="VA",1,0)</f>
        <v>0</v>
      </c>
    </row>
    <row r="1874" spans="1:17" x14ac:dyDescent="0.35">
      <c r="A1874">
        <v>202201</v>
      </c>
      <c r="B1874">
        <v>41</v>
      </c>
      <c r="C1874" s="2">
        <v>1760525.4324</v>
      </c>
      <c r="D1874" s="2">
        <v>0.63739999999999997</v>
      </c>
      <c r="E1874" s="3">
        <v>175386</v>
      </c>
      <c r="F1874" s="2">
        <v>111798.31230000001</v>
      </c>
      <c r="G1874" t="s">
        <v>3460</v>
      </c>
      <c r="H1874" t="s">
        <v>8</v>
      </c>
      <c r="I1874">
        <f>HLOOKUP(G1874,zip_tiers!$A$1:$EON$2,2,FALSE)</f>
        <v>58878</v>
      </c>
      <c r="J1874" t="str">
        <f t="shared" si="29"/>
        <v>Med</v>
      </c>
      <c r="K1874">
        <f>dataset[[#This Row],[soda_sales]]/dataset[[#This Row],[soda_units_sold]]</f>
        <v>0.6374414850672232</v>
      </c>
      <c r="L1874" s="29">
        <f>dataset[[#This Row],[implied_soda_ppu]]-dataset[[#This Row],[soda_ppu]]</f>
        <v>4.1485067223234751E-5</v>
      </c>
      <c r="M1874">
        <f>dataset[[#This Row],[soda_sales]]/dataset[[#This Row],[total_sales]]</f>
        <v>6.3502810151167918E-2</v>
      </c>
      <c r="N1874">
        <f>LN(dataset[[#This Row],[soda_units_sold]])</f>
        <v>12.074744538174766</v>
      </c>
      <c r="O1874">
        <f>LN(dataset[[#This Row],[soda_sales]])</f>
        <v>11.624451743882576</v>
      </c>
      <c r="P1874">
        <f>LN(dataset[[#This Row],[soda_ppu]])</f>
        <v>-0.45035787699890106</v>
      </c>
      <c r="Q1874">
        <f>IF(dataset[[#This Row],[state]]="VA",1,0)</f>
        <v>0</v>
      </c>
    </row>
    <row r="1875" spans="1:17" x14ac:dyDescent="0.35">
      <c r="A1875">
        <v>202202</v>
      </c>
      <c r="B1875">
        <v>41</v>
      </c>
      <c r="C1875" s="2">
        <v>1965594.8178999999</v>
      </c>
      <c r="D1875" s="2">
        <v>0.67679999999999996</v>
      </c>
      <c r="E1875" s="3">
        <v>186229</v>
      </c>
      <c r="F1875" s="2">
        <v>126039.5932</v>
      </c>
      <c r="G1875" t="s">
        <v>3460</v>
      </c>
      <c r="H1875" t="s">
        <v>8</v>
      </c>
      <c r="I1875">
        <f>HLOOKUP(G1875,zip_tiers!$A$1:$EON$2,2,FALSE)</f>
        <v>58878</v>
      </c>
      <c r="J1875" t="str">
        <f t="shared" si="29"/>
        <v>Med</v>
      </c>
      <c r="K1875">
        <f>dataset[[#This Row],[soda_sales]]/dataset[[#This Row],[soda_units_sold]]</f>
        <v>0.67679895827180514</v>
      </c>
      <c r="L1875" s="29">
        <f>dataset[[#This Row],[implied_soda_ppu]]-dataset[[#This Row],[soda_ppu]]</f>
        <v>-1.0417281948171819E-6</v>
      </c>
      <c r="M1875">
        <f>dataset[[#This Row],[soda_sales]]/dataset[[#This Row],[total_sales]]</f>
        <v>6.412287621650227E-2</v>
      </c>
      <c r="N1875">
        <f>LN(dataset[[#This Row],[soda_units_sold]])</f>
        <v>12.134732378207005</v>
      </c>
      <c r="O1875">
        <f>LN(dataset[[#This Row],[soda_sales]])</f>
        <v>11.744351368319192</v>
      </c>
      <c r="P1875">
        <f>LN(dataset[[#This Row],[soda_ppu]])</f>
        <v>-0.39037947069012358</v>
      </c>
      <c r="Q1875">
        <f>IF(dataset[[#This Row],[state]]="VA",1,0)</f>
        <v>0</v>
      </c>
    </row>
    <row r="1876" spans="1:17" x14ac:dyDescent="0.35">
      <c r="A1876">
        <v>202203</v>
      </c>
      <c r="B1876">
        <v>41</v>
      </c>
      <c r="C1876" s="2">
        <v>2174025.6279000002</v>
      </c>
      <c r="D1876" s="2">
        <v>0.66569999999999996</v>
      </c>
      <c r="E1876" s="3">
        <v>218551</v>
      </c>
      <c r="F1876" s="2">
        <v>145478.9927</v>
      </c>
      <c r="G1876" t="s">
        <v>3460</v>
      </c>
      <c r="H1876" t="s">
        <v>8</v>
      </c>
      <c r="I1876">
        <f>HLOOKUP(G1876,zip_tiers!$A$1:$EON$2,2,FALSE)</f>
        <v>58878</v>
      </c>
      <c r="J1876" t="str">
        <f t="shared" si="29"/>
        <v>Med</v>
      </c>
      <c r="K1876">
        <f>dataset[[#This Row],[soda_sales]]/dataset[[#This Row],[soda_units_sold]]</f>
        <v>0.66565237724833104</v>
      </c>
      <c r="L1876" s="29">
        <f>dataset[[#This Row],[implied_soda_ppu]]-dataset[[#This Row],[soda_ppu]]</f>
        <v>-4.7622751668918717E-5</v>
      </c>
      <c r="M1876">
        <f>dataset[[#This Row],[soda_sales]]/dataset[[#This Row],[total_sales]]</f>
        <v>6.6916871095271044E-2</v>
      </c>
      <c r="N1876">
        <f>LN(dataset[[#This Row],[soda_units_sold]])</f>
        <v>12.294774675892981</v>
      </c>
      <c r="O1876">
        <f>LN(dataset[[#This Row],[soda_sales]])</f>
        <v>11.88778697510115</v>
      </c>
      <c r="P1876">
        <f>LN(dataset[[#This Row],[soda_ppu]])</f>
        <v>-0.40691616037547917</v>
      </c>
      <c r="Q1876">
        <f>IF(dataset[[#This Row],[state]]="VA",1,0)</f>
        <v>0</v>
      </c>
    </row>
    <row r="1877" spans="1:17" x14ac:dyDescent="0.35">
      <c r="A1877">
        <v>202204</v>
      </c>
      <c r="B1877">
        <v>41</v>
      </c>
      <c r="C1877" s="2">
        <v>2315444.6712000002</v>
      </c>
      <c r="D1877" s="2">
        <v>0.68679999999999997</v>
      </c>
      <c r="E1877" s="3">
        <v>250115</v>
      </c>
      <c r="F1877" s="2">
        <v>171784.02110000001</v>
      </c>
      <c r="G1877" t="s">
        <v>3460</v>
      </c>
      <c r="H1877" t="s">
        <v>8</v>
      </c>
      <c r="I1877">
        <f>HLOOKUP(G1877,zip_tiers!$A$1:$EON$2,2,FALSE)</f>
        <v>58878</v>
      </c>
      <c r="J1877" t="str">
        <f t="shared" si="29"/>
        <v>Med</v>
      </c>
      <c r="K1877">
        <f>dataset[[#This Row],[soda_sales]]/dataset[[#This Row],[soda_units_sold]]</f>
        <v>0.6868201471323192</v>
      </c>
      <c r="L1877" s="29">
        <f>dataset[[#This Row],[implied_soda_ppu]]-dataset[[#This Row],[soda_ppu]]</f>
        <v>2.0147132319237038E-5</v>
      </c>
      <c r="M1877">
        <f>dataset[[#This Row],[soda_sales]]/dataset[[#This Row],[total_sales]]</f>
        <v>7.419051002888849E-2</v>
      </c>
      <c r="N1877">
        <f>LN(dataset[[#This Row],[soda_units_sold]])</f>
        <v>12.429676091076818</v>
      </c>
      <c r="O1877">
        <f>LN(dataset[[#This Row],[soda_sales]])</f>
        <v>12.05399327547563</v>
      </c>
      <c r="P1877">
        <f>LN(dataset[[#This Row],[soda_ppu]])</f>
        <v>-0.37571214995881663</v>
      </c>
      <c r="Q1877">
        <f>IF(dataset[[#This Row],[state]]="VA",1,0)</f>
        <v>0</v>
      </c>
    </row>
    <row r="1878" spans="1:17" x14ac:dyDescent="0.35">
      <c r="A1878">
        <v>202205</v>
      </c>
      <c r="B1878">
        <v>41</v>
      </c>
      <c r="C1878" s="2">
        <v>2403912.196</v>
      </c>
      <c r="D1878" s="2">
        <v>0.68530000000000002</v>
      </c>
      <c r="E1878" s="3">
        <v>274106</v>
      </c>
      <c r="F1878" s="2">
        <v>187844.09359999999</v>
      </c>
      <c r="G1878" t="s">
        <v>3460</v>
      </c>
      <c r="H1878" t="s">
        <v>8</v>
      </c>
      <c r="I1878">
        <f>HLOOKUP(G1878,zip_tiers!$A$1:$EON$2,2,FALSE)</f>
        <v>58878</v>
      </c>
      <c r="J1878" t="str">
        <f t="shared" si="29"/>
        <v>Med</v>
      </c>
      <c r="K1878">
        <f>dataset[[#This Row],[soda_sales]]/dataset[[#This Row],[soda_units_sold]]</f>
        <v>0.68529727039904265</v>
      </c>
      <c r="L1878" s="29">
        <f>dataset[[#This Row],[implied_soda_ppu]]-dataset[[#This Row],[soda_ppu]]</f>
        <v>-2.7296009573740676E-6</v>
      </c>
      <c r="M1878">
        <f>dataset[[#This Row],[soda_sales]]/dataset[[#This Row],[total_sales]]</f>
        <v>7.8140996128129789E-2</v>
      </c>
      <c r="N1878">
        <f>LN(dataset[[#This Row],[soda_units_sold]])</f>
        <v>12.521270171872532</v>
      </c>
      <c r="O1878">
        <f>LN(dataset[[#This Row],[soda_sales]])</f>
        <v>12.143367608399737</v>
      </c>
      <c r="P1878">
        <f>LN(dataset[[#This Row],[soda_ppu]])</f>
        <v>-0.37789858039035901</v>
      </c>
      <c r="Q1878">
        <f>IF(dataset[[#This Row],[state]]="VA",1,0)</f>
        <v>0</v>
      </c>
    </row>
    <row r="1879" spans="1:17" x14ac:dyDescent="0.35">
      <c r="A1879">
        <v>202206</v>
      </c>
      <c r="B1879">
        <v>41</v>
      </c>
      <c r="C1879" s="2">
        <v>2293803.8169</v>
      </c>
      <c r="D1879" s="2">
        <v>0.65890000000000004</v>
      </c>
      <c r="E1879" s="3">
        <v>292656</v>
      </c>
      <c r="F1879" s="2">
        <v>192834.3602</v>
      </c>
      <c r="G1879" t="s">
        <v>3460</v>
      </c>
      <c r="H1879" t="s">
        <v>8</v>
      </c>
      <c r="I1879">
        <f>HLOOKUP(G1879,zip_tiers!$A$1:$EON$2,2,FALSE)</f>
        <v>58878</v>
      </c>
      <c r="J1879" t="str">
        <f t="shared" si="29"/>
        <v>Med</v>
      </c>
      <c r="K1879">
        <f>dataset[[#This Row],[soda_sales]]/dataset[[#This Row],[soda_units_sold]]</f>
        <v>0.65891135052758187</v>
      </c>
      <c r="L1879" s="29">
        <f>dataset[[#This Row],[implied_soda_ppu]]-dataset[[#This Row],[soda_ppu]]</f>
        <v>1.1350527581832637E-5</v>
      </c>
      <c r="M1879">
        <f>dataset[[#This Row],[soda_sales]]/dataset[[#This Row],[total_sales]]</f>
        <v>8.4067503410387226E-2</v>
      </c>
      <c r="N1879">
        <f>LN(dataset[[#This Row],[soda_units_sold]])</f>
        <v>12.586753136815707</v>
      </c>
      <c r="O1879">
        <f>LN(dataset[[#This Row],[soda_sales]])</f>
        <v>12.169586862084833</v>
      </c>
      <c r="P1879">
        <f>LN(dataset[[#This Row],[soda_ppu]])</f>
        <v>-0.41718350106236279</v>
      </c>
      <c r="Q1879">
        <f>IF(dataset[[#This Row],[state]]="VA",1,0)</f>
        <v>0</v>
      </c>
    </row>
    <row r="1880" spans="1:17" x14ac:dyDescent="0.35">
      <c r="A1880">
        <v>202207</v>
      </c>
      <c r="B1880">
        <v>41</v>
      </c>
      <c r="C1880" s="2">
        <v>2227849.7692</v>
      </c>
      <c r="D1880" s="2">
        <v>0.69059999999999999</v>
      </c>
      <c r="E1880" s="3">
        <v>293297</v>
      </c>
      <c r="F1880" s="2">
        <v>202537.09539999999</v>
      </c>
      <c r="G1880" t="s">
        <v>3460</v>
      </c>
      <c r="H1880" t="s">
        <v>8</v>
      </c>
      <c r="I1880">
        <f>HLOOKUP(G1880,zip_tiers!$A$1:$EON$2,2,FALSE)</f>
        <v>58878</v>
      </c>
      <c r="J1880" t="str">
        <f t="shared" si="29"/>
        <v>Med</v>
      </c>
      <c r="K1880">
        <f>dataset[[#This Row],[soda_sales]]/dataset[[#This Row],[soda_units_sold]]</f>
        <v>0.6905529050757423</v>
      </c>
      <c r="L1880" s="29">
        <f>dataset[[#This Row],[implied_soda_ppu]]-dataset[[#This Row],[soda_ppu]]</f>
        <v>-4.7094924257695681E-5</v>
      </c>
      <c r="M1880">
        <f>dataset[[#This Row],[soda_sales]]/dataset[[#This Row],[total_sales]]</f>
        <v>9.0911469076628615E-2</v>
      </c>
      <c r="N1880">
        <f>LN(dataset[[#This Row],[soda_units_sold]])</f>
        <v>12.588941026478182</v>
      </c>
      <c r="O1880">
        <f>LN(dataset[[#This Row],[soda_sales]])</f>
        <v>12.218678335912506</v>
      </c>
      <c r="P1880">
        <f>LN(dataset[[#This Row],[soda_ppu]])</f>
        <v>-0.3701944940262451</v>
      </c>
      <c r="Q1880">
        <f>IF(dataset[[#This Row],[state]]="VA",1,0)</f>
        <v>0</v>
      </c>
    </row>
    <row r="1881" spans="1:17" x14ac:dyDescent="0.35">
      <c r="A1881">
        <v>202208</v>
      </c>
      <c r="B1881">
        <v>41</v>
      </c>
      <c r="C1881" s="2">
        <v>2099729.7102999999</v>
      </c>
      <c r="D1881" s="2">
        <v>0.70399999999999996</v>
      </c>
      <c r="E1881" s="3">
        <v>249070</v>
      </c>
      <c r="F1881" s="2">
        <v>175350.1342</v>
      </c>
      <c r="G1881" t="s">
        <v>3460</v>
      </c>
      <c r="H1881" t="s">
        <v>8</v>
      </c>
      <c r="I1881">
        <f>HLOOKUP(G1881,zip_tiers!$A$1:$EON$2,2,FALSE)</f>
        <v>58878</v>
      </c>
      <c r="J1881" t="str">
        <f t="shared" si="29"/>
        <v>Med</v>
      </c>
      <c r="K1881">
        <f>dataset[[#This Row],[soda_sales]]/dataset[[#This Row],[soda_units_sold]]</f>
        <v>0.70401948930019675</v>
      </c>
      <c r="L1881" s="29">
        <f>dataset[[#This Row],[implied_soda_ppu]]-dataset[[#This Row],[soda_ppu]]</f>
        <v>1.9489300196795512E-5</v>
      </c>
      <c r="M1881">
        <f>dataset[[#This Row],[soda_sales]]/dataset[[#This Row],[total_sales]]</f>
        <v>8.3510812529745446E-2</v>
      </c>
      <c r="N1881">
        <f>LN(dataset[[#This Row],[soda_units_sold]])</f>
        <v>12.425489260436748</v>
      </c>
      <c r="O1881">
        <f>LN(dataset[[#This Row],[soda_sales]])</f>
        <v>12.074540020894521</v>
      </c>
      <c r="P1881">
        <f>LN(dataset[[#This Row],[soda_ppu]])</f>
        <v>-0.35097692282409471</v>
      </c>
      <c r="Q1881">
        <f>IF(dataset[[#This Row],[state]]="VA",1,0)</f>
        <v>0</v>
      </c>
    </row>
    <row r="1882" spans="1:17" x14ac:dyDescent="0.35">
      <c r="A1882">
        <v>202209</v>
      </c>
      <c r="B1882">
        <v>41</v>
      </c>
      <c r="C1882" s="2">
        <v>2088550.6340000001</v>
      </c>
      <c r="D1882" s="2">
        <v>0.69079999999999997</v>
      </c>
      <c r="E1882" s="3">
        <v>247093</v>
      </c>
      <c r="F1882" s="2">
        <v>170687.6372</v>
      </c>
      <c r="G1882" t="s">
        <v>3460</v>
      </c>
      <c r="H1882" t="s">
        <v>8</v>
      </c>
      <c r="I1882">
        <f>HLOOKUP(G1882,zip_tiers!$A$1:$EON$2,2,FALSE)</f>
        <v>58878</v>
      </c>
      <c r="J1882" t="str">
        <f t="shared" si="29"/>
        <v>Med</v>
      </c>
      <c r="K1882">
        <f>dataset[[#This Row],[soda_sales]]/dataset[[#This Row],[soda_units_sold]]</f>
        <v>0.69078297321251514</v>
      </c>
      <c r="L1882" s="29">
        <f>dataset[[#This Row],[implied_soda_ppu]]-dataset[[#This Row],[soda_ppu]]</f>
        <v>-1.7026787484830663E-5</v>
      </c>
      <c r="M1882">
        <f>dataset[[#This Row],[soda_sales]]/dataset[[#This Row],[total_sales]]</f>
        <v>8.1725400582268085E-2</v>
      </c>
      <c r="N1882">
        <f>LN(dataset[[#This Row],[soda_units_sold]])</f>
        <v>12.417520062963542</v>
      </c>
      <c r="O1882">
        <f>LN(dataset[[#This Row],[soda_sales]])</f>
        <v>12.047590482023868</v>
      </c>
      <c r="P1882">
        <f>LN(dataset[[#This Row],[soda_ppu]])</f>
        <v>-0.36990493270961355</v>
      </c>
      <c r="Q1882">
        <f>IF(dataset[[#This Row],[state]]="VA",1,0)</f>
        <v>0</v>
      </c>
    </row>
    <row r="1883" spans="1:17" x14ac:dyDescent="0.35">
      <c r="A1883">
        <v>202210</v>
      </c>
      <c r="B1883">
        <v>41</v>
      </c>
      <c r="C1883" s="2">
        <v>2545674.4356999998</v>
      </c>
      <c r="D1883" s="2">
        <v>0.70409999999999995</v>
      </c>
      <c r="E1883" s="3">
        <v>227364</v>
      </c>
      <c r="F1883" s="2">
        <v>160085.78599999999</v>
      </c>
      <c r="G1883" t="s">
        <v>3460</v>
      </c>
      <c r="H1883" t="s">
        <v>8</v>
      </c>
      <c r="I1883">
        <f>HLOOKUP(G1883,zip_tiers!$A$1:$EON$2,2,FALSE)</f>
        <v>58878</v>
      </c>
      <c r="J1883" t="str">
        <f t="shared" si="29"/>
        <v>Med</v>
      </c>
      <c r="K1883">
        <f>dataset[[#This Row],[soda_sales]]/dataset[[#This Row],[soda_units_sold]]</f>
        <v>0.7040946939709013</v>
      </c>
      <c r="L1883" s="29">
        <f>dataset[[#This Row],[implied_soda_ppu]]-dataset[[#This Row],[soda_ppu]]</f>
        <v>-5.3060290986506331E-6</v>
      </c>
      <c r="M1883">
        <f>dataset[[#This Row],[soda_sales]]/dataset[[#This Row],[total_sales]]</f>
        <v>6.2885412115151404E-2</v>
      </c>
      <c r="N1883">
        <f>LN(dataset[[#This Row],[soda_units_sold]])</f>
        <v>12.334307536420363</v>
      </c>
      <c r="O1883">
        <f>LN(dataset[[#This Row],[soda_sales]])</f>
        <v>11.983465113032207</v>
      </c>
      <c r="P1883">
        <f>LN(dataset[[#This Row],[soda_ppu]])</f>
        <v>-0.3508348874570496</v>
      </c>
      <c r="Q1883">
        <f>IF(dataset[[#This Row],[state]]="VA",1,0)</f>
        <v>0</v>
      </c>
    </row>
    <row r="1884" spans="1:17" x14ac:dyDescent="0.35">
      <c r="A1884">
        <v>202211</v>
      </c>
      <c r="B1884">
        <v>41</v>
      </c>
      <c r="C1884" s="2">
        <v>2832757.9670000002</v>
      </c>
      <c r="D1884" s="2">
        <v>0.67190000000000005</v>
      </c>
      <c r="E1884" s="3">
        <v>222645</v>
      </c>
      <c r="F1884" s="2">
        <v>149589.24789999999</v>
      </c>
      <c r="G1884" t="s">
        <v>3460</v>
      </c>
      <c r="H1884" t="s">
        <v>8</v>
      </c>
      <c r="I1884">
        <f>HLOOKUP(G1884,zip_tiers!$A$1:$EON$2,2,FALSE)</f>
        <v>58878</v>
      </c>
      <c r="J1884" t="str">
        <f t="shared" si="29"/>
        <v>Med</v>
      </c>
      <c r="K1884">
        <f>dataset[[#This Row],[soda_sales]]/dataset[[#This Row],[soda_units_sold]]</f>
        <v>0.6718733764513013</v>
      </c>
      <c r="L1884" s="29">
        <f>dataset[[#This Row],[implied_soda_ppu]]-dataset[[#This Row],[soda_ppu]]</f>
        <v>-2.6623548698756494E-5</v>
      </c>
      <c r="M1884">
        <f>dataset[[#This Row],[soda_sales]]/dataset[[#This Row],[total_sales]]</f>
        <v>5.2806928669031604E-2</v>
      </c>
      <c r="N1884">
        <f>LN(dataset[[#This Row],[soda_units_sold]])</f>
        <v>12.313333853726975</v>
      </c>
      <c r="O1884">
        <f>LN(dataset[[#This Row],[soda_sales]])</f>
        <v>11.915648469613371</v>
      </c>
      <c r="P1884">
        <f>LN(dataset[[#This Row],[soda_ppu]])</f>
        <v>-0.39764575905603267</v>
      </c>
      <c r="Q1884">
        <f>IF(dataset[[#This Row],[state]]="VA",1,0)</f>
        <v>0</v>
      </c>
    </row>
    <row r="1885" spans="1:17" x14ac:dyDescent="0.35">
      <c r="A1885">
        <v>202212</v>
      </c>
      <c r="B1885">
        <v>41</v>
      </c>
      <c r="C1885" s="2">
        <v>3089026.8076999998</v>
      </c>
      <c r="D1885" s="2">
        <v>0.68179999999999996</v>
      </c>
      <c r="E1885" s="3">
        <v>222653</v>
      </c>
      <c r="F1885" s="2">
        <v>151798.01699999999</v>
      </c>
      <c r="G1885" t="s">
        <v>3460</v>
      </c>
      <c r="H1885" t="s">
        <v>8</v>
      </c>
      <c r="I1885">
        <f>HLOOKUP(G1885,zip_tiers!$A$1:$EON$2,2,FALSE)</f>
        <v>58878</v>
      </c>
      <c r="J1885" t="str">
        <f t="shared" si="29"/>
        <v>Med</v>
      </c>
      <c r="K1885">
        <f>dataset[[#This Row],[soda_sales]]/dataset[[#This Row],[soda_units_sold]]</f>
        <v>0.68176946638940406</v>
      </c>
      <c r="L1885" s="29">
        <f>dataset[[#This Row],[implied_soda_ppu]]-dataset[[#This Row],[soda_ppu]]</f>
        <v>-3.0533610595906424E-5</v>
      </c>
      <c r="M1885">
        <f>dataset[[#This Row],[soda_sales]]/dataset[[#This Row],[total_sales]]</f>
        <v>4.9141048767078983E-2</v>
      </c>
      <c r="N1885">
        <f>LN(dataset[[#This Row],[soda_units_sold]])</f>
        <v>12.313369784721504</v>
      </c>
      <c r="O1885">
        <f>LN(dataset[[#This Row],[soda_sales]])</f>
        <v>11.930306080617235</v>
      </c>
      <c r="P1885">
        <f>LN(dataset[[#This Row],[soda_ppu]])</f>
        <v>-0.38301891927833437</v>
      </c>
      <c r="Q1885">
        <f>IF(dataset[[#This Row],[state]]="VA",1,0)</f>
        <v>0</v>
      </c>
    </row>
    <row r="1886" spans="1:17" x14ac:dyDescent="0.35">
      <c r="A1886">
        <v>202301</v>
      </c>
      <c r="B1886">
        <v>41</v>
      </c>
      <c r="C1886" s="2">
        <v>1769005.4878</v>
      </c>
      <c r="D1886" s="2">
        <v>0.69740000000000002</v>
      </c>
      <c r="E1886" s="3">
        <v>161597</v>
      </c>
      <c r="F1886" s="2">
        <v>112703.32309999999</v>
      </c>
      <c r="G1886" t="s">
        <v>3460</v>
      </c>
      <c r="H1886" t="s">
        <v>8</v>
      </c>
      <c r="I1886">
        <f>HLOOKUP(G1886,zip_tiers!$A$1:$EON$2,2,FALSE)</f>
        <v>58878</v>
      </c>
      <c r="J1886" t="str">
        <f t="shared" si="29"/>
        <v>Med</v>
      </c>
      <c r="K1886">
        <f>dataset[[#This Row],[soda_sales]]/dataset[[#This Row],[soda_units_sold]]</f>
        <v>0.69743450125930551</v>
      </c>
      <c r="L1886" s="29">
        <f>dataset[[#This Row],[implied_soda_ppu]]-dataset[[#This Row],[soda_ppu]]</f>
        <v>3.4501259305486087E-5</v>
      </c>
      <c r="M1886">
        <f>dataset[[#This Row],[soda_sales]]/dataset[[#This Row],[total_sales]]</f>
        <v>6.3709990657045371E-2</v>
      </c>
      <c r="N1886">
        <f>LN(dataset[[#This Row],[soda_units_sold]])</f>
        <v>11.992860860540377</v>
      </c>
      <c r="O1886">
        <f>LN(dataset[[#This Row],[soda_sales]])</f>
        <v>11.632514185839829</v>
      </c>
      <c r="P1886">
        <f>LN(dataset[[#This Row],[soda_ppu]])</f>
        <v>-0.36039614474058623</v>
      </c>
      <c r="Q1886">
        <f>IF(dataset[[#This Row],[state]]="VA",1,0)</f>
        <v>0</v>
      </c>
    </row>
    <row r="1887" spans="1:17" x14ac:dyDescent="0.35">
      <c r="A1887">
        <v>202302</v>
      </c>
      <c r="B1887">
        <v>41</v>
      </c>
      <c r="C1887" s="2">
        <v>1950886.9905999999</v>
      </c>
      <c r="D1887" s="2">
        <v>0.7</v>
      </c>
      <c r="E1887" s="3">
        <v>175215</v>
      </c>
      <c r="F1887" s="2">
        <v>122641.8563</v>
      </c>
      <c r="G1887" t="s">
        <v>3460</v>
      </c>
      <c r="H1887" t="s">
        <v>8</v>
      </c>
      <c r="I1887">
        <f>HLOOKUP(G1887,zip_tiers!$A$1:$EON$2,2,FALSE)</f>
        <v>58878</v>
      </c>
      <c r="J1887" t="str">
        <f t="shared" si="29"/>
        <v>Med</v>
      </c>
      <c r="K1887">
        <f>dataset[[#This Row],[soda_sales]]/dataset[[#This Row],[soda_units_sold]]</f>
        <v>0.69995066803641237</v>
      </c>
      <c r="L1887" s="29">
        <f>dataset[[#This Row],[implied_soda_ppu]]-dataset[[#This Row],[soda_ppu]]</f>
        <v>-4.9331963587584404E-5</v>
      </c>
      <c r="M1887">
        <f>dataset[[#This Row],[soda_sales]]/dataset[[#This Row],[total_sales]]</f>
        <v>6.2864664581253477E-2</v>
      </c>
      <c r="N1887">
        <f>LN(dataset[[#This Row],[soda_units_sold]])</f>
        <v>12.073769070257907</v>
      </c>
      <c r="O1887">
        <f>LN(dataset[[#This Row],[soda_sales]])</f>
        <v>11.717023649602051</v>
      </c>
      <c r="P1887">
        <f>LN(dataset[[#This Row],[soda_ppu]])</f>
        <v>-0.35667494393873245</v>
      </c>
      <c r="Q1887">
        <f>IF(dataset[[#This Row],[state]]="VA",1,0)</f>
        <v>0</v>
      </c>
    </row>
    <row r="1888" spans="1:17" x14ac:dyDescent="0.35">
      <c r="A1888">
        <v>202303</v>
      </c>
      <c r="B1888">
        <v>41</v>
      </c>
      <c r="C1888" s="2">
        <v>2224482.8128999998</v>
      </c>
      <c r="D1888" s="2">
        <v>0.69230000000000003</v>
      </c>
      <c r="E1888" s="3">
        <v>217645</v>
      </c>
      <c r="F1888" s="2">
        <v>150684.75659999999</v>
      </c>
      <c r="G1888" t="s">
        <v>3460</v>
      </c>
      <c r="H1888" t="s">
        <v>8</v>
      </c>
      <c r="I1888">
        <f>HLOOKUP(G1888,zip_tiers!$A$1:$EON$2,2,FALSE)</f>
        <v>58878</v>
      </c>
      <c r="J1888" t="str">
        <f t="shared" si="29"/>
        <v>Med</v>
      </c>
      <c r="K1888">
        <f>dataset[[#This Row],[soda_sales]]/dataset[[#This Row],[soda_units_sold]]</f>
        <v>0.69234191734246131</v>
      </c>
      <c r="L1888" s="29">
        <f>dataset[[#This Row],[implied_soda_ppu]]-dataset[[#This Row],[soda_ppu]]</f>
        <v>4.191734246128398E-5</v>
      </c>
      <c r="M1888">
        <f>dataset[[#This Row],[soda_sales]]/dataset[[#This Row],[total_sales]]</f>
        <v>6.7739231665969235E-2</v>
      </c>
      <c r="N1888">
        <f>LN(dataset[[#This Row],[soda_units_sold]])</f>
        <v>12.290620574054037</v>
      </c>
      <c r="O1888">
        <f>LN(dataset[[#This Row],[soda_sales]])</f>
        <v>11.922945228868125</v>
      </c>
      <c r="P1888">
        <f>LN(dataset[[#This Row],[soda_ppu]])</f>
        <v>-0.36773589129815726</v>
      </c>
      <c r="Q1888">
        <f>IF(dataset[[#This Row],[state]]="VA",1,0)</f>
        <v>0</v>
      </c>
    </row>
    <row r="1889" spans="1:17" x14ac:dyDescent="0.35">
      <c r="A1889">
        <v>202304</v>
      </c>
      <c r="B1889">
        <v>41</v>
      </c>
      <c r="C1889" s="2">
        <v>2334284.6206</v>
      </c>
      <c r="D1889" s="2">
        <v>0.68740000000000001</v>
      </c>
      <c r="E1889" s="3">
        <v>251657</v>
      </c>
      <c r="F1889" s="2">
        <v>172985.18919999999</v>
      </c>
      <c r="G1889" t="s">
        <v>3460</v>
      </c>
      <c r="H1889" t="s">
        <v>8</v>
      </c>
      <c r="I1889">
        <f>HLOOKUP(G1889,zip_tiers!$A$1:$EON$2,2,FALSE)</f>
        <v>58878</v>
      </c>
      <c r="J1889" t="str">
        <f t="shared" si="29"/>
        <v>Med</v>
      </c>
      <c r="K1889">
        <f>dataset[[#This Row],[soda_sales]]/dataset[[#This Row],[soda_units_sold]]</f>
        <v>0.68738477054085523</v>
      </c>
      <c r="L1889" s="29">
        <f>dataset[[#This Row],[implied_soda_ppu]]-dataset[[#This Row],[soda_ppu]]</f>
        <v>-1.5229459144783242E-5</v>
      </c>
      <c r="M1889">
        <f>dataset[[#This Row],[soda_sales]]/dataset[[#This Row],[total_sales]]</f>
        <v>7.4106296924295462E-2</v>
      </c>
      <c r="N1889">
        <f>LN(dataset[[#This Row],[soda_units_sold]])</f>
        <v>12.435822328229319</v>
      </c>
      <c r="O1889">
        <f>LN(dataset[[#This Row],[soda_sales]])</f>
        <v>12.060961258254343</v>
      </c>
      <c r="P1889">
        <f>LN(dataset[[#This Row],[soda_ppu]])</f>
        <v>-0.3748389145664035</v>
      </c>
      <c r="Q1889">
        <f>IF(dataset[[#This Row],[state]]="VA",1,0)</f>
        <v>0</v>
      </c>
    </row>
    <row r="1890" spans="1:17" x14ac:dyDescent="0.35">
      <c r="A1890">
        <v>202305</v>
      </c>
      <c r="B1890">
        <v>41</v>
      </c>
      <c r="C1890" s="2">
        <v>2474817.1266000001</v>
      </c>
      <c r="D1890" s="2">
        <v>0.69069999999999998</v>
      </c>
      <c r="E1890" s="3">
        <v>277429</v>
      </c>
      <c r="F1890" s="2">
        <v>191608.6489</v>
      </c>
      <c r="G1890" t="s">
        <v>3460</v>
      </c>
      <c r="H1890" t="s">
        <v>8</v>
      </c>
      <c r="I1890">
        <f>HLOOKUP(G1890,zip_tiers!$A$1:$EON$2,2,FALSE)</f>
        <v>58878</v>
      </c>
      <c r="J1890" t="str">
        <f t="shared" si="29"/>
        <v>Med</v>
      </c>
      <c r="K1890">
        <f>dataset[[#This Row],[soda_sales]]/dataset[[#This Row],[soda_units_sold]]</f>
        <v>0.69065832663492277</v>
      </c>
      <c r="L1890" s="29">
        <f>dataset[[#This Row],[implied_soda_ppu]]-dataset[[#This Row],[soda_ppu]]</f>
        <v>-4.1673365077210534E-5</v>
      </c>
      <c r="M1890">
        <f>dataset[[#This Row],[soda_sales]]/dataset[[#This Row],[total_sales]]</f>
        <v>7.7423356594933296E-2</v>
      </c>
      <c r="N1890">
        <f>LN(dataset[[#This Row],[soda_units_sold]])</f>
        <v>12.533320323576078</v>
      </c>
      <c r="O1890">
        <f>LN(dataset[[#This Row],[soda_sales]])</f>
        <v>12.16321028389676</v>
      </c>
      <c r="P1890">
        <f>LN(dataset[[#This Row],[soda_ppu]])</f>
        <v>-0.37004970288720984</v>
      </c>
      <c r="Q1890">
        <f>IF(dataset[[#This Row],[state]]="VA",1,0)</f>
        <v>0</v>
      </c>
    </row>
    <row r="1891" spans="1:17" x14ac:dyDescent="0.35">
      <c r="A1891">
        <v>202306</v>
      </c>
      <c r="B1891">
        <v>41</v>
      </c>
      <c r="C1891" s="2">
        <v>2290018.9358999999</v>
      </c>
      <c r="D1891" s="2">
        <v>0.68210000000000004</v>
      </c>
      <c r="E1891" s="3">
        <v>281720</v>
      </c>
      <c r="F1891" s="2">
        <v>192159.61790000001</v>
      </c>
      <c r="G1891" t="s">
        <v>3460</v>
      </c>
      <c r="H1891" t="s">
        <v>8</v>
      </c>
      <c r="I1891">
        <f>HLOOKUP(G1891,zip_tiers!$A$1:$EON$2,2,FALSE)</f>
        <v>58878</v>
      </c>
      <c r="J1891" t="str">
        <f t="shared" si="29"/>
        <v>Med</v>
      </c>
      <c r="K1891">
        <f>dataset[[#This Row],[soda_sales]]/dataset[[#This Row],[soda_units_sold]]</f>
        <v>0.68209434154479631</v>
      </c>
      <c r="L1891" s="29">
        <f>dataset[[#This Row],[implied_soda_ppu]]-dataset[[#This Row],[soda_ppu]]</f>
        <v>-5.6584552037275415E-6</v>
      </c>
      <c r="M1891">
        <f>dataset[[#This Row],[soda_sales]]/dataset[[#This Row],[total_sales]]</f>
        <v>8.3911803036894717E-2</v>
      </c>
      <c r="N1891">
        <f>LN(dataset[[#This Row],[soda_units_sold]])</f>
        <v>12.548668948859346</v>
      </c>
      <c r="O1891">
        <f>LN(dataset[[#This Row],[soda_sales]])</f>
        <v>12.166081648864706</v>
      </c>
      <c r="P1891">
        <f>LN(dataset[[#This Row],[soda_ppu]])</f>
        <v>-0.38257900432146336</v>
      </c>
      <c r="Q1891">
        <f>IF(dataset[[#This Row],[state]]="VA",1,0)</f>
        <v>0</v>
      </c>
    </row>
    <row r="1892" spans="1:17" x14ac:dyDescent="0.35">
      <c r="A1892">
        <v>202307</v>
      </c>
      <c r="B1892">
        <v>41</v>
      </c>
      <c r="C1892" s="2">
        <v>2169601.9851000002</v>
      </c>
      <c r="D1892" s="2">
        <v>0.70479999999999998</v>
      </c>
      <c r="E1892" s="3">
        <v>285497</v>
      </c>
      <c r="F1892" s="2">
        <v>201211.64799999999</v>
      </c>
      <c r="G1892" t="s">
        <v>3460</v>
      </c>
      <c r="H1892" t="s">
        <v>8</v>
      </c>
      <c r="I1892">
        <f>HLOOKUP(G1892,zip_tiers!$A$1:$EON$2,2,FALSE)</f>
        <v>58878</v>
      </c>
      <c r="J1892" t="str">
        <f t="shared" si="29"/>
        <v>Med</v>
      </c>
      <c r="K1892">
        <f>dataset[[#This Row],[soda_sales]]/dataset[[#This Row],[soda_units_sold]]</f>
        <v>0.70477675071892165</v>
      </c>
      <c r="L1892" s="29">
        <f>dataset[[#This Row],[implied_soda_ppu]]-dataset[[#This Row],[soda_ppu]]</f>
        <v>-2.3249281078330242E-5</v>
      </c>
      <c r="M1892">
        <f>dataset[[#This Row],[soda_sales]]/dataset[[#This Row],[total_sales]]</f>
        <v>9.2741272077480078E-2</v>
      </c>
      <c r="N1892">
        <f>LN(dataset[[#This Row],[soda_units_sold]])</f>
        <v>12.561986800142083</v>
      </c>
      <c r="O1892">
        <f>LN(dataset[[#This Row],[soda_sales]])</f>
        <v>12.212112608176142</v>
      </c>
      <c r="P1892">
        <f>LN(dataset[[#This Row],[soda_ppu]])</f>
        <v>-0.3498412043601673</v>
      </c>
      <c r="Q1892">
        <f>IF(dataset[[#This Row],[state]]="VA",1,0)</f>
        <v>0</v>
      </c>
    </row>
    <row r="1893" spans="1:17" x14ac:dyDescent="0.35">
      <c r="A1893">
        <v>202308</v>
      </c>
      <c r="B1893">
        <v>41</v>
      </c>
      <c r="C1893" s="2">
        <v>2074580.3481000001</v>
      </c>
      <c r="D1893" s="2">
        <v>0.69069999999999998</v>
      </c>
      <c r="E1893" s="3">
        <v>254799</v>
      </c>
      <c r="F1893" s="2">
        <v>175978.38529999999</v>
      </c>
      <c r="G1893" t="s">
        <v>3460</v>
      </c>
      <c r="H1893" t="s">
        <v>8</v>
      </c>
      <c r="I1893">
        <f>HLOOKUP(G1893,zip_tiers!$A$1:$EON$2,2,FALSE)</f>
        <v>58878</v>
      </c>
      <c r="J1893" t="str">
        <f t="shared" si="29"/>
        <v>Med</v>
      </c>
      <c r="K1893">
        <f>dataset[[#This Row],[soda_sales]]/dataset[[#This Row],[soda_units_sold]]</f>
        <v>0.69065571411190785</v>
      </c>
      <c r="L1893" s="29">
        <f>dataset[[#This Row],[implied_soda_ppu]]-dataset[[#This Row],[soda_ppu]]</f>
        <v>-4.428588809213263E-5</v>
      </c>
      <c r="M1893">
        <f>dataset[[#This Row],[soda_sales]]/dataset[[#This Row],[total_sales]]</f>
        <v>8.4826015758401166E-2</v>
      </c>
      <c r="N1893">
        <f>LN(dataset[[#This Row],[soda_units_sold]])</f>
        <v>12.448230278025662</v>
      </c>
      <c r="O1893">
        <f>LN(dataset[[#This Row],[soda_sales]])</f>
        <v>12.078116455682972</v>
      </c>
      <c r="P1893">
        <f>LN(dataset[[#This Row],[soda_ppu]])</f>
        <v>-0.37004970288720984</v>
      </c>
      <c r="Q1893">
        <f>IF(dataset[[#This Row],[state]]="VA",1,0)</f>
        <v>0</v>
      </c>
    </row>
    <row r="1894" spans="1:17" x14ac:dyDescent="0.35">
      <c r="A1894">
        <v>202309</v>
      </c>
      <c r="B1894">
        <v>41</v>
      </c>
      <c r="C1894" s="2">
        <v>2112099.0961000002</v>
      </c>
      <c r="D1894" s="2">
        <v>0.69640000000000002</v>
      </c>
      <c r="E1894" s="3">
        <v>241298</v>
      </c>
      <c r="F1894" s="2">
        <v>168035.27739999999</v>
      </c>
      <c r="G1894" t="s">
        <v>3460</v>
      </c>
      <c r="H1894" t="s">
        <v>8</v>
      </c>
      <c r="I1894">
        <f>HLOOKUP(G1894,zip_tiers!$A$1:$EON$2,2,FALSE)</f>
        <v>58878</v>
      </c>
      <c r="J1894" t="str">
        <f t="shared" si="29"/>
        <v>Med</v>
      </c>
      <c r="K1894">
        <f>dataset[[#This Row],[soda_sales]]/dataset[[#This Row],[soda_units_sold]]</f>
        <v>0.69638073005163736</v>
      </c>
      <c r="L1894" s="29">
        <f>dataset[[#This Row],[implied_soda_ppu]]-dataset[[#This Row],[soda_ppu]]</f>
        <v>-1.926994836265461E-5</v>
      </c>
      <c r="M1894">
        <f>dataset[[#This Row],[soda_sales]]/dataset[[#This Row],[total_sales]]</f>
        <v>7.9558424938620462E-2</v>
      </c>
      <c r="N1894">
        <f>LN(dataset[[#This Row],[soda_units_sold]])</f>
        <v>12.393787963141145</v>
      </c>
      <c r="O1894">
        <f>LN(dataset[[#This Row],[soda_sales]])</f>
        <v>12.031929220865541</v>
      </c>
      <c r="P1894">
        <f>LN(dataset[[#This Row],[soda_ppu]])</f>
        <v>-0.36183107108810303</v>
      </c>
      <c r="Q1894">
        <f>IF(dataset[[#This Row],[state]]="VA",1,0)</f>
        <v>0</v>
      </c>
    </row>
    <row r="1895" spans="1:17" x14ac:dyDescent="0.35">
      <c r="A1895">
        <v>202310</v>
      </c>
      <c r="B1895">
        <v>41</v>
      </c>
      <c r="C1895" s="2">
        <v>2578258.4410000001</v>
      </c>
      <c r="D1895" s="2">
        <v>0.70569999999999999</v>
      </c>
      <c r="E1895" s="3">
        <v>230736</v>
      </c>
      <c r="F1895" s="2">
        <v>162825.87479999999</v>
      </c>
      <c r="G1895" t="s">
        <v>3460</v>
      </c>
      <c r="H1895" t="s">
        <v>8</v>
      </c>
      <c r="I1895">
        <f>HLOOKUP(G1895,zip_tiers!$A$1:$EON$2,2,FALSE)</f>
        <v>58878</v>
      </c>
      <c r="J1895" t="str">
        <f t="shared" si="29"/>
        <v>Med</v>
      </c>
      <c r="K1895">
        <f>dataset[[#This Row],[soda_sales]]/dataset[[#This Row],[soda_units_sold]]</f>
        <v>0.70568040877886407</v>
      </c>
      <c r="L1895" s="29">
        <f>dataset[[#This Row],[implied_soda_ppu]]-dataset[[#This Row],[soda_ppu]]</f>
        <v>-1.9591221135928372E-5</v>
      </c>
      <c r="M1895">
        <f>dataset[[#This Row],[soda_sales]]/dataset[[#This Row],[total_sales]]</f>
        <v>6.3153434198336827E-2</v>
      </c>
      <c r="N1895">
        <f>LN(dataset[[#This Row],[soda_units_sold]])</f>
        <v>12.349029478801851</v>
      </c>
      <c r="O1895">
        <f>LN(dataset[[#This Row],[soda_sales]])</f>
        <v>12.000436656039506</v>
      </c>
      <c r="P1895">
        <f>LN(dataset[[#This Row],[soda_ppu]])</f>
        <v>-0.3485650609753525</v>
      </c>
      <c r="Q1895">
        <f>IF(dataset[[#This Row],[state]]="VA",1,0)</f>
        <v>0</v>
      </c>
    </row>
    <row r="1896" spans="1:17" x14ac:dyDescent="0.35">
      <c r="A1896">
        <v>202311</v>
      </c>
      <c r="B1896">
        <v>41</v>
      </c>
      <c r="C1896" s="2">
        <v>2945868.5063</v>
      </c>
      <c r="D1896" s="2">
        <v>0.73129999999999995</v>
      </c>
      <c r="E1896" s="3">
        <v>207518</v>
      </c>
      <c r="F1896" s="2">
        <v>151763.24340000001</v>
      </c>
      <c r="G1896" t="s">
        <v>3460</v>
      </c>
      <c r="H1896" t="s">
        <v>8</v>
      </c>
      <c r="I1896">
        <f>HLOOKUP(G1896,zip_tiers!$A$1:$EON$2,2,FALSE)</f>
        <v>58878</v>
      </c>
      <c r="J1896" t="str">
        <f t="shared" si="29"/>
        <v>Med</v>
      </c>
      <c r="K1896">
        <f>dataset[[#This Row],[soda_sales]]/dataset[[#This Row],[soda_units_sold]]</f>
        <v>0.73132568451893332</v>
      </c>
      <c r="L1896" s="29">
        <f>dataset[[#This Row],[implied_soda_ppu]]-dataset[[#This Row],[soda_ppu]]</f>
        <v>2.568451893336654E-5</v>
      </c>
      <c r="M1896">
        <f>dataset[[#This Row],[soda_sales]]/dataset[[#This Row],[total_sales]]</f>
        <v>5.15173175840812E-2</v>
      </c>
      <c r="N1896">
        <f>LN(dataset[[#This Row],[soda_units_sold]])</f>
        <v>12.242973361878539</v>
      </c>
      <c r="O1896">
        <f>LN(dataset[[#This Row],[soda_sales]])</f>
        <v>11.930076976283525</v>
      </c>
      <c r="P1896">
        <f>LN(dataset[[#This Row],[soda_ppu]])</f>
        <v>-0.31293150670523162</v>
      </c>
      <c r="Q1896">
        <f>IF(dataset[[#This Row],[state]]="VA",1,0)</f>
        <v>0</v>
      </c>
    </row>
    <row r="1897" spans="1:17" x14ac:dyDescent="0.35">
      <c r="A1897">
        <v>202312</v>
      </c>
      <c r="B1897">
        <v>41</v>
      </c>
      <c r="C1897" s="2">
        <v>3065491.7351000002</v>
      </c>
      <c r="D1897" s="2">
        <v>0.68259999999999998</v>
      </c>
      <c r="E1897" s="3">
        <v>221027</v>
      </c>
      <c r="F1897" s="2">
        <v>150867.76670000001</v>
      </c>
      <c r="G1897" t="s">
        <v>3460</v>
      </c>
      <c r="H1897" t="s">
        <v>8</v>
      </c>
      <c r="I1897">
        <f>HLOOKUP(G1897,zip_tiers!$A$1:$EON$2,2,FALSE)</f>
        <v>58878</v>
      </c>
      <c r="J1897" t="str">
        <f t="shared" si="29"/>
        <v>Med</v>
      </c>
      <c r="K1897">
        <f>dataset[[#This Row],[soda_sales]]/dataset[[#This Row],[soda_units_sold]]</f>
        <v>0.68257618616730087</v>
      </c>
      <c r="L1897" s="29">
        <f>dataset[[#This Row],[implied_soda_ppu]]-dataset[[#This Row],[soda_ppu]]</f>
        <v>-2.3813832699115522E-5</v>
      </c>
      <c r="M1897">
        <f>dataset[[#This Row],[soda_sales]]/dataset[[#This Row],[total_sales]]</f>
        <v>4.9214866565307672E-2</v>
      </c>
      <c r="N1897">
        <f>LN(dataset[[#This Row],[soda_units_sold]])</f>
        <v>12.306040144983207</v>
      </c>
      <c r="O1897">
        <f>LN(dataset[[#This Row],[soda_sales]])</f>
        <v>11.92415901491419</v>
      </c>
      <c r="P1897">
        <f>LN(dataset[[#This Row],[soda_ppu]])</f>
        <v>-0.38184624250953042</v>
      </c>
      <c r="Q1897">
        <f>IF(dataset[[#This Row],[state]]="VA",1,0)</f>
        <v>0</v>
      </c>
    </row>
    <row r="1898" spans="1:17" x14ac:dyDescent="0.35">
      <c r="A1898">
        <v>202401</v>
      </c>
      <c r="B1898">
        <v>41</v>
      </c>
      <c r="C1898" s="2">
        <v>1779348.0659</v>
      </c>
      <c r="D1898" s="2">
        <v>0.71209999999999996</v>
      </c>
      <c r="E1898" s="3">
        <v>157051</v>
      </c>
      <c r="F1898" s="2">
        <v>111843.4154</v>
      </c>
      <c r="G1898" t="s">
        <v>3460</v>
      </c>
      <c r="H1898" t="s">
        <v>8</v>
      </c>
      <c r="I1898">
        <f>HLOOKUP(G1898,zip_tiers!$A$1:$EON$2,2,FALSE)</f>
        <v>58878</v>
      </c>
      <c r="J1898" t="str">
        <f t="shared" si="29"/>
        <v>Med</v>
      </c>
      <c r="K1898">
        <f>dataset[[#This Row],[soda_sales]]/dataset[[#This Row],[soda_units_sold]]</f>
        <v>0.71214710762745859</v>
      </c>
      <c r="L1898" s="29">
        <f>dataset[[#This Row],[implied_soda_ppu]]-dataset[[#This Row],[soda_ppu]]</f>
        <v>4.7107627458631285E-5</v>
      </c>
      <c r="M1898">
        <f>dataset[[#This Row],[soda_sales]]/dataset[[#This Row],[total_sales]]</f>
        <v>6.2856400916382393E-2</v>
      </c>
      <c r="N1898">
        <f>LN(dataset[[#This Row],[soda_units_sold]])</f>
        <v>11.964325872345439</v>
      </c>
      <c r="O1898">
        <f>LN(dataset[[#This Row],[soda_sales]])</f>
        <v>11.624855095270309</v>
      </c>
      <c r="P1898">
        <f>LN(dataset[[#This Row],[soda_ppu]])</f>
        <v>-0.33953692799405805</v>
      </c>
      <c r="Q1898">
        <f>IF(dataset[[#This Row],[state]]="VA",1,0)</f>
        <v>0</v>
      </c>
    </row>
    <row r="1899" spans="1:17" x14ac:dyDescent="0.35">
      <c r="A1899">
        <v>202402</v>
      </c>
      <c r="B1899">
        <v>41</v>
      </c>
      <c r="C1899" s="2">
        <v>2002616.2194000001</v>
      </c>
      <c r="D1899" s="2">
        <v>0.69740000000000002</v>
      </c>
      <c r="E1899" s="3">
        <v>179946</v>
      </c>
      <c r="F1899" s="2">
        <v>125501.7433</v>
      </c>
      <c r="G1899" t="s">
        <v>3460</v>
      </c>
      <c r="H1899" t="s">
        <v>8</v>
      </c>
      <c r="I1899">
        <f>HLOOKUP(G1899,zip_tiers!$A$1:$EON$2,2,FALSE)</f>
        <v>58878</v>
      </c>
      <c r="J1899" t="str">
        <f t="shared" si="29"/>
        <v>Med</v>
      </c>
      <c r="K1899">
        <f>dataset[[#This Row],[soda_sales]]/dataset[[#This Row],[soda_units_sold]]</f>
        <v>0.69744113956409148</v>
      </c>
      <c r="L1899" s="29">
        <f>dataset[[#This Row],[implied_soda_ppu]]-dataset[[#This Row],[soda_ppu]]</f>
        <v>4.1139564091463576E-5</v>
      </c>
      <c r="M1899">
        <f>dataset[[#This Row],[soda_sales]]/dataset[[#This Row],[total_sales]]</f>
        <v>6.2668893862050781E-2</v>
      </c>
      <c r="N1899">
        <f>LN(dataset[[#This Row],[soda_units_sold]])</f>
        <v>12.100412084863345</v>
      </c>
      <c r="O1899">
        <f>LN(dataset[[#This Row],[soda_sales]])</f>
        <v>11.740074928294153</v>
      </c>
      <c r="P1899">
        <f>LN(dataset[[#This Row],[soda_ppu]])</f>
        <v>-0.36039614474058623</v>
      </c>
      <c r="Q1899">
        <f>IF(dataset[[#This Row],[state]]="VA",1,0)</f>
        <v>0</v>
      </c>
    </row>
    <row r="1900" spans="1:17" x14ac:dyDescent="0.35">
      <c r="A1900">
        <v>202403</v>
      </c>
      <c r="B1900">
        <v>41</v>
      </c>
      <c r="C1900" s="2">
        <v>2298598.3834000002</v>
      </c>
      <c r="D1900" s="2">
        <v>0.70950000000000002</v>
      </c>
      <c r="E1900" s="3">
        <v>218962</v>
      </c>
      <c r="F1900" s="2">
        <v>155362.67970000001</v>
      </c>
      <c r="G1900" t="s">
        <v>3460</v>
      </c>
      <c r="H1900" t="s">
        <v>8</v>
      </c>
      <c r="I1900">
        <f>HLOOKUP(G1900,zip_tiers!$A$1:$EON$2,2,FALSE)</f>
        <v>58878</v>
      </c>
      <c r="J1900" t="str">
        <f t="shared" si="29"/>
        <v>Med</v>
      </c>
      <c r="K1900">
        <f>dataset[[#This Row],[soda_sales]]/dataset[[#This Row],[soda_units_sold]]</f>
        <v>0.70954174559969319</v>
      </c>
      <c r="L1900" s="29">
        <f>dataset[[#This Row],[implied_soda_ppu]]-dataset[[#This Row],[soda_ppu]]</f>
        <v>4.1745599693165936E-5</v>
      </c>
      <c r="M1900">
        <f>dataset[[#This Row],[soda_sales]]/dataset[[#This Row],[total_sales]]</f>
        <v>6.7590180530012117E-2</v>
      </c>
      <c r="N1900">
        <f>LN(dataset[[#This Row],[soda_units_sold]])</f>
        <v>12.296653477761263</v>
      </c>
      <c r="O1900">
        <f>LN(dataset[[#This Row],[soda_sales]])</f>
        <v>11.953517531702868</v>
      </c>
      <c r="P1900">
        <f>LN(dataset[[#This Row],[soda_ppu]])</f>
        <v>-0.34319478238203965</v>
      </c>
      <c r="Q1900">
        <f>IF(dataset[[#This Row],[state]]="VA",1,0)</f>
        <v>0</v>
      </c>
    </row>
    <row r="1901" spans="1:17" x14ac:dyDescent="0.35">
      <c r="A1901">
        <v>202404</v>
      </c>
      <c r="B1901">
        <v>41</v>
      </c>
      <c r="C1901" s="2">
        <v>2374272.9701</v>
      </c>
      <c r="D1901" s="2">
        <v>0.72640000000000005</v>
      </c>
      <c r="E1901" s="3">
        <v>246029</v>
      </c>
      <c r="F1901" s="2">
        <v>178724.7359</v>
      </c>
      <c r="G1901" t="s">
        <v>3460</v>
      </c>
      <c r="H1901" t="s">
        <v>8</v>
      </c>
      <c r="I1901">
        <f>HLOOKUP(G1901,zip_tiers!$A$1:$EON$2,2,FALSE)</f>
        <v>58878</v>
      </c>
      <c r="J1901" t="str">
        <f t="shared" si="29"/>
        <v>Med</v>
      </c>
      <c r="K1901">
        <f>dataset[[#This Row],[soda_sales]]/dataset[[#This Row],[soda_units_sold]]</f>
        <v>0.72643767970442508</v>
      </c>
      <c r="L1901" s="29">
        <f>dataset[[#This Row],[implied_soda_ppu]]-dataset[[#This Row],[soda_ppu]]</f>
        <v>3.7679704425030991E-5</v>
      </c>
      <c r="M1901">
        <f>dataset[[#This Row],[soda_sales]]/dataset[[#This Row],[total_sales]]</f>
        <v>7.5275563572823917E-2</v>
      </c>
      <c r="N1901">
        <f>LN(dataset[[#This Row],[soda_units_sold]])</f>
        <v>12.413204694145332</v>
      </c>
      <c r="O1901">
        <f>LN(dataset[[#This Row],[soda_sales]])</f>
        <v>12.093602112944774</v>
      </c>
      <c r="P1901">
        <f>LN(dataset[[#This Row],[soda_ppu]])</f>
        <v>-0.31965445169505347</v>
      </c>
      <c r="Q1901">
        <f>IF(dataset[[#This Row],[state]]="VA",1,0)</f>
        <v>0</v>
      </c>
    </row>
    <row r="1902" spans="1:17" x14ac:dyDescent="0.35">
      <c r="A1902">
        <v>202405</v>
      </c>
      <c r="B1902">
        <v>41</v>
      </c>
      <c r="C1902" s="2">
        <v>2520369.0118</v>
      </c>
      <c r="D1902" s="2">
        <v>0.71399999999999997</v>
      </c>
      <c r="E1902" s="3">
        <v>274744</v>
      </c>
      <c r="F1902" s="2">
        <v>196165.0269</v>
      </c>
      <c r="G1902" t="s">
        <v>3460</v>
      </c>
      <c r="H1902" t="s">
        <v>8</v>
      </c>
      <c r="I1902">
        <f>HLOOKUP(G1902,zip_tiers!$A$1:$EON$2,2,FALSE)</f>
        <v>58878</v>
      </c>
      <c r="J1902" t="str">
        <f t="shared" si="29"/>
        <v>Med</v>
      </c>
      <c r="K1902">
        <f>dataset[[#This Row],[soda_sales]]/dataset[[#This Row],[soda_units_sold]]</f>
        <v>0.71399203221908392</v>
      </c>
      <c r="L1902" s="29">
        <f>dataset[[#This Row],[implied_soda_ppu]]-dataset[[#This Row],[soda_ppu]]</f>
        <v>-7.9677809160516588E-6</v>
      </c>
      <c r="M1902">
        <f>dataset[[#This Row],[soda_sales]]/dataset[[#This Row],[total_sales]]</f>
        <v>7.78318674692412E-2</v>
      </c>
      <c r="N1902">
        <f>LN(dataset[[#This Row],[soda_units_sold]])</f>
        <v>12.523595033992837</v>
      </c>
      <c r="O1902">
        <f>LN(dataset[[#This Row],[soda_sales]])</f>
        <v>12.186711557930993</v>
      </c>
      <c r="P1902">
        <f>LN(dataset[[#This Row],[soda_ppu]])</f>
        <v>-0.33687231664255274</v>
      </c>
      <c r="Q1902">
        <f>IF(dataset[[#This Row],[state]]="VA",1,0)</f>
        <v>0</v>
      </c>
    </row>
    <row r="1903" spans="1:17" x14ac:dyDescent="0.35">
      <c r="A1903">
        <v>202406</v>
      </c>
      <c r="B1903">
        <v>41</v>
      </c>
      <c r="C1903" s="2">
        <v>2373403.2389000002</v>
      </c>
      <c r="D1903" s="2">
        <v>0.71640000000000004</v>
      </c>
      <c r="E1903" s="3">
        <v>283969</v>
      </c>
      <c r="F1903" s="2">
        <v>203422.43539999999</v>
      </c>
      <c r="G1903" t="s">
        <v>3460</v>
      </c>
      <c r="H1903" t="s">
        <v>8</v>
      </c>
      <c r="I1903">
        <f>HLOOKUP(G1903,zip_tiers!$A$1:$EON$2,2,FALSE)</f>
        <v>58878</v>
      </c>
      <c r="J1903" t="str">
        <f t="shared" si="29"/>
        <v>Med</v>
      </c>
      <c r="K1903">
        <f>dataset[[#This Row],[soda_sales]]/dataset[[#This Row],[soda_units_sold]]</f>
        <v>0.71635437459722717</v>
      </c>
      <c r="L1903" s="29">
        <f>dataset[[#This Row],[implied_soda_ppu]]-dataset[[#This Row],[soda_ppu]]</f>
        <v>-4.5625402772864199E-5</v>
      </c>
      <c r="M1903">
        <f>dataset[[#This Row],[soda_sales]]/dataset[[#This Row],[total_sales]]</f>
        <v>8.5709175780125782E-2</v>
      </c>
      <c r="N1903">
        <f>LN(dataset[[#This Row],[soda_units_sold]])</f>
        <v>12.556620356255932</v>
      </c>
      <c r="O1903">
        <f>LN(dataset[[#This Row],[soda_sales]])</f>
        <v>12.223040058382033</v>
      </c>
      <c r="P1903">
        <f>LN(dataset[[#This Row],[soda_ppu]])</f>
        <v>-0.33351660879558026</v>
      </c>
      <c r="Q1903">
        <f>IF(dataset[[#This Row],[state]]="VA",1,0)</f>
        <v>0</v>
      </c>
    </row>
    <row r="1904" spans="1:17" x14ac:dyDescent="0.35">
      <c r="A1904">
        <v>202407</v>
      </c>
      <c r="B1904">
        <v>41</v>
      </c>
      <c r="C1904" s="2">
        <v>2210017.0477</v>
      </c>
      <c r="D1904" s="2">
        <v>0.72660000000000002</v>
      </c>
      <c r="E1904" s="3">
        <v>272595</v>
      </c>
      <c r="F1904" s="2">
        <v>198054.99460000001</v>
      </c>
      <c r="G1904" t="s">
        <v>3460</v>
      </c>
      <c r="H1904" t="s">
        <v>8</v>
      </c>
      <c r="I1904">
        <f>HLOOKUP(G1904,zip_tiers!$A$1:$EON$2,2,FALSE)</f>
        <v>58878</v>
      </c>
      <c r="J1904" t="str">
        <f t="shared" si="29"/>
        <v>Med</v>
      </c>
      <c r="K1904">
        <f>dataset[[#This Row],[soda_sales]]/dataset[[#This Row],[soda_units_sold]]</f>
        <v>0.72655402556906767</v>
      </c>
      <c r="L1904" s="29">
        <f>dataset[[#This Row],[implied_soda_ppu]]-dataset[[#This Row],[soda_ppu]]</f>
        <v>-4.5974430932349541E-5</v>
      </c>
      <c r="M1904">
        <f>dataset[[#This Row],[soda_sales]]/dataset[[#This Row],[total_sales]]</f>
        <v>8.9616953319938866E-2</v>
      </c>
      <c r="N1904">
        <f>LN(dataset[[#This Row],[soda_units_sold]])</f>
        <v>12.515742456183471</v>
      </c>
      <c r="O1904">
        <f>LN(dataset[[#This Row],[soda_sales]])</f>
        <v>12.196300021616192</v>
      </c>
      <c r="P1904">
        <f>LN(dataset[[#This Row],[soda_ppu]])</f>
        <v>-0.31937915919503546</v>
      </c>
      <c r="Q1904">
        <f>IF(dataset[[#This Row],[state]]="VA",1,0)</f>
        <v>0</v>
      </c>
    </row>
    <row r="1905" spans="1:17" x14ac:dyDescent="0.35">
      <c r="A1905">
        <v>202408</v>
      </c>
      <c r="B1905">
        <v>41</v>
      </c>
      <c r="C1905" s="2">
        <v>2125390.6852000002</v>
      </c>
      <c r="D1905" s="2">
        <v>0.74470000000000003</v>
      </c>
      <c r="E1905" s="3">
        <v>236058</v>
      </c>
      <c r="F1905" s="2">
        <v>175786.84599999999</v>
      </c>
      <c r="G1905" t="s">
        <v>3460</v>
      </c>
      <c r="H1905" t="s">
        <v>8</v>
      </c>
      <c r="I1905">
        <f>HLOOKUP(G1905,zip_tiers!$A$1:$EON$2,2,FALSE)</f>
        <v>58878</v>
      </c>
      <c r="J1905" t="str">
        <f t="shared" si="29"/>
        <v>Med</v>
      </c>
      <c r="K1905">
        <f>dataset[[#This Row],[soda_sales]]/dataset[[#This Row],[soda_units_sold]]</f>
        <v>0.74467650323225643</v>
      </c>
      <c r="L1905" s="29">
        <f>dataset[[#This Row],[implied_soda_ppu]]-dataset[[#This Row],[soda_ppu]]</f>
        <v>-2.3496767743602653E-5</v>
      </c>
      <c r="M1905">
        <f>dataset[[#This Row],[soda_sales]]/dataset[[#This Row],[total_sales]]</f>
        <v>8.2708015624646622E-2</v>
      </c>
      <c r="N1905">
        <f>LN(dataset[[#This Row],[soda_units_sold]])</f>
        <v>12.371832816524904</v>
      </c>
      <c r="O1905">
        <f>LN(dataset[[#This Row],[soda_sales]])</f>
        <v>12.07702743777053</v>
      </c>
      <c r="P1905">
        <f>LN(dataset[[#This Row],[soda_ppu]])</f>
        <v>-0.29477382626553716</v>
      </c>
      <c r="Q1905">
        <f>IF(dataset[[#This Row],[state]]="VA",1,0)</f>
        <v>0</v>
      </c>
    </row>
    <row r="1906" spans="1:17" x14ac:dyDescent="0.35">
      <c r="A1906">
        <v>202409</v>
      </c>
      <c r="B1906">
        <v>41</v>
      </c>
      <c r="C1906" s="2">
        <v>2163424.5074999998</v>
      </c>
      <c r="D1906" s="2">
        <v>0.7177</v>
      </c>
      <c r="E1906" s="3">
        <v>251353</v>
      </c>
      <c r="F1906" s="2">
        <v>180404.9914</v>
      </c>
      <c r="G1906" t="s">
        <v>3460</v>
      </c>
      <c r="H1906" t="s">
        <v>8</v>
      </c>
      <c r="I1906">
        <f>HLOOKUP(G1906,zip_tiers!$A$1:$EON$2,2,FALSE)</f>
        <v>58878</v>
      </c>
      <c r="J1906" t="str">
        <f t="shared" si="29"/>
        <v>Med</v>
      </c>
      <c r="K1906">
        <f>dataset[[#This Row],[soda_sales]]/dataset[[#This Row],[soda_units_sold]]</f>
        <v>0.71773558063758935</v>
      </c>
      <c r="L1906" s="29">
        <f>dataset[[#This Row],[implied_soda_ppu]]-dataset[[#This Row],[soda_ppu]]</f>
        <v>3.5580637589349706E-5</v>
      </c>
      <c r="M1906">
        <f>dataset[[#This Row],[soda_sales]]/dataset[[#This Row],[total_sales]]</f>
        <v>8.338862334904007E-2</v>
      </c>
      <c r="N1906">
        <f>LN(dataset[[#This Row],[soda_units_sold]])</f>
        <v>12.434613604597534</v>
      </c>
      <c r="O1906">
        <f>LN(dataset[[#This Row],[soda_sales]])</f>
        <v>12.102959554742306</v>
      </c>
      <c r="P1906">
        <f>LN(dataset[[#This Row],[soda_ppu]])</f>
        <v>-0.33170362454611085</v>
      </c>
      <c r="Q1906">
        <f>IF(dataset[[#This Row],[state]]="VA",1,0)</f>
        <v>0</v>
      </c>
    </row>
    <row r="1907" spans="1:17" x14ac:dyDescent="0.35">
      <c r="A1907">
        <v>202410</v>
      </c>
      <c r="B1907">
        <v>41</v>
      </c>
      <c r="C1907" s="2">
        <v>2616324.8857999998</v>
      </c>
      <c r="D1907" s="2">
        <v>0.74050000000000005</v>
      </c>
      <c r="E1907" s="3">
        <v>223319</v>
      </c>
      <c r="F1907" s="2">
        <v>165369.23629999999</v>
      </c>
      <c r="G1907" t="s">
        <v>3460</v>
      </c>
      <c r="H1907" t="s">
        <v>8</v>
      </c>
      <c r="I1907">
        <f>HLOOKUP(G1907,zip_tiers!$A$1:$EON$2,2,FALSE)</f>
        <v>58878</v>
      </c>
      <c r="J1907" t="str">
        <f t="shared" si="29"/>
        <v>Med</v>
      </c>
      <c r="K1907">
        <f>dataset[[#This Row],[soda_sales]]/dataset[[#This Row],[soda_units_sold]]</f>
        <v>0.74050679207770043</v>
      </c>
      <c r="L1907" s="29">
        <f>dataset[[#This Row],[implied_soda_ppu]]-dataset[[#This Row],[soda_ppu]]</f>
        <v>6.7920777003793731E-6</v>
      </c>
      <c r="M1907">
        <f>dataset[[#This Row],[soda_sales]]/dataset[[#This Row],[total_sales]]</f>
        <v>6.320669011617594E-2</v>
      </c>
      <c r="N1907">
        <f>LN(dataset[[#This Row],[soda_units_sold]])</f>
        <v>12.316356521534995</v>
      </c>
      <c r="O1907">
        <f>LN(dataset[[#This Row],[soda_sales]])</f>
        <v>12.015936048504534</v>
      </c>
      <c r="P1907">
        <f>LN(dataset[[#This Row],[soda_ppu]])</f>
        <v>-0.30042964527428351</v>
      </c>
      <c r="Q1907">
        <f>IF(dataset[[#This Row],[state]]="VA",1,0)</f>
        <v>0</v>
      </c>
    </row>
    <row r="1908" spans="1:17" x14ac:dyDescent="0.35">
      <c r="A1908">
        <v>202411</v>
      </c>
      <c r="B1908">
        <v>41</v>
      </c>
      <c r="C1908" s="2">
        <v>2968670.5070000002</v>
      </c>
      <c r="D1908" s="2">
        <v>0.75339999999999996</v>
      </c>
      <c r="E1908" s="3">
        <v>205378</v>
      </c>
      <c r="F1908" s="2">
        <v>154732.56469999999</v>
      </c>
      <c r="G1908" t="s">
        <v>3460</v>
      </c>
      <c r="H1908" t="s">
        <v>8</v>
      </c>
      <c r="I1908">
        <f>HLOOKUP(G1908,zip_tiers!$A$1:$EON$2,2,FALSE)</f>
        <v>58878</v>
      </c>
      <c r="J1908" t="str">
        <f t="shared" si="29"/>
        <v>Med</v>
      </c>
      <c r="K1908">
        <f>dataset[[#This Row],[soda_sales]]/dataset[[#This Row],[soda_units_sold]]</f>
        <v>0.7534037954406021</v>
      </c>
      <c r="L1908" s="29">
        <f>dataset[[#This Row],[implied_soda_ppu]]-dataset[[#This Row],[soda_ppu]]</f>
        <v>3.7954406021389886E-6</v>
      </c>
      <c r="M1908">
        <f>dataset[[#This Row],[soda_sales]]/dataset[[#This Row],[total_sales]]</f>
        <v>5.2121838491387677E-2</v>
      </c>
      <c r="N1908">
        <f>LN(dataset[[#This Row],[soda_units_sold]])</f>
        <v>12.232607462658324</v>
      </c>
      <c r="O1908">
        <f>LN(dataset[[#This Row],[soda_sales]])</f>
        <v>11.949453516671108</v>
      </c>
      <c r="P1908">
        <f>LN(dataset[[#This Row],[soda_ppu]])</f>
        <v>-0.2831589837241964</v>
      </c>
      <c r="Q1908">
        <f>IF(dataset[[#This Row],[state]]="VA",1,0)</f>
        <v>0</v>
      </c>
    </row>
    <row r="1909" spans="1:17" x14ac:dyDescent="0.35">
      <c r="A1909">
        <v>202412</v>
      </c>
      <c r="B1909">
        <v>41</v>
      </c>
      <c r="C1909" s="2">
        <v>3109345.2892999998</v>
      </c>
      <c r="D1909" s="2">
        <v>0.74880000000000002</v>
      </c>
      <c r="E1909" s="3">
        <v>203718</v>
      </c>
      <c r="F1909" s="2">
        <v>152547.28700000001</v>
      </c>
      <c r="G1909" t="s">
        <v>3460</v>
      </c>
      <c r="H1909" t="s">
        <v>8</v>
      </c>
      <c r="I1909">
        <f>HLOOKUP(G1909,zip_tiers!$A$1:$EON$2,2,FALSE)</f>
        <v>58878</v>
      </c>
      <c r="J1909" t="str">
        <f t="shared" si="29"/>
        <v>Med</v>
      </c>
      <c r="K1909">
        <f>dataset[[#This Row],[soda_sales]]/dataset[[#This Row],[soda_units_sold]]</f>
        <v>0.7488159465535692</v>
      </c>
      <c r="L1909" s="29">
        <f>dataset[[#This Row],[implied_soda_ppu]]-dataset[[#This Row],[soda_ppu]]</f>
        <v>1.59465535691794E-5</v>
      </c>
      <c r="M1909">
        <f>dataset[[#This Row],[soda_sales]]/dataset[[#This Row],[total_sales]]</f>
        <v>4.9060902796788659E-2</v>
      </c>
      <c r="N1909">
        <f>LN(dataset[[#This Row],[soda_units_sold]])</f>
        <v>12.224491963553923</v>
      </c>
      <c r="O1909">
        <f>LN(dataset[[#This Row],[soda_sales]])</f>
        <v>11.935229905653667</v>
      </c>
      <c r="P1909">
        <f>LN(dataset[[#This Row],[soda_ppu]])</f>
        <v>-0.28928335381875475</v>
      </c>
      <c r="Q1909">
        <f>IF(dataset[[#This Row],[state]]="VA",1,0)</f>
        <v>0</v>
      </c>
    </row>
    <row r="1910" spans="1:17" x14ac:dyDescent="0.35">
      <c r="A1910">
        <v>202201</v>
      </c>
      <c r="B1910">
        <v>73</v>
      </c>
      <c r="C1910" s="2">
        <v>2126381.0129</v>
      </c>
      <c r="D1910" s="2">
        <v>0.70650000000000002</v>
      </c>
      <c r="E1910" s="3">
        <v>140277</v>
      </c>
      <c r="F1910" s="2">
        <v>99112.079100000003</v>
      </c>
      <c r="G1910" t="s">
        <v>3554</v>
      </c>
      <c r="H1910" t="s">
        <v>8</v>
      </c>
      <c r="I1910">
        <f>HLOOKUP(G1910,zip_tiers!$A$1:$EON$2,2,FALSE)</f>
        <v>85244.666666666672</v>
      </c>
      <c r="J1910" t="str">
        <f t="shared" si="29"/>
        <v>Med</v>
      </c>
      <c r="K1910">
        <f>dataset[[#This Row],[soda_sales]]/dataset[[#This Row],[soda_units_sold]]</f>
        <v>0.70654547146003976</v>
      </c>
      <c r="L1910" s="29">
        <f>dataset[[#This Row],[implied_soda_ppu]]-dataset[[#This Row],[soda_ppu]]</f>
        <v>4.5471460039747669E-5</v>
      </c>
      <c r="M1910">
        <f>dataset[[#This Row],[soda_sales]]/dataset[[#This Row],[total_sales]]</f>
        <v>4.6610686654330595E-2</v>
      </c>
      <c r="N1910">
        <f>LN(dataset[[#This Row],[soda_units_sold]])</f>
        <v>11.851374318225606</v>
      </c>
      <c r="O1910">
        <f>LN(dataset[[#This Row],[soda_sales]])</f>
        <v>11.504006600882269</v>
      </c>
      <c r="P1910">
        <f>LN(dataset[[#This Row],[soda_ppu]])</f>
        <v>-0.34743207685755489</v>
      </c>
      <c r="Q1910">
        <f>IF(dataset[[#This Row],[state]]="VA",1,0)</f>
        <v>0</v>
      </c>
    </row>
    <row r="1911" spans="1:17" x14ac:dyDescent="0.35">
      <c r="A1911">
        <v>202202</v>
      </c>
      <c r="B1911">
        <v>73</v>
      </c>
      <c r="C1911" s="2">
        <v>2410610.3881999999</v>
      </c>
      <c r="D1911" s="2">
        <v>0.69059999999999999</v>
      </c>
      <c r="E1911" s="3">
        <v>159308</v>
      </c>
      <c r="F1911" s="2">
        <v>110012.648</v>
      </c>
      <c r="G1911" t="s">
        <v>3554</v>
      </c>
      <c r="H1911" t="s">
        <v>8</v>
      </c>
      <c r="I1911">
        <f>HLOOKUP(G1911,zip_tiers!$A$1:$EON$2,2,FALSE)</f>
        <v>85244.666666666672</v>
      </c>
      <c r="J1911" t="str">
        <f t="shared" si="29"/>
        <v>Med</v>
      </c>
      <c r="K1911">
        <f>dataset[[#This Row],[soda_sales]]/dataset[[#This Row],[soda_units_sold]]</f>
        <v>0.69056574685514849</v>
      </c>
      <c r="L1911" s="29">
        <f>dataset[[#This Row],[implied_soda_ppu]]-dataset[[#This Row],[soda_ppu]]</f>
        <v>-3.425314485150377E-5</v>
      </c>
      <c r="M1911">
        <f>dataset[[#This Row],[soda_sales]]/dataset[[#This Row],[total_sales]]</f>
        <v>4.5636843074482195E-2</v>
      </c>
      <c r="N1911">
        <f>LN(dataset[[#This Row],[soda_units_sold]])</f>
        <v>11.978594714348409</v>
      </c>
      <c r="O1911">
        <f>LN(dataset[[#This Row],[soda_sales]])</f>
        <v>11.608350619982833</v>
      </c>
      <c r="P1911">
        <f>LN(dataset[[#This Row],[soda_ppu]])</f>
        <v>-0.3701944940262451</v>
      </c>
      <c r="Q1911">
        <f>IF(dataset[[#This Row],[state]]="VA",1,0)</f>
        <v>0</v>
      </c>
    </row>
    <row r="1912" spans="1:17" x14ac:dyDescent="0.35">
      <c r="A1912">
        <v>202203</v>
      </c>
      <c r="B1912">
        <v>73</v>
      </c>
      <c r="C1912" s="2">
        <v>2652502.9811</v>
      </c>
      <c r="D1912" s="2">
        <v>0.71050000000000002</v>
      </c>
      <c r="E1912" s="3">
        <v>184301</v>
      </c>
      <c r="F1912" s="2">
        <v>130944.4953</v>
      </c>
      <c r="G1912" t="s">
        <v>3554</v>
      </c>
      <c r="H1912" t="s">
        <v>8</v>
      </c>
      <c r="I1912">
        <f>HLOOKUP(G1912,zip_tiers!$A$1:$EON$2,2,FALSE)</f>
        <v>85244.666666666672</v>
      </c>
      <c r="J1912" t="str">
        <f t="shared" si="29"/>
        <v>Med</v>
      </c>
      <c r="K1912">
        <f>dataset[[#This Row],[soda_sales]]/dataset[[#This Row],[soda_units_sold]]</f>
        <v>0.71049259255240071</v>
      </c>
      <c r="L1912" s="29">
        <f>dataset[[#This Row],[implied_soda_ppu]]-dataset[[#This Row],[soda_ppu]]</f>
        <v>-7.4074475993057831E-6</v>
      </c>
      <c r="M1912">
        <f>dataset[[#This Row],[soda_sales]]/dataset[[#This Row],[total_sales]]</f>
        <v>4.9366389494385023E-2</v>
      </c>
      <c r="N1912">
        <f>LN(dataset[[#This Row],[soda_units_sold]])</f>
        <v>12.124325569579169</v>
      </c>
      <c r="O1912">
        <f>LN(dataset[[#This Row],[soda_sales]])</f>
        <v>11.78252881239708</v>
      </c>
      <c r="P1912">
        <f>LN(dataset[[#This Row],[soda_ppu]])</f>
        <v>-0.34178633144498172</v>
      </c>
      <c r="Q1912">
        <f>IF(dataset[[#This Row],[state]]="VA",1,0)</f>
        <v>0</v>
      </c>
    </row>
    <row r="1913" spans="1:17" x14ac:dyDescent="0.35">
      <c r="A1913">
        <v>202204</v>
      </c>
      <c r="B1913">
        <v>73</v>
      </c>
      <c r="C1913" s="2">
        <v>2776353.804</v>
      </c>
      <c r="D1913" s="2">
        <v>0.69520000000000004</v>
      </c>
      <c r="E1913" s="3">
        <v>215437</v>
      </c>
      <c r="F1913" s="2">
        <v>149770.27299999999</v>
      </c>
      <c r="G1913" t="s">
        <v>3554</v>
      </c>
      <c r="H1913" t="s">
        <v>8</v>
      </c>
      <c r="I1913">
        <f>HLOOKUP(G1913,zip_tiers!$A$1:$EON$2,2,FALSE)</f>
        <v>85244.666666666672</v>
      </c>
      <c r="J1913" t="str">
        <f t="shared" si="29"/>
        <v>Med</v>
      </c>
      <c r="K1913">
        <f>dataset[[#This Row],[soda_sales]]/dataset[[#This Row],[soda_units_sold]]</f>
        <v>0.69519290094087827</v>
      </c>
      <c r="L1913" s="29">
        <f>dataset[[#This Row],[implied_soda_ppu]]-dataset[[#This Row],[soda_ppu]]</f>
        <v>-7.0990591217734433E-6</v>
      </c>
      <c r="M1913">
        <f>dataset[[#This Row],[soda_sales]]/dataset[[#This Row],[total_sales]]</f>
        <v>5.3944952111009838E-2</v>
      </c>
      <c r="N1913">
        <f>LN(dataset[[#This Row],[soda_units_sold]])</f>
        <v>12.280423802397809</v>
      </c>
      <c r="O1913">
        <f>LN(dataset[[#This Row],[soda_sales]])</f>
        <v>11.916857885779732</v>
      </c>
      <c r="P1913">
        <f>LN(dataset[[#This Row],[soda_ppu]])</f>
        <v>-0.36355570503095469</v>
      </c>
      <c r="Q1913">
        <f>IF(dataset[[#This Row],[state]]="VA",1,0)</f>
        <v>0</v>
      </c>
    </row>
    <row r="1914" spans="1:17" x14ac:dyDescent="0.35">
      <c r="A1914">
        <v>202205</v>
      </c>
      <c r="B1914">
        <v>73</v>
      </c>
      <c r="C1914" s="2">
        <v>3035285.6038000002</v>
      </c>
      <c r="D1914" s="2">
        <v>0.70720000000000005</v>
      </c>
      <c r="E1914" s="3">
        <v>242019</v>
      </c>
      <c r="F1914" s="2">
        <v>171154.00109999999</v>
      </c>
      <c r="G1914" t="s">
        <v>3554</v>
      </c>
      <c r="H1914" t="s">
        <v>8</v>
      </c>
      <c r="I1914">
        <f>HLOOKUP(G1914,zip_tiers!$A$1:$EON$2,2,FALSE)</f>
        <v>85244.666666666672</v>
      </c>
      <c r="J1914" t="str">
        <f t="shared" si="29"/>
        <v>Med</v>
      </c>
      <c r="K1914">
        <f>dataset[[#This Row],[soda_sales]]/dataset[[#This Row],[soda_units_sold]]</f>
        <v>0.70719241505832187</v>
      </c>
      <c r="L1914" s="29">
        <f>dataset[[#This Row],[implied_soda_ppu]]-dataset[[#This Row],[soda_ppu]]</f>
        <v>-7.5849416781847978E-6</v>
      </c>
      <c r="M1914">
        <f>dataset[[#This Row],[soda_sales]]/dataset[[#This Row],[total_sales]]</f>
        <v>5.6388104264628404E-2</v>
      </c>
      <c r="N1914">
        <f>LN(dataset[[#This Row],[soda_units_sold]])</f>
        <v>12.396771514453581</v>
      </c>
      <c r="O1914">
        <f>LN(dataset[[#This Row],[soda_sales]])</f>
        <v>12.050319021423903</v>
      </c>
      <c r="P1914">
        <f>LN(dataset[[#This Row],[soda_ppu]])</f>
        <v>-0.34644176765870333</v>
      </c>
      <c r="Q1914">
        <f>IF(dataset[[#This Row],[state]]="VA",1,0)</f>
        <v>0</v>
      </c>
    </row>
    <row r="1915" spans="1:17" x14ac:dyDescent="0.35">
      <c r="A1915">
        <v>202206</v>
      </c>
      <c r="B1915">
        <v>73</v>
      </c>
      <c r="C1915" s="2">
        <v>2847793.6581000001</v>
      </c>
      <c r="D1915" s="2">
        <v>0.68530000000000002</v>
      </c>
      <c r="E1915" s="3">
        <v>255234</v>
      </c>
      <c r="F1915" s="2">
        <v>174908.864</v>
      </c>
      <c r="G1915" t="s">
        <v>3554</v>
      </c>
      <c r="H1915" t="s">
        <v>8</v>
      </c>
      <c r="I1915">
        <f>HLOOKUP(G1915,zip_tiers!$A$1:$EON$2,2,FALSE)</f>
        <v>85244.666666666672</v>
      </c>
      <c r="J1915" t="str">
        <f t="shared" si="29"/>
        <v>Med</v>
      </c>
      <c r="K1915">
        <f>dataset[[#This Row],[soda_sales]]/dataset[[#This Row],[soda_units_sold]]</f>
        <v>0.68528826096836626</v>
      </c>
      <c r="L1915" s="29">
        <f>dataset[[#This Row],[implied_soda_ppu]]-dataset[[#This Row],[soda_ppu]]</f>
        <v>-1.1739031633761776E-5</v>
      </c>
      <c r="M1915">
        <f>dataset[[#This Row],[soda_sales]]/dataset[[#This Row],[total_sales]]</f>
        <v>6.1419079118497734E-2</v>
      </c>
      <c r="N1915">
        <f>LN(dataset[[#This Row],[soda_units_sold]])</f>
        <v>12.449936050418723</v>
      </c>
      <c r="O1915">
        <f>LN(dataset[[#This Row],[soda_sales]])</f>
        <v>12.07202034011128</v>
      </c>
      <c r="P1915">
        <f>LN(dataset[[#This Row],[soda_ppu]])</f>
        <v>-0.37789858039035901</v>
      </c>
      <c r="Q1915">
        <f>IF(dataset[[#This Row],[state]]="VA",1,0)</f>
        <v>0</v>
      </c>
    </row>
    <row r="1916" spans="1:17" x14ac:dyDescent="0.35">
      <c r="A1916">
        <v>202207</v>
      </c>
      <c r="B1916">
        <v>73</v>
      </c>
      <c r="C1916" s="2">
        <v>2618937.9764</v>
      </c>
      <c r="D1916" s="2">
        <v>0.6794</v>
      </c>
      <c r="E1916" s="3">
        <v>257129</v>
      </c>
      <c r="F1916" s="2">
        <v>174681.1347</v>
      </c>
      <c r="G1916" t="s">
        <v>3554</v>
      </c>
      <c r="H1916" t="s">
        <v>8</v>
      </c>
      <c r="I1916">
        <f>HLOOKUP(G1916,zip_tiers!$A$1:$EON$2,2,FALSE)</f>
        <v>85244.666666666672</v>
      </c>
      <c r="J1916" t="str">
        <f t="shared" si="29"/>
        <v>Med</v>
      </c>
      <c r="K1916">
        <f>dataset[[#This Row],[soda_sales]]/dataset[[#This Row],[soda_units_sold]]</f>
        <v>0.67935213336496469</v>
      </c>
      <c r="L1916" s="29">
        <f>dataset[[#This Row],[implied_soda_ppu]]-dataset[[#This Row],[soda_ppu]]</f>
        <v>-4.7866635035309635E-5</v>
      </c>
      <c r="M1916">
        <f>dataset[[#This Row],[soda_sales]]/dataset[[#This Row],[total_sales]]</f>
        <v>6.6699225515877703E-2</v>
      </c>
      <c r="N1916">
        <f>LN(dataset[[#This Row],[soda_units_sold]])</f>
        <v>12.457333183470132</v>
      </c>
      <c r="O1916">
        <f>LN(dataset[[#This Row],[soda_sales]])</f>
        <v>12.070717503456576</v>
      </c>
      <c r="P1916">
        <f>LN(dataset[[#This Row],[soda_ppu]])</f>
        <v>-0.38654522325565349</v>
      </c>
      <c r="Q1916">
        <f>IF(dataset[[#This Row],[state]]="VA",1,0)</f>
        <v>0</v>
      </c>
    </row>
    <row r="1917" spans="1:17" x14ac:dyDescent="0.35">
      <c r="A1917">
        <v>202208</v>
      </c>
      <c r="B1917">
        <v>73</v>
      </c>
      <c r="C1917" s="2">
        <v>2536201.5224000001</v>
      </c>
      <c r="D1917" s="2">
        <v>0.66469999999999996</v>
      </c>
      <c r="E1917" s="3">
        <v>229019</v>
      </c>
      <c r="F1917" s="2">
        <v>152230.86189999999</v>
      </c>
      <c r="G1917" t="s">
        <v>3554</v>
      </c>
      <c r="H1917" t="s">
        <v>8</v>
      </c>
      <c r="I1917">
        <f>HLOOKUP(G1917,zip_tiers!$A$1:$EON$2,2,FALSE)</f>
        <v>85244.666666666672</v>
      </c>
      <c r="J1917" t="str">
        <f t="shared" si="29"/>
        <v>Med</v>
      </c>
      <c r="K1917">
        <f>dataset[[#This Row],[soda_sales]]/dataset[[#This Row],[soda_units_sold]]</f>
        <v>0.66470843860116402</v>
      </c>
      <c r="L1917" s="29">
        <f>dataset[[#This Row],[implied_soda_ppu]]-dataset[[#This Row],[soda_ppu]]</f>
        <v>8.4386011640624758E-6</v>
      </c>
      <c r="M1917">
        <f>dataset[[#This Row],[soda_sales]]/dataset[[#This Row],[total_sales]]</f>
        <v>6.0023172668055326E-2</v>
      </c>
      <c r="N1917">
        <f>LN(dataset[[#This Row],[soda_units_sold]])</f>
        <v>12.341560248526918</v>
      </c>
      <c r="O1917">
        <f>LN(dataset[[#This Row],[soda_sales]])</f>
        <v>11.933153475864769</v>
      </c>
      <c r="P1917">
        <f>LN(dataset[[#This Row],[soda_ppu]])</f>
        <v>-0.40841946793460093</v>
      </c>
      <c r="Q1917">
        <f>IF(dataset[[#This Row],[state]]="VA",1,0)</f>
        <v>0</v>
      </c>
    </row>
    <row r="1918" spans="1:17" x14ac:dyDescent="0.35">
      <c r="A1918">
        <v>202209</v>
      </c>
      <c r="B1918">
        <v>73</v>
      </c>
      <c r="C1918" s="2">
        <v>2532737.3446</v>
      </c>
      <c r="D1918" s="2">
        <v>0.67810000000000004</v>
      </c>
      <c r="E1918" s="3">
        <v>213895</v>
      </c>
      <c r="F1918" s="2">
        <v>145038.54790000001</v>
      </c>
      <c r="G1918" t="s">
        <v>3554</v>
      </c>
      <c r="H1918" t="s">
        <v>8</v>
      </c>
      <c r="I1918">
        <f>HLOOKUP(G1918,zip_tiers!$A$1:$EON$2,2,FALSE)</f>
        <v>85244.666666666672</v>
      </c>
      <c r="J1918" t="str">
        <f t="shared" si="29"/>
        <v>Med</v>
      </c>
      <c r="K1918">
        <f>dataset[[#This Row],[soda_sales]]/dataset[[#This Row],[soda_units_sold]]</f>
        <v>0.67808292807218495</v>
      </c>
      <c r="L1918" s="29">
        <f>dataset[[#This Row],[implied_soda_ppu]]-dataset[[#This Row],[soda_ppu]]</f>
        <v>-1.7071927815082155E-5</v>
      </c>
      <c r="M1918">
        <f>dataset[[#This Row],[soda_sales]]/dataset[[#This Row],[total_sales]]</f>
        <v>5.7265530596464678E-2</v>
      </c>
      <c r="N1918">
        <f>LN(dataset[[#This Row],[soda_units_sold]])</f>
        <v>12.273240519388219</v>
      </c>
      <c r="O1918">
        <f>LN(dataset[[#This Row],[soda_sales]])</f>
        <v>11.884754833657711</v>
      </c>
      <c r="P1918">
        <f>LN(dataset[[#This Row],[soda_ppu]])</f>
        <v>-0.38846050929234055</v>
      </c>
      <c r="Q1918">
        <f>IF(dataset[[#This Row],[state]]="VA",1,0)</f>
        <v>0</v>
      </c>
    </row>
    <row r="1919" spans="1:17" x14ac:dyDescent="0.35">
      <c r="A1919">
        <v>202210</v>
      </c>
      <c r="B1919">
        <v>73</v>
      </c>
      <c r="C1919" s="2">
        <v>3099955.7469000001</v>
      </c>
      <c r="D1919" s="2">
        <v>0.68220000000000003</v>
      </c>
      <c r="E1919" s="3">
        <v>209356</v>
      </c>
      <c r="F1919" s="2">
        <v>142820.06570000001</v>
      </c>
      <c r="G1919" t="s">
        <v>3554</v>
      </c>
      <c r="H1919" t="s">
        <v>8</v>
      </c>
      <c r="I1919">
        <f>HLOOKUP(G1919,zip_tiers!$A$1:$EON$2,2,FALSE)</f>
        <v>85244.666666666672</v>
      </c>
      <c r="J1919" t="str">
        <f t="shared" si="29"/>
        <v>Med</v>
      </c>
      <c r="K1919">
        <f>dataset[[#This Row],[soda_sales]]/dataset[[#This Row],[soda_units_sold]]</f>
        <v>0.68218759290395314</v>
      </c>
      <c r="L1919" s="29">
        <f>dataset[[#This Row],[implied_soda_ppu]]-dataset[[#This Row],[soda_ppu]]</f>
        <v>-1.2407096046884725E-5</v>
      </c>
      <c r="M1919">
        <f>dataset[[#This Row],[soda_sales]]/dataset[[#This Row],[total_sales]]</f>
        <v>4.6071646617156424E-2</v>
      </c>
      <c r="N1919">
        <f>LN(dataset[[#This Row],[soda_units_sold]])</f>
        <v>12.251791431175119</v>
      </c>
      <c r="O1919">
        <f>LN(dataset[[#This Row],[soda_sales]])</f>
        <v>11.8693408351226</v>
      </c>
      <c r="P1919">
        <f>LN(dataset[[#This Row],[soda_ppu]])</f>
        <v>-0.38243240899759168</v>
      </c>
      <c r="Q1919">
        <f>IF(dataset[[#This Row],[state]]="VA",1,0)</f>
        <v>0</v>
      </c>
    </row>
    <row r="1920" spans="1:17" x14ac:dyDescent="0.35">
      <c r="A1920">
        <v>202211</v>
      </c>
      <c r="B1920">
        <v>73</v>
      </c>
      <c r="C1920" s="2">
        <v>3632844.9794999999</v>
      </c>
      <c r="D1920" s="2">
        <v>0.69089999999999996</v>
      </c>
      <c r="E1920" s="3">
        <v>199202</v>
      </c>
      <c r="F1920" s="2">
        <v>137626.3033</v>
      </c>
      <c r="G1920" t="s">
        <v>3554</v>
      </c>
      <c r="H1920" t="s">
        <v>8</v>
      </c>
      <c r="I1920">
        <f>HLOOKUP(G1920,zip_tiers!$A$1:$EON$2,2,FALSE)</f>
        <v>85244.666666666672</v>
      </c>
      <c r="J1920" t="str">
        <f t="shared" si="29"/>
        <v>Med</v>
      </c>
      <c r="K1920">
        <f>dataset[[#This Row],[soda_sales]]/dataset[[#This Row],[soda_units_sold]]</f>
        <v>0.69088816025943511</v>
      </c>
      <c r="L1920" s="29">
        <f>dataset[[#This Row],[implied_soda_ppu]]-dataset[[#This Row],[soda_ppu]]</f>
        <v>-1.1839740564845158E-5</v>
      </c>
      <c r="M1920">
        <f>dataset[[#This Row],[soda_sales]]/dataset[[#This Row],[total_sales]]</f>
        <v>3.7883891021119748E-2</v>
      </c>
      <c r="N1920">
        <f>LN(dataset[[#This Row],[soda_units_sold]])</f>
        <v>12.202074664242875</v>
      </c>
      <c r="O1920">
        <f>LN(dataset[[#This Row],[soda_sales]])</f>
        <v>11.832297343916563</v>
      </c>
      <c r="P1920">
        <f>LN(dataset[[#This Row],[soda_ppu]])</f>
        <v>-0.36976018348738793</v>
      </c>
      <c r="Q1920">
        <f>IF(dataset[[#This Row],[state]]="VA",1,0)</f>
        <v>0</v>
      </c>
    </row>
    <row r="1921" spans="1:17" x14ac:dyDescent="0.35">
      <c r="A1921">
        <v>202212</v>
      </c>
      <c r="B1921">
        <v>73</v>
      </c>
      <c r="C1921" s="2">
        <v>3726721.0474</v>
      </c>
      <c r="D1921" s="2">
        <v>0.68240000000000001</v>
      </c>
      <c r="E1921" s="3">
        <v>192145</v>
      </c>
      <c r="F1921" s="2">
        <v>131118.76139999999</v>
      </c>
      <c r="G1921" t="s">
        <v>3554</v>
      </c>
      <c r="H1921" t="s">
        <v>8</v>
      </c>
      <c r="I1921">
        <f>HLOOKUP(G1921,zip_tiers!$A$1:$EON$2,2,FALSE)</f>
        <v>85244.666666666672</v>
      </c>
      <c r="J1921" t="str">
        <f t="shared" si="29"/>
        <v>Med</v>
      </c>
      <c r="K1921">
        <f>dataset[[#This Row],[soda_sales]]/dataset[[#This Row],[soda_units_sold]]</f>
        <v>0.6823948653360743</v>
      </c>
      <c r="L1921" s="29">
        <f>dataset[[#This Row],[implied_soda_ppu]]-dataset[[#This Row],[soda_ppu]]</f>
        <v>-5.1346639257099369E-6</v>
      </c>
      <c r="M1921">
        <f>dataset[[#This Row],[soda_sales]]/dataset[[#This Row],[total_sales]]</f>
        <v>3.518341183370214E-2</v>
      </c>
      <c r="N1921">
        <f>LN(dataset[[#This Row],[soda_units_sold]])</f>
        <v>12.166005574316932</v>
      </c>
      <c r="O1921">
        <f>LN(dataset[[#This Row],[soda_sales]])</f>
        <v>11.78385876706437</v>
      </c>
      <c r="P1921">
        <f>LN(dataset[[#This Row],[soda_ppu]])</f>
        <v>-0.38213928280466769</v>
      </c>
      <c r="Q1921">
        <f>IF(dataset[[#This Row],[state]]="VA",1,0)</f>
        <v>0</v>
      </c>
    </row>
    <row r="1922" spans="1:17" x14ac:dyDescent="0.35">
      <c r="A1922">
        <v>202301</v>
      </c>
      <c r="B1922">
        <v>73</v>
      </c>
      <c r="C1922" s="2">
        <v>2092860.8263999999</v>
      </c>
      <c r="D1922" s="2">
        <v>0.71619999999999995</v>
      </c>
      <c r="E1922" s="3">
        <v>134309</v>
      </c>
      <c r="F1922" s="2">
        <v>96192.809599999993</v>
      </c>
      <c r="G1922" t="s">
        <v>3554</v>
      </c>
      <c r="H1922" t="s">
        <v>8</v>
      </c>
      <c r="I1922">
        <f>HLOOKUP(G1922,zip_tiers!$A$1:$EON$2,2,FALSE)</f>
        <v>85244.666666666672</v>
      </c>
      <c r="J1922" t="str">
        <f t="shared" ref="J1922:J1985" si="30">IF(I1922="","No Data",IF(I1922&gt;=100000,"High",IF(I1922&gt;=40000,"Med","Low")))</f>
        <v>Med</v>
      </c>
      <c r="K1922">
        <f>dataset[[#This Row],[soda_sales]]/dataset[[#This Row],[soda_units_sold]]</f>
        <v>0.71620524015516451</v>
      </c>
      <c r="L1922" s="29">
        <f>dataset[[#This Row],[implied_soda_ppu]]-dataset[[#This Row],[soda_ppu]]</f>
        <v>5.2401551645653299E-6</v>
      </c>
      <c r="M1922">
        <f>dataset[[#This Row],[soda_sales]]/dataset[[#This Row],[total_sales]]</f>
        <v>4.5962353724907964E-2</v>
      </c>
      <c r="N1922">
        <f>LN(dataset[[#This Row],[soda_units_sold]])</f>
        <v>11.807898394413412</v>
      </c>
      <c r="O1922">
        <f>LN(dataset[[#This Row],[soda_sales]])</f>
        <v>11.47410988957756</v>
      </c>
      <c r="P1922">
        <f>LN(dataset[[#This Row],[soda_ppu]])</f>
        <v>-0.33379582141780478</v>
      </c>
      <c r="Q1922">
        <f>IF(dataset[[#This Row],[state]]="VA",1,0)</f>
        <v>0</v>
      </c>
    </row>
    <row r="1923" spans="1:17" x14ac:dyDescent="0.35">
      <c r="A1923">
        <v>202302</v>
      </c>
      <c r="B1923">
        <v>73</v>
      </c>
      <c r="C1923" s="2">
        <v>2456183.8640999999</v>
      </c>
      <c r="D1923" s="2">
        <v>0.68389999999999995</v>
      </c>
      <c r="E1923" s="3">
        <v>164242</v>
      </c>
      <c r="F1923" s="2">
        <v>112330.57060000001</v>
      </c>
      <c r="G1923" t="s">
        <v>3554</v>
      </c>
      <c r="H1923" t="s">
        <v>8</v>
      </c>
      <c r="I1923">
        <f>HLOOKUP(G1923,zip_tiers!$A$1:$EON$2,2,FALSE)</f>
        <v>85244.666666666672</v>
      </c>
      <c r="J1923" t="str">
        <f t="shared" si="30"/>
        <v>Med</v>
      </c>
      <c r="K1923">
        <f>dataset[[#This Row],[soda_sales]]/dataset[[#This Row],[soda_units_sold]]</f>
        <v>0.68393328503062556</v>
      </c>
      <c r="L1923" s="29">
        <f>dataset[[#This Row],[implied_soda_ppu]]-dataset[[#This Row],[soda_ppu]]</f>
        <v>3.328503062560717E-5</v>
      </c>
      <c r="M1923">
        <f>dataset[[#This Row],[soda_sales]]/dataset[[#This Row],[total_sales]]</f>
        <v>4.5733779234463139E-2</v>
      </c>
      <c r="N1923">
        <f>LN(dataset[[#This Row],[soda_units_sold]])</f>
        <v>12.009096228920182</v>
      </c>
      <c r="O1923">
        <f>LN(dataset[[#This Row],[soda_sales]])</f>
        <v>11.629201326298668</v>
      </c>
      <c r="P1923">
        <f>LN(dataset[[#This Row],[soda_ppu]])</f>
        <v>-0.37994357087808678</v>
      </c>
      <c r="Q1923">
        <f>IF(dataset[[#This Row],[state]]="VA",1,0)</f>
        <v>0</v>
      </c>
    </row>
    <row r="1924" spans="1:17" x14ac:dyDescent="0.35">
      <c r="A1924">
        <v>202303</v>
      </c>
      <c r="B1924">
        <v>73</v>
      </c>
      <c r="C1924" s="2">
        <v>2636935.2176000001</v>
      </c>
      <c r="D1924" s="2">
        <v>0.72399999999999998</v>
      </c>
      <c r="E1924" s="3">
        <v>179146</v>
      </c>
      <c r="F1924" s="2">
        <v>129701.79730000001</v>
      </c>
      <c r="G1924" t="s">
        <v>3554</v>
      </c>
      <c r="H1924" t="s">
        <v>8</v>
      </c>
      <c r="I1924">
        <f>HLOOKUP(G1924,zip_tiers!$A$1:$EON$2,2,FALSE)</f>
        <v>85244.666666666672</v>
      </c>
      <c r="J1924" t="str">
        <f t="shared" si="30"/>
        <v>Med</v>
      </c>
      <c r="K1924">
        <f>dataset[[#This Row],[soda_sales]]/dataset[[#This Row],[soda_units_sold]]</f>
        <v>0.72400052080426025</v>
      </c>
      <c r="L1924" s="29">
        <f>dataset[[#This Row],[implied_soda_ppu]]-dataset[[#This Row],[soda_ppu]]</f>
        <v>5.2080426027334425E-7</v>
      </c>
      <c r="M1924">
        <f>dataset[[#This Row],[soda_sales]]/dataset[[#This Row],[total_sales]]</f>
        <v>4.9186569481994243E-2</v>
      </c>
      <c r="N1924">
        <f>LN(dataset[[#This Row],[soda_units_sold]])</f>
        <v>12.095956394825448</v>
      </c>
      <c r="O1924">
        <f>LN(dataset[[#This Row],[soda_sales]])</f>
        <v>11.772993227571668</v>
      </c>
      <c r="P1924">
        <f>LN(dataset[[#This Row],[soda_ppu]])</f>
        <v>-0.32296388659642072</v>
      </c>
      <c r="Q1924">
        <f>IF(dataset[[#This Row],[state]]="VA",1,0)</f>
        <v>0</v>
      </c>
    </row>
    <row r="1925" spans="1:17" x14ac:dyDescent="0.35">
      <c r="A1925">
        <v>202304</v>
      </c>
      <c r="B1925">
        <v>73</v>
      </c>
      <c r="C1925" s="2">
        <v>2851368.2253999999</v>
      </c>
      <c r="D1925" s="2">
        <v>0.71589999999999998</v>
      </c>
      <c r="E1925" s="3">
        <v>217037</v>
      </c>
      <c r="F1925" s="2">
        <v>155378.4375</v>
      </c>
      <c r="G1925" t="s">
        <v>3554</v>
      </c>
      <c r="H1925" t="s">
        <v>8</v>
      </c>
      <c r="I1925">
        <f>HLOOKUP(G1925,zip_tiers!$A$1:$EON$2,2,FALSE)</f>
        <v>85244.666666666672</v>
      </c>
      <c r="J1925" t="str">
        <f t="shared" si="30"/>
        <v>Med</v>
      </c>
      <c r="K1925">
        <f>dataset[[#This Row],[soda_sales]]/dataset[[#This Row],[soda_units_sold]]</f>
        <v>0.71590759870436838</v>
      </c>
      <c r="L1925" s="29">
        <f>dataset[[#This Row],[implied_soda_ppu]]-dataset[[#This Row],[soda_ppu]]</f>
        <v>7.5987043683944933E-6</v>
      </c>
      <c r="M1925">
        <f>dataset[[#This Row],[soda_sales]]/dataset[[#This Row],[total_sales]]</f>
        <v>5.4492589247466618E-2</v>
      </c>
      <c r="N1925">
        <f>LN(dataset[[#This Row],[soda_units_sold]])</f>
        <v>12.287823124900388</v>
      </c>
      <c r="O1925">
        <f>LN(dataset[[#This Row],[soda_sales]])</f>
        <v>11.953618952462088</v>
      </c>
      <c r="P1925">
        <f>LN(dataset[[#This Row],[soda_ppu]])</f>
        <v>-0.33421478657999776</v>
      </c>
      <c r="Q1925">
        <f>IF(dataset[[#This Row],[state]]="VA",1,0)</f>
        <v>0</v>
      </c>
    </row>
    <row r="1926" spans="1:17" x14ac:dyDescent="0.35">
      <c r="A1926">
        <v>202305</v>
      </c>
      <c r="B1926">
        <v>73</v>
      </c>
      <c r="C1926" s="2">
        <v>2970015.2012999998</v>
      </c>
      <c r="D1926" s="2">
        <v>0.68389999999999995</v>
      </c>
      <c r="E1926" s="3">
        <v>242309</v>
      </c>
      <c r="F1926" s="2">
        <v>165704.25570000001</v>
      </c>
      <c r="G1926" t="s">
        <v>3554</v>
      </c>
      <c r="H1926" t="s">
        <v>8</v>
      </c>
      <c r="I1926">
        <f>HLOOKUP(G1926,zip_tiers!$A$1:$EON$2,2,FALSE)</f>
        <v>85244.666666666672</v>
      </c>
      <c r="J1926" t="str">
        <f t="shared" si="30"/>
        <v>Med</v>
      </c>
      <c r="K1926">
        <f>dataset[[#This Row],[soda_sales]]/dataset[[#This Row],[soda_units_sold]]</f>
        <v>0.68385514240081879</v>
      </c>
      <c r="L1926" s="29">
        <f>dataset[[#This Row],[implied_soda_ppu]]-dataset[[#This Row],[soda_ppu]]</f>
        <v>-4.4857599181158392E-5</v>
      </c>
      <c r="M1926">
        <f>dataset[[#This Row],[soda_sales]]/dataset[[#This Row],[total_sales]]</f>
        <v>5.5792393125621009E-2</v>
      </c>
      <c r="N1926">
        <f>LN(dataset[[#This Row],[soda_units_sold]])</f>
        <v>12.397969050151113</v>
      </c>
      <c r="O1926">
        <f>LN(dataset[[#This Row],[soda_sales]])</f>
        <v>12.017959886247189</v>
      </c>
      <c r="P1926">
        <f>LN(dataset[[#This Row],[soda_ppu]])</f>
        <v>-0.37994357087808678</v>
      </c>
      <c r="Q1926">
        <f>IF(dataset[[#This Row],[state]]="VA",1,0)</f>
        <v>0</v>
      </c>
    </row>
    <row r="1927" spans="1:17" x14ac:dyDescent="0.35">
      <c r="A1927">
        <v>202306</v>
      </c>
      <c r="B1927">
        <v>73</v>
      </c>
      <c r="C1927" s="2">
        <v>2859030.2459</v>
      </c>
      <c r="D1927" s="2">
        <v>0.69199999999999995</v>
      </c>
      <c r="E1927" s="3">
        <v>254278</v>
      </c>
      <c r="F1927" s="2">
        <v>175965.64499999999</v>
      </c>
      <c r="G1927" t="s">
        <v>3554</v>
      </c>
      <c r="H1927" t="s">
        <v>8</v>
      </c>
      <c r="I1927">
        <f>HLOOKUP(G1927,zip_tiers!$A$1:$EON$2,2,FALSE)</f>
        <v>85244.666666666672</v>
      </c>
      <c r="J1927" t="str">
        <f t="shared" si="30"/>
        <v>Med</v>
      </c>
      <c r="K1927">
        <f>dataset[[#This Row],[soda_sales]]/dataset[[#This Row],[soda_units_sold]]</f>
        <v>0.69202072141514404</v>
      </c>
      <c r="L1927" s="29">
        <f>dataset[[#This Row],[implied_soda_ppu]]-dataset[[#This Row],[soda_ppu]]</f>
        <v>2.0721415144087096E-5</v>
      </c>
      <c r="M1927">
        <f>dataset[[#This Row],[soda_sales]]/dataset[[#This Row],[total_sales]]</f>
        <v>6.1547318449094404E-2</v>
      </c>
      <c r="N1927">
        <f>LN(dataset[[#This Row],[soda_units_sold]])</f>
        <v>12.446183435674124</v>
      </c>
      <c r="O1927">
        <f>LN(dataset[[#This Row],[soda_sales]])</f>
        <v>12.078044056102875</v>
      </c>
      <c r="P1927">
        <f>LN(dataset[[#This Row],[soda_ppu]])</f>
        <v>-0.36816932336446756</v>
      </c>
      <c r="Q1927">
        <f>IF(dataset[[#This Row],[state]]="VA",1,0)</f>
        <v>0</v>
      </c>
    </row>
    <row r="1928" spans="1:17" x14ac:dyDescent="0.35">
      <c r="A1928">
        <v>202307</v>
      </c>
      <c r="B1928">
        <v>73</v>
      </c>
      <c r="C1928" s="2">
        <v>2703545.5661999998</v>
      </c>
      <c r="D1928" s="2">
        <v>0.72109999999999996</v>
      </c>
      <c r="E1928" s="3">
        <v>254284</v>
      </c>
      <c r="F1928" s="2">
        <v>183370.7757</v>
      </c>
      <c r="G1928" t="s">
        <v>3554</v>
      </c>
      <c r="H1928" t="s">
        <v>8</v>
      </c>
      <c r="I1928">
        <f>HLOOKUP(G1928,zip_tiers!$A$1:$EON$2,2,FALSE)</f>
        <v>85244.666666666672</v>
      </c>
      <c r="J1928" t="str">
        <f t="shared" si="30"/>
        <v>Med</v>
      </c>
      <c r="K1928">
        <f>dataset[[#This Row],[soda_sales]]/dataset[[#This Row],[soda_units_sold]]</f>
        <v>0.72112588955655876</v>
      </c>
      <c r="L1928" s="29">
        <f>dataset[[#This Row],[implied_soda_ppu]]-dataset[[#This Row],[soda_ppu]]</f>
        <v>2.5889556558800209E-5</v>
      </c>
      <c r="M1928">
        <f>dataset[[#This Row],[soda_sales]]/dataset[[#This Row],[total_sales]]</f>
        <v>6.7826034816102235E-2</v>
      </c>
      <c r="N1928">
        <f>LN(dataset[[#This Row],[soda_units_sold]])</f>
        <v>12.446207031617197</v>
      </c>
      <c r="O1928">
        <f>LN(dataset[[#This Row],[soda_sales]])</f>
        <v>12.119265478779123</v>
      </c>
      <c r="P1928">
        <f>LN(dataset[[#This Row],[soda_ppu]])</f>
        <v>-0.32697745505942327</v>
      </c>
      <c r="Q1928">
        <f>IF(dataset[[#This Row],[state]]="VA",1,0)</f>
        <v>0</v>
      </c>
    </row>
    <row r="1929" spans="1:17" x14ac:dyDescent="0.35">
      <c r="A1929">
        <v>202308</v>
      </c>
      <c r="B1929">
        <v>73</v>
      </c>
      <c r="C1929" s="2">
        <v>2570428.0232000002</v>
      </c>
      <c r="D1929" s="2">
        <v>0.70220000000000005</v>
      </c>
      <c r="E1929" s="3">
        <v>223961</v>
      </c>
      <c r="F1929" s="2">
        <v>157257.00520000001</v>
      </c>
      <c r="G1929" t="s">
        <v>3554</v>
      </c>
      <c r="H1929" t="s">
        <v>8</v>
      </c>
      <c r="I1929">
        <f>HLOOKUP(G1929,zip_tiers!$A$1:$EON$2,2,FALSE)</f>
        <v>85244.666666666672</v>
      </c>
      <c r="J1929" t="str">
        <f t="shared" si="30"/>
        <v>Med</v>
      </c>
      <c r="K1929">
        <f>dataset[[#This Row],[soda_sales]]/dataset[[#This Row],[soda_units_sold]]</f>
        <v>0.70216245328427729</v>
      </c>
      <c r="L1929" s="29">
        <f>dataset[[#This Row],[implied_soda_ppu]]-dataset[[#This Row],[soda_ppu]]</f>
        <v>-3.754671572275825E-5</v>
      </c>
      <c r="M1929">
        <f>dataset[[#This Row],[soda_sales]]/dataset[[#This Row],[total_sales]]</f>
        <v>6.1179307018379848E-2</v>
      </c>
      <c r="N1929">
        <f>LN(dataset[[#This Row],[soda_units_sold]])</f>
        <v>12.319227208535912</v>
      </c>
      <c r="O1929">
        <f>LN(dataset[[#This Row],[soda_sales]])</f>
        <v>11.965636721742149</v>
      </c>
      <c r="P1929">
        <f>LN(dataset[[#This Row],[soda_ppu]])</f>
        <v>-0.35353701524780512</v>
      </c>
      <c r="Q1929">
        <f>IF(dataset[[#This Row],[state]]="VA",1,0)</f>
        <v>0</v>
      </c>
    </row>
    <row r="1930" spans="1:17" x14ac:dyDescent="0.35">
      <c r="A1930">
        <v>202309</v>
      </c>
      <c r="B1930">
        <v>73</v>
      </c>
      <c r="C1930" s="2">
        <v>2576651.4977000002</v>
      </c>
      <c r="D1930" s="2">
        <v>0.70269999999999999</v>
      </c>
      <c r="E1930" s="3">
        <v>213704</v>
      </c>
      <c r="F1930" s="2">
        <v>150165.1735</v>
      </c>
      <c r="G1930" t="s">
        <v>3554</v>
      </c>
      <c r="H1930" t="s">
        <v>8</v>
      </c>
      <c r="I1930">
        <f>HLOOKUP(G1930,zip_tiers!$A$1:$EON$2,2,FALSE)</f>
        <v>85244.666666666672</v>
      </c>
      <c r="J1930" t="str">
        <f t="shared" si="30"/>
        <v>Med</v>
      </c>
      <c r="K1930">
        <f>dataset[[#This Row],[soda_sales]]/dataset[[#This Row],[soda_units_sold]]</f>
        <v>0.70267834715307154</v>
      </c>
      <c r="L1930" s="29">
        <f>dataset[[#This Row],[implied_soda_ppu]]-dataset[[#This Row],[soda_ppu]]</f>
        <v>-2.1652846928454927E-5</v>
      </c>
      <c r="M1930">
        <f>dataset[[#This Row],[soda_sales]]/dataset[[#This Row],[total_sales]]</f>
        <v>5.8279194386218758E-2</v>
      </c>
      <c r="N1930">
        <f>LN(dataset[[#This Row],[soda_units_sold]])</f>
        <v>12.272347158960795</v>
      </c>
      <c r="O1930">
        <f>LN(dataset[[#This Row],[soda_sales]])</f>
        <v>11.919491123916758</v>
      </c>
      <c r="P1930">
        <f>LN(dataset[[#This Row],[soda_ppu]])</f>
        <v>-0.35282522078398504</v>
      </c>
      <c r="Q1930">
        <f>IF(dataset[[#This Row],[state]]="VA",1,0)</f>
        <v>0</v>
      </c>
    </row>
    <row r="1931" spans="1:17" x14ac:dyDescent="0.35">
      <c r="A1931">
        <v>202310</v>
      </c>
      <c r="B1931">
        <v>73</v>
      </c>
      <c r="C1931" s="2">
        <v>3156393.6877000001</v>
      </c>
      <c r="D1931" s="2">
        <v>0.71120000000000005</v>
      </c>
      <c r="E1931" s="3">
        <v>204348</v>
      </c>
      <c r="F1931" s="2">
        <v>145332.4731</v>
      </c>
      <c r="G1931" t="s">
        <v>3554</v>
      </c>
      <c r="H1931" t="s">
        <v>8</v>
      </c>
      <c r="I1931">
        <f>HLOOKUP(G1931,zip_tiers!$A$1:$EON$2,2,FALSE)</f>
        <v>85244.666666666672</v>
      </c>
      <c r="J1931" t="str">
        <f t="shared" si="30"/>
        <v>Med</v>
      </c>
      <c r="K1931">
        <f>dataset[[#This Row],[soda_sales]]/dataset[[#This Row],[soda_units_sold]]</f>
        <v>0.71120085882905637</v>
      </c>
      <c r="L1931" s="29">
        <f>dataset[[#This Row],[implied_soda_ppu]]-dataset[[#This Row],[soda_ppu]]</f>
        <v>8.5882905631606832E-7</v>
      </c>
      <c r="M1931">
        <f>dataset[[#This Row],[soda_sales]]/dataset[[#This Row],[total_sales]]</f>
        <v>4.6043835934135587E-2</v>
      </c>
      <c r="N1931">
        <f>LN(dataset[[#This Row],[soda_units_sold]])</f>
        <v>12.227579701814605</v>
      </c>
      <c r="O1931">
        <f>LN(dataset[[#This Row],[soda_sales]])</f>
        <v>11.886779314608846</v>
      </c>
      <c r="P1931">
        <f>LN(dataset[[#This Row],[soda_ppu]])</f>
        <v>-0.34080159478244215</v>
      </c>
      <c r="Q1931">
        <f>IF(dataset[[#This Row],[state]]="VA",1,0)</f>
        <v>0</v>
      </c>
    </row>
    <row r="1932" spans="1:17" x14ac:dyDescent="0.35">
      <c r="A1932">
        <v>202311</v>
      </c>
      <c r="B1932">
        <v>73</v>
      </c>
      <c r="C1932" s="2">
        <v>3578008.7151000001</v>
      </c>
      <c r="D1932" s="2">
        <v>0.72770000000000001</v>
      </c>
      <c r="E1932" s="3">
        <v>185653</v>
      </c>
      <c r="F1932" s="2">
        <v>135095.25940000001</v>
      </c>
      <c r="G1932" t="s">
        <v>3554</v>
      </c>
      <c r="H1932" t="s">
        <v>8</v>
      </c>
      <c r="I1932">
        <f>HLOOKUP(G1932,zip_tiers!$A$1:$EON$2,2,FALSE)</f>
        <v>85244.666666666672</v>
      </c>
      <c r="J1932" t="str">
        <f t="shared" si="30"/>
        <v>Med</v>
      </c>
      <c r="K1932">
        <f>dataset[[#This Row],[soda_sales]]/dataset[[#This Row],[soda_units_sold]]</f>
        <v>0.72767614528178914</v>
      </c>
      <c r="L1932" s="29">
        <f>dataset[[#This Row],[implied_soda_ppu]]-dataset[[#This Row],[soda_ppu]]</f>
        <v>-2.3854718210869486E-5</v>
      </c>
      <c r="M1932">
        <f>dataset[[#This Row],[soda_sales]]/dataset[[#This Row],[total_sales]]</f>
        <v>3.7757107418399424E-2</v>
      </c>
      <c r="N1932">
        <f>LN(dataset[[#This Row],[soda_units_sold]])</f>
        <v>12.13163461891447</v>
      </c>
      <c r="O1932">
        <f>LN(dataset[[#This Row],[soda_sales]])</f>
        <v>11.813735433769351</v>
      </c>
      <c r="P1932">
        <f>LN(dataset[[#This Row],[soda_ppu]])</f>
        <v>-0.31786640362909629</v>
      </c>
      <c r="Q1932">
        <f>IF(dataset[[#This Row],[state]]="VA",1,0)</f>
        <v>0</v>
      </c>
    </row>
    <row r="1933" spans="1:17" x14ac:dyDescent="0.35">
      <c r="A1933">
        <v>202312</v>
      </c>
      <c r="B1933">
        <v>73</v>
      </c>
      <c r="C1933" s="2">
        <v>3734562.4637000002</v>
      </c>
      <c r="D1933" s="2">
        <v>0.74</v>
      </c>
      <c r="E1933" s="3">
        <v>184747</v>
      </c>
      <c r="F1933" s="2">
        <v>136711.03709999999</v>
      </c>
      <c r="G1933" t="s">
        <v>3554</v>
      </c>
      <c r="H1933" t="s">
        <v>8</v>
      </c>
      <c r="I1933">
        <f>HLOOKUP(G1933,zip_tiers!$A$1:$EON$2,2,FALSE)</f>
        <v>85244.666666666672</v>
      </c>
      <c r="J1933" t="str">
        <f t="shared" si="30"/>
        <v>Med</v>
      </c>
      <c r="K1933">
        <f>dataset[[#This Row],[soda_sales]]/dataset[[#This Row],[soda_units_sold]]</f>
        <v>0.73999056601731006</v>
      </c>
      <c r="L1933" s="29">
        <f>dataset[[#This Row],[implied_soda_ppu]]-dataset[[#This Row],[soda_ppu]]</f>
        <v>-9.4339826899325629E-6</v>
      </c>
      <c r="M1933">
        <f>dataset[[#This Row],[soda_sales]]/dataset[[#This Row],[total_sales]]</f>
        <v>3.6606975630701907E-2</v>
      </c>
      <c r="N1933">
        <f>LN(dataset[[#This Row],[soda_units_sold]])</f>
        <v>12.126742600518932</v>
      </c>
      <c r="O1933">
        <f>LN(dataset[[#This Row],[soda_sales]])</f>
        <v>11.825624759028489</v>
      </c>
      <c r="P1933">
        <f>LN(dataset[[#This Row],[soda_ppu]])</f>
        <v>-0.30110509278392161</v>
      </c>
      <c r="Q1933">
        <f>IF(dataset[[#This Row],[state]]="VA",1,0)</f>
        <v>0</v>
      </c>
    </row>
    <row r="1934" spans="1:17" x14ac:dyDescent="0.35">
      <c r="A1934">
        <v>202401</v>
      </c>
      <c r="B1934">
        <v>73</v>
      </c>
      <c r="C1934" s="2">
        <v>2155005.6746999999</v>
      </c>
      <c r="D1934" s="2">
        <v>0.71879999999999999</v>
      </c>
      <c r="E1934" s="3">
        <v>139387</v>
      </c>
      <c r="F1934" s="2">
        <v>100198.18700000001</v>
      </c>
      <c r="G1934" t="s">
        <v>3554</v>
      </c>
      <c r="H1934" t="s">
        <v>8</v>
      </c>
      <c r="I1934">
        <f>HLOOKUP(G1934,zip_tiers!$A$1:$EON$2,2,FALSE)</f>
        <v>85244.666666666672</v>
      </c>
      <c r="J1934" t="str">
        <f t="shared" si="30"/>
        <v>Med</v>
      </c>
      <c r="K1934">
        <f>dataset[[#This Row],[soda_sales]]/dataset[[#This Row],[soda_units_sold]]</f>
        <v>0.71884886682402238</v>
      </c>
      <c r="L1934" s="29">
        <f>dataset[[#This Row],[implied_soda_ppu]]-dataset[[#This Row],[soda_ppu]]</f>
        <v>4.8866824022386623E-5</v>
      </c>
      <c r="M1934">
        <f>dataset[[#This Row],[soda_sales]]/dataset[[#This Row],[total_sales]]</f>
        <v>4.6495555986853114E-2</v>
      </c>
      <c r="N1934">
        <f>LN(dataset[[#This Row],[soda_units_sold]])</f>
        <v>11.845009516144952</v>
      </c>
      <c r="O1934">
        <f>LN(dataset[[#This Row],[soda_sales]])</f>
        <v>11.514905373656831</v>
      </c>
      <c r="P1934">
        <f>LN(dataset[[#This Row],[soda_ppu]])</f>
        <v>-0.33017212407273311</v>
      </c>
      <c r="Q1934">
        <f>IF(dataset[[#This Row],[state]]="VA",1,0)</f>
        <v>0</v>
      </c>
    </row>
    <row r="1935" spans="1:17" x14ac:dyDescent="0.35">
      <c r="A1935">
        <v>202402</v>
      </c>
      <c r="B1935">
        <v>73</v>
      </c>
      <c r="C1935" s="2">
        <v>2450981.1121999999</v>
      </c>
      <c r="D1935" s="2">
        <v>0.73129999999999995</v>
      </c>
      <c r="E1935" s="3">
        <v>155102</v>
      </c>
      <c r="F1935" s="2">
        <v>113419.6645</v>
      </c>
      <c r="G1935" t="s">
        <v>3554</v>
      </c>
      <c r="H1935" t="s">
        <v>8</v>
      </c>
      <c r="I1935">
        <f>HLOOKUP(G1935,zip_tiers!$A$1:$EON$2,2,FALSE)</f>
        <v>85244.666666666672</v>
      </c>
      <c r="J1935" t="str">
        <f t="shared" si="30"/>
        <v>Med</v>
      </c>
      <c r="K1935">
        <f>dataset[[#This Row],[soda_sales]]/dataset[[#This Row],[soda_units_sold]]</f>
        <v>0.73125855566014619</v>
      </c>
      <c r="L1935" s="29">
        <f>dataset[[#This Row],[implied_soda_ppu]]-dataset[[#This Row],[soda_ppu]]</f>
        <v>-4.1444339853757839E-5</v>
      </c>
      <c r="M1935">
        <f>dataset[[#This Row],[soda_sales]]/dataset[[#This Row],[total_sales]]</f>
        <v>4.6275209521380006E-2</v>
      </c>
      <c r="N1935">
        <f>LN(dataset[[#This Row],[soda_units_sold]])</f>
        <v>11.951838243988004</v>
      </c>
      <c r="O1935">
        <f>LN(dataset[[#This Row],[soda_sales]])</f>
        <v>11.638850063531551</v>
      </c>
      <c r="P1935">
        <f>LN(dataset[[#This Row],[soda_ppu]])</f>
        <v>-0.31293150670523162</v>
      </c>
      <c r="Q1935">
        <f>IF(dataset[[#This Row],[state]]="VA",1,0)</f>
        <v>0</v>
      </c>
    </row>
    <row r="1936" spans="1:17" x14ac:dyDescent="0.35">
      <c r="A1936">
        <v>202403</v>
      </c>
      <c r="B1936">
        <v>73</v>
      </c>
      <c r="C1936" s="2">
        <v>2699047.7338999999</v>
      </c>
      <c r="D1936" s="2">
        <v>0.72929999999999995</v>
      </c>
      <c r="E1936" s="3">
        <v>178392</v>
      </c>
      <c r="F1936" s="2">
        <v>130095.1036</v>
      </c>
      <c r="G1936" t="s">
        <v>3554</v>
      </c>
      <c r="H1936" t="s">
        <v>8</v>
      </c>
      <c r="I1936">
        <f>HLOOKUP(G1936,zip_tiers!$A$1:$EON$2,2,FALSE)</f>
        <v>85244.666666666672</v>
      </c>
      <c r="J1936" t="str">
        <f t="shared" si="30"/>
        <v>Med</v>
      </c>
      <c r="K1936">
        <f>dataset[[#This Row],[soda_sales]]/dataset[[#This Row],[soda_units_sold]]</f>
        <v>0.72926534597964032</v>
      </c>
      <c r="L1936" s="29">
        <f>dataset[[#This Row],[implied_soda_ppu]]-dataset[[#This Row],[soda_ppu]]</f>
        <v>-3.4654020359625726E-5</v>
      </c>
      <c r="M1936">
        <f>dataset[[#This Row],[soda_sales]]/dataset[[#This Row],[total_sales]]</f>
        <v>4.8200371548086166E-2</v>
      </c>
      <c r="N1936">
        <f>LN(dataset[[#This Row],[soda_units_sold]])</f>
        <v>12.09173865507324</v>
      </c>
      <c r="O1936">
        <f>LN(dataset[[#This Row],[soda_sales]])</f>
        <v>11.776021028127484</v>
      </c>
      <c r="P1936">
        <f>LN(dataset[[#This Row],[soda_ppu]])</f>
        <v>-0.31567010899194975</v>
      </c>
      <c r="Q1936">
        <f>IF(dataset[[#This Row],[state]]="VA",1,0)</f>
        <v>0</v>
      </c>
    </row>
    <row r="1937" spans="1:17" x14ac:dyDescent="0.35">
      <c r="A1937">
        <v>202404</v>
      </c>
      <c r="B1937">
        <v>73</v>
      </c>
      <c r="C1937" s="2">
        <v>2914399.9876000001</v>
      </c>
      <c r="D1937" s="2">
        <v>0.74360000000000004</v>
      </c>
      <c r="E1937" s="3">
        <v>216738</v>
      </c>
      <c r="F1937" s="2">
        <v>161174.3302</v>
      </c>
      <c r="G1937" t="s">
        <v>3554</v>
      </c>
      <c r="H1937" t="s">
        <v>8</v>
      </c>
      <c r="I1937">
        <f>HLOOKUP(G1937,zip_tiers!$A$1:$EON$2,2,FALSE)</f>
        <v>85244.666666666672</v>
      </c>
      <c r="J1937" t="str">
        <f t="shared" si="30"/>
        <v>Med</v>
      </c>
      <c r="K1937">
        <f>dataset[[#This Row],[soda_sales]]/dataset[[#This Row],[soda_units_sold]]</f>
        <v>0.74363669591857451</v>
      </c>
      <c r="L1937" s="29">
        <f>dataset[[#This Row],[implied_soda_ppu]]-dataset[[#This Row],[soda_ppu]]</f>
        <v>3.6695918574469744E-5</v>
      </c>
      <c r="M1937">
        <f>dataset[[#This Row],[soda_sales]]/dataset[[#This Row],[total_sales]]</f>
        <v>5.5302748725553824E-2</v>
      </c>
      <c r="N1937">
        <f>LN(dataset[[#This Row],[soda_units_sold]])</f>
        <v>12.286444529788383</v>
      </c>
      <c r="O1937">
        <f>LN(dataset[[#This Row],[soda_sales]])</f>
        <v>11.990241854438837</v>
      </c>
      <c r="P1937">
        <f>LN(dataset[[#This Row],[soda_ppu]])</f>
        <v>-0.29625202313484805</v>
      </c>
      <c r="Q1937">
        <f>IF(dataset[[#This Row],[state]]="VA",1,0)</f>
        <v>0</v>
      </c>
    </row>
    <row r="1938" spans="1:17" x14ac:dyDescent="0.35">
      <c r="A1938">
        <v>202405</v>
      </c>
      <c r="B1938">
        <v>73</v>
      </c>
      <c r="C1938" s="2">
        <v>3080681.2497</v>
      </c>
      <c r="D1938" s="2">
        <v>0.70289999999999997</v>
      </c>
      <c r="E1938" s="3">
        <v>243922</v>
      </c>
      <c r="F1938" s="2">
        <v>171461.23139999999</v>
      </c>
      <c r="G1938" t="s">
        <v>3554</v>
      </c>
      <c r="H1938" t="s">
        <v>8</v>
      </c>
      <c r="I1938">
        <f>HLOOKUP(G1938,zip_tiers!$A$1:$EON$2,2,FALSE)</f>
        <v>85244.666666666672</v>
      </c>
      <c r="J1938" t="str">
        <f t="shared" si="30"/>
        <v>Med</v>
      </c>
      <c r="K1938">
        <f>dataset[[#This Row],[soda_sales]]/dataset[[#This Row],[soda_units_sold]]</f>
        <v>0.70293467337919491</v>
      </c>
      <c r="L1938" s="29">
        <f>dataset[[#This Row],[implied_soda_ppu]]-dataset[[#This Row],[soda_ppu]]</f>
        <v>3.4673379194938292E-5</v>
      </c>
      <c r="M1938">
        <f>dataset[[#This Row],[soda_sales]]/dataset[[#This Row],[total_sales]]</f>
        <v>5.5656920499872246E-2</v>
      </c>
      <c r="N1938">
        <f>LN(dataset[[#This Row],[soda_units_sold]])</f>
        <v>12.404603781038164</v>
      </c>
      <c r="O1938">
        <f>LN(dataset[[#This Row],[soda_sales]])</f>
        <v>12.052112464056952</v>
      </c>
      <c r="P1938">
        <f>LN(dataset[[#This Row],[soda_ppu]])</f>
        <v>-0.35254064480027741</v>
      </c>
      <c r="Q1938">
        <f>IF(dataset[[#This Row],[state]]="VA",1,0)</f>
        <v>0</v>
      </c>
    </row>
    <row r="1939" spans="1:17" x14ac:dyDescent="0.35">
      <c r="A1939">
        <v>202406</v>
      </c>
      <c r="B1939">
        <v>73</v>
      </c>
      <c r="C1939" s="2">
        <v>2884666.5082</v>
      </c>
      <c r="D1939" s="2">
        <v>0.7429</v>
      </c>
      <c r="E1939" s="3">
        <v>237244</v>
      </c>
      <c r="F1939" s="2">
        <v>176255.7928</v>
      </c>
      <c r="G1939" t="s">
        <v>3554</v>
      </c>
      <c r="H1939" t="s">
        <v>8</v>
      </c>
      <c r="I1939">
        <f>HLOOKUP(G1939,zip_tiers!$A$1:$EON$2,2,FALSE)</f>
        <v>85244.666666666672</v>
      </c>
      <c r="J1939" t="str">
        <f t="shared" si="30"/>
        <v>Med</v>
      </c>
      <c r="K1939">
        <f>dataset[[#This Row],[soda_sales]]/dataset[[#This Row],[soda_units_sold]]</f>
        <v>0.74293045472172103</v>
      </c>
      <c r="L1939" s="29">
        <f>dataset[[#This Row],[implied_soda_ppu]]-dataset[[#This Row],[soda_ppu]]</f>
        <v>3.0454721721029365E-5</v>
      </c>
      <c r="M1939">
        <f>dataset[[#This Row],[soda_sales]]/dataset[[#This Row],[total_sales]]</f>
        <v>6.1100925288580986E-2</v>
      </c>
      <c r="N1939">
        <f>LN(dataset[[#This Row],[soda_units_sold]])</f>
        <v>12.376844426373667</v>
      </c>
      <c r="O1939">
        <f>LN(dataset[[#This Row],[soda_sales]])</f>
        <v>12.079691587084763</v>
      </c>
      <c r="P1939">
        <f>LN(dataset[[#This Row],[soda_ppu]])</f>
        <v>-0.2971938328243765</v>
      </c>
      <c r="Q1939">
        <f>IF(dataset[[#This Row],[state]]="VA",1,0)</f>
        <v>0</v>
      </c>
    </row>
    <row r="1940" spans="1:17" x14ac:dyDescent="0.35">
      <c r="A1940">
        <v>202407</v>
      </c>
      <c r="B1940">
        <v>73</v>
      </c>
      <c r="C1940" s="2">
        <v>2724723.2433000002</v>
      </c>
      <c r="D1940" s="2">
        <v>0.7127</v>
      </c>
      <c r="E1940" s="3">
        <v>251058</v>
      </c>
      <c r="F1940" s="2">
        <v>178936.7555</v>
      </c>
      <c r="G1940" t="s">
        <v>3554</v>
      </c>
      <c r="H1940" t="s">
        <v>8</v>
      </c>
      <c r="I1940">
        <f>HLOOKUP(G1940,zip_tiers!$A$1:$EON$2,2,FALSE)</f>
        <v>85244.666666666672</v>
      </c>
      <c r="J1940" t="str">
        <f t="shared" si="30"/>
        <v>Med</v>
      </c>
      <c r="K1940">
        <f>dataset[[#This Row],[soda_sales]]/dataset[[#This Row],[soda_units_sold]]</f>
        <v>0.71273074548510706</v>
      </c>
      <c r="L1940" s="29">
        <f>dataset[[#This Row],[implied_soda_ppu]]-dataset[[#This Row],[soda_ppu]]</f>
        <v>3.0745485107064319E-5</v>
      </c>
      <c r="M1940">
        <f>dataset[[#This Row],[soda_sales]]/dataset[[#This Row],[total_sales]]</f>
        <v>6.5671534142045171E-2</v>
      </c>
      <c r="N1940">
        <f>LN(dataset[[#This Row],[soda_units_sold]])</f>
        <v>12.433439267117254</v>
      </c>
      <c r="O1940">
        <f>LN(dataset[[#This Row],[soda_sales]])</f>
        <v>12.09478770116119</v>
      </c>
      <c r="P1940">
        <f>LN(dataset[[#This Row],[soda_ppu]])</f>
        <v>-0.33869470447431199</v>
      </c>
      <c r="Q1940">
        <f>IF(dataset[[#This Row],[state]]="VA",1,0)</f>
        <v>0</v>
      </c>
    </row>
    <row r="1941" spans="1:17" x14ac:dyDescent="0.35">
      <c r="A1941">
        <v>202408</v>
      </c>
      <c r="B1941">
        <v>73</v>
      </c>
      <c r="C1941" s="2">
        <v>2613843.1162</v>
      </c>
      <c r="D1941" s="2">
        <v>0.74880000000000002</v>
      </c>
      <c r="E1941" s="3">
        <v>215345</v>
      </c>
      <c r="F1941" s="2">
        <v>161239.8487</v>
      </c>
      <c r="G1941" t="s">
        <v>3554</v>
      </c>
      <c r="H1941" t="s">
        <v>8</v>
      </c>
      <c r="I1941">
        <f>HLOOKUP(G1941,zip_tiers!$A$1:$EON$2,2,FALSE)</f>
        <v>85244.666666666672</v>
      </c>
      <c r="J1941" t="str">
        <f t="shared" si="30"/>
        <v>Med</v>
      </c>
      <c r="K1941">
        <f>dataset[[#This Row],[soda_sales]]/dataset[[#This Row],[soda_units_sold]]</f>
        <v>0.74875130000696555</v>
      </c>
      <c r="L1941" s="29">
        <f>dataset[[#This Row],[implied_soda_ppu]]-dataset[[#This Row],[soda_ppu]]</f>
        <v>-4.8699993034473366E-5</v>
      </c>
      <c r="M1941">
        <f>dataset[[#This Row],[soda_sales]]/dataset[[#This Row],[total_sales]]</f>
        <v>6.1686888436674872E-2</v>
      </c>
      <c r="N1941">
        <f>LN(dataset[[#This Row],[soda_units_sold]])</f>
        <v>12.279996672195534</v>
      </c>
      <c r="O1941">
        <f>LN(dataset[[#This Row],[soda_sales]])</f>
        <v>11.990648278877895</v>
      </c>
      <c r="P1941">
        <f>LN(dataset[[#This Row],[soda_ppu]])</f>
        <v>-0.28928335381875475</v>
      </c>
      <c r="Q1941">
        <f>IF(dataset[[#This Row],[state]]="VA",1,0)</f>
        <v>0</v>
      </c>
    </row>
    <row r="1942" spans="1:17" x14ac:dyDescent="0.35">
      <c r="A1942">
        <v>202409</v>
      </c>
      <c r="B1942">
        <v>73</v>
      </c>
      <c r="C1942" s="2">
        <v>2635217.8039000002</v>
      </c>
      <c r="D1942" s="2">
        <v>0.75409999999999999</v>
      </c>
      <c r="E1942" s="3">
        <v>205529</v>
      </c>
      <c r="F1942" s="2">
        <v>154989.5802</v>
      </c>
      <c r="G1942" t="s">
        <v>3554</v>
      </c>
      <c r="H1942" t="s">
        <v>8</v>
      </c>
      <c r="I1942">
        <f>HLOOKUP(G1942,zip_tiers!$A$1:$EON$2,2,FALSE)</f>
        <v>85244.666666666672</v>
      </c>
      <c r="J1942" t="str">
        <f t="shared" si="30"/>
        <v>Med</v>
      </c>
      <c r="K1942">
        <f>dataset[[#This Row],[soda_sales]]/dataset[[#This Row],[soda_units_sold]]</f>
        <v>0.75410078480409093</v>
      </c>
      <c r="L1942" s="29">
        <f>dataset[[#This Row],[implied_soda_ppu]]-dataset[[#This Row],[soda_ppu]]</f>
        <v>7.8480409093639736E-7</v>
      </c>
      <c r="M1942">
        <f>dataset[[#This Row],[soda_sales]]/dataset[[#This Row],[total_sales]]</f>
        <v>5.881471352031039E-2</v>
      </c>
      <c r="N1942">
        <f>LN(dataset[[#This Row],[soda_units_sold]])</f>
        <v>12.233342422183457</v>
      </c>
      <c r="O1942">
        <f>LN(dataset[[#This Row],[soda_sales]])</f>
        <v>11.951113169125586</v>
      </c>
      <c r="P1942">
        <f>LN(dataset[[#This Row],[soda_ppu]])</f>
        <v>-0.2822302937735357</v>
      </c>
      <c r="Q1942">
        <f>IF(dataset[[#This Row],[state]]="VA",1,0)</f>
        <v>0</v>
      </c>
    </row>
    <row r="1943" spans="1:17" x14ac:dyDescent="0.35">
      <c r="A1943">
        <v>202410</v>
      </c>
      <c r="B1943">
        <v>73</v>
      </c>
      <c r="C1943" s="2">
        <v>3258228.8957000002</v>
      </c>
      <c r="D1943" s="2">
        <v>0.77190000000000003</v>
      </c>
      <c r="E1943" s="3">
        <v>196412</v>
      </c>
      <c r="F1943" s="2">
        <v>151614.52160000001</v>
      </c>
      <c r="G1943" t="s">
        <v>3554</v>
      </c>
      <c r="H1943" t="s">
        <v>8</v>
      </c>
      <c r="I1943">
        <f>HLOOKUP(G1943,zip_tiers!$A$1:$EON$2,2,FALSE)</f>
        <v>85244.666666666672</v>
      </c>
      <c r="J1943" t="str">
        <f t="shared" si="30"/>
        <v>Med</v>
      </c>
      <c r="K1943">
        <f>dataset[[#This Row],[soda_sales]]/dataset[[#This Row],[soda_units_sold]]</f>
        <v>0.77192086837871421</v>
      </c>
      <c r="L1943" s="29">
        <f>dataset[[#This Row],[implied_soda_ppu]]-dataset[[#This Row],[soda_ppu]]</f>
        <v>2.0868378714178348E-5</v>
      </c>
      <c r="M1943">
        <f>dataset[[#This Row],[soda_sales]]/dataset[[#This Row],[total_sales]]</f>
        <v>4.6532802468264599E-2</v>
      </c>
      <c r="N1943">
        <f>LN(dataset[[#This Row],[soda_units_sold]])</f>
        <v>12.18796977283232</v>
      </c>
      <c r="O1943">
        <f>LN(dataset[[#This Row],[soda_sales]])</f>
        <v>11.929096536521149</v>
      </c>
      <c r="P1943">
        <f>LN(dataset[[#This Row],[soda_ppu]])</f>
        <v>-0.25890027102632884</v>
      </c>
      <c r="Q1943">
        <f>IF(dataset[[#This Row],[state]]="VA",1,0)</f>
        <v>0</v>
      </c>
    </row>
    <row r="1944" spans="1:17" x14ac:dyDescent="0.35">
      <c r="A1944">
        <v>202411</v>
      </c>
      <c r="B1944">
        <v>73</v>
      </c>
      <c r="C1944" s="2">
        <v>3678771.2374</v>
      </c>
      <c r="D1944" s="2">
        <v>0.77080000000000004</v>
      </c>
      <c r="E1944" s="3">
        <v>180874</v>
      </c>
      <c r="F1944" s="2">
        <v>139424.4086</v>
      </c>
      <c r="G1944" t="s">
        <v>3554</v>
      </c>
      <c r="H1944" t="s">
        <v>8</v>
      </c>
      <c r="I1944">
        <f>HLOOKUP(G1944,zip_tiers!$A$1:$EON$2,2,FALSE)</f>
        <v>85244.666666666672</v>
      </c>
      <c r="J1944" t="str">
        <f t="shared" si="30"/>
        <v>Med</v>
      </c>
      <c r="K1944">
        <f>dataset[[#This Row],[soda_sales]]/dataset[[#This Row],[soda_units_sold]]</f>
        <v>0.77083720490507202</v>
      </c>
      <c r="L1944" s="29">
        <f>dataset[[#This Row],[implied_soda_ppu]]-dataset[[#This Row],[soda_ppu]]</f>
        <v>3.7204905071974714E-5</v>
      </c>
      <c r="M1944">
        <f>dataset[[#This Row],[soda_sales]]/dataset[[#This Row],[total_sales]]</f>
        <v>3.7899722380818457E-2</v>
      </c>
      <c r="N1944">
        <f>LN(dataset[[#This Row],[soda_units_sold]])</f>
        <v>12.105555935238474</v>
      </c>
      <c r="O1944">
        <f>LN(dataset[[#This Row],[soda_sales]])</f>
        <v>11.845277859541747</v>
      </c>
      <c r="P1944">
        <f>LN(dataset[[#This Row],[soda_ppu]])</f>
        <v>-0.26032634244192565</v>
      </c>
      <c r="Q1944">
        <f>IF(dataset[[#This Row],[state]]="VA",1,0)</f>
        <v>0</v>
      </c>
    </row>
    <row r="1945" spans="1:17" x14ac:dyDescent="0.35">
      <c r="A1945">
        <v>202412</v>
      </c>
      <c r="B1945">
        <v>73</v>
      </c>
      <c r="C1945" s="2">
        <v>3836315.3138000001</v>
      </c>
      <c r="D1945" s="2">
        <v>0.75149999999999995</v>
      </c>
      <c r="E1945" s="3">
        <v>180522</v>
      </c>
      <c r="F1945" s="2">
        <v>135667.33749999999</v>
      </c>
      <c r="G1945" t="s">
        <v>3554</v>
      </c>
      <c r="H1945" t="s">
        <v>8</v>
      </c>
      <c r="I1945">
        <f>HLOOKUP(G1945,zip_tiers!$A$1:$EON$2,2,FALSE)</f>
        <v>85244.666666666672</v>
      </c>
      <c r="J1945" t="str">
        <f t="shared" si="30"/>
        <v>Med</v>
      </c>
      <c r="K1945">
        <f>dataset[[#This Row],[soda_sales]]/dataset[[#This Row],[soda_units_sold]]</f>
        <v>0.75152799935741899</v>
      </c>
      <c r="L1945" s="29">
        <f>dataset[[#This Row],[implied_soda_ppu]]-dataset[[#This Row],[soda_ppu]]</f>
        <v>2.7999357419039583E-5</v>
      </c>
      <c r="M1945">
        <f>dataset[[#This Row],[soda_sales]]/dataset[[#This Row],[total_sales]]</f>
        <v>3.5363969434935971E-2</v>
      </c>
      <c r="N1945">
        <f>LN(dataset[[#This Row],[soda_units_sold]])</f>
        <v>12.103607932984373</v>
      </c>
      <c r="O1945">
        <f>LN(dataset[[#This Row],[soda_sales]])</f>
        <v>11.817961120461842</v>
      </c>
      <c r="P1945">
        <f>LN(dataset[[#This Row],[soda_ppu]])</f>
        <v>-0.28568406978910793</v>
      </c>
      <c r="Q1945">
        <f>IF(dataset[[#This Row],[state]]="VA",1,0)</f>
        <v>0</v>
      </c>
    </row>
    <row r="1946" spans="1:17" x14ac:dyDescent="0.35">
      <c r="A1946">
        <v>202201</v>
      </c>
      <c r="B1946">
        <v>63</v>
      </c>
      <c r="C1946" s="2">
        <v>1330328.4689</v>
      </c>
      <c r="D1946" s="2">
        <v>0.71020000000000005</v>
      </c>
      <c r="E1946" s="3">
        <v>118955</v>
      </c>
      <c r="F1946" s="2">
        <v>84479.612399999998</v>
      </c>
      <c r="G1946" t="s">
        <v>3563</v>
      </c>
      <c r="H1946" t="s">
        <v>8</v>
      </c>
      <c r="I1946">
        <f>HLOOKUP(G1946,zip_tiers!$A$1:$EON$2,2,FALSE)</f>
        <v>29058</v>
      </c>
      <c r="J1946" t="str">
        <f t="shared" si="30"/>
        <v>Low</v>
      </c>
      <c r="K1946">
        <f>dataset[[#This Row],[soda_sales]]/dataset[[#This Row],[soda_units_sold]]</f>
        <v>0.71018126518431335</v>
      </c>
      <c r="L1946" s="29">
        <f>dataset[[#This Row],[implied_soda_ppu]]-dataset[[#This Row],[soda_ppu]]</f>
        <v>-1.8734815686705097E-5</v>
      </c>
      <c r="M1946">
        <f>dataset[[#This Row],[soda_sales]]/dataset[[#This Row],[total_sales]]</f>
        <v>6.3502822329174924E-2</v>
      </c>
      <c r="N1946">
        <f>LN(dataset[[#This Row],[soda_units_sold]])</f>
        <v>11.686500549315944</v>
      </c>
      <c r="O1946">
        <f>LN(dataset[[#This Row],[soda_sales]])</f>
        <v>11.344265510861382</v>
      </c>
      <c r="P1946">
        <f>LN(dataset[[#This Row],[soda_ppu]])</f>
        <v>-0.34220865847314946</v>
      </c>
      <c r="Q1946">
        <f>IF(dataset[[#This Row],[state]]="VA",1,0)</f>
        <v>0</v>
      </c>
    </row>
    <row r="1947" spans="1:17" x14ac:dyDescent="0.35">
      <c r="A1947">
        <v>202202</v>
      </c>
      <c r="B1947">
        <v>63</v>
      </c>
      <c r="C1947" s="2">
        <v>1514321.5168000001</v>
      </c>
      <c r="D1947" s="2">
        <v>0.7198</v>
      </c>
      <c r="E1947" s="3">
        <v>133652</v>
      </c>
      <c r="F1947" s="2">
        <v>96201.942999999999</v>
      </c>
      <c r="G1947" t="s">
        <v>3563</v>
      </c>
      <c r="H1947" t="s">
        <v>8</v>
      </c>
      <c r="I1947">
        <f>HLOOKUP(G1947,zip_tiers!$A$1:$EON$2,2,FALSE)</f>
        <v>29058</v>
      </c>
      <c r="J1947" t="str">
        <f t="shared" si="30"/>
        <v>Low</v>
      </c>
      <c r="K1947">
        <f>dataset[[#This Row],[soda_sales]]/dataset[[#This Row],[soda_units_sold]]</f>
        <v>0.71979426420854153</v>
      </c>
      <c r="L1947" s="29">
        <f>dataset[[#This Row],[implied_soda_ppu]]-dataset[[#This Row],[soda_ppu]]</f>
        <v>-5.735791458461037E-6</v>
      </c>
      <c r="M1947">
        <f>dataset[[#This Row],[soda_sales]]/dataset[[#This Row],[total_sales]]</f>
        <v>6.3528082994745966E-2</v>
      </c>
      <c r="N1947">
        <f>LN(dataset[[#This Row],[soda_units_sold]])</f>
        <v>11.802994685914507</v>
      </c>
      <c r="O1947">
        <f>LN(dataset[[#This Row],[soda_sales]])</f>
        <v>11.474204833955028</v>
      </c>
      <c r="P1947">
        <f>LN(dataset[[#This Row],[soda_ppu]])</f>
        <v>-0.32878188333720676</v>
      </c>
      <c r="Q1947">
        <f>IF(dataset[[#This Row],[state]]="VA",1,0)</f>
        <v>0</v>
      </c>
    </row>
    <row r="1948" spans="1:17" x14ac:dyDescent="0.35">
      <c r="A1948">
        <v>202203</v>
      </c>
      <c r="B1948">
        <v>63</v>
      </c>
      <c r="C1948" s="2">
        <v>1664921.8324</v>
      </c>
      <c r="D1948" s="2">
        <v>0.72050000000000003</v>
      </c>
      <c r="E1948" s="3">
        <v>156281</v>
      </c>
      <c r="F1948" s="2">
        <v>112598.3898</v>
      </c>
      <c r="G1948" t="s">
        <v>3563</v>
      </c>
      <c r="H1948" t="s">
        <v>8</v>
      </c>
      <c r="I1948">
        <f>HLOOKUP(G1948,zip_tiers!$A$1:$EON$2,2,FALSE)</f>
        <v>29058</v>
      </c>
      <c r="J1948" t="str">
        <f t="shared" si="30"/>
        <v>Low</v>
      </c>
      <c r="K1948">
        <f>dataset[[#This Row],[soda_sales]]/dataset[[#This Row],[soda_units_sold]]</f>
        <v>0.72048675014877051</v>
      </c>
      <c r="L1948" s="29">
        <f>dataset[[#This Row],[implied_soda_ppu]]-dataset[[#This Row],[soda_ppu]]</f>
        <v>-1.3249851229524268E-5</v>
      </c>
      <c r="M1948">
        <f>dataset[[#This Row],[soda_sales]]/dataset[[#This Row],[total_sales]]</f>
        <v>6.7629835592754761E-2</v>
      </c>
      <c r="N1948">
        <f>LN(dataset[[#This Row],[soda_units_sold]])</f>
        <v>11.95941094791997</v>
      </c>
      <c r="O1948">
        <f>LN(dataset[[#This Row],[soda_sales]])</f>
        <v>11.631582694407859</v>
      </c>
      <c r="P1948">
        <f>LN(dataset[[#This Row],[soda_ppu]])</f>
        <v>-0.32780986354256025</v>
      </c>
      <c r="Q1948">
        <f>IF(dataset[[#This Row],[state]]="VA",1,0)</f>
        <v>0</v>
      </c>
    </row>
    <row r="1949" spans="1:17" x14ac:dyDescent="0.35">
      <c r="A1949">
        <v>202204</v>
      </c>
      <c r="B1949">
        <v>63</v>
      </c>
      <c r="C1949" s="2">
        <v>1766746.4438</v>
      </c>
      <c r="D1949" s="2">
        <v>0.73699999999999999</v>
      </c>
      <c r="E1949" s="3">
        <v>169727</v>
      </c>
      <c r="F1949" s="2">
        <v>125095.43240000001</v>
      </c>
      <c r="G1949" t="s">
        <v>3563</v>
      </c>
      <c r="H1949" t="s">
        <v>8</v>
      </c>
      <c r="I1949">
        <f>HLOOKUP(G1949,zip_tiers!$A$1:$EON$2,2,FALSE)</f>
        <v>29058</v>
      </c>
      <c r="J1949" t="str">
        <f t="shared" si="30"/>
        <v>Low</v>
      </c>
      <c r="K1949">
        <f>dataset[[#This Row],[soda_sales]]/dataset[[#This Row],[soda_units_sold]]</f>
        <v>0.73703908276231833</v>
      </c>
      <c r="L1949" s="29">
        <f>dataset[[#This Row],[implied_soda_ppu]]-dataset[[#This Row],[soda_ppu]]</f>
        <v>3.9082762318343178E-5</v>
      </c>
      <c r="M1949">
        <f>dataset[[#This Row],[soda_sales]]/dataset[[#This Row],[total_sales]]</f>
        <v>7.0805537964428539E-2</v>
      </c>
      <c r="N1949">
        <f>LN(dataset[[#This Row],[soda_units_sold]])</f>
        <v>12.041946542868279</v>
      </c>
      <c r="O1949">
        <f>LN(dataset[[#This Row],[soda_sales]])</f>
        <v>11.736832184197711</v>
      </c>
      <c r="P1949">
        <f>LN(dataset[[#This Row],[soda_ppu]])</f>
        <v>-0.30516738679280048</v>
      </c>
      <c r="Q1949">
        <f>IF(dataset[[#This Row],[state]]="VA",1,0)</f>
        <v>0</v>
      </c>
    </row>
    <row r="1950" spans="1:17" x14ac:dyDescent="0.35">
      <c r="A1950">
        <v>202205</v>
      </c>
      <c r="B1950">
        <v>63</v>
      </c>
      <c r="C1950" s="2">
        <v>1841162.3341000001</v>
      </c>
      <c r="D1950" s="2">
        <v>0.72540000000000004</v>
      </c>
      <c r="E1950" s="3">
        <v>197376</v>
      </c>
      <c r="F1950" s="2">
        <v>143183.24400000001</v>
      </c>
      <c r="G1950" t="s">
        <v>3563</v>
      </c>
      <c r="H1950" t="s">
        <v>8</v>
      </c>
      <c r="I1950">
        <f>HLOOKUP(G1950,zip_tiers!$A$1:$EON$2,2,FALSE)</f>
        <v>29058</v>
      </c>
      <c r="J1950" t="str">
        <f t="shared" si="30"/>
        <v>Low</v>
      </c>
      <c r="K1950">
        <f>dataset[[#This Row],[soda_sales]]/dataset[[#This Row],[soda_units_sold]]</f>
        <v>0.72543391293774317</v>
      </c>
      <c r="L1950" s="29">
        <f>dataset[[#This Row],[implied_soda_ppu]]-dataset[[#This Row],[soda_ppu]]</f>
        <v>3.39129377431302E-5</v>
      </c>
      <c r="M1950">
        <f>dataset[[#This Row],[soda_sales]]/dataset[[#This Row],[total_sales]]</f>
        <v>7.776785422345231E-2</v>
      </c>
      <c r="N1950">
        <f>LN(dataset[[#This Row],[soda_units_sold]])</f>
        <v>12.192865818042891</v>
      </c>
      <c r="O1950">
        <f>LN(dataset[[#This Row],[soda_sales]])</f>
        <v>11.871880515489156</v>
      </c>
      <c r="P1950">
        <f>LN(dataset[[#This Row],[soda_ppu]])</f>
        <v>-0.32103205213333502</v>
      </c>
      <c r="Q1950">
        <f>IF(dataset[[#This Row],[state]]="VA",1,0)</f>
        <v>0</v>
      </c>
    </row>
    <row r="1951" spans="1:17" x14ac:dyDescent="0.35">
      <c r="A1951">
        <v>202206</v>
      </c>
      <c r="B1951">
        <v>63</v>
      </c>
      <c r="C1951" s="2">
        <v>1748271.2551</v>
      </c>
      <c r="D1951" s="2">
        <v>0.70709999999999995</v>
      </c>
      <c r="E1951" s="3">
        <v>214391</v>
      </c>
      <c r="F1951" s="2">
        <v>151604.32689999999</v>
      </c>
      <c r="G1951" t="s">
        <v>3563</v>
      </c>
      <c r="H1951" t="s">
        <v>8</v>
      </c>
      <c r="I1951">
        <f>HLOOKUP(G1951,zip_tiers!$A$1:$EON$2,2,FALSE)</f>
        <v>29058</v>
      </c>
      <c r="J1951" t="str">
        <f t="shared" si="30"/>
        <v>Low</v>
      </c>
      <c r="K1951">
        <f>dataset[[#This Row],[soda_sales]]/dataset[[#This Row],[soda_units_sold]]</f>
        <v>0.70713941769943689</v>
      </c>
      <c r="L1951" s="29">
        <f>dataset[[#This Row],[implied_soda_ppu]]-dataset[[#This Row],[soda_ppu]]</f>
        <v>3.9417699436938847E-5</v>
      </c>
      <c r="M1951">
        <f>dataset[[#This Row],[soda_sales]]/dataset[[#This Row],[total_sales]]</f>
        <v>8.6716707408958871E-2</v>
      </c>
      <c r="N1951">
        <f>LN(dataset[[#This Row],[soda_units_sold]])</f>
        <v>12.275556729685759</v>
      </c>
      <c r="O1951">
        <f>LN(dataset[[#This Row],[soda_sales]])</f>
        <v>11.929029293339834</v>
      </c>
      <c r="P1951">
        <f>LN(dataset[[#This Row],[soda_ppu]])</f>
        <v>-0.34658318037194202</v>
      </c>
      <c r="Q1951">
        <f>IF(dataset[[#This Row],[state]]="VA",1,0)</f>
        <v>0</v>
      </c>
    </row>
    <row r="1952" spans="1:17" x14ac:dyDescent="0.35">
      <c r="A1952">
        <v>202207</v>
      </c>
      <c r="B1952">
        <v>63</v>
      </c>
      <c r="C1952" s="2">
        <v>1694846.2415</v>
      </c>
      <c r="D1952" s="2">
        <v>0.71750000000000003</v>
      </c>
      <c r="E1952" s="3">
        <v>216372</v>
      </c>
      <c r="F1952" s="2">
        <v>155253.17290000001</v>
      </c>
      <c r="G1952" t="s">
        <v>3563</v>
      </c>
      <c r="H1952" t="s">
        <v>8</v>
      </c>
      <c r="I1952">
        <f>HLOOKUP(G1952,zip_tiers!$A$1:$EON$2,2,FALSE)</f>
        <v>29058</v>
      </c>
      <c r="J1952" t="str">
        <f t="shared" si="30"/>
        <v>Low</v>
      </c>
      <c r="K1952">
        <f>dataset[[#This Row],[soda_sales]]/dataset[[#This Row],[soda_units_sold]]</f>
        <v>0.71752894505758602</v>
      </c>
      <c r="L1952" s="29">
        <f>dataset[[#This Row],[implied_soda_ppu]]-dataset[[#This Row],[soda_ppu]]</f>
        <v>2.8945057585993972E-5</v>
      </c>
      <c r="M1952">
        <f>dataset[[#This Row],[soda_sales]]/dataset[[#This Row],[total_sales]]</f>
        <v>9.1603101861674099E-2</v>
      </c>
      <c r="N1952">
        <f>LN(dataset[[#This Row],[soda_units_sold]])</f>
        <v>12.284754427564369</v>
      </c>
      <c r="O1952">
        <f>LN(dataset[[#This Row],[soda_sales]])</f>
        <v>11.952812436945983</v>
      </c>
      <c r="P1952">
        <f>LN(dataset[[#This Row],[soda_ppu]])</f>
        <v>-0.33198233134836086</v>
      </c>
      <c r="Q1952">
        <f>IF(dataset[[#This Row],[state]]="VA",1,0)</f>
        <v>0</v>
      </c>
    </row>
    <row r="1953" spans="1:17" x14ac:dyDescent="0.35">
      <c r="A1953">
        <v>202208</v>
      </c>
      <c r="B1953">
        <v>63</v>
      </c>
      <c r="C1953" s="2">
        <v>1576281.0649999999</v>
      </c>
      <c r="D1953" s="2">
        <v>0.72389999999999999</v>
      </c>
      <c r="E1953" s="3">
        <v>187262</v>
      </c>
      <c r="F1953" s="2">
        <v>135556.47930000001</v>
      </c>
      <c r="G1953" t="s">
        <v>3563</v>
      </c>
      <c r="H1953" t="s">
        <v>8</v>
      </c>
      <c r="I1953">
        <f>HLOOKUP(G1953,zip_tiers!$A$1:$EON$2,2,FALSE)</f>
        <v>29058</v>
      </c>
      <c r="J1953" t="str">
        <f t="shared" si="30"/>
        <v>Low</v>
      </c>
      <c r="K1953">
        <f>dataset[[#This Row],[soda_sales]]/dataset[[#This Row],[soda_units_sold]]</f>
        <v>0.72388674317266721</v>
      </c>
      <c r="L1953" s="29">
        <f>dataset[[#This Row],[implied_soda_ppu]]-dataset[[#This Row],[soda_ppu]]</f>
        <v>-1.325682733277489E-5</v>
      </c>
      <c r="M1953">
        <f>dataset[[#This Row],[soda_sales]]/dataset[[#This Row],[total_sales]]</f>
        <v>8.5997657594142338E-2</v>
      </c>
      <c r="N1953">
        <f>LN(dataset[[#This Row],[soda_units_sold]])</f>
        <v>12.140263984773345</v>
      </c>
      <c r="O1953">
        <f>LN(dataset[[#This Row],[soda_sales]])</f>
        <v>11.817143653858198</v>
      </c>
      <c r="P1953">
        <f>LN(dataset[[#This Row],[soda_ppu]])</f>
        <v>-0.32310201768304131</v>
      </c>
      <c r="Q1953">
        <f>IF(dataset[[#This Row],[state]]="VA",1,0)</f>
        <v>0</v>
      </c>
    </row>
    <row r="1954" spans="1:17" x14ac:dyDescent="0.35">
      <c r="A1954">
        <v>202209</v>
      </c>
      <c r="B1954">
        <v>63</v>
      </c>
      <c r="C1954" s="2">
        <v>1587644.8052000001</v>
      </c>
      <c r="D1954" s="2">
        <v>0.7177</v>
      </c>
      <c r="E1954" s="3">
        <v>183457</v>
      </c>
      <c r="F1954" s="2">
        <v>131663.26730000001</v>
      </c>
      <c r="G1954" t="s">
        <v>3563</v>
      </c>
      <c r="H1954" t="s">
        <v>8</v>
      </c>
      <c r="I1954">
        <f>HLOOKUP(G1954,zip_tiers!$A$1:$EON$2,2,FALSE)</f>
        <v>29058</v>
      </c>
      <c r="J1954" t="str">
        <f t="shared" si="30"/>
        <v>Low</v>
      </c>
      <c r="K1954">
        <f>dataset[[#This Row],[soda_sales]]/dataset[[#This Row],[soda_units_sold]]</f>
        <v>0.71767916896057393</v>
      </c>
      <c r="L1954" s="29">
        <f>dataset[[#This Row],[implied_soda_ppu]]-dataset[[#This Row],[soda_ppu]]</f>
        <v>-2.0831039426072451E-5</v>
      </c>
      <c r="M1954">
        <f>dataset[[#This Row],[soda_sales]]/dataset[[#This Row],[total_sales]]</f>
        <v>8.2929926686853617E-2</v>
      </c>
      <c r="N1954">
        <f>LN(dataset[[#This Row],[soda_units_sold]])</f>
        <v>12.119735586591561</v>
      </c>
      <c r="O1954">
        <f>LN(dataset[[#This Row],[soda_sales]])</f>
        <v>11.788002936907176</v>
      </c>
      <c r="P1954">
        <f>LN(dataset[[#This Row],[soda_ppu]])</f>
        <v>-0.33170362454611085</v>
      </c>
      <c r="Q1954">
        <f>IF(dataset[[#This Row],[state]]="VA",1,0)</f>
        <v>0</v>
      </c>
    </row>
    <row r="1955" spans="1:17" x14ac:dyDescent="0.35">
      <c r="A1955">
        <v>202210</v>
      </c>
      <c r="B1955">
        <v>63</v>
      </c>
      <c r="C1955" s="2">
        <v>1974387.6861</v>
      </c>
      <c r="D1955" s="2">
        <v>0.73229999999999995</v>
      </c>
      <c r="E1955" s="3">
        <v>167782</v>
      </c>
      <c r="F1955" s="2">
        <v>122862.7671</v>
      </c>
      <c r="G1955" t="s">
        <v>3563</v>
      </c>
      <c r="H1955" t="s">
        <v>8</v>
      </c>
      <c r="I1955">
        <f>HLOOKUP(G1955,zip_tiers!$A$1:$EON$2,2,FALSE)</f>
        <v>29058</v>
      </c>
      <c r="J1955" t="str">
        <f t="shared" si="30"/>
        <v>Low</v>
      </c>
      <c r="K1955">
        <f>dataset[[#This Row],[soda_sales]]/dataset[[#This Row],[soda_units_sold]]</f>
        <v>0.73227621020133271</v>
      </c>
      <c r="L1955" s="29">
        <f>dataset[[#This Row],[implied_soda_ppu]]-dataset[[#This Row],[soda_ppu]]</f>
        <v>-2.3789798667239737E-5</v>
      </c>
      <c r="M1955">
        <f>dataset[[#This Row],[soda_sales]]/dataset[[#This Row],[total_sales]]</f>
        <v>6.2228288782883528E-2</v>
      </c>
      <c r="N1955">
        <f>LN(dataset[[#This Row],[soda_units_sold]])</f>
        <v>12.030420796701154</v>
      </c>
      <c r="O1955">
        <f>LN(dataset[[#This Row],[soda_sales]])</f>
        <v>11.718823296847495</v>
      </c>
      <c r="P1955">
        <f>LN(dataset[[#This Row],[soda_ppu]])</f>
        <v>-0.31156501291511302</v>
      </c>
      <c r="Q1955">
        <f>IF(dataset[[#This Row],[state]]="VA",1,0)</f>
        <v>0</v>
      </c>
    </row>
    <row r="1956" spans="1:17" x14ac:dyDescent="0.35">
      <c r="A1956">
        <v>202211</v>
      </c>
      <c r="B1956">
        <v>63</v>
      </c>
      <c r="C1956" s="2">
        <v>2254961.8547</v>
      </c>
      <c r="D1956" s="2">
        <v>0.71919999999999995</v>
      </c>
      <c r="E1956" s="3">
        <v>167701</v>
      </c>
      <c r="F1956" s="2">
        <v>120604.5845</v>
      </c>
      <c r="G1956" t="s">
        <v>3563</v>
      </c>
      <c r="H1956" t="s">
        <v>8</v>
      </c>
      <c r="I1956">
        <f>HLOOKUP(G1956,zip_tiers!$A$1:$EON$2,2,FALSE)</f>
        <v>29058</v>
      </c>
      <c r="J1956" t="str">
        <f t="shared" si="30"/>
        <v>Low</v>
      </c>
      <c r="K1956">
        <f>dataset[[#This Row],[soda_sales]]/dataset[[#This Row],[soda_units_sold]]</f>
        <v>0.7191643729017716</v>
      </c>
      <c r="L1956" s="29">
        <f>dataset[[#This Row],[implied_soda_ppu]]-dataset[[#This Row],[soda_ppu]]</f>
        <v>-3.5627098228352416E-5</v>
      </c>
      <c r="M1956">
        <f>dataset[[#This Row],[soda_sales]]/dataset[[#This Row],[total_sales]]</f>
        <v>5.3484090761280405E-2</v>
      </c>
      <c r="N1956">
        <f>LN(dataset[[#This Row],[soda_units_sold]])</f>
        <v>12.02993791082274</v>
      </c>
      <c r="O1956">
        <f>LN(dataset[[#This Row],[soda_sales]])</f>
        <v>11.70027257664889</v>
      </c>
      <c r="P1956">
        <f>LN(dataset[[#This Row],[soda_ppu]])</f>
        <v>-0.32961579582472661</v>
      </c>
      <c r="Q1956">
        <f>IF(dataset[[#This Row],[state]]="VA",1,0)</f>
        <v>0</v>
      </c>
    </row>
    <row r="1957" spans="1:17" x14ac:dyDescent="0.35">
      <c r="A1957">
        <v>202212</v>
      </c>
      <c r="B1957">
        <v>63</v>
      </c>
      <c r="C1957" s="2">
        <v>2344389.9068999998</v>
      </c>
      <c r="D1957" s="2">
        <v>0.71789999999999998</v>
      </c>
      <c r="E1957" s="3">
        <v>162298</v>
      </c>
      <c r="F1957" s="2">
        <v>116512.46859999999</v>
      </c>
      <c r="G1957" t="s">
        <v>3563</v>
      </c>
      <c r="H1957" t="s">
        <v>8</v>
      </c>
      <c r="I1957">
        <f>HLOOKUP(G1957,zip_tiers!$A$1:$EON$2,2,FALSE)</f>
        <v>29058</v>
      </c>
      <c r="J1957" t="str">
        <f t="shared" si="30"/>
        <v>Low</v>
      </c>
      <c r="K1957">
        <f>dataset[[#This Row],[soda_sales]]/dataset[[#This Row],[soda_units_sold]]</f>
        <v>0.71789220199879233</v>
      </c>
      <c r="L1957" s="29">
        <f>dataset[[#This Row],[implied_soda_ppu]]-dataset[[#This Row],[soda_ppu]]</f>
        <v>-7.7980012076483973E-6</v>
      </c>
      <c r="M1957">
        <f>dataset[[#This Row],[soda_sales]]/dataset[[#This Row],[total_sales]]</f>
        <v>4.9698417595588906E-2</v>
      </c>
      <c r="N1957">
        <f>LN(dataset[[#This Row],[soda_units_sold]])</f>
        <v>11.997189430567852</v>
      </c>
      <c r="O1957">
        <f>LN(dataset[[#This Row],[soda_sales]])</f>
        <v>11.665753572870395</v>
      </c>
      <c r="P1957">
        <f>LN(dataset[[#This Row],[soda_ppu]])</f>
        <v>-0.33142499539969977</v>
      </c>
      <c r="Q1957">
        <f>IF(dataset[[#This Row],[state]]="VA",1,0)</f>
        <v>0</v>
      </c>
    </row>
    <row r="1958" spans="1:17" x14ac:dyDescent="0.35">
      <c r="A1958">
        <v>202301</v>
      </c>
      <c r="B1958">
        <v>63</v>
      </c>
      <c r="C1958" s="2">
        <v>1352911.3007</v>
      </c>
      <c r="D1958" s="2">
        <v>0.73129999999999995</v>
      </c>
      <c r="E1958" s="3">
        <v>119668</v>
      </c>
      <c r="F1958" s="2">
        <v>87518.622000000003</v>
      </c>
      <c r="G1958" t="s">
        <v>3563</v>
      </c>
      <c r="H1958" t="s">
        <v>8</v>
      </c>
      <c r="I1958">
        <f>HLOOKUP(G1958,zip_tiers!$A$1:$EON$2,2,FALSE)</f>
        <v>29058</v>
      </c>
      <c r="J1958" t="str">
        <f t="shared" si="30"/>
        <v>Low</v>
      </c>
      <c r="K1958">
        <f>dataset[[#This Row],[soda_sales]]/dataset[[#This Row],[soda_units_sold]]</f>
        <v>0.73134523849316446</v>
      </c>
      <c r="L1958" s="29">
        <f>dataset[[#This Row],[implied_soda_ppu]]-dataset[[#This Row],[soda_ppu]]</f>
        <v>4.5238493164512228E-5</v>
      </c>
      <c r="M1958">
        <f>dataset[[#This Row],[soda_sales]]/dataset[[#This Row],[total_sales]]</f>
        <v>6.4689105601171068E-2</v>
      </c>
      <c r="N1958">
        <f>LN(dataset[[#This Row],[soda_units_sold]])</f>
        <v>11.692476520801515</v>
      </c>
      <c r="O1958">
        <f>LN(dataset[[#This Row],[soda_sales]])</f>
        <v>11.379606872559277</v>
      </c>
      <c r="P1958">
        <f>LN(dataset[[#This Row],[soda_ppu]])</f>
        <v>-0.31293150670523162</v>
      </c>
      <c r="Q1958">
        <f>IF(dataset[[#This Row],[state]]="VA",1,0)</f>
        <v>0</v>
      </c>
    </row>
    <row r="1959" spans="1:17" x14ac:dyDescent="0.35">
      <c r="A1959">
        <v>202302</v>
      </c>
      <c r="B1959">
        <v>63</v>
      </c>
      <c r="C1959" s="2">
        <v>1533143.2578</v>
      </c>
      <c r="D1959" s="2">
        <v>0.73119999999999996</v>
      </c>
      <c r="E1959" s="3">
        <v>138244</v>
      </c>
      <c r="F1959" s="2">
        <v>101086.9771</v>
      </c>
      <c r="G1959" t="s">
        <v>3563</v>
      </c>
      <c r="H1959" t="s">
        <v>8</v>
      </c>
      <c r="I1959">
        <f>HLOOKUP(G1959,zip_tiers!$A$1:$EON$2,2,FALSE)</f>
        <v>29058</v>
      </c>
      <c r="J1959" t="str">
        <f t="shared" si="30"/>
        <v>Low</v>
      </c>
      <c r="K1959">
        <f>dataset[[#This Row],[soda_sales]]/dataset[[#This Row],[soda_units_sold]]</f>
        <v>0.73122144252191779</v>
      </c>
      <c r="L1959" s="29">
        <f>dataset[[#This Row],[implied_soda_ppu]]-dataset[[#This Row],[soda_ppu]]</f>
        <v>2.1442521917824919E-5</v>
      </c>
      <c r="M1959">
        <f>dataset[[#This Row],[soda_sales]]/dataset[[#This Row],[total_sales]]</f>
        <v>6.5934462800988219E-2</v>
      </c>
      <c r="N1959">
        <f>LN(dataset[[#This Row],[soda_units_sold]])</f>
        <v>11.836775518804453</v>
      </c>
      <c r="O1959">
        <f>LN(dataset[[#This Row],[soda_sales]])</f>
        <v>11.523736584644316</v>
      </c>
      <c r="P1959">
        <f>LN(dataset[[#This Row],[soda_ppu]])</f>
        <v>-0.31306825884219686</v>
      </c>
      <c r="Q1959">
        <f>IF(dataset[[#This Row],[state]]="VA",1,0)</f>
        <v>0</v>
      </c>
    </row>
    <row r="1960" spans="1:17" x14ac:dyDescent="0.35">
      <c r="A1960">
        <v>202303</v>
      </c>
      <c r="B1960">
        <v>63</v>
      </c>
      <c r="C1960" s="2">
        <v>1687168.9793</v>
      </c>
      <c r="D1960" s="2">
        <v>0.75819999999999999</v>
      </c>
      <c r="E1960" s="3">
        <v>143299</v>
      </c>
      <c r="F1960" s="2">
        <v>108652.7482</v>
      </c>
      <c r="G1960" t="s">
        <v>3563</v>
      </c>
      <c r="H1960" t="s">
        <v>8</v>
      </c>
      <c r="I1960">
        <f>HLOOKUP(G1960,zip_tiers!$A$1:$EON$2,2,FALSE)</f>
        <v>29058</v>
      </c>
      <c r="J1960" t="str">
        <f t="shared" si="30"/>
        <v>Low</v>
      </c>
      <c r="K1960">
        <f>dataset[[#This Row],[soda_sales]]/dataset[[#This Row],[soda_units_sold]]</f>
        <v>0.75822405041207541</v>
      </c>
      <c r="L1960" s="29">
        <f>dataset[[#This Row],[implied_soda_ppu]]-dataset[[#This Row],[soda_ppu]]</f>
        <v>2.4050412075427019E-5</v>
      </c>
      <c r="M1960">
        <f>dataset[[#This Row],[soda_sales]]/dataset[[#This Row],[total_sales]]</f>
        <v>6.4399446370261987E-2</v>
      </c>
      <c r="N1960">
        <f>LN(dataset[[#This Row],[soda_units_sold]])</f>
        <v>11.872688635424852</v>
      </c>
      <c r="O1960">
        <f>LN(dataset[[#This Row],[soda_sales]])</f>
        <v>11.595912279428193</v>
      </c>
      <c r="P1960">
        <f>LN(dataset[[#This Row],[soda_ppu]])</f>
        <v>-0.27680807589990258</v>
      </c>
      <c r="Q1960">
        <f>IF(dataset[[#This Row],[state]]="VA",1,0)</f>
        <v>0</v>
      </c>
    </row>
    <row r="1961" spans="1:17" x14ac:dyDescent="0.35">
      <c r="A1961">
        <v>202304</v>
      </c>
      <c r="B1961">
        <v>63</v>
      </c>
      <c r="C1961" s="2">
        <v>1813514.7916999999</v>
      </c>
      <c r="D1961" s="2">
        <v>0.71509999999999996</v>
      </c>
      <c r="E1961" s="3">
        <v>196405</v>
      </c>
      <c r="F1961" s="2">
        <v>140458.26550000001</v>
      </c>
      <c r="G1961" t="s">
        <v>3563</v>
      </c>
      <c r="H1961" t="s">
        <v>8</v>
      </c>
      <c r="I1961">
        <f>HLOOKUP(G1961,zip_tiers!$A$1:$EON$2,2,FALSE)</f>
        <v>29058</v>
      </c>
      <c r="J1961" t="str">
        <f t="shared" si="30"/>
        <v>Low</v>
      </c>
      <c r="K1961">
        <f>dataset[[#This Row],[soda_sales]]/dataset[[#This Row],[soda_units_sold]]</f>
        <v>0.71514607825666354</v>
      </c>
      <c r="L1961" s="29">
        <f>dataset[[#This Row],[implied_soda_ppu]]-dataset[[#This Row],[soda_ppu]]</f>
        <v>4.6078256663584227E-5</v>
      </c>
      <c r="M1961">
        <f>dataset[[#This Row],[soda_sales]]/dataset[[#This Row],[total_sales]]</f>
        <v>7.7450851872199827E-2</v>
      </c>
      <c r="N1961">
        <f>LN(dataset[[#This Row],[soda_units_sold]])</f>
        <v>12.18793413282692</v>
      </c>
      <c r="O1961">
        <f>LN(dataset[[#This Row],[soda_sales]])</f>
        <v>11.852665680925389</v>
      </c>
      <c r="P1961">
        <f>LN(dataset[[#This Row],[soda_ppu]])</f>
        <v>-0.33533288592778687</v>
      </c>
      <c r="Q1961">
        <f>IF(dataset[[#This Row],[state]]="VA",1,0)</f>
        <v>0</v>
      </c>
    </row>
    <row r="1962" spans="1:17" x14ac:dyDescent="0.35">
      <c r="A1962">
        <v>202305</v>
      </c>
      <c r="B1962">
        <v>63</v>
      </c>
      <c r="C1962" s="2">
        <v>1877514.2393</v>
      </c>
      <c r="D1962" s="2">
        <v>0.71130000000000004</v>
      </c>
      <c r="E1962" s="3">
        <v>213176</v>
      </c>
      <c r="F1962" s="2">
        <v>151642.57939999999</v>
      </c>
      <c r="G1962" t="s">
        <v>3563</v>
      </c>
      <c r="H1962" t="s">
        <v>8</v>
      </c>
      <c r="I1962">
        <f>HLOOKUP(G1962,zip_tiers!$A$1:$EON$2,2,FALSE)</f>
        <v>29058</v>
      </c>
      <c r="J1962" t="str">
        <f t="shared" si="30"/>
        <v>Low</v>
      </c>
      <c r="K1962">
        <f>dataset[[#This Row],[soda_sales]]/dataset[[#This Row],[soda_units_sold]]</f>
        <v>0.71134921098059811</v>
      </c>
      <c r="L1962" s="29">
        <f>dataset[[#This Row],[implied_soda_ppu]]-dataset[[#This Row],[soda_ppu]]</f>
        <v>4.9210980598068943E-5</v>
      </c>
      <c r="M1962">
        <f>dataset[[#This Row],[soda_sales]]/dataset[[#This Row],[total_sales]]</f>
        <v>8.0767738654561369E-2</v>
      </c>
      <c r="N1962">
        <f>LN(dataset[[#This Row],[soda_units_sold]])</f>
        <v>12.269873394580836</v>
      </c>
      <c r="O1962">
        <f>LN(dataset[[#This Row],[soda_sales]])</f>
        <v>11.929281579509343</v>
      </c>
      <c r="P1962">
        <f>LN(dataset[[#This Row],[soda_ppu]])</f>
        <v>-0.34066099724266752</v>
      </c>
      <c r="Q1962">
        <f>IF(dataset[[#This Row],[state]]="VA",1,0)</f>
        <v>0</v>
      </c>
    </row>
    <row r="1963" spans="1:17" x14ac:dyDescent="0.35">
      <c r="A1963">
        <v>202306</v>
      </c>
      <c r="B1963">
        <v>63</v>
      </c>
      <c r="C1963" s="2">
        <v>1821326.4513000001</v>
      </c>
      <c r="D1963" s="2">
        <v>0.73350000000000004</v>
      </c>
      <c r="E1963" s="3">
        <v>212080</v>
      </c>
      <c r="F1963" s="2">
        <v>155553.29130000001</v>
      </c>
      <c r="G1963" t="s">
        <v>3563</v>
      </c>
      <c r="H1963" t="s">
        <v>8</v>
      </c>
      <c r="I1963">
        <f>HLOOKUP(G1963,zip_tiers!$A$1:$EON$2,2,FALSE)</f>
        <v>29058</v>
      </c>
      <c r="J1963" t="str">
        <f t="shared" si="30"/>
        <v>Low</v>
      </c>
      <c r="K1963">
        <f>dataset[[#This Row],[soda_sales]]/dataset[[#This Row],[soda_units_sold]]</f>
        <v>0.73346516078838175</v>
      </c>
      <c r="L1963" s="29">
        <f>dataset[[#This Row],[implied_soda_ppu]]-dataset[[#This Row],[soda_ppu]]</f>
        <v>-3.483921161828718E-5</v>
      </c>
      <c r="M1963">
        <f>dataset[[#This Row],[soda_sales]]/dataset[[#This Row],[total_sales]]</f>
        <v>8.5406595390393317E-2</v>
      </c>
      <c r="N1963">
        <f>LN(dataset[[#This Row],[soda_units_sold]])</f>
        <v>12.264718840962907</v>
      </c>
      <c r="O1963">
        <f>LN(dataset[[#This Row],[soda_sales]])</f>
        <v>11.954743661214758</v>
      </c>
      <c r="P1963">
        <f>LN(dataset[[#This Row],[soda_ppu]])</f>
        <v>-0.3099276813991006</v>
      </c>
      <c r="Q1963">
        <f>IF(dataset[[#This Row],[state]]="VA",1,0)</f>
        <v>0</v>
      </c>
    </row>
    <row r="1964" spans="1:17" x14ac:dyDescent="0.35">
      <c r="A1964">
        <v>202307</v>
      </c>
      <c r="B1964">
        <v>63</v>
      </c>
      <c r="C1964" s="2">
        <v>1694082.2139999999</v>
      </c>
      <c r="D1964" s="2">
        <v>0.72699999999999998</v>
      </c>
      <c r="E1964" s="3">
        <v>218230</v>
      </c>
      <c r="F1964" s="2">
        <v>158655.2898</v>
      </c>
      <c r="G1964" t="s">
        <v>3563</v>
      </c>
      <c r="H1964" t="s">
        <v>8</v>
      </c>
      <c r="I1964">
        <f>HLOOKUP(G1964,zip_tiers!$A$1:$EON$2,2,FALSE)</f>
        <v>29058</v>
      </c>
      <c r="J1964" t="str">
        <f t="shared" si="30"/>
        <v>Low</v>
      </c>
      <c r="K1964">
        <f>dataset[[#This Row],[soda_sales]]/dataset[[#This Row],[soda_units_sold]]</f>
        <v>0.72700953031205606</v>
      </c>
      <c r="L1964" s="29">
        <f>dataset[[#This Row],[implied_soda_ppu]]-dataset[[#This Row],[soda_ppu]]</f>
        <v>9.5303120560830124E-6</v>
      </c>
      <c r="M1964">
        <f>dataset[[#This Row],[soda_sales]]/dataset[[#This Row],[total_sales]]</f>
        <v>9.365265067354045E-2</v>
      </c>
      <c r="N1964">
        <f>LN(dataset[[#This Row],[soda_units_sold]])</f>
        <v>12.293304831473046</v>
      </c>
      <c r="O1964">
        <f>LN(dataset[[#This Row],[soda_sales]])</f>
        <v>11.974489139033492</v>
      </c>
      <c r="P1964">
        <f>LN(dataset[[#This Row],[soda_ppu]])</f>
        <v>-0.31882880144861769</v>
      </c>
      <c r="Q1964">
        <f>IF(dataset[[#This Row],[state]]="VA",1,0)</f>
        <v>0</v>
      </c>
    </row>
    <row r="1965" spans="1:17" x14ac:dyDescent="0.35">
      <c r="A1965">
        <v>202308</v>
      </c>
      <c r="B1965">
        <v>63</v>
      </c>
      <c r="C1965" s="2">
        <v>1612846.0677</v>
      </c>
      <c r="D1965" s="2">
        <v>0.71030000000000004</v>
      </c>
      <c r="E1965" s="3">
        <v>201234</v>
      </c>
      <c r="F1965" s="2">
        <v>142942.11790000001</v>
      </c>
      <c r="G1965" t="s">
        <v>3563</v>
      </c>
      <c r="H1965" t="s">
        <v>8</v>
      </c>
      <c r="I1965">
        <f>HLOOKUP(G1965,zip_tiers!$A$1:$EON$2,2,FALSE)</f>
        <v>29058</v>
      </c>
      <c r="J1965" t="str">
        <f t="shared" si="30"/>
        <v>Low</v>
      </c>
      <c r="K1965">
        <f>dataset[[#This Row],[soda_sales]]/dataset[[#This Row],[soda_units_sold]]</f>
        <v>0.71032786656330449</v>
      </c>
      <c r="L1965" s="29">
        <f>dataset[[#This Row],[implied_soda_ppu]]-dataset[[#This Row],[soda_ppu]]</f>
        <v>2.7866563304446146E-5</v>
      </c>
      <c r="M1965">
        <f>dataset[[#This Row],[soda_sales]]/dataset[[#This Row],[total_sales]]</f>
        <v>8.8627253872927067E-2</v>
      </c>
      <c r="N1965">
        <f>LN(dataset[[#This Row],[soda_units_sold]])</f>
        <v>12.21222368901468</v>
      </c>
      <c r="O1965">
        <f>LN(dataset[[#This Row],[soda_sales]])</f>
        <v>11.870195057370514</v>
      </c>
      <c r="P1965">
        <f>LN(dataset[[#This Row],[soda_ppu]])</f>
        <v>-0.34206786297837272</v>
      </c>
      <c r="Q1965">
        <f>IF(dataset[[#This Row],[state]]="VA",1,0)</f>
        <v>0</v>
      </c>
    </row>
    <row r="1966" spans="1:17" x14ac:dyDescent="0.35">
      <c r="A1966">
        <v>202309</v>
      </c>
      <c r="B1966">
        <v>63</v>
      </c>
      <c r="C1966" s="2">
        <v>1625079.6209</v>
      </c>
      <c r="D1966" s="2">
        <v>0.74360000000000004</v>
      </c>
      <c r="E1966" s="3">
        <v>176798</v>
      </c>
      <c r="F1966" s="2">
        <v>131464.38099999999</v>
      </c>
      <c r="G1966" t="s">
        <v>3563</v>
      </c>
      <c r="H1966" t="s">
        <v>8</v>
      </c>
      <c r="I1966">
        <f>HLOOKUP(G1966,zip_tiers!$A$1:$EON$2,2,FALSE)</f>
        <v>29058</v>
      </c>
      <c r="J1966" t="str">
        <f t="shared" si="30"/>
        <v>Low</v>
      </c>
      <c r="K1966">
        <f>dataset[[#This Row],[soda_sales]]/dataset[[#This Row],[soda_units_sold]]</f>
        <v>0.74358522720845255</v>
      </c>
      <c r="L1966" s="29">
        <f>dataset[[#This Row],[implied_soda_ppu]]-dataset[[#This Row],[soda_ppu]]</f>
        <v>-1.4772791547490449E-5</v>
      </c>
      <c r="M1966">
        <f>dataset[[#This Row],[soda_sales]]/dataset[[#This Row],[total_sales]]</f>
        <v>8.0897193780076149E-2</v>
      </c>
      <c r="N1966">
        <f>LN(dataset[[#This Row],[soda_units_sold]])</f>
        <v>12.082763116904502</v>
      </c>
      <c r="O1966">
        <f>LN(dataset[[#This Row],[soda_sales]])</f>
        <v>11.786491226988733</v>
      </c>
      <c r="P1966">
        <f>LN(dataset[[#This Row],[soda_ppu]])</f>
        <v>-0.29625202313484805</v>
      </c>
      <c r="Q1966">
        <f>IF(dataset[[#This Row],[state]]="VA",1,0)</f>
        <v>0</v>
      </c>
    </row>
    <row r="1967" spans="1:17" x14ac:dyDescent="0.35">
      <c r="A1967">
        <v>202310</v>
      </c>
      <c r="B1967">
        <v>63</v>
      </c>
      <c r="C1967" s="2">
        <v>1973063.6387</v>
      </c>
      <c r="D1967" s="2">
        <v>0.73529999999999995</v>
      </c>
      <c r="E1967" s="3">
        <v>172571</v>
      </c>
      <c r="F1967" s="2">
        <v>126884.54610000001</v>
      </c>
      <c r="G1967" t="s">
        <v>3563</v>
      </c>
      <c r="H1967" t="s">
        <v>8</v>
      </c>
      <c r="I1967">
        <f>HLOOKUP(G1967,zip_tiers!$A$1:$EON$2,2,FALSE)</f>
        <v>29058</v>
      </c>
      <c r="J1967" t="str">
        <f t="shared" si="30"/>
        <v>Low</v>
      </c>
      <c r="K1967">
        <f>dataset[[#This Row],[soda_sales]]/dataset[[#This Row],[soda_units_sold]]</f>
        <v>0.73525995735088745</v>
      </c>
      <c r="L1967" s="29">
        <f>dataset[[#This Row],[implied_soda_ppu]]-dataset[[#This Row],[soda_ppu]]</f>
        <v>-4.0042649112503881E-5</v>
      </c>
      <c r="M1967">
        <f>dataset[[#This Row],[soda_sales]]/dataset[[#This Row],[total_sales]]</f>
        <v>6.430839006470207E-2</v>
      </c>
      <c r="N1967">
        <f>LN(dataset[[#This Row],[soda_units_sold]])</f>
        <v>12.058564024974793</v>
      </c>
      <c r="O1967">
        <f>LN(dataset[[#This Row],[soda_sales]])</f>
        <v>11.751032866144831</v>
      </c>
      <c r="P1967">
        <f>LN(dataset[[#This Row],[soda_ppu]])</f>
        <v>-0.30747669977996056</v>
      </c>
      <c r="Q1967">
        <f>IF(dataset[[#This Row],[state]]="VA",1,0)</f>
        <v>0</v>
      </c>
    </row>
    <row r="1968" spans="1:17" x14ac:dyDescent="0.35">
      <c r="A1968">
        <v>202311</v>
      </c>
      <c r="B1968">
        <v>63</v>
      </c>
      <c r="C1968" s="2">
        <v>2289710.6244000001</v>
      </c>
      <c r="D1968" s="2">
        <v>0.75860000000000005</v>
      </c>
      <c r="E1968" s="3">
        <v>150725</v>
      </c>
      <c r="F1968" s="2">
        <v>114343.8303</v>
      </c>
      <c r="G1968" t="s">
        <v>3563</v>
      </c>
      <c r="H1968" t="s">
        <v>8</v>
      </c>
      <c r="I1968">
        <f>HLOOKUP(G1968,zip_tiers!$A$1:$EON$2,2,FALSE)</f>
        <v>29058</v>
      </c>
      <c r="J1968" t="str">
        <f t="shared" si="30"/>
        <v>Low</v>
      </c>
      <c r="K1968">
        <f>dataset[[#This Row],[soda_sales]]/dataset[[#This Row],[soda_units_sold]]</f>
        <v>0.75862551202521145</v>
      </c>
      <c r="L1968" s="29">
        <f>dataset[[#This Row],[implied_soda_ppu]]-dataset[[#This Row],[soda_ppu]]</f>
        <v>2.5512025211393841E-5</v>
      </c>
      <c r="M1968">
        <f>dataset[[#This Row],[soda_sales]]/dataset[[#This Row],[total_sales]]</f>
        <v>4.9938114048784163E-2</v>
      </c>
      <c r="N1968">
        <f>LN(dataset[[#This Row],[soda_units_sold]])</f>
        <v>11.923212263357607</v>
      </c>
      <c r="O1968">
        <f>LN(dataset[[#This Row],[soda_sales]])</f>
        <v>11.646965243469751</v>
      </c>
      <c r="P1968">
        <f>LN(dataset[[#This Row],[soda_ppu]])</f>
        <v>-0.2762806497273384</v>
      </c>
      <c r="Q1968">
        <f>IF(dataset[[#This Row],[state]]="VA",1,0)</f>
        <v>0</v>
      </c>
    </row>
    <row r="1969" spans="1:17" x14ac:dyDescent="0.35">
      <c r="A1969">
        <v>202312</v>
      </c>
      <c r="B1969">
        <v>63</v>
      </c>
      <c r="C1969" s="2">
        <v>2327560.8209000002</v>
      </c>
      <c r="D1969" s="2">
        <v>0.73660000000000003</v>
      </c>
      <c r="E1969" s="3">
        <v>159946</v>
      </c>
      <c r="F1969" s="2">
        <v>117816.1333</v>
      </c>
      <c r="G1969" t="s">
        <v>3563</v>
      </c>
      <c r="H1969" t="s">
        <v>8</v>
      </c>
      <c r="I1969">
        <f>HLOOKUP(G1969,zip_tiers!$A$1:$EON$2,2,FALSE)</f>
        <v>29058</v>
      </c>
      <c r="J1969" t="str">
        <f t="shared" si="30"/>
        <v>Low</v>
      </c>
      <c r="K1969">
        <f>dataset[[#This Row],[soda_sales]]/dataset[[#This Row],[soda_units_sold]]</f>
        <v>0.73659943543445916</v>
      </c>
      <c r="L1969" s="29">
        <f>dataset[[#This Row],[implied_soda_ppu]]-dataset[[#This Row],[soda_ppu]]</f>
        <v>-5.6456554087258581E-7</v>
      </c>
      <c r="M1969">
        <f>dataset[[#This Row],[soda_sales]]/dataset[[#This Row],[total_sales]]</f>
        <v>5.0617853781558295E-2</v>
      </c>
      <c r="N1969">
        <f>LN(dataset[[#This Row],[soda_units_sold]])</f>
        <v>11.982591537250022</v>
      </c>
      <c r="O1969">
        <f>LN(dataset[[#This Row],[soda_sales]])</f>
        <v>11.676880495830632</v>
      </c>
      <c r="P1969">
        <f>LN(dataset[[#This Row],[soda_ppu]])</f>
        <v>-0.30571027497117209</v>
      </c>
      <c r="Q1969">
        <f>IF(dataset[[#This Row],[state]]="VA",1,0)</f>
        <v>0</v>
      </c>
    </row>
    <row r="1970" spans="1:17" x14ac:dyDescent="0.35">
      <c r="A1970">
        <v>202401</v>
      </c>
      <c r="B1970">
        <v>63</v>
      </c>
      <c r="C1970" s="2">
        <v>1383006.4785</v>
      </c>
      <c r="D1970" s="2">
        <v>0.76449999999999996</v>
      </c>
      <c r="E1970" s="3">
        <v>112466</v>
      </c>
      <c r="F1970" s="2">
        <v>85981.963600000003</v>
      </c>
      <c r="G1970" t="s">
        <v>3563</v>
      </c>
      <c r="H1970" t="s">
        <v>8</v>
      </c>
      <c r="I1970">
        <f>HLOOKUP(G1970,zip_tiers!$A$1:$EON$2,2,FALSE)</f>
        <v>29058</v>
      </c>
      <c r="J1970" t="str">
        <f t="shared" si="30"/>
        <v>Low</v>
      </c>
      <c r="K1970">
        <f>dataset[[#This Row],[soda_sales]]/dataset[[#This Row],[soda_units_sold]]</f>
        <v>0.76451517436380778</v>
      </c>
      <c r="L1970" s="29">
        <f>dataset[[#This Row],[implied_soda_ppu]]-dataset[[#This Row],[soda_ppu]]</f>
        <v>1.5174363807823887E-5</v>
      </c>
      <c r="M1970">
        <f>dataset[[#This Row],[soda_sales]]/dataset[[#This Row],[total_sales]]</f>
        <v>6.2170325979423825E-2</v>
      </c>
      <c r="N1970">
        <f>LN(dataset[[#This Row],[soda_units_sold]])</f>
        <v>11.630406232726051</v>
      </c>
      <c r="O1970">
        <f>LN(dataset[[#This Row],[soda_sales]])</f>
        <v>11.361892827658764</v>
      </c>
      <c r="P1970">
        <f>LN(dataset[[#This Row],[soda_ppu]])</f>
        <v>-0.26853325361302011</v>
      </c>
      <c r="Q1970">
        <f>IF(dataset[[#This Row],[state]]="VA",1,0)</f>
        <v>0</v>
      </c>
    </row>
    <row r="1971" spans="1:17" x14ac:dyDescent="0.35">
      <c r="A1971">
        <v>202402</v>
      </c>
      <c r="B1971">
        <v>63</v>
      </c>
      <c r="C1971" s="2">
        <v>1546513.5649999999</v>
      </c>
      <c r="D1971" s="2">
        <v>0.75619999999999998</v>
      </c>
      <c r="E1971" s="3">
        <v>128296</v>
      </c>
      <c r="F1971" s="2">
        <v>97015.9611</v>
      </c>
      <c r="G1971" t="s">
        <v>3563</v>
      </c>
      <c r="H1971" t="s">
        <v>8</v>
      </c>
      <c r="I1971">
        <f>HLOOKUP(G1971,zip_tiers!$A$1:$EON$2,2,FALSE)</f>
        <v>29058</v>
      </c>
      <c r="J1971" t="str">
        <f t="shared" si="30"/>
        <v>Low</v>
      </c>
      <c r="K1971">
        <f>dataset[[#This Row],[soda_sales]]/dataset[[#This Row],[soda_units_sold]]</f>
        <v>0.7561885101639958</v>
      </c>
      <c r="L1971" s="29">
        <f>dataset[[#This Row],[implied_soda_ppu]]-dataset[[#This Row],[soda_ppu]]</f>
        <v>-1.148983600418596E-5</v>
      </c>
      <c r="M1971">
        <f>dataset[[#This Row],[soda_sales]]/dataset[[#This Row],[total_sales]]</f>
        <v>6.2732046647130446E-2</v>
      </c>
      <c r="N1971">
        <f>LN(dataset[[#This Row],[soda_units_sold]])</f>
        <v>11.762095373188645</v>
      </c>
      <c r="O1971">
        <f>LN(dataset[[#This Row],[soda_sales]])</f>
        <v>11.482630791371758</v>
      </c>
      <c r="P1971">
        <f>LN(dataset[[#This Row],[soda_ppu]])</f>
        <v>-0.27944938752530457</v>
      </c>
      <c r="Q1971">
        <f>IF(dataset[[#This Row],[state]]="VA",1,0)</f>
        <v>0</v>
      </c>
    </row>
    <row r="1972" spans="1:17" x14ac:dyDescent="0.35">
      <c r="A1972">
        <v>202403</v>
      </c>
      <c r="B1972">
        <v>63</v>
      </c>
      <c r="C1972" s="2">
        <v>1726131.2609999999</v>
      </c>
      <c r="D1972" s="2">
        <v>0.76870000000000005</v>
      </c>
      <c r="E1972" s="3">
        <v>146541</v>
      </c>
      <c r="F1972" s="2">
        <v>112649.424</v>
      </c>
      <c r="G1972" t="s">
        <v>3563</v>
      </c>
      <c r="H1972" t="s">
        <v>8</v>
      </c>
      <c r="I1972">
        <f>HLOOKUP(G1972,zip_tiers!$A$1:$EON$2,2,FALSE)</f>
        <v>29058</v>
      </c>
      <c r="J1972" t="str">
        <f t="shared" si="30"/>
        <v>Low</v>
      </c>
      <c r="K1972">
        <f>dataset[[#This Row],[soda_sales]]/dataset[[#This Row],[soda_units_sold]]</f>
        <v>0.76872291031178985</v>
      </c>
      <c r="L1972" s="29">
        <f>dataset[[#This Row],[implied_soda_ppu]]-dataset[[#This Row],[soda_ppu]]</f>
        <v>2.2910311789803295E-5</v>
      </c>
      <c r="M1972">
        <f>dataset[[#This Row],[soda_sales]]/dataset[[#This Row],[total_sales]]</f>
        <v>6.5261215381001089E-2</v>
      </c>
      <c r="N1972">
        <f>LN(dataset[[#This Row],[soda_units_sold]])</f>
        <v>11.895060531766008</v>
      </c>
      <c r="O1972">
        <f>LN(dataset[[#This Row],[soda_sales]])</f>
        <v>11.632035832664895</v>
      </c>
      <c r="P1972">
        <f>LN(dataset[[#This Row],[soda_ppu]])</f>
        <v>-0.26305450262705071</v>
      </c>
      <c r="Q1972">
        <f>IF(dataset[[#This Row],[state]]="VA",1,0)</f>
        <v>0</v>
      </c>
    </row>
    <row r="1973" spans="1:17" x14ac:dyDescent="0.35">
      <c r="A1973">
        <v>202404</v>
      </c>
      <c r="B1973">
        <v>63</v>
      </c>
      <c r="C1973" s="2">
        <v>1813625.5656000001</v>
      </c>
      <c r="D1973" s="2">
        <v>0.75280000000000002</v>
      </c>
      <c r="E1973" s="3">
        <v>180586</v>
      </c>
      <c r="F1973" s="2">
        <v>135950.65520000001</v>
      </c>
      <c r="G1973" t="s">
        <v>3563</v>
      </c>
      <c r="H1973" t="s">
        <v>8</v>
      </c>
      <c r="I1973">
        <f>HLOOKUP(G1973,zip_tiers!$A$1:$EON$2,2,FALSE)</f>
        <v>29058</v>
      </c>
      <c r="J1973" t="str">
        <f t="shared" si="30"/>
        <v>Low</v>
      </c>
      <c r="K1973">
        <f>dataset[[#This Row],[soda_sales]]/dataset[[#This Row],[soda_units_sold]]</f>
        <v>0.7528305361434442</v>
      </c>
      <c r="L1973" s="29">
        <f>dataset[[#This Row],[implied_soda_ppu]]-dataset[[#This Row],[soda_ppu]]</f>
        <v>3.0536143444170882E-5</v>
      </c>
      <c r="M1973">
        <f>dataset[[#This Row],[soda_sales]]/dataset[[#This Row],[total_sales]]</f>
        <v>7.4960707313928704E-2</v>
      </c>
      <c r="N1973">
        <f>LN(dataset[[#This Row],[soda_units_sold]])</f>
        <v>12.103962397580394</v>
      </c>
      <c r="O1973">
        <f>LN(dataset[[#This Row],[soda_sales]])</f>
        <v>11.820047269467908</v>
      </c>
      <c r="P1973">
        <f>LN(dataset[[#This Row],[soda_ppu]])</f>
        <v>-0.28395569071096716</v>
      </c>
      <c r="Q1973">
        <f>IF(dataset[[#This Row],[state]]="VA",1,0)</f>
        <v>0</v>
      </c>
    </row>
    <row r="1974" spans="1:17" x14ac:dyDescent="0.35">
      <c r="A1974">
        <v>202405</v>
      </c>
      <c r="B1974">
        <v>63</v>
      </c>
      <c r="C1974" s="2">
        <v>1930272.632</v>
      </c>
      <c r="D1974" s="2">
        <v>0.77980000000000005</v>
      </c>
      <c r="E1974" s="3">
        <v>182707</v>
      </c>
      <c r="F1974" s="2">
        <v>142469.86040000001</v>
      </c>
      <c r="G1974" t="s">
        <v>3563</v>
      </c>
      <c r="H1974" t="s">
        <v>8</v>
      </c>
      <c r="I1974">
        <f>HLOOKUP(G1974,zip_tiers!$A$1:$EON$2,2,FALSE)</f>
        <v>29058</v>
      </c>
      <c r="J1974" t="str">
        <f t="shared" si="30"/>
        <v>Low</v>
      </c>
      <c r="K1974">
        <f>dataset[[#This Row],[soda_sales]]/dataset[[#This Row],[soda_units_sold]]</f>
        <v>0.77977231523696411</v>
      </c>
      <c r="L1974" s="29">
        <f>dataset[[#This Row],[implied_soda_ppu]]-dataset[[#This Row],[soda_ppu]]</f>
        <v>-2.768476303594003E-5</v>
      </c>
      <c r="M1974">
        <f>dataset[[#This Row],[soda_sales]]/dataset[[#This Row],[total_sales]]</f>
        <v>7.3808154370599816E-2</v>
      </c>
      <c r="N1974">
        <f>LN(dataset[[#This Row],[soda_units_sold]])</f>
        <v>12.115639055808375</v>
      </c>
      <c r="O1974">
        <f>LN(dataset[[#This Row],[soda_sales]])</f>
        <v>11.866885750355388</v>
      </c>
      <c r="P1974">
        <f>LN(dataset[[#This Row],[soda_ppu]])</f>
        <v>-0.24871780243364003</v>
      </c>
      <c r="Q1974">
        <f>IF(dataset[[#This Row],[state]]="VA",1,0)</f>
        <v>0</v>
      </c>
    </row>
    <row r="1975" spans="1:17" x14ac:dyDescent="0.35">
      <c r="A1975">
        <v>202406</v>
      </c>
      <c r="B1975">
        <v>63</v>
      </c>
      <c r="C1975" s="2">
        <v>1869930.4853000001</v>
      </c>
      <c r="D1975" s="2">
        <v>0.77470000000000006</v>
      </c>
      <c r="E1975" s="3">
        <v>200978</v>
      </c>
      <c r="F1975" s="2">
        <v>155694.30910000001</v>
      </c>
      <c r="G1975" t="s">
        <v>3563</v>
      </c>
      <c r="H1975" t="s">
        <v>8</v>
      </c>
      <c r="I1975">
        <f>HLOOKUP(G1975,zip_tiers!$A$1:$EON$2,2,FALSE)</f>
        <v>29058</v>
      </c>
      <c r="J1975" t="str">
        <f t="shared" si="30"/>
        <v>Low</v>
      </c>
      <c r="K1975">
        <f>dataset[[#This Row],[soda_sales]]/dataset[[#This Row],[soda_units_sold]]</f>
        <v>0.77468334394809391</v>
      </c>
      <c r="L1975" s="29">
        <f>dataset[[#This Row],[implied_soda_ppu]]-dataset[[#This Row],[soda_ppu]]</f>
        <v>-1.6656051906149827E-5</v>
      </c>
      <c r="M1975">
        <f>dataset[[#This Row],[soda_sales]]/dataset[[#This Row],[total_sales]]</f>
        <v>8.3262083977962087E-2</v>
      </c>
      <c r="N1975">
        <f>LN(dataset[[#This Row],[soda_units_sold]])</f>
        <v>12.210950728314506</v>
      </c>
      <c r="O1975">
        <f>LN(dataset[[#This Row],[soda_sales]])</f>
        <v>11.955649806736638</v>
      </c>
      <c r="P1975">
        <f>LN(dataset[[#This Row],[soda_ppu]])</f>
        <v>-0.25527942134428017</v>
      </c>
      <c r="Q1975">
        <f>IF(dataset[[#This Row],[state]]="VA",1,0)</f>
        <v>0</v>
      </c>
    </row>
    <row r="1976" spans="1:17" x14ac:dyDescent="0.35">
      <c r="A1976">
        <v>202407</v>
      </c>
      <c r="B1976">
        <v>63</v>
      </c>
      <c r="C1976" s="2">
        <v>1754078.9362999999</v>
      </c>
      <c r="D1976" s="2">
        <v>0.76359999999999995</v>
      </c>
      <c r="E1976" s="3">
        <v>210349</v>
      </c>
      <c r="F1976" s="2">
        <v>160614.04819999999</v>
      </c>
      <c r="G1976" t="s">
        <v>3563</v>
      </c>
      <c r="H1976" t="s">
        <v>8</v>
      </c>
      <c r="I1976">
        <f>HLOOKUP(G1976,zip_tiers!$A$1:$EON$2,2,FALSE)</f>
        <v>29058</v>
      </c>
      <c r="J1976" t="str">
        <f t="shared" si="30"/>
        <v>Low</v>
      </c>
      <c r="K1976">
        <f>dataset[[#This Row],[soda_sales]]/dataset[[#This Row],[soda_units_sold]]</f>
        <v>0.76355983722290099</v>
      </c>
      <c r="L1976" s="29">
        <f>dataset[[#This Row],[implied_soda_ppu]]-dataset[[#This Row],[soda_ppu]]</f>
        <v>-4.0162777098950997E-5</v>
      </c>
      <c r="M1976">
        <f>dataset[[#This Row],[soda_sales]]/dataset[[#This Row],[total_sales]]</f>
        <v>9.1566032107308876E-2</v>
      </c>
      <c r="N1976">
        <f>LN(dataset[[#This Row],[soda_units_sold]])</f>
        <v>12.256523335025907</v>
      </c>
      <c r="O1976">
        <f>LN(dataset[[#This Row],[soda_sales]])</f>
        <v>11.986759549894643</v>
      </c>
      <c r="P1976">
        <f>LN(dataset[[#This Row],[soda_ppu]])</f>
        <v>-0.26971118713054459</v>
      </c>
      <c r="Q1976">
        <f>IF(dataset[[#This Row],[state]]="VA",1,0)</f>
        <v>0</v>
      </c>
    </row>
    <row r="1977" spans="1:17" x14ac:dyDescent="0.35">
      <c r="A1977">
        <v>202408</v>
      </c>
      <c r="B1977">
        <v>63</v>
      </c>
      <c r="C1977" s="2">
        <v>1658436.1884000001</v>
      </c>
      <c r="D1977" s="2">
        <v>0.75560000000000005</v>
      </c>
      <c r="E1977" s="3">
        <v>190446</v>
      </c>
      <c r="F1977" s="2">
        <v>143907.73050000001</v>
      </c>
      <c r="G1977" t="s">
        <v>3563</v>
      </c>
      <c r="H1977" t="s">
        <v>8</v>
      </c>
      <c r="I1977">
        <f>HLOOKUP(G1977,zip_tiers!$A$1:$EON$2,2,FALSE)</f>
        <v>29058</v>
      </c>
      <c r="J1977" t="str">
        <f t="shared" si="30"/>
        <v>Low</v>
      </c>
      <c r="K1977">
        <f>dataset[[#This Row],[soda_sales]]/dataset[[#This Row],[soda_units_sold]]</f>
        <v>0.75563535332850262</v>
      </c>
      <c r="L1977" s="29">
        <f>dataset[[#This Row],[implied_soda_ppu]]-dataset[[#This Row],[soda_ppu]]</f>
        <v>3.5353328502574222E-5</v>
      </c>
      <c r="M1977">
        <f>dataset[[#This Row],[soda_sales]]/dataset[[#This Row],[total_sales]]</f>
        <v>8.6773149010235376E-2</v>
      </c>
      <c r="N1977">
        <f>LN(dataset[[#This Row],[soda_units_sold]])</f>
        <v>12.15712396879829</v>
      </c>
      <c r="O1977">
        <f>LN(dataset[[#This Row],[soda_sales]])</f>
        <v>11.87692761276678</v>
      </c>
      <c r="P1977">
        <f>LN(dataset[[#This Row],[soda_ppu]])</f>
        <v>-0.28024314335478251</v>
      </c>
      <c r="Q1977">
        <f>IF(dataset[[#This Row],[state]]="VA",1,0)</f>
        <v>0</v>
      </c>
    </row>
    <row r="1978" spans="1:17" x14ac:dyDescent="0.35">
      <c r="A1978">
        <v>202409</v>
      </c>
      <c r="B1978">
        <v>63</v>
      </c>
      <c r="C1978" s="2">
        <v>1656177.4132000001</v>
      </c>
      <c r="D1978" s="2">
        <v>0.76249999999999996</v>
      </c>
      <c r="E1978" s="3">
        <v>177772</v>
      </c>
      <c r="F1978" s="2">
        <v>135549.0987</v>
      </c>
      <c r="G1978" t="s">
        <v>3563</v>
      </c>
      <c r="H1978" t="s">
        <v>8</v>
      </c>
      <c r="I1978">
        <f>HLOOKUP(G1978,zip_tiers!$A$1:$EON$2,2,FALSE)</f>
        <v>29058</v>
      </c>
      <c r="J1978" t="str">
        <f t="shared" si="30"/>
        <v>Low</v>
      </c>
      <c r="K1978">
        <f>dataset[[#This Row],[soda_sales]]/dataset[[#This Row],[soda_units_sold]]</f>
        <v>0.76248846106248458</v>
      </c>
      <c r="L1978" s="29">
        <f>dataset[[#This Row],[implied_soda_ppu]]-dataset[[#This Row],[soda_ppu]]</f>
        <v>-1.1538937515376269E-5</v>
      </c>
      <c r="M1978">
        <f>dataset[[#This Row],[soda_sales]]/dataset[[#This Row],[total_sales]]</f>
        <v>8.1844552171555965E-2</v>
      </c>
      <c r="N1978">
        <f>LN(dataset[[#This Row],[soda_units_sold]])</f>
        <v>12.088257109345653</v>
      </c>
      <c r="O1978">
        <f>LN(dataset[[#This Row],[soda_sales]])</f>
        <v>11.817089205697771</v>
      </c>
      <c r="P1978">
        <f>LN(dataset[[#This Row],[soda_ppu]])</f>
        <v>-0.27115277050057041</v>
      </c>
      <c r="Q1978">
        <f>IF(dataset[[#This Row],[state]]="VA",1,0)</f>
        <v>0</v>
      </c>
    </row>
    <row r="1979" spans="1:17" x14ac:dyDescent="0.35">
      <c r="A1979">
        <v>202410</v>
      </c>
      <c r="B1979">
        <v>63</v>
      </c>
      <c r="C1979" s="2">
        <v>1997079.5603</v>
      </c>
      <c r="D1979" s="2">
        <v>0.73319999999999996</v>
      </c>
      <c r="E1979" s="3">
        <v>185591</v>
      </c>
      <c r="F1979" s="2">
        <v>136067.36170000001</v>
      </c>
      <c r="G1979" t="s">
        <v>3563</v>
      </c>
      <c r="H1979" t="s">
        <v>8</v>
      </c>
      <c r="I1979">
        <f>HLOOKUP(G1979,zip_tiers!$A$1:$EON$2,2,FALSE)</f>
        <v>29058</v>
      </c>
      <c r="J1979" t="str">
        <f t="shared" si="30"/>
        <v>Low</v>
      </c>
      <c r="K1979">
        <f>dataset[[#This Row],[soda_sales]]/dataset[[#This Row],[soda_units_sold]]</f>
        <v>0.73315711268326589</v>
      </c>
      <c r="L1979" s="29">
        <f>dataset[[#This Row],[implied_soda_ppu]]-dataset[[#This Row],[soda_ppu]]</f>
        <v>-4.2887316734074865E-5</v>
      </c>
      <c r="M1979">
        <f>dataset[[#This Row],[soda_sales]]/dataset[[#This Row],[total_sales]]</f>
        <v>6.8133170257653655E-2</v>
      </c>
      <c r="N1979">
        <f>LN(dataset[[#This Row],[soda_units_sold]])</f>
        <v>12.131300606779181</v>
      </c>
      <c r="O1979">
        <f>LN(dataset[[#This Row],[soda_sales]])</f>
        <v>11.820905348712003</v>
      </c>
      <c r="P1979">
        <f>LN(dataset[[#This Row],[soda_ppu]])</f>
        <v>-0.31033676301658714</v>
      </c>
      <c r="Q1979">
        <f>IF(dataset[[#This Row],[state]]="VA",1,0)</f>
        <v>0</v>
      </c>
    </row>
    <row r="1980" spans="1:17" x14ac:dyDescent="0.35">
      <c r="A1980">
        <v>202411</v>
      </c>
      <c r="B1980">
        <v>63</v>
      </c>
      <c r="C1980" s="2">
        <v>2328534.1077000001</v>
      </c>
      <c r="D1980" s="2">
        <v>0.76139999999999997</v>
      </c>
      <c r="E1980" s="3">
        <v>166076</v>
      </c>
      <c r="F1980" s="2">
        <v>126458.5343</v>
      </c>
      <c r="G1980" t="s">
        <v>3563</v>
      </c>
      <c r="H1980" t="s">
        <v>8</v>
      </c>
      <c r="I1980">
        <f>HLOOKUP(G1980,zip_tiers!$A$1:$EON$2,2,FALSE)</f>
        <v>29058</v>
      </c>
      <c r="J1980" t="str">
        <f t="shared" si="30"/>
        <v>Low</v>
      </c>
      <c r="K1980">
        <f>dataset[[#This Row],[soda_sales]]/dataset[[#This Row],[soda_units_sold]]</f>
        <v>0.76144978383390738</v>
      </c>
      <c r="L1980" s="29">
        <f>dataset[[#This Row],[implied_soda_ppu]]-dataset[[#This Row],[soda_ppu]]</f>
        <v>4.9783833907413033E-5</v>
      </c>
      <c r="M1980">
        <f>dataset[[#This Row],[soda_sales]]/dataset[[#This Row],[total_sales]]</f>
        <v>5.4308216436180487E-2</v>
      </c>
      <c r="N1980">
        <f>LN(dataset[[#This Row],[soda_units_sold]])</f>
        <v>12.020200793891197</v>
      </c>
      <c r="O1980">
        <f>LN(dataset[[#This Row],[soda_sales]])</f>
        <v>11.747669741319278</v>
      </c>
      <c r="P1980">
        <f>LN(dataset[[#This Row],[soda_ppu]])</f>
        <v>-0.27259643503374009</v>
      </c>
      <c r="Q1980">
        <f>IF(dataset[[#This Row],[state]]="VA",1,0)</f>
        <v>0</v>
      </c>
    </row>
    <row r="1981" spans="1:17" x14ac:dyDescent="0.35">
      <c r="A1981">
        <v>202412</v>
      </c>
      <c r="B1981">
        <v>63</v>
      </c>
      <c r="C1981" s="2">
        <v>2384202.9534999998</v>
      </c>
      <c r="D1981" s="2">
        <v>0.7873</v>
      </c>
      <c r="E1981" s="3">
        <v>147472</v>
      </c>
      <c r="F1981" s="2">
        <v>116103.24129999999</v>
      </c>
      <c r="G1981" t="s">
        <v>3563</v>
      </c>
      <c r="H1981" t="s">
        <v>8</v>
      </c>
      <c r="I1981">
        <f>HLOOKUP(G1981,zip_tiers!$A$1:$EON$2,2,FALSE)</f>
        <v>29058</v>
      </c>
      <c r="J1981" t="str">
        <f t="shared" si="30"/>
        <v>Low</v>
      </c>
      <c r="K1981">
        <f>dataset[[#This Row],[soda_sales]]/dataset[[#This Row],[soda_units_sold]]</f>
        <v>0.78729007065748069</v>
      </c>
      <c r="L1981" s="29">
        <f>dataset[[#This Row],[implied_soda_ppu]]-dataset[[#This Row],[soda_ppu]]</f>
        <v>-9.9293425193103246E-6</v>
      </c>
      <c r="M1981">
        <f>dataset[[#This Row],[soda_sales]]/dataset[[#This Row],[total_sales]]</f>
        <v>4.8696878396849955E-2</v>
      </c>
      <c r="N1981">
        <f>LN(dataset[[#This Row],[soda_units_sold]])</f>
        <v>11.901393606233446</v>
      </c>
      <c r="O1981">
        <f>LN(dataset[[#This Row],[soda_sales]])</f>
        <v>11.662235085470266</v>
      </c>
      <c r="P1981">
        <f>LN(dataset[[#This Row],[soda_ppu]])</f>
        <v>-0.23914590879171554</v>
      </c>
      <c r="Q1981">
        <f>IF(dataset[[#This Row],[state]]="VA",1,0)</f>
        <v>0</v>
      </c>
    </row>
    <row r="1982" spans="1:17" x14ac:dyDescent="0.35">
      <c r="A1982">
        <v>202201</v>
      </c>
      <c r="B1982">
        <v>46</v>
      </c>
      <c r="C1982" s="2">
        <v>1432703.825</v>
      </c>
      <c r="D1982" s="2">
        <v>0.65790000000000004</v>
      </c>
      <c r="E1982" s="3">
        <v>159836</v>
      </c>
      <c r="F1982" s="2">
        <v>105152.9713</v>
      </c>
      <c r="G1982" t="s">
        <v>3581</v>
      </c>
      <c r="H1982" t="s">
        <v>8</v>
      </c>
      <c r="I1982">
        <f>HLOOKUP(G1982,zip_tiers!$A$1:$EON$2,2,FALSE)</f>
        <v>40453.666666666664</v>
      </c>
      <c r="J1982" t="str">
        <f t="shared" si="30"/>
        <v>Med</v>
      </c>
      <c r="K1982">
        <f>dataset[[#This Row],[soda_sales]]/dataset[[#This Row],[soda_units_sold]]</f>
        <v>0.65788039803298382</v>
      </c>
      <c r="L1982" s="29">
        <f>dataset[[#This Row],[implied_soda_ppu]]-dataset[[#This Row],[soda_ppu]]</f>
        <v>-1.9601967016225075E-5</v>
      </c>
      <c r="M1982">
        <f>dataset[[#This Row],[soda_sales]]/dataset[[#This Row],[total_sales]]</f>
        <v>7.3394772502963071E-2</v>
      </c>
      <c r="N1982">
        <f>LN(dataset[[#This Row],[soda_units_sold]])</f>
        <v>11.981903568544224</v>
      </c>
      <c r="O1982">
        <f>LN(dataset[[#This Row],[soda_sales]])</f>
        <v>11.56317143845866</v>
      </c>
      <c r="P1982">
        <f>LN(dataset[[#This Row],[soda_ppu]])</f>
        <v>-0.41870233489018477</v>
      </c>
      <c r="Q1982">
        <f>IF(dataset[[#This Row],[state]]="VA",1,0)</f>
        <v>0</v>
      </c>
    </row>
    <row r="1983" spans="1:17" x14ac:dyDescent="0.35">
      <c r="A1983">
        <v>202202</v>
      </c>
      <c r="B1983">
        <v>46</v>
      </c>
      <c r="C1983" s="2">
        <v>1627678.7375</v>
      </c>
      <c r="D1983" s="2">
        <v>0.68120000000000003</v>
      </c>
      <c r="E1983" s="3">
        <v>175339</v>
      </c>
      <c r="F1983" s="2">
        <v>119442.7264</v>
      </c>
      <c r="G1983" t="s">
        <v>3581</v>
      </c>
      <c r="H1983" t="s">
        <v>8</v>
      </c>
      <c r="I1983">
        <f>HLOOKUP(G1983,zip_tiers!$A$1:$EON$2,2,FALSE)</f>
        <v>40453.666666666664</v>
      </c>
      <c r="J1983" t="str">
        <f t="shared" si="30"/>
        <v>Med</v>
      </c>
      <c r="K1983">
        <f>dataset[[#This Row],[soda_sales]]/dataset[[#This Row],[soda_units_sold]]</f>
        <v>0.6812102635466154</v>
      </c>
      <c r="L1983" s="29">
        <f>dataset[[#This Row],[implied_soda_ppu]]-dataset[[#This Row],[soda_ppu]]</f>
        <v>1.026354661537443E-5</v>
      </c>
      <c r="M1983">
        <f>dataset[[#This Row],[soda_sales]]/dataset[[#This Row],[total_sales]]</f>
        <v>7.3382248995557703E-2</v>
      </c>
      <c r="N1983">
        <f>LN(dataset[[#This Row],[soda_units_sold]])</f>
        <v>12.074476521921111</v>
      </c>
      <c r="O1983">
        <f>LN(dataset[[#This Row],[soda_sales]])</f>
        <v>11.690592258476329</v>
      </c>
      <c r="P1983">
        <f>LN(dataset[[#This Row],[soda_ppu]])</f>
        <v>-0.38389933019360378</v>
      </c>
      <c r="Q1983">
        <f>IF(dataset[[#This Row],[state]]="VA",1,0)</f>
        <v>0</v>
      </c>
    </row>
    <row r="1984" spans="1:17" x14ac:dyDescent="0.35">
      <c r="A1984">
        <v>202203</v>
      </c>
      <c r="B1984">
        <v>46</v>
      </c>
      <c r="C1984" s="2">
        <v>1802518.2357000001</v>
      </c>
      <c r="D1984" s="2">
        <v>0.66020000000000001</v>
      </c>
      <c r="E1984" s="3">
        <v>214048</v>
      </c>
      <c r="F1984" s="2">
        <v>141316.75459999999</v>
      </c>
      <c r="G1984" t="s">
        <v>3581</v>
      </c>
      <c r="H1984" t="s">
        <v>8</v>
      </c>
      <c r="I1984">
        <f>HLOOKUP(G1984,zip_tiers!$A$1:$EON$2,2,FALSE)</f>
        <v>40453.666666666664</v>
      </c>
      <c r="J1984" t="str">
        <f t="shared" si="30"/>
        <v>Med</v>
      </c>
      <c r="K1984">
        <f>dataset[[#This Row],[soda_sales]]/dataset[[#This Row],[soda_units_sold]]</f>
        <v>0.66021058173867542</v>
      </c>
      <c r="L1984" s="29">
        <f>dataset[[#This Row],[implied_soda_ppu]]-dataset[[#This Row],[soda_ppu]]</f>
        <v>1.0581738675408126E-5</v>
      </c>
      <c r="M1984">
        <f>dataset[[#This Row],[soda_sales]]/dataset[[#This Row],[total_sales]]</f>
        <v>7.8399625480138485E-2</v>
      </c>
      <c r="N1984">
        <f>LN(dataset[[#This Row],[soda_units_sold]])</f>
        <v>12.273955567918135</v>
      </c>
      <c r="O1984">
        <f>LN(dataset[[#This Row],[soda_sales]])</f>
        <v>11.858759136307034</v>
      </c>
      <c r="P1984">
        <f>LN(dataset[[#This Row],[soda_ppu]])</f>
        <v>-0.41521245956304442</v>
      </c>
      <c r="Q1984">
        <f>IF(dataset[[#This Row],[state]]="VA",1,0)</f>
        <v>0</v>
      </c>
    </row>
    <row r="1985" spans="1:17" x14ac:dyDescent="0.35">
      <c r="A1985">
        <v>202204</v>
      </c>
      <c r="B1985">
        <v>46</v>
      </c>
      <c r="C1985" s="2">
        <v>1921746.1118000001</v>
      </c>
      <c r="D1985" s="2">
        <v>0.67379999999999995</v>
      </c>
      <c r="E1985" s="3">
        <v>242627</v>
      </c>
      <c r="F1985" s="2">
        <v>163485.67629999999</v>
      </c>
      <c r="G1985" t="s">
        <v>3581</v>
      </c>
      <c r="H1985" t="s">
        <v>8</v>
      </c>
      <c r="I1985">
        <f>HLOOKUP(G1985,zip_tiers!$A$1:$EON$2,2,FALSE)</f>
        <v>40453.666666666664</v>
      </c>
      <c r="J1985" t="str">
        <f t="shared" si="30"/>
        <v>Med</v>
      </c>
      <c r="K1985">
        <f>dataset[[#This Row],[soda_sales]]/dataset[[#This Row],[soda_units_sold]]</f>
        <v>0.6738148528399559</v>
      </c>
      <c r="L1985" s="29">
        <f>dataset[[#This Row],[implied_soda_ppu]]-dataset[[#This Row],[soda_ppu]]</f>
        <v>1.4852839955947772E-5</v>
      </c>
      <c r="M1985">
        <f>dataset[[#This Row],[soda_sales]]/dataset[[#This Row],[total_sales]]</f>
        <v>8.5071422960690382E-2</v>
      </c>
      <c r="N1985">
        <f>LN(dataset[[#This Row],[soda_units_sold]])</f>
        <v>12.399280563610958</v>
      </c>
      <c r="O1985">
        <f>LN(dataset[[#This Row],[soda_sales]])</f>
        <v>12.004480658753923</v>
      </c>
      <c r="P1985">
        <f>LN(dataset[[#This Row],[soda_ppu]])</f>
        <v>-0.39482194800968462</v>
      </c>
      <c r="Q1985">
        <f>IF(dataset[[#This Row],[state]]="VA",1,0)</f>
        <v>0</v>
      </c>
    </row>
    <row r="1986" spans="1:17" x14ac:dyDescent="0.35">
      <c r="A1986">
        <v>202205</v>
      </c>
      <c r="B1986">
        <v>46</v>
      </c>
      <c r="C1986" s="2">
        <v>2011844.0523999999</v>
      </c>
      <c r="D1986" s="2">
        <v>0.70050000000000001</v>
      </c>
      <c r="E1986" s="3">
        <v>254378</v>
      </c>
      <c r="F1986" s="2">
        <v>178204.3358</v>
      </c>
      <c r="G1986" t="s">
        <v>3581</v>
      </c>
      <c r="H1986" t="s">
        <v>8</v>
      </c>
      <c r="I1986">
        <f>HLOOKUP(G1986,zip_tiers!$A$1:$EON$2,2,FALSE)</f>
        <v>40453.666666666664</v>
      </c>
      <c r="J1986" t="str">
        <f t="shared" ref="J1986:J2049" si="31">IF(I1986="","No Data",IF(I1986&gt;=100000,"High",IF(I1986&gt;=40000,"Med","Low")))</f>
        <v>Med</v>
      </c>
      <c r="K1986">
        <f>dataset[[#This Row],[soda_sales]]/dataset[[#This Row],[soda_units_sold]]</f>
        <v>0.70054932344778242</v>
      </c>
      <c r="L1986" s="29">
        <f>dataset[[#This Row],[implied_soda_ppu]]-dataset[[#This Row],[soda_ppu]]</f>
        <v>4.9323447782412266E-5</v>
      </c>
      <c r="M1986">
        <f>dataset[[#This Row],[soda_sales]]/dataset[[#This Row],[total_sales]]</f>
        <v>8.8577608978893635E-2</v>
      </c>
      <c r="N1986">
        <f>LN(dataset[[#This Row],[soda_units_sold]])</f>
        <v>12.446576628721246</v>
      </c>
      <c r="O1986">
        <f>LN(dataset[[#This Row],[soda_sales]])</f>
        <v>12.090686124811514</v>
      </c>
      <c r="P1986">
        <f>LN(dataset[[#This Row],[soda_ppu]])</f>
        <v>-0.35596091320507534</v>
      </c>
      <c r="Q1986">
        <f>IF(dataset[[#This Row],[state]]="VA",1,0)</f>
        <v>0</v>
      </c>
    </row>
    <row r="1987" spans="1:17" x14ac:dyDescent="0.35">
      <c r="A1987">
        <v>202206</v>
      </c>
      <c r="B1987">
        <v>46</v>
      </c>
      <c r="C1987" s="2">
        <v>1954380.5082</v>
      </c>
      <c r="D1987" s="2">
        <v>0.67159999999999997</v>
      </c>
      <c r="E1987" s="3">
        <v>293185</v>
      </c>
      <c r="F1987" s="2">
        <v>196897.5497</v>
      </c>
      <c r="G1987" t="s">
        <v>3581</v>
      </c>
      <c r="H1987" t="s">
        <v>8</v>
      </c>
      <c r="I1987">
        <f>HLOOKUP(G1987,zip_tiers!$A$1:$EON$2,2,FALSE)</f>
        <v>40453.666666666664</v>
      </c>
      <c r="J1987" t="str">
        <f t="shared" si="31"/>
        <v>Med</v>
      </c>
      <c r="K1987">
        <f>dataset[[#This Row],[soda_sales]]/dataset[[#This Row],[soda_units_sold]]</f>
        <v>0.67158125313368688</v>
      </c>
      <c r="L1987" s="29">
        <f>dataset[[#This Row],[implied_soda_ppu]]-dataset[[#This Row],[soda_ppu]]</f>
        <v>-1.8746866313090749E-5</v>
      </c>
      <c r="M1987">
        <f>dataset[[#This Row],[soda_sales]]/dataset[[#This Row],[total_sales]]</f>
        <v>0.10074678337912008</v>
      </c>
      <c r="N1987">
        <f>LN(dataset[[#This Row],[soda_units_sold]])</f>
        <v>12.588559088067928</v>
      </c>
      <c r="O1987">
        <f>LN(dataset[[#This Row],[soda_sales]])</f>
        <v>12.19043882016177</v>
      </c>
      <c r="P1987">
        <f>LN(dataset[[#This Row],[soda_ppu]])</f>
        <v>-0.39809235377875135</v>
      </c>
      <c r="Q1987">
        <f>IF(dataset[[#This Row],[state]]="VA",1,0)</f>
        <v>0</v>
      </c>
    </row>
    <row r="1988" spans="1:17" x14ac:dyDescent="0.35">
      <c r="A1988">
        <v>202207</v>
      </c>
      <c r="B1988">
        <v>46</v>
      </c>
      <c r="C1988" s="2">
        <v>1840887.1573000001</v>
      </c>
      <c r="D1988" s="2">
        <v>0.6925</v>
      </c>
      <c r="E1988" s="3">
        <v>283109</v>
      </c>
      <c r="F1988" s="2">
        <v>196054.14420000001</v>
      </c>
      <c r="G1988" t="s">
        <v>3581</v>
      </c>
      <c r="H1988" t="s">
        <v>8</v>
      </c>
      <c r="I1988">
        <f>HLOOKUP(G1988,zip_tiers!$A$1:$EON$2,2,FALSE)</f>
        <v>40453.666666666664</v>
      </c>
      <c r="J1988" t="str">
        <f t="shared" si="31"/>
        <v>Med</v>
      </c>
      <c r="K1988">
        <f>dataset[[#This Row],[soda_sales]]/dataset[[#This Row],[soda_units_sold]]</f>
        <v>0.69250410336654789</v>
      </c>
      <c r="L1988" s="29">
        <f>dataset[[#This Row],[implied_soda_ppu]]-dataset[[#This Row],[soda_ppu]]</f>
        <v>4.1033665478806824E-6</v>
      </c>
      <c r="M1988">
        <f>dataset[[#This Row],[soda_sales]]/dataset[[#This Row],[total_sales]]</f>
        <v>0.10649981636438244</v>
      </c>
      <c r="N1988">
        <f>LN(dataset[[#This Row],[soda_units_sold]])</f>
        <v>12.553587261481283</v>
      </c>
      <c r="O1988">
        <f>LN(dataset[[#This Row],[soda_sales]])</f>
        <v>12.186146145982143</v>
      </c>
      <c r="P1988">
        <f>LN(dataset[[#This Row],[soda_ppu]])</f>
        <v>-0.36744704092064345</v>
      </c>
      <c r="Q1988">
        <f>IF(dataset[[#This Row],[state]]="VA",1,0)</f>
        <v>0</v>
      </c>
    </row>
    <row r="1989" spans="1:17" x14ac:dyDescent="0.35">
      <c r="A1989">
        <v>202208</v>
      </c>
      <c r="B1989">
        <v>46</v>
      </c>
      <c r="C1989" s="2">
        <v>1735050.5053000001</v>
      </c>
      <c r="D1989" s="2">
        <v>0.67379999999999995</v>
      </c>
      <c r="E1989" s="3">
        <v>257067</v>
      </c>
      <c r="F1989" s="2">
        <v>173204.55059999999</v>
      </c>
      <c r="G1989" t="s">
        <v>3581</v>
      </c>
      <c r="H1989" t="s">
        <v>8</v>
      </c>
      <c r="I1989">
        <f>HLOOKUP(G1989,zip_tiers!$A$1:$EON$2,2,FALSE)</f>
        <v>40453.666666666664</v>
      </c>
      <c r="J1989" t="str">
        <f t="shared" si="31"/>
        <v>Med</v>
      </c>
      <c r="K1989">
        <f>dataset[[#This Row],[soda_sales]]/dataset[[#This Row],[soda_units_sold]]</f>
        <v>0.67377201507778128</v>
      </c>
      <c r="L1989" s="29">
        <f>dataset[[#This Row],[implied_soda_ppu]]-dataset[[#This Row],[soda_ppu]]</f>
        <v>-2.7984922218671215E-5</v>
      </c>
      <c r="M1989">
        <f>dataset[[#This Row],[soda_sales]]/dataset[[#This Row],[total_sales]]</f>
        <v>9.9826806234699167E-2</v>
      </c>
      <c r="N1989">
        <f>LN(dataset[[#This Row],[soda_units_sold]])</f>
        <v>12.457092030290021</v>
      </c>
      <c r="O1989">
        <f>LN(dataset[[#This Row],[soda_sales]])</f>
        <v>12.06222854843738</v>
      </c>
      <c r="P1989">
        <f>LN(dataset[[#This Row],[soda_ppu]])</f>
        <v>-0.39482194800968462</v>
      </c>
      <c r="Q1989">
        <f>IF(dataset[[#This Row],[state]]="VA",1,0)</f>
        <v>0</v>
      </c>
    </row>
    <row r="1990" spans="1:17" x14ac:dyDescent="0.35">
      <c r="A1990">
        <v>202209</v>
      </c>
      <c r="B1990">
        <v>46</v>
      </c>
      <c r="C1990" s="2">
        <v>1723059.0297000001</v>
      </c>
      <c r="D1990" s="2">
        <v>0.65649999999999997</v>
      </c>
      <c r="E1990" s="3">
        <v>253990</v>
      </c>
      <c r="F1990" s="2">
        <v>166756.46830000001</v>
      </c>
      <c r="G1990" t="s">
        <v>3581</v>
      </c>
      <c r="H1990" t="s">
        <v>8</v>
      </c>
      <c r="I1990">
        <f>HLOOKUP(G1990,zip_tiers!$A$1:$EON$2,2,FALSE)</f>
        <v>40453.666666666664</v>
      </c>
      <c r="J1990" t="str">
        <f t="shared" si="31"/>
        <v>Med</v>
      </c>
      <c r="K1990">
        <f>dataset[[#This Row],[soda_sales]]/dataset[[#This Row],[soda_units_sold]]</f>
        <v>0.6565473770620891</v>
      </c>
      <c r="L1990" s="29">
        <f>dataset[[#This Row],[implied_soda_ppu]]-dataset[[#This Row],[soda_ppu]]</f>
        <v>4.7377062089126731E-5</v>
      </c>
      <c r="M1990">
        <f>dataset[[#This Row],[soda_sales]]/dataset[[#This Row],[total_sales]]</f>
        <v>9.6779312505058973E-2</v>
      </c>
      <c r="N1990">
        <f>LN(dataset[[#This Row],[soda_units_sold]])</f>
        <v>12.445050175146912</v>
      </c>
      <c r="O1990">
        <f>LN(dataset[[#This Row],[soda_sales]])</f>
        <v>12.02428975343034</v>
      </c>
      <c r="P1990">
        <f>LN(dataset[[#This Row],[soda_ppu]])</f>
        <v>-0.42083258523928624</v>
      </c>
      <c r="Q1990">
        <f>IF(dataset[[#This Row],[state]]="VA",1,0)</f>
        <v>0</v>
      </c>
    </row>
    <row r="1991" spans="1:17" x14ac:dyDescent="0.35">
      <c r="A1991">
        <v>202210</v>
      </c>
      <c r="B1991">
        <v>46</v>
      </c>
      <c r="C1991" s="2">
        <v>2107011.1261999998</v>
      </c>
      <c r="D1991" s="2">
        <v>0.65949999999999998</v>
      </c>
      <c r="E1991" s="3">
        <v>240259</v>
      </c>
      <c r="F1991" s="2">
        <v>158459.79819999999</v>
      </c>
      <c r="G1991" t="s">
        <v>3581</v>
      </c>
      <c r="H1991" t="s">
        <v>8</v>
      </c>
      <c r="I1991">
        <f>HLOOKUP(G1991,zip_tiers!$A$1:$EON$2,2,FALSE)</f>
        <v>40453.666666666664</v>
      </c>
      <c r="J1991" t="str">
        <f t="shared" si="31"/>
        <v>Med</v>
      </c>
      <c r="K1991">
        <f>dataset[[#This Row],[soda_sales]]/dataset[[#This Row],[soda_units_sold]]</f>
        <v>0.65953740838012309</v>
      </c>
      <c r="L1991" s="29">
        <f>dataset[[#This Row],[implied_soda_ppu]]-dataset[[#This Row],[soda_ppu]]</f>
        <v>3.7408380123116203E-5</v>
      </c>
      <c r="M1991">
        <f>dataset[[#This Row],[soda_sales]]/dataset[[#This Row],[total_sales]]</f>
        <v>7.5205961767170468E-2</v>
      </c>
      <c r="N1991">
        <f>LN(dataset[[#This Row],[soda_units_sold]])</f>
        <v>12.389472787109042</v>
      </c>
      <c r="O1991">
        <f>LN(dataset[[#This Row],[soda_sales]])</f>
        <v>11.973256201010912</v>
      </c>
      <c r="P1991">
        <f>LN(dataset[[#This Row],[soda_ppu]])</f>
        <v>-0.41627330682476782</v>
      </c>
      <c r="Q1991">
        <f>IF(dataset[[#This Row],[state]]="VA",1,0)</f>
        <v>0</v>
      </c>
    </row>
    <row r="1992" spans="1:17" x14ac:dyDescent="0.35">
      <c r="A1992">
        <v>202211</v>
      </c>
      <c r="B1992">
        <v>46</v>
      </c>
      <c r="C1992" s="2">
        <v>2412256.6507000001</v>
      </c>
      <c r="D1992" s="2">
        <v>0.69489999999999996</v>
      </c>
      <c r="E1992" s="3">
        <v>210760</v>
      </c>
      <c r="F1992" s="2">
        <v>146451.3181</v>
      </c>
      <c r="G1992" t="s">
        <v>3581</v>
      </c>
      <c r="H1992" t="s">
        <v>8</v>
      </c>
      <c r="I1992">
        <f>HLOOKUP(G1992,zip_tiers!$A$1:$EON$2,2,FALSE)</f>
        <v>40453.666666666664</v>
      </c>
      <c r="J1992" t="str">
        <f t="shared" si="31"/>
        <v>Med</v>
      </c>
      <c r="K1992">
        <f>dataset[[#This Row],[soda_sales]]/dataset[[#This Row],[soda_units_sold]]</f>
        <v>0.69487245255266661</v>
      </c>
      <c r="L1992" s="29">
        <f>dataset[[#This Row],[implied_soda_ppu]]-dataset[[#This Row],[soda_ppu]]</f>
        <v>-2.7547447333353681E-5</v>
      </c>
      <c r="M1992">
        <f>dataset[[#This Row],[soda_sales]]/dataset[[#This Row],[total_sales]]</f>
        <v>6.0711333538038773E-2</v>
      </c>
      <c r="N1992">
        <f>LN(dataset[[#This Row],[soda_units_sold]])</f>
        <v>12.258475324323221</v>
      </c>
      <c r="O1992">
        <f>LN(dataset[[#This Row],[soda_sales]])</f>
        <v>11.89444835255679</v>
      </c>
      <c r="P1992">
        <f>LN(dataset[[#This Row],[soda_ppu]])</f>
        <v>-0.36398732866185546</v>
      </c>
      <c r="Q1992">
        <f>IF(dataset[[#This Row],[state]]="VA",1,0)</f>
        <v>0</v>
      </c>
    </row>
    <row r="1993" spans="1:17" x14ac:dyDescent="0.35">
      <c r="A1993">
        <v>202212</v>
      </c>
      <c r="B1993">
        <v>46</v>
      </c>
      <c r="C1993" s="2">
        <v>2487071.8697000002</v>
      </c>
      <c r="D1993" s="2">
        <v>0.67900000000000005</v>
      </c>
      <c r="E1993" s="3">
        <v>207403</v>
      </c>
      <c r="F1993" s="2">
        <v>140831.5318</v>
      </c>
      <c r="G1993" t="s">
        <v>3581</v>
      </c>
      <c r="H1993" t="s">
        <v>8</v>
      </c>
      <c r="I1993">
        <f>HLOOKUP(G1993,zip_tiers!$A$1:$EON$2,2,FALSE)</f>
        <v>40453.666666666664</v>
      </c>
      <c r="J1993" t="str">
        <f t="shared" si="31"/>
        <v>Med</v>
      </c>
      <c r="K1993">
        <f>dataset[[#This Row],[soda_sales]]/dataset[[#This Row],[soda_units_sold]]</f>
        <v>0.67902360043008059</v>
      </c>
      <c r="L1993" s="29">
        <f>dataset[[#This Row],[implied_soda_ppu]]-dataset[[#This Row],[soda_ppu]]</f>
        <v>2.3600430080539248E-5</v>
      </c>
      <c r="M1993">
        <f>dataset[[#This Row],[soda_sales]]/dataset[[#This Row],[total_sales]]</f>
        <v>5.6625437131813817E-2</v>
      </c>
      <c r="N1993">
        <f>LN(dataset[[#This Row],[soda_units_sold]])</f>
        <v>12.242419039475264</v>
      </c>
      <c r="O1993">
        <f>LN(dataset[[#This Row],[soda_sales]])</f>
        <v>11.855319645076776</v>
      </c>
      <c r="P1993">
        <f>LN(dataset[[#This Row],[soda_ppu]])</f>
        <v>-0.38713415142344088</v>
      </c>
      <c r="Q1993">
        <f>IF(dataset[[#This Row],[state]]="VA",1,0)</f>
        <v>0</v>
      </c>
    </row>
    <row r="1994" spans="1:17" x14ac:dyDescent="0.35">
      <c r="A1994">
        <v>202301</v>
      </c>
      <c r="B1994">
        <v>46</v>
      </c>
      <c r="C1994" s="2">
        <v>1468831.1344999999</v>
      </c>
      <c r="D1994" s="2">
        <v>0.69410000000000005</v>
      </c>
      <c r="E1994" s="3">
        <v>154524</v>
      </c>
      <c r="F1994" s="2">
        <v>107260.87699999999</v>
      </c>
      <c r="G1994" t="s">
        <v>3581</v>
      </c>
      <c r="H1994" t="s">
        <v>8</v>
      </c>
      <c r="I1994">
        <f>HLOOKUP(G1994,zip_tiers!$A$1:$EON$2,2,FALSE)</f>
        <v>40453.666666666664</v>
      </c>
      <c r="J1994" t="str">
        <f t="shared" si="31"/>
        <v>Med</v>
      </c>
      <c r="K1994">
        <f>dataset[[#This Row],[soda_sales]]/dataset[[#This Row],[soda_units_sold]]</f>
        <v>0.69413733141777323</v>
      </c>
      <c r="L1994" s="29">
        <f>dataset[[#This Row],[implied_soda_ppu]]-dataset[[#This Row],[soda_ppu]]</f>
        <v>3.7331417773178721E-5</v>
      </c>
      <c r="M1994">
        <f>dataset[[#This Row],[soda_sales]]/dataset[[#This Row],[total_sales]]</f>
        <v>7.3024648293905023E-2</v>
      </c>
      <c r="N1994">
        <f>LN(dataset[[#This Row],[soda_units_sold]])</f>
        <v>11.948104703061784</v>
      </c>
      <c r="O1994">
        <f>LN(dataset[[#This Row],[soda_sales]])</f>
        <v>11.583019248897299</v>
      </c>
      <c r="P1994">
        <f>LN(dataset[[#This Row],[soda_ppu]])</f>
        <v>-0.36513923663659897</v>
      </c>
      <c r="Q1994">
        <f>IF(dataset[[#This Row],[state]]="VA",1,0)</f>
        <v>0</v>
      </c>
    </row>
    <row r="1995" spans="1:17" x14ac:dyDescent="0.35">
      <c r="A1995">
        <v>202302</v>
      </c>
      <c r="B1995">
        <v>46</v>
      </c>
      <c r="C1995" s="2">
        <v>1666527.5429</v>
      </c>
      <c r="D1995" s="2">
        <v>0.70140000000000002</v>
      </c>
      <c r="E1995" s="3">
        <v>175165</v>
      </c>
      <c r="F1995" s="2">
        <v>122858.6731</v>
      </c>
      <c r="G1995" t="s">
        <v>3581</v>
      </c>
      <c r="H1995" t="s">
        <v>8</v>
      </c>
      <c r="I1995">
        <f>HLOOKUP(G1995,zip_tiers!$A$1:$EON$2,2,FALSE)</f>
        <v>40453.666666666664</v>
      </c>
      <c r="J1995" t="str">
        <f t="shared" si="31"/>
        <v>Med</v>
      </c>
      <c r="K1995">
        <f>dataset[[#This Row],[soda_sales]]/dataset[[#This Row],[soda_units_sold]]</f>
        <v>0.70138825164844576</v>
      </c>
      <c r="L1995" s="29">
        <f>dataset[[#This Row],[implied_soda_ppu]]-dataset[[#This Row],[soda_ppu]]</f>
        <v>-1.1748351554263792E-5</v>
      </c>
      <c r="M1995">
        <f>dataset[[#This Row],[soda_sales]]/dataset[[#This Row],[total_sales]]</f>
        <v>7.3721357695779852E-2</v>
      </c>
      <c r="N1995">
        <f>LN(dataset[[#This Row],[soda_units_sold]])</f>
        <v>12.073483665837909</v>
      </c>
      <c r="O1995">
        <f>LN(dataset[[#This Row],[soda_sales]])</f>
        <v>11.718789974561926</v>
      </c>
      <c r="P1995">
        <f>LN(dataset[[#This Row],[soda_ppu]])</f>
        <v>-0.35467694127605931</v>
      </c>
      <c r="Q1995">
        <f>IF(dataset[[#This Row],[state]]="VA",1,0)</f>
        <v>0</v>
      </c>
    </row>
    <row r="1996" spans="1:17" x14ac:dyDescent="0.35">
      <c r="A1996">
        <v>202303</v>
      </c>
      <c r="B1996">
        <v>46</v>
      </c>
      <c r="C1996" s="2">
        <v>1840938.2293</v>
      </c>
      <c r="D1996" s="2">
        <v>0.71140000000000003</v>
      </c>
      <c r="E1996" s="3">
        <v>198974</v>
      </c>
      <c r="F1996" s="2">
        <v>141544.7746</v>
      </c>
      <c r="G1996" t="s">
        <v>3581</v>
      </c>
      <c r="H1996" t="s">
        <v>8</v>
      </c>
      <c r="I1996">
        <f>HLOOKUP(G1996,zip_tiers!$A$1:$EON$2,2,FALSE)</f>
        <v>40453.666666666664</v>
      </c>
      <c r="J1996" t="str">
        <f t="shared" si="31"/>
        <v>Med</v>
      </c>
      <c r="K1996">
        <f>dataset[[#This Row],[soda_sales]]/dataset[[#This Row],[soda_units_sold]]</f>
        <v>0.71137321760632044</v>
      </c>
      <c r="L1996" s="29">
        <f>dataset[[#This Row],[implied_soda_ppu]]-dataset[[#This Row],[soda_ppu]]</f>
        <v>-2.6782393679591898E-5</v>
      </c>
      <c r="M1996">
        <f>dataset[[#This Row],[soda_sales]]/dataset[[#This Row],[total_sales]]</f>
        <v>7.6887302543454217E-2</v>
      </c>
      <c r="N1996">
        <f>LN(dataset[[#This Row],[soda_units_sold]])</f>
        <v>12.200929441904416</v>
      </c>
      <c r="O1996">
        <f>LN(dataset[[#This Row],[soda_sales]])</f>
        <v>11.860371374281115</v>
      </c>
      <c r="P1996">
        <f>LN(dataset[[#This Row],[soda_ppu]])</f>
        <v>-0.34052041946778216</v>
      </c>
      <c r="Q1996">
        <f>IF(dataset[[#This Row],[state]]="VA",1,0)</f>
        <v>0</v>
      </c>
    </row>
    <row r="1997" spans="1:17" x14ac:dyDescent="0.35">
      <c r="A1997">
        <v>202304</v>
      </c>
      <c r="B1997">
        <v>46</v>
      </c>
      <c r="C1997" s="2">
        <v>1948164.6299000001</v>
      </c>
      <c r="D1997" s="2">
        <v>0.6835</v>
      </c>
      <c r="E1997" s="3">
        <v>247283</v>
      </c>
      <c r="F1997" s="2">
        <v>169029.0344</v>
      </c>
      <c r="G1997" t="s">
        <v>3581</v>
      </c>
      <c r="H1997" t="s">
        <v>8</v>
      </c>
      <c r="I1997">
        <f>HLOOKUP(G1997,zip_tiers!$A$1:$EON$2,2,FALSE)</f>
        <v>40453.666666666664</v>
      </c>
      <c r="J1997" t="str">
        <f t="shared" si="31"/>
        <v>Med</v>
      </c>
      <c r="K1997">
        <f>dataset[[#This Row],[soda_sales]]/dataset[[#This Row],[soda_units_sold]]</f>
        <v>0.68354490361246023</v>
      </c>
      <c r="L1997" s="29">
        <f>dataset[[#This Row],[implied_soda_ppu]]-dataset[[#This Row],[soda_ppu]]</f>
        <v>4.4903612460234221E-5</v>
      </c>
      <c r="M1997">
        <f>dataset[[#This Row],[soda_sales]]/dataset[[#This Row],[total_sales]]</f>
        <v>8.6763218983539558E-2</v>
      </c>
      <c r="N1997">
        <f>LN(dataset[[#This Row],[soda_units_sold]])</f>
        <v>12.418288708728523</v>
      </c>
      <c r="O1997">
        <f>LN(dataset[[#This Row],[soda_sales]])</f>
        <v>12.037825780332509</v>
      </c>
      <c r="P1997">
        <f>LN(dataset[[#This Row],[soda_ppu]])</f>
        <v>-0.38052862281813282</v>
      </c>
      <c r="Q1997">
        <f>IF(dataset[[#This Row],[state]]="VA",1,0)</f>
        <v>0</v>
      </c>
    </row>
    <row r="1998" spans="1:17" x14ac:dyDescent="0.35">
      <c r="A1998">
        <v>202305</v>
      </c>
      <c r="B1998">
        <v>46</v>
      </c>
      <c r="C1998" s="2">
        <v>2065967.5802</v>
      </c>
      <c r="D1998" s="2">
        <v>0.69720000000000004</v>
      </c>
      <c r="E1998" s="3">
        <v>263047</v>
      </c>
      <c r="F1998" s="2">
        <v>183388.92550000001</v>
      </c>
      <c r="G1998" t="s">
        <v>3581</v>
      </c>
      <c r="H1998" t="s">
        <v>8</v>
      </c>
      <c r="I1998">
        <f>HLOOKUP(G1998,zip_tiers!$A$1:$EON$2,2,FALSE)</f>
        <v>40453.666666666664</v>
      </c>
      <c r="J1998" t="str">
        <f t="shared" si="31"/>
        <v>Med</v>
      </c>
      <c r="K1998">
        <f>dataset[[#This Row],[soda_sales]]/dataset[[#This Row],[soda_units_sold]]</f>
        <v>0.69717170505651083</v>
      </c>
      <c r="L1998" s="29">
        <f>dataset[[#This Row],[implied_soda_ppu]]-dataset[[#This Row],[soda_ppu]]</f>
        <v>-2.8294943489215463E-5</v>
      </c>
      <c r="M1998">
        <f>dataset[[#This Row],[soda_sales]]/dataset[[#This Row],[total_sales]]</f>
        <v>8.8766603724849694E-2</v>
      </c>
      <c r="N1998">
        <f>LN(dataset[[#This Row],[soda_units_sold]])</f>
        <v>12.480088002418002</v>
      </c>
      <c r="O1998">
        <f>LN(dataset[[#This Row],[soda_sales]])</f>
        <v>12.119364452575619</v>
      </c>
      <c r="P1998">
        <f>LN(dataset[[#This Row],[soda_ppu]])</f>
        <v>-0.36068296533627114</v>
      </c>
      <c r="Q1998">
        <f>IF(dataset[[#This Row],[state]]="VA",1,0)</f>
        <v>0</v>
      </c>
    </row>
    <row r="1999" spans="1:17" x14ac:dyDescent="0.35">
      <c r="A1999">
        <v>202306</v>
      </c>
      <c r="B1999">
        <v>46</v>
      </c>
      <c r="C1999" s="2">
        <v>1942860.781</v>
      </c>
      <c r="D1999" s="2">
        <v>0.66469999999999996</v>
      </c>
      <c r="E1999" s="3">
        <v>294208</v>
      </c>
      <c r="F1999" s="2">
        <v>195563.59289999999</v>
      </c>
      <c r="G1999" t="s">
        <v>3581</v>
      </c>
      <c r="H1999" t="s">
        <v>8</v>
      </c>
      <c r="I1999">
        <f>HLOOKUP(G1999,zip_tiers!$A$1:$EON$2,2,FALSE)</f>
        <v>40453.666666666664</v>
      </c>
      <c r="J1999" t="str">
        <f t="shared" si="31"/>
        <v>Med</v>
      </c>
      <c r="K1999">
        <f>dataset[[#This Row],[soda_sales]]/dataset[[#This Row],[soda_units_sold]]</f>
        <v>0.66471201632858379</v>
      </c>
      <c r="L1999" s="29">
        <f>dataset[[#This Row],[implied_soda_ppu]]-dataset[[#This Row],[soda_ppu]]</f>
        <v>1.2016328583830393E-5</v>
      </c>
      <c r="M1999">
        <f>dataset[[#This Row],[soda_sales]]/dataset[[#This Row],[total_sales]]</f>
        <v>0.10065754315105503</v>
      </c>
      <c r="N1999">
        <f>LN(dataset[[#This Row],[soda_units_sold]])</f>
        <v>12.5920422791659</v>
      </c>
      <c r="O1999">
        <f>LN(dataset[[#This Row],[soda_sales]])</f>
        <v>12.183640888890348</v>
      </c>
      <c r="P1999">
        <f>LN(dataset[[#This Row],[soda_ppu]])</f>
        <v>-0.40841946793460093</v>
      </c>
      <c r="Q1999">
        <f>IF(dataset[[#This Row],[state]]="VA",1,0)</f>
        <v>0</v>
      </c>
    </row>
    <row r="2000" spans="1:17" x14ac:dyDescent="0.35">
      <c r="A2000">
        <v>202307</v>
      </c>
      <c r="B2000">
        <v>46</v>
      </c>
      <c r="C2000" s="2">
        <v>1849072.3743</v>
      </c>
      <c r="D2000" s="2">
        <v>0.6804</v>
      </c>
      <c r="E2000" s="3">
        <v>291871</v>
      </c>
      <c r="F2000" s="2">
        <v>198596.52470000001</v>
      </c>
      <c r="G2000" t="s">
        <v>3581</v>
      </c>
      <c r="H2000" t="s">
        <v>8</v>
      </c>
      <c r="I2000">
        <f>HLOOKUP(G2000,zip_tiers!$A$1:$EON$2,2,FALSE)</f>
        <v>40453.666666666664</v>
      </c>
      <c r="J2000" t="str">
        <f t="shared" si="31"/>
        <v>Med</v>
      </c>
      <c r="K2000">
        <f>dataset[[#This Row],[soda_sales]]/dataset[[#This Row],[soda_units_sold]]</f>
        <v>0.68042568360679889</v>
      </c>
      <c r="L2000" s="29">
        <f>dataset[[#This Row],[implied_soda_ppu]]-dataset[[#This Row],[soda_ppu]]</f>
        <v>2.5683606798887482E-5</v>
      </c>
      <c r="M2000">
        <f>dataset[[#This Row],[soda_sales]]/dataset[[#This Row],[total_sales]]</f>
        <v>0.10740332691151817</v>
      </c>
      <c r="N2000">
        <f>LN(dataset[[#This Row],[soda_units_sold]])</f>
        <v>12.584067202814603</v>
      </c>
      <c r="O2000">
        <f>LN(dataset[[#This Row],[soda_sales]])</f>
        <v>12.19903053144715</v>
      </c>
      <c r="P2000">
        <f>LN(dataset[[#This Row],[soda_ppu]])</f>
        <v>-0.38507441846043033</v>
      </c>
      <c r="Q2000">
        <f>IF(dataset[[#This Row],[state]]="VA",1,0)</f>
        <v>0</v>
      </c>
    </row>
    <row r="2001" spans="1:17" x14ac:dyDescent="0.35">
      <c r="A2001">
        <v>202308</v>
      </c>
      <c r="B2001">
        <v>46</v>
      </c>
      <c r="C2001" s="2">
        <v>1750954.0693000001</v>
      </c>
      <c r="D2001" s="2">
        <v>0.68720000000000003</v>
      </c>
      <c r="E2001" s="3">
        <v>253529</v>
      </c>
      <c r="F2001" s="2">
        <v>174232.82010000001</v>
      </c>
      <c r="G2001" t="s">
        <v>3581</v>
      </c>
      <c r="H2001" t="s">
        <v>8</v>
      </c>
      <c r="I2001">
        <f>HLOOKUP(G2001,zip_tiers!$A$1:$EON$2,2,FALSE)</f>
        <v>40453.666666666664</v>
      </c>
      <c r="J2001" t="str">
        <f t="shared" si="31"/>
        <v>Med</v>
      </c>
      <c r="K2001">
        <f>dataset[[#This Row],[soda_sales]]/dataset[[#This Row],[soda_units_sold]]</f>
        <v>0.68723033696342439</v>
      </c>
      <c r="L2001" s="29">
        <f>dataset[[#This Row],[implied_soda_ppu]]-dataset[[#This Row],[soda_ppu]]</f>
        <v>3.0336963424359986E-5</v>
      </c>
      <c r="M2001">
        <f>dataset[[#This Row],[soda_sales]]/dataset[[#This Row],[total_sales]]</f>
        <v>9.950736181769472E-2</v>
      </c>
      <c r="N2001">
        <f>LN(dataset[[#This Row],[soda_units_sold]])</f>
        <v>12.443233493892466</v>
      </c>
      <c r="O2001">
        <f>LN(dataset[[#This Row],[soda_sales]])</f>
        <v>12.068147730361835</v>
      </c>
      <c r="P2001">
        <f>LN(dataset[[#This Row],[soda_ppu]])</f>
        <v>-0.37512990831209136</v>
      </c>
      <c r="Q2001">
        <f>IF(dataset[[#This Row],[state]]="VA",1,0)</f>
        <v>0</v>
      </c>
    </row>
    <row r="2002" spans="1:17" x14ac:dyDescent="0.35">
      <c r="A2002">
        <v>202309</v>
      </c>
      <c r="B2002">
        <v>46</v>
      </c>
      <c r="C2002" s="2">
        <v>1771958.8444000001</v>
      </c>
      <c r="D2002" s="2">
        <v>0.70799999999999996</v>
      </c>
      <c r="E2002" s="3">
        <v>231339</v>
      </c>
      <c r="F2002" s="2">
        <v>163792.62520000001</v>
      </c>
      <c r="G2002" t="s">
        <v>3581</v>
      </c>
      <c r="H2002" t="s">
        <v>8</v>
      </c>
      <c r="I2002">
        <f>HLOOKUP(G2002,zip_tiers!$A$1:$EON$2,2,FALSE)</f>
        <v>40453.666666666664</v>
      </c>
      <c r="J2002" t="str">
        <f t="shared" si="31"/>
        <v>Med</v>
      </c>
      <c r="K2002">
        <f>dataset[[#This Row],[soda_sales]]/dataset[[#This Row],[soda_units_sold]]</f>
        <v>0.70801994129826795</v>
      </c>
      <c r="L2002" s="29">
        <f>dataset[[#This Row],[implied_soda_ppu]]-dataset[[#This Row],[soda_ppu]]</f>
        <v>1.9941298267989183E-5</v>
      </c>
      <c r="M2002">
        <f>dataset[[#This Row],[soda_sales]]/dataset[[#This Row],[total_sales]]</f>
        <v>9.2435908270466383E-2</v>
      </c>
      <c r="N2002">
        <f>LN(dataset[[#This Row],[soda_units_sold]])</f>
        <v>12.351639446198051</v>
      </c>
      <c r="O2002">
        <f>LN(dataset[[#This Row],[soda_sales]])</f>
        <v>12.006356426188509</v>
      </c>
      <c r="P2002">
        <f>LN(dataset[[#This Row],[soda_ppu]])</f>
        <v>-0.34531118528841737</v>
      </c>
      <c r="Q2002">
        <f>IF(dataset[[#This Row],[state]]="VA",1,0)</f>
        <v>0</v>
      </c>
    </row>
    <row r="2003" spans="1:17" x14ac:dyDescent="0.35">
      <c r="A2003">
        <v>202310</v>
      </c>
      <c r="B2003">
        <v>46</v>
      </c>
      <c r="C2003" s="2">
        <v>2138056.2938999999</v>
      </c>
      <c r="D2003" s="2">
        <v>0.68010000000000004</v>
      </c>
      <c r="E2003" s="3">
        <v>238303</v>
      </c>
      <c r="F2003" s="2">
        <v>162072.05540000001</v>
      </c>
      <c r="G2003" t="s">
        <v>3581</v>
      </c>
      <c r="H2003" t="s">
        <v>8</v>
      </c>
      <c r="I2003">
        <f>HLOOKUP(G2003,zip_tiers!$A$1:$EON$2,2,FALSE)</f>
        <v>40453.666666666664</v>
      </c>
      <c r="J2003" t="str">
        <f t="shared" si="31"/>
        <v>Med</v>
      </c>
      <c r="K2003">
        <f>dataset[[#This Row],[soda_sales]]/dataset[[#This Row],[soda_units_sold]]</f>
        <v>0.6801091694187652</v>
      </c>
      <c r="L2003" s="29">
        <f>dataset[[#This Row],[implied_soda_ppu]]-dataset[[#This Row],[soda_ppu]]</f>
        <v>9.1694187651647496E-6</v>
      </c>
      <c r="M2003">
        <f>dataset[[#This Row],[soda_sales]]/dataset[[#This Row],[total_sales]]</f>
        <v>7.580345562574807E-2</v>
      </c>
      <c r="N2003">
        <f>LN(dataset[[#This Row],[soda_units_sold]])</f>
        <v>12.381298252180901</v>
      </c>
      <c r="O2003">
        <f>LN(dataset[[#This Row],[soda_sales]])</f>
        <v>11.995796301746116</v>
      </c>
      <c r="P2003">
        <f>LN(dataset[[#This Row],[soda_ppu]])</f>
        <v>-0.38551543280054401</v>
      </c>
      <c r="Q2003">
        <f>IF(dataset[[#This Row],[state]]="VA",1,0)</f>
        <v>0</v>
      </c>
    </row>
    <row r="2004" spans="1:17" x14ac:dyDescent="0.35">
      <c r="A2004">
        <v>202311</v>
      </c>
      <c r="B2004">
        <v>46</v>
      </c>
      <c r="C2004" s="2">
        <v>2451580.1468000002</v>
      </c>
      <c r="D2004" s="2">
        <v>0.67559999999999998</v>
      </c>
      <c r="E2004" s="3">
        <v>229044</v>
      </c>
      <c r="F2004" s="2">
        <v>154751.5796</v>
      </c>
      <c r="G2004" t="s">
        <v>3581</v>
      </c>
      <c r="H2004" t="s">
        <v>8</v>
      </c>
      <c r="I2004">
        <f>HLOOKUP(G2004,zip_tiers!$A$1:$EON$2,2,FALSE)</f>
        <v>40453.666666666664</v>
      </c>
      <c r="J2004" t="str">
        <f t="shared" si="31"/>
        <v>Med</v>
      </c>
      <c r="K2004">
        <f>dataset[[#This Row],[soda_sales]]/dataset[[#This Row],[soda_units_sold]]</f>
        <v>0.67564127241927319</v>
      </c>
      <c r="L2004" s="29">
        <f>dataset[[#This Row],[implied_soda_ppu]]-dataset[[#This Row],[soda_ppu]]</f>
        <v>4.1272419273208349E-5</v>
      </c>
      <c r="M2004">
        <f>dataset[[#This Row],[soda_sales]]/dataset[[#This Row],[total_sales]]</f>
        <v>6.3123198236857248E-2</v>
      </c>
      <c r="N2004">
        <f>LN(dataset[[#This Row],[soda_units_sold]])</f>
        <v>12.341669403817892</v>
      </c>
      <c r="O2004">
        <f>LN(dataset[[#This Row],[soda_sales]])</f>
        <v>11.949576397926087</v>
      </c>
      <c r="P2004">
        <f>LN(dataset[[#This Row],[soda_ppu]])</f>
        <v>-0.39215409404849205</v>
      </c>
      <c r="Q2004">
        <f>IF(dataset[[#This Row],[state]]="VA",1,0)</f>
        <v>0</v>
      </c>
    </row>
    <row r="2005" spans="1:17" x14ac:dyDescent="0.35">
      <c r="A2005">
        <v>202312</v>
      </c>
      <c r="B2005">
        <v>46</v>
      </c>
      <c r="C2005" s="2">
        <v>2485412.2489999998</v>
      </c>
      <c r="D2005" s="2">
        <v>0.68469999999999998</v>
      </c>
      <c r="E2005" s="3">
        <v>211151</v>
      </c>
      <c r="F2005" s="2">
        <v>144577.92389999999</v>
      </c>
      <c r="G2005" t="s">
        <v>3581</v>
      </c>
      <c r="H2005" t="s">
        <v>8</v>
      </c>
      <c r="I2005">
        <f>HLOOKUP(G2005,zip_tiers!$A$1:$EON$2,2,FALSE)</f>
        <v>40453.666666666664</v>
      </c>
      <c r="J2005" t="str">
        <f t="shared" si="31"/>
        <v>Med</v>
      </c>
      <c r="K2005">
        <f>dataset[[#This Row],[soda_sales]]/dataset[[#This Row],[soda_units_sold]]</f>
        <v>0.68471342262172563</v>
      </c>
      <c r="L2005" s="29">
        <f>dataset[[#This Row],[implied_soda_ppu]]-dataset[[#This Row],[soda_ppu]]</f>
        <v>1.3422621725656114E-5</v>
      </c>
      <c r="M2005">
        <f>dataset[[#This Row],[soda_sales]]/dataset[[#This Row],[total_sales]]</f>
        <v>5.8170600856324986E-2</v>
      </c>
      <c r="N2005">
        <f>LN(dataset[[#This Row],[soda_units_sold]])</f>
        <v>12.260328796320564</v>
      </c>
      <c r="O2005">
        <f>LN(dataset[[#This Row],[soda_sales]])</f>
        <v>11.88157390692705</v>
      </c>
      <c r="P2005">
        <f>LN(dataset[[#This Row],[soda_ppu]])</f>
        <v>-0.37877449285511988</v>
      </c>
      <c r="Q2005">
        <f>IF(dataset[[#This Row],[state]]="VA",1,0)</f>
        <v>0</v>
      </c>
    </row>
    <row r="2006" spans="1:17" x14ac:dyDescent="0.35">
      <c r="A2006">
        <v>202401</v>
      </c>
      <c r="B2006">
        <v>46</v>
      </c>
      <c r="C2006" s="2">
        <v>1495948.7264</v>
      </c>
      <c r="D2006" s="2">
        <v>0.69689999999999996</v>
      </c>
      <c r="E2006" s="3">
        <v>160141</v>
      </c>
      <c r="F2006" s="2">
        <v>111607.7567</v>
      </c>
      <c r="G2006" t="s">
        <v>3581</v>
      </c>
      <c r="H2006" t="s">
        <v>8</v>
      </c>
      <c r="I2006">
        <f>HLOOKUP(G2006,zip_tiers!$A$1:$EON$2,2,FALSE)</f>
        <v>40453.666666666664</v>
      </c>
      <c r="J2006" t="str">
        <f t="shared" si="31"/>
        <v>Med</v>
      </c>
      <c r="K2006">
        <f>dataset[[#This Row],[soda_sales]]/dataset[[#This Row],[soda_units_sold]]</f>
        <v>0.6969343060178218</v>
      </c>
      <c r="L2006" s="29">
        <f>dataset[[#This Row],[implied_soda_ppu]]-dataset[[#This Row],[soda_ppu]]</f>
        <v>3.4306017821839063E-5</v>
      </c>
      <c r="M2006">
        <f>dataset[[#This Row],[soda_sales]]/dataset[[#This Row],[total_sales]]</f>
        <v>7.4606672495108856E-2</v>
      </c>
      <c r="N2006">
        <f>LN(dataset[[#This Row],[soda_units_sold]])</f>
        <v>11.983809956143158</v>
      </c>
      <c r="O2006">
        <f>LN(dataset[[#This Row],[soda_sales]])</f>
        <v>11.62274583099431</v>
      </c>
      <c r="P2006">
        <f>LN(dataset[[#This Row],[soda_ppu]])</f>
        <v>-0.36111335053766397</v>
      </c>
      <c r="Q2006">
        <f>IF(dataset[[#This Row],[state]]="VA",1,0)</f>
        <v>0</v>
      </c>
    </row>
    <row r="2007" spans="1:17" x14ac:dyDescent="0.35">
      <c r="A2007">
        <v>202402</v>
      </c>
      <c r="B2007">
        <v>46</v>
      </c>
      <c r="C2007" s="2">
        <v>1701211.9187</v>
      </c>
      <c r="D2007" s="2">
        <v>0.68620000000000003</v>
      </c>
      <c r="E2007" s="3">
        <v>186821</v>
      </c>
      <c r="F2007" s="2">
        <v>128198.17600000001</v>
      </c>
      <c r="G2007" t="s">
        <v>3581</v>
      </c>
      <c r="H2007" t="s">
        <v>8</v>
      </c>
      <c r="I2007">
        <f>HLOOKUP(G2007,zip_tiers!$A$1:$EON$2,2,FALSE)</f>
        <v>40453.666666666664</v>
      </c>
      <c r="J2007" t="str">
        <f t="shared" si="31"/>
        <v>Med</v>
      </c>
      <c r="K2007">
        <f>dataset[[#This Row],[soda_sales]]/dataset[[#This Row],[soda_units_sold]]</f>
        <v>0.68620859539345147</v>
      </c>
      <c r="L2007" s="29">
        <f>dataset[[#This Row],[implied_soda_ppu]]-dataset[[#This Row],[soda_ppu]]</f>
        <v>8.5953934514382269E-6</v>
      </c>
      <c r="M2007">
        <f>dataset[[#This Row],[soda_sales]]/dataset[[#This Row],[total_sales]]</f>
        <v>7.535697028149442E-2</v>
      </c>
      <c r="N2007">
        <f>LN(dataset[[#This Row],[soda_units_sold]])</f>
        <v>12.137906218158472</v>
      </c>
      <c r="O2007">
        <f>LN(dataset[[#This Row],[soda_sales]])</f>
        <v>11.761332595598381</v>
      </c>
      <c r="P2007">
        <f>LN(dataset[[#This Row],[soda_ppu]])</f>
        <v>-0.37658614855778766</v>
      </c>
      <c r="Q2007">
        <f>IF(dataset[[#This Row],[state]]="VA",1,0)</f>
        <v>0</v>
      </c>
    </row>
    <row r="2008" spans="1:17" x14ac:dyDescent="0.35">
      <c r="A2008">
        <v>202403</v>
      </c>
      <c r="B2008">
        <v>46</v>
      </c>
      <c r="C2008" s="2">
        <v>1914346.5285</v>
      </c>
      <c r="D2008" s="2">
        <v>0.72560000000000002</v>
      </c>
      <c r="E2008" s="3">
        <v>204549</v>
      </c>
      <c r="F2008" s="2">
        <v>148413.28880000001</v>
      </c>
      <c r="G2008" t="s">
        <v>3581</v>
      </c>
      <c r="H2008" t="s">
        <v>8</v>
      </c>
      <c r="I2008">
        <f>HLOOKUP(G2008,zip_tiers!$A$1:$EON$2,2,FALSE)</f>
        <v>40453.666666666664</v>
      </c>
      <c r="J2008" t="str">
        <f t="shared" si="31"/>
        <v>Med</v>
      </c>
      <c r="K2008">
        <f>dataset[[#This Row],[soda_sales]]/dataset[[#This Row],[soda_units_sold]]</f>
        <v>0.72556350214374066</v>
      </c>
      <c r="L2008" s="29">
        <f>dataset[[#This Row],[implied_soda_ppu]]-dataset[[#This Row],[soda_ppu]]</f>
        <v>-3.6497856259365413E-5</v>
      </c>
      <c r="M2008">
        <f>dataset[[#This Row],[soda_sales]]/dataset[[#This Row],[total_sales]]</f>
        <v>7.7526867048616485E-2</v>
      </c>
      <c r="N2008">
        <f>LN(dataset[[#This Row],[soda_units_sold]])</f>
        <v>12.228562834565345</v>
      </c>
      <c r="O2008">
        <f>LN(dataset[[#This Row],[soda_sales]])</f>
        <v>11.90775615287612</v>
      </c>
      <c r="P2008">
        <f>LN(dataset[[#This Row],[soda_ppu]])</f>
        <v>-0.32075638018121017</v>
      </c>
      <c r="Q2008">
        <f>IF(dataset[[#This Row],[state]]="VA",1,0)</f>
        <v>0</v>
      </c>
    </row>
    <row r="2009" spans="1:17" x14ac:dyDescent="0.35">
      <c r="A2009">
        <v>202404</v>
      </c>
      <c r="B2009">
        <v>46</v>
      </c>
      <c r="C2009" s="2">
        <v>1950430.8206</v>
      </c>
      <c r="D2009" s="2">
        <v>0.72070000000000001</v>
      </c>
      <c r="E2009" s="3">
        <v>233151</v>
      </c>
      <c r="F2009" s="2">
        <v>168024.90280000001</v>
      </c>
      <c r="G2009" t="s">
        <v>3581</v>
      </c>
      <c r="H2009" t="s">
        <v>8</v>
      </c>
      <c r="I2009">
        <f>HLOOKUP(G2009,zip_tiers!$A$1:$EON$2,2,FALSE)</f>
        <v>40453.666666666664</v>
      </c>
      <c r="J2009" t="str">
        <f t="shared" si="31"/>
        <v>Med</v>
      </c>
      <c r="K2009">
        <f>dataset[[#This Row],[soda_sales]]/dataset[[#This Row],[soda_units_sold]]</f>
        <v>0.72066987831920093</v>
      </c>
      <c r="L2009" s="29">
        <f>dataset[[#This Row],[implied_soda_ppu]]-dataset[[#This Row],[soda_ppu]]</f>
        <v>-3.0121680799077843E-5</v>
      </c>
      <c r="M2009">
        <f>dataset[[#This Row],[soda_sales]]/dataset[[#This Row],[total_sales]]</f>
        <v>8.6147583921131574E-2</v>
      </c>
      <c r="N2009">
        <f>LN(dataset[[#This Row],[soda_units_sold]])</f>
        <v>12.359441591311549</v>
      </c>
      <c r="O2009">
        <f>LN(dataset[[#This Row],[soda_sales]])</f>
        <v>12.031867478352655</v>
      </c>
      <c r="P2009">
        <f>LN(dataset[[#This Row],[soda_ppu]])</f>
        <v>-0.32753231705174168</v>
      </c>
      <c r="Q2009">
        <f>IF(dataset[[#This Row],[state]]="VA",1,0)</f>
        <v>0</v>
      </c>
    </row>
    <row r="2010" spans="1:17" x14ac:dyDescent="0.35">
      <c r="A2010">
        <v>202405</v>
      </c>
      <c r="B2010">
        <v>46</v>
      </c>
      <c r="C2010" s="2">
        <v>2059570.48</v>
      </c>
      <c r="D2010" s="2">
        <v>0.69240000000000002</v>
      </c>
      <c r="E2010" s="3">
        <v>272805</v>
      </c>
      <c r="F2010" s="2">
        <v>188895.37119999999</v>
      </c>
      <c r="G2010" t="s">
        <v>3581</v>
      </c>
      <c r="H2010" t="s">
        <v>8</v>
      </c>
      <c r="I2010">
        <f>HLOOKUP(G2010,zip_tiers!$A$1:$EON$2,2,FALSE)</f>
        <v>40453.666666666664</v>
      </c>
      <c r="J2010" t="str">
        <f t="shared" si="31"/>
        <v>Med</v>
      </c>
      <c r="K2010">
        <f>dataset[[#This Row],[soda_sales]]/dataset[[#This Row],[soda_units_sold]]</f>
        <v>0.69241902164549762</v>
      </c>
      <c r="L2010" s="29">
        <f>dataset[[#This Row],[implied_soda_ppu]]-dataset[[#This Row],[soda_ppu]]</f>
        <v>1.9021645497607764E-5</v>
      </c>
      <c r="M2010">
        <f>dataset[[#This Row],[soda_sales]]/dataset[[#This Row],[total_sales]]</f>
        <v>9.1715905347410101E-2</v>
      </c>
      <c r="N2010">
        <f>LN(dataset[[#This Row],[soda_units_sold]])</f>
        <v>12.516512533229228</v>
      </c>
      <c r="O2010">
        <f>LN(dataset[[#This Row],[soda_sales]])</f>
        <v>12.148948549219019</v>
      </c>
      <c r="P2010">
        <f>LN(dataset[[#This Row],[soda_ppu]])</f>
        <v>-0.36759145568008283</v>
      </c>
      <c r="Q2010">
        <f>IF(dataset[[#This Row],[state]]="VA",1,0)</f>
        <v>0</v>
      </c>
    </row>
    <row r="2011" spans="1:17" x14ac:dyDescent="0.35">
      <c r="A2011">
        <v>202406</v>
      </c>
      <c r="B2011">
        <v>46</v>
      </c>
      <c r="C2011" s="2">
        <v>1990178.7545</v>
      </c>
      <c r="D2011" s="2">
        <v>0.72060000000000002</v>
      </c>
      <c r="E2011" s="3">
        <v>267992</v>
      </c>
      <c r="F2011" s="2">
        <v>193115.83170000001</v>
      </c>
      <c r="G2011" t="s">
        <v>3581</v>
      </c>
      <c r="H2011" t="s">
        <v>8</v>
      </c>
      <c r="I2011">
        <f>HLOOKUP(G2011,zip_tiers!$A$1:$EON$2,2,FALSE)</f>
        <v>40453.666666666664</v>
      </c>
      <c r="J2011" t="str">
        <f t="shared" si="31"/>
        <v>Med</v>
      </c>
      <c r="K2011">
        <f>dataset[[#This Row],[soda_sales]]/dataset[[#This Row],[soda_units_sold]]</f>
        <v>0.72060297210364488</v>
      </c>
      <c r="L2011" s="29">
        <f>dataset[[#This Row],[implied_soda_ppu]]-dataset[[#This Row],[soda_ppu]]</f>
        <v>2.9721036448604465E-6</v>
      </c>
      <c r="M2011">
        <f>dataset[[#This Row],[soda_sales]]/dataset[[#This Row],[total_sales]]</f>
        <v>9.7034415257094442E-2</v>
      </c>
      <c r="N2011">
        <f>LN(dataset[[#This Row],[soda_units_sold]])</f>
        <v>12.498712408301182</v>
      </c>
      <c r="O2011">
        <f>LN(dataset[[#This Row],[soda_sales]])</f>
        <v>12.171045452109192</v>
      </c>
      <c r="P2011">
        <f>LN(dataset[[#This Row],[soda_ppu]])</f>
        <v>-0.32767108066814415</v>
      </c>
      <c r="Q2011">
        <f>IF(dataset[[#This Row],[state]]="VA",1,0)</f>
        <v>0</v>
      </c>
    </row>
    <row r="2012" spans="1:17" x14ac:dyDescent="0.35">
      <c r="A2012">
        <v>202407</v>
      </c>
      <c r="B2012">
        <v>46</v>
      </c>
      <c r="C2012" s="2">
        <v>1898906.1021</v>
      </c>
      <c r="D2012" s="2">
        <v>0.70189999999999997</v>
      </c>
      <c r="E2012" s="3">
        <v>288990</v>
      </c>
      <c r="F2012" s="2">
        <v>202846.68520000001</v>
      </c>
      <c r="G2012" t="s">
        <v>3581</v>
      </c>
      <c r="H2012" t="s">
        <v>8</v>
      </c>
      <c r="I2012">
        <f>HLOOKUP(G2012,zip_tiers!$A$1:$EON$2,2,FALSE)</f>
        <v>40453.666666666664</v>
      </c>
      <c r="J2012" t="str">
        <f t="shared" si="31"/>
        <v>Med</v>
      </c>
      <c r="K2012">
        <f>dataset[[#This Row],[soda_sales]]/dataset[[#This Row],[soda_units_sold]]</f>
        <v>0.70191593203917091</v>
      </c>
      <c r="L2012" s="29">
        <f>dataset[[#This Row],[implied_soda_ppu]]-dataset[[#This Row],[soda_ppu]]</f>
        <v>1.5932039170940548E-5</v>
      </c>
      <c r="M2012">
        <f>dataset[[#This Row],[soda_sales]]/dataset[[#This Row],[total_sales]]</f>
        <v>0.10682291503285596</v>
      </c>
      <c r="N2012">
        <f>LN(dataset[[#This Row],[soda_units_sold]])</f>
        <v>12.57414736441978</v>
      </c>
      <c r="O2012">
        <f>LN(dataset[[#This Row],[soda_sales]])</f>
        <v>12.220205727362304</v>
      </c>
      <c r="P2012">
        <f>LN(dataset[[#This Row],[soda_ppu]])</f>
        <v>-0.35396433524576132</v>
      </c>
      <c r="Q2012">
        <f>IF(dataset[[#This Row],[state]]="VA",1,0)</f>
        <v>0</v>
      </c>
    </row>
    <row r="2013" spans="1:17" x14ac:dyDescent="0.35">
      <c r="A2013">
        <v>202408</v>
      </c>
      <c r="B2013">
        <v>46</v>
      </c>
      <c r="C2013" s="2">
        <v>1756430.2520999999</v>
      </c>
      <c r="D2013" s="2">
        <v>0.72729999999999995</v>
      </c>
      <c r="E2013" s="3">
        <v>234914</v>
      </c>
      <c r="F2013" s="2">
        <v>170843.791</v>
      </c>
      <c r="G2013" t="s">
        <v>3581</v>
      </c>
      <c r="H2013" t="s">
        <v>8</v>
      </c>
      <c r="I2013">
        <f>HLOOKUP(G2013,zip_tiers!$A$1:$EON$2,2,FALSE)</f>
        <v>40453.666666666664</v>
      </c>
      <c r="J2013" t="str">
        <f t="shared" si="31"/>
        <v>Med</v>
      </c>
      <c r="K2013">
        <f>dataset[[#This Row],[soda_sales]]/dataset[[#This Row],[soda_units_sold]]</f>
        <v>0.72726100189856713</v>
      </c>
      <c r="L2013" s="29">
        <f>dataset[[#This Row],[implied_soda_ppu]]-dataset[[#This Row],[soda_ppu]]</f>
        <v>-3.8998101432818899E-5</v>
      </c>
      <c r="M2013">
        <f>dataset[[#This Row],[soda_sales]]/dataset[[#This Row],[total_sales]]</f>
        <v>9.7267620388420212E-2</v>
      </c>
      <c r="N2013">
        <f>LN(dataset[[#This Row],[soda_units_sold]])</f>
        <v>12.36697476870072</v>
      </c>
      <c r="O2013">
        <f>LN(dataset[[#This Row],[soda_sales]])</f>
        <v>12.048504915062749</v>
      </c>
      <c r="P2013">
        <f>LN(dataset[[#This Row],[soda_ppu]])</f>
        <v>-0.31841623182164214</v>
      </c>
      <c r="Q2013">
        <f>IF(dataset[[#This Row],[state]]="VA",1,0)</f>
        <v>0</v>
      </c>
    </row>
    <row r="2014" spans="1:17" x14ac:dyDescent="0.35">
      <c r="A2014">
        <v>202409</v>
      </c>
      <c r="B2014">
        <v>46</v>
      </c>
      <c r="C2014" s="2">
        <v>1776039.9146</v>
      </c>
      <c r="D2014" s="2">
        <v>0.73199999999999998</v>
      </c>
      <c r="E2014" s="3">
        <v>227749</v>
      </c>
      <c r="F2014" s="2">
        <v>166721.6857</v>
      </c>
      <c r="G2014" t="s">
        <v>3581</v>
      </c>
      <c r="H2014" t="s">
        <v>8</v>
      </c>
      <c r="I2014">
        <f>HLOOKUP(G2014,zip_tiers!$A$1:$EON$2,2,FALSE)</f>
        <v>40453.666666666664</v>
      </c>
      <c r="J2014" t="str">
        <f t="shared" si="31"/>
        <v>Med</v>
      </c>
      <c r="K2014">
        <f>dataset[[#This Row],[soda_sales]]/dataset[[#This Row],[soda_units_sold]]</f>
        <v>0.73204135122437419</v>
      </c>
      <c r="L2014" s="29">
        <f>dataset[[#This Row],[implied_soda_ppu]]-dataset[[#This Row],[soda_ppu]]</f>
        <v>4.1351224374208684E-5</v>
      </c>
      <c r="M2014">
        <f>dataset[[#This Row],[soda_sales]]/dataset[[#This Row],[total_sales]]</f>
        <v>9.3872713292904281E-2</v>
      </c>
      <c r="N2014">
        <f>LN(dataset[[#This Row],[soda_units_sold]])</f>
        <v>12.335999424333203</v>
      </c>
      <c r="O2014">
        <f>LN(dataset[[#This Row],[soda_sales]])</f>
        <v>12.024081148460516</v>
      </c>
      <c r="P2014">
        <f>LN(dataset[[#This Row],[soda_ppu]])</f>
        <v>-0.3119747650208255</v>
      </c>
      <c r="Q2014">
        <f>IF(dataset[[#This Row],[state]]="VA",1,0)</f>
        <v>0</v>
      </c>
    </row>
    <row r="2015" spans="1:17" x14ac:dyDescent="0.35">
      <c r="A2015">
        <v>202410</v>
      </c>
      <c r="B2015">
        <v>46</v>
      </c>
      <c r="C2015" s="2">
        <v>2172152.4747000001</v>
      </c>
      <c r="D2015" s="2">
        <v>0.70830000000000004</v>
      </c>
      <c r="E2015" s="3">
        <v>229918</v>
      </c>
      <c r="F2015" s="2">
        <v>162861.26569999999</v>
      </c>
      <c r="G2015" t="s">
        <v>3581</v>
      </c>
      <c r="H2015" t="s">
        <v>8</v>
      </c>
      <c r="I2015">
        <f>HLOOKUP(G2015,zip_tiers!$A$1:$EON$2,2,FALSE)</f>
        <v>40453.666666666664</v>
      </c>
      <c r="J2015" t="str">
        <f t="shared" si="31"/>
        <v>Med</v>
      </c>
      <c r="K2015">
        <f>dataset[[#This Row],[soda_sales]]/dataset[[#This Row],[soda_units_sold]]</f>
        <v>0.70834499995650624</v>
      </c>
      <c r="L2015" s="29">
        <f>dataset[[#This Row],[implied_soda_ppu]]-dataset[[#This Row],[soda_ppu]]</f>
        <v>4.4999956506197591E-5</v>
      </c>
      <c r="M2015">
        <f>dataset[[#This Row],[soda_sales]]/dataset[[#This Row],[total_sales]]</f>
        <v>7.4976903139588782E-2</v>
      </c>
      <c r="N2015">
        <f>LN(dataset[[#This Row],[soda_units_sold]])</f>
        <v>12.345478002597217</v>
      </c>
      <c r="O2015">
        <f>LN(dataset[[#This Row],[soda_sales]])</f>
        <v>12.000653986696681</v>
      </c>
      <c r="P2015">
        <f>LN(dataset[[#This Row],[soda_ppu]])</f>
        <v>-0.34488754622256007</v>
      </c>
      <c r="Q2015">
        <f>IF(dataset[[#This Row],[state]]="VA",1,0)</f>
        <v>0</v>
      </c>
    </row>
    <row r="2016" spans="1:17" x14ac:dyDescent="0.35">
      <c r="A2016">
        <v>202411</v>
      </c>
      <c r="B2016">
        <v>46</v>
      </c>
      <c r="C2016" s="2">
        <v>2482058.1411000001</v>
      </c>
      <c r="D2016" s="2">
        <v>0.69440000000000002</v>
      </c>
      <c r="E2016" s="3">
        <v>224516</v>
      </c>
      <c r="F2016" s="2">
        <v>155896.8474</v>
      </c>
      <c r="G2016" t="s">
        <v>3581</v>
      </c>
      <c r="H2016" t="s">
        <v>8</v>
      </c>
      <c r="I2016">
        <f>HLOOKUP(G2016,zip_tiers!$A$1:$EON$2,2,FALSE)</f>
        <v>40453.666666666664</v>
      </c>
      <c r="J2016" t="str">
        <f t="shared" si="31"/>
        <v>Med</v>
      </c>
      <c r="K2016">
        <f>dataset[[#This Row],[soda_sales]]/dataset[[#This Row],[soda_units_sold]]</f>
        <v>0.69436854121755243</v>
      </c>
      <c r="L2016" s="29">
        <f>dataset[[#This Row],[implied_soda_ppu]]-dataset[[#This Row],[soda_ppu]]</f>
        <v>-3.1458782447590927E-5</v>
      </c>
      <c r="M2016">
        <f>dataset[[#This Row],[soda_sales]]/dataset[[#This Row],[total_sales]]</f>
        <v>6.2809506682591054E-2</v>
      </c>
      <c r="N2016">
        <f>LN(dataset[[#This Row],[soda_units_sold]])</f>
        <v>12.321702253112647</v>
      </c>
      <c r="O2016">
        <f>LN(dataset[[#This Row],[soda_sales]])</f>
        <v>11.956949832904263</v>
      </c>
      <c r="P2016">
        <f>LN(dataset[[#This Row],[soda_ppu]])</f>
        <v>-0.36470711563599661</v>
      </c>
      <c r="Q2016">
        <f>IF(dataset[[#This Row],[state]]="VA",1,0)</f>
        <v>0</v>
      </c>
    </row>
    <row r="2017" spans="1:17" x14ac:dyDescent="0.35">
      <c r="A2017">
        <v>202412</v>
      </c>
      <c r="B2017">
        <v>46</v>
      </c>
      <c r="C2017" s="2">
        <v>2595394.8002999998</v>
      </c>
      <c r="D2017" s="2">
        <v>0.73319999999999996</v>
      </c>
      <c r="E2017" s="3">
        <v>201917</v>
      </c>
      <c r="F2017" s="2">
        <v>148044.61550000001</v>
      </c>
      <c r="G2017" t="s">
        <v>3581</v>
      </c>
      <c r="H2017" t="s">
        <v>8</v>
      </c>
      <c r="I2017">
        <f>HLOOKUP(G2017,zip_tiers!$A$1:$EON$2,2,FALSE)</f>
        <v>40453.666666666664</v>
      </c>
      <c r="J2017" t="str">
        <f t="shared" si="31"/>
        <v>Med</v>
      </c>
      <c r="K2017">
        <f>dataset[[#This Row],[soda_sales]]/dataset[[#This Row],[soda_units_sold]]</f>
        <v>0.73319539959488311</v>
      </c>
      <c r="L2017" s="29">
        <f>dataset[[#This Row],[implied_soda_ppu]]-dataset[[#This Row],[soda_ppu]]</f>
        <v>-4.6004051168502258E-6</v>
      </c>
      <c r="M2017">
        <f>dataset[[#This Row],[soda_sales]]/dataset[[#This Row],[total_sales]]</f>
        <v>5.7041269976686265E-2</v>
      </c>
      <c r="N2017">
        <f>LN(dataset[[#This Row],[soda_units_sold]])</f>
        <v>12.215612000855359</v>
      </c>
      <c r="O2017">
        <f>LN(dataset[[#This Row],[soda_sales]])</f>
        <v>11.905268963398578</v>
      </c>
      <c r="P2017">
        <f>LN(dataset[[#This Row],[soda_ppu]])</f>
        <v>-0.31033676301658714</v>
      </c>
      <c r="Q2017">
        <f>IF(dataset[[#This Row],[state]]="VA",1,0)</f>
        <v>0</v>
      </c>
    </row>
    <row r="2018" spans="1:17" x14ac:dyDescent="0.35">
      <c r="A2018">
        <v>202201</v>
      </c>
      <c r="B2018">
        <v>90</v>
      </c>
      <c r="C2018" s="2">
        <v>1672995.1057</v>
      </c>
      <c r="D2018" s="2">
        <v>0.7399</v>
      </c>
      <c r="E2018" s="3">
        <v>128234</v>
      </c>
      <c r="F2018" s="2">
        <v>94878.025699999998</v>
      </c>
      <c r="G2018" t="s">
        <v>3598</v>
      </c>
      <c r="H2018" t="s">
        <v>8</v>
      </c>
      <c r="I2018" t="str">
        <f>HLOOKUP(G2018,zip_tiers!$A$1:$EON$2,2,FALSE)</f>
        <v/>
      </c>
      <c r="J2018" t="str">
        <f t="shared" si="31"/>
        <v>No Data</v>
      </c>
      <c r="K2018">
        <f>dataset[[#This Row],[soda_sales]]/dataset[[#This Row],[soda_units_sold]]</f>
        <v>0.73988197903832054</v>
      </c>
      <c r="L2018" s="29">
        <f>dataset[[#This Row],[implied_soda_ppu]]-dataset[[#This Row],[soda_ppu]]</f>
        <v>-1.8020961679465763E-5</v>
      </c>
      <c r="M2018">
        <f>dataset[[#This Row],[soda_sales]]/dataset[[#This Row],[total_sales]]</f>
        <v>5.6711478340100679E-2</v>
      </c>
      <c r="N2018">
        <f>LN(dataset[[#This Row],[soda_units_sold]])</f>
        <v>11.761611998915015</v>
      </c>
      <c r="O2018">
        <f>LN(dataset[[#This Row],[soda_sales]])</f>
        <v>11.460347405625511</v>
      </c>
      <c r="P2018">
        <f>LN(dataset[[#This Row],[soda_ppu]])</f>
        <v>-0.3012402370506318</v>
      </c>
      <c r="Q2018">
        <f>IF(dataset[[#This Row],[state]]="VA",1,0)</f>
        <v>0</v>
      </c>
    </row>
    <row r="2019" spans="1:17" x14ac:dyDescent="0.35">
      <c r="A2019">
        <v>202202</v>
      </c>
      <c r="B2019">
        <v>90</v>
      </c>
      <c r="C2019" s="2">
        <v>1894664.1111999999</v>
      </c>
      <c r="D2019" s="2">
        <v>0.7198</v>
      </c>
      <c r="E2019" s="3">
        <v>154199</v>
      </c>
      <c r="F2019" s="2">
        <v>110999.3653</v>
      </c>
      <c r="G2019" t="s">
        <v>3598</v>
      </c>
      <c r="H2019" t="s">
        <v>8</v>
      </c>
      <c r="I2019" t="str">
        <f>HLOOKUP(G2019,zip_tiers!$A$1:$EON$2,2,FALSE)</f>
        <v/>
      </c>
      <c r="J2019" t="str">
        <f t="shared" si="31"/>
        <v>No Data</v>
      </c>
      <c r="K2019">
        <f>dataset[[#This Row],[soda_sales]]/dataset[[#This Row],[soda_units_sold]]</f>
        <v>0.71984491014857432</v>
      </c>
      <c r="L2019" s="29">
        <f>dataset[[#This Row],[implied_soda_ppu]]-dataset[[#This Row],[soda_ppu]]</f>
        <v>4.4910148574328623E-5</v>
      </c>
      <c r="M2019">
        <f>dataset[[#This Row],[soda_sales]]/dataset[[#This Row],[total_sales]]</f>
        <v>5.8585247191755646E-2</v>
      </c>
      <c r="N2019">
        <f>LN(dataset[[#This Row],[soda_units_sold]])</f>
        <v>11.945999255006031</v>
      </c>
      <c r="O2019">
        <f>LN(dataset[[#This Row],[soda_sales]])</f>
        <v>11.617279762260106</v>
      </c>
      <c r="P2019">
        <f>LN(dataset[[#This Row],[soda_ppu]])</f>
        <v>-0.32878188333720676</v>
      </c>
      <c r="Q2019">
        <f>IF(dataset[[#This Row],[state]]="VA",1,0)</f>
        <v>0</v>
      </c>
    </row>
    <row r="2020" spans="1:17" x14ac:dyDescent="0.35">
      <c r="A2020">
        <v>202203</v>
      </c>
      <c r="B2020">
        <v>90</v>
      </c>
      <c r="C2020" s="2">
        <v>2065880.9291999999</v>
      </c>
      <c r="D2020" s="2">
        <v>0.73529999999999995</v>
      </c>
      <c r="E2020" s="3">
        <v>168522</v>
      </c>
      <c r="F2020" s="2">
        <v>123913.742</v>
      </c>
      <c r="G2020" t="s">
        <v>3598</v>
      </c>
      <c r="H2020" t="s">
        <v>8</v>
      </c>
      <c r="I2020" t="str">
        <f>HLOOKUP(G2020,zip_tiers!$A$1:$EON$2,2,FALSE)</f>
        <v/>
      </c>
      <c r="J2020" t="str">
        <f t="shared" si="31"/>
        <v>No Data</v>
      </c>
      <c r="K2020">
        <f>dataset[[#This Row],[soda_sales]]/dataset[[#This Row],[soda_units_sold]]</f>
        <v>0.7352971244110561</v>
      </c>
      <c r="L2020" s="29">
        <f>dataset[[#This Row],[implied_soda_ppu]]-dataset[[#This Row],[soda_ppu]]</f>
        <v>-2.8755889438514259E-6</v>
      </c>
      <c r="M2020">
        <f>dataset[[#This Row],[soda_sales]]/dataset[[#This Row],[total_sales]]</f>
        <v>5.9981066792646594E-2</v>
      </c>
      <c r="N2020">
        <f>LN(dataset[[#This Row],[soda_units_sold]])</f>
        <v>12.034821584050063</v>
      </c>
      <c r="O2020">
        <f>LN(dataset[[#This Row],[soda_sales]])</f>
        <v>11.727340973492778</v>
      </c>
      <c r="P2020">
        <f>LN(dataset[[#This Row],[soda_ppu]])</f>
        <v>-0.30747669977996056</v>
      </c>
      <c r="Q2020">
        <f>IF(dataset[[#This Row],[state]]="VA",1,0)</f>
        <v>0</v>
      </c>
    </row>
    <row r="2021" spans="1:17" x14ac:dyDescent="0.35">
      <c r="A2021">
        <v>202204</v>
      </c>
      <c r="B2021">
        <v>90</v>
      </c>
      <c r="C2021" s="2">
        <v>2159180.33</v>
      </c>
      <c r="D2021" s="2">
        <v>0.7329</v>
      </c>
      <c r="E2021" s="3">
        <v>196872</v>
      </c>
      <c r="F2021" s="2">
        <v>144284.1153</v>
      </c>
      <c r="G2021" t="s">
        <v>3598</v>
      </c>
      <c r="H2021" t="s">
        <v>8</v>
      </c>
      <c r="I2021" t="str">
        <f>HLOOKUP(G2021,zip_tiers!$A$1:$EON$2,2,FALSE)</f>
        <v/>
      </c>
      <c r="J2021" t="str">
        <f t="shared" si="31"/>
        <v>No Data</v>
      </c>
      <c r="K2021">
        <f>dataset[[#This Row],[soda_sales]]/dataset[[#This Row],[soda_units_sold]]</f>
        <v>0.73288286450079243</v>
      </c>
      <c r="L2021" s="29">
        <f>dataset[[#This Row],[implied_soda_ppu]]-dataset[[#This Row],[soda_ppu]]</f>
        <v>-1.713549920756563E-5</v>
      </c>
      <c r="M2021">
        <f>dataset[[#This Row],[soda_sales]]/dataset[[#This Row],[total_sales]]</f>
        <v>6.6823559521774642E-2</v>
      </c>
      <c r="N2021">
        <f>LN(dataset[[#This Row],[soda_units_sold]])</f>
        <v>12.190309050350695</v>
      </c>
      <c r="O2021">
        <f>LN(dataset[[#This Row],[soda_sales]])</f>
        <v>11.879539657621514</v>
      </c>
      <c r="P2021">
        <f>LN(dataset[[#This Row],[soda_ppu]])</f>
        <v>-0.31074601205033259</v>
      </c>
      <c r="Q2021">
        <f>IF(dataset[[#This Row],[state]]="VA",1,0)</f>
        <v>0</v>
      </c>
    </row>
    <row r="2022" spans="1:17" x14ac:dyDescent="0.35">
      <c r="A2022">
        <v>202205</v>
      </c>
      <c r="B2022">
        <v>90</v>
      </c>
      <c r="C2022" s="2">
        <v>2308833.6609999998</v>
      </c>
      <c r="D2022" s="2">
        <v>0.73560000000000003</v>
      </c>
      <c r="E2022" s="3">
        <v>217966</v>
      </c>
      <c r="F2022" s="2">
        <v>160329.2928</v>
      </c>
      <c r="G2022" t="s">
        <v>3598</v>
      </c>
      <c r="H2022" t="s">
        <v>8</v>
      </c>
      <c r="I2022" t="str">
        <f>HLOOKUP(G2022,zip_tiers!$A$1:$EON$2,2,FALSE)</f>
        <v/>
      </c>
      <c r="J2022" t="str">
        <f t="shared" si="31"/>
        <v>No Data</v>
      </c>
      <c r="K2022">
        <f>dataset[[#This Row],[soda_sales]]/dataset[[#This Row],[soda_units_sold]]</f>
        <v>0.73557019351641995</v>
      </c>
      <c r="L2022" s="29">
        <f>dataset[[#This Row],[implied_soda_ppu]]-dataset[[#This Row],[soda_ppu]]</f>
        <v>-2.9806483580085974E-5</v>
      </c>
      <c r="M2022">
        <f>dataset[[#This Row],[soda_sales]]/dataset[[#This Row],[total_sales]]</f>
        <v>6.9441681966191673E-2</v>
      </c>
      <c r="N2022">
        <f>LN(dataset[[#This Row],[soda_units_sold]])</f>
        <v>12.292094366304934</v>
      </c>
      <c r="O2022">
        <f>LN(dataset[[#This Row],[soda_sales]])</f>
        <v>11.984985059270642</v>
      </c>
      <c r="P2022">
        <f>LN(dataset[[#This Row],[soda_ppu]])</f>
        <v>-0.30706878625197098</v>
      </c>
      <c r="Q2022">
        <f>IF(dataset[[#This Row],[state]]="VA",1,0)</f>
        <v>0</v>
      </c>
    </row>
    <row r="2023" spans="1:17" x14ac:dyDescent="0.35">
      <c r="A2023">
        <v>202206</v>
      </c>
      <c r="B2023">
        <v>90</v>
      </c>
      <c r="C2023" s="2">
        <v>2175844.3133</v>
      </c>
      <c r="D2023" s="2">
        <v>0.73170000000000002</v>
      </c>
      <c r="E2023" s="3">
        <v>226242</v>
      </c>
      <c r="F2023" s="2">
        <v>165541.4754</v>
      </c>
      <c r="G2023" t="s">
        <v>3598</v>
      </c>
      <c r="H2023" t="s">
        <v>8</v>
      </c>
      <c r="I2023" t="str">
        <f>HLOOKUP(G2023,zip_tiers!$A$1:$EON$2,2,FALSE)</f>
        <v/>
      </c>
      <c r="J2023" t="str">
        <f t="shared" si="31"/>
        <v>No Data</v>
      </c>
      <c r="K2023">
        <f>dataset[[#This Row],[soda_sales]]/dataset[[#This Row],[soda_units_sold]]</f>
        <v>0.73170090168934143</v>
      </c>
      <c r="L2023" s="29">
        <f>dataset[[#This Row],[implied_soda_ppu]]-dataset[[#This Row],[soda_ppu]]</f>
        <v>9.0168934141487966E-7</v>
      </c>
      <c r="M2023">
        <f>dataset[[#This Row],[soda_sales]]/dataset[[#This Row],[total_sales]]</f>
        <v>7.6081489097412067E-2</v>
      </c>
      <c r="N2023">
        <f>LN(dataset[[#This Row],[soda_units_sold]])</f>
        <v>12.329360501821002</v>
      </c>
      <c r="O2023">
        <f>LN(dataset[[#This Row],[soda_sales]])</f>
        <v>12.01697704904918</v>
      </c>
      <c r="P2023">
        <f>LN(dataset[[#This Row],[soda_ppu]])</f>
        <v>-0.31238468509215273</v>
      </c>
      <c r="Q2023">
        <f>IF(dataset[[#This Row],[state]]="VA",1,0)</f>
        <v>0</v>
      </c>
    </row>
    <row r="2024" spans="1:17" x14ac:dyDescent="0.35">
      <c r="A2024">
        <v>202207</v>
      </c>
      <c r="B2024">
        <v>90</v>
      </c>
      <c r="C2024" s="2">
        <v>2105436.9010000001</v>
      </c>
      <c r="D2024" s="2">
        <v>0.73419999999999996</v>
      </c>
      <c r="E2024" s="3">
        <v>235506</v>
      </c>
      <c r="F2024" s="2">
        <v>172898.75769999999</v>
      </c>
      <c r="G2024" t="s">
        <v>3598</v>
      </c>
      <c r="H2024" t="s">
        <v>8</v>
      </c>
      <c r="I2024" t="str">
        <f>HLOOKUP(G2024,zip_tiers!$A$1:$EON$2,2,FALSE)</f>
        <v/>
      </c>
      <c r="J2024" t="str">
        <f t="shared" si="31"/>
        <v>No Data</v>
      </c>
      <c r="K2024">
        <f>dataset[[#This Row],[soda_sales]]/dataset[[#This Row],[soda_units_sold]]</f>
        <v>0.73415861039633801</v>
      </c>
      <c r="L2024" s="29">
        <f>dataset[[#This Row],[implied_soda_ppu]]-dataset[[#This Row],[soda_ppu]]</f>
        <v>-4.1389603661956542E-5</v>
      </c>
      <c r="M2024">
        <f>dataset[[#This Row],[soda_sales]]/dataset[[#This Row],[total_sales]]</f>
        <v>8.2120132699241594E-2</v>
      </c>
      <c r="N2024">
        <f>LN(dataset[[#This Row],[soda_units_sold]])</f>
        <v>12.369491669821064</v>
      </c>
      <c r="O2024">
        <f>LN(dataset[[#This Row],[soda_sales]])</f>
        <v>12.060461486567489</v>
      </c>
      <c r="P2024">
        <f>LN(dataset[[#This Row],[soda_ppu]])</f>
        <v>-0.30897380791940321</v>
      </c>
      <c r="Q2024">
        <f>IF(dataset[[#This Row],[state]]="VA",1,0)</f>
        <v>0</v>
      </c>
    </row>
    <row r="2025" spans="1:17" x14ac:dyDescent="0.35">
      <c r="A2025">
        <v>202208</v>
      </c>
      <c r="B2025">
        <v>90</v>
      </c>
      <c r="C2025" s="2">
        <v>1973025.1731</v>
      </c>
      <c r="D2025" s="2">
        <v>0.70620000000000005</v>
      </c>
      <c r="E2025" s="3">
        <v>218094</v>
      </c>
      <c r="F2025" s="2">
        <v>154023.3173</v>
      </c>
      <c r="G2025" t="s">
        <v>3598</v>
      </c>
      <c r="H2025" t="s">
        <v>8</v>
      </c>
      <c r="I2025" t="str">
        <f>HLOOKUP(G2025,zip_tiers!$A$1:$EON$2,2,FALSE)</f>
        <v/>
      </c>
      <c r="J2025" t="str">
        <f t="shared" si="31"/>
        <v>No Data</v>
      </c>
      <c r="K2025">
        <f>dataset[[#This Row],[soda_sales]]/dataset[[#This Row],[soda_units_sold]]</f>
        <v>0.70622445963667035</v>
      </c>
      <c r="L2025" s="29">
        <f>dataset[[#This Row],[implied_soda_ppu]]-dataset[[#This Row],[soda_ppu]]</f>
        <v>2.4459636670304263E-5</v>
      </c>
      <c r="M2025">
        <f>dataset[[#This Row],[soda_sales]]/dataset[[#This Row],[total_sales]]</f>
        <v>7.8064547477617777E-2</v>
      </c>
      <c r="N2025">
        <f>LN(dataset[[#This Row],[soda_units_sold]])</f>
        <v>12.292681441494937</v>
      </c>
      <c r="O2025">
        <f>LN(dataset[[#This Row],[soda_sales]])</f>
        <v>11.944859280973233</v>
      </c>
      <c r="P2025">
        <f>LN(dataset[[#This Row],[soda_ppu]])</f>
        <v>-0.34785679548785092</v>
      </c>
      <c r="Q2025">
        <f>IF(dataset[[#This Row],[state]]="VA",1,0)</f>
        <v>0</v>
      </c>
    </row>
    <row r="2026" spans="1:17" x14ac:dyDescent="0.35">
      <c r="A2026">
        <v>202209</v>
      </c>
      <c r="B2026">
        <v>90</v>
      </c>
      <c r="C2026" s="2">
        <v>1999182.1772</v>
      </c>
      <c r="D2026" s="2">
        <v>0.71379999999999999</v>
      </c>
      <c r="E2026" s="3">
        <v>208961</v>
      </c>
      <c r="F2026" s="2">
        <v>149153.99050000001</v>
      </c>
      <c r="G2026" t="s">
        <v>3598</v>
      </c>
      <c r="H2026" t="s">
        <v>8</v>
      </c>
      <c r="I2026" t="str">
        <f>HLOOKUP(G2026,zip_tiers!$A$1:$EON$2,2,FALSE)</f>
        <v/>
      </c>
      <c r="J2026" t="str">
        <f t="shared" si="31"/>
        <v>No Data</v>
      </c>
      <c r="K2026">
        <f>dataset[[#This Row],[soda_sales]]/dataset[[#This Row],[soda_units_sold]]</f>
        <v>0.71378865194940688</v>
      </c>
      <c r="L2026" s="29">
        <f>dataset[[#This Row],[implied_soda_ppu]]-dataset[[#This Row],[soda_ppu]]</f>
        <v>-1.1348050593107395E-5</v>
      </c>
      <c r="M2026">
        <f>dataset[[#This Row],[soda_sales]]/dataset[[#This Row],[total_sales]]</f>
        <v>7.4607503108546622E-2</v>
      </c>
      <c r="N2026">
        <f>LN(dataset[[#This Row],[soda_units_sold]])</f>
        <v>12.249902910663653</v>
      </c>
      <c r="O2026">
        <f>LN(dataset[[#This Row],[soda_sales]])</f>
        <v>11.912734544529673</v>
      </c>
      <c r="P2026">
        <f>LN(dataset[[#This Row],[soda_ppu]])</f>
        <v>-0.33715246792607712</v>
      </c>
      <c r="Q2026">
        <f>IF(dataset[[#This Row],[state]]="VA",1,0)</f>
        <v>0</v>
      </c>
    </row>
    <row r="2027" spans="1:17" x14ac:dyDescent="0.35">
      <c r="A2027">
        <v>202210</v>
      </c>
      <c r="B2027">
        <v>90</v>
      </c>
      <c r="C2027" s="2">
        <v>2443764.5514000002</v>
      </c>
      <c r="D2027" s="2">
        <v>0.74529999999999996</v>
      </c>
      <c r="E2027" s="3">
        <v>186708</v>
      </c>
      <c r="F2027" s="2">
        <v>139151.0534</v>
      </c>
      <c r="G2027" t="s">
        <v>3598</v>
      </c>
      <c r="H2027" t="s">
        <v>8</v>
      </c>
      <c r="I2027" t="str">
        <f>HLOOKUP(G2027,zip_tiers!$A$1:$EON$2,2,FALSE)</f>
        <v/>
      </c>
      <c r="J2027" t="str">
        <f t="shared" si="31"/>
        <v>No Data</v>
      </c>
      <c r="K2027">
        <f>dataset[[#This Row],[soda_sales]]/dataset[[#This Row],[soda_units_sold]]</f>
        <v>0.74528704394027034</v>
      </c>
      <c r="L2027" s="29">
        <f>dataset[[#This Row],[implied_soda_ppu]]-dataset[[#This Row],[soda_ppu]]</f>
        <v>-1.2956059729618552E-5</v>
      </c>
      <c r="M2027">
        <f>dataset[[#This Row],[soda_sales]]/dataset[[#This Row],[total_sales]]</f>
        <v>5.6941268470517017E-2</v>
      </c>
      <c r="N2027">
        <f>LN(dataset[[#This Row],[soda_units_sold]])</f>
        <v>12.137301178102962</v>
      </c>
      <c r="O2027">
        <f>LN(dataset[[#This Row],[soda_sales]])</f>
        <v>11.843315337173317</v>
      </c>
      <c r="P2027">
        <f>LN(dataset[[#This Row],[soda_ppu]])</f>
        <v>-0.29396845709448899</v>
      </c>
      <c r="Q2027">
        <f>IF(dataset[[#This Row],[state]]="VA",1,0)</f>
        <v>0</v>
      </c>
    </row>
    <row r="2028" spans="1:17" x14ac:dyDescent="0.35">
      <c r="A2028">
        <v>202211</v>
      </c>
      <c r="B2028">
        <v>90</v>
      </c>
      <c r="C2028" s="2">
        <v>2775023.6264999998</v>
      </c>
      <c r="D2028" s="2">
        <v>0.70520000000000005</v>
      </c>
      <c r="E2028" s="3">
        <v>191755</v>
      </c>
      <c r="F2028" s="2">
        <v>135235.18419999999</v>
      </c>
      <c r="G2028" t="s">
        <v>3598</v>
      </c>
      <c r="H2028" t="s">
        <v>8</v>
      </c>
      <c r="I2028" t="str">
        <f>HLOOKUP(G2028,zip_tiers!$A$1:$EON$2,2,FALSE)</f>
        <v/>
      </c>
      <c r="J2028" t="str">
        <f t="shared" si="31"/>
        <v>No Data</v>
      </c>
      <c r="K2028">
        <f>dataset[[#This Row],[soda_sales]]/dataset[[#This Row],[soda_units_sold]]</f>
        <v>0.70524984589710826</v>
      </c>
      <c r="L2028" s="29">
        <f>dataset[[#This Row],[implied_soda_ppu]]-dataset[[#This Row],[soda_ppu]]</f>
        <v>4.9845897108213855E-5</v>
      </c>
      <c r="M2028">
        <f>dataset[[#This Row],[soda_sales]]/dataset[[#This Row],[total_sales]]</f>
        <v>4.8732984796444938E-2</v>
      </c>
      <c r="N2028">
        <f>LN(dataset[[#This Row],[soda_units_sold]])</f>
        <v>12.163973794508836</v>
      </c>
      <c r="O2028">
        <f>LN(dataset[[#This Row],[soda_sales]])</f>
        <v>11.814770646900604</v>
      </c>
      <c r="P2028">
        <f>LN(dataset[[#This Row],[soda_ppu]])</f>
        <v>-0.34927382845842181</v>
      </c>
      <c r="Q2028">
        <f>IF(dataset[[#This Row],[state]]="VA",1,0)</f>
        <v>0</v>
      </c>
    </row>
    <row r="2029" spans="1:17" x14ac:dyDescent="0.35">
      <c r="A2029">
        <v>202212</v>
      </c>
      <c r="B2029">
        <v>90</v>
      </c>
      <c r="C2029" s="2">
        <v>2901502.2847000002</v>
      </c>
      <c r="D2029" s="2">
        <v>0.73680000000000001</v>
      </c>
      <c r="E2029" s="3">
        <v>174941</v>
      </c>
      <c r="F2029" s="2">
        <v>128899.6097</v>
      </c>
      <c r="G2029" t="s">
        <v>3598</v>
      </c>
      <c r="H2029" t="s">
        <v>8</v>
      </c>
      <c r="I2029" t="str">
        <f>HLOOKUP(G2029,zip_tiers!$A$1:$EON$2,2,FALSE)</f>
        <v/>
      </c>
      <c r="J2029" t="str">
        <f t="shared" si="31"/>
        <v>No Data</v>
      </c>
      <c r="K2029">
        <f>dataset[[#This Row],[soda_sales]]/dataset[[#This Row],[soda_units_sold]]</f>
        <v>0.73681761108030708</v>
      </c>
      <c r="L2029" s="29">
        <f>dataset[[#This Row],[implied_soda_ppu]]-dataset[[#This Row],[soda_ppu]]</f>
        <v>1.7611080307067262E-5</v>
      </c>
      <c r="M2029">
        <f>dataset[[#This Row],[soda_sales]]/dataset[[#This Row],[total_sales]]</f>
        <v>4.4425127762161155E-2</v>
      </c>
      <c r="N2029">
        <f>LN(dataset[[#This Row],[soda_units_sold]])</f>
        <v>12.072204053203079</v>
      </c>
      <c r="O2029">
        <f>LN(dataset[[#This Row],[soda_sales]])</f>
        <v>11.766789160994067</v>
      </c>
      <c r="P2029">
        <f>LN(dataset[[#This Row],[soda_ppu]])</f>
        <v>-0.30543879404103996</v>
      </c>
      <c r="Q2029">
        <f>IF(dataset[[#This Row],[state]]="VA",1,0)</f>
        <v>0</v>
      </c>
    </row>
    <row r="2030" spans="1:17" x14ac:dyDescent="0.35">
      <c r="A2030">
        <v>202301</v>
      </c>
      <c r="B2030">
        <v>90</v>
      </c>
      <c r="C2030" s="2">
        <v>1683863.6580999999</v>
      </c>
      <c r="D2030" s="2">
        <v>0.7601</v>
      </c>
      <c r="E2030" s="3">
        <v>124820</v>
      </c>
      <c r="F2030" s="2">
        <v>94874.339000000007</v>
      </c>
      <c r="G2030" t="s">
        <v>3598</v>
      </c>
      <c r="H2030" t="s">
        <v>8</v>
      </c>
      <c r="I2030" t="str">
        <f>HLOOKUP(G2030,zip_tiers!$A$1:$EON$2,2,FALSE)</f>
        <v/>
      </c>
      <c r="J2030" t="str">
        <f t="shared" si="31"/>
        <v>No Data</v>
      </c>
      <c r="K2030">
        <f>dataset[[#This Row],[soda_sales]]/dataset[[#This Row],[soda_units_sold]]</f>
        <v>0.7600892405063292</v>
      </c>
      <c r="L2030" s="29">
        <f>dataset[[#This Row],[implied_soda_ppu]]-dataset[[#This Row],[soda_ppu]]</f>
        <v>-1.075949367079776E-5</v>
      </c>
      <c r="M2030">
        <f>dataset[[#This Row],[soda_sales]]/dataset[[#This Row],[total_sales]]</f>
        <v>5.6343242841318981E-2</v>
      </c>
      <c r="N2030">
        <f>LN(dataset[[#This Row],[soda_units_sold]])</f>
        <v>11.734627978488033</v>
      </c>
      <c r="O2030">
        <f>LN(dataset[[#This Row],[soda_sales]])</f>
        <v>11.460308547611737</v>
      </c>
      <c r="P2030">
        <f>LN(dataset[[#This Row],[soda_ppu]])</f>
        <v>-0.27430527541014232</v>
      </c>
      <c r="Q2030">
        <f>IF(dataset[[#This Row],[state]]="VA",1,0)</f>
        <v>0</v>
      </c>
    </row>
    <row r="2031" spans="1:17" x14ac:dyDescent="0.35">
      <c r="A2031">
        <v>202302</v>
      </c>
      <c r="B2031">
        <v>90</v>
      </c>
      <c r="C2031" s="2">
        <v>1885097.3906</v>
      </c>
      <c r="D2031" s="2">
        <v>0.74390000000000001</v>
      </c>
      <c r="E2031" s="3">
        <v>145924</v>
      </c>
      <c r="F2031" s="2">
        <v>108552.2227</v>
      </c>
      <c r="G2031" t="s">
        <v>3598</v>
      </c>
      <c r="H2031" t="s">
        <v>8</v>
      </c>
      <c r="I2031" t="str">
        <f>HLOOKUP(G2031,zip_tiers!$A$1:$EON$2,2,FALSE)</f>
        <v/>
      </c>
      <c r="J2031" t="str">
        <f t="shared" si="31"/>
        <v>No Data</v>
      </c>
      <c r="K2031">
        <f>dataset[[#This Row],[soda_sales]]/dataset[[#This Row],[soda_units_sold]]</f>
        <v>0.74389560798771959</v>
      </c>
      <c r="L2031" s="29">
        <f>dataset[[#This Row],[implied_soda_ppu]]-dataset[[#This Row],[soda_ppu]]</f>
        <v>-4.3920122804186335E-6</v>
      </c>
      <c r="M2031">
        <f>dataset[[#This Row],[soda_sales]]/dataset[[#This Row],[total_sales]]</f>
        <v>5.7584410885768267E-2</v>
      </c>
      <c r="N2031">
        <f>LN(dataset[[#This Row],[soda_units_sold]])</f>
        <v>11.890841217213151</v>
      </c>
      <c r="O2031">
        <f>LN(dataset[[#This Row],[soda_sales]])</f>
        <v>11.594986651375015</v>
      </c>
      <c r="P2031">
        <f>LN(dataset[[#This Row],[soda_ppu]])</f>
        <v>-0.29584866178484137</v>
      </c>
      <c r="Q2031">
        <f>IF(dataset[[#This Row],[state]]="VA",1,0)</f>
        <v>0</v>
      </c>
    </row>
    <row r="2032" spans="1:17" x14ac:dyDescent="0.35">
      <c r="A2032">
        <v>202303</v>
      </c>
      <c r="B2032">
        <v>90</v>
      </c>
      <c r="C2032" s="2">
        <v>2114983.5230999999</v>
      </c>
      <c r="D2032" s="2">
        <v>0.76939999999999997</v>
      </c>
      <c r="E2032" s="3">
        <v>164845</v>
      </c>
      <c r="F2032" s="2">
        <v>126833.2582</v>
      </c>
      <c r="G2032" t="s">
        <v>3598</v>
      </c>
      <c r="H2032" t="s">
        <v>8</v>
      </c>
      <c r="I2032" t="str">
        <f>HLOOKUP(G2032,zip_tiers!$A$1:$EON$2,2,FALSE)</f>
        <v/>
      </c>
      <c r="J2032" t="str">
        <f t="shared" si="31"/>
        <v>No Data</v>
      </c>
      <c r="K2032">
        <f>dataset[[#This Row],[soda_sales]]/dataset[[#This Row],[soda_units_sold]]</f>
        <v>0.7694091916648973</v>
      </c>
      <c r="L2032" s="29">
        <f>dataset[[#This Row],[implied_soda_ppu]]-dataset[[#This Row],[soda_ppu]]</f>
        <v>9.1916648973233706E-6</v>
      </c>
      <c r="M2032">
        <f>dataset[[#This Row],[soda_sales]]/dataset[[#This Row],[total_sales]]</f>
        <v>5.9968910780967402E-2</v>
      </c>
      <c r="N2032">
        <f>LN(dataset[[#This Row],[soda_units_sold]])</f>
        <v>12.012760917436315</v>
      </c>
      <c r="O2032">
        <f>LN(dataset[[#This Row],[soda_sales]])</f>
        <v>11.750628575237142</v>
      </c>
      <c r="P2032">
        <f>LN(dataset[[#This Row],[soda_ppu]])</f>
        <v>-0.26214428866394235</v>
      </c>
      <c r="Q2032">
        <f>IF(dataset[[#This Row],[state]]="VA",1,0)</f>
        <v>0</v>
      </c>
    </row>
    <row r="2033" spans="1:17" x14ac:dyDescent="0.35">
      <c r="A2033">
        <v>202304</v>
      </c>
      <c r="B2033">
        <v>90</v>
      </c>
      <c r="C2033" s="2">
        <v>2212562.5724999998</v>
      </c>
      <c r="D2033" s="2">
        <v>0.72950000000000004</v>
      </c>
      <c r="E2033" s="3">
        <v>199469</v>
      </c>
      <c r="F2033" s="2">
        <v>145520.4694</v>
      </c>
      <c r="G2033" t="s">
        <v>3598</v>
      </c>
      <c r="H2033" t="s">
        <v>8</v>
      </c>
      <c r="I2033" t="str">
        <f>HLOOKUP(G2033,zip_tiers!$A$1:$EON$2,2,FALSE)</f>
        <v/>
      </c>
      <c r="J2033" t="str">
        <f t="shared" si="31"/>
        <v>No Data</v>
      </c>
      <c r="K2033">
        <f>dataset[[#This Row],[soda_sales]]/dataset[[#This Row],[soda_units_sold]]</f>
        <v>0.72953927377186434</v>
      </c>
      <c r="L2033" s="29">
        <f>dataset[[#This Row],[implied_soda_ppu]]-dataset[[#This Row],[soda_ppu]]</f>
        <v>3.9273771864301033E-5</v>
      </c>
      <c r="M2033">
        <f>dataset[[#This Row],[soda_sales]]/dataset[[#This Row],[total_sales]]</f>
        <v>6.5770103502914609E-2</v>
      </c>
      <c r="N2033">
        <f>LN(dataset[[#This Row],[soda_units_sold]])</f>
        <v>12.203414114766838</v>
      </c>
      <c r="O2033">
        <f>LN(dataset[[#This Row],[soda_sales]])</f>
        <v>11.888072038860248</v>
      </c>
      <c r="P2033">
        <f>LN(dataset[[#This Row],[soda_ppu]])</f>
        <v>-0.31539591101929665</v>
      </c>
      <c r="Q2033">
        <f>IF(dataset[[#This Row],[state]]="VA",1,0)</f>
        <v>0</v>
      </c>
    </row>
    <row r="2034" spans="1:17" x14ac:dyDescent="0.35">
      <c r="A2034">
        <v>202305</v>
      </c>
      <c r="B2034">
        <v>90</v>
      </c>
      <c r="C2034" s="2">
        <v>2290043.7111</v>
      </c>
      <c r="D2034" s="2">
        <v>0.75639999999999996</v>
      </c>
      <c r="E2034" s="3">
        <v>213638</v>
      </c>
      <c r="F2034" s="2">
        <v>161602.85310000001</v>
      </c>
      <c r="G2034" t="s">
        <v>3598</v>
      </c>
      <c r="H2034" t="s">
        <v>8</v>
      </c>
      <c r="I2034" t="str">
        <f>HLOOKUP(G2034,zip_tiers!$A$1:$EON$2,2,FALSE)</f>
        <v/>
      </c>
      <c r="J2034" t="str">
        <f t="shared" si="31"/>
        <v>No Data</v>
      </c>
      <c r="K2034">
        <f>dataset[[#This Row],[soda_sales]]/dataset[[#This Row],[soda_units_sold]]</f>
        <v>0.75643309289545868</v>
      </c>
      <c r="L2034" s="29">
        <f>dataset[[#This Row],[implied_soda_ppu]]-dataset[[#This Row],[soda_ppu]]</f>
        <v>3.3092895458719518E-5</v>
      </c>
      <c r="M2034">
        <f>dataset[[#This Row],[soda_sales]]/dataset[[#This Row],[total_sales]]</f>
        <v>7.0567584503605688E-2</v>
      </c>
      <c r="N2034">
        <f>LN(dataset[[#This Row],[soda_units_sold]])</f>
        <v>12.272038272867105</v>
      </c>
      <c r="O2034">
        <f>LN(dataset[[#This Row],[soda_sales]])</f>
        <v>11.992897080235061</v>
      </c>
      <c r="P2034">
        <f>LN(dataset[[#This Row],[soda_ppu]])</f>
        <v>-0.27918494219783468</v>
      </c>
      <c r="Q2034">
        <f>IF(dataset[[#This Row],[state]]="VA",1,0)</f>
        <v>0</v>
      </c>
    </row>
    <row r="2035" spans="1:17" x14ac:dyDescent="0.35">
      <c r="A2035">
        <v>202306</v>
      </c>
      <c r="B2035">
        <v>90</v>
      </c>
      <c r="C2035" s="2">
        <v>2233502.6603000001</v>
      </c>
      <c r="D2035" s="2">
        <v>0.75529999999999997</v>
      </c>
      <c r="E2035" s="3">
        <v>224590</v>
      </c>
      <c r="F2035" s="2">
        <v>169640.4099</v>
      </c>
      <c r="G2035" t="s">
        <v>3598</v>
      </c>
      <c r="H2035" t="s">
        <v>8</v>
      </c>
      <c r="I2035" t="str">
        <f>HLOOKUP(G2035,zip_tiers!$A$1:$EON$2,2,FALSE)</f>
        <v/>
      </c>
      <c r="J2035" t="str">
        <f t="shared" si="31"/>
        <v>No Data</v>
      </c>
      <c r="K2035">
        <f>dataset[[#This Row],[soda_sales]]/dataset[[#This Row],[soda_units_sold]]</f>
        <v>0.75533376330201696</v>
      </c>
      <c r="L2035" s="29">
        <f>dataset[[#This Row],[implied_soda_ppu]]-dataset[[#This Row],[soda_ppu]]</f>
        <v>3.3763302016986962E-5</v>
      </c>
      <c r="M2035">
        <f>dataset[[#This Row],[soda_sales]]/dataset[[#This Row],[total_sales]]</f>
        <v>7.5952633912338474E-2</v>
      </c>
      <c r="N2035">
        <f>LN(dataset[[#This Row],[soda_units_sold]])</f>
        <v>12.322031796697768</v>
      </c>
      <c r="O2035">
        <f>LN(dataset[[#This Row],[soda_sales]])</f>
        <v>12.041436239878935</v>
      </c>
      <c r="P2035">
        <f>LN(dataset[[#This Row],[soda_ppu]])</f>
        <v>-0.28064025766273482</v>
      </c>
      <c r="Q2035">
        <f>IF(dataset[[#This Row],[state]]="VA",1,0)</f>
        <v>0</v>
      </c>
    </row>
    <row r="2036" spans="1:17" x14ac:dyDescent="0.35">
      <c r="A2036">
        <v>202307</v>
      </c>
      <c r="B2036">
        <v>90</v>
      </c>
      <c r="C2036" s="2">
        <v>2116825.5021000002</v>
      </c>
      <c r="D2036" s="2">
        <v>0.75509999999999999</v>
      </c>
      <c r="E2036" s="3">
        <v>232174</v>
      </c>
      <c r="F2036" s="2">
        <v>175324.49040000001</v>
      </c>
      <c r="G2036" t="s">
        <v>3598</v>
      </c>
      <c r="H2036" t="s">
        <v>8</v>
      </c>
      <c r="I2036" t="str">
        <f>HLOOKUP(G2036,zip_tiers!$A$1:$EON$2,2,FALSE)</f>
        <v/>
      </c>
      <c r="J2036" t="str">
        <f t="shared" si="31"/>
        <v>No Data</v>
      </c>
      <c r="K2036">
        <f>dataset[[#This Row],[soda_sales]]/dataset[[#This Row],[soda_units_sold]]</f>
        <v>0.75514265335481157</v>
      </c>
      <c r="L2036" s="29">
        <f>dataset[[#This Row],[implied_soda_ppu]]-dataset[[#This Row],[soda_ppu]]</f>
        <v>4.2653354811572619E-5</v>
      </c>
      <c r="M2036">
        <f>dataset[[#This Row],[soda_sales]]/dataset[[#This Row],[total_sales]]</f>
        <v>8.2824252743586596E-2</v>
      </c>
      <c r="N2036">
        <f>LN(dataset[[#This Row],[soda_units_sold]])</f>
        <v>12.355242369538994</v>
      </c>
      <c r="O2036">
        <f>LN(dataset[[#This Row],[soda_sales]])</f>
        <v>12.074393766798861</v>
      </c>
      <c r="P2036">
        <f>LN(dataset[[#This Row],[soda_ppu]])</f>
        <v>-0.28090508817275717</v>
      </c>
      <c r="Q2036">
        <f>IF(dataset[[#This Row],[state]]="VA",1,0)</f>
        <v>0</v>
      </c>
    </row>
    <row r="2037" spans="1:17" x14ac:dyDescent="0.35">
      <c r="A2037">
        <v>202308</v>
      </c>
      <c r="B2037">
        <v>90</v>
      </c>
      <c r="C2037" s="2">
        <v>1992426.5129</v>
      </c>
      <c r="D2037" s="2">
        <v>0.75139999999999996</v>
      </c>
      <c r="E2037" s="3">
        <v>203242</v>
      </c>
      <c r="F2037" s="2">
        <v>152715.49890000001</v>
      </c>
      <c r="G2037" t="s">
        <v>3598</v>
      </c>
      <c r="H2037" t="s">
        <v>8</v>
      </c>
      <c r="I2037" t="str">
        <f>HLOOKUP(G2037,zip_tiers!$A$1:$EON$2,2,FALSE)</f>
        <v/>
      </c>
      <c r="J2037" t="str">
        <f t="shared" si="31"/>
        <v>No Data</v>
      </c>
      <c r="K2037">
        <f>dataset[[#This Row],[soda_sales]]/dataset[[#This Row],[soda_units_sold]]</f>
        <v>0.75139734356087817</v>
      </c>
      <c r="L2037" s="29">
        <f>dataset[[#This Row],[implied_soda_ppu]]-dataset[[#This Row],[soda_ppu]]</f>
        <v>-2.6564391217842598E-6</v>
      </c>
      <c r="M2037">
        <f>dataset[[#This Row],[soda_sales]]/dataset[[#This Row],[total_sales]]</f>
        <v>7.6647995753540143E-2</v>
      </c>
      <c r="N2037">
        <f>LN(dataset[[#This Row],[soda_units_sold]])</f>
        <v>12.222152666241813</v>
      </c>
      <c r="O2037">
        <f>LN(dataset[[#This Row],[soda_sales]])</f>
        <v>11.936331985073728</v>
      </c>
      <c r="P2037">
        <f>LN(dataset[[#This Row],[soda_ppu]])</f>
        <v>-0.28581714584226858</v>
      </c>
      <c r="Q2037">
        <f>IF(dataset[[#This Row],[state]]="VA",1,0)</f>
        <v>0</v>
      </c>
    </row>
    <row r="2038" spans="1:17" x14ac:dyDescent="0.35">
      <c r="A2038">
        <v>202309</v>
      </c>
      <c r="B2038">
        <v>90</v>
      </c>
      <c r="C2038" s="2">
        <v>2006063.652</v>
      </c>
      <c r="D2038" s="2">
        <v>0.74</v>
      </c>
      <c r="E2038" s="3">
        <v>199252</v>
      </c>
      <c r="F2038" s="2">
        <v>147452.60649999999</v>
      </c>
      <c r="G2038" t="s">
        <v>3598</v>
      </c>
      <c r="H2038" t="s">
        <v>8</v>
      </c>
      <c r="I2038" t="str">
        <f>HLOOKUP(G2038,zip_tiers!$A$1:$EON$2,2,FALSE)</f>
        <v/>
      </c>
      <c r="J2038" t="str">
        <f t="shared" si="31"/>
        <v>No Data</v>
      </c>
      <c r="K2038">
        <f>dataset[[#This Row],[soda_sales]]/dataset[[#This Row],[soda_units_sold]]</f>
        <v>0.74003074749563369</v>
      </c>
      <c r="L2038" s="29">
        <f>dataset[[#This Row],[implied_soda_ppu]]-dataset[[#This Row],[soda_ppu]]</f>
        <v>3.0747495633698385E-5</v>
      </c>
      <c r="M2038">
        <f>dataset[[#This Row],[soda_sales]]/dataset[[#This Row],[total_sales]]</f>
        <v>7.3503453568381588E-2</v>
      </c>
      <c r="N2038">
        <f>LN(dataset[[#This Row],[soda_units_sold]])</f>
        <v>12.202325634243239</v>
      </c>
      <c r="O2038">
        <f>LN(dataset[[#This Row],[soda_sales]])</f>
        <v>11.901262091265888</v>
      </c>
      <c r="P2038">
        <f>LN(dataset[[#This Row],[soda_ppu]])</f>
        <v>-0.30110509278392161</v>
      </c>
      <c r="Q2038">
        <f>IF(dataset[[#This Row],[state]]="VA",1,0)</f>
        <v>0</v>
      </c>
    </row>
    <row r="2039" spans="1:17" x14ac:dyDescent="0.35">
      <c r="A2039">
        <v>202310</v>
      </c>
      <c r="B2039">
        <v>90</v>
      </c>
      <c r="C2039" s="2">
        <v>2472721.8418000001</v>
      </c>
      <c r="D2039" s="2">
        <v>0.73399999999999999</v>
      </c>
      <c r="E2039" s="3">
        <v>195651</v>
      </c>
      <c r="F2039" s="2">
        <v>143606.69070000001</v>
      </c>
      <c r="G2039" t="s">
        <v>3598</v>
      </c>
      <c r="H2039" t="s">
        <v>8</v>
      </c>
      <c r="I2039" t="str">
        <f>HLOOKUP(G2039,zip_tiers!$A$1:$EON$2,2,FALSE)</f>
        <v/>
      </c>
      <c r="J2039" t="str">
        <f t="shared" si="31"/>
        <v>No Data</v>
      </c>
      <c r="K2039">
        <f>dataset[[#This Row],[soda_sales]]/dataset[[#This Row],[soda_units_sold]]</f>
        <v>0.73399415643160526</v>
      </c>
      <c r="L2039" s="29">
        <f>dataset[[#This Row],[implied_soda_ppu]]-dataset[[#This Row],[soda_ppu]]</f>
        <v>-5.8435683947255512E-6</v>
      </c>
      <c r="M2039">
        <f>dataset[[#This Row],[soda_sales]]/dataset[[#This Row],[total_sales]]</f>
        <v>5.8076362764467898E-2</v>
      </c>
      <c r="N2039">
        <f>LN(dataset[[#This Row],[soda_units_sold]])</f>
        <v>12.184087738793398</v>
      </c>
      <c r="O2039">
        <f>LN(dataset[[#This Row],[soda_sales]])</f>
        <v>11.874833527129242</v>
      </c>
      <c r="P2039">
        <f>LN(dataset[[#This Row],[soda_ppu]])</f>
        <v>-0.30924625036762149</v>
      </c>
      <c r="Q2039">
        <f>IF(dataset[[#This Row],[state]]="VA",1,0)</f>
        <v>0</v>
      </c>
    </row>
    <row r="2040" spans="1:17" x14ac:dyDescent="0.35">
      <c r="A2040">
        <v>202311</v>
      </c>
      <c r="B2040">
        <v>90</v>
      </c>
      <c r="C2040" s="2">
        <v>2773266.031</v>
      </c>
      <c r="D2040" s="2">
        <v>0.7339</v>
      </c>
      <c r="E2040" s="3">
        <v>183019</v>
      </c>
      <c r="F2040" s="2">
        <v>134309.69469999999</v>
      </c>
      <c r="G2040" t="s">
        <v>3598</v>
      </c>
      <c r="H2040" t="s">
        <v>8</v>
      </c>
      <c r="I2040" t="str">
        <f>HLOOKUP(G2040,zip_tiers!$A$1:$EON$2,2,FALSE)</f>
        <v/>
      </c>
      <c r="J2040" t="str">
        <f t="shared" si="31"/>
        <v>No Data</v>
      </c>
      <c r="K2040">
        <f>dataset[[#This Row],[soda_sales]]/dataset[[#This Row],[soda_units_sold]]</f>
        <v>0.73385656516536535</v>
      </c>
      <c r="L2040" s="29">
        <f>dataset[[#This Row],[implied_soda_ppu]]-dataset[[#This Row],[soda_ppu]]</f>
        <v>-4.3434834634648034E-5</v>
      </c>
      <c r="M2040">
        <f>dataset[[#This Row],[soda_sales]]/dataset[[#This Row],[total_sales]]</f>
        <v>4.8430151741183605E-2</v>
      </c>
      <c r="N2040">
        <f>LN(dataset[[#This Row],[soda_units_sold]])</f>
        <v>12.117345251570713</v>
      </c>
      <c r="O2040">
        <f>LN(dataset[[#This Row],[soda_sales]])</f>
        <v>11.807903566800992</v>
      </c>
      <c r="P2040">
        <f>LN(dataset[[#This Row],[soda_ppu]])</f>
        <v>-0.30938249943111995</v>
      </c>
      <c r="Q2040">
        <f>IF(dataset[[#This Row],[state]]="VA",1,0)</f>
        <v>0</v>
      </c>
    </row>
    <row r="2041" spans="1:17" x14ac:dyDescent="0.35">
      <c r="A2041">
        <v>202312</v>
      </c>
      <c r="B2041">
        <v>90</v>
      </c>
      <c r="C2041" s="2">
        <v>2946058.8220000002</v>
      </c>
      <c r="D2041" s="2">
        <v>0.76200000000000001</v>
      </c>
      <c r="E2041" s="3">
        <v>172923</v>
      </c>
      <c r="F2041" s="2">
        <v>131765.7162</v>
      </c>
      <c r="G2041" t="s">
        <v>3598</v>
      </c>
      <c r="H2041" t="s">
        <v>8</v>
      </c>
      <c r="I2041" t="str">
        <f>HLOOKUP(G2041,zip_tiers!$A$1:$EON$2,2,FALSE)</f>
        <v/>
      </c>
      <c r="J2041" t="str">
        <f t="shared" si="31"/>
        <v>No Data</v>
      </c>
      <c r="K2041">
        <f>dataset[[#This Row],[soda_sales]]/dataset[[#This Row],[soda_units_sold]]</f>
        <v>0.76199069065422176</v>
      </c>
      <c r="L2041" s="29">
        <f>dataset[[#This Row],[implied_soda_ppu]]-dataset[[#This Row],[soda_ppu]]</f>
        <v>-9.3093457782522648E-6</v>
      </c>
      <c r="M2041">
        <f>dataset[[#This Row],[soda_sales]]/dataset[[#This Row],[total_sales]]</f>
        <v>4.4726098208231903E-2</v>
      </c>
      <c r="N2041">
        <f>LN(dataset[[#This Row],[soda_units_sold]])</f>
        <v>12.060601687694225</v>
      </c>
      <c r="O2041">
        <f>LN(dataset[[#This Row],[soda_sales]])</f>
        <v>11.788780747334897</v>
      </c>
      <c r="P2041">
        <f>LN(dataset[[#This Row],[soda_ppu]])</f>
        <v>-0.27180872329549077</v>
      </c>
      <c r="Q2041">
        <f>IF(dataset[[#This Row],[state]]="VA",1,0)</f>
        <v>0</v>
      </c>
    </row>
    <row r="2042" spans="1:17" x14ac:dyDescent="0.35">
      <c r="A2042">
        <v>202401</v>
      </c>
      <c r="B2042">
        <v>90</v>
      </c>
      <c r="C2042" s="2">
        <v>1707702.2653999999</v>
      </c>
      <c r="D2042" s="2">
        <v>0.78</v>
      </c>
      <c r="E2042" s="3">
        <v>123144</v>
      </c>
      <c r="F2042" s="2">
        <v>96055.983399999997</v>
      </c>
      <c r="G2042" t="s">
        <v>3598</v>
      </c>
      <c r="H2042" t="s">
        <v>8</v>
      </c>
      <c r="I2042" t="str">
        <f>HLOOKUP(G2042,zip_tiers!$A$1:$EON$2,2,FALSE)</f>
        <v/>
      </c>
      <c r="J2042" t="str">
        <f t="shared" si="31"/>
        <v>No Data</v>
      </c>
      <c r="K2042">
        <f>dataset[[#This Row],[soda_sales]]/dataset[[#This Row],[soda_units_sold]]</f>
        <v>0.78002974891184307</v>
      </c>
      <c r="L2042" s="29">
        <f>dataset[[#This Row],[implied_soda_ppu]]-dataset[[#This Row],[soda_ppu]]</f>
        <v>2.9748911843041626E-5</v>
      </c>
      <c r="M2042">
        <f>dataset[[#This Row],[soda_sales]]/dataset[[#This Row],[total_sales]]</f>
        <v>5.6248671297218507E-2</v>
      </c>
      <c r="N2042">
        <f>LN(dataset[[#This Row],[soda_units_sold]])</f>
        <v>11.72110968128991</v>
      </c>
      <c r="O2042">
        <f>LN(dataset[[#This Row],[soda_sales]])</f>
        <v>11.472686460894682</v>
      </c>
      <c r="P2042">
        <f>LN(dataset[[#This Row],[soda_ppu]])</f>
        <v>-0.24846135929849961</v>
      </c>
      <c r="Q2042">
        <f>IF(dataset[[#This Row],[state]]="VA",1,0)</f>
        <v>0</v>
      </c>
    </row>
    <row r="2043" spans="1:17" x14ac:dyDescent="0.35">
      <c r="A2043">
        <v>202402</v>
      </c>
      <c r="B2043">
        <v>90</v>
      </c>
      <c r="C2043" s="2">
        <v>1932062.8962000001</v>
      </c>
      <c r="D2043" s="2">
        <v>0.74809999999999999</v>
      </c>
      <c r="E2043" s="3">
        <v>149694</v>
      </c>
      <c r="F2043" s="2">
        <v>111981.85189999999</v>
      </c>
      <c r="G2043" t="s">
        <v>3598</v>
      </c>
      <c r="H2043" t="s">
        <v>8</v>
      </c>
      <c r="I2043" t="str">
        <f>HLOOKUP(G2043,zip_tiers!$A$1:$EON$2,2,FALSE)</f>
        <v/>
      </c>
      <c r="J2043" t="str">
        <f t="shared" si="31"/>
        <v>No Data</v>
      </c>
      <c r="K2043">
        <f>dataset[[#This Row],[soda_sales]]/dataset[[#This Row],[soda_units_sold]]</f>
        <v>0.74807174569455015</v>
      </c>
      <c r="L2043" s="29">
        <f>dataset[[#This Row],[implied_soda_ppu]]-dataset[[#This Row],[soda_ppu]]</f>
        <v>-2.8254305449837425E-5</v>
      </c>
      <c r="M2043">
        <f>dataset[[#This Row],[soda_sales]]/dataset[[#This Row],[total_sales]]</f>
        <v>5.7959734188906056E-2</v>
      </c>
      <c r="N2043">
        <f>LN(dataset[[#This Row],[soda_units_sold]])</f>
        <v>11.916348489444168</v>
      </c>
      <c r="O2043">
        <f>LN(dataset[[#This Row],[soda_sales]])</f>
        <v>11.62609210054074</v>
      </c>
      <c r="P2043">
        <f>LN(dataset[[#This Row],[soda_ppu]])</f>
        <v>-0.29021862010377786</v>
      </c>
      <c r="Q2043">
        <f>IF(dataset[[#This Row],[state]]="VA",1,0)</f>
        <v>0</v>
      </c>
    </row>
    <row r="2044" spans="1:17" x14ac:dyDescent="0.35">
      <c r="A2044">
        <v>202403</v>
      </c>
      <c r="B2044">
        <v>90</v>
      </c>
      <c r="C2044" s="2">
        <v>2175724.0556000001</v>
      </c>
      <c r="D2044" s="2">
        <v>0.79520000000000002</v>
      </c>
      <c r="E2044" s="3">
        <v>161943</v>
      </c>
      <c r="F2044" s="2">
        <v>128771.6985</v>
      </c>
      <c r="G2044" t="s">
        <v>3598</v>
      </c>
      <c r="H2044" t="s">
        <v>8</v>
      </c>
      <c r="I2044" t="str">
        <f>HLOOKUP(G2044,zip_tiers!$A$1:$EON$2,2,FALSE)</f>
        <v/>
      </c>
      <c r="J2044" t="str">
        <f t="shared" si="31"/>
        <v>No Data</v>
      </c>
      <c r="K2044">
        <f>dataset[[#This Row],[soda_sales]]/dataset[[#This Row],[soda_units_sold]]</f>
        <v>0.79516680869194711</v>
      </c>
      <c r="L2044" s="29">
        <f>dataset[[#This Row],[implied_soda_ppu]]-dataset[[#This Row],[soda_ppu]]</f>
        <v>-3.3191308052904489E-5</v>
      </c>
      <c r="M2044">
        <f>dataset[[#This Row],[soda_sales]]/dataset[[#This Row],[total_sales]]</f>
        <v>5.9185675760931269E-2</v>
      </c>
      <c r="N2044">
        <f>LN(dataset[[#This Row],[soda_units_sold]])</f>
        <v>11.994999700448282</v>
      </c>
      <c r="O2044">
        <f>LN(dataset[[#This Row],[soda_sales]])</f>
        <v>11.76579633636489</v>
      </c>
      <c r="P2044">
        <f>LN(dataset[[#This Row],[soda_ppu]])</f>
        <v>-0.22916162363977274</v>
      </c>
      <c r="Q2044">
        <f>IF(dataset[[#This Row],[state]]="VA",1,0)</f>
        <v>0</v>
      </c>
    </row>
    <row r="2045" spans="1:17" x14ac:dyDescent="0.35">
      <c r="A2045">
        <v>202404</v>
      </c>
      <c r="B2045">
        <v>90</v>
      </c>
      <c r="C2045" s="2">
        <v>2269540.4358999999</v>
      </c>
      <c r="D2045" s="2">
        <v>0.77859999999999996</v>
      </c>
      <c r="E2045" s="3">
        <v>196244</v>
      </c>
      <c r="F2045" s="2">
        <v>152788.70910000001</v>
      </c>
      <c r="G2045" t="s">
        <v>3598</v>
      </c>
      <c r="H2045" t="s">
        <v>8</v>
      </c>
      <c r="I2045" t="str">
        <f>HLOOKUP(G2045,zip_tiers!$A$1:$EON$2,2,FALSE)</f>
        <v/>
      </c>
      <c r="J2045" t="str">
        <f t="shared" si="31"/>
        <v>No Data</v>
      </c>
      <c r="K2045">
        <f>dataset[[#This Row],[soda_sales]]/dataset[[#This Row],[soda_units_sold]]</f>
        <v>0.77856499612727015</v>
      </c>
      <c r="L2045" s="29">
        <f>dataset[[#This Row],[implied_soda_ppu]]-dataset[[#This Row],[soda_ppu]]</f>
        <v>-3.5003872729810759E-5</v>
      </c>
      <c r="M2045">
        <f>dataset[[#This Row],[soda_sales]]/dataset[[#This Row],[total_sales]]</f>
        <v>6.7321430666385434E-2</v>
      </c>
      <c r="N2045">
        <f>LN(dataset[[#This Row],[soda_units_sold]])</f>
        <v>12.187114061928876</v>
      </c>
      <c r="O2045">
        <f>LN(dataset[[#This Row],[soda_sales]])</f>
        <v>11.936811259659704</v>
      </c>
      <c r="P2045">
        <f>LN(dataset[[#This Row],[soda_ppu]])</f>
        <v>-0.25025784380578175</v>
      </c>
      <c r="Q2045">
        <f>IF(dataset[[#This Row],[state]]="VA",1,0)</f>
        <v>0</v>
      </c>
    </row>
    <row r="2046" spans="1:17" x14ac:dyDescent="0.35">
      <c r="A2046">
        <v>202405</v>
      </c>
      <c r="B2046">
        <v>90</v>
      </c>
      <c r="C2046" s="2">
        <v>2353693.9053000002</v>
      </c>
      <c r="D2046" s="2">
        <v>0.76939999999999997</v>
      </c>
      <c r="E2046" s="3">
        <v>214054</v>
      </c>
      <c r="F2046" s="2">
        <v>164698.10019999999</v>
      </c>
      <c r="G2046" t="s">
        <v>3598</v>
      </c>
      <c r="H2046" t="s">
        <v>8</v>
      </c>
      <c r="I2046" t="str">
        <f>HLOOKUP(G2046,zip_tiers!$A$1:$EON$2,2,FALSE)</f>
        <v/>
      </c>
      <c r="J2046" t="str">
        <f t="shared" si="31"/>
        <v>No Data</v>
      </c>
      <c r="K2046">
        <f>dataset[[#This Row],[soda_sales]]/dataset[[#This Row],[soda_units_sold]]</f>
        <v>0.76942313715230726</v>
      </c>
      <c r="L2046" s="29">
        <f>dataset[[#This Row],[implied_soda_ppu]]-dataset[[#This Row],[soda_ppu]]</f>
        <v>2.3137152307284303E-5</v>
      </c>
      <c r="M2046">
        <f>dataset[[#This Row],[soda_sales]]/dataset[[#This Row],[total_sales]]</f>
        <v>6.9974307121727322E-2</v>
      </c>
      <c r="N2046">
        <f>LN(dataset[[#This Row],[soda_units_sold]])</f>
        <v>12.273983598621101</v>
      </c>
      <c r="O2046">
        <f>LN(dataset[[#This Row],[soda_sales]])</f>
        <v>12.011869381187243</v>
      </c>
      <c r="P2046">
        <f>LN(dataset[[#This Row],[soda_ppu]])</f>
        <v>-0.26214428866394235</v>
      </c>
      <c r="Q2046">
        <f>IF(dataset[[#This Row],[state]]="VA",1,0)</f>
        <v>0</v>
      </c>
    </row>
    <row r="2047" spans="1:17" x14ac:dyDescent="0.35">
      <c r="A2047">
        <v>202406</v>
      </c>
      <c r="B2047">
        <v>90</v>
      </c>
      <c r="C2047" s="2">
        <v>2277144.2788999998</v>
      </c>
      <c r="D2047" s="2">
        <v>0.78439999999999999</v>
      </c>
      <c r="E2047" s="3">
        <v>218947</v>
      </c>
      <c r="F2047" s="2">
        <v>171748.65669999999</v>
      </c>
      <c r="G2047" t="s">
        <v>3598</v>
      </c>
      <c r="H2047" t="s">
        <v>8</v>
      </c>
      <c r="I2047" t="str">
        <f>HLOOKUP(G2047,zip_tiers!$A$1:$EON$2,2,FALSE)</f>
        <v/>
      </c>
      <c r="J2047" t="str">
        <f t="shared" si="31"/>
        <v>No Data</v>
      </c>
      <c r="K2047">
        <f>dataset[[#This Row],[soda_sales]]/dataset[[#This Row],[soda_units_sold]]</f>
        <v>0.78443028084422251</v>
      </c>
      <c r="L2047" s="29">
        <f>dataset[[#This Row],[implied_soda_ppu]]-dataset[[#This Row],[soda_ppu]]</f>
        <v>3.0280844222518866E-5</v>
      </c>
      <c r="M2047">
        <f>dataset[[#This Row],[soda_sales]]/dataset[[#This Row],[total_sales]]</f>
        <v>7.542282598929792E-2</v>
      </c>
      <c r="N2047">
        <f>LN(dataset[[#This Row],[soda_units_sold]])</f>
        <v>12.296584970377282</v>
      </c>
      <c r="O2047">
        <f>LN(dataset[[#This Row],[soda_sales]])</f>
        <v>12.05378738880219</v>
      </c>
      <c r="P2047">
        <f>LN(dataset[[#This Row],[soda_ppu]])</f>
        <v>-0.24283618465994586</v>
      </c>
      <c r="Q2047">
        <f>IF(dataset[[#This Row],[state]]="VA",1,0)</f>
        <v>0</v>
      </c>
    </row>
    <row r="2048" spans="1:17" x14ac:dyDescent="0.35">
      <c r="A2048">
        <v>202407</v>
      </c>
      <c r="B2048">
        <v>90</v>
      </c>
      <c r="C2048" s="2">
        <v>2179381.8936000001</v>
      </c>
      <c r="D2048" s="2">
        <v>0.80740000000000001</v>
      </c>
      <c r="E2048" s="3">
        <v>217779</v>
      </c>
      <c r="F2048" s="2">
        <v>175841.94149999999</v>
      </c>
      <c r="G2048" t="s">
        <v>3598</v>
      </c>
      <c r="H2048" t="s">
        <v>8</v>
      </c>
      <c r="I2048" t="str">
        <f>HLOOKUP(G2048,zip_tiers!$A$1:$EON$2,2,FALSE)</f>
        <v/>
      </c>
      <c r="J2048" t="str">
        <f t="shared" si="31"/>
        <v>No Data</v>
      </c>
      <c r="K2048">
        <f>dataset[[#This Row],[soda_sales]]/dataset[[#This Row],[soda_units_sold]]</f>
        <v>0.80743295496810985</v>
      </c>
      <c r="L2048" s="29">
        <f>dataset[[#This Row],[implied_soda_ppu]]-dataset[[#This Row],[soda_ppu]]</f>
        <v>3.2954968109843996E-5</v>
      </c>
      <c r="M2048">
        <f>dataset[[#This Row],[soda_sales]]/dataset[[#This Row],[total_sales]]</f>
        <v>8.0684317886819013E-2</v>
      </c>
      <c r="N2048">
        <f>LN(dataset[[#This Row],[soda_units_sold]])</f>
        <v>12.29123606609963</v>
      </c>
      <c r="O2048">
        <f>LN(dataset[[#This Row],[soda_sales]])</f>
        <v>12.077340810864028</v>
      </c>
      <c r="P2048">
        <f>LN(dataset[[#This Row],[soda_ppu]])</f>
        <v>-0.21393607056329661</v>
      </c>
      <c r="Q2048">
        <f>IF(dataset[[#This Row],[state]]="VA",1,0)</f>
        <v>0</v>
      </c>
    </row>
    <row r="2049" spans="1:17" x14ac:dyDescent="0.35">
      <c r="A2049">
        <v>202408</v>
      </c>
      <c r="B2049">
        <v>90</v>
      </c>
      <c r="C2049" s="2">
        <v>2036107.2420000001</v>
      </c>
      <c r="D2049" s="2">
        <v>0.76070000000000004</v>
      </c>
      <c r="E2049" s="3">
        <v>209017</v>
      </c>
      <c r="F2049" s="2">
        <v>159003.20980000001</v>
      </c>
      <c r="G2049" t="s">
        <v>3598</v>
      </c>
      <c r="H2049" t="s">
        <v>8</v>
      </c>
      <c r="I2049" t="str">
        <f>HLOOKUP(G2049,zip_tiers!$A$1:$EON$2,2,FALSE)</f>
        <v/>
      </c>
      <c r="J2049" t="str">
        <f t="shared" si="31"/>
        <v>No Data</v>
      </c>
      <c r="K2049">
        <f>dataset[[#This Row],[soda_sales]]/dataset[[#This Row],[soda_units_sold]]</f>
        <v>0.76071903146634012</v>
      </c>
      <c r="L2049" s="29">
        <f>dataset[[#This Row],[implied_soda_ppu]]-dataset[[#This Row],[soda_ppu]]</f>
        <v>1.903146634008035E-5</v>
      </c>
      <c r="M2049">
        <f>dataset[[#This Row],[soda_sales]]/dataset[[#This Row],[total_sales]]</f>
        <v>7.8091765757788117E-2</v>
      </c>
      <c r="N2049">
        <f>LN(dataset[[#This Row],[soda_units_sold]])</f>
        <v>12.250170867351972</v>
      </c>
      <c r="O2049">
        <f>LN(dataset[[#This Row],[soda_sales]])</f>
        <v>11.976679668419989</v>
      </c>
      <c r="P2049">
        <f>LN(dataset[[#This Row],[soda_ppu]])</f>
        <v>-0.27351621697888151</v>
      </c>
      <c r="Q2049">
        <f>IF(dataset[[#This Row],[state]]="VA",1,0)</f>
        <v>0</v>
      </c>
    </row>
    <row r="2050" spans="1:17" x14ac:dyDescent="0.35">
      <c r="A2050">
        <v>202409</v>
      </c>
      <c r="B2050">
        <v>90</v>
      </c>
      <c r="C2050" s="2">
        <v>2084307.2311</v>
      </c>
      <c r="D2050" s="2">
        <v>0.80479999999999996</v>
      </c>
      <c r="E2050" s="3">
        <v>186092</v>
      </c>
      <c r="F2050" s="2">
        <v>149769.17850000001</v>
      </c>
      <c r="G2050" t="s">
        <v>3598</v>
      </c>
      <c r="H2050" t="s">
        <v>8</v>
      </c>
      <c r="I2050" t="str">
        <f>HLOOKUP(G2050,zip_tiers!$A$1:$EON$2,2,FALSE)</f>
        <v/>
      </c>
      <c r="J2050" t="str">
        <f t="shared" ref="J2050:J2113" si="32">IF(I2050="","No Data",IF(I2050&gt;=100000,"High",IF(I2050&gt;=40000,"Med","Low")))</f>
        <v>No Data</v>
      </c>
      <c r="K2050">
        <f>dataset[[#This Row],[soda_sales]]/dataset[[#This Row],[soda_units_sold]]</f>
        <v>0.80481255776712601</v>
      </c>
      <c r="L2050" s="29">
        <f>dataset[[#This Row],[implied_soda_ppu]]-dataset[[#This Row],[soda_ppu]]</f>
        <v>1.2557767126053498E-5</v>
      </c>
      <c r="M2050">
        <f>dataset[[#This Row],[soda_sales]]/dataset[[#This Row],[total_sales]]</f>
        <v>7.1855615268848261E-2</v>
      </c>
      <c r="N2050">
        <f>LN(dataset[[#This Row],[soda_units_sold]])</f>
        <v>12.133996454065294</v>
      </c>
      <c r="O2050">
        <f>LN(dataset[[#This Row],[soda_sales]])</f>
        <v>11.91685057789428</v>
      </c>
      <c r="P2050">
        <f>LN(dataset[[#This Row],[soda_ppu]])</f>
        <v>-0.21716147963666235</v>
      </c>
      <c r="Q2050">
        <f>IF(dataset[[#This Row],[state]]="VA",1,0)</f>
        <v>0</v>
      </c>
    </row>
    <row r="2051" spans="1:17" x14ac:dyDescent="0.35">
      <c r="A2051">
        <v>202410</v>
      </c>
      <c r="B2051">
        <v>90</v>
      </c>
      <c r="C2051" s="2">
        <v>2528054.1434999998</v>
      </c>
      <c r="D2051" s="2">
        <v>0.80010000000000003</v>
      </c>
      <c r="E2051" s="3">
        <v>175703</v>
      </c>
      <c r="F2051" s="2">
        <v>140587.73190000001</v>
      </c>
      <c r="G2051" t="s">
        <v>3598</v>
      </c>
      <c r="H2051" t="s">
        <v>8</v>
      </c>
      <c r="I2051" t="str">
        <f>HLOOKUP(G2051,zip_tiers!$A$1:$EON$2,2,FALSE)</f>
        <v/>
      </c>
      <c r="J2051" t="str">
        <f t="shared" si="32"/>
        <v>No Data</v>
      </c>
      <c r="K2051">
        <f>dataset[[#This Row],[soda_sales]]/dataset[[#This Row],[soda_units_sold]]</f>
        <v>0.80014417454454401</v>
      </c>
      <c r="L2051" s="29">
        <f>dataset[[#This Row],[implied_soda_ppu]]-dataset[[#This Row],[soda_ppu]]</f>
        <v>4.4174544543973404E-5</v>
      </c>
      <c r="M2051">
        <f>dataset[[#This Row],[soda_sales]]/dataset[[#This Row],[total_sales]]</f>
        <v>5.561104466906764E-2</v>
      </c>
      <c r="N2051">
        <f>LN(dataset[[#This Row],[soda_units_sold]])</f>
        <v>12.076550348588327</v>
      </c>
      <c r="O2051">
        <f>LN(dataset[[#This Row],[soda_sales]])</f>
        <v>11.853586999217452</v>
      </c>
      <c r="P2051">
        <f>LN(dataset[[#This Row],[soda_ppu]])</f>
        <v>-0.22301855912605872</v>
      </c>
      <c r="Q2051">
        <f>IF(dataset[[#This Row],[state]]="VA",1,0)</f>
        <v>0</v>
      </c>
    </row>
    <row r="2052" spans="1:17" x14ac:dyDescent="0.35">
      <c r="A2052">
        <v>202411</v>
      </c>
      <c r="B2052">
        <v>90</v>
      </c>
      <c r="C2052" s="2">
        <v>2835021.3198000002</v>
      </c>
      <c r="D2052" s="2">
        <v>0.76800000000000002</v>
      </c>
      <c r="E2052" s="3">
        <v>177072</v>
      </c>
      <c r="F2052" s="2">
        <v>135994.81770000001</v>
      </c>
      <c r="G2052" t="s">
        <v>3598</v>
      </c>
      <c r="H2052" t="s">
        <v>8</v>
      </c>
      <c r="I2052" t="str">
        <f>HLOOKUP(G2052,zip_tiers!$A$1:$EON$2,2,FALSE)</f>
        <v/>
      </c>
      <c r="J2052" t="str">
        <f t="shared" si="32"/>
        <v>No Data</v>
      </c>
      <c r="K2052">
        <f>dataset[[#This Row],[soda_sales]]/dataset[[#This Row],[soda_units_sold]]</f>
        <v>0.7680198885199242</v>
      </c>
      <c r="L2052" s="29">
        <f>dataset[[#This Row],[implied_soda_ppu]]-dataset[[#This Row],[soda_ppu]]</f>
        <v>1.9888519924182724E-5</v>
      </c>
      <c r="M2052">
        <f>dataset[[#This Row],[soda_sales]]/dataset[[#This Row],[total_sales]]</f>
        <v>4.7969592591844752E-2</v>
      </c>
      <c r="N2052">
        <f>LN(dataset[[#This Row],[soda_units_sold]])</f>
        <v>12.084311708504567</v>
      </c>
      <c r="O2052">
        <f>LN(dataset[[#This Row],[soda_sales]])</f>
        <v>11.820372058845111</v>
      </c>
      <c r="P2052">
        <f>LN(dataset[[#This Row],[soda_ppu]])</f>
        <v>-0.26396554583446485</v>
      </c>
      <c r="Q2052">
        <f>IF(dataset[[#This Row],[state]]="VA",1,0)</f>
        <v>0</v>
      </c>
    </row>
    <row r="2053" spans="1:17" x14ac:dyDescent="0.35">
      <c r="A2053">
        <v>202412</v>
      </c>
      <c r="B2053">
        <v>90</v>
      </c>
      <c r="C2053" s="2">
        <v>3012729.1845</v>
      </c>
      <c r="D2053" s="2">
        <v>0.82369999999999999</v>
      </c>
      <c r="E2053" s="3">
        <v>159121</v>
      </c>
      <c r="F2053" s="2">
        <v>131065.7559</v>
      </c>
      <c r="G2053" t="s">
        <v>3598</v>
      </c>
      <c r="H2053" t="s">
        <v>8</v>
      </c>
      <c r="I2053" t="str">
        <f>HLOOKUP(G2053,zip_tiers!$A$1:$EON$2,2,FALSE)</f>
        <v/>
      </c>
      <c r="J2053" t="str">
        <f t="shared" si="32"/>
        <v>No Data</v>
      </c>
      <c r="K2053">
        <f>dataset[[#This Row],[soda_sales]]/dataset[[#This Row],[soda_units_sold]]</f>
        <v>0.82368609988625008</v>
      </c>
      <c r="L2053" s="29">
        <f>dataset[[#This Row],[implied_soda_ppu]]-dataset[[#This Row],[soda_ppu]]</f>
        <v>-1.3900113749909515E-5</v>
      </c>
      <c r="M2053">
        <f>dataset[[#This Row],[soda_sales]]/dataset[[#This Row],[total_sales]]</f>
        <v>4.3503995172985324E-2</v>
      </c>
      <c r="N2053">
        <f>LN(dataset[[#This Row],[soda_units_sold]])</f>
        <v>11.977420198073213</v>
      </c>
      <c r="O2053">
        <f>LN(dataset[[#This Row],[soda_sales]])</f>
        <v>11.783454429681919</v>
      </c>
      <c r="P2053">
        <f>LN(dataset[[#This Row],[soda_ppu]])</f>
        <v>-0.19394889303493401</v>
      </c>
      <c r="Q2053">
        <f>IF(dataset[[#This Row],[state]]="VA",1,0)</f>
        <v>0</v>
      </c>
    </row>
    <row r="2054" spans="1:17" x14ac:dyDescent="0.35">
      <c r="A2054">
        <v>202201</v>
      </c>
      <c r="B2054">
        <v>43</v>
      </c>
      <c r="C2054" s="2">
        <v>1718735.3162</v>
      </c>
      <c r="D2054" s="2">
        <v>0.67969999999999997</v>
      </c>
      <c r="E2054" s="3">
        <v>141889</v>
      </c>
      <c r="F2054" s="2">
        <v>96442.814299999998</v>
      </c>
      <c r="G2054" t="s">
        <v>3710</v>
      </c>
      <c r="H2054" t="s">
        <v>8</v>
      </c>
      <c r="I2054">
        <f>HLOOKUP(G2054,zip_tiers!$A$1:$EON$2,2,FALSE)</f>
        <v>60539.333333333336</v>
      </c>
      <c r="J2054" t="str">
        <f t="shared" si="32"/>
        <v>Med</v>
      </c>
      <c r="K2054">
        <f>dataset[[#This Row],[soda_sales]]/dataset[[#This Row],[soda_units_sold]]</f>
        <v>0.67970606812367418</v>
      </c>
      <c r="L2054" s="29">
        <f>dataset[[#This Row],[implied_soda_ppu]]-dataset[[#This Row],[soda_ppu]]</f>
        <v>6.068123674207726E-6</v>
      </c>
      <c r="M2054">
        <f>dataset[[#This Row],[soda_sales]]/dataset[[#This Row],[total_sales]]</f>
        <v>5.6112662252863994E-2</v>
      </c>
      <c r="N2054">
        <f>LN(dataset[[#This Row],[soda_units_sold]])</f>
        <v>11.862800340763506</v>
      </c>
      <c r="O2054">
        <f>LN(dataset[[#This Row],[soda_sales]])</f>
        <v>11.476705513744065</v>
      </c>
      <c r="P2054">
        <f>LN(dataset[[#This Row],[soda_ppu]])</f>
        <v>-0.38610375462954455</v>
      </c>
      <c r="Q2054">
        <f>IF(dataset[[#This Row],[state]]="VA",1,0)</f>
        <v>0</v>
      </c>
    </row>
    <row r="2055" spans="1:17" x14ac:dyDescent="0.35">
      <c r="A2055">
        <v>202202</v>
      </c>
      <c r="B2055">
        <v>43</v>
      </c>
      <c r="C2055" s="2">
        <v>1970337.8012999999</v>
      </c>
      <c r="D2055" s="2">
        <v>0.67669999999999997</v>
      </c>
      <c r="E2055" s="3">
        <v>169315</v>
      </c>
      <c r="F2055" s="2">
        <v>114568.3907</v>
      </c>
      <c r="G2055" t="s">
        <v>3710</v>
      </c>
      <c r="H2055" t="s">
        <v>8</v>
      </c>
      <c r="I2055">
        <f>HLOOKUP(G2055,zip_tiers!$A$1:$EON$2,2,FALSE)</f>
        <v>60539.333333333336</v>
      </c>
      <c r="J2055" t="str">
        <f t="shared" si="32"/>
        <v>Med</v>
      </c>
      <c r="K2055">
        <f>dataset[[#This Row],[soda_sales]]/dataset[[#This Row],[soda_units_sold]]</f>
        <v>0.67665824469184654</v>
      </c>
      <c r="L2055" s="29">
        <f>dataset[[#This Row],[implied_soda_ppu]]-dataset[[#This Row],[soda_ppu]]</f>
        <v>-4.1755308153423876E-5</v>
      </c>
      <c r="M2055">
        <f>dataset[[#This Row],[soda_sales]]/dataset[[#This Row],[total_sales]]</f>
        <v>5.8146572950287745E-2</v>
      </c>
      <c r="N2055">
        <f>LN(dataset[[#This Row],[soda_units_sold]])</f>
        <v>12.039516164314602</v>
      </c>
      <c r="O2055">
        <f>LN(dataset[[#This Row],[soda_sales]])</f>
        <v>11.648927222354525</v>
      </c>
      <c r="P2055">
        <f>LN(dataset[[#This Row],[soda_ppu]])</f>
        <v>-0.39052723574395726</v>
      </c>
      <c r="Q2055">
        <f>IF(dataset[[#This Row],[state]]="VA",1,0)</f>
        <v>0</v>
      </c>
    </row>
    <row r="2056" spans="1:17" x14ac:dyDescent="0.35">
      <c r="A2056">
        <v>202203</v>
      </c>
      <c r="B2056">
        <v>43</v>
      </c>
      <c r="C2056" s="2">
        <v>2190388.5455999998</v>
      </c>
      <c r="D2056" s="2">
        <v>0.69550000000000001</v>
      </c>
      <c r="E2056" s="3">
        <v>190613</v>
      </c>
      <c r="F2056" s="2">
        <v>132566.77739999999</v>
      </c>
      <c r="G2056" t="s">
        <v>3710</v>
      </c>
      <c r="H2056" t="s">
        <v>8</v>
      </c>
      <c r="I2056">
        <f>HLOOKUP(G2056,zip_tiers!$A$1:$EON$2,2,FALSE)</f>
        <v>60539.333333333336</v>
      </c>
      <c r="J2056" t="str">
        <f t="shared" si="32"/>
        <v>Med</v>
      </c>
      <c r="K2056">
        <f>dataset[[#This Row],[soda_sales]]/dataset[[#This Row],[soda_units_sold]]</f>
        <v>0.69547605567301285</v>
      </c>
      <c r="L2056" s="29">
        <f>dataset[[#This Row],[implied_soda_ppu]]-dataset[[#This Row],[soda_ppu]]</f>
        <v>-2.3944326987157538E-5</v>
      </c>
      <c r="M2056">
        <f>dataset[[#This Row],[soda_sales]]/dataset[[#This Row],[total_sales]]</f>
        <v>6.0522037364693568E-2</v>
      </c>
      <c r="N2056">
        <f>LN(dataset[[#This Row],[soda_units_sold]])</f>
        <v>12.158000473542655</v>
      </c>
      <c r="O2056">
        <f>LN(dataset[[#This Row],[soda_sales]])</f>
        <v>11.794841777830316</v>
      </c>
      <c r="P2056">
        <f>LN(dataset[[#This Row],[soda_ppu]])</f>
        <v>-0.36312426761863942</v>
      </c>
      <c r="Q2056">
        <f>IF(dataset[[#This Row],[state]]="VA",1,0)</f>
        <v>0</v>
      </c>
    </row>
    <row r="2057" spans="1:17" x14ac:dyDescent="0.35">
      <c r="A2057">
        <v>202204</v>
      </c>
      <c r="B2057">
        <v>43</v>
      </c>
      <c r="C2057" s="2">
        <v>2327710.7645999999</v>
      </c>
      <c r="D2057" s="2">
        <v>0.69230000000000003</v>
      </c>
      <c r="E2057" s="3">
        <v>221806</v>
      </c>
      <c r="F2057" s="2">
        <v>153554.89689999999</v>
      </c>
      <c r="G2057" t="s">
        <v>3710</v>
      </c>
      <c r="H2057" t="s">
        <v>8</v>
      </c>
      <c r="I2057">
        <f>HLOOKUP(G2057,zip_tiers!$A$1:$EON$2,2,FALSE)</f>
        <v>60539.333333333336</v>
      </c>
      <c r="J2057" t="str">
        <f t="shared" si="32"/>
        <v>Med</v>
      </c>
      <c r="K2057">
        <f>dataset[[#This Row],[soda_sales]]/dataset[[#This Row],[soda_units_sold]]</f>
        <v>0.69229370215413466</v>
      </c>
      <c r="L2057" s="29">
        <f>dataset[[#This Row],[implied_soda_ppu]]-dataset[[#This Row],[soda_ppu]]</f>
        <v>-6.2978458653661917E-6</v>
      </c>
      <c r="M2057">
        <f>dataset[[#This Row],[soda_sales]]/dataset[[#This Row],[total_sales]]</f>
        <v>6.5968203281642379E-2</v>
      </c>
      <c r="N2057">
        <f>LN(dataset[[#This Row],[soda_units_sold]])</f>
        <v>12.309558404930177</v>
      </c>
      <c r="O2057">
        <f>LN(dataset[[#This Row],[soda_sales]])</f>
        <v>11.941813416601091</v>
      </c>
      <c r="P2057">
        <f>LN(dataset[[#This Row],[soda_ppu]])</f>
        <v>-0.36773589129815726</v>
      </c>
      <c r="Q2057">
        <f>IF(dataset[[#This Row],[state]]="VA",1,0)</f>
        <v>0</v>
      </c>
    </row>
    <row r="2058" spans="1:17" x14ac:dyDescent="0.35">
      <c r="A2058">
        <v>202205</v>
      </c>
      <c r="B2058">
        <v>43</v>
      </c>
      <c r="C2058" s="2">
        <v>2430267.7423999999</v>
      </c>
      <c r="D2058" s="2">
        <v>0.67930000000000001</v>
      </c>
      <c r="E2058" s="3">
        <v>247478</v>
      </c>
      <c r="F2058" s="2">
        <v>168120.86979999999</v>
      </c>
      <c r="G2058" t="s">
        <v>3710</v>
      </c>
      <c r="H2058" t="s">
        <v>8</v>
      </c>
      <c r="I2058">
        <f>HLOOKUP(G2058,zip_tiers!$A$1:$EON$2,2,FALSE)</f>
        <v>60539.333333333336</v>
      </c>
      <c r="J2058" t="str">
        <f t="shared" si="32"/>
        <v>Med</v>
      </c>
      <c r="K2058">
        <f>dataset[[#This Row],[soda_sales]]/dataset[[#This Row],[soda_units_sold]]</f>
        <v>0.67933662709412546</v>
      </c>
      <c r="L2058" s="29">
        <f>dataset[[#This Row],[implied_soda_ppu]]-dataset[[#This Row],[soda_ppu]]</f>
        <v>3.6627094125440962E-5</v>
      </c>
      <c r="M2058">
        <f>dataset[[#This Row],[soda_sales]]/dataset[[#This Row],[total_sales]]</f>
        <v>6.9177920961899037E-2</v>
      </c>
      <c r="N2058">
        <f>LN(dataset[[#This Row],[soda_units_sold]])</f>
        <v>12.419076968151142</v>
      </c>
      <c r="O2058">
        <f>LN(dataset[[#This Row],[soda_sales]])</f>
        <v>12.032438462791132</v>
      </c>
      <c r="P2058">
        <f>LN(dataset[[#This Row],[soda_ppu]])</f>
        <v>-0.38669242278488081</v>
      </c>
      <c r="Q2058">
        <f>IF(dataset[[#This Row],[state]]="VA",1,0)</f>
        <v>0</v>
      </c>
    </row>
    <row r="2059" spans="1:17" x14ac:dyDescent="0.35">
      <c r="A2059">
        <v>202206</v>
      </c>
      <c r="B2059">
        <v>43</v>
      </c>
      <c r="C2059" s="2">
        <v>2260572.0924</v>
      </c>
      <c r="D2059" s="2">
        <v>0.69420000000000004</v>
      </c>
      <c r="E2059" s="3">
        <v>242659</v>
      </c>
      <c r="F2059" s="2">
        <v>168446.19349999999</v>
      </c>
      <c r="G2059" t="s">
        <v>3710</v>
      </c>
      <c r="H2059" t="s">
        <v>8</v>
      </c>
      <c r="I2059">
        <f>HLOOKUP(G2059,zip_tiers!$A$1:$EON$2,2,FALSE)</f>
        <v>60539.333333333336</v>
      </c>
      <c r="J2059" t="str">
        <f t="shared" si="32"/>
        <v>Med</v>
      </c>
      <c r="K2059">
        <f>dataset[[#This Row],[soda_sales]]/dataset[[#This Row],[soda_units_sold]]</f>
        <v>0.69416833292810076</v>
      </c>
      <c r="L2059" s="29">
        <f>dataset[[#This Row],[implied_soda_ppu]]-dataset[[#This Row],[soda_ppu]]</f>
        <v>-3.166707189927731E-5</v>
      </c>
      <c r="M2059">
        <f>dataset[[#This Row],[soda_sales]]/dataset[[#This Row],[total_sales]]</f>
        <v>7.4514851380459338E-2</v>
      </c>
      <c r="N2059">
        <f>LN(dataset[[#This Row],[soda_units_sold]])</f>
        <v>12.399412444605037</v>
      </c>
      <c r="O2059">
        <f>LN(dataset[[#This Row],[soda_sales]])</f>
        <v>12.034371651369524</v>
      </c>
      <c r="P2059">
        <f>LN(dataset[[#This Row],[soda_ppu]])</f>
        <v>-0.3649951755544511</v>
      </c>
      <c r="Q2059">
        <f>IF(dataset[[#This Row],[state]]="VA",1,0)</f>
        <v>0</v>
      </c>
    </row>
    <row r="2060" spans="1:17" x14ac:dyDescent="0.35">
      <c r="A2060">
        <v>202207</v>
      </c>
      <c r="B2060">
        <v>43</v>
      </c>
      <c r="C2060" s="2">
        <v>2142310.1841000002</v>
      </c>
      <c r="D2060" s="2">
        <v>0.6946</v>
      </c>
      <c r="E2060" s="3">
        <v>257430</v>
      </c>
      <c r="F2060" s="2">
        <v>178817.86679999999</v>
      </c>
      <c r="G2060" t="s">
        <v>3710</v>
      </c>
      <c r="H2060" t="s">
        <v>8</v>
      </c>
      <c r="I2060">
        <f>HLOOKUP(G2060,zip_tiers!$A$1:$EON$2,2,FALSE)</f>
        <v>60539.333333333336</v>
      </c>
      <c r="J2060" t="str">
        <f t="shared" si="32"/>
        <v>Med</v>
      </c>
      <c r="K2060">
        <f>dataset[[#This Row],[soda_sales]]/dataset[[#This Row],[soda_units_sold]]</f>
        <v>0.69462714835100803</v>
      </c>
      <c r="L2060" s="29">
        <f>dataset[[#This Row],[implied_soda_ppu]]-dataset[[#This Row],[soda_ppu]]</f>
        <v>2.7148351008032812E-5</v>
      </c>
      <c r="M2060">
        <f>dataset[[#This Row],[soda_sales]]/dataset[[#This Row],[total_sales]]</f>
        <v>8.3469643251088146E-2</v>
      </c>
      <c r="N2060">
        <f>LN(dataset[[#This Row],[soda_units_sold]])</f>
        <v>12.458503117469276</v>
      </c>
      <c r="O2060">
        <f>LN(dataset[[#This Row],[soda_sales]])</f>
        <v>12.09412306290376</v>
      </c>
      <c r="P2060">
        <f>LN(dataset[[#This Row],[soda_ppu]])</f>
        <v>-0.36441913867216341</v>
      </c>
      <c r="Q2060">
        <f>IF(dataset[[#This Row],[state]]="VA",1,0)</f>
        <v>0</v>
      </c>
    </row>
    <row r="2061" spans="1:17" x14ac:dyDescent="0.35">
      <c r="A2061">
        <v>202208</v>
      </c>
      <c r="B2061">
        <v>43</v>
      </c>
      <c r="C2061" s="2">
        <v>2074310.7483999999</v>
      </c>
      <c r="D2061" s="2">
        <v>0.69520000000000004</v>
      </c>
      <c r="E2061" s="3">
        <v>224693</v>
      </c>
      <c r="F2061" s="2">
        <v>156210.4895</v>
      </c>
      <c r="G2061" t="s">
        <v>3710</v>
      </c>
      <c r="H2061" t="s">
        <v>8</v>
      </c>
      <c r="I2061">
        <f>HLOOKUP(G2061,zip_tiers!$A$1:$EON$2,2,FALSE)</f>
        <v>60539.333333333336</v>
      </c>
      <c r="J2061" t="str">
        <f t="shared" si="32"/>
        <v>Med</v>
      </c>
      <c r="K2061">
        <f>dataset[[#This Row],[soda_sales]]/dataset[[#This Row],[soda_units_sold]]</f>
        <v>0.69521742777923656</v>
      </c>
      <c r="L2061" s="29">
        <f>dataset[[#This Row],[implied_soda_ppu]]-dataset[[#This Row],[soda_ppu]]</f>
        <v>1.7427779236522944E-5</v>
      </c>
      <c r="M2061">
        <f>dataset[[#This Row],[soda_sales]]/dataset[[#This Row],[total_sales]]</f>
        <v>7.5307178358156548E-2</v>
      </c>
      <c r="N2061">
        <f>LN(dataset[[#This Row],[soda_units_sold]])</f>
        <v>12.322490305040192</v>
      </c>
      <c r="O2061">
        <f>LN(dataset[[#This Row],[soda_sales]])</f>
        <v>11.958959668422347</v>
      </c>
      <c r="P2061">
        <f>LN(dataset[[#This Row],[soda_ppu]])</f>
        <v>-0.36355570503095469</v>
      </c>
      <c r="Q2061">
        <f>IF(dataset[[#This Row],[state]]="VA",1,0)</f>
        <v>0</v>
      </c>
    </row>
    <row r="2062" spans="1:17" x14ac:dyDescent="0.35">
      <c r="A2062">
        <v>202209</v>
      </c>
      <c r="B2062">
        <v>43</v>
      </c>
      <c r="C2062" s="2">
        <v>2070928.2067</v>
      </c>
      <c r="D2062" s="2">
        <v>0.69220000000000004</v>
      </c>
      <c r="E2062" s="3">
        <v>215797</v>
      </c>
      <c r="F2062" s="2">
        <v>149381.43309999999</v>
      </c>
      <c r="G2062" t="s">
        <v>3710</v>
      </c>
      <c r="H2062" t="s">
        <v>8</v>
      </c>
      <c r="I2062">
        <f>HLOOKUP(G2062,zip_tiers!$A$1:$EON$2,2,FALSE)</f>
        <v>60539.333333333336</v>
      </c>
      <c r="J2062" t="str">
        <f t="shared" si="32"/>
        <v>Med</v>
      </c>
      <c r="K2062">
        <f>dataset[[#This Row],[soda_sales]]/dataset[[#This Row],[soda_units_sold]]</f>
        <v>0.69223127800664508</v>
      </c>
      <c r="L2062" s="29">
        <f>dataset[[#This Row],[implied_soda_ppu]]-dataset[[#This Row],[soda_ppu]]</f>
        <v>3.1278006645041323E-5</v>
      </c>
      <c r="M2062">
        <f>dataset[[#This Row],[soda_sales]]/dataset[[#This Row],[total_sales]]</f>
        <v>7.2132598617717203E-2</v>
      </c>
      <c r="N2062">
        <f>LN(dataset[[#This Row],[soda_units_sold]])</f>
        <v>12.282093429948651</v>
      </c>
      <c r="O2062">
        <f>LN(dataset[[#This Row],[soda_sales]])</f>
        <v>11.914258267518807</v>
      </c>
      <c r="P2062">
        <f>LN(dataset[[#This Row],[soda_ppu]])</f>
        <v>-0.36788034778089312</v>
      </c>
      <c r="Q2062">
        <f>IF(dataset[[#This Row],[state]]="VA",1,0)</f>
        <v>0</v>
      </c>
    </row>
    <row r="2063" spans="1:17" x14ac:dyDescent="0.35">
      <c r="A2063">
        <v>202210</v>
      </c>
      <c r="B2063">
        <v>43</v>
      </c>
      <c r="C2063" s="2">
        <v>2540873.3187000002</v>
      </c>
      <c r="D2063" s="2">
        <v>0.69210000000000005</v>
      </c>
      <c r="E2063" s="3">
        <v>211506</v>
      </c>
      <c r="F2063" s="2">
        <v>146378.7794</v>
      </c>
      <c r="G2063" t="s">
        <v>3710</v>
      </c>
      <c r="H2063" t="s">
        <v>8</v>
      </c>
      <c r="I2063">
        <f>HLOOKUP(G2063,zip_tiers!$A$1:$EON$2,2,FALSE)</f>
        <v>60539.333333333336</v>
      </c>
      <c r="J2063" t="str">
        <f t="shared" si="32"/>
        <v>Med</v>
      </c>
      <c r="K2063">
        <f>dataset[[#This Row],[soda_sales]]/dataset[[#This Row],[soda_units_sold]]</f>
        <v>0.69207861431826989</v>
      </c>
      <c r="L2063" s="29">
        <f>dataset[[#This Row],[implied_soda_ppu]]-dataset[[#This Row],[soda_ppu]]</f>
        <v>-2.1385681730157202E-5</v>
      </c>
      <c r="M2063">
        <f>dataset[[#This Row],[soda_sales]]/dataset[[#This Row],[total_sales]]</f>
        <v>5.760963300401474E-2</v>
      </c>
      <c r="N2063">
        <f>LN(dataset[[#This Row],[soda_units_sold]])</f>
        <v>12.262008645860409</v>
      </c>
      <c r="O2063">
        <f>LN(dataset[[#This Row],[soda_sales]])</f>
        <v>11.893952920549609</v>
      </c>
      <c r="P2063">
        <f>LN(dataset[[#This Row],[soda_ppu]])</f>
        <v>-0.36802482513431933</v>
      </c>
      <c r="Q2063">
        <f>IF(dataset[[#This Row],[state]]="VA",1,0)</f>
        <v>0</v>
      </c>
    </row>
    <row r="2064" spans="1:17" x14ac:dyDescent="0.35">
      <c r="A2064">
        <v>202211</v>
      </c>
      <c r="B2064">
        <v>43</v>
      </c>
      <c r="C2064" s="2">
        <v>2864354.8083000001</v>
      </c>
      <c r="D2064" s="2">
        <v>0.68359999999999999</v>
      </c>
      <c r="E2064" s="3">
        <v>197983</v>
      </c>
      <c r="F2064" s="2">
        <v>135340.3309</v>
      </c>
      <c r="G2064" t="s">
        <v>3710</v>
      </c>
      <c r="H2064" t="s">
        <v>8</v>
      </c>
      <c r="I2064">
        <f>HLOOKUP(G2064,zip_tiers!$A$1:$EON$2,2,FALSE)</f>
        <v>60539.333333333336</v>
      </c>
      <c r="J2064" t="str">
        <f t="shared" si="32"/>
        <v>Med</v>
      </c>
      <c r="K2064">
        <f>dataset[[#This Row],[soda_sales]]/dataset[[#This Row],[soda_units_sold]]</f>
        <v>0.68359571730906188</v>
      </c>
      <c r="L2064" s="29">
        <f>dataset[[#This Row],[implied_soda_ppu]]-dataset[[#This Row],[soda_ppu]]</f>
        <v>-4.2826909381066258E-6</v>
      </c>
      <c r="M2064">
        <f>dataset[[#This Row],[soda_sales]]/dataset[[#This Row],[total_sales]]</f>
        <v>4.7249848555013595E-2</v>
      </c>
      <c r="N2064">
        <f>LN(dataset[[#This Row],[soda_units_sold]])</f>
        <v>12.195936447404755</v>
      </c>
      <c r="O2064">
        <f>LN(dataset[[#This Row],[soda_sales]])</f>
        <v>11.815547854736678</v>
      </c>
      <c r="P2064">
        <f>LN(dataset[[#This Row],[soda_ppu]])</f>
        <v>-0.38038232774070124</v>
      </c>
      <c r="Q2064">
        <f>IF(dataset[[#This Row],[state]]="VA",1,0)</f>
        <v>0</v>
      </c>
    </row>
    <row r="2065" spans="1:17" x14ac:dyDescent="0.35">
      <c r="A2065">
        <v>202212</v>
      </c>
      <c r="B2065">
        <v>43</v>
      </c>
      <c r="C2065" s="2">
        <v>2974435.8807000001</v>
      </c>
      <c r="D2065" s="2">
        <v>0.68969999999999998</v>
      </c>
      <c r="E2065" s="3">
        <v>194208</v>
      </c>
      <c r="F2065" s="2">
        <v>133938.70610000001</v>
      </c>
      <c r="G2065" t="s">
        <v>3710</v>
      </c>
      <c r="H2065" t="s">
        <v>8</v>
      </c>
      <c r="I2065">
        <f>HLOOKUP(G2065,zip_tiers!$A$1:$EON$2,2,FALSE)</f>
        <v>60539.333333333336</v>
      </c>
      <c r="J2065" t="str">
        <f t="shared" si="32"/>
        <v>Med</v>
      </c>
      <c r="K2065">
        <f>dataset[[#This Row],[soda_sales]]/dataset[[#This Row],[soda_units_sold]]</f>
        <v>0.68966626555033783</v>
      </c>
      <c r="L2065" s="29">
        <f>dataset[[#This Row],[implied_soda_ppu]]-dataset[[#This Row],[soda_ppu]]</f>
        <v>-3.3734449662148336E-5</v>
      </c>
      <c r="M2065">
        <f>dataset[[#This Row],[soda_sales]]/dataset[[#This Row],[total_sales]]</f>
        <v>4.5029952391671339E-2</v>
      </c>
      <c r="N2065">
        <f>LN(dataset[[#This Row],[soda_units_sold]])</f>
        <v>12.176685028635582</v>
      </c>
      <c r="O2065">
        <f>LN(dataset[[#This Row],[soda_sales]])</f>
        <v>11.805137557121725</v>
      </c>
      <c r="P2065">
        <f>LN(dataset[[#This Row],[soda_ppu]])</f>
        <v>-0.3714985585448915</v>
      </c>
      <c r="Q2065">
        <f>IF(dataset[[#This Row],[state]]="VA",1,0)</f>
        <v>0</v>
      </c>
    </row>
    <row r="2066" spans="1:17" x14ac:dyDescent="0.35">
      <c r="A2066">
        <v>202301</v>
      </c>
      <c r="B2066">
        <v>43</v>
      </c>
      <c r="C2066" s="2">
        <v>1761487.4872999999</v>
      </c>
      <c r="D2066" s="2">
        <v>0.71530000000000005</v>
      </c>
      <c r="E2066" s="3">
        <v>138905</v>
      </c>
      <c r="F2066" s="2">
        <v>99352.606400000004</v>
      </c>
      <c r="G2066" t="s">
        <v>3710</v>
      </c>
      <c r="H2066" t="s">
        <v>8</v>
      </c>
      <c r="I2066">
        <f>HLOOKUP(G2066,zip_tiers!$A$1:$EON$2,2,FALSE)</f>
        <v>60539.333333333336</v>
      </c>
      <c r="J2066" t="str">
        <f t="shared" si="32"/>
        <v>Med</v>
      </c>
      <c r="K2066">
        <f>dataset[[#This Row],[soda_sales]]/dataset[[#This Row],[soda_units_sold]]</f>
        <v>0.71525579640761672</v>
      </c>
      <c r="L2066" s="29">
        <f>dataset[[#This Row],[implied_soda_ppu]]-dataset[[#This Row],[soda_ppu]]</f>
        <v>-4.4203592383329493E-5</v>
      </c>
      <c r="M2066">
        <f>dataset[[#This Row],[soda_sales]]/dataset[[#This Row],[total_sales]]</f>
        <v>5.6402675077917942E-2</v>
      </c>
      <c r="N2066">
        <f>LN(dataset[[#This Row],[soda_units_sold]])</f>
        <v>11.841545525214785</v>
      </c>
      <c r="O2066">
        <f>LN(dataset[[#This Row],[soda_sales]])</f>
        <v>11.506430482160253</v>
      </c>
      <c r="P2066">
        <f>LN(dataset[[#This Row],[soda_ppu]])</f>
        <v>-0.33505324386779883</v>
      </c>
      <c r="Q2066">
        <f>IF(dataset[[#This Row],[state]]="VA",1,0)</f>
        <v>0</v>
      </c>
    </row>
    <row r="2067" spans="1:17" x14ac:dyDescent="0.35">
      <c r="A2067">
        <v>202302</v>
      </c>
      <c r="B2067">
        <v>43</v>
      </c>
      <c r="C2067" s="2">
        <v>1971285.3071000001</v>
      </c>
      <c r="D2067" s="2">
        <v>0.71330000000000005</v>
      </c>
      <c r="E2067" s="3">
        <v>156924</v>
      </c>
      <c r="F2067" s="2">
        <v>111936.6985</v>
      </c>
      <c r="G2067" t="s">
        <v>3710</v>
      </c>
      <c r="H2067" t="s">
        <v>8</v>
      </c>
      <c r="I2067">
        <f>HLOOKUP(G2067,zip_tiers!$A$1:$EON$2,2,FALSE)</f>
        <v>60539.333333333336</v>
      </c>
      <c r="J2067" t="str">
        <f t="shared" si="32"/>
        <v>Med</v>
      </c>
      <c r="K2067">
        <f>dataset[[#This Row],[soda_sales]]/dataset[[#This Row],[soda_units_sold]]</f>
        <v>0.71331790229665315</v>
      </c>
      <c r="L2067" s="29">
        <f>dataset[[#This Row],[implied_soda_ppu]]-dataset[[#This Row],[soda_ppu]]</f>
        <v>1.7902296653105054E-5</v>
      </c>
      <c r="M2067">
        <f>dataset[[#This Row],[soda_sales]]/dataset[[#This Row],[total_sales]]</f>
        <v>5.6783611229098273E-2</v>
      </c>
      <c r="N2067">
        <f>LN(dataset[[#This Row],[soda_units_sold]])</f>
        <v>11.963516890694503</v>
      </c>
      <c r="O2067">
        <f>LN(dataset[[#This Row],[soda_sales]])</f>
        <v>11.62568879853176</v>
      </c>
      <c r="P2067">
        <f>LN(dataset[[#This Row],[soda_ppu]])</f>
        <v>-0.33785318969814454</v>
      </c>
      <c r="Q2067">
        <f>IF(dataset[[#This Row],[state]]="VA",1,0)</f>
        <v>0</v>
      </c>
    </row>
    <row r="2068" spans="1:17" x14ac:dyDescent="0.35">
      <c r="A2068">
        <v>202303</v>
      </c>
      <c r="B2068">
        <v>43</v>
      </c>
      <c r="C2068" s="2">
        <v>2177754.2522</v>
      </c>
      <c r="D2068" s="2">
        <v>0.69699999999999995</v>
      </c>
      <c r="E2068" s="3">
        <v>187880</v>
      </c>
      <c r="F2068" s="2">
        <v>130953.99830000001</v>
      </c>
      <c r="G2068" t="s">
        <v>3710</v>
      </c>
      <c r="H2068" t="s">
        <v>8</v>
      </c>
      <c r="I2068">
        <f>HLOOKUP(G2068,zip_tiers!$A$1:$EON$2,2,FALSE)</f>
        <v>60539.333333333336</v>
      </c>
      <c r="J2068" t="str">
        <f t="shared" si="32"/>
        <v>Med</v>
      </c>
      <c r="K2068">
        <f>dataset[[#This Row],[soda_sales]]/dataset[[#This Row],[soda_units_sold]]</f>
        <v>0.69700871992761337</v>
      </c>
      <c r="L2068" s="29">
        <f>dataset[[#This Row],[implied_soda_ppu]]-dataset[[#This Row],[soda_ppu]]</f>
        <v>8.7199276134208858E-6</v>
      </c>
      <c r="M2068">
        <f>dataset[[#This Row],[soda_sales]]/dataset[[#This Row],[total_sales]]</f>
        <v>6.0132587580856892E-2</v>
      </c>
      <c r="N2068">
        <f>LN(dataset[[#This Row],[soda_units_sold]])</f>
        <v>12.143558740140932</v>
      </c>
      <c r="O2068">
        <f>LN(dataset[[#This Row],[soda_sales]])</f>
        <v>11.782601382497608</v>
      </c>
      <c r="P2068">
        <f>LN(dataset[[#This Row],[soda_ppu]])</f>
        <v>-0.36096986822161325</v>
      </c>
      <c r="Q2068">
        <f>IF(dataset[[#This Row],[state]]="VA",1,0)</f>
        <v>0</v>
      </c>
    </row>
    <row r="2069" spans="1:17" x14ac:dyDescent="0.35">
      <c r="A2069">
        <v>202304</v>
      </c>
      <c r="B2069">
        <v>43</v>
      </c>
      <c r="C2069" s="2">
        <v>2312157.2963</v>
      </c>
      <c r="D2069" s="2">
        <v>0.71509999999999996</v>
      </c>
      <c r="E2069" s="3">
        <v>215879</v>
      </c>
      <c r="F2069" s="2">
        <v>154376.04569999999</v>
      </c>
      <c r="G2069" t="s">
        <v>3710</v>
      </c>
      <c r="H2069" t="s">
        <v>8</v>
      </c>
      <c r="I2069">
        <f>HLOOKUP(G2069,zip_tiers!$A$1:$EON$2,2,FALSE)</f>
        <v>60539.333333333336</v>
      </c>
      <c r="J2069" t="str">
        <f t="shared" si="32"/>
        <v>Med</v>
      </c>
      <c r="K2069">
        <f>dataset[[#This Row],[soda_sales]]/dataset[[#This Row],[soda_units_sold]]</f>
        <v>0.71510450622802579</v>
      </c>
      <c r="L2069" s="29">
        <f>dataset[[#This Row],[implied_soda_ppu]]-dataset[[#This Row],[soda_ppu]]</f>
        <v>4.5062280258356679E-6</v>
      </c>
      <c r="M2069">
        <f>dataset[[#This Row],[soda_sales]]/dataset[[#This Row],[total_sales]]</f>
        <v>6.676710358202631E-2</v>
      </c>
      <c r="N2069">
        <f>LN(dataset[[#This Row],[soda_units_sold]])</f>
        <v>12.282473344518774</v>
      </c>
      <c r="O2069">
        <f>LN(dataset[[#This Row],[soda_sales]])</f>
        <v>11.947146760106619</v>
      </c>
      <c r="P2069">
        <f>LN(dataset[[#This Row],[soda_ppu]])</f>
        <v>-0.33533288592778687</v>
      </c>
      <c r="Q2069">
        <f>IF(dataset[[#This Row],[state]]="VA",1,0)</f>
        <v>0</v>
      </c>
    </row>
    <row r="2070" spans="1:17" x14ac:dyDescent="0.35">
      <c r="A2070">
        <v>202305</v>
      </c>
      <c r="B2070">
        <v>43</v>
      </c>
      <c r="C2070" s="2">
        <v>2448219.5847999998</v>
      </c>
      <c r="D2070" s="2">
        <v>0.71309999999999996</v>
      </c>
      <c r="E2070" s="3">
        <v>235959</v>
      </c>
      <c r="F2070" s="2">
        <v>168257.2703</v>
      </c>
      <c r="G2070" t="s">
        <v>3710</v>
      </c>
      <c r="H2070" t="s">
        <v>8</v>
      </c>
      <c r="I2070">
        <f>HLOOKUP(G2070,zip_tiers!$A$1:$EON$2,2,FALSE)</f>
        <v>60539.333333333336</v>
      </c>
      <c r="J2070" t="str">
        <f t="shared" si="32"/>
        <v>Med</v>
      </c>
      <c r="K2070">
        <f>dataset[[#This Row],[soda_sales]]/dataset[[#This Row],[soda_units_sold]]</f>
        <v>0.71307841743692757</v>
      </c>
      <c r="L2070" s="29">
        <f>dataset[[#This Row],[implied_soda_ppu]]-dataset[[#This Row],[soda_ppu]]</f>
        <v>-2.1582563072386485E-5</v>
      </c>
      <c r="M2070">
        <f>dataset[[#This Row],[soda_sales]]/dataset[[#This Row],[total_sales]]</f>
        <v>6.8726380323334141E-2</v>
      </c>
      <c r="N2070">
        <f>LN(dataset[[#This Row],[soda_units_sold]])</f>
        <v>12.37141334010159</v>
      </c>
      <c r="O2070">
        <f>LN(dataset[[#This Row],[soda_sales]])</f>
        <v>12.033249457866113</v>
      </c>
      <c r="P2070">
        <f>LN(dataset[[#This Row],[soda_ppu]])</f>
        <v>-0.33813361594787916</v>
      </c>
      <c r="Q2070">
        <f>IF(dataset[[#This Row],[state]]="VA",1,0)</f>
        <v>0</v>
      </c>
    </row>
    <row r="2071" spans="1:17" x14ac:dyDescent="0.35">
      <c r="A2071">
        <v>202306</v>
      </c>
      <c r="B2071">
        <v>43</v>
      </c>
      <c r="C2071" s="2">
        <v>2304756.2156000002</v>
      </c>
      <c r="D2071" s="2">
        <v>0.69630000000000003</v>
      </c>
      <c r="E2071" s="3">
        <v>251245</v>
      </c>
      <c r="F2071" s="2">
        <v>174940.06049999999</v>
      </c>
      <c r="G2071" t="s">
        <v>3710</v>
      </c>
      <c r="H2071" t="s">
        <v>8</v>
      </c>
      <c r="I2071">
        <f>HLOOKUP(G2071,zip_tiers!$A$1:$EON$2,2,FALSE)</f>
        <v>60539.333333333336</v>
      </c>
      <c r="J2071" t="str">
        <f t="shared" si="32"/>
        <v>Med</v>
      </c>
      <c r="K2071">
        <f>dataset[[#This Row],[soda_sales]]/dataset[[#This Row],[soda_units_sold]]</f>
        <v>0.69629270433242452</v>
      </c>
      <c r="L2071" s="29">
        <f>dataset[[#This Row],[implied_soda_ppu]]-dataset[[#This Row],[soda_ppu]]</f>
        <v>-7.2956675755131428E-6</v>
      </c>
      <c r="M2071">
        <f>dataset[[#This Row],[soda_sales]]/dataset[[#This Row],[total_sales]]</f>
        <v>7.5903932622417347E-2</v>
      </c>
      <c r="N2071">
        <f>LN(dataset[[#This Row],[soda_units_sold]])</f>
        <v>12.434183837659893</v>
      </c>
      <c r="O2071">
        <f>LN(dataset[[#This Row],[soda_sales]])</f>
        <v>12.072198682806643</v>
      </c>
      <c r="P2071">
        <f>LN(dataset[[#This Row],[soda_ppu]])</f>
        <v>-0.36197467703363595</v>
      </c>
      <c r="Q2071">
        <f>IF(dataset[[#This Row],[state]]="VA",1,0)</f>
        <v>0</v>
      </c>
    </row>
    <row r="2072" spans="1:17" x14ac:dyDescent="0.35">
      <c r="A2072">
        <v>202307</v>
      </c>
      <c r="B2072">
        <v>43</v>
      </c>
      <c r="C2072" s="2">
        <v>2199904.4914000002</v>
      </c>
      <c r="D2072" s="2">
        <v>0.7107</v>
      </c>
      <c r="E2072" s="3">
        <v>250566</v>
      </c>
      <c r="F2072" s="2">
        <v>178070.3167</v>
      </c>
      <c r="G2072" t="s">
        <v>3710</v>
      </c>
      <c r="H2072" t="s">
        <v>8</v>
      </c>
      <c r="I2072">
        <f>HLOOKUP(G2072,zip_tiers!$A$1:$EON$2,2,FALSE)</f>
        <v>60539.333333333336</v>
      </c>
      <c r="J2072" t="str">
        <f t="shared" si="32"/>
        <v>Med</v>
      </c>
      <c r="K2072">
        <f>dataset[[#This Row],[soda_sales]]/dataset[[#This Row],[soda_units_sold]]</f>
        <v>0.71067230470215426</v>
      </c>
      <c r="L2072" s="29">
        <f>dataset[[#This Row],[implied_soda_ppu]]-dataset[[#This Row],[soda_ppu]]</f>
        <v>-2.7695297845742317E-5</v>
      </c>
      <c r="M2072">
        <f>dataset[[#This Row],[soda_sales]]/dataset[[#This Row],[total_sales]]</f>
        <v>8.0944567091945696E-2</v>
      </c>
      <c r="N2072">
        <f>LN(dataset[[#This Row],[soda_units_sold]])</f>
        <v>12.43147763785802</v>
      </c>
      <c r="O2072">
        <f>LN(dataset[[#This Row],[soda_sales]])</f>
        <v>12.089933788907846</v>
      </c>
      <c r="P2072">
        <f>LN(dataset[[#This Row],[soda_ppu]])</f>
        <v>-0.34150487914928757</v>
      </c>
      <c r="Q2072">
        <f>IF(dataset[[#This Row],[state]]="VA",1,0)</f>
        <v>0</v>
      </c>
    </row>
    <row r="2073" spans="1:17" x14ac:dyDescent="0.35">
      <c r="A2073">
        <v>202308</v>
      </c>
      <c r="B2073">
        <v>43</v>
      </c>
      <c r="C2073" s="2">
        <v>2108601.0183999999</v>
      </c>
      <c r="D2073" s="2">
        <v>0.7046</v>
      </c>
      <c r="E2073" s="3">
        <v>227598</v>
      </c>
      <c r="F2073" s="2">
        <v>160373.25200000001</v>
      </c>
      <c r="G2073" t="s">
        <v>3710</v>
      </c>
      <c r="H2073" t="s">
        <v>8</v>
      </c>
      <c r="I2073">
        <f>HLOOKUP(G2073,zip_tiers!$A$1:$EON$2,2,FALSE)</f>
        <v>60539.333333333336</v>
      </c>
      <c r="J2073" t="str">
        <f t="shared" si="32"/>
        <v>Med</v>
      </c>
      <c r="K2073">
        <f>dataset[[#This Row],[soda_sales]]/dataset[[#This Row],[soda_units_sold]]</f>
        <v>0.70463383685269643</v>
      </c>
      <c r="L2073" s="29">
        <f>dataset[[#This Row],[implied_soda_ppu]]-dataset[[#This Row],[soda_ppu]]</f>
        <v>3.3836852696422781E-5</v>
      </c>
      <c r="M2073">
        <f>dataset[[#This Row],[soda_sales]]/dataset[[#This Row],[total_sales]]</f>
        <v>7.6056708026106687E-2</v>
      </c>
      <c r="N2073">
        <f>LN(dataset[[#This Row],[soda_units_sold]])</f>
        <v>12.335336193849482</v>
      </c>
      <c r="O2073">
        <f>LN(dataset[[#This Row],[soda_sales]])</f>
        <v>11.985259202404134</v>
      </c>
      <c r="P2073">
        <f>LN(dataset[[#This Row],[soda_ppu]])</f>
        <v>-0.35012501307499977</v>
      </c>
      <c r="Q2073">
        <f>IF(dataset[[#This Row],[state]]="VA",1,0)</f>
        <v>0</v>
      </c>
    </row>
    <row r="2074" spans="1:17" x14ac:dyDescent="0.35">
      <c r="A2074">
        <v>202309</v>
      </c>
      <c r="B2074">
        <v>43</v>
      </c>
      <c r="C2074" s="2">
        <v>2113317.2094000001</v>
      </c>
      <c r="D2074" s="2">
        <v>0.71450000000000002</v>
      </c>
      <c r="E2074" s="3">
        <v>217223</v>
      </c>
      <c r="F2074" s="2">
        <v>155206.81460000001</v>
      </c>
      <c r="G2074" t="s">
        <v>3710</v>
      </c>
      <c r="H2074" t="s">
        <v>8</v>
      </c>
      <c r="I2074">
        <f>HLOOKUP(G2074,zip_tiers!$A$1:$EON$2,2,FALSE)</f>
        <v>60539.333333333336</v>
      </c>
      <c r="J2074" t="str">
        <f t="shared" si="32"/>
        <v>Med</v>
      </c>
      <c r="K2074">
        <f>dataset[[#This Row],[soda_sales]]/dataset[[#This Row],[soda_units_sold]]</f>
        <v>0.71450451655671832</v>
      </c>
      <c r="L2074" s="29">
        <f>dataset[[#This Row],[implied_soda_ppu]]-dataset[[#This Row],[soda_ppu]]</f>
        <v>4.5165567182925415E-6</v>
      </c>
      <c r="M2074">
        <f>dataset[[#This Row],[soda_sales]]/dataset[[#This Row],[total_sales]]</f>
        <v>7.344227071527297E-2</v>
      </c>
      <c r="N2074">
        <f>LN(dataset[[#This Row],[soda_units_sold]])</f>
        <v>12.288679754621633</v>
      </c>
      <c r="O2074">
        <f>LN(dataset[[#This Row],[soda_sales]])</f>
        <v>11.952513794272459</v>
      </c>
      <c r="P2074">
        <f>LN(dataset[[#This Row],[soda_ppu]])</f>
        <v>-0.33617228161221491</v>
      </c>
      <c r="Q2074">
        <f>IF(dataset[[#This Row],[state]]="VA",1,0)</f>
        <v>0</v>
      </c>
    </row>
    <row r="2075" spans="1:17" x14ac:dyDescent="0.35">
      <c r="A2075">
        <v>202310</v>
      </c>
      <c r="B2075">
        <v>43</v>
      </c>
      <c r="C2075" s="2">
        <v>2547414.0743</v>
      </c>
      <c r="D2075" s="2">
        <v>0.69359999999999999</v>
      </c>
      <c r="E2075" s="3">
        <v>210349</v>
      </c>
      <c r="F2075" s="2">
        <v>145895.12270000001</v>
      </c>
      <c r="G2075" t="s">
        <v>3710</v>
      </c>
      <c r="H2075" t="s">
        <v>8</v>
      </c>
      <c r="I2075">
        <f>HLOOKUP(G2075,zip_tiers!$A$1:$EON$2,2,FALSE)</f>
        <v>60539.333333333336</v>
      </c>
      <c r="J2075" t="str">
        <f t="shared" si="32"/>
        <v>Med</v>
      </c>
      <c r="K2075">
        <f>dataset[[#This Row],[soda_sales]]/dataset[[#This Row],[soda_units_sold]]</f>
        <v>0.6935860056382489</v>
      </c>
      <c r="L2075" s="29">
        <f>dataset[[#This Row],[implied_soda_ppu]]-dataset[[#This Row],[soda_ppu]]</f>
        <v>-1.39943617510907E-5</v>
      </c>
      <c r="M2075">
        <f>dataset[[#This Row],[soda_sales]]/dataset[[#This Row],[total_sales]]</f>
        <v>5.7271852335231486E-2</v>
      </c>
      <c r="N2075">
        <f>LN(dataset[[#This Row],[soda_units_sold]])</f>
        <v>12.256523335025907</v>
      </c>
      <c r="O2075">
        <f>LN(dataset[[#This Row],[soda_sales]])</f>
        <v>11.890643304891112</v>
      </c>
      <c r="P2075">
        <f>LN(dataset[[#This Row],[soda_ppu]])</f>
        <v>-0.36585985351580497</v>
      </c>
      <c r="Q2075">
        <f>IF(dataset[[#This Row],[state]]="VA",1,0)</f>
        <v>0</v>
      </c>
    </row>
    <row r="2076" spans="1:17" x14ac:dyDescent="0.35">
      <c r="A2076">
        <v>202311</v>
      </c>
      <c r="B2076">
        <v>43</v>
      </c>
      <c r="C2076" s="2">
        <v>2986017.9670000002</v>
      </c>
      <c r="D2076" s="2">
        <v>0.73740000000000006</v>
      </c>
      <c r="E2076" s="3">
        <v>192127</v>
      </c>
      <c r="F2076" s="2">
        <v>141679.49660000001</v>
      </c>
      <c r="G2076" t="s">
        <v>3710</v>
      </c>
      <c r="H2076" t="s">
        <v>8</v>
      </c>
      <c r="I2076">
        <f>HLOOKUP(G2076,zip_tiers!$A$1:$EON$2,2,FALSE)</f>
        <v>60539.333333333336</v>
      </c>
      <c r="J2076" t="str">
        <f t="shared" si="32"/>
        <v>Med</v>
      </c>
      <c r="K2076">
        <f>dataset[[#This Row],[soda_sales]]/dataset[[#This Row],[soda_units_sold]]</f>
        <v>0.73742626804145184</v>
      </c>
      <c r="L2076" s="29">
        <f>dataset[[#This Row],[implied_soda_ppu]]-dataset[[#This Row],[soda_ppu]]</f>
        <v>2.6268041451782409E-5</v>
      </c>
      <c r="M2076">
        <f>dataset[[#This Row],[soda_sales]]/dataset[[#This Row],[total_sales]]</f>
        <v>4.7447637008809732E-2</v>
      </c>
      <c r="N2076">
        <f>LN(dataset[[#This Row],[soda_units_sold]])</f>
        <v>12.16591189067611</v>
      </c>
      <c r="O2076">
        <f>LN(dataset[[#This Row],[soda_sales]])</f>
        <v>11.861322719373046</v>
      </c>
      <c r="P2076">
        <f>LN(dataset[[#This Row],[soda_ppu]])</f>
        <v>-0.30462479318209285</v>
      </c>
      <c r="Q2076">
        <f>IF(dataset[[#This Row],[state]]="VA",1,0)</f>
        <v>0</v>
      </c>
    </row>
    <row r="2077" spans="1:17" x14ac:dyDescent="0.35">
      <c r="A2077">
        <v>202312</v>
      </c>
      <c r="B2077">
        <v>43</v>
      </c>
      <c r="C2077" s="2">
        <v>3057341.1997000002</v>
      </c>
      <c r="D2077" s="2">
        <v>0.68030000000000002</v>
      </c>
      <c r="E2077" s="3">
        <v>201156</v>
      </c>
      <c r="F2077" s="2">
        <v>136847.89000000001</v>
      </c>
      <c r="G2077" t="s">
        <v>3710</v>
      </c>
      <c r="H2077" t="s">
        <v>8</v>
      </c>
      <c r="I2077">
        <f>HLOOKUP(G2077,zip_tiers!$A$1:$EON$2,2,FALSE)</f>
        <v>60539.333333333336</v>
      </c>
      <c r="J2077" t="str">
        <f t="shared" si="32"/>
        <v>Med</v>
      </c>
      <c r="K2077">
        <f>dataset[[#This Row],[soda_sales]]/dataset[[#This Row],[soda_units_sold]]</f>
        <v>0.68030727395653134</v>
      </c>
      <c r="L2077" s="29">
        <f>dataset[[#This Row],[implied_soda_ppu]]-dataset[[#This Row],[soda_ppu]]</f>
        <v>7.2739565313284515E-6</v>
      </c>
      <c r="M2077">
        <f>dataset[[#This Row],[soda_sales]]/dataset[[#This Row],[total_sales]]</f>
        <v>4.4760424519653917E-2</v>
      </c>
      <c r="N2077">
        <f>LN(dataset[[#This Row],[soda_units_sold]])</f>
        <v>12.211836005419277</v>
      </c>
      <c r="O2077">
        <f>LN(dataset[[#This Row],[soda_sales]])</f>
        <v>11.826625296008713</v>
      </c>
      <c r="P2077">
        <f>LN(dataset[[#This Row],[soda_ppu]])</f>
        <v>-0.38522140163112195</v>
      </c>
      <c r="Q2077">
        <f>IF(dataset[[#This Row],[state]]="VA",1,0)</f>
        <v>0</v>
      </c>
    </row>
    <row r="2078" spans="1:17" x14ac:dyDescent="0.35">
      <c r="A2078">
        <v>202401</v>
      </c>
      <c r="B2078">
        <v>43</v>
      </c>
      <c r="C2078" s="2">
        <v>1765740.0575000001</v>
      </c>
      <c r="D2078" s="2">
        <v>0.70879999999999999</v>
      </c>
      <c r="E2078" s="3">
        <v>138664</v>
      </c>
      <c r="F2078" s="2">
        <v>98288.759600000005</v>
      </c>
      <c r="G2078" t="s">
        <v>3710</v>
      </c>
      <c r="H2078" t="s">
        <v>8</v>
      </c>
      <c r="I2078">
        <f>HLOOKUP(G2078,zip_tiers!$A$1:$EON$2,2,FALSE)</f>
        <v>60539.333333333336</v>
      </c>
      <c r="J2078" t="str">
        <f t="shared" si="32"/>
        <v>Med</v>
      </c>
      <c r="K2078">
        <f>dataset[[#This Row],[soda_sales]]/dataset[[#This Row],[soda_units_sold]]</f>
        <v>0.70882680147695154</v>
      </c>
      <c r="L2078" s="29">
        <f>dataset[[#This Row],[implied_soda_ppu]]-dataset[[#This Row],[soda_ppu]]</f>
        <v>2.6801476951554548E-5</v>
      </c>
      <c r="M2078">
        <f>dataset[[#This Row],[soda_sales]]/dataset[[#This Row],[total_sales]]</f>
        <v>5.5664342654807783E-2</v>
      </c>
      <c r="N2078">
        <f>LN(dataset[[#This Row],[soda_units_sold]])</f>
        <v>11.839809019621146</v>
      </c>
      <c r="O2078">
        <f>LN(dataset[[#This Row],[soda_sales]])</f>
        <v>11.495664951682489</v>
      </c>
      <c r="P2078">
        <f>LN(dataset[[#This Row],[soda_ppu]])</f>
        <v>-0.3441818796912659</v>
      </c>
      <c r="Q2078">
        <f>IF(dataset[[#This Row],[state]]="VA",1,0)</f>
        <v>0</v>
      </c>
    </row>
    <row r="2079" spans="1:17" x14ac:dyDescent="0.35">
      <c r="A2079">
        <v>202402</v>
      </c>
      <c r="B2079">
        <v>43</v>
      </c>
      <c r="C2079" s="2">
        <v>2031600.5029</v>
      </c>
      <c r="D2079" s="2">
        <v>0.70179999999999998</v>
      </c>
      <c r="E2079" s="3">
        <v>165885</v>
      </c>
      <c r="F2079" s="2">
        <v>116420.7632</v>
      </c>
      <c r="G2079" t="s">
        <v>3710</v>
      </c>
      <c r="H2079" t="s">
        <v>8</v>
      </c>
      <c r="I2079">
        <f>HLOOKUP(G2079,zip_tiers!$A$1:$EON$2,2,FALSE)</f>
        <v>60539.333333333336</v>
      </c>
      <c r="J2079" t="str">
        <f t="shared" si="32"/>
        <v>Med</v>
      </c>
      <c r="K2079">
        <f>dataset[[#This Row],[soda_sales]]/dataset[[#This Row],[soda_units_sold]]</f>
        <v>0.70181609669349254</v>
      </c>
      <c r="L2079" s="29">
        <f>dataset[[#This Row],[implied_soda_ppu]]-dataset[[#This Row],[soda_ppu]]</f>
        <v>1.6096693492562153E-5</v>
      </c>
      <c r="M2079">
        <f>dataset[[#This Row],[soda_sales]]/dataset[[#This Row],[total_sales]]</f>
        <v>5.7304948996525475E-2</v>
      </c>
      <c r="N2079">
        <f>LN(dataset[[#This Row],[soda_units_sold]])</f>
        <v>12.019050056177569</v>
      </c>
      <c r="O2079">
        <f>LN(dataset[[#This Row],[soda_sales]])</f>
        <v>11.664966176378883</v>
      </c>
      <c r="P2079">
        <f>LN(dataset[[#This Row],[soda_ppu]])</f>
        <v>-0.35410681583302234</v>
      </c>
      <c r="Q2079">
        <f>IF(dataset[[#This Row],[state]]="VA",1,0)</f>
        <v>0</v>
      </c>
    </row>
    <row r="2080" spans="1:17" x14ac:dyDescent="0.35">
      <c r="A2080">
        <v>202403</v>
      </c>
      <c r="B2080">
        <v>43</v>
      </c>
      <c r="C2080" s="2">
        <v>2220294.2066000002</v>
      </c>
      <c r="D2080" s="2">
        <v>0.75780000000000003</v>
      </c>
      <c r="E2080" s="3">
        <v>175021</v>
      </c>
      <c r="F2080" s="2">
        <v>132638.6452</v>
      </c>
      <c r="G2080" t="s">
        <v>3710</v>
      </c>
      <c r="H2080" t="s">
        <v>8</v>
      </c>
      <c r="I2080">
        <f>HLOOKUP(G2080,zip_tiers!$A$1:$EON$2,2,FALSE)</f>
        <v>60539.333333333336</v>
      </c>
      <c r="J2080" t="str">
        <f t="shared" si="32"/>
        <v>Med</v>
      </c>
      <c r="K2080">
        <f>dataset[[#This Row],[soda_sales]]/dataset[[#This Row],[soda_units_sold]]</f>
        <v>0.75784417412767613</v>
      </c>
      <c r="L2080" s="29">
        <f>dataset[[#This Row],[implied_soda_ppu]]-dataset[[#This Row],[soda_ppu]]</f>
        <v>4.417412767609985E-5</v>
      </c>
      <c r="M2080">
        <f>dataset[[#This Row],[soda_sales]]/dataset[[#This Row],[total_sales]]</f>
        <v>5.9739220507679179E-2</v>
      </c>
      <c r="N2080">
        <f>LN(dataset[[#This Row],[soda_units_sold]])</f>
        <v>12.072661245706227</v>
      </c>
      <c r="O2080">
        <f>LN(dataset[[#This Row],[soda_sales]])</f>
        <v>11.795383756203568</v>
      </c>
      <c r="P2080">
        <f>LN(dataset[[#This Row],[soda_ppu]])</f>
        <v>-0.27733578039763657</v>
      </c>
      <c r="Q2080">
        <f>IF(dataset[[#This Row],[state]]="VA",1,0)</f>
        <v>0</v>
      </c>
    </row>
    <row r="2081" spans="1:17" x14ac:dyDescent="0.35">
      <c r="A2081">
        <v>202404</v>
      </c>
      <c r="B2081">
        <v>43</v>
      </c>
      <c r="C2081" s="2">
        <v>2383581.926</v>
      </c>
      <c r="D2081" s="2">
        <v>0.74480000000000002</v>
      </c>
      <c r="E2081" s="3">
        <v>211619</v>
      </c>
      <c r="F2081" s="2">
        <v>157604.82639999999</v>
      </c>
      <c r="G2081" t="s">
        <v>3710</v>
      </c>
      <c r="H2081" t="s">
        <v>8</v>
      </c>
      <c r="I2081">
        <f>HLOOKUP(G2081,zip_tiers!$A$1:$EON$2,2,FALSE)</f>
        <v>60539.333333333336</v>
      </c>
      <c r="J2081" t="str">
        <f t="shared" si="32"/>
        <v>Med</v>
      </c>
      <c r="K2081">
        <f>dataset[[#This Row],[soda_sales]]/dataset[[#This Row],[soda_units_sold]]</f>
        <v>0.74475744805523125</v>
      </c>
      <c r="L2081" s="29">
        <f>dataset[[#This Row],[implied_soda_ppu]]-dataset[[#This Row],[soda_ppu]]</f>
        <v>-4.2551944768765004E-5</v>
      </c>
      <c r="M2081">
        <f>dataset[[#This Row],[soda_sales]]/dataset[[#This Row],[total_sales]]</f>
        <v>6.6121002463080433E-2</v>
      </c>
      <c r="N2081">
        <f>LN(dataset[[#This Row],[soda_units_sold]])</f>
        <v>12.262542766995708</v>
      </c>
      <c r="O2081">
        <f>LN(dataset[[#This Row],[soda_sales]])</f>
        <v>11.967846080302481</v>
      </c>
      <c r="P2081">
        <f>LN(dataset[[#This Row],[soda_ppu]])</f>
        <v>-0.29463955301927969</v>
      </c>
      <c r="Q2081">
        <f>IF(dataset[[#This Row],[state]]="VA",1,0)</f>
        <v>0</v>
      </c>
    </row>
    <row r="2082" spans="1:17" x14ac:dyDescent="0.35">
      <c r="A2082">
        <v>202405</v>
      </c>
      <c r="B2082">
        <v>43</v>
      </c>
      <c r="C2082" s="2">
        <v>2486327.4112999998</v>
      </c>
      <c r="D2082" s="2">
        <v>0.73299999999999998</v>
      </c>
      <c r="E2082" s="3">
        <v>234603</v>
      </c>
      <c r="F2082" s="2">
        <v>171963.8132</v>
      </c>
      <c r="G2082" t="s">
        <v>3710</v>
      </c>
      <c r="H2082" t="s">
        <v>8</v>
      </c>
      <c r="I2082">
        <f>HLOOKUP(G2082,zip_tiers!$A$1:$EON$2,2,FALSE)</f>
        <v>60539.333333333336</v>
      </c>
      <c r="J2082" t="str">
        <f t="shared" si="32"/>
        <v>Med</v>
      </c>
      <c r="K2082">
        <f>dataset[[#This Row],[soda_sales]]/dataset[[#This Row],[soda_units_sold]]</f>
        <v>0.73299920802376783</v>
      </c>
      <c r="L2082" s="29">
        <f>dataset[[#This Row],[implied_soda_ppu]]-dataset[[#This Row],[soda_ppu]]</f>
        <v>-7.919762321506596E-7</v>
      </c>
      <c r="M2082">
        <f>dataset[[#This Row],[soda_sales]]/dataset[[#This Row],[total_sales]]</f>
        <v>6.9163784471204096E-2</v>
      </c>
      <c r="N2082">
        <f>LN(dataset[[#This Row],[soda_units_sold]])</f>
        <v>12.365650002843536</v>
      </c>
      <c r="O2082">
        <f>LN(dataset[[#This Row],[soda_sales]])</f>
        <v>12.055039345288758</v>
      </c>
      <c r="P2082">
        <f>LN(dataset[[#This Row],[soda_ppu]])</f>
        <v>-0.31060957709548559</v>
      </c>
      <c r="Q2082">
        <f>IF(dataset[[#This Row],[state]]="VA",1,0)</f>
        <v>0</v>
      </c>
    </row>
    <row r="2083" spans="1:17" x14ac:dyDescent="0.35">
      <c r="A2083">
        <v>202406</v>
      </c>
      <c r="B2083">
        <v>43</v>
      </c>
      <c r="C2083" s="2">
        <v>2330534.9016</v>
      </c>
      <c r="D2083" s="2">
        <v>0.74319999999999997</v>
      </c>
      <c r="E2083" s="3">
        <v>233308</v>
      </c>
      <c r="F2083" s="2">
        <v>173394.58670000001</v>
      </c>
      <c r="G2083" t="s">
        <v>3710</v>
      </c>
      <c r="H2083" t="s">
        <v>8</v>
      </c>
      <c r="I2083">
        <f>HLOOKUP(G2083,zip_tiers!$A$1:$EON$2,2,FALSE)</f>
        <v>60539.333333333336</v>
      </c>
      <c r="J2083" t="str">
        <f t="shared" si="32"/>
        <v>Med</v>
      </c>
      <c r="K2083">
        <f>dataset[[#This Row],[soda_sales]]/dataset[[#This Row],[soda_units_sold]]</f>
        <v>0.74320034760916909</v>
      </c>
      <c r="L2083" s="29">
        <f>dataset[[#This Row],[implied_soda_ppu]]-dataset[[#This Row],[soda_ppu]]</f>
        <v>3.476091691156924E-7</v>
      </c>
      <c r="M2083">
        <f>dataset[[#This Row],[soda_sales]]/dataset[[#This Row],[total_sales]]</f>
        <v>7.4401197159054813E-2</v>
      </c>
      <c r="N2083">
        <f>LN(dataset[[#This Row],[soda_units_sold]])</f>
        <v>12.360114748034556</v>
      </c>
      <c r="O2083">
        <f>LN(dataset[[#This Row],[soda_sales]])</f>
        <v>12.063325124271488</v>
      </c>
      <c r="P2083">
        <f>LN(dataset[[#This Row],[soda_ppu]])</f>
        <v>-0.29679009148250834</v>
      </c>
      <c r="Q2083">
        <f>IF(dataset[[#This Row],[state]]="VA",1,0)</f>
        <v>0</v>
      </c>
    </row>
    <row r="2084" spans="1:17" x14ac:dyDescent="0.35">
      <c r="A2084">
        <v>202407</v>
      </c>
      <c r="B2084">
        <v>43</v>
      </c>
      <c r="C2084" s="2">
        <v>2251512.0819000001</v>
      </c>
      <c r="D2084" s="2">
        <v>0.72070000000000001</v>
      </c>
      <c r="E2084" s="3">
        <v>256725</v>
      </c>
      <c r="F2084" s="2">
        <v>185009.75690000001</v>
      </c>
      <c r="G2084" t="s">
        <v>3710</v>
      </c>
      <c r="H2084" t="s">
        <v>8</v>
      </c>
      <c r="I2084">
        <f>HLOOKUP(G2084,zip_tiers!$A$1:$EON$2,2,FALSE)</f>
        <v>60539.333333333336</v>
      </c>
      <c r="J2084" t="str">
        <f t="shared" si="32"/>
        <v>Med</v>
      </c>
      <c r="K2084">
        <f>dataset[[#This Row],[soda_sales]]/dataset[[#This Row],[soda_units_sold]]</f>
        <v>0.72065344980037005</v>
      </c>
      <c r="L2084" s="29">
        <f>dataset[[#This Row],[implied_soda_ppu]]-dataset[[#This Row],[soda_ppu]]</f>
        <v>-4.6550199629957767E-5</v>
      </c>
      <c r="M2084">
        <f>dataset[[#This Row],[soda_sales]]/dataset[[#This Row],[total_sales]]</f>
        <v>8.2171336493062241E-2</v>
      </c>
      <c r="N2084">
        <f>LN(dataset[[#This Row],[soda_units_sold]])</f>
        <v>12.455760752066496</v>
      </c>
      <c r="O2084">
        <f>LN(dataset[[#This Row],[soda_sales]])</f>
        <v>12.128163842669757</v>
      </c>
      <c r="P2084">
        <f>LN(dataset[[#This Row],[soda_ppu]])</f>
        <v>-0.32753231705174168</v>
      </c>
      <c r="Q2084">
        <f>IF(dataset[[#This Row],[state]]="VA",1,0)</f>
        <v>0</v>
      </c>
    </row>
    <row r="2085" spans="1:17" x14ac:dyDescent="0.35">
      <c r="A2085">
        <v>202408</v>
      </c>
      <c r="B2085">
        <v>43</v>
      </c>
      <c r="C2085" s="2">
        <v>2177961.2418</v>
      </c>
      <c r="D2085" s="2">
        <v>0.75990000000000002</v>
      </c>
      <c r="E2085" s="3">
        <v>217691</v>
      </c>
      <c r="F2085" s="2">
        <v>165421.0307</v>
      </c>
      <c r="G2085" t="s">
        <v>3710</v>
      </c>
      <c r="H2085" t="s">
        <v>8</v>
      </c>
      <c r="I2085">
        <f>HLOOKUP(G2085,zip_tiers!$A$1:$EON$2,2,FALSE)</f>
        <v>60539.333333333336</v>
      </c>
      <c r="J2085" t="str">
        <f t="shared" si="32"/>
        <v>Med</v>
      </c>
      <c r="K2085">
        <f>dataset[[#This Row],[soda_sales]]/dataset[[#This Row],[soda_units_sold]]</f>
        <v>0.75988915802674439</v>
      </c>
      <c r="L2085" s="29">
        <f>dataset[[#This Row],[implied_soda_ppu]]-dataset[[#This Row],[soda_ppu]]</f>
        <v>-1.0841973255626414E-5</v>
      </c>
      <c r="M2085">
        <f>dataset[[#This Row],[soda_sales]]/dataset[[#This Row],[total_sales]]</f>
        <v>7.5952238049601828E-2</v>
      </c>
      <c r="N2085">
        <f>LN(dataset[[#This Row],[soda_units_sold]])</f>
        <v>12.290831905072704</v>
      </c>
      <c r="O2085">
        <f>LN(dataset[[#This Row],[soda_sales]])</f>
        <v>12.016249204032919</v>
      </c>
      <c r="P2085">
        <f>LN(dataset[[#This Row],[soda_ppu]])</f>
        <v>-0.2745684333063978</v>
      </c>
      <c r="Q2085">
        <f>IF(dataset[[#This Row],[state]]="VA",1,0)</f>
        <v>0</v>
      </c>
    </row>
    <row r="2086" spans="1:17" x14ac:dyDescent="0.35">
      <c r="A2086">
        <v>202409</v>
      </c>
      <c r="B2086">
        <v>43</v>
      </c>
      <c r="C2086" s="2">
        <v>2186865.5732999998</v>
      </c>
      <c r="D2086" s="2">
        <v>0.72050000000000003</v>
      </c>
      <c r="E2086" s="3">
        <v>222677</v>
      </c>
      <c r="F2086" s="2">
        <v>160440.27189999999</v>
      </c>
      <c r="G2086" t="s">
        <v>3710</v>
      </c>
      <c r="H2086" t="s">
        <v>8</v>
      </c>
      <c r="I2086">
        <f>HLOOKUP(G2086,zip_tiers!$A$1:$EON$2,2,FALSE)</f>
        <v>60539.333333333336</v>
      </c>
      <c r="J2086" t="str">
        <f t="shared" si="32"/>
        <v>Med</v>
      </c>
      <c r="K2086">
        <f>dataset[[#This Row],[soda_sales]]/dataset[[#This Row],[soda_units_sold]]</f>
        <v>0.72050670657499427</v>
      </c>
      <c r="L2086" s="29">
        <f>dataset[[#This Row],[implied_soda_ppu]]-dataset[[#This Row],[soda_ppu]]</f>
        <v>6.7065749942418762E-6</v>
      </c>
      <c r="M2086">
        <f>dataset[[#This Row],[soda_sales]]/dataset[[#This Row],[total_sales]]</f>
        <v>7.3365401997661048E-2</v>
      </c>
      <c r="N2086">
        <f>LN(dataset[[#This Row],[soda_units_sold]])</f>
        <v>12.313477569959522</v>
      </c>
      <c r="O2086">
        <f>LN(dataset[[#This Row],[soda_sales]])</f>
        <v>11.985677014597089</v>
      </c>
      <c r="P2086">
        <f>LN(dataset[[#This Row],[soda_ppu]])</f>
        <v>-0.32780986354256025</v>
      </c>
      <c r="Q2086">
        <f>IF(dataset[[#This Row],[state]]="VA",1,0)</f>
        <v>0</v>
      </c>
    </row>
    <row r="2087" spans="1:17" x14ac:dyDescent="0.35">
      <c r="A2087">
        <v>202410</v>
      </c>
      <c r="B2087">
        <v>43</v>
      </c>
      <c r="C2087" s="2">
        <v>2626936.6952999998</v>
      </c>
      <c r="D2087" s="2">
        <v>0.73670000000000002</v>
      </c>
      <c r="E2087" s="3">
        <v>205088</v>
      </c>
      <c r="F2087" s="2">
        <v>151087.8027</v>
      </c>
      <c r="G2087" t="s">
        <v>3710</v>
      </c>
      <c r="H2087" t="s">
        <v>8</v>
      </c>
      <c r="I2087">
        <f>HLOOKUP(G2087,zip_tiers!$A$1:$EON$2,2,FALSE)</f>
        <v>60539.333333333336</v>
      </c>
      <c r="J2087" t="str">
        <f t="shared" si="32"/>
        <v>Med</v>
      </c>
      <c r="K2087">
        <f>dataset[[#This Row],[soda_sales]]/dataset[[#This Row],[soda_units_sold]]</f>
        <v>0.73669743085894834</v>
      </c>
      <c r="L2087" s="29">
        <f>dataset[[#This Row],[implied_soda_ppu]]-dataset[[#This Row],[soda_ppu]]</f>
        <v>-2.5691410516781588E-6</v>
      </c>
      <c r="M2087">
        <f>dataset[[#This Row],[soda_sales]]/dataset[[#This Row],[total_sales]]</f>
        <v>5.7514824384736672E-2</v>
      </c>
      <c r="N2087">
        <f>LN(dataset[[#This Row],[soda_units_sold]])</f>
        <v>12.231194434303953</v>
      </c>
      <c r="O2087">
        <f>LN(dataset[[#This Row],[soda_sales]])</f>
        <v>11.925616421640512</v>
      </c>
      <c r="P2087">
        <f>LN(dataset[[#This Row],[soda_ppu]])</f>
        <v>-0.30557452529336909</v>
      </c>
      <c r="Q2087">
        <f>IF(dataset[[#This Row],[state]]="VA",1,0)</f>
        <v>0</v>
      </c>
    </row>
    <row r="2088" spans="1:17" x14ac:dyDescent="0.35">
      <c r="A2088">
        <v>202411</v>
      </c>
      <c r="B2088">
        <v>43</v>
      </c>
      <c r="C2088" s="2">
        <v>2991391.9679999999</v>
      </c>
      <c r="D2088" s="2">
        <v>0.74119999999999997</v>
      </c>
      <c r="E2088" s="3">
        <v>192302</v>
      </c>
      <c r="F2088" s="2">
        <v>142539.7622</v>
      </c>
      <c r="G2088" t="s">
        <v>3710</v>
      </c>
      <c r="H2088" t="s">
        <v>8</v>
      </c>
      <c r="I2088">
        <f>HLOOKUP(G2088,zip_tiers!$A$1:$EON$2,2,FALSE)</f>
        <v>60539.333333333336</v>
      </c>
      <c r="J2088" t="str">
        <f t="shared" si="32"/>
        <v>Med</v>
      </c>
      <c r="K2088">
        <f>dataset[[#This Row],[soda_sales]]/dataset[[#This Row],[soda_units_sold]]</f>
        <v>0.74122870380963279</v>
      </c>
      <c r="L2088" s="29">
        <f>dataset[[#This Row],[implied_soda_ppu]]-dataset[[#This Row],[soda_ppu]]</f>
        <v>2.870380963282404E-5</v>
      </c>
      <c r="M2088">
        <f>dataset[[#This Row],[soda_sales]]/dataset[[#This Row],[total_sales]]</f>
        <v>4.7649978245846519E-2</v>
      </c>
      <c r="N2088">
        <f>LN(dataset[[#This Row],[soda_units_sold]])</f>
        <v>12.166822331938803</v>
      </c>
      <c r="O2088">
        <f>LN(dataset[[#This Row],[soda_sales]])</f>
        <v>11.867376272750835</v>
      </c>
      <c r="P2088">
        <f>LN(dataset[[#This Row],[soda_ppu]])</f>
        <v>-0.29948478457093236</v>
      </c>
      <c r="Q2088">
        <f>IF(dataset[[#This Row],[state]]="VA",1,0)</f>
        <v>0</v>
      </c>
    </row>
    <row r="2089" spans="1:17" x14ac:dyDescent="0.35">
      <c r="A2089">
        <v>202412</v>
      </c>
      <c r="B2089">
        <v>43</v>
      </c>
      <c r="C2089" s="2">
        <v>3156479.2557000001</v>
      </c>
      <c r="D2089" s="2">
        <v>0.74750000000000005</v>
      </c>
      <c r="E2089" s="3">
        <v>184065</v>
      </c>
      <c r="F2089" s="2">
        <v>137591.0906</v>
      </c>
      <c r="G2089" t="s">
        <v>3710</v>
      </c>
      <c r="H2089" t="s">
        <v>8</v>
      </c>
      <c r="I2089">
        <f>HLOOKUP(G2089,zip_tiers!$A$1:$EON$2,2,FALSE)</f>
        <v>60539.333333333336</v>
      </c>
      <c r="J2089" t="str">
        <f t="shared" si="32"/>
        <v>Med</v>
      </c>
      <c r="K2089">
        <f>dataset[[#This Row],[soda_sales]]/dataset[[#This Row],[soda_units_sold]]</f>
        <v>0.74751359900035308</v>
      </c>
      <c r="L2089" s="29">
        <f>dataset[[#This Row],[implied_soda_ppu]]-dataset[[#This Row],[soda_ppu]]</f>
        <v>1.3599000353026192E-5</v>
      </c>
      <c r="M2089">
        <f>dataset[[#This Row],[soda_sales]]/dataset[[#This Row],[total_sales]]</f>
        <v>4.3590050639977028E-2</v>
      </c>
      <c r="N2089">
        <f>LN(dataset[[#This Row],[soda_units_sold]])</f>
        <v>12.123044235078758</v>
      </c>
      <c r="O2089">
        <f>LN(dataset[[#This Row],[soda_sales]])</f>
        <v>11.832041453838592</v>
      </c>
      <c r="P2089">
        <f>LN(dataset[[#This Row],[soda_ppu]])</f>
        <v>-0.29102097371729546</v>
      </c>
      <c r="Q2089">
        <f>IF(dataset[[#This Row],[state]]="VA",1,0)</f>
        <v>0</v>
      </c>
    </row>
    <row r="2090" spans="1:17" x14ac:dyDescent="0.35">
      <c r="A2090">
        <v>202201</v>
      </c>
      <c r="B2090">
        <v>16</v>
      </c>
      <c r="C2090" s="2">
        <v>1674037.5936</v>
      </c>
      <c r="D2090" s="2">
        <v>0.73099999999999998</v>
      </c>
      <c r="E2090" s="3">
        <v>133360</v>
      </c>
      <c r="F2090" s="2">
        <v>97480.652400000006</v>
      </c>
      <c r="G2090" t="s">
        <v>3714</v>
      </c>
      <c r="H2090" t="s">
        <v>8</v>
      </c>
      <c r="I2090">
        <f>HLOOKUP(G2090,zip_tiers!$A$1:$EON$2,2,FALSE)</f>
        <v>61982.333333333336</v>
      </c>
      <c r="J2090" t="str">
        <f t="shared" si="32"/>
        <v>Med</v>
      </c>
      <c r="K2090">
        <f>dataset[[#This Row],[soda_sales]]/dataset[[#This Row],[soda_units_sold]]</f>
        <v>0.73095870125974804</v>
      </c>
      <c r="L2090" s="29">
        <f>dataset[[#This Row],[implied_soda_ppu]]-dataset[[#This Row],[soda_ppu]]</f>
        <v>-4.1298740251938248E-5</v>
      </c>
      <c r="M2090">
        <f>dataset[[#This Row],[soda_sales]]/dataset[[#This Row],[total_sales]]</f>
        <v>5.8230862181755966E-2</v>
      </c>
      <c r="N2090">
        <f>LN(dataset[[#This Row],[soda_units_sold]])</f>
        <v>11.800807517424676</v>
      </c>
      <c r="O2090">
        <f>LN(dataset[[#This Row],[soda_sales]])</f>
        <v>11.487409200371651</v>
      </c>
      <c r="P2090">
        <f>LN(dataset[[#This Row],[soda_ppu]])</f>
        <v>-0.3133418192323586</v>
      </c>
      <c r="Q2090">
        <f>IF(dataset[[#This Row],[state]]="VA",1,0)</f>
        <v>0</v>
      </c>
    </row>
    <row r="2091" spans="1:17" x14ac:dyDescent="0.35">
      <c r="A2091">
        <v>202202</v>
      </c>
      <c r="B2091">
        <v>16</v>
      </c>
      <c r="C2091" s="2">
        <v>1924202.8485000001</v>
      </c>
      <c r="D2091" s="2">
        <v>0.73009999999999997</v>
      </c>
      <c r="E2091" s="3">
        <v>153607</v>
      </c>
      <c r="F2091" s="2">
        <v>112155.822</v>
      </c>
      <c r="G2091" t="s">
        <v>3714</v>
      </c>
      <c r="H2091" t="s">
        <v>8</v>
      </c>
      <c r="I2091">
        <f>HLOOKUP(G2091,zip_tiers!$A$1:$EON$2,2,FALSE)</f>
        <v>61982.333333333336</v>
      </c>
      <c r="J2091" t="str">
        <f t="shared" si="32"/>
        <v>Med</v>
      </c>
      <c r="K2091">
        <f>dataset[[#This Row],[soda_sales]]/dataset[[#This Row],[soda_units_sold]]</f>
        <v>0.73014785784502012</v>
      </c>
      <c r="L2091" s="29">
        <f>dataset[[#This Row],[implied_soda_ppu]]-dataset[[#This Row],[soda_ppu]]</f>
        <v>4.7857845020149448E-5</v>
      </c>
      <c r="M2091">
        <f>dataset[[#This Row],[soda_sales]]/dataset[[#This Row],[total_sales]]</f>
        <v>5.8286901553768276E-2</v>
      </c>
      <c r="N2091">
        <f>LN(dataset[[#This Row],[soda_units_sold]])</f>
        <v>11.942152671573961</v>
      </c>
      <c r="O2091">
        <f>LN(dataset[[#This Row],[soda_sales]])</f>
        <v>11.627644451217972</v>
      </c>
      <c r="P2091">
        <f>LN(dataset[[#This Row],[soda_ppu]])</f>
        <v>-0.314573767920097</v>
      </c>
      <c r="Q2091">
        <f>IF(dataset[[#This Row],[state]]="VA",1,0)</f>
        <v>0</v>
      </c>
    </row>
    <row r="2092" spans="1:17" x14ac:dyDescent="0.35">
      <c r="A2092">
        <v>202203</v>
      </c>
      <c r="B2092">
        <v>16</v>
      </c>
      <c r="C2092" s="2">
        <v>2124567.7722</v>
      </c>
      <c r="D2092" s="2">
        <v>0.72409999999999997</v>
      </c>
      <c r="E2092" s="3">
        <v>182136</v>
      </c>
      <c r="F2092" s="2">
        <v>131885.51250000001</v>
      </c>
      <c r="G2092" t="s">
        <v>3714</v>
      </c>
      <c r="H2092" t="s">
        <v>8</v>
      </c>
      <c r="I2092">
        <f>HLOOKUP(G2092,zip_tiers!$A$1:$EON$2,2,FALSE)</f>
        <v>61982.333333333336</v>
      </c>
      <c r="J2092" t="str">
        <f t="shared" si="32"/>
        <v>Med</v>
      </c>
      <c r="K2092">
        <f>dataset[[#This Row],[soda_sales]]/dataset[[#This Row],[soda_units_sold]]</f>
        <v>0.72410458393727772</v>
      </c>
      <c r="L2092" s="29">
        <f>dataset[[#This Row],[implied_soda_ppu]]-dataset[[#This Row],[soda_ppu]]</f>
        <v>4.5839372777578546E-6</v>
      </c>
      <c r="M2092">
        <f>dataset[[#This Row],[soda_sales]]/dataset[[#This Row],[total_sales]]</f>
        <v>6.2076397009181751E-2</v>
      </c>
      <c r="N2092">
        <f>LN(dataset[[#This Row],[soda_units_sold]])</f>
        <v>12.112508939751859</v>
      </c>
      <c r="O2092">
        <f>LN(dataset[[#This Row],[soda_sales]])</f>
        <v>11.789689495675155</v>
      </c>
      <c r="P2092">
        <f>LN(dataset[[#This Row],[soda_ppu]])</f>
        <v>-0.322825774587362</v>
      </c>
      <c r="Q2092">
        <f>IF(dataset[[#This Row],[state]]="VA",1,0)</f>
        <v>0</v>
      </c>
    </row>
    <row r="2093" spans="1:17" x14ac:dyDescent="0.35">
      <c r="A2093">
        <v>202204</v>
      </c>
      <c r="B2093">
        <v>16</v>
      </c>
      <c r="C2093" s="2">
        <v>2223268.2689999999</v>
      </c>
      <c r="D2093" s="2">
        <v>0.73619999999999997</v>
      </c>
      <c r="E2093" s="3">
        <v>207469</v>
      </c>
      <c r="F2093" s="2">
        <v>152730.98310000001</v>
      </c>
      <c r="G2093" t="s">
        <v>3714</v>
      </c>
      <c r="H2093" t="s">
        <v>8</v>
      </c>
      <c r="I2093">
        <f>HLOOKUP(G2093,zip_tiers!$A$1:$EON$2,2,FALSE)</f>
        <v>61982.333333333336</v>
      </c>
      <c r="J2093" t="str">
        <f t="shared" si="32"/>
        <v>Med</v>
      </c>
      <c r="K2093">
        <f>dataset[[#This Row],[soda_sales]]/dataset[[#This Row],[soda_units_sold]]</f>
        <v>0.73616291156751135</v>
      </c>
      <c r="L2093" s="29">
        <f>dataset[[#This Row],[implied_soda_ppu]]-dataset[[#This Row],[soda_ppu]]</f>
        <v>-3.7088432488618928E-5</v>
      </c>
      <c r="M2093">
        <f>dataset[[#This Row],[soda_sales]]/dataset[[#This Row],[total_sales]]</f>
        <v>6.8696605456747981E-2</v>
      </c>
      <c r="N2093">
        <f>LN(dataset[[#This Row],[soda_units_sold]])</f>
        <v>12.242737209901597</v>
      </c>
      <c r="O2093">
        <f>LN(dataset[[#This Row],[soda_sales]])</f>
        <v>11.936433372393116</v>
      </c>
      <c r="P2093">
        <f>LN(dataset[[#This Row],[soda_ppu]])</f>
        <v>-0.30625345803721632</v>
      </c>
      <c r="Q2093">
        <f>IF(dataset[[#This Row],[state]]="VA",1,0)</f>
        <v>0</v>
      </c>
    </row>
    <row r="2094" spans="1:17" x14ac:dyDescent="0.35">
      <c r="A2094">
        <v>202205</v>
      </c>
      <c r="B2094">
        <v>16</v>
      </c>
      <c r="C2094" s="2">
        <v>2360196.0980000002</v>
      </c>
      <c r="D2094" s="2">
        <v>0.755</v>
      </c>
      <c r="E2094" s="3">
        <v>223263</v>
      </c>
      <c r="F2094" s="2">
        <v>168556.13389999999</v>
      </c>
      <c r="G2094" t="s">
        <v>3714</v>
      </c>
      <c r="H2094" t="s">
        <v>8</v>
      </c>
      <c r="I2094">
        <f>HLOOKUP(G2094,zip_tiers!$A$1:$EON$2,2,FALSE)</f>
        <v>61982.333333333336</v>
      </c>
      <c r="J2094" t="str">
        <f t="shared" si="32"/>
        <v>Med</v>
      </c>
      <c r="K2094">
        <f>dataset[[#This Row],[soda_sales]]/dataset[[#This Row],[soda_units_sold]]</f>
        <v>0.75496671593591413</v>
      </c>
      <c r="L2094" s="29">
        <f>dataset[[#This Row],[implied_soda_ppu]]-dataset[[#This Row],[soda_ppu]]</f>
        <v>-3.3284064085870035E-5</v>
      </c>
      <c r="M2094">
        <f>dataset[[#This Row],[soda_sales]]/dataset[[#This Row],[total_sales]]</f>
        <v>7.1416156497687747E-2</v>
      </c>
      <c r="N2094">
        <f>LN(dataset[[#This Row],[soda_units_sold]])</f>
        <v>12.316105727726496</v>
      </c>
      <c r="O2094">
        <f>LN(dataset[[#This Row],[soda_sales]])</f>
        <v>12.035024112168523</v>
      </c>
      <c r="P2094">
        <f>LN(dataset[[#This Row],[soda_ppu]])</f>
        <v>-0.28103752973311236</v>
      </c>
      <c r="Q2094">
        <f>IF(dataset[[#This Row],[state]]="VA",1,0)</f>
        <v>0</v>
      </c>
    </row>
    <row r="2095" spans="1:17" x14ac:dyDescent="0.35">
      <c r="A2095">
        <v>202206</v>
      </c>
      <c r="B2095">
        <v>16</v>
      </c>
      <c r="C2095" s="2">
        <v>2196246.2620000001</v>
      </c>
      <c r="D2095" s="2">
        <v>0.74829999999999997</v>
      </c>
      <c r="E2095" s="3">
        <v>225518</v>
      </c>
      <c r="F2095" s="2">
        <v>168745.7285</v>
      </c>
      <c r="G2095" t="s">
        <v>3714</v>
      </c>
      <c r="H2095" t="s">
        <v>8</v>
      </c>
      <c r="I2095">
        <f>HLOOKUP(G2095,zip_tiers!$A$1:$EON$2,2,FALSE)</f>
        <v>61982.333333333336</v>
      </c>
      <c r="J2095" t="str">
        <f t="shared" si="32"/>
        <v>Med</v>
      </c>
      <c r="K2095">
        <f>dataset[[#This Row],[soda_sales]]/dataset[[#This Row],[soda_units_sold]]</f>
        <v>0.74825835853457368</v>
      </c>
      <c r="L2095" s="29">
        <f>dataset[[#This Row],[implied_soda_ppu]]-dataset[[#This Row],[soda_ppu]]</f>
        <v>-4.164146542628977E-5</v>
      </c>
      <c r="M2095">
        <f>dataset[[#This Row],[soda_sales]]/dataset[[#This Row],[total_sales]]</f>
        <v>7.6833700946783892E-2</v>
      </c>
      <c r="N2095">
        <f>LN(dataset[[#This Row],[soda_units_sold]])</f>
        <v>12.326155257355623</v>
      </c>
      <c r="O2095">
        <f>LN(dataset[[#This Row],[soda_sales]])</f>
        <v>12.036148295821814</v>
      </c>
      <c r="P2095">
        <f>LN(dataset[[#This Row],[soda_ppu]])</f>
        <v>-0.28995131189582424</v>
      </c>
      <c r="Q2095">
        <f>IF(dataset[[#This Row],[state]]="VA",1,0)</f>
        <v>0</v>
      </c>
    </row>
    <row r="2096" spans="1:17" x14ac:dyDescent="0.35">
      <c r="A2096">
        <v>202207</v>
      </c>
      <c r="B2096">
        <v>16</v>
      </c>
      <c r="C2096" s="2">
        <v>2137681.6164000002</v>
      </c>
      <c r="D2096" s="2">
        <v>0.72929999999999995</v>
      </c>
      <c r="E2096" s="3">
        <v>249277</v>
      </c>
      <c r="F2096" s="2">
        <v>181799.5667</v>
      </c>
      <c r="G2096" t="s">
        <v>3714</v>
      </c>
      <c r="H2096" t="s">
        <v>8</v>
      </c>
      <c r="I2096">
        <f>HLOOKUP(G2096,zip_tiers!$A$1:$EON$2,2,FALSE)</f>
        <v>61982.333333333336</v>
      </c>
      <c r="J2096" t="str">
        <f t="shared" si="32"/>
        <v>Med</v>
      </c>
      <c r="K2096">
        <f>dataset[[#This Row],[soda_sales]]/dataset[[#This Row],[soda_units_sold]]</f>
        <v>0.72930742386983149</v>
      </c>
      <c r="L2096" s="29">
        <f>dataset[[#This Row],[implied_soda_ppu]]-dataset[[#This Row],[soda_ppu]]</f>
        <v>7.4238698315465257E-6</v>
      </c>
      <c r="M2096">
        <f>dataset[[#This Row],[soda_sales]]/dataset[[#This Row],[total_sales]]</f>
        <v>8.5045202852126647E-2</v>
      </c>
      <c r="N2096">
        <f>LN(dataset[[#This Row],[soda_units_sold]])</f>
        <v>12.426320006932283</v>
      </c>
      <c r="O2096">
        <f>LN(dataset[[#This Row],[soda_sales]])</f>
        <v>12.110660077334336</v>
      </c>
      <c r="P2096">
        <f>LN(dataset[[#This Row],[soda_ppu]])</f>
        <v>-0.31567010899194975</v>
      </c>
      <c r="Q2096">
        <f>IF(dataset[[#This Row],[state]]="VA",1,0)</f>
        <v>0</v>
      </c>
    </row>
    <row r="2097" spans="1:17" x14ac:dyDescent="0.35">
      <c r="A2097">
        <v>202208</v>
      </c>
      <c r="B2097">
        <v>16</v>
      </c>
      <c r="C2097" s="2">
        <v>2022399.0035999999</v>
      </c>
      <c r="D2097" s="2">
        <v>0.76249999999999996</v>
      </c>
      <c r="E2097" s="3">
        <v>209248</v>
      </c>
      <c r="F2097" s="2">
        <v>159546.98319999999</v>
      </c>
      <c r="G2097" t="s">
        <v>3714</v>
      </c>
      <c r="H2097" t="s">
        <v>8</v>
      </c>
      <c r="I2097">
        <f>HLOOKUP(G2097,zip_tiers!$A$1:$EON$2,2,FALSE)</f>
        <v>61982.333333333336</v>
      </c>
      <c r="J2097" t="str">
        <f t="shared" si="32"/>
        <v>Med</v>
      </c>
      <c r="K2097">
        <f>dataset[[#This Row],[soda_sales]]/dataset[[#This Row],[soda_units_sold]]</f>
        <v>0.76247793622878113</v>
      </c>
      <c r="L2097" s="29">
        <f>dataset[[#This Row],[implied_soda_ppu]]-dataset[[#This Row],[soda_ppu]]</f>
        <v>-2.2063771218827632E-5</v>
      </c>
      <c r="M2097">
        <f>dataset[[#This Row],[soda_sales]]/dataset[[#This Row],[total_sales]]</f>
        <v>7.8889963313864442E-2</v>
      </c>
      <c r="N2097">
        <f>LN(dataset[[#This Row],[soda_units_sold]])</f>
        <v>12.251275430361002</v>
      </c>
      <c r="O2097">
        <f>LN(dataset[[#This Row],[soda_sales]])</f>
        <v>11.980093723348373</v>
      </c>
      <c r="P2097">
        <f>LN(dataset[[#This Row],[soda_ppu]])</f>
        <v>-0.27115277050057041</v>
      </c>
      <c r="Q2097">
        <f>IF(dataset[[#This Row],[state]]="VA",1,0)</f>
        <v>0</v>
      </c>
    </row>
    <row r="2098" spans="1:17" x14ac:dyDescent="0.35">
      <c r="A2098">
        <v>202209</v>
      </c>
      <c r="B2098">
        <v>16</v>
      </c>
      <c r="C2098" s="2">
        <v>1991416.0948000001</v>
      </c>
      <c r="D2098" s="2">
        <v>0.75729999999999997</v>
      </c>
      <c r="E2098" s="3">
        <v>196532</v>
      </c>
      <c r="F2098" s="2">
        <v>148825.7763</v>
      </c>
      <c r="G2098" t="s">
        <v>3714</v>
      </c>
      <c r="H2098" t="s">
        <v>8</v>
      </c>
      <c r="I2098">
        <f>HLOOKUP(G2098,zip_tiers!$A$1:$EON$2,2,FALSE)</f>
        <v>61982.333333333336</v>
      </c>
      <c r="J2098" t="str">
        <f t="shared" si="32"/>
        <v>Med</v>
      </c>
      <c r="K2098">
        <f>dataset[[#This Row],[soda_sales]]/dataset[[#This Row],[soda_units_sold]]</f>
        <v>0.7572597658396597</v>
      </c>
      <c r="L2098" s="29">
        <f>dataset[[#This Row],[implied_soda_ppu]]-dataset[[#This Row],[soda_ppu]]</f>
        <v>-4.0234160340268943E-5</v>
      </c>
      <c r="M2098">
        <f>dataset[[#This Row],[soda_sales]]/dataset[[#This Row],[total_sales]]</f>
        <v>7.473364139649917E-2</v>
      </c>
      <c r="N2098">
        <f>LN(dataset[[#This Row],[soda_units_sold]])</f>
        <v>12.188580546905625</v>
      </c>
      <c r="O2098">
        <f>LN(dataset[[#This Row],[soda_sales]])</f>
        <v>11.910531614201503</v>
      </c>
      <c r="P2098">
        <f>LN(dataset[[#This Row],[soda_ppu]])</f>
        <v>-0.27799580286236009</v>
      </c>
      <c r="Q2098">
        <f>IF(dataset[[#This Row],[state]]="VA",1,0)</f>
        <v>0</v>
      </c>
    </row>
    <row r="2099" spans="1:17" x14ac:dyDescent="0.35">
      <c r="A2099">
        <v>202210</v>
      </c>
      <c r="B2099">
        <v>16</v>
      </c>
      <c r="C2099" s="2">
        <v>2498859.8088000002</v>
      </c>
      <c r="D2099" s="2">
        <v>0.75070000000000003</v>
      </c>
      <c r="E2099" s="3">
        <v>195741</v>
      </c>
      <c r="F2099" s="2">
        <v>146935.6391</v>
      </c>
      <c r="G2099" t="s">
        <v>3714</v>
      </c>
      <c r="H2099" t="s">
        <v>8</v>
      </c>
      <c r="I2099">
        <f>HLOOKUP(G2099,zip_tiers!$A$1:$EON$2,2,FALSE)</f>
        <v>61982.333333333336</v>
      </c>
      <c r="J2099" t="str">
        <f t="shared" si="32"/>
        <v>Med</v>
      </c>
      <c r="K2099">
        <f>dataset[[#This Row],[soda_sales]]/dataset[[#This Row],[soda_units_sold]]</f>
        <v>0.75066357635855541</v>
      </c>
      <c r="L2099" s="29">
        <f>dataset[[#This Row],[implied_soda_ppu]]-dataset[[#This Row],[soda_ppu]]</f>
        <v>-3.6423641444627286E-5</v>
      </c>
      <c r="M2099">
        <f>dataset[[#This Row],[soda_sales]]/dataset[[#This Row],[total_sales]]</f>
        <v>5.8801073426588614E-2</v>
      </c>
      <c r="N2099">
        <f>LN(dataset[[#This Row],[soda_units_sold]])</f>
        <v>12.184547635784581</v>
      </c>
      <c r="O2099">
        <f>LN(dataset[[#This Row],[soda_sales]])</f>
        <v>11.897749940633959</v>
      </c>
      <c r="P2099">
        <f>LN(dataset[[#This Row],[soda_ppu]])</f>
        <v>-0.28674917440318032</v>
      </c>
      <c r="Q2099">
        <f>IF(dataset[[#This Row],[state]]="VA",1,0)</f>
        <v>0</v>
      </c>
    </row>
    <row r="2100" spans="1:17" x14ac:dyDescent="0.35">
      <c r="A2100">
        <v>202211</v>
      </c>
      <c r="B2100">
        <v>16</v>
      </c>
      <c r="C2100" s="2">
        <v>2778480.8308000001</v>
      </c>
      <c r="D2100" s="2">
        <v>0.73960000000000004</v>
      </c>
      <c r="E2100" s="3">
        <v>184537</v>
      </c>
      <c r="F2100" s="2">
        <v>136491.0202</v>
      </c>
      <c r="G2100" t="s">
        <v>3714</v>
      </c>
      <c r="H2100" t="s">
        <v>8</v>
      </c>
      <c r="I2100">
        <f>HLOOKUP(G2100,zip_tiers!$A$1:$EON$2,2,FALSE)</f>
        <v>61982.333333333336</v>
      </c>
      <c r="J2100" t="str">
        <f t="shared" si="32"/>
        <v>Med</v>
      </c>
      <c r="K2100">
        <f>dataset[[#This Row],[soda_sales]]/dataset[[#This Row],[soda_units_sold]]</f>
        <v>0.73964039840248841</v>
      </c>
      <c r="L2100" s="29">
        <f>dataset[[#This Row],[implied_soda_ppu]]-dataset[[#This Row],[soda_ppu]]</f>
        <v>4.0398402488373009E-5</v>
      </c>
      <c r="M2100">
        <f>dataset[[#This Row],[soda_sales]]/dataset[[#This Row],[total_sales]]</f>
        <v>4.9124333947879184E-2</v>
      </c>
      <c r="N2100">
        <f>LN(dataset[[#This Row],[soda_units_sold]])</f>
        <v>12.12560526436228</v>
      </c>
      <c r="O2100">
        <f>LN(dataset[[#This Row],[soda_sales]])</f>
        <v>11.824014105362567</v>
      </c>
      <c r="P2100">
        <f>LN(dataset[[#This Row],[soda_ppu]])</f>
        <v>-0.30164577946916721</v>
      </c>
      <c r="Q2100">
        <f>IF(dataset[[#This Row],[state]]="VA",1,0)</f>
        <v>0</v>
      </c>
    </row>
    <row r="2101" spans="1:17" x14ac:dyDescent="0.35">
      <c r="A2101">
        <v>202212</v>
      </c>
      <c r="B2101">
        <v>16</v>
      </c>
      <c r="C2101" s="2">
        <v>2916519.7678</v>
      </c>
      <c r="D2101" s="2">
        <v>0.76329999999999998</v>
      </c>
      <c r="E2101" s="3">
        <v>172061</v>
      </c>
      <c r="F2101" s="2">
        <v>131337.98490000001</v>
      </c>
      <c r="G2101" t="s">
        <v>3714</v>
      </c>
      <c r="H2101" t="s">
        <v>8</v>
      </c>
      <c r="I2101">
        <f>HLOOKUP(G2101,zip_tiers!$A$1:$EON$2,2,FALSE)</f>
        <v>61982.333333333336</v>
      </c>
      <c r="J2101" t="str">
        <f t="shared" si="32"/>
        <v>Med</v>
      </c>
      <c r="K2101">
        <f>dataset[[#This Row],[soda_sales]]/dataset[[#This Row],[soda_units_sold]]</f>
        <v>0.76332222235137548</v>
      </c>
      <c r="L2101" s="29">
        <f>dataset[[#This Row],[implied_soda_ppu]]-dataset[[#This Row],[soda_ppu]]</f>
        <v>2.2222351375500438E-5</v>
      </c>
      <c r="M2101">
        <f>dataset[[#This Row],[soda_sales]]/dataset[[#This Row],[total_sales]]</f>
        <v>4.5032434324651045E-2</v>
      </c>
      <c r="N2101">
        <f>LN(dataset[[#This Row],[soda_units_sold]])</f>
        <v>12.055604344084522</v>
      </c>
      <c r="O2101">
        <f>LN(dataset[[#This Row],[soda_sales]])</f>
        <v>11.785529317005063</v>
      </c>
      <c r="P2101">
        <f>LN(dataset[[#This Row],[soda_ppu]])</f>
        <v>-0.27010414017771239</v>
      </c>
      <c r="Q2101">
        <f>IF(dataset[[#This Row],[state]]="VA",1,0)</f>
        <v>0</v>
      </c>
    </row>
    <row r="2102" spans="1:17" x14ac:dyDescent="0.35">
      <c r="A2102">
        <v>202301</v>
      </c>
      <c r="B2102">
        <v>16</v>
      </c>
      <c r="C2102" s="2">
        <v>1688985.9649</v>
      </c>
      <c r="D2102" s="2">
        <v>0.73599999999999999</v>
      </c>
      <c r="E2102" s="3">
        <v>137477</v>
      </c>
      <c r="F2102" s="2">
        <v>101185.6713</v>
      </c>
      <c r="G2102" t="s">
        <v>3714</v>
      </c>
      <c r="H2102" t="s">
        <v>8</v>
      </c>
      <c r="I2102">
        <f>HLOOKUP(G2102,zip_tiers!$A$1:$EON$2,2,FALSE)</f>
        <v>61982.333333333336</v>
      </c>
      <c r="J2102" t="str">
        <f t="shared" si="32"/>
        <v>Med</v>
      </c>
      <c r="K2102">
        <f>dataset[[#This Row],[soda_sales]]/dataset[[#This Row],[soda_units_sold]]</f>
        <v>0.73601890716265272</v>
      </c>
      <c r="L2102" s="29">
        <f>dataset[[#This Row],[implied_soda_ppu]]-dataset[[#This Row],[soda_ppu]]</f>
        <v>1.8907162652737064E-5</v>
      </c>
      <c r="M2102">
        <f>dataset[[#This Row],[soda_sales]]/dataset[[#This Row],[total_sales]]</f>
        <v>5.9909125003292089E-2</v>
      </c>
      <c r="N2102">
        <f>LN(dataset[[#This Row],[soda_units_sold]])</f>
        <v>11.831211909369847</v>
      </c>
      <c r="O2102">
        <f>LN(dataset[[#This Row],[soda_sales]])</f>
        <v>11.524712437866318</v>
      </c>
      <c r="P2102">
        <f>LN(dataset[[#This Row],[soda_ppu]])</f>
        <v>-0.30652516025326082</v>
      </c>
      <c r="Q2102">
        <f>IF(dataset[[#This Row],[state]]="VA",1,0)</f>
        <v>0</v>
      </c>
    </row>
    <row r="2103" spans="1:17" x14ac:dyDescent="0.35">
      <c r="A2103">
        <v>202302</v>
      </c>
      <c r="B2103">
        <v>16</v>
      </c>
      <c r="C2103" s="2">
        <v>1903054.0615000001</v>
      </c>
      <c r="D2103" s="2">
        <v>0.80310000000000004</v>
      </c>
      <c r="E2103" s="3">
        <v>133931</v>
      </c>
      <c r="F2103" s="2">
        <v>107561.2749</v>
      </c>
      <c r="G2103" t="s">
        <v>3714</v>
      </c>
      <c r="H2103" t="s">
        <v>8</v>
      </c>
      <c r="I2103">
        <f>HLOOKUP(G2103,zip_tiers!$A$1:$EON$2,2,FALSE)</f>
        <v>61982.333333333336</v>
      </c>
      <c r="J2103" t="str">
        <f t="shared" si="32"/>
        <v>Med</v>
      </c>
      <c r="K2103">
        <f>dataset[[#This Row],[soda_sales]]/dataset[[#This Row],[soda_units_sold]]</f>
        <v>0.80310962286550536</v>
      </c>
      <c r="L2103" s="29">
        <f>dataset[[#This Row],[implied_soda_ppu]]-dataset[[#This Row],[soda_ppu]]</f>
        <v>9.6228655053209877E-6</v>
      </c>
      <c r="M2103">
        <f>dataset[[#This Row],[soda_sales]]/dataset[[#This Row],[total_sales]]</f>
        <v>5.6520346466258281E-2</v>
      </c>
      <c r="N2103">
        <f>LN(dataset[[#This Row],[soda_units_sold]])</f>
        <v>11.805080020940316</v>
      </c>
      <c r="O2103">
        <f>LN(dataset[[#This Row],[soda_sales]])</f>
        <v>11.585815963231857</v>
      </c>
      <c r="P2103">
        <f>LN(dataset[[#This Row],[soda_ppu]])</f>
        <v>-0.21927603978772048</v>
      </c>
      <c r="Q2103">
        <f>IF(dataset[[#This Row],[state]]="VA",1,0)</f>
        <v>0</v>
      </c>
    </row>
    <row r="2104" spans="1:17" x14ac:dyDescent="0.35">
      <c r="A2104">
        <v>202303</v>
      </c>
      <c r="B2104">
        <v>16</v>
      </c>
      <c r="C2104" s="2">
        <v>2116354.9265999999</v>
      </c>
      <c r="D2104" s="2">
        <v>0.75900000000000001</v>
      </c>
      <c r="E2104" s="3">
        <v>170926</v>
      </c>
      <c r="F2104" s="2">
        <v>129725.1967</v>
      </c>
      <c r="G2104" t="s">
        <v>3714</v>
      </c>
      <c r="H2104" t="s">
        <v>8</v>
      </c>
      <c r="I2104">
        <f>HLOOKUP(G2104,zip_tiers!$A$1:$EON$2,2,FALSE)</f>
        <v>61982.333333333336</v>
      </c>
      <c r="J2104" t="str">
        <f t="shared" si="32"/>
        <v>Med</v>
      </c>
      <c r="K2104">
        <f>dataset[[#This Row],[soda_sales]]/dataset[[#This Row],[soda_units_sold]]</f>
        <v>0.75895531809086969</v>
      </c>
      <c r="L2104" s="29">
        <f>dataset[[#This Row],[implied_soda_ppu]]-dataset[[#This Row],[soda_ppu]]</f>
        <v>-4.4681909130317443E-5</v>
      </c>
      <c r="M2104">
        <f>dataset[[#This Row],[soda_sales]]/dataset[[#This Row],[total_sales]]</f>
        <v>6.1296522180430378E-2</v>
      </c>
      <c r="N2104">
        <f>LN(dataset[[#This Row],[soda_units_sold]])</f>
        <v>12.048985993284115</v>
      </c>
      <c r="O2104">
        <f>LN(dataset[[#This Row],[soda_sales]])</f>
        <v>11.773173620519239</v>
      </c>
      <c r="P2104">
        <f>LN(dataset[[#This Row],[soda_ppu]])</f>
        <v>-0.27575350158650713</v>
      </c>
      <c r="Q2104">
        <f>IF(dataset[[#This Row],[state]]="VA",1,0)</f>
        <v>0</v>
      </c>
    </row>
    <row r="2105" spans="1:17" x14ac:dyDescent="0.35">
      <c r="A2105">
        <v>202304</v>
      </c>
      <c r="B2105">
        <v>16</v>
      </c>
      <c r="C2105" s="2">
        <v>2258421.4898000001</v>
      </c>
      <c r="D2105" s="2">
        <v>0.74229999999999996</v>
      </c>
      <c r="E2105" s="3">
        <v>213718</v>
      </c>
      <c r="F2105" s="2">
        <v>158645.0508</v>
      </c>
      <c r="G2105" t="s">
        <v>3714</v>
      </c>
      <c r="H2105" t="s">
        <v>8</v>
      </c>
      <c r="I2105">
        <f>HLOOKUP(G2105,zip_tiers!$A$1:$EON$2,2,FALSE)</f>
        <v>61982.333333333336</v>
      </c>
      <c r="J2105" t="str">
        <f t="shared" si="32"/>
        <v>Med</v>
      </c>
      <c r="K2105">
        <f>dataset[[#This Row],[soda_sales]]/dataset[[#This Row],[soda_units_sold]]</f>
        <v>0.74231019755004257</v>
      </c>
      <c r="L2105" s="29">
        <f>dataset[[#This Row],[implied_soda_ppu]]-dataset[[#This Row],[soda_ppu]]</f>
        <v>1.0197550042612136E-5</v>
      </c>
      <c r="M2105">
        <f>dataset[[#This Row],[soda_sales]]/dataset[[#This Row],[total_sales]]</f>
        <v>7.0245988853944702E-2</v>
      </c>
      <c r="N2105">
        <f>LN(dataset[[#This Row],[soda_units_sold]])</f>
        <v>12.272412667989366</v>
      </c>
      <c r="O2105">
        <f>LN(dataset[[#This Row],[soda_sales]])</f>
        <v>11.974424600810909</v>
      </c>
      <c r="P2105">
        <f>LN(dataset[[#This Row],[soda_ppu]])</f>
        <v>-0.29800180485863581</v>
      </c>
      <c r="Q2105">
        <f>IF(dataset[[#This Row],[state]]="VA",1,0)</f>
        <v>0</v>
      </c>
    </row>
    <row r="2106" spans="1:17" x14ac:dyDescent="0.35">
      <c r="A2106">
        <v>202305</v>
      </c>
      <c r="B2106">
        <v>16</v>
      </c>
      <c r="C2106" s="2">
        <v>2370265.4342</v>
      </c>
      <c r="D2106" s="2">
        <v>0.73170000000000002</v>
      </c>
      <c r="E2106" s="3">
        <v>233468</v>
      </c>
      <c r="F2106" s="2">
        <v>170825.13920000001</v>
      </c>
      <c r="G2106" t="s">
        <v>3714</v>
      </c>
      <c r="H2106" t="s">
        <v>8</v>
      </c>
      <c r="I2106">
        <f>HLOOKUP(G2106,zip_tiers!$A$1:$EON$2,2,FALSE)</f>
        <v>61982.333333333336</v>
      </c>
      <c r="J2106" t="str">
        <f t="shared" si="32"/>
        <v>Med</v>
      </c>
      <c r="K2106">
        <f>dataset[[#This Row],[soda_sales]]/dataset[[#This Row],[soda_units_sold]]</f>
        <v>0.73168545239604577</v>
      </c>
      <c r="L2106" s="29">
        <f>dataset[[#This Row],[implied_soda_ppu]]-dataset[[#This Row],[soda_ppu]]</f>
        <v>-1.4547603954251365E-5</v>
      </c>
      <c r="M2106">
        <f>dataset[[#This Row],[soda_sales]]/dataset[[#This Row],[total_sales]]</f>
        <v>7.2070046137113764E-2</v>
      </c>
      <c r="N2106">
        <f>LN(dataset[[#This Row],[soda_units_sold]])</f>
        <v>12.36080030173169</v>
      </c>
      <c r="O2106">
        <f>LN(dataset[[#This Row],[soda_sales]])</f>
        <v>12.048395734517666</v>
      </c>
      <c r="P2106">
        <f>LN(dataset[[#This Row],[soda_ppu]])</f>
        <v>-0.31238468509215273</v>
      </c>
      <c r="Q2106">
        <f>IF(dataset[[#This Row],[state]]="VA",1,0)</f>
        <v>0</v>
      </c>
    </row>
    <row r="2107" spans="1:17" x14ac:dyDescent="0.35">
      <c r="A2107">
        <v>202306</v>
      </c>
      <c r="B2107">
        <v>16</v>
      </c>
      <c r="C2107" s="2">
        <v>2234840.0348</v>
      </c>
      <c r="D2107" s="2">
        <v>0.79079999999999995</v>
      </c>
      <c r="E2107" s="3">
        <v>219362</v>
      </c>
      <c r="F2107" s="2">
        <v>173472.8309</v>
      </c>
      <c r="G2107" t="s">
        <v>3714</v>
      </c>
      <c r="H2107" t="s">
        <v>8</v>
      </c>
      <c r="I2107">
        <f>HLOOKUP(G2107,zip_tiers!$A$1:$EON$2,2,FALSE)</f>
        <v>61982.333333333336</v>
      </c>
      <c r="J2107" t="str">
        <f t="shared" si="32"/>
        <v>Med</v>
      </c>
      <c r="K2107">
        <f>dataset[[#This Row],[soda_sales]]/dataset[[#This Row],[soda_units_sold]]</f>
        <v>0.79080620572387195</v>
      </c>
      <c r="L2107" s="29">
        <f>dataset[[#This Row],[implied_soda_ppu]]-dataset[[#This Row],[soda_ppu]]</f>
        <v>6.2057238719992469E-6</v>
      </c>
      <c r="M2107">
        <f>dataset[[#This Row],[soda_sales]]/dataset[[#This Row],[total_sales]]</f>
        <v>7.7622034775980911E-2</v>
      </c>
      <c r="N2107">
        <f>LN(dataset[[#This Row],[soda_units_sold]])</f>
        <v>12.298478612187109</v>
      </c>
      <c r="O2107">
        <f>LN(dataset[[#This Row],[soda_sales]])</f>
        <v>12.063776271870582</v>
      </c>
      <c r="P2107">
        <f>LN(dataset[[#This Row],[soda_ppu]])</f>
        <v>-0.23471018768567528</v>
      </c>
      <c r="Q2107">
        <f>IF(dataset[[#This Row],[state]]="VA",1,0)</f>
        <v>0</v>
      </c>
    </row>
    <row r="2108" spans="1:17" x14ac:dyDescent="0.35">
      <c r="A2108">
        <v>202307</v>
      </c>
      <c r="B2108">
        <v>16</v>
      </c>
      <c r="C2108" s="2">
        <v>2124643.5310999998</v>
      </c>
      <c r="D2108" s="2">
        <v>0.76139999999999997</v>
      </c>
      <c r="E2108" s="3">
        <v>239426</v>
      </c>
      <c r="F2108" s="2">
        <v>182305.34589999999</v>
      </c>
      <c r="G2108" t="s">
        <v>3714</v>
      </c>
      <c r="H2108" t="s">
        <v>8</v>
      </c>
      <c r="I2108">
        <f>HLOOKUP(G2108,zip_tiers!$A$1:$EON$2,2,FALSE)</f>
        <v>61982.333333333336</v>
      </c>
      <c r="J2108" t="str">
        <f t="shared" si="32"/>
        <v>Med</v>
      </c>
      <c r="K2108">
        <f>dataset[[#This Row],[soda_sales]]/dataset[[#This Row],[soda_units_sold]]</f>
        <v>0.76142668674245895</v>
      </c>
      <c r="L2108" s="29">
        <f>dataset[[#This Row],[implied_soda_ppu]]-dataset[[#This Row],[soda_ppu]]</f>
        <v>2.6686742458981172E-5</v>
      </c>
      <c r="M2108">
        <f>dataset[[#This Row],[soda_sales]]/dataset[[#This Row],[total_sales]]</f>
        <v>8.5805144830866917E-2</v>
      </c>
      <c r="N2108">
        <f>LN(dataset[[#This Row],[soda_units_sold]])</f>
        <v>12.385999671054378</v>
      </c>
      <c r="O2108">
        <f>LN(dataset[[#This Row],[soda_sales]])</f>
        <v>12.113438284976233</v>
      </c>
      <c r="P2108">
        <f>LN(dataset[[#This Row],[soda_ppu]])</f>
        <v>-0.27259643503374009</v>
      </c>
      <c r="Q2108">
        <f>IF(dataset[[#This Row],[state]]="VA",1,0)</f>
        <v>0</v>
      </c>
    </row>
    <row r="2109" spans="1:17" x14ac:dyDescent="0.35">
      <c r="A2109">
        <v>202308</v>
      </c>
      <c r="B2109">
        <v>16</v>
      </c>
      <c r="C2109" s="2">
        <v>2028470.9823</v>
      </c>
      <c r="D2109" s="2">
        <v>0.73829999999999996</v>
      </c>
      <c r="E2109" s="3">
        <v>217022</v>
      </c>
      <c r="F2109" s="2">
        <v>160236.30900000001</v>
      </c>
      <c r="G2109" t="s">
        <v>3714</v>
      </c>
      <c r="H2109" t="s">
        <v>8</v>
      </c>
      <c r="I2109">
        <f>HLOOKUP(G2109,zip_tiers!$A$1:$EON$2,2,FALSE)</f>
        <v>61982.333333333336</v>
      </c>
      <c r="J2109" t="str">
        <f t="shared" si="32"/>
        <v>Med</v>
      </c>
      <c r="K2109">
        <f>dataset[[#This Row],[soda_sales]]/dataset[[#This Row],[soda_units_sold]]</f>
        <v>0.73834131562698713</v>
      </c>
      <c r="L2109" s="29">
        <f>dataset[[#This Row],[implied_soda_ppu]]-dataset[[#This Row],[soda_ppu]]</f>
        <v>4.1315626987170617E-5</v>
      </c>
      <c r="M2109">
        <f>dataset[[#This Row],[soda_sales]]/dataset[[#This Row],[total_sales]]</f>
        <v>7.8993641219513341E-2</v>
      </c>
      <c r="N2109">
        <f>LN(dataset[[#This Row],[soda_units_sold]])</f>
        <v>12.287754009872218</v>
      </c>
      <c r="O2109">
        <f>LN(dataset[[#This Row],[soda_sales]])</f>
        <v>11.984404935875707</v>
      </c>
      <c r="P2109">
        <f>LN(dataset[[#This Row],[soda_ppu]])</f>
        <v>-0.30340503291701726</v>
      </c>
      <c r="Q2109">
        <f>IF(dataset[[#This Row],[state]]="VA",1,0)</f>
        <v>0</v>
      </c>
    </row>
    <row r="2110" spans="1:17" x14ac:dyDescent="0.35">
      <c r="A2110">
        <v>202309</v>
      </c>
      <c r="B2110">
        <v>16</v>
      </c>
      <c r="C2110" s="2">
        <v>2008265.7777</v>
      </c>
      <c r="D2110" s="2">
        <v>0.76160000000000005</v>
      </c>
      <c r="E2110" s="3">
        <v>197547</v>
      </c>
      <c r="F2110" s="2">
        <v>150460.5165</v>
      </c>
      <c r="G2110" t="s">
        <v>3714</v>
      </c>
      <c r="H2110" t="s">
        <v>8</v>
      </c>
      <c r="I2110">
        <f>HLOOKUP(G2110,zip_tiers!$A$1:$EON$2,2,FALSE)</f>
        <v>61982.333333333336</v>
      </c>
      <c r="J2110" t="str">
        <f t="shared" si="32"/>
        <v>Med</v>
      </c>
      <c r="K2110">
        <f>dataset[[#This Row],[soda_sales]]/dataset[[#This Row],[soda_units_sold]]</f>
        <v>0.76164414797491231</v>
      </c>
      <c r="L2110" s="29">
        <f>dataset[[#This Row],[implied_soda_ppu]]-dataset[[#This Row],[soda_ppu]]</f>
        <v>4.4147974912256416E-5</v>
      </c>
      <c r="M2110">
        <f>dataset[[#This Row],[soda_sales]]/dataset[[#This Row],[total_sales]]</f>
        <v>7.4920619656387022E-2</v>
      </c>
      <c r="N2110">
        <f>LN(dataset[[#This Row],[soda_units_sold]])</f>
        <v>12.193731809695375</v>
      </c>
      <c r="O2110">
        <f>LN(dataset[[#This Row],[soda_sales]])</f>
        <v>11.921455979914382</v>
      </c>
      <c r="P2110">
        <f>LN(dataset[[#This Row],[soda_ppu]])</f>
        <v>-0.27233379550498144</v>
      </c>
      <c r="Q2110">
        <f>IF(dataset[[#This Row],[state]]="VA",1,0)</f>
        <v>0</v>
      </c>
    </row>
    <row r="2111" spans="1:17" x14ac:dyDescent="0.35">
      <c r="A2111">
        <v>202310</v>
      </c>
      <c r="B2111">
        <v>16</v>
      </c>
      <c r="C2111" s="2">
        <v>2464451.0625</v>
      </c>
      <c r="D2111" s="2">
        <v>0.77969999999999995</v>
      </c>
      <c r="E2111" s="3">
        <v>184806</v>
      </c>
      <c r="F2111" s="2">
        <v>144098.27439999999</v>
      </c>
      <c r="G2111" t="s">
        <v>3714</v>
      </c>
      <c r="H2111" t="s">
        <v>8</v>
      </c>
      <c r="I2111">
        <f>HLOOKUP(G2111,zip_tiers!$A$1:$EON$2,2,FALSE)</f>
        <v>61982.333333333336</v>
      </c>
      <c r="J2111" t="str">
        <f t="shared" si="32"/>
        <v>Med</v>
      </c>
      <c r="K2111">
        <f>dataset[[#This Row],[soda_sales]]/dataset[[#This Row],[soda_units_sold]]</f>
        <v>0.77972725127972031</v>
      </c>
      <c r="L2111" s="29">
        <f>dataset[[#This Row],[implied_soda_ppu]]-dataset[[#This Row],[soda_ppu]]</f>
        <v>2.7251279720363897E-5</v>
      </c>
      <c r="M2111">
        <f>dataset[[#This Row],[soda_sales]]/dataset[[#This Row],[total_sales]]</f>
        <v>5.8470738815898073E-2</v>
      </c>
      <c r="N2111">
        <f>LN(dataset[[#This Row],[soda_units_sold]])</f>
        <v>12.127061905195129</v>
      </c>
      <c r="O2111">
        <f>LN(dataset[[#This Row],[soda_sales]])</f>
        <v>11.878250806898563</v>
      </c>
      <c r="P2111">
        <f>LN(dataset[[#This Row],[soda_ppu]])</f>
        <v>-0.24884604866658286</v>
      </c>
      <c r="Q2111">
        <f>IF(dataset[[#This Row],[state]]="VA",1,0)</f>
        <v>0</v>
      </c>
    </row>
    <row r="2112" spans="1:17" x14ac:dyDescent="0.35">
      <c r="A2112">
        <v>202311</v>
      </c>
      <c r="B2112">
        <v>16</v>
      </c>
      <c r="C2112" s="2">
        <v>2880874.3730000001</v>
      </c>
      <c r="D2112" s="2">
        <v>0.75119999999999998</v>
      </c>
      <c r="E2112" s="3">
        <v>189968</v>
      </c>
      <c r="F2112" s="2">
        <v>142709.99710000001</v>
      </c>
      <c r="G2112" t="s">
        <v>3714</v>
      </c>
      <c r="H2112" t="s">
        <v>8</v>
      </c>
      <c r="I2112">
        <f>HLOOKUP(G2112,zip_tiers!$A$1:$EON$2,2,FALSE)</f>
        <v>61982.333333333336</v>
      </c>
      <c r="J2112" t="str">
        <f t="shared" si="32"/>
        <v>Med</v>
      </c>
      <c r="K2112">
        <f>dataset[[#This Row],[soda_sales]]/dataset[[#This Row],[soda_units_sold]]</f>
        <v>0.75123177114040263</v>
      </c>
      <c r="L2112" s="29">
        <f>dataset[[#This Row],[implied_soda_ppu]]-dataset[[#This Row],[soda_ppu]]</f>
        <v>3.1771140402647724E-5</v>
      </c>
      <c r="M2112">
        <f>dataset[[#This Row],[soda_sales]]/dataset[[#This Row],[total_sales]]</f>
        <v>4.9537042794194762E-2</v>
      </c>
      <c r="N2112">
        <f>LN(dataset[[#This Row],[soda_units_sold]])</f>
        <v>12.154610915905574</v>
      </c>
      <c r="O2112">
        <f>LN(dataset[[#This Row],[soda_sales]])</f>
        <v>11.868569857773506</v>
      </c>
      <c r="P2112">
        <f>LN(dataset[[#This Row],[soda_ppu]])</f>
        <v>-0.28608335108808391</v>
      </c>
      <c r="Q2112">
        <f>IF(dataset[[#This Row],[state]]="VA",1,0)</f>
        <v>0</v>
      </c>
    </row>
    <row r="2113" spans="1:17" x14ac:dyDescent="0.35">
      <c r="A2113">
        <v>202312</v>
      </c>
      <c r="B2113">
        <v>16</v>
      </c>
      <c r="C2113" s="2">
        <v>2940416.6554</v>
      </c>
      <c r="D2113" s="2">
        <v>0.75960000000000005</v>
      </c>
      <c r="E2113" s="3">
        <v>175224</v>
      </c>
      <c r="F2113" s="2">
        <v>133101.01060000001</v>
      </c>
      <c r="G2113" t="s">
        <v>3714</v>
      </c>
      <c r="H2113" t="s">
        <v>8</v>
      </c>
      <c r="I2113">
        <f>HLOOKUP(G2113,zip_tiers!$A$1:$EON$2,2,FALSE)</f>
        <v>61982.333333333336</v>
      </c>
      <c r="J2113" t="str">
        <f t="shared" si="32"/>
        <v>Med</v>
      </c>
      <c r="K2113">
        <f>dataset[[#This Row],[soda_sales]]/dataset[[#This Row],[soda_units_sold]]</f>
        <v>0.759604909144866</v>
      </c>
      <c r="L2113" s="29">
        <f>dataset[[#This Row],[implied_soda_ppu]]-dataset[[#This Row],[soda_ppu]]</f>
        <v>4.9091448659499548E-6</v>
      </c>
      <c r="M2113">
        <f>dataset[[#This Row],[soda_sales]]/dataset[[#This Row],[total_sales]]</f>
        <v>4.5266037503754242E-2</v>
      </c>
      <c r="N2113">
        <f>LN(dataset[[#This Row],[soda_units_sold]])</f>
        <v>12.073820434404031</v>
      </c>
      <c r="O2113">
        <f>LN(dataset[[#This Row],[soda_sales]])</f>
        <v>11.798863597141755</v>
      </c>
      <c r="P2113">
        <f>LN(dataset[[#This Row],[soda_ppu]])</f>
        <v>-0.27496330004400615</v>
      </c>
      <c r="Q2113">
        <f>IF(dataset[[#This Row],[state]]="VA",1,0)</f>
        <v>0</v>
      </c>
    </row>
    <row r="2114" spans="1:17" x14ac:dyDescent="0.35">
      <c r="A2114">
        <v>202401</v>
      </c>
      <c r="B2114">
        <v>16</v>
      </c>
      <c r="C2114" s="2">
        <v>1738546.1834</v>
      </c>
      <c r="D2114" s="2">
        <v>0.79190000000000005</v>
      </c>
      <c r="E2114" s="3">
        <v>128154</v>
      </c>
      <c r="F2114" s="2">
        <v>101483.5566</v>
      </c>
      <c r="G2114" t="s">
        <v>3714</v>
      </c>
      <c r="H2114" t="s">
        <v>8</v>
      </c>
      <c r="I2114">
        <f>HLOOKUP(G2114,zip_tiers!$A$1:$EON$2,2,FALSE)</f>
        <v>61982.333333333336</v>
      </c>
      <c r="J2114" t="str">
        <f t="shared" ref="J2114:J2177" si="33">IF(I2114="","No Data",IF(I2114&gt;=100000,"High",IF(I2114&gt;=40000,"Med","Low")))</f>
        <v>Med</v>
      </c>
      <c r="K2114">
        <f>dataset[[#This Row],[soda_sales]]/dataset[[#This Row],[soda_units_sold]]</f>
        <v>0.79188754623343782</v>
      </c>
      <c r="L2114" s="29">
        <f>dataset[[#This Row],[implied_soda_ppu]]-dataset[[#This Row],[soda_ppu]]</f>
        <v>-1.2453766562225965E-5</v>
      </c>
      <c r="M2114">
        <f>dataset[[#This Row],[soda_sales]]/dataset[[#This Row],[total_sales]]</f>
        <v>5.8372655020031146E-2</v>
      </c>
      <c r="N2114">
        <f>LN(dataset[[#This Row],[soda_units_sold]])</f>
        <v>11.76098794472686</v>
      </c>
      <c r="O2114">
        <f>LN(dataset[[#This Row],[soda_sales]])</f>
        <v>11.527652060399037</v>
      </c>
      <c r="P2114">
        <f>LN(dataset[[#This Row],[soda_ppu]])</f>
        <v>-0.2333201577657702</v>
      </c>
      <c r="Q2114">
        <f>IF(dataset[[#This Row],[state]]="VA",1,0)</f>
        <v>0</v>
      </c>
    </row>
    <row r="2115" spans="1:17" x14ac:dyDescent="0.35">
      <c r="A2115">
        <v>202402</v>
      </c>
      <c r="B2115">
        <v>16</v>
      </c>
      <c r="C2115" s="2">
        <v>1940830.0081</v>
      </c>
      <c r="D2115" s="2">
        <v>0.79930000000000001</v>
      </c>
      <c r="E2115" s="3">
        <v>141132</v>
      </c>
      <c r="F2115" s="2">
        <v>112807.6614</v>
      </c>
      <c r="G2115" t="s">
        <v>3714</v>
      </c>
      <c r="H2115" t="s">
        <v>8</v>
      </c>
      <c r="I2115">
        <f>HLOOKUP(G2115,zip_tiers!$A$1:$EON$2,2,FALSE)</f>
        <v>61982.333333333336</v>
      </c>
      <c r="J2115" t="str">
        <f t="shared" si="33"/>
        <v>Med</v>
      </c>
      <c r="K2115">
        <f>dataset[[#This Row],[soda_sales]]/dataset[[#This Row],[soda_units_sold]]</f>
        <v>0.79930604965564156</v>
      </c>
      <c r="L2115" s="29">
        <f>dataset[[#This Row],[implied_soda_ppu]]-dataset[[#This Row],[soda_ppu]]</f>
        <v>6.0496556415490232E-6</v>
      </c>
      <c r="M2115">
        <f>dataset[[#This Row],[soda_sales]]/dataset[[#This Row],[total_sales]]</f>
        <v>5.8123411596688206E-2</v>
      </c>
      <c r="N2115">
        <f>LN(dataset[[#This Row],[soda_units_sold]])</f>
        <v>11.857450901639037</v>
      </c>
      <c r="O2115">
        <f>LN(dataset[[#This Row],[soda_sales]])</f>
        <v>11.633439535952387</v>
      </c>
      <c r="P2115">
        <f>LN(dataset[[#This Row],[soda_ppu]])</f>
        <v>-0.22401893435016368</v>
      </c>
      <c r="Q2115">
        <f>IF(dataset[[#This Row],[state]]="VA",1,0)</f>
        <v>0</v>
      </c>
    </row>
    <row r="2116" spans="1:17" x14ac:dyDescent="0.35">
      <c r="A2116">
        <v>202403</v>
      </c>
      <c r="B2116">
        <v>16</v>
      </c>
      <c r="C2116" s="2">
        <v>2206015.5465000002</v>
      </c>
      <c r="D2116" s="2">
        <v>0.7762</v>
      </c>
      <c r="E2116" s="3">
        <v>178977</v>
      </c>
      <c r="F2116" s="2">
        <v>138920.53649999999</v>
      </c>
      <c r="G2116" t="s">
        <v>3714</v>
      </c>
      <c r="H2116" t="s">
        <v>8</v>
      </c>
      <c r="I2116">
        <f>HLOOKUP(G2116,zip_tiers!$A$1:$EON$2,2,FALSE)</f>
        <v>61982.333333333336</v>
      </c>
      <c r="J2116" t="str">
        <f t="shared" si="33"/>
        <v>Med</v>
      </c>
      <c r="K2116">
        <f>dataset[[#This Row],[soda_sales]]/dataset[[#This Row],[soda_units_sold]]</f>
        <v>0.77619211686417799</v>
      </c>
      <c r="L2116" s="29">
        <f>dataset[[#This Row],[implied_soda_ppu]]-dataset[[#This Row],[soda_ppu]]</f>
        <v>-7.883135822006615E-6</v>
      </c>
      <c r="M2116">
        <f>dataset[[#This Row],[soda_sales]]/dataset[[#This Row],[total_sales]]</f>
        <v>6.2973507471607459E-2</v>
      </c>
      <c r="N2116">
        <f>LN(dataset[[#This Row],[soda_units_sold]])</f>
        <v>12.095012584947025</v>
      </c>
      <c r="O2116">
        <f>LN(dataset[[#This Row],[soda_sales]])</f>
        <v>11.84165736878548</v>
      </c>
      <c r="P2116">
        <f>LN(dataset[[#This Row],[soda_ppu]])</f>
        <v>-0.25334506004733109</v>
      </c>
      <c r="Q2116">
        <f>IF(dataset[[#This Row],[state]]="VA",1,0)</f>
        <v>0</v>
      </c>
    </row>
    <row r="2117" spans="1:17" x14ac:dyDescent="0.35">
      <c r="A2117">
        <v>202404</v>
      </c>
      <c r="B2117">
        <v>16</v>
      </c>
      <c r="C2117" s="2">
        <v>2271526.4208999998</v>
      </c>
      <c r="D2117" s="2">
        <v>0.77839999999999998</v>
      </c>
      <c r="E2117" s="3">
        <v>200824</v>
      </c>
      <c r="F2117" s="2">
        <v>156325.02849999999</v>
      </c>
      <c r="G2117" t="s">
        <v>3714</v>
      </c>
      <c r="H2117" t="s">
        <v>8</v>
      </c>
      <c r="I2117">
        <f>HLOOKUP(G2117,zip_tiers!$A$1:$EON$2,2,FALSE)</f>
        <v>61982.333333333336</v>
      </c>
      <c r="J2117" t="str">
        <f t="shared" si="33"/>
        <v>Med</v>
      </c>
      <c r="K2117">
        <f>dataset[[#This Row],[soda_sales]]/dataset[[#This Row],[soda_units_sold]]</f>
        <v>0.77841806009241921</v>
      </c>
      <c r="L2117" s="29">
        <f>dataset[[#This Row],[implied_soda_ppu]]-dataset[[#This Row],[soda_ppu]]</f>
        <v>1.8060092419225349E-5</v>
      </c>
      <c r="M2117">
        <f>dataset[[#This Row],[soda_sales]]/dataset[[#This Row],[total_sales]]</f>
        <v>6.8819374963757882E-2</v>
      </c>
      <c r="N2117">
        <f>LN(dataset[[#This Row],[soda_units_sold]])</f>
        <v>12.210184181569888</v>
      </c>
      <c r="O2117">
        <f>LN(dataset[[#This Row],[soda_sales]])</f>
        <v>11.959692634747972</v>
      </c>
      <c r="P2117">
        <f>LN(dataset[[#This Row],[soda_ppu]])</f>
        <v>-0.25051474811034175</v>
      </c>
      <c r="Q2117">
        <f>IF(dataset[[#This Row],[state]]="VA",1,0)</f>
        <v>0</v>
      </c>
    </row>
    <row r="2118" spans="1:17" x14ac:dyDescent="0.35">
      <c r="A2118">
        <v>202405</v>
      </c>
      <c r="B2118">
        <v>16</v>
      </c>
      <c r="C2118" s="2">
        <v>2419894.7412</v>
      </c>
      <c r="D2118" s="2">
        <v>0.79459999999999997</v>
      </c>
      <c r="E2118" s="3">
        <v>220045</v>
      </c>
      <c r="F2118" s="2">
        <v>174856.30979999999</v>
      </c>
      <c r="G2118" t="s">
        <v>3714</v>
      </c>
      <c r="H2118" t="s">
        <v>8</v>
      </c>
      <c r="I2118">
        <f>HLOOKUP(G2118,zip_tiers!$A$1:$EON$2,2,FALSE)</f>
        <v>61982.333333333336</v>
      </c>
      <c r="J2118" t="str">
        <f t="shared" si="33"/>
        <v>Med</v>
      </c>
      <c r="K2118">
        <f>dataset[[#This Row],[soda_sales]]/dataset[[#This Row],[soda_units_sold]]</f>
        <v>0.79463886841327902</v>
      </c>
      <c r="L2118" s="29">
        <f>dataset[[#This Row],[implied_soda_ppu]]-dataset[[#This Row],[soda_ppu]]</f>
        <v>3.8868413279047331E-5</v>
      </c>
      <c r="M2118">
        <f>dataset[[#This Row],[soda_sales]]/dataset[[#This Row],[total_sales]]</f>
        <v>7.2257816351669335E-2</v>
      </c>
      <c r="N2118">
        <f>LN(dataset[[#This Row],[soda_units_sold]])</f>
        <v>12.301587349872475</v>
      </c>
      <c r="O2118">
        <f>LN(dataset[[#This Row],[soda_sales]])</f>
        <v>12.071719828772061</v>
      </c>
      <c r="P2118">
        <f>LN(dataset[[#This Row],[soda_ppu]])</f>
        <v>-0.22991643560163852</v>
      </c>
      <c r="Q2118">
        <f>IF(dataset[[#This Row],[state]]="VA",1,0)</f>
        <v>0</v>
      </c>
    </row>
    <row r="2119" spans="1:17" x14ac:dyDescent="0.35">
      <c r="A2119">
        <v>202406</v>
      </c>
      <c r="B2119">
        <v>16</v>
      </c>
      <c r="C2119" s="2">
        <v>2346784.7404999998</v>
      </c>
      <c r="D2119" s="2">
        <v>0.79920000000000002</v>
      </c>
      <c r="E2119" s="3">
        <v>226690</v>
      </c>
      <c r="F2119" s="2">
        <v>181177.4693</v>
      </c>
      <c r="G2119" t="s">
        <v>3714</v>
      </c>
      <c r="H2119" t="s">
        <v>8</v>
      </c>
      <c r="I2119">
        <f>HLOOKUP(G2119,zip_tiers!$A$1:$EON$2,2,FALSE)</f>
        <v>61982.333333333336</v>
      </c>
      <c r="J2119" t="str">
        <f t="shared" si="33"/>
        <v>Med</v>
      </c>
      <c r="K2119">
        <f>dataset[[#This Row],[soda_sales]]/dataset[[#This Row],[soda_units_sold]]</f>
        <v>0.79923009087299834</v>
      </c>
      <c r="L2119" s="29">
        <f>dataset[[#This Row],[implied_soda_ppu]]-dataset[[#This Row],[soda_ppu]]</f>
        <v>3.0090872998322915E-5</v>
      </c>
      <c r="M2119">
        <f>dataset[[#This Row],[soda_sales]]/dataset[[#This Row],[total_sales]]</f>
        <v>7.7202423457636254E-2</v>
      </c>
      <c r="N2119">
        <f>LN(dataset[[#This Row],[soda_units_sold]])</f>
        <v>12.331338724362571</v>
      </c>
      <c r="O2119">
        <f>LN(dataset[[#This Row],[soda_sales]])</f>
        <v>12.107232323248478</v>
      </c>
      <c r="P2119">
        <f>LN(dataset[[#This Row],[soda_ppu]])</f>
        <v>-0.22414405164779327</v>
      </c>
      <c r="Q2119">
        <f>IF(dataset[[#This Row],[state]]="VA",1,0)</f>
        <v>0</v>
      </c>
    </row>
    <row r="2120" spans="1:17" x14ac:dyDescent="0.35">
      <c r="A2120">
        <v>202407</v>
      </c>
      <c r="B2120">
        <v>16</v>
      </c>
      <c r="C2120" s="2">
        <v>2211842.8879</v>
      </c>
      <c r="D2120" s="2">
        <v>0.77080000000000004</v>
      </c>
      <c r="E2120" s="3">
        <v>241289</v>
      </c>
      <c r="F2120" s="2">
        <v>185991.54990000001</v>
      </c>
      <c r="G2120" t="s">
        <v>3714</v>
      </c>
      <c r="H2120" t="s">
        <v>8</v>
      </c>
      <c r="I2120">
        <f>HLOOKUP(G2120,zip_tiers!$A$1:$EON$2,2,FALSE)</f>
        <v>61982.333333333336</v>
      </c>
      <c r="J2120" t="str">
        <f t="shared" si="33"/>
        <v>Med</v>
      </c>
      <c r="K2120">
        <f>dataset[[#This Row],[soda_sales]]/dataset[[#This Row],[soda_units_sold]]</f>
        <v>0.77082481961465299</v>
      </c>
      <c r="L2120" s="29">
        <f>dataset[[#This Row],[implied_soda_ppu]]-dataset[[#This Row],[soda_ppu]]</f>
        <v>2.4819614652948907E-5</v>
      </c>
      <c r="M2120">
        <f>dataset[[#This Row],[soda_sales]]/dataset[[#This Row],[total_sales]]</f>
        <v>8.4088951759402231E-2</v>
      </c>
      <c r="N2120">
        <f>LN(dataset[[#This Row],[soda_units_sold]])</f>
        <v>12.393750664167069</v>
      </c>
      <c r="O2120">
        <f>LN(dataset[[#This Row],[soda_sales]])</f>
        <v>12.133456521018173</v>
      </c>
      <c r="P2120">
        <f>LN(dataset[[#This Row],[soda_ppu]])</f>
        <v>-0.26032634244192565</v>
      </c>
      <c r="Q2120">
        <f>IF(dataset[[#This Row],[state]]="VA",1,0)</f>
        <v>0</v>
      </c>
    </row>
    <row r="2121" spans="1:17" x14ac:dyDescent="0.35">
      <c r="A2121">
        <v>202408</v>
      </c>
      <c r="B2121">
        <v>16</v>
      </c>
      <c r="C2121" s="2">
        <v>2088841.0012999999</v>
      </c>
      <c r="D2121" s="2">
        <v>0.75880000000000003</v>
      </c>
      <c r="E2121" s="3">
        <v>219455</v>
      </c>
      <c r="F2121" s="2">
        <v>166512.6765</v>
      </c>
      <c r="G2121" t="s">
        <v>3714</v>
      </c>
      <c r="H2121" t="s">
        <v>8</v>
      </c>
      <c r="I2121">
        <f>HLOOKUP(G2121,zip_tiers!$A$1:$EON$2,2,FALSE)</f>
        <v>61982.333333333336</v>
      </c>
      <c r="J2121" t="str">
        <f t="shared" si="33"/>
        <v>Med</v>
      </c>
      <c r="K2121">
        <f>dataset[[#This Row],[soda_sales]]/dataset[[#This Row],[soda_units_sold]]</f>
        <v>0.75875544644687976</v>
      </c>
      <c r="L2121" s="29">
        <f>dataset[[#This Row],[implied_soda_ppu]]-dataset[[#This Row],[soda_ppu]]</f>
        <v>-4.4553553120274536E-5</v>
      </c>
      <c r="M2121">
        <f>dataset[[#This Row],[soda_sales]]/dataset[[#This Row],[total_sales]]</f>
        <v>7.9715342812770359E-2</v>
      </c>
      <c r="N2121">
        <f>LN(dataset[[#This Row],[soda_units_sold]])</f>
        <v>12.298902479090135</v>
      </c>
      <c r="O2121">
        <f>LN(dataset[[#This Row],[soda_sales]])</f>
        <v>12.022826720639639</v>
      </c>
      <c r="P2121">
        <f>LN(dataset[[#This Row],[soda_ppu]])</f>
        <v>-0.27601704092127788</v>
      </c>
      <c r="Q2121">
        <f>IF(dataset[[#This Row],[state]]="VA",1,0)</f>
        <v>0</v>
      </c>
    </row>
    <row r="2122" spans="1:17" x14ac:dyDescent="0.35">
      <c r="A2122">
        <v>202409</v>
      </c>
      <c r="B2122">
        <v>16</v>
      </c>
      <c r="C2122" s="2">
        <v>2122671.7412999999</v>
      </c>
      <c r="D2122" s="2">
        <v>0.78149999999999997</v>
      </c>
      <c r="E2122" s="3">
        <v>205498</v>
      </c>
      <c r="F2122" s="2">
        <v>160597.20250000001</v>
      </c>
      <c r="G2122" t="s">
        <v>3714</v>
      </c>
      <c r="H2122" t="s">
        <v>8</v>
      </c>
      <c r="I2122">
        <f>HLOOKUP(G2122,zip_tiers!$A$1:$EON$2,2,FALSE)</f>
        <v>61982.333333333336</v>
      </c>
      <c r="J2122" t="str">
        <f t="shared" si="33"/>
        <v>Med</v>
      </c>
      <c r="K2122">
        <f>dataset[[#This Row],[soda_sales]]/dataset[[#This Row],[soda_units_sold]]</f>
        <v>0.78150250854022918</v>
      </c>
      <c r="L2122" s="29">
        <f>dataset[[#This Row],[implied_soda_ppu]]-dataset[[#This Row],[soda_ppu]]</f>
        <v>2.5085402292068792E-6</v>
      </c>
      <c r="M2122">
        <f>dataset[[#This Row],[soda_sales]]/dataset[[#This Row],[total_sales]]</f>
        <v>7.5658048946204259E-2</v>
      </c>
      <c r="N2122">
        <f>LN(dataset[[#This Row],[soda_units_sold]])</f>
        <v>12.233191580510969</v>
      </c>
      <c r="O2122">
        <f>LN(dataset[[#This Row],[soda_sales]])</f>
        <v>11.986654661289537</v>
      </c>
      <c r="P2122">
        <f>LN(dataset[[#This Row],[soda_ppu]])</f>
        <v>-0.2465401291206058</v>
      </c>
      <c r="Q2122">
        <f>IF(dataset[[#This Row],[state]]="VA",1,0)</f>
        <v>0</v>
      </c>
    </row>
    <row r="2123" spans="1:17" x14ac:dyDescent="0.35">
      <c r="A2123">
        <v>202410</v>
      </c>
      <c r="B2123">
        <v>16</v>
      </c>
      <c r="C2123" s="2">
        <v>2521840.2230000002</v>
      </c>
      <c r="D2123" s="2">
        <v>0.81720000000000004</v>
      </c>
      <c r="E2123" s="3">
        <v>177889</v>
      </c>
      <c r="F2123" s="2">
        <v>145368.36859999999</v>
      </c>
      <c r="G2123" t="s">
        <v>3714</v>
      </c>
      <c r="H2123" t="s">
        <v>8</v>
      </c>
      <c r="I2123">
        <f>HLOOKUP(G2123,zip_tiers!$A$1:$EON$2,2,FALSE)</f>
        <v>61982.333333333336</v>
      </c>
      <c r="J2123" t="str">
        <f t="shared" si="33"/>
        <v>Med</v>
      </c>
      <c r="K2123">
        <f>dataset[[#This Row],[soda_sales]]/dataset[[#This Row],[soda_units_sold]]</f>
        <v>0.81718582149542685</v>
      </c>
      <c r="L2123" s="29">
        <f>dataset[[#This Row],[implied_soda_ppu]]-dataset[[#This Row],[soda_ppu]]</f>
        <v>-1.4178504573192363E-5</v>
      </c>
      <c r="M2123">
        <f>dataset[[#This Row],[soda_sales]]/dataset[[#This Row],[total_sales]]</f>
        <v>5.7643766355296167E-2</v>
      </c>
      <c r="N2123">
        <f>LN(dataset[[#This Row],[soda_units_sold]])</f>
        <v>12.088915039252056</v>
      </c>
      <c r="O2123">
        <f>LN(dataset[[#This Row],[soda_sales]])</f>
        <v>11.88702627295938</v>
      </c>
      <c r="P2123">
        <f>LN(dataset[[#This Row],[soda_ppu]])</f>
        <v>-0.20187141603867001</v>
      </c>
      <c r="Q2123">
        <f>IF(dataset[[#This Row],[state]]="VA",1,0)</f>
        <v>0</v>
      </c>
    </row>
    <row r="2124" spans="1:17" x14ac:dyDescent="0.35">
      <c r="A2124">
        <v>202411</v>
      </c>
      <c r="B2124">
        <v>16</v>
      </c>
      <c r="C2124" s="2">
        <v>2917672.0164000001</v>
      </c>
      <c r="D2124" s="2">
        <v>0.7843</v>
      </c>
      <c r="E2124" s="3">
        <v>183580</v>
      </c>
      <c r="F2124" s="2">
        <v>143989.80619999999</v>
      </c>
      <c r="G2124" t="s">
        <v>3714</v>
      </c>
      <c r="H2124" t="s">
        <v>8</v>
      </c>
      <c r="I2124">
        <f>HLOOKUP(G2124,zip_tiers!$A$1:$EON$2,2,FALSE)</f>
        <v>61982.333333333336</v>
      </c>
      <c r="J2124" t="str">
        <f t="shared" si="33"/>
        <v>Med</v>
      </c>
      <c r="K2124">
        <f>dataset[[#This Row],[soda_sales]]/dataset[[#This Row],[soda_units_sold]]</f>
        <v>0.78434364418781999</v>
      </c>
      <c r="L2124" s="29">
        <f>dataset[[#This Row],[implied_soda_ppu]]-dataset[[#This Row],[soda_ppu]]</f>
        <v>4.3644187819991132E-5</v>
      </c>
      <c r="M2124">
        <f>dataset[[#This Row],[soda_sales]]/dataset[[#This Row],[total_sales]]</f>
        <v>4.9350922718744555E-2</v>
      </c>
      <c r="N2124">
        <f>LN(dataset[[#This Row],[soda_units_sold]])</f>
        <v>12.120405818773081</v>
      </c>
      <c r="O2124">
        <f>LN(dataset[[#This Row],[soda_sales]])</f>
        <v>11.87749778577461</v>
      </c>
      <c r="P2124">
        <f>LN(dataset[[#This Row],[soda_ppu]])</f>
        <v>-0.24296367876351627</v>
      </c>
      <c r="Q2124">
        <f>IF(dataset[[#This Row],[state]]="VA",1,0)</f>
        <v>0</v>
      </c>
    </row>
    <row r="2125" spans="1:17" x14ac:dyDescent="0.35">
      <c r="A2125">
        <v>202412</v>
      </c>
      <c r="B2125">
        <v>16</v>
      </c>
      <c r="C2125" s="2">
        <v>3010240.5684000002</v>
      </c>
      <c r="D2125" s="2">
        <v>0.79620000000000002</v>
      </c>
      <c r="E2125" s="3">
        <v>172694</v>
      </c>
      <c r="F2125" s="2">
        <v>137494.08499999999</v>
      </c>
      <c r="G2125" t="s">
        <v>3714</v>
      </c>
      <c r="H2125" t="s">
        <v>8</v>
      </c>
      <c r="I2125">
        <f>HLOOKUP(G2125,zip_tiers!$A$1:$EON$2,2,FALSE)</f>
        <v>61982.333333333336</v>
      </c>
      <c r="J2125" t="str">
        <f t="shared" si="33"/>
        <v>Med</v>
      </c>
      <c r="K2125">
        <f>dataset[[#This Row],[soda_sales]]/dataset[[#This Row],[soda_units_sold]]</f>
        <v>0.79617175466431955</v>
      </c>
      <c r="L2125" s="29">
        <f>dataset[[#This Row],[implied_soda_ppu]]-dataset[[#This Row],[soda_ppu]]</f>
        <v>-2.8245335680465722E-5</v>
      </c>
      <c r="M2125">
        <f>dataset[[#This Row],[soda_sales]]/dataset[[#This Row],[total_sales]]</f>
        <v>4.5675447485275474E-2</v>
      </c>
      <c r="N2125">
        <f>LN(dataset[[#This Row],[soda_units_sold]])</f>
        <v>12.059276521203506</v>
      </c>
      <c r="O2125">
        <f>LN(dataset[[#This Row],[soda_sales]])</f>
        <v>11.831336176981637</v>
      </c>
      <c r="P2125">
        <f>LN(dataset[[#This Row],[soda_ppu]])</f>
        <v>-0.2279048684159202</v>
      </c>
      <c r="Q2125">
        <f>IF(dataset[[#This Row],[state]]="VA",1,0)</f>
        <v>0</v>
      </c>
    </row>
    <row r="2126" spans="1:17" x14ac:dyDescent="0.35">
      <c r="A2126">
        <v>202201</v>
      </c>
      <c r="B2126">
        <v>32</v>
      </c>
      <c r="C2126" s="2">
        <v>1887556.9598999999</v>
      </c>
      <c r="D2126" s="2">
        <v>0.71279999999999999</v>
      </c>
      <c r="E2126" s="3">
        <v>143567</v>
      </c>
      <c r="F2126" s="2">
        <v>102336.0132</v>
      </c>
      <c r="G2126" t="s">
        <v>3833</v>
      </c>
      <c r="H2126" t="s">
        <v>8</v>
      </c>
      <c r="I2126" t="str">
        <f>HLOOKUP(G2126,zip_tiers!$A$1:$EON$2,2,FALSE)</f>
        <v/>
      </c>
      <c r="J2126" t="str">
        <f t="shared" si="33"/>
        <v>No Data</v>
      </c>
      <c r="K2126">
        <f>dataset[[#This Row],[soda_sales]]/dataset[[#This Row],[soda_units_sold]]</f>
        <v>0.71281013882020239</v>
      </c>
      <c r="L2126" s="29">
        <f>dataset[[#This Row],[implied_soda_ppu]]-dataset[[#This Row],[soda_ppu]]</f>
        <v>1.0138820202398868E-5</v>
      </c>
      <c r="M2126">
        <f>dataset[[#This Row],[soda_sales]]/dataset[[#This Row],[total_sales]]</f>
        <v>5.421611923458014E-2</v>
      </c>
      <c r="N2126">
        <f>LN(dataset[[#This Row],[soda_units_sold]])</f>
        <v>11.874557104173116</v>
      </c>
      <c r="O2126">
        <f>LN(dataset[[#This Row],[soda_sales]])</f>
        <v>11.536016925180485</v>
      </c>
      <c r="P2126">
        <f>LN(dataset[[#This Row],[soda_ppu]])</f>
        <v>-0.3385544028255375</v>
      </c>
      <c r="Q2126">
        <f>IF(dataset[[#This Row],[state]]="VA",1,0)</f>
        <v>0</v>
      </c>
    </row>
    <row r="2127" spans="1:17" x14ac:dyDescent="0.35">
      <c r="A2127">
        <v>202202</v>
      </c>
      <c r="B2127">
        <v>32</v>
      </c>
      <c r="C2127" s="2">
        <v>2194194.9852</v>
      </c>
      <c r="D2127" s="2">
        <v>0.70860000000000001</v>
      </c>
      <c r="E2127" s="3">
        <v>166639</v>
      </c>
      <c r="F2127" s="2">
        <v>118081.8991</v>
      </c>
      <c r="G2127" t="s">
        <v>3833</v>
      </c>
      <c r="H2127" t="s">
        <v>8</v>
      </c>
      <c r="I2127" t="str">
        <f>HLOOKUP(G2127,zip_tiers!$A$1:$EON$2,2,FALSE)</f>
        <v/>
      </c>
      <c r="J2127" t="str">
        <f t="shared" si="33"/>
        <v>No Data</v>
      </c>
      <c r="K2127">
        <f>dataset[[#This Row],[soda_sales]]/dataset[[#This Row],[soda_units_sold]]</f>
        <v>0.70860902369793388</v>
      </c>
      <c r="L2127" s="29">
        <f>dataset[[#This Row],[implied_soda_ppu]]-dataset[[#This Row],[soda_ppu]]</f>
        <v>9.0236979338742529E-6</v>
      </c>
      <c r="M2127">
        <f>dataset[[#This Row],[soda_sales]]/dataset[[#This Row],[total_sales]]</f>
        <v>5.3815590636415972E-2</v>
      </c>
      <c r="N2127">
        <f>LN(dataset[[#This Row],[soda_units_sold]])</f>
        <v>12.023585074956694</v>
      </c>
      <c r="O2127">
        <f>LN(dataset[[#This Row],[soda_sales]])</f>
        <v>11.679133722868924</v>
      </c>
      <c r="P2127">
        <f>LN(dataset[[#This Row],[soda_ppu]])</f>
        <v>-0.34446408655076544</v>
      </c>
      <c r="Q2127">
        <f>IF(dataset[[#This Row],[state]]="VA",1,0)</f>
        <v>0</v>
      </c>
    </row>
    <row r="2128" spans="1:17" x14ac:dyDescent="0.35">
      <c r="A2128">
        <v>202203</v>
      </c>
      <c r="B2128">
        <v>32</v>
      </c>
      <c r="C2128" s="2">
        <v>2397552.0992999999</v>
      </c>
      <c r="D2128" s="2">
        <v>0.72640000000000005</v>
      </c>
      <c r="E2128" s="3">
        <v>189076</v>
      </c>
      <c r="F2128" s="2">
        <v>137337.23310000001</v>
      </c>
      <c r="G2128" t="s">
        <v>3833</v>
      </c>
      <c r="H2128" t="s">
        <v>8</v>
      </c>
      <c r="I2128" t="str">
        <f>HLOOKUP(G2128,zip_tiers!$A$1:$EON$2,2,FALSE)</f>
        <v/>
      </c>
      <c r="J2128" t="str">
        <f t="shared" si="33"/>
        <v>No Data</v>
      </c>
      <c r="K2128">
        <f>dataset[[#This Row],[soda_sales]]/dataset[[#This Row],[soda_units_sold]]</f>
        <v>0.72635994573610618</v>
      </c>
      <c r="L2128" s="29">
        <f>dataset[[#This Row],[implied_soda_ppu]]-dataset[[#This Row],[soda_ppu]]</f>
        <v>-4.0054263893862796E-5</v>
      </c>
      <c r="M2128">
        <f>dataset[[#This Row],[soda_sales]]/dataset[[#This Row],[total_sales]]</f>
        <v>5.728227267307251E-2</v>
      </c>
      <c r="N2128">
        <f>LN(dataset[[#This Row],[soda_units_sold]])</f>
        <v>12.149904329616763</v>
      </c>
      <c r="O2128">
        <f>LN(dataset[[#This Row],[soda_sales]])</f>
        <v>11.830194735619608</v>
      </c>
      <c r="P2128">
        <f>LN(dataset[[#This Row],[soda_ppu]])</f>
        <v>-0.31965445169505347</v>
      </c>
      <c r="Q2128">
        <f>IF(dataset[[#This Row],[state]]="VA",1,0)</f>
        <v>0</v>
      </c>
    </row>
    <row r="2129" spans="1:17" x14ac:dyDescent="0.35">
      <c r="A2129">
        <v>202204</v>
      </c>
      <c r="B2129">
        <v>32</v>
      </c>
      <c r="C2129" s="2">
        <v>2578003.6866000001</v>
      </c>
      <c r="D2129" s="2">
        <v>0.74480000000000002</v>
      </c>
      <c r="E2129" s="3">
        <v>217857</v>
      </c>
      <c r="F2129" s="2">
        <v>162258.74849999999</v>
      </c>
      <c r="G2129" t="s">
        <v>3833</v>
      </c>
      <c r="H2129" t="s">
        <v>8</v>
      </c>
      <c r="I2129" t="str">
        <f>HLOOKUP(G2129,zip_tiers!$A$1:$EON$2,2,FALSE)</f>
        <v/>
      </c>
      <c r="J2129" t="str">
        <f t="shared" si="33"/>
        <v>No Data</v>
      </c>
      <c r="K2129">
        <f>dataset[[#This Row],[soda_sales]]/dataset[[#This Row],[soda_units_sold]]</f>
        <v>0.7447947437998319</v>
      </c>
      <c r="L2129" s="29">
        <f>dataset[[#This Row],[implied_soda_ppu]]-dataset[[#This Row],[soda_ppu]]</f>
        <v>-5.2562001681133452E-6</v>
      </c>
      <c r="M2129">
        <f>dataset[[#This Row],[soda_sales]]/dataset[[#This Row],[total_sales]]</f>
        <v>6.2939688311305295E-2</v>
      </c>
      <c r="N2129">
        <f>LN(dataset[[#This Row],[soda_units_sold]])</f>
        <v>12.291594163230416</v>
      </c>
      <c r="O2129">
        <f>LN(dataset[[#This Row],[soda_sales]])</f>
        <v>11.996947552989445</v>
      </c>
      <c r="P2129">
        <f>LN(dataset[[#This Row],[soda_ppu]])</f>
        <v>-0.29463955301927969</v>
      </c>
      <c r="Q2129">
        <f>IF(dataset[[#This Row],[state]]="VA",1,0)</f>
        <v>0</v>
      </c>
    </row>
    <row r="2130" spans="1:17" x14ac:dyDescent="0.35">
      <c r="A2130">
        <v>202205</v>
      </c>
      <c r="B2130">
        <v>32</v>
      </c>
      <c r="C2130" s="2">
        <v>2685518.5115</v>
      </c>
      <c r="D2130" s="2">
        <v>0.72460000000000002</v>
      </c>
      <c r="E2130" s="3">
        <v>241284</v>
      </c>
      <c r="F2130" s="2">
        <v>174823.04980000001</v>
      </c>
      <c r="G2130" t="s">
        <v>3833</v>
      </c>
      <c r="H2130" t="s">
        <v>8</v>
      </c>
      <c r="I2130" t="str">
        <f>HLOOKUP(G2130,zip_tiers!$A$1:$EON$2,2,FALSE)</f>
        <v/>
      </c>
      <c r="J2130" t="str">
        <f t="shared" si="33"/>
        <v>No Data</v>
      </c>
      <c r="K2130">
        <f>dataset[[#This Row],[soda_sales]]/dataset[[#This Row],[soda_units_sold]]</f>
        <v>0.72455301553356211</v>
      </c>
      <c r="L2130" s="29">
        <f>dataset[[#This Row],[implied_soda_ppu]]-dataset[[#This Row],[soda_ppu]]</f>
        <v>-4.6984466437915984E-5</v>
      </c>
      <c r="M2130">
        <f>dataset[[#This Row],[soda_sales]]/dataset[[#This Row],[total_sales]]</f>
        <v>6.5098434083164208E-2</v>
      </c>
      <c r="N2130">
        <f>LN(dataset[[#This Row],[soda_units_sold]])</f>
        <v>12.393729941913648</v>
      </c>
      <c r="O2130">
        <f>LN(dataset[[#This Row],[soda_sales]])</f>
        <v>12.071529597354694</v>
      </c>
      <c r="P2130">
        <f>LN(dataset[[#This Row],[soda_ppu]])</f>
        <v>-0.32213550052116019</v>
      </c>
      <c r="Q2130">
        <f>IF(dataset[[#This Row],[state]]="VA",1,0)</f>
        <v>0</v>
      </c>
    </row>
    <row r="2131" spans="1:17" x14ac:dyDescent="0.35">
      <c r="A2131">
        <v>202206</v>
      </c>
      <c r="B2131">
        <v>32</v>
      </c>
      <c r="C2131" s="2">
        <v>2569818.4534</v>
      </c>
      <c r="D2131" s="2">
        <v>0.75409999999999999</v>
      </c>
      <c r="E2131" s="3">
        <v>248084</v>
      </c>
      <c r="F2131" s="2">
        <v>187081.37659999999</v>
      </c>
      <c r="G2131" t="s">
        <v>3833</v>
      </c>
      <c r="H2131" t="s">
        <v>8</v>
      </c>
      <c r="I2131" t="str">
        <f>HLOOKUP(G2131,zip_tiers!$A$1:$EON$2,2,FALSE)</f>
        <v/>
      </c>
      <c r="J2131" t="str">
        <f t="shared" si="33"/>
        <v>No Data</v>
      </c>
      <c r="K2131">
        <f>dataset[[#This Row],[soda_sales]]/dataset[[#This Row],[soda_units_sold]]</f>
        <v>0.75410496686606143</v>
      </c>
      <c r="L2131" s="29">
        <f>dataset[[#This Row],[implied_soda_ppu]]-dataset[[#This Row],[soda_ppu]]</f>
        <v>4.9668660614399229E-6</v>
      </c>
      <c r="M2131">
        <f>dataset[[#This Row],[soda_sales]]/dataset[[#This Row],[total_sales]]</f>
        <v>7.2799452565406653E-2</v>
      </c>
      <c r="N2131">
        <f>LN(dataset[[#This Row],[soda_units_sold]])</f>
        <v>12.421522677475366</v>
      </c>
      <c r="O2131">
        <f>LN(dataset[[#This Row],[soda_sales]])</f>
        <v>12.13929897016212</v>
      </c>
      <c r="P2131">
        <f>LN(dataset[[#This Row],[soda_ppu]])</f>
        <v>-0.2822302937735357</v>
      </c>
      <c r="Q2131">
        <f>IF(dataset[[#This Row],[state]]="VA",1,0)</f>
        <v>0</v>
      </c>
    </row>
    <row r="2132" spans="1:17" x14ac:dyDescent="0.35">
      <c r="A2132">
        <v>202207</v>
      </c>
      <c r="B2132">
        <v>32</v>
      </c>
      <c r="C2132" s="2">
        <v>2471140.0625999998</v>
      </c>
      <c r="D2132" s="2">
        <v>0.72409999999999997</v>
      </c>
      <c r="E2132" s="3">
        <v>267993</v>
      </c>
      <c r="F2132" s="2">
        <v>194060.42629999999</v>
      </c>
      <c r="G2132" t="s">
        <v>3833</v>
      </c>
      <c r="H2132" t="s">
        <v>8</v>
      </c>
      <c r="I2132" t="str">
        <f>HLOOKUP(G2132,zip_tiers!$A$1:$EON$2,2,FALSE)</f>
        <v/>
      </c>
      <c r="J2132" t="str">
        <f t="shared" si="33"/>
        <v>No Data</v>
      </c>
      <c r="K2132">
        <f>dataset[[#This Row],[soda_sales]]/dataset[[#This Row],[soda_units_sold]]</f>
        <v>0.72412498199579833</v>
      </c>
      <c r="L2132" s="29">
        <f>dataset[[#This Row],[implied_soda_ppu]]-dataset[[#This Row],[soda_ppu]]</f>
        <v>2.4981995798367684E-5</v>
      </c>
      <c r="M2132">
        <f>dataset[[#This Row],[soda_sales]]/dataset[[#This Row],[total_sales]]</f>
        <v>7.8530727269186071E-2</v>
      </c>
      <c r="N2132">
        <f>LN(dataset[[#This Row],[soda_units_sold]])</f>
        <v>12.498716139748892</v>
      </c>
      <c r="O2132">
        <f>LN(dataset[[#This Row],[soda_sales]])</f>
        <v>12.175924865320154</v>
      </c>
      <c r="P2132">
        <f>LN(dataset[[#This Row],[soda_ppu]])</f>
        <v>-0.322825774587362</v>
      </c>
      <c r="Q2132">
        <f>IF(dataset[[#This Row],[state]]="VA",1,0)</f>
        <v>0</v>
      </c>
    </row>
    <row r="2133" spans="1:17" x14ac:dyDescent="0.35">
      <c r="A2133">
        <v>202208</v>
      </c>
      <c r="B2133">
        <v>32</v>
      </c>
      <c r="C2133" s="2">
        <v>2307065.3955999999</v>
      </c>
      <c r="D2133" s="2">
        <v>0.74390000000000001</v>
      </c>
      <c r="E2133" s="3">
        <v>224241</v>
      </c>
      <c r="F2133" s="2">
        <v>166806.25260000001</v>
      </c>
      <c r="G2133" t="s">
        <v>3833</v>
      </c>
      <c r="H2133" t="s">
        <v>8</v>
      </c>
      <c r="I2133" t="str">
        <f>HLOOKUP(G2133,zip_tiers!$A$1:$EON$2,2,FALSE)</f>
        <v/>
      </c>
      <c r="J2133" t="str">
        <f t="shared" si="33"/>
        <v>No Data</v>
      </c>
      <c r="K2133">
        <f>dataset[[#This Row],[soda_sales]]/dataset[[#This Row],[soda_units_sold]]</f>
        <v>0.7438704456366142</v>
      </c>
      <c r="L2133" s="29">
        <f>dataset[[#This Row],[implied_soda_ppu]]-dataset[[#This Row],[soda_ppu]]</f>
        <v>-2.9554363385808635E-5</v>
      </c>
      <c r="M2133">
        <f>dataset[[#This Row],[soda_sales]]/dataset[[#This Row],[total_sales]]</f>
        <v>7.2302351254598315E-2</v>
      </c>
      <c r="N2133">
        <f>LN(dataset[[#This Row],[soda_units_sold]])</f>
        <v>12.320476645336397</v>
      </c>
      <c r="O2133">
        <f>LN(dataset[[#This Row],[soda_sales]])</f>
        <v>12.024588253815727</v>
      </c>
      <c r="P2133">
        <f>LN(dataset[[#This Row],[soda_ppu]])</f>
        <v>-0.29584866178484137</v>
      </c>
      <c r="Q2133">
        <f>IF(dataset[[#This Row],[state]]="VA",1,0)</f>
        <v>0</v>
      </c>
    </row>
    <row r="2134" spans="1:17" x14ac:dyDescent="0.35">
      <c r="A2134">
        <v>202209</v>
      </c>
      <c r="B2134">
        <v>32</v>
      </c>
      <c r="C2134" s="2">
        <v>2311793.3423000001</v>
      </c>
      <c r="D2134" s="2">
        <v>0.74460000000000004</v>
      </c>
      <c r="E2134" s="3">
        <v>211459</v>
      </c>
      <c r="F2134" s="2">
        <v>157441.9664</v>
      </c>
      <c r="G2134" t="s">
        <v>3833</v>
      </c>
      <c r="H2134" t="s">
        <v>8</v>
      </c>
      <c r="I2134" t="str">
        <f>HLOOKUP(G2134,zip_tiers!$A$1:$EON$2,2,FALSE)</f>
        <v/>
      </c>
      <c r="J2134" t="str">
        <f t="shared" si="33"/>
        <v>No Data</v>
      </c>
      <c r="K2134">
        <f>dataset[[#This Row],[soda_sales]]/dataset[[#This Row],[soda_units_sold]]</f>
        <v>0.74455079424380144</v>
      </c>
      <c r="L2134" s="29">
        <f>dataset[[#This Row],[implied_soda_ppu]]-dataset[[#This Row],[soda_ppu]]</f>
        <v>-4.9205756198600348E-5</v>
      </c>
      <c r="M2134">
        <f>dataset[[#This Row],[soda_sales]]/dataset[[#This Row],[total_sales]]</f>
        <v>6.8103823780096717E-2</v>
      </c>
      <c r="N2134">
        <f>LN(dataset[[#This Row],[soda_units_sold]])</f>
        <v>12.26178640524857</v>
      </c>
      <c r="O2134">
        <f>LN(dataset[[#This Row],[soda_sales]])</f>
        <v>11.966812202045482</v>
      </c>
      <c r="P2134">
        <f>LN(dataset[[#This Row],[soda_ppu]])</f>
        <v>-0.29490811754352048</v>
      </c>
      <c r="Q2134">
        <f>IF(dataset[[#This Row],[state]]="VA",1,0)</f>
        <v>0</v>
      </c>
    </row>
    <row r="2135" spans="1:17" x14ac:dyDescent="0.35">
      <c r="A2135">
        <v>202210</v>
      </c>
      <c r="B2135">
        <v>32</v>
      </c>
      <c r="C2135" s="2">
        <v>2849592.9578999998</v>
      </c>
      <c r="D2135" s="2">
        <v>0.72209999999999996</v>
      </c>
      <c r="E2135" s="3">
        <v>210321</v>
      </c>
      <c r="F2135" s="2">
        <v>151871.6679</v>
      </c>
      <c r="G2135" t="s">
        <v>3833</v>
      </c>
      <c r="H2135" t="s">
        <v>8</v>
      </c>
      <c r="I2135" t="str">
        <f>HLOOKUP(G2135,zip_tiers!$A$1:$EON$2,2,FALSE)</f>
        <v/>
      </c>
      <c r="J2135" t="str">
        <f t="shared" si="33"/>
        <v>No Data</v>
      </c>
      <c r="K2135">
        <f>dataset[[#This Row],[soda_sales]]/dataset[[#This Row],[soda_units_sold]]</f>
        <v>0.72209464532785594</v>
      </c>
      <c r="L2135" s="29">
        <f>dataset[[#This Row],[implied_soda_ppu]]-dataset[[#This Row],[soda_ppu]]</f>
        <v>-5.3546721440200784E-6</v>
      </c>
      <c r="M2135">
        <f>dataset[[#This Row],[soda_sales]]/dataset[[#This Row],[total_sales]]</f>
        <v>5.3295916344459751E-2</v>
      </c>
      <c r="N2135">
        <f>LN(dataset[[#This Row],[soda_units_sold]])</f>
        <v>12.256390214052026</v>
      </c>
      <c r="O2135">
        <f>LN(dataset[[#This Row],[soda_sales]])</f>
        <v>11.930791153083184</v>
      </c>
      <c r="P2135">
        <f>LN(dataset[[#This Row],[soda_ppu]])</f>
        <v>-0.32559164552500114</v>
      </c>
      <c r="Q2135">
        <f>IF(dataset[[#This Row],[state]]="VA",1,0)</f>
        <v>0</v>
      </c>
    </row>
    <row r="2136" spans="1:17" x14ac:dyDescent="0.35">
      <c r="A2136">
        <v>202211</v>
      </c>
      <c r="B2136">
        <v>32</v>
      </c>
      <c r="C2136" s="2">
        <v>3228833.9023000002</v>
      </c>
      <c r="D2136" s="2">
        <v>0.71479999999999999</v>
      </c>
      <c r="E2136" s="3">
        <v>202017</v>
      </c>
      <c r="F2136" s="2">
        <v>144397.57279999999</v>
      </c>
      <c r="G2136" t="s">
        <v>3833</v>
      </c>
      <c r="H2136" t="s">
        <v>8</v>
      </c>
      <c r="I2136" t="str">
        <f>HLOOKUP(G2136,zip_tiers!$A$1:$EON$2,2,FALSE)</f>
        <v/>
      </c>
      <c r="J2136" t="str">
        <f t="shared" si="33"/>
        <v>No Data</v>
      </c>
      <c r="K2136">
        <f>dataset[[#This Row],[soda_sales]]/dataset[[#This Row],[soda_units_sold]]</f>
        <v>0.71477931461213662</v>
      </c>
      <c r="L2136" s="29">
        <f>dataset[[#This Row],[implied_soda_ppu]]-dataset[[#This Row],[soda_ppu]]</f>
        <v>-2.0685387863372817E-5</v>
      </c>
      <c r="M2136">
        <f>dataset[[#This Row],[soda_sales]]/dataset[[#This Row],[total_sales]]</f>
        <v>4.4721276215893627E-2</v>
      </c>
      <c r="N2136">
        <f>LN(dataset[[#This Row],[soda_units_sold]])</f>
        <v>12.216107131258063</v>
      </c>
      <c r="O2136">
        <f>LN(dataset[[#This Row],[soda_sales]])</f>
        <v>11.880325696435326</v>
      </c>
      <c r="P2136">
        <f>LN(dataset[[#This Row],[soda_ppu]])</f>
        <v>-0.33575249569686411</v>
      </c>
      <c r="Q2136">
        <f>IF(dataset[[#This Row],[state]]="VA",1,0)</f>
        <v>0</v>
      </c>
    </row>
    <row r="2137" spans="1:17" x14ac:dyDescent="0.35">
      <c r="A2137">
        <v>202212</v>
      </c>
      <c r="B2137">
        <v>32</v>
      </c>
      <c r="C2137" s="2">
        <v>3338396.5981000001</v>
      </c>
      <c r="D2137" s="2">
        <v>0.71719999999999995</v>
      </c>
      <c r="E2137" s="3">
        <v>195057</v>
      </c>
      <c r="F2137" s="2">
        <v>139886.43609999999</v>
      </c>
      <c r="G2137" t="s">
        <v>3833</v>
      </c>
      <c r="H2137" t="s">
        <v>8</v>
      </c>
      <c r="I2137" t="str">
        <f>HLOOKUP(G2137,zip_tiers!$A$1:$EON$2,2,FALSE)</f>
        <v/>
      </c>
      <c r="J2137" t="str">
        <f t="shared" si="33"/>
        <v>No Data</v>
      </c>
      <c r="K2137">
        <f>dataset[[#This Row],[soda_sales]]/dataset[[#This Row],[soda_units_sold]]</f>
        <v>0.7171567085518592</v>
      </c>
      <c r="L2137" s="29">
        <f>dataset[[#This Row],[implied_soda_ppu]]-dataset[[#This Row],[soda_ppu]]</f>
        <v>-4.329144814074759E-5</v>
      </c>
      <c r="M2137">
        <f>dataset[[#This Row],[soda_sales]]/dataset[[#This Row],[total_sales]]</f>
        <v>4.1902282125381489E-2</v>
      </c>
      <c r="N2137">
        <f>LN(dataset[[#This Row],[soda_units_sold]])</f>
        <v>12.181047102524621</v>
      </c>
      <c r="O2137">
        <f>LN(dataset[[#This Row],[soda_sales]])</f>
        <v>11.848586201700167</v>
      </c>
      <c r="P2137">
        <f>LN(dataset[[#This Row],[soda_ppu]])</f>
        <v>-0.33240053725115931</v>
      </c>
      <c r="Q2137">
        <f>IF(dataset[[#This Row],[state]]="VA",1,0)</f>
        <v>0</v>
      </c>
    </row>
    <row r="2138" spans="1:17" x14ac:dyDescent="0.35">
      <c r="A2138">
        <v>202301</v>
      </c>
      <c r="B2138">
        <v>32</v>
      </c>
      <c r="C2138" s="2">
        <v>1961889.7180999999</v>
      </c>
      <c r="D2138" s="2">
        <v>0.76449999999999996</v>
      </c>
      <c r="E2138" s="3">
        <v>136596</v>
      </c>
      <c r="F2138" s="2">
        <v>104428.4283</v>
      </c>
      <c r="G2138" t="s">
        <v>3833</v>
      </c>
      <c r="H2138" t="s">
        <v>8</v>
      </c>
      <c r="I2138" t="str">
        <f>HLOOKUP(G2138,zip_tiers!$A$1:$EON$2,2,FALSE)</f>
        <v/>
      </c>
      <c r="J2138" t="str">
        <f t="shared" si="33"/>
        <v>No Data</v>
      </c>
      <c r="K2138">
        <f>dataset[[#This Row],[soda_sales]]/dataset[[#This Row],[soda_units_sold]]</f>
        <v>0.76450575639110951</v>
      </c>
      <c r="L2138" s="29">
        <f>dataset[[#This Row],[implied_soda_ppu]]-dataset[[#This Row],[soda_ppu]]</f>
        <v>5.7563911095570575E-6</v>
      </c>
      <c r="M2138">
        <f>dataset[[#This Row],[soda_sales]]/dataset[[#This Row],[total_sales]]</f>
        <v>5.3228490539791472E-2</v>
      </c>
      <c r="N2138">
        <f>LN(dataset[[#This Row],[soda_units_sold]])</f>
        <v>11.824782943113217</v>
      </c>
      <c r="O2138">
        <f>LN(dataset[[#This Row],[soda_sales]])</f>
        <v>11.556257219087428</v>
      </c>
      <c r="P2138">
        <f>LN(dataset[[#This Row],[soda_ppu]])</f>
        <v>-0.26853325361302011</v>
      </c>
      <c r="Q2138">
        <f>IF(dataset[[#This Row],[state]]="VA",1,0)</f>
        <v>0</v>
      </c>
    </row>
    <row r="2139" spans="1:17" x14ac:dyDescent="0.35">
      <c r="A2139">
        <v>202302</v>
      </c>
      <c r="B2139">
        <v>32</v>
      </c>
      <c r="C2139" s="2">
        <v>2212469.1035000002</v>
      </c>
      <c r="D2139" s="2">
        <v>0.77049999999999996</v>
      </c>
      <c r="E2139" s="3">
        <v>153117</v>
      </c>
      <c r="F2139" s="2">
        <v>117981.62699999999</v>
      </c>
      <c r="G2139" t="s">
        <v>3833</v>
      </c>
      <c r="H2139" t="s">
        <v>8</v>
      </c>
      <c r="I2139" t="str">
        <f>HLOOKUP(G2139,zip_tiers!$A$1:$EON$2,2,FALSE)</f>
        <v/>
      </c>
      <c r="J2139" t="str">
        <f t="shared" si="33"/>
        <v>No Data</v>
      </c>
      <c r="K2139">
        <f>dataset[[#This Row],[soda_sales]]/dataset[[#This Row],[soda_units_sold]]</f>
        <v>0.77053251435177017</v>
      </c>
      <c r="L2139" s="29">
        <f>dataset[[#This Row],[implied_soda_ppu]]-dataset[[#This Row],[soda_ppu]]</f>
        <v>3.2514351770207561E-5</v>
      </c>
      <c r="M2139">
        <f>dataset[[#This Row],[soda_sales]]/dataset[[#This Row],[total_sales]]</f>
        <v>5.3325773821365358E-2</v>
      </c>
      <c r="N2139">
        <f>LN(dataset[[#This Row],[soda_units_sold]])</f>
        <v>11.938957614018356</v>
      </c>
      <c r="O2139">
        <f>LN(dataset[[#This Row],[soda_sales]])</f>
        <v>11.67828418793494</v>
      </c>
      <c r="P2139">
        <f>LN(dataset[[#This Row],[soda_ppu]])</f>
        <v>-0.26071562422196665</v>
      </c>
      <c r="Q2139">
        <f>IF(dataset[[#This Row],[state]]="VA",1,0)</f>
        <v>0</v>
      </c>
    </row>
    <row r="2140" spans="1:17" x14ac:dyDescent="0.35">
      <c r="A2140">
        <v>202303</v>
      </c>
      <c r="B2140">
        <v>32</v>
      </c>
      <c r="C2140" s="2">
        <v>2437692.1719</v>
      </c>
      <c r="D2140" s="2">
        <v>0.74260000000000004</v>
      </c>
      <c r="E2140" s="3">
        <v>185161</v>
      </c>
      <c r="F2140" s="2">
        <v>137501.43520000001</v>
      </c>
      <c r="G2140" t="s">
        <v>3833</v>
      </c>
      <c r="H2140" t="s">
        <v>8</v>
      </c>
      <c r="I2140" t="str">
        <f>HLOOKUP(G2140,zip_tiers!$A$1:$EON$2,2,FALSE)</f>
        <v/>
      </c>
      <c r="J2140" t="str">
        <f t="shared" si="33"/>
        <v>No Data</v>
      </c>
      <c r="K2140">
        <f>dataset[[#This Row],[soda_sales]]/dataset[[#This Row],[soda_units_sold]]</f>
        <v>0.74260473425829421</v>
      </c>
      <c r="L2140" s="29">
        <f>dataset[[#This Row],[implied_soda_ppu]]-dataset[[#This Row],[soda_ppu]]</f>
        <v>4.7342582941700684E-6</v>
      </c>
      <c r="M2140">
        <f>dataset[[#This Row],[soda_sales]]/dataset[[#This Row],[total_sales]]</f>
        <v>5.6406398143711414E-2</v>
      </c>
      <c r="N2140">
        <f>LN(dataset[[#This Row],[soda_units_sold]])</f>
        <v>12.128980995865122</v>
      </c>
      <c r="O2140">
        <f>LN(dataset[[#This Row],[soda_sales]])</f>
        <v>11.831389633852471</v>
      </c>
      <c r="P2140">
        <f>LN(dataset[[#This Row],[soda_ppu]])</f>
        <v>-0.29759773723915728</v>
      </c>
      <c r="Q2140">
        <f>IF(dataset[[#This Row],[state]]="VA",1,0)</f>
        <v>0</v>
      </c>
    </row>
    <row r="2141" spans="1:17" x14ac:dyDescent="0.35">
      <c r="A2141">
        <v>202304</v>
      </c>
      <c r="B2141">
        <v>32</v>
      </c>
      <c r="C2141" s="2">
        <v>2604102.8544999999</v>
      </c>
      <c r="D2141" s="2">
        <v>0.73329999999999995</v>
      </c>
      <c r="E2141" s="3">
        <v>219053</v>
      </c>
      <c r="F2141" s="2">
        <v>160626.2677</v>
      </c>
      <c r="G2141" t="s">
        <v>3833</v>
      </c>
      <c r="H2141" t="s">
        <v>8</v>
      </c>
      <c r="I2141" t="str">
        <f>HLOOKUP(G2141,zip_tiers!$A$1:$EON$2,2,FALSE)</f>
        <v/>
      </c>
      <c r="J2141" t="str">
        <f t="shared" si="33"/>
        <v>No Data</v>
      </c>
      <c r="K2141">
        <f>dataset[[#This Row],[soda_sales]]/dataset[[#This Row],[soda_units_sold]]</f>
        <v>0.73327581772447759</v>
      </c>
      <c r="L2141" s="29">
        <f>dataset[[#This Row],[implied_soda_ppu]]-dataset[[#This Row],[soda_ppu]]</f>
        <v>-2.4182275522366403E-5</v>
      </c>
      <c r="M2141">
        <f>dataset[[#This Row],[soda_sales]]/dataset[[#This Row],[total_sales]]</f>
        <v>6.1681998244589691E-2</v>
      </c>
      <c r="N2141">
        <f>LN(dataset[[#This Row],[soda_units_sold]])</f>
        <v>12.297068988651572</v>
      </c>
      <c r="O2141">
        <f>LN(dataset[[#This Row],[soda_sales]])</f>
        <v>11.986835626896196</v>
      </c>
      <c r="P2141">
        <f>LN(dataset[[#This Row],[soda_ppu]])</f>
        <v>-0.3102003838823833</v>
      </c>
      <c r="Q2141">
        <f>IF(dataset[[#This Row],[state]]="VA",1,0)</f>
        <v>0</v>
      </c>
    </row>
    <row r="2142" spans="1:17" x14ac:dyDescent="0.35">
      <c r="A2142">
        <v>202305</v>
      </c>
      <c r="B2142">
        <v>32</v>
      </c>
      <c r="C2142" s="2">
        <v>2725342.6209999998</v>
      </c>
      <c r="D2142" s="2">
        <v>0.73260000000000003</v>
      </c>
      <c r="E2142" s="3">
        <v>245211</v>
      </c>
      <c r="F2142" s="2">
        <v>179644.10829999999</v>
      </c>
      <c r="G2142" t="s">
        <v>3833</v>
      </c>
      <c r="H2142" t="s">
        <v>8</v>
      </c>
      <c r="I2142" t="str">
        <f>HLOOKUP(G2142,zip_tiers!$A$1:$EON$2,2,FALSE)</f>
        <v/>
      </c>
      <c r="J2142" t="str">
        <f t="shared" si="33"/>
        <v>No Data</v>
      </c>
      <c r="K2142">
        <f>dataset[[#This Row],[soda_sales]]/dataset[[#This Row],[soda_units_sold]]</f>
        <v>0.73261031642136765</v>
      </c>
      <c r="L2142" s="29">
        <f>dataset[[#This Row],[implied_soda_ppu]]-dataset[[#This Row],[soda_ppu]]</f>
        <v>1.0316421367617679E-5</v>
      </c>
      <c r="M2142">
        <f>dataset[[#This Row],[soda_sales]]/dataset[[#This Row],[total_sales]]</f>
        <v>6.5916155611320471E-2</v>
      </c>
      <c r="N2142">
        <f>LN(dataset[[#This Row],[soda_units_sold]])</f>
        <v>12.409874343375638</v>
      </c>
      <c r="O2142">
        <f>LN(dataset[[#This Row],[soda_sales]])</f>
        <v>12.098732996568314</v>
      </c>
      <c r="P2142">
        <f>LN(dataset[[#This Row],[soda_ppu]])</f>
        <v>-0.31115542863742301</v>
      </c>
      <c r="Q2142">
        <f>IF(dataset[[#This Row],[state]]="VA",1,0)</f>
        <v>0</v>
      </c>
    </row>
    <row r="2143" spans="1:17" x14ac:dyDescent="0.35">
      <c r="A2143">
        <v>202306</v>
      </c>
      <c r="B2143">
        <v>32</v>
      </c>
      <c r="C2143" s="2">
        <v>2653327.1510999999</v>
      </c>
      <c r="D2143" s="2">
        <v>0.75949999999999995</v>
      </c>
      <c r="E2143" s="3">
        <v>249945</v>
      </c>
      <c r="F2143" s="2">
        <v>189821.38159999999</v>
      </c>
      <c r="G2143" t="s">
        <v>3833</v>
      </c>
      <c r="H2143" t="s">
        <v>8</v>
      </c>
      <c r="I2143" t="str">
        <f>HLOOKUP(G2143,zip_tiers!$A$1:$EON$2,2,FALSE)</f>
        <v/>
      </c>
      <c r="J2143" t="str">
        <f t="shared" si="33"/>
        <v>No Data</v>
      </c>
      <c r="K2143">
        <f>dataset[[#This Row],[soda_sales]]/dataset[[#This Row],[soda_units_sold]]</f>
        <v>0.7594526059733141</v>
      </c>
      <c r="L2143" s="29">
        <f>dataset[[#This Row],[implied_soda_ppu]]-dataset[[#This Row],[soda_ppu]]</f>
        <v>-4.7394026685854129E-5</v>
      </c>
      <c r="M2143">
        <f>dataset[[#This Row],[soda_sales]]/dataset[[#This Row],[total_sales]]</f>
        <v>7.1540888397913921E-2</v>
      </c>
      <c r="N2143">
        <f>LN(dataset[[#This Row],[soda_units_sold]])</f>
        <v>12.428996172640833</v>
      </c>
      <c r="O2143">
        <f>LN(dataset[[#This Row],[soda_sales]])</f>
        <v>12.153838812132339</v>
      </c>
      <c r="P2143">
        <f>LN(dataset[[#This Row],[soda_ppu]])</f>
        <v>-0.27509495694630959</v>
      </c>
      <c r="Q2143">
        <f>IF(dataset[[#This Row],[state]]="VA",1,0)</f>
        <v>0</v>
      </c>
    </row>
    <row r="2144" spans="1:17" x14ac:dyDescent="0.35">
      <c r="A2144">
        <v>202307</v>
      </c>
      <c r="B2144">
        <v>32</v>
      </c>
      <c r="C2144" s="2">
        <v>2493778.4512999998</v>
      </c>
      <c r="D2144" s="2">
        <v>0.73480000000000001</v>
      </c>
      <c r="E2144" s="3">
        <v>262454</v>
      </c>
      <c r="F2144" s="2">
        <v>192853.2438</v>
      </c>
      <c r="G2144" t="s">
        <v>3833</v>
      </c>
      <c r="H2144" t="s">
        <v>8</v>
      </c>
      <c r="I2144" t="str">
        <f>HLOOKUP(G2144,zip_tiers!$A$1:$EON$2,2,FALSE)</f>
        <v/>
      </c>
      <c r="J2144" t="str">
        <f t="shared" si="33"/>
        <v>No Data</v>
      </c>
      <c r="K2144">
        <f>dataset[[#This Row],[soda_sales]]/dataset[[#This Row],[soda_units_sold]]</f>
        <v>0.7348077903175414</v>
      </c>
      <c r="L2144" s="29">
        <f>dataset[[#This Row],[implied_soda_ppu]]-dataset[[#This Row],[soda_ppu]]</f>
        <v>7.7903175413895909E-6</v>
      </c>
      <c r="M2144">
        <f>dataset[[#This Row],[soda_sales]]/dataset[[#This Row],[total_sales]]</f>
        <v>7.7333751801193937E-2</v>
      </c>
      <c r="N2144">
        <f>LN(dataset[[#This Row],[soda_units_sold]])</f>
        <v>12.477831107562588</v>
      </c>
      <c r="O2144">
        <f>LN(dataset[[#This Row],[soda_sales]])</f>
        <v>12.169684783821593</v>
      </c>
      <c r="P2144">
        <f>LN(dataset[[#This Row],[soda_ppu]])</f>
        <v>-0.30815692564116648</v>
      </c>
      <c r="Q2144">
        <f>IF(dataset[[#This Row],[state]]="VA",1,0)</f>
        <v>0</v>
      </c>
    </row>
    <row r="2145" spans="1:17" x14ac:dyDescent="0.35">
      <c r="A2145">
        <v>202308</v>
      </c>
      <c r="B2145">
        <v>32</v>
      </c>
      <c r="C2145" s="2">
        <v>2339479.7763999999</v>
      </c>
      <c r="D2145" s="2">
        <v>0.73480000000000001</v>
      </c>
      <c r="E2145" s="3">
        <v>225962</v>
      </c>
      <c r="F2145" s="2">
        <v>166043.902</v>
      </c>
      <c r="G2145" t="s">
        <v>3833</v>
      </c>
      <c r="H2145" t="s">
        <v>8</v>
      </c>
      <c r="I2145" t="str">
        <f>HLOOKUP(G2145,zip_tiers!$A$1:$EON$2,2,FALSE)</f>
        <v/>
      </c>
      <c r="J2145" t="str">
        <f t="shared" si="33"/>
        <v>No Data</v>
      </c>
      <c r="K2145">
        <f>dataset[[#This Row],[soda_sales]]/dataset[[#This Row],[soda_units_sold]]</f>
        <v>0.73483108664288688</v>
      </c>
      <c r="L2145" s="29">
        <f>dataset[[#This Row],[implied_soda_ppu]]-dataset[[#This Row],[soda_ppu]]</f>
        <v>3.1086642886868354E-5</v>
      </c>
      <c r="M2145">
        <f>dataset[[#This Row],[soda_sales]]/dataset[[#This Row],[total_sales]]</f>
        <v>7.0974711418753514E-2</v>
      </c>
      <c r="N2145">
        <f>LN(dataset[[#This Row],[soda_units_sold]])</f>
        <v>12.328122122524119</v>
      </c>
      <c r="O2145">
        <f>LN(dataset[[#This Row],[soda_sales]])</f>
        <v>12.020007502252204</v>
      </c>
      <c r="P2145">
        <f>LN(dataset[[#This Row],[soda_ppu]])</f>
        <v>-0.30815692564116648</v>
      </c>
      <c r="Q2145">
        <f>IF(dataset[[#This Row],[state]]="VA",1,0)</f>
        <v>0</v>
      </c>
    </row>
    <row r="2146" spans="1:17" x14ac:dyDescent="0.35">
      <c r="A2146">
        <v>202309</v>
      </c>
      <c r="B2146">
        <v>32</v>
      </c>
      <c r="C2146" s="2">
        <v>2377195.0207000002</v>
      </c>
      <c r="D2146" s="2">
        <v>0.73019999999999996</v>
      </c>
      <c r="E2146" s="3">
        <v>226016</v>
      </c>
      <c r="F2146" s="2">
        <v>165025.72560000001</v>
      </c>
      <c r="G2146" t="s">
        <v>3833</v>
      </c>
      <c r="H2146" t="s">
        <v>8</v>
      </c>
      <c r="I2146" t="str">
        <f>HLOOKUP(G2146,zip_tiers!$A$1:$EON$2,2,FALSE)</f>
        <v/>
      </c>
      <c r="J2146" t="str">
        <f t="shared" si="33"/>
        <v>No Data</v>
      </c>
      <c r="K2146">
        <f>dataset[[#This Row],[soda_sales]]/dataset[[#This Row],[soda_units_sold]]</f>
        <v>0.7301506335834631</v>
      </c>
      <c r="L2146" s="29">
        <f>dataset[[#This Row],[implied_soda_ppu]]-dataset[[#This Row],[soda_ppu]]</f>
        <v>-4.9366416536855695E-5</v>
      </c>
      <c r="M2146">
        <f>dataset[[#This Row],[soda_sales]]/dataset[[#This Row],[total_sales]]</f>
        <v>6.9420356412914636E-2</v>
      </c>
      <c r="N2146">
        <f>LN(dataset[[#This Row],[soda_units_sold]])</f>
        <v>12.328361072208649</v>
      </c>
      <c r="O2146">
        <f>LN(dataset[[#This Row],[soda_sales]])</f>
        <v>12.013856653456864</v>
      </c>
      <c r="P2146">
        <f>LN(dataset[[#This Row],[soda_ppu]])</f>
        <v>-0.31443680976060062</v>
      </c>
      <c r="Q2146">
        <f>IF(dataset[[#This Row],[state]]="VA",1,0)</f>
        <v>0</v>
      </c>
    </row>
    <row r="2147" spans="1:17" x14ac:dyDescent="0.35">
      <c r="A2147">
        <v>202310</v>
      </c>
      <c r="B2147">
        <v>32</v>
      </c>
      <c r="C2147" s="2">
        <v>2877133.6115000001</v>
      </c>
      <c r="D2147" s="2">
        <v>0.74909999999999999</v>
      </c>
      <c r="E2147" s="3">
        <v>211532</v>
      </c>
      <c r="F2147" s="2">
        <v>158460.1642</v>
      </c>
      <c r="G2147" t="s">
        <v>3833</v>
      </c>
      <c r="H2147" t="s">
        <v>8</v>
      </c>
      <c r="I2147" t="str">
        <f>HLOOKUP(G2147,zip_tiers!$A$1:$EON$2,2,FALSE)</f>
        <v/>
      </c>
      <c r="J2147" t="str">
        <f t="shared" si="33"/>
        <v>No Data</v>
      </c>
      <c r="K2147">
        <f>dataset[[#This Row],[soda_sales]]/dataset[[#This Row],[soda_units_sold]]</f>
        <v>0.74910729440462909</v>
      </c>
      <c r="L2147" s="29">
        <f>dataset[[#This Row],[implied_soda_ppu]]-dataset[[#This Row],[soda_ppu]]</f>
        <v>7.2944046290990272E-6</v>
      </c>
      <c r="M2147">
        <f>dataset[[#This Row],[soda_sales]]/dataset[[#This Row],[total_sales]]</f>
        <v>5.5075705753333586E-2</v>
      </c>
      <c r="N2147">
        <f>LN(dataset[[#This Row],[soda_units_sold]])</f>
        <v>12.26213156626015</v>
      </c>
      <c r="O2147">
        <f>LN(dataset[[#This Row],[soda_sales]])</f>
        <v>11.973258510742349</v>
      </c>
      <c r="P2147">
        <f>LN(dataset[[#This Row],[soda_ppu]])</f>
        <v>-0.28888279302829983</v>
      </c>
      <c r="Q2147">
        <f>IF(dataset[[#This Row],[state]]="VA",1,0)</f>
        <v>0</v>
      </c>
    </row>
    <row r="2148" spans="1:17" x14ac:dyDescent="0.35">
      <c r="A2148">
        <v>202311</v>
      </c>
      <c r="B2148">
        <v>32</v>
      </c>
      <c r="C2148" s="2">
        <v>3330092.1965000001</v>
      </c>
      <c r="D2148" s="2">
        <v>0.71299999999999997</v>
      </c>
      <c r="E2148" s="3">
        <v>213225</v>
      </c>
      <c r="F2148" s="2">
        <v>152025.85339999999</v>
      </c>
      <c r="G2148" t="s">
        <v>3833</v>
      </c>
      <c r="H2148" t="s">
        <v>8</v>
      </c>
      <c r="I2148" t="str">
        <f>HLOOKUP(G2148,zip_tiers!$A$1:$EON$2,2,FALSE)</f>
        <v/>
      </c>
      <c r="J2148" t="str">
        <f t="shared" si="33"/>
        <v>No Data</v>
      </c>
      <c r="K2148">
        <f>dataset[[#This Row],[soda_sales]]/dataset[[#This Row],[soda_units_sold]]</f>
        <v>0.7129832496189471</v>
      </c>
      <c r="L2148" s="29">
        <f>dataset[[#This Row],[implied_soda_ppu]]-dataset[[#This Row],[soda_ppu]]</f>
        <v>-1.6750381052865748E-5</v>
      </c>
      <c r="M2148">
        <f>dataset[[#This Row],[soda_sales]]/dataset[[#This Row],[total_sales]]</f>
        <v>4.5652145475065978E-2</v>
      </c>
      <c r="N2148">
        <f>LN(dataset[[#This Row],[soda_units_sold]])</f>
        <v>12.270103225187309</v>
      </c>
      <c r="O2148">
        <f>LN(dataset[[#This Row],[soda_sales]])</f>
        <v>11.931805873522958</v>
      </c>
      <c r="P2148">
        <f>LN(dataset[[#This Row],[soda_ppu]])</f>
        <v>-0.33827385856784115</v>
      </c>
      <c r="Q2148">
        <f>IF(dataset[[#This Row],[state]]="VA",1,0)</f>
        <v>0</v>
      </c>
    </row>
    <row r="2149" spans="1:17" x14ac:dyDescent="0.35">
      <c r="A2149">
        <v>202312</v>
      </c>
      <c r="B2149">
        <v>32</v>
      </c>
      <c r="C2149" s="2">
        <v>3460163.0876000002</v>
      </c>
      <c r="D2149" s="2">
        <v>0.76219999999999999</v>
      </c>
      <c r="E2149" s="3">
        <v>190185</v>
      </c>
      <c r="F2149" s="2">
        <v>144962.7727</v>
      </c>
      <c r="G2149" t="s">
        <v>3833</v>
      </c>
      <c r="H2149" t="s">
        <v>8</v>
      </c>
      <c r="I2149" t="str">
        <f>HLOOKUP(G2149,zip_tiers!$A$1:$EON$2,2,FALSE)</f>
        <v/>
      </c>
      <c r="J2149" t="str">
        <f t="shared" si="33"/>
        <v>No Data</v>
      </c>
      <c r="K2149">
        <f>dataset[[#This Row],[soda_sales]]/dataset[[#This Row],[soda_units_sold]]</f>
        <v>0.76221980019454738</v>
      </c>
      <c r="L2149" s="29">
        <f>dataset[[#This Row],[implied_soda_ppu]]-dataset[[#This Row],[soda_ppu]]</f>
        <v>1.9800194547392458E-5</v>
      </c>
      <c r="M2149">
        <f>dataset[[#This Row],[soda_sales]]/dataset[[#This Row],[total_sales]]</f>
        <v>4.1894780399078665E-2</v>
      </c>
      <c r="N2149">
        <f>LN(dataset[[#This Row],[soda_units_sold]])</f>
        <v>12.155752561630159</v>
      </c>
      <c r="O2149">
        <f>LN(dataset[[#This Row],[soda_sales]])</f>
        <v>11.884232248439355</v>
      </c>
      <c r="P2149">
        <f>LN(dataset[[#This Row],[soda_ppu]])</f>
        <v>-0.27154629054237722</v>
      </c>
      <c r="Q2149">
        <f>IF(dataset[[#This Row],[state]]="VA",1,0)</f>
        <v>0</v>
      </c>
    </row>
    <row r="2150" spans="1:17" x14ac:dyDescent="0.35">
      <c r="A2150">
        <v>202401</v>
      </c>
      <c r="B2150">
        <v>32</v>
      </c>
      <c r="C2150" s="2">
        <v>1949718.2396</v>
      </c>
      <c r="D2150" s="2">
        <v>0.79120000000000001</v>
      </c>
      <c r="E2150" s="3">
        <v>134159</v>
      </c>
      <c r="F2150" s="2">
        <v>106142.18429999999</v>
      </c>
      <c r="G2150" t="s">
        <v>3833</v>
      </c>
      <c r="H2150" t="s">
        <v>8</v>
      </c>
      <c r="I2150" t="str">
        <f>HLOOKUP(G2150,zip_tiers!$A$1:$EON$2,2,FALSE)</f>
        <v/>
      </c>
      <c r="J2150" t="str">
        <f t="shared" si="33"/>
        <v>No Data</v>
      </c>
      <c r="K2150">
        <f>dataset[[#This Row],[soda_sales]]/dataset[[#This Row],[soda_units_sold]]</f>
        <v>0.79116708010644077</v>
      </c>
      <c r="L2150" s="29">
        <f>dataset[[#This Row],[implied_soda_ppu]]-dataset[[#This Row],[soda_ppu]]</f>
        <v>-3.2919893559246738E-5</v>
      </c>
      <c r="M2150">
        <f>dataset[[#This Row],[soda_sales]]/dataset[[#This Row],[total_sales]]</f>
        <v>5.4439755521688046E-2</v>
      </c>
      <c r="N2150">
        <f>LN(dataset[[#This Row],[soda_units_sold]])</f>
        <v>11.806780942682787</v>
      </c>
      <c r="O2150">
        <f>LN(dataset[[#This Row],[soda_sales]])</f>
        <v>11.572534835593535</v>
      </c>
      <c r="P2150">
        <f>LN(dataset[[#This Row],[soda_ppu]])</f>
        <v>-0.23420449867363469</v>
      </c>
      <c r="Q2150">
        <f>IF(dataset[[#This Row],[state]]="VA",1,0)</f>
        <v>0</v>
      </c>
    </row>
    <row r="2151" spans="1:17" x14ac:dyDescent="0.35">
      <c r="A2151">
        <v>202402</v>
      </c>
      <c r="B2151">
        <v>32</v>
      </c>
      <c r="C2151" s="2">
        <v>2207225.4361</v>
      </c>
      <c r="D2151" s="2">
        <v>0.7742</v>
      </c>
      <c r="E2151" s="3">
        <v>154020</v>
      </c>
      <c r="F2151" s="2">
        <v>119249.70879999999</v>
      </c>
      <c r="G2151" t="s">
        <v>3833</v>
      </c>
      <c r="H2151" t="s">
        <v>8</v>
      </c>
      <c r="I2151" t="str">
        <f>HLOOKUP(G2151,zip_tiers!$A$1:$EON$2,2,FALSE)</f>
        <v/>
      </c>
      <c r="J2151" t="str">
        <f t="shared" si="33"/>
        <v>No Data</v>
      </c>
      <c r="K2151">
        <f>dataset[[#This Row],[soda_sales]]/dataset[[#This Row],[soda_units_sold]]</f>
        <v>0.77424820672639916</v>
      </c>
      <c r="L2151" s="29">
        <f>dataset[[#This Row],[implied_soda_ppu]]-dataset[[#This Row],[soda_ppu]]</f>
        <v>4.8206726399158129E-5</v>
      </c>
      <c r="M2151">
        <f>dataset[[#This Row],[soda_sales]]/dataset[[#This Row],[total_sales]]</f>
        <v>5.4026972890773309E-2</v>
      </c>
      <c r="N2151">
        <f>LN(dataset[[#This Row],[soda_units_sold]])</f>
        <v>11.944837743093242</v>
      </c>
      <c r="O2151">
        <f>LN(dataset[[#This Row],[soda_sales]])</f>
        <v>11.688974966818884</v>
      </c>
      <c r="P2151">
        <f>LN(dataset[[#This Row],[soda_ppu]])</f>
        <v>-0.2559250408385893</v>
      </c>
      <c r="Q2151">
        <f>IF(dataset[[#This Row],[state]]="VA",1,0)</f>
        <v>0</v>
      </c>
    </row>
    <row r="2152" spans="1:17" x14ac:dyDescent="0.35">
      <c r="A2152">
        <v>202403</v>
      </c>
      <c r="B2152">
        <v>32</v>
      </c>
      <c r="C2152" s="2">
        <v>2493616.9720000001</v>
      </c>
      <c r="D2152" s="2">
        <v>0.78700000000000003</v>
      </c>
      <c r="E2152" s="3">
        <v>175958</v>
      </c>
      <c r="F2152" s="2">
        <v>138472.14629999999</v>
      </c>
      <c r="G2152" t="s">
        <v>3833</v>
      </c>
      <c r="H2152" t="s">
        <v>8</v>
      </c>
      <c r="I2152" t="str">
        <f>HLOOKUP(G2152,zip_tiers!$A$1:$EON$2,2,FALSE)</f>
        <v/>
      </c>
      <c r="J2152" t="str">
        <f t="shared" si="33"/>
        <v>No Data</v>
      </c>
      <c r="K2152">
        <f>dataset[[#This Row],[soda_sales]]/dataset[[#This Row],[soda_units_sold]]</f>
        <v>0.78696135611907381</v>
      </c>
      <c r="L2152" s="29">
        <f>dataset[[#This Row],[implied_soda_ppu]]-dataset[[#This Row],[soda_ppu]]</f>
        <v>-3.8643880926225727E-5</v>
      </c>
      <c r="M2152">
        <f>dataset[[#This Row],[soda_sales]]/dataset[[#This Row],[total_sales]]</f>
        <v>5.5530639971919468E-2</v>
      </c>
      <c r="N2152">
        <f>LN(dataset[[#This Row],[soda_units_sold]])</f>
        <v>12.078000609178465</v>
      </c>
      <c r="O2152">
        <f>LN(dataset[[#This Row],[soda_sales]])</f>
        <v>11.838424474636961</v>
      </c>
      <c r="P2152">
        <f>LN(dataset[[#This Row],[soda_ppu]])</f>
        <v>-0.23952703056473379</v>
      </c>
      <c r="Q2152">
        <f>IF(dataset[[#This Row],[state]]="VA",1,0)</f>
        <v>0</v>
      </c>
    </row>
    <row r="2153" spans="1:17" x14ac:dyDescent="0.35">
      <c r="A2153">
        <v>202404</v>
      </c>
      <c r="B2153">
        <v>32</v>
      </c>
      <c r="C2153" s="2">
        <v>2698023.8006000002</v>
      </c>
      <c r="D2153" s="2">
        <v>0.75070000000000003</v>
      </c>
      <c r="E2153" s="3">
        <v>222074</v>
      </c>
      <c r="F2153" s="2">
        <v>166711.8198</v>
      </c>
      <c r="G2153" t="s">
        <v>3833</v>
      </c>
      <c r="H2153" t="s">
        <v>8</v>
      </c>
      <c r="I2153" t="str">
        <f>HLOOKUP(G2153,zip_tiers!$A$1:$EON$2,2,FALSE)</f>
        <v/>
      </c>
      <c r="J2153" t="str">
        <f t="shared" si="33"/>
        <v>No Data</v>
      </c>
      <c r="K2153">
        <f>dataset[[#This Row],[soda_sales]]/dataset[[#This Row],[soda_units_sold]]</f>
        <v>0.75070390860704084</v>
      </c>
      <c r="L2153" s="29">
        <f>dataset[[#This Row],[implied_soda_ppu]]-dataset[[#This Row],[soda_ppu]]</f>
        <v>3.9086070408034246E-6</v>
      </c>
      <c r="M2153">
        <f>dataset[[#This Row],[soda_sales]]/dataset[[#This Row],[total_sales]]</f>
        <v>6.1790344385741068E-2</v>
      </c>
      <c r="N2153">
        <f>LN(dataset[[#This Row],[soda_units_sold]])</f>
        <v>12.310765938644536</v>
      </c>
      <c r="O2153">
        <f>LN(dataset[[#This Row],[soda_sales]])</f>
        <v>12.024021970844348</v>
      </c>
      <c r="P2153">
        <f>LN(dataset[[#This Row],[soda_ppu]])</f>
        <v>-0.28674917440318032</v>
      </c>
      <c r="Q2153">
        <f>IF(dataset[[#This Row],[state]]="VA",1,0)</f>
        <v>0</v>
      </c>
    </row>
    <row r="2154" spans="1:17" x14ac:dyDescent="0.35">
      <c r="A2154">
        <v>202405</v>
      </c>
      <c r="B2154">
        <v>32</v>
      </c>
      <c r="C2154" s="2">
        <v>2759648.2111</v>
      </c>
      <c r="D2154" s="2">
        <v>0.76119999999999999</v>
      </c>
      <c r="E2154" s="3">
        <v>240371</v>
      </c>
      <c r="F2154" s="2">
        <v>182966.26800000001</v>
      </c>
      <c r="G2154" t="s">
        <v>3833</v>
      </c>
      <c r="H2154" t="s">
        <v>8</v>
      </c>
      <c r="I2154" t="str">
        <f>HLOOKUP(G2154,zip_tiers!$A$1:$EON$2,2,FALSE)</f>
        <v/>
      </c>
      <c r="J2154" t="str">
        <f t="shared" si="33"/>
        <v>No Data</v>
      </c>
      <c r="K2154">
        <f>dataset[[#This Row],[soda_sales]]/dataset[[#This Row],[soda_units_sold]]</f>
        <v>0.7611827882731278</v>
      </c>
      <c r="L2154" s="29">
        <f>dataset[[#This Row],[implied_soda_ppu]]-dataset[[#This Row],[soda_ppu]]</f>
        <v>-1.7211726872190525E-5</v>
      </c>
      <c r="M2154">
        <f>dataset[[#This Row],[soda_sales]]/dataset[[#This Row],[total_sales]]</f>
        <v>6.6300576741652656E-2</v>
      </c>
      <c r="N2154">
        <f>LN(dataset[[#This Row],[soda_units_sold]])</f>
        <v>12.389938842086996</v>
      </c>
      <c r="O2154">
        <f>LN(dataset[[#This Row],[soda_sales]])</f>
        <v>12.117057086964236</v>
      </c>
      <c r="P2154">
        <f>LN(dataset[[#This Row],[soda_ppu]])</f>
        <v>-0.27285914356014263</v>
      </c>
      <c r="Q2154">
        <f>IF(dataset[[#This Row],[state]]="VA",1,0)</f>
        <v>0</v>
      </c>
    </row>
    <row r="2155" spans="1:17" x14ac:dyDescent="0.35">
      <c r="A2155">
        <v>202406</v>
      </c>
      <c r="B2155">
        <v>32</v>
      </c>
      <c r="C2155" s="2">
        <v>2688017.8045000001</v>
      </c>
      <c r="D2155" s="2">
        <v>0.77829999999999999</v>
      </c>
      <c r="E2155" s="3">
        <v>249730</v>
      </c>
      <c r="F2155" s="2">
        <v>194372.08559999999</v>
      </c>
      <c r="G2155" t="s">
        <v>3833</v>
      </c>
      <c r="H2155" t="s">
        <v>8</v>
      </c>
      <c r="I2155" t="str">
        <f>HLOOKUP(G2155,zip_tiers!$A$1:$EON$2,2,FALSE)</f>
        <v/>
      </c>
      <c r="J2155" t="str">
        <f t="shared" si="33"/>
        <v>No Data</v>
      </c>
      <c r="K2155">
        <f>dataset[[#This Row],[soda_sales]]/dataset[[#This Row],[soda_units_sold]]</f>
        <v>0.77832893765266487</v>
      </c>
      <c r="L2155" s="29">
        <f>dataset[[#This Row],[implied_soda_ppu]]-dataset[[#This Row],[soda_ppu]]</f>
        <v>2.8937652664873248E-5</v>
      </c>
      <c r="M2155">
        <f>dataset[[#This Row],[soda_sales]]/dataset[[#This Row],[total_sales]]</f>
        <v>7.2310564786662659E-2</v>
      </c>
      <c r="N2155">
        <f>LN(dataset[[#This Row],[soda_units_sold]])</f>
        <v>12.428135613224139</v>
      </c>
      <c r="O2155">
        <f>LN(dataset[[#This Row],[soda_sales]])</f>
        <v>12.177529568105479</v>
      </c>
      <c r="P2155">
        <f>LN(dataset[[#This Row],[soda_ppu]])</f>
        <v>-0.25064322501679459</v>
      </c>
      <c r="Q2155">
        <f>IF(dataset[[#This Row],[state]]="VA",1,0)</f>
        <v>0</v>
      </c>
    </row>
    <row r="2156" spans="1:17" x14ac:dyDescent="0.35">
      <c r="A2156">
        <v>202407</v>
      </c>
      <c r="B2156">
        <v>32</v>
      </c>
      <c r="C2156" s="2">
        <v>2535570.2395000001</v>
      </c>
      <c r="D2156" s="2">
        <v>0.76060000000000005</v>
      </c>
      <c r="E2156" s="3">
        <v>259289</v>
      </c>
      <c r="F2156" s="2">
        <v>197207.4448</v>
      </c>
      <c r="G2156" t="s">
        <v>3833</v>
      </c>
      <c r="H2156" t="s">
        <v>8</v>
      </c>
      <c r="I2156" t="str">
        <f>HLOOKUP(G2156,zip_tiers!$A$1:$EON$2,2,FALSE)</f>
        <v/>
      </c>
      <c r="J2156" t="str">
        <f t="shared" si="33"/>
        <v>No Data</v>
      </c>
      <c r="K2156">
        <f>dataset[[#This Row],[soda_sales]]/dataset[[#This Row],[soda_units_sold]]</f>
        <v>0.76057003883697338</v>
      </c>
      <c r="L2156" s="29">
        <f>dataset[[#This Row],[implied_soda_ppu]]-dataset[[#This Row],[soda_ppu]]</f>
        <v>-2.9961163026670512E-5</v>
      </c>
      <c r="M2156">
        <f>dataset[[#This Row],[soda_sales]]/dataset[[#This Row],[total_sales]]</f>
        <v>7.777636830083956E-2</v>
      </c>
      <c r="N2156">
        <f>LN(dataset[[#This Row],[soda_units_sold]])</f>
        <v>12.465698548721791</v>
      </c>
      <c r="O2156">
        <f>LN(dataset[[#This Row],[soda_sales]])</f>
        <v>12.19201147297356</v>
      </c>
      <c r="P2156">
        <f>LN(dataset[[#This Row],[soda_ppu]])</f>
        <v>-0.27364768348797769</v>
      </c>
      <c r="Q2156">
        <f>IF(dataset[[#This Row],[state]]="VA",1,0)</f>
        <v>0</v>
      </c>
    </row>
    <row r="2157" spans="1:17" x14ac:dyDescent="0.35">
      <c r="A2157">
        <v>202408</v>
      </c>
      <c r="B2157">
        <v>32</v>
      </c>
      <c r="C2157" s="2">
        <v>2397592.8868999998</v>
      </c>
      <c r="D2157" s="2">
        <v>0.76039999999999996</v>
      </c>
      <c r="E2157" s="3">
        <v>229754</v>
      </c>
      <c r="F2157" s="2">
        <v>174696.9338</v>
      </c>
      <c r="G2157" t="s">
        <v>3833</v>
      </c>
      <c r="H2157" t="s">
        <v>8</v>
      </c>
      <c r="I2157" t="str">
        <f>HLOOKUP(G2157,zip_tiers!$A$1:$EON$2,2,FALSE)</f>
        <v/>
      </c>
      <c r="J2157" t="str">
        <f t="shared" si="33"/>
        <v>No Data</v>
      </c>
      <c r="K2157">
        <f>dataset[[#This Row],[soda_sales]]/dataset[[#This Row],[soda_units_sold]]</f>
        <v>0.76036514619984852</v>
      </c>
      <c r="L2157" s="29">
        <f>dataset[[#This Row],[implied_soda_ppu]]-dataset[[#This Row],[soda_ppu]]</f>
        <v>-3.4853800151446457E-5</v>
      </c>
      <c r="M2157">
        <f>dataset[[#This Row],[soda_sales]]/dataset[[#This Row],[total_sales]]</f>
        <v>7.2863468503978068E-2</v>
      </c>
      <c r="N2157">
        <f>LN(dataset[[#This Row],[soda_units_sold]])</f>
        <v>12.344764450294887</v>
      </c>
      <c r="O2157">
        <f>LN(dataset[[#This Row],[soda_sales]])</f>
        <v>12.070807944737442</v>
      </c>
      <c r="P2157">
        <f>LN(dataset[[#This Row],[soda_ppu]])</f>
        <v>-0.27391066836786299</v>
      </c>
      <c r="Q2157">
        <f>IF(dataset[[#This Row],[state]]="VA",1,0)</f>
        <v>0</v>
      </c>
    </row>
    <row r="2158" spans="1:17" x14ac:dyDescent="0.35">
      <c r="A2158">
        <v>202409</v>
      </c>
      <c r="B2158">
        <v>32</v>
      </c>
      <c r="C2158" s="2">
        <v>2405285.7105</v>
      </c>
      <c r="D2158" s="2">
        <v>0.82089999999999996</v>
      </c>
      <c r="E2158" s="3">
        <v>201694</v>
      </c>
      <c r="F2158" s="2">
        <v>165577.78090000001</v>
      </c>
      <c r="G2158" t="s">
        <v>3833</v>
      </c>
      <c r="H2158" t="s">
        <v>8</v>
      </c>
      <c r="I2158" t="str">
        <f>HLOOKUP(G2158,zip_tiers!$A$1:$EON$2,2,FALSE)</f>
        <v/>
      </c>
      <c r="J2158" t="str">
        <f t="shared" si="33"/>
        <v>No Data</v>
      </c>
      <c r="K2158">
        <f>dataset[[#This Row],[soda_sales]]/dataset[[#This Row],[soda_units_sold]]</f>
        <v>0.82093558013624601</v>
      </c>
      <c r="L2158" s="29">
        <f>dataset[[#This Row],[implied_soda_ppu]]-dataset[[#This Row],[soda_ppu]]</f>
        <v>3.5580136246049499E-5</v>
      </c>
      <c r="M2158">
        <f>dataset[[#This Row],[soda_sales]]/dataset[[#This Row],[total_sales]]</f>
        <v>6.8839132156811603E-2</v>
      </c>
      <c r="N2158">
        <f>LN(dataset[[#This Row],[soda_units_sold]])</f>
        <v>12.214506976350616</v>
      </c>
      <c r="O2158">
        <f>LN(dataset[[#This Row],[soda_sales]])</f>
        <v>12.017196338622075</v>
      </c>
      <c r="P2158">
        <f>LN(dataset[[#This Row],[soda_ppu]])</f>
        <v>-0.19735397962791662</v>
      </c>
      <c r="Q2158">
        <f>IF(dataset[[#This Row],[state]]="VA",1,0)</f>
        <v>0</v>
      </c>
    </row>
    <row r="2159" spans="1:17" x14ac:dyDescent="0.35">
      <c r="A2159">
        <v>202410</v>
      </c>
      <c r="B2159">
        <v>32</v>
      </c>
      <c r="C2159" s="2">
        <v>2925308.3802999998</v>
      </c>
      <c r="D2159" s="2">
        <v>0.78469999999999995</v>
      </c>
      <c r="E2159" s="3">
        <v>201750</v>
      </c>
      <c r="F2159" s="2">
        <v>158316.42800000001</v>
      </c>
      <c r="G2159" t="s">
        <v>3833</v>
      </c>
      <c r="H2159" t="s">
        <v>8</v>
      </c>
      <c r="I2159" t="str">
        <f>HLOOKUP(G2159,zip_tiers!$A$1:$EON$2,2,FALSE)</f>
        <v/>
      </c>
      <c r="J2159" t="str">
        <f t="shared" si="33"/>
        <v>No Data</v>
      </c>
      <c r="K2159">
        <f>dataset[[#This Row],[soda_sales]]/dataset[[#This Row],[soda_units_sold]]</f>
        <v>0.78471587608426274</v>
      </c>
      <c r="L2159" s="29">
        <f>dataset[[#This Row],[implied_soda_ppu]]-dataset[[#This Row],[soda_ppu]]</f>
        <v>1.5876084262789192E-5</v>
      </c>
      <c r="M2159">
        <f>dataset[[#This Row],[soda_sales]]/dataset[[#This Row],[total_sales]]</f>
        <v>5.4119568749112237E-2</v>
      </c>
      <c r="N2159">
        <f>LN(dataset[[#This Row],[soda_units_sold]])</f>
        <v>12.214784586132195</v>
      </c>
      <c r="O2159">
        <f>LN(dataset[[#This Row],[soda_sales]])</f>
        <v>11.972351018121975</v>
      </c>
      <c r="P2159">
        <f>LN(dataset[[#This Row],[soda_ppu]])</f>
        <v>-0.24245379984870957</v>
      </c>
      <c r="Q2159">
        <f>IF(dataset[[#This Row],[state]]="VA",1,0)</f>
        <v>0</v>
      </c>
    </row>
    <row r="2160" spans="1:17" x14ac:dyDescent="0.35">
      <c r="A2160">
        <v>202411</v>
      </c>
      <c r="B2160">
        <v>32</v>
      </c>
      <c r="C2160" s="2">
        <v>3288317.8270999999</v>
      </c>
      <c r="D2160" s="2">
        <v>0.76919999999999999</v>
      </c>
      <c r="E2160" s="3">
        <v>195277</v>
      </c>
      <c r="F2160" s="2">
        <v>150209.57579999999</v>
      </c>
      <c r="G2160" t="s">
        <v>3833</v>
      </c>
      <c r="H2160" t="s">
        <v>8</v>
      </c>
      <c r="I2160" t="str">
        <f>HLOOKUP(G2160,zip_tiers!$A$1:$EON$2,2,FALSE)</f>
        <v/>
      </c>
      <c r="J2160" t="str">
        <f t="shared" si="33"/>
        <v>No Data</v>
      </c>
      <c r="K2160">
        <f>dataset[[#This Row],[soda_sales]]/dataset[[#This Row],[soda_units_sold]]</f>
        <v>0.76921284022183867</v>
      </c>
      <c r="L2160" s="29">
        <f>dataset[[#This Row],[implied_soda_ppu]]-dataset[[#This Row],[soda_ppu]]</f>
        <v>1.2840221838672505E-5</v>
      </c>
      <c r="M2160">
        <f>dataset[[#This Row],[soda_sales]]/dataset[[#This Row],[total_sales]]</f>
        <v>4.5679762023633615E-2</v>
      </c>
      <c r="N2160">
        <f>LN(dataset[[#This Row],[soda_units_sold]])</f>
        <v>12.182174342392507</v>
      </c>
      <c r="O2160">
        <f>LN(dataset[[#This Row],[soda_sales]])</f>
        <v>11.919786769941778</v>
      </c>
      <c r="P2160">
        <f>LN(dataset[[#This Row],[soda_ppu]])</f>
        <v>-0.26240426526751237</v>
      </c>
      <c r="Q2160">
        <f>IF(dataset[[#This Row],[state]]="VA",1,0)</f>
        <v>0</v>
      </c>
    </row>
    <row r="2161" spans="1:17" x14ac:dyDescent="0.35">
      <c r="A2161">
        <v>202412</v>
      </c>
      <c r="B2161">
        <v>32</v>
      </c>
      <c r="C2161" s="2">
        <v>3504929.8026999999</v>
      </c>
      <c r="D2161" s="2">
        <v>0.77529999999999999</v>
      </c>
      <c r="E2161" s="3">
        <v>190607</v>
      </c>
      <c r="F2161" s="2">
        <v>147770.9596</v>
      </c>
      <c r="G2161" t="s">
        <v>3833</v>
      </c>
      <c r="H2161" t="s">
        <v>8</v>
      </c>
      <c r="I2161" t="str">
        <f>HLOOKUP(G2161,zip_tiers!$A$1:$EON$2,2,FALSE)</f>
        <v/>
      </c>
      <c r="J2161" t="str">
        <f t="shared" si="33"/>
        <v>No Data</v>
      </c>
      <c r="K2161">
        <f>dataset[[#This Row],[soda_sales]]/dataset[[#This Row],[soda_units_sold]]</f>
        <v>0.77526512457569763</v>
      </c>
      <c r="L2161" s="29">
        <f>dataset[[#This Row],[implied_soda_ppu]]-dataset[[#This Row],[soda_ppu]]</f>
        <v>-3.4875424302360791E-5</v>
      </c>
      <c r="M2161">
        <f>dataset[[#This Row],[soda_sales]]/dataset[[#This Row],[total_sales]]</f>
        <v>4.2160889923149272E-2</v>
      </c>
      <c r="N2161">
        <f>LN(dataset[[#This Row],[soda_units_sold]])</f>
        <v>12.157968995655867</v>
      </c>
      <c r="O2161">
        <f>LN(dataset[[#This Row],[soda_sales]])</f>
        <v>11.903418783752212</v>
      </c>
      <c r="P2161">
        <f>LN(dataset[[#This Row],[soda_ppu]])</f>
        <v>-0.25450522775722373</v>
      </c>
      <c r="Q2161">
        <f>IF(dataset[[#This Row],[state]]="VA",1,0)</f>
        <v>0</v>
      </c>
    </row>
    <row r="2162" spans="1:17" x14ac:dyDescent="0.35">
      <c r="A2162">
        <v>202201</v>
      </c>
      <c r="B2162">
        <v>91</v>
      </c>
      <c r="C2162" s="2">
        <v>1964903.0534999999</v>
      </c>
      <c r="D2162" s="2">
        <v>0.71809999999999996</v>
      </c>
      <c r="E2162" s="3">
        <v>144953</v>
      </c>
      <c r="F2162" s="2">
        <v>104097.47440000001</v>
      </c>
      <c r="G2162" t="s">
        <v>3856</v>
      </c>
      <c r="H2162" t="s">
        <v>8</v>
      </c>
      <c r="I2162">
        <f>HLOOKUP(G2162,zip_tiers!$A$1:$EON$2,2,FALSE)</f>
        <v>75636.666666666672</v>
      </c>
      <c r="J2162" t="str">
        <f t="shared" si="33"/>
        <v>Med</v>
      </c>
      <c r="K2162">
        <f>dataset[[#This Row],[soda_sales]]/dataset[[#This Row],[soda_units_sold]]</f>
        <v>0.71814639503839184</v>
      </c>
      <c r="L2162" s="29">
        <f>dataset[[#This Row],[implied_soda_ppu]]-dataset[[#This Row],[soda_ppu]]</f>
        <v>4.6395038391877641E-5</v>
      </c>
      <c r="M2162">
        <f>dataset[[#This Row],[soda_sales]]/dataset[[#This Row],[total_sales]]</f>
        <v>5.2978427721701339E-2</v>
      </c>
      <c r="N2162">
        <f>LN(dataset[[#This Row],[soda_units_sold]])</f>
        <v>11.884164830927624</v>
      </c>
      <c r="O2162">
        <f>LN(dataset[[#This Row],[soda_sales]])</f>
        <v>11.553082993021526</v>
      </c>
      <c r="P2162">
        <f>LN(dataset[[#This Row],[soda_ppu]])</f>
        <v>-0.33114644386586528</v>
      </c>
      <c r="Q2162">
        <f>IF(dataset[[#This Row],[state]]="VA",1,0)</f>
        <v>0</v>
      </c>
    </row>
    <row r="2163" spans="1:17" x14ac:dyDescent="0.35">
      <c r="A2163">
        <v>202202</v>
      </c>
      <c r="B2163">
        <v>91</v>
      </c>
      <c r="C2163" s="2">
        <v>2288274.5087000001</v>
      </c>
      <c r="D2163" s="2">
        <v>0.73160000000000003</v>
      </c>
      <c r="E2163" s="3">
        <v>165681</v>
      </c>
      <c r="F2163" s="2">
        <v>121216.6781</v>
      </c>
      <c r="G2163" t="s">
        <v>3856</v>
      </c>
      <c r="H2163" t="s">
        <v>8</v>
      </c>
      <c r="I2163">
        <f>HLOOKUP(G2163,zip_tiers!$A$1:$EON$2,2,FALSE)</f>
        <v>75636.666666666672</v>
      </c>
      <c r="J2163" t="str">
        <f t="shared" si="33"/>
        <v>Med</v>
      </c>
      <c r="K2163">
        <f>dataset[[#This Row],[soda_sales]]/dataset[[#This Row],[soda_units_sold]]</f>
        <v>0.73162691014660708</v>
      </c>
      <c r="L2163" s="29">
        <f>dataset[[#This Row],[implied_soda_ppu]]-dataset[[#This Row],[soda_ppu]]</f>
        <v>2.6910146607050933E-5</v>
      </c>
      <c r="M2163">
        <f>dataset[[#This Row],[soda_sales]]/dataset[[#This Row],[total_sales]]</f>
        <v>5.2972961783708743E-2</v>
      </c>
      <c r="N2163">
        <f>LN(dataset[[#This Row],[soda_units_sold]])</f>
        <v>12.017819531782781</v>
      </c>
      <c r="O2163">
        <f>LN(dataset[[#This Row],[soda_sales]])</f>
        <v>11.705334951236036</v>
      </c>
      <c r="P2163">
        <f>LN(dataset[[#This Row],[soda_ppu]])</f>
        <v>-0.31252136246542639</v>
      </c>
      <c r="Q2163">
        <f>IF(dataset[[#This Row],[state]]="VA",1,0)</f>
        <v>0</v>
      </c>
    </row>
    <row r="2164" spans="1:17" x14ac:dyDescent="0.35">
      <c r="A2164">
        <v>202203</v>
      </c>
      <c r="B2164">
        <v>91</v>
      </c>
      <c r="C2164" s="2">
        <v>2543127.0144000002</v>
      </c>
      <c r="D2164" s="2">
        <v>0.7399</v>
      </c>
      <c r="E2164" s="3">
        <v>194011</v>
      </c>
      <c r="F2164" s="2">
        <v>143557.8383</v>
      </c>
      <c r="G2164" t="s">
        <v>3856</v>
      </c>
      <c r="H2164" t="s">
        <v>8</v>
      </c>
      <c r="I2164">
        <f>HLOOKUP(G2164,zip_tiers!$A$1:$EON$2,2,FALSE)</f>
        <v>75636.666666666672</v>
      </c>
      <c r="J2164" t="str">
        <f t="shared" si="33"/>
        <v>Med</v>
      </c>
      <c r="K2164">
        <f>dataset[[#This Row],[soda_sales]]/dataset[[#This Row],[soda_units_sold]]</f>
        <v>0.73994690146434994</v>
      </c>
      <c r="L2164" s="29">
        <f>dataset[[#This Row],[implied_soda_ppu]]-dataset[[#This Row],[soda_ppu]]</f>
        <v>4.6901464349935473E-5</v>
      </c>
      <c r="M2164">
        <f>dataset[[#This Row],[soda_sales]]/dataset[[#This Row],[total_sales]]</f>
        <v>5.6449338742079934E-2</v>
      </c>
      <c r="N2164">
        <f>LN(dataset[[#This Row],[soda_units_sold]])</f>
        <v>12.17567013746895</v>
      </c>
      <c r="O2164">
        <f>LN(dataset[[#This Row],[soda_sales]])</f>
        <v>11.874493287332626</v>
      </c>
      <c r="P2164">
        <f>LN(dataset[[#This Row],[soda_ppu]])</f>
        <v>-0.3012402370506318</v>
      </c>
      <c r="Q2164">
        <f>IF(dataset[[#This Row],[state]]="VA",1,0)</f>
        <v>0</v>
      </c>
    </row>
    <row r="2165" spans="1:17" x14ac:dyDescent="0.35">
      <c r="A2165">
        <v>202204</v>
      </c>
      <c r="B2165">
        <v>91</v>
      </c>
      <c r="C2165" s="2">
        <v>2644970.2702000001</v>
      </c>
      <c r="D2165" s="2">
        <v>0.77290000000000003</v>
      </c>
      <c r="E2165" s="3">
        <v>209683</v>
      </c>
      <c r="F2165" s="2">
        <v>162066.95439999999</v>
      </c>
      <c r="G2165" t="s">
        <v>3856</v>
      </c>
      <c r="H2165" t="s">
        <v>8</v>
      </c>
      <c r="I2165">
        <f>HLOOKUP(G2165,zip_tiers!$A$1:$EON$2,2,FALSE)</f>
        <v>75636.666666666672</v>
      </c>
      <c r="J2165" t="str">
        <f t="shared" si="33"/>
        <v>Med</v>
      </c>
      <c r="K2165">
        <f>dataset[[#This Row],[soda_sales]]/dataset[[#This Row],[soda_units_sold]]</f>
        <v>0.77291413419304378</v>
      </c>
      <c r="L2165" s="29">
        <f>dataset[[#This Row],[implied_soda_ppu]]-dataset[[#This Row],[soda_ppu]]</f>
        <v>1.4134193043746635E-5</v>
      </c>
      <c r="M2165">
        <f>dataset[[#This Row],[soda_sales]]/dataset[[#This Row],[total_sales]]</f>
        <v>6.1273639339524691E-2</v>
      </c>
      <c r="N2165">
        <f>LN(dataset[[#This Row],[soda_units_sold]])</f>
        <v>12.253352145411151</v>
      </c>
      <c r="O2165">
        <f>LN(dataset[[#This Row],[soda_sales]])</f>
        <v>11.995764827595544</v>
      </c>
      <c r="P2165">
        <f>LN(dataset[[#This Row],[soda_ppu]])</f>
        <v>-0.25760560486931172</v>
      </c>
      <c r="Q2165">
        <f>IF(dataset[[#This Row],[state]]="VA",1,0)</f>
        <v>0</v>
      </c>
    </row>
    <row r="2166" spans="1:17" x14ac:dyDescent="0.35">
      <c r="A2166">
        <v>202205</v>
      </c>
      <c r="B2166">
        <v>91</v>
      </c>
      <c r="C2166" s="2">
        <v>2780034.7932000002</v>
      </c>
      <c r="D2166" s="2">
        <v>0.72609999999999997</v>
      </c>
      <c r="E2166" s="3">
        <v>248591</v>
      </c>
      <c r="F2166" s="2">
        <v>180512.56630000001</v>
      </c>
      <c r="G2166" t="s">
        <v>3856</v>
      </c>
      <c r="H2166" t="s">
        <v>8</v>
      </c>
      <c r="I2166">
        <f>HLOOKUP(G2166,zip_tiers!$A$1:$EON$2,2,FALSE)</f>
        <v>75636.666666666672</v>
      </c>
      <c r="J2166" t="str">
        <f t="shared" si="33"/>
        <v>Med</v>
      </c>
      <c r="K2166">
        <f>dataset[[#This Row],[soda_sales]]/dataset[[#This Row],[soda_units_sold]]</f>
        <v>0.72614280605492554</v>
      </c>
      <c r="L2166" s="29">
        <f>dataset[[#This Row],[implied_soda_ppu]]-dataset[[#This Row],[soda_ppu]]</f>
        <v>4.2806054925570436E-5</v>
      </c>
      <c r="M2166">
        <f>dataset[[#This Row],[soda_sales]]/dataset[[#This Row],[total_sales]]</f>
        <v>6.4931765149679424E-2</v>
      </c>
      <c r="N2166">
        <f>LN(dataset[[#This Row],[soda_units_sold]])</f>
        <v>12.423564254668095</v>
      </c>
      <c r="O2166">
        <f>LN(dataset[[#This Row],[soda_sales]])</f>
        <v>12.103555673722337</v>
      </c>
      <c r="P2166">
        <f>LN(dataset[[#This Row],[soda_ppu]])</f>
        <v>-0.32006753259593601</v>
      </c>
      <c r="Q2166">
        <f>IF(dataset[[#This Row],[state]]="VA",1,0)</f>
        <v>0</v>
      </c>
    </row>
    <row r="2167" spans="1:17" x14ac:dyDescent="0.35">
      <c r="A2167">
        <v>202206</v>
      </c>
      <c r="B2167">
        <v>91</v>
      </c>
      <c r="C2167" s="2">
        <v>2684322.0175000001</v>
      </c>
      <c r="D2167" s="2">
        <v>0.72760000000000002</v>
      </c>
      <c r="E2167" s="3">
        <v>259522</v>
      </c>
      <c r="F2167" s="2">
        <v>188825.85370000001</v>
      </c>
      <c r="G2167" t="s">
        <v>3856</v>
      </c>
      <c r="H2167" t="s">
        <v>8</v>
      </c>
      <c r="I2167">
        <f>HLOOKUP(G2167,zip_tiers!$A$1:$EON$2,2,FALSE)</f>
        <v>75636.666666666672</v>
      </c>
      <c r="J2167" t="str">
        <f t="shared" si="33"/>
        <v>Med</v>
      </c>
      <c r="K2167">
        <f>dataset[[#This Row],[soda_sales]]/dataset[[#This Row],[soda_units_sold]]</f>
        <v>0.72759093140465936</v>
      </c>
      <c r="L2167" s="29">
        <f>dataset[[#This Row],[implied_soda_ppu]]-dataset[[#This Row],[soda_ppu]]</f>
        <v>-9.0685953406666187E-6</v>
      </c>
      <c r="M2167">
        <f>dataset[[#This Row],[soda_sales]]/dataset[[#This Row],[total_sales]]</f>
        <v>7.0343964870451692E-2</v>
      </c>
      <c r="N2167">
        <f>LN(dataset[[#This Row],[soda_units_sold]])</f>
        <v>12.466596756414631</v>
      </c>
      <c r="O2167">
        <f>LN(dataset[[#This Row],[soda_sales]])</f>
        <v>12.148580460288866</v>
      </c>
      <c r="P2167">
        <f>LN(dataset[[#This Row],[soda_ppu]])</f>
        <v>-0.31800383233816981</v>
      </c>
      <c r="Q2167">
        <f>IF(dataset[[#This Row],[state]]="VA",1,0)</f>
        <v>0</v>
      </c>
    </row>
    <row r="2168" spans="1:17" x14ac:dyDescent="0.35">
      <c r="A2168">
        <v>202207</v>
      </c>
      <c r="B2168">
        <v>91</v>
      </c>
      <c r="C2168" s="2">
        <v>2532885.8128</v>
      </c>
      <c r="D2168" s="2">
        <v>0.77149999999999996</v>
      </c>
      <c r="E2168" s="3">
        <v>252931</v>
      </c>
      <c r="F2168" s="2">
        <v>195137.68530000001</v>
      </c>
      <c r="G2168" t="s">
        <v>3856</v>
      </c>
      <c r="H2168" t="s">
        <v>8</v>
      </c>
      <c r="I2168">
        <f>HLOOKUP(G2168,zip_tiers!$A$1:$EON$2,2,FALSE)</f>
        <v>75636.666666666672</v>
      </c>
      <c r="J2168" t="str">
        <f t="shared" si="33"/>
        <v>Med</v>
      </c>
      <c r="K2168">
        <f>dataset[[#This Row],[soda_sales]]/dataset[[#This Row],[soda_units_sold]]</f>
        <v>0.77150560943498425</v>
      </c>
      <c r="L2168" s="29">
        <f>dataset[[#This Row],[implied_soda_ppu]]-dataset[[#This Row],[soda_ppu]]</f>
        <v>5.6094349842883418E-6</v>
      </c>
      <c r="M2168">
        <f>dataset[[#This Row],[soda_sales]]/dataset[[#This Row],[total_sales]]</f>
        <v>7.7041643296301393E-2</v>
      </c>
      <c r="N2168">
        <f>LN(dataset[[#This Row],[soda_units_sold]])</f>
        <v>12.440872003240084</v>
      </c>
      <c r="O2168">
        <f>LN(dataset[[#This Row],[soda_sales]])</f>
        <v>12.181460666851301</v>
      </c>
      <c r="P2168">
        <f>LN(dataset[[#This Row],[soda_ppu]])</f>
        <v>-0.25941860717892157</v>
      </c>
      <c r="Q2168">
        <f>IF(dataset[[#This Row],[state]]="VA",1,0)</f>
        <v>0</v>
      </c>
    </row>
    <row r="2169" spans="1:17" x14ac:dyDescent="0.35">
      <c r="A2169">
        <v>202208</v>
      </c>
      <c r="B2169">
        <v>91</v>
      </c>
      <c r="C2169" s="2">
        <v>2417708.6864999998</v>
      </c>
      <c r="D2169" s="2">
        <v>0.7863</v>
      </c>
      <c r="E2169" s="3">
        <v>217216</v>
      </c>
      <c r="F2169" s="2">
        <v>170788.88130000001</v>
      </c>
      <c r="G2169" t="s">
        <v>3856</v>
      </c>
      <c r="H2169" t="s">
        <v>8</v>
      </c>
      <c r="I2169">
        <f>HLOOKUP(G2169,zip_tiers!$A$1:$EON$2,2,FALSE)</f>
        <v>75636.666666666672</v>
      </c>
      <c r="J2169" t="str">
        <f t="shared" si="33"/>
        <v>Med</v>
      </c>
      <c r="K2169">
        <f>dataset[[#This Row],[soda_sales]]/dataset[[#This Row],[soda_units_sold]]</f>
        <v>0.78626289637964053</v>
      </c>
      <c r="L2169" s="29">
        <f>dataset[[#This Row],[implied_soda_ppu]]-dataset[[#This Row],[soda_ppu]]</f>
        <v>-3.7103620359468792E-5</v>
      </c>
      <c r="M2169">
        <f>dataset[[#This Row],[soda_sales]]/dataset[[#This Row],[total_sales]]</f>
        <v>7.0640802282611978E-2</v>
      </c>
      <c r="N2169">
        <f>LN(dataset[[#This Row],[soda_units_sold]])</f>
        <v>12.288647529153844</v>
      </c>
      <c r="O2169">
        <f>LN(dataset[[#This Row],[soda_sales]])</f>
        <v>12.048183460442479</v>
      </c>
      <c r="P2169">
        <f>LN(dataset[[#This Row],[soda_ppu]])</f>
        <v>-0.24041687998466671</v>
      </c>
      <c r="Q2169">
        <f>IF(dataset[[#This Row],[state]]="VA",1,0)</f>
        <v>0</v>
      </c>
    </row>
    <row r="2170" spans="1:17" x14ac:dyDescent="0.35">
      <c r="A2170">
        <v>202209</v>
      </c>
      <c r="B2170">
        <v>91</v>
      </c>
      <c r="C2170" s="2">
        <v>2431138.3240999999</v>
      </c>
      <c r="D2170" s="2">
        <v>0.73460000000000003</v>
      </c>
      <c r="E2170" s="3">
        <v>227607</v>
      </c>
      <c r="F2170" s="2">
        <v>167194.40960000001</v>
      </c>
      <c r="G2170" t="s">
        <v>3856</v>
      </c>
      <c r="H2170" t="s">
        <v>8</v>
      </c>
      <c r="I2170">
        <f>HLOOKUP(G2170,zip_tiers!$A$1:$EON$2,2,FALSE)</f>
        <v>75636.666666666672</v>
      </c>
      <c r="J2170" t="str">
        <f t="shared" si="33"/>
        <v>Med</v>
      </c>
      <c r="K2170">
        <f>dataset[[#This Row],[soda_sales]]/dataset[[#This Row],[soda_units_sold]]</f>
        <v>0.73457498934567045</v>
      </c>
      <c r="L2170" s="29">
        <f>dataset[[#This Row],[implied_soda_ppu]]-dataset[[#This Row],[soda_ppu]]</f>
        <v>-2.5010654329582493E-5</v>
      </c>
      <c r="M2170">
        <f>dataset[[#This Row],[soda_sales]]/dataset[[#This Row],[total_sales]]</f>
        <v>6.8772067776890017E-2</v>
      </c>
      <c r="N2170">
        <f>LN(dataset[[#This Row],[soda_units_sold]])</f>
        <v>12.335375736473141</v>
      </c>
      <c r="O2170">
        <f>LN(dataset[[#This Row],[soda_sales]])</f>
        <v>12.026912543667065</v>
      </c>
      <c r="P2170">
        <f>LN(dataset[[#This Row],[soda_ppu]])</f>
        <v>-0.30842914559657009</v>
      </c>
      <c r="Q2170">
        <f>IF(dataset[[#This Row],[state]]="VA",1,0)</f>
        <v>0</v>
      </c>
    </row>
    <row r="2171" spans="1:17" x14ac:dyDescent="0.35">
      <c r="A2171">
        <v>202210</v>
      </c>
      <c r="B2171">
        <v>91</v>
      </c>
      <c r="C2171" s="2">
        <v>2961535.3065999998</v>
      </c>
      <c r="D2171" s="2">
        <v>0.74099999999999999</v>
      </c>
      <c r="E2171" s="3">
        <v>214427</v>
      </c>
      <c r="F2171" s="2">
        <v>158887.66149999999</v>
      </c>
      <c r="G2171" t="s">
        <v>3856</v>
      </c>
      <c r="H2171" t="s">
        <v>8</v>
      </c>
      <c r="I2171">
        <f>HLOOKUP(G2171,zip_tiers!$A$1:$EON$2,2,FALSE)</f>
        <v>75636.666666666672</v>
      </c>
      <c r="J2171" t="str">
        <f t="shared" si="33"/>
        <v>Med</v>
      </c>
      <c r="K2171">
        <f>dataset[[#This Row],[soda_sales]]/dataset[[#This Row],[soda_units_sold]]</f>
        <v>0.7409871961086989</v>
      </c>
      <c r="L2171" s="29">
        <f>dataset[[#This Row],[implied_soda_ppu]]-dataset[[#This Row],[soda_ppu]]</f>
        <v>-1.2803891301094161E-5</v>
      </c>
      <c r="M2171">
        <f>dataset[[#This Row],[soda_sales]]/dataset[[#This Row],[total_sales]]</f>
        <v>5.3650436361811091E-2</v>
      </c>
      <c r="N2171">
        <f>LN(dataset[[#This Row],[soda_units_sold]])</f>
        <v>12.275724633085732</v>
      </c>
      <c r="O2171">
        <f>LN(dataset[[#This Row],[soda_sales]])</f>
        <v>11.975952700044859</v>
      </c>
      <c r="P2171">
        <f>LN(dataset[[#This Row],[soda_ppu]])</f>
        <v>-0.2997546536860502</v>
      </c>
      <c r="Q2171">
        <f>IF(dataset[[#This Row],[state]]="VA",1,0)</f>
        <v>0</v>
      </c>
    </row>
    <row r="2172" spans="1:17" x14ac:dyDescent="0.35">
      <c r="A2172">
        <v>202211</v>
      </c>
      <c r="B2172">
        <v>91</v>
      </c>
      <c r="C2172" s="2">
        <v>3310856.6449000002</v>
      </c>
      <c r="D2172" s="2">
        <v>0.75029999999999997</v>
      </c>
      <c r="E2172" s="3">
        <v>195629</v>
      </c>
      <c r="F2172" s="2">
        <v>146781.16219999999</v>
      </c>
      <c r="G2172" t="s">
        <v>3856</v>
      </c>
      <c r="H2172" t="s">
        <v>8</v>
      </c>
      <c r="I2172">
        <f>HLOOKUP(G2172,zip_tiers!$A$1:$EON$2,2,FALSE)</f>
        <v>75636.666666666672</v>
      </c>
      <c r="J2172" t="str">
        <f t="shared" si="33"/>
        <v>Med</v>
      </c>
      <c r="K2172">
        <f>dataset[[#This Row],[soda_sales]]/dataset[[#This Row],[soda_units_sold]]</f>
        <v>0.75030369832693511</v>
      </c>
      <c r="L2172" s="29">
        <f>dataset[[#This Row],[implied_soda_ppu]]-dataset[[#This Row],[soda_ppu]]</f>
        <v>3.6983269351420489E-6</v>
      </c>
      <c r="M2172">
        <f>dataset[[#This Row],[soda_sales]]/dataset[[#This Row],[total_sales]]</f>
        <v>4.4333288312588148E-2</v>
      </c>
      <c r="N2172">
        <f>LN(dataset[[#This Row],[soda_units_sold]])</f>
        <v>12.183975287351856</v>
      </c>
      <c r="O2172">
        <f>LN(dataset[[#This Row],[soda_sales]])</f>
        <v>11.896698064040182</v>
      </c>
      <c r="P2172">
        <f>LN(dataset[[#This Row],[soda_ppu]])</f>
        <v>-0.28728215243045402</v>
      </c>
      <c r="Q2172">
        <f>IF(dataset[[#This Row],[state]]="VA",1,0)</f>
        <v>0</v>
      </c>
    </row>
    <row r="2173" spans="1:17" x14ac:dyDescent="0.35">
      <c r="A2173">
        <v>202212</v>
      </c>
      <c r="B2173">
        <v>91</v>
      </c>
      <c r="C2173" s="2">
        <v>3463341.2851999998</v>
      </c>
      <c r="D2173" s="2">
        <v>0.72540000000000004</v>
      </c>
      <c r="E2173" s="3">
        <v>198468</v>
      </c>
      <c r="F2173" s="2">
        <v>143971.99119999999</v>
      </c>
      <c r="G2173" t="s">
        <v>3856</v>
      </c>
      <c r="H2173" t="s">
        <v>8</v>
      </c>
      <c r="I2173">
        <f>HLOOKUP(G2173,zip_tiers!$A$1:$EON$2,2,FALSE)</f>
        <v>75636.666666666672</v>
      </c>
      <c r="J2173" t="str">
        <f t="shared" si="33"/>
        <v>Med</v>
      </c>
      <c r="K2173">
        <f>dataset[[#This Row],[soda_sales]]/dataset[[#This Row],[soda_units_sold]]</f>
        <v>0.72541664752000312</v>
      </c>
      <c r="L2173" s="29">
        <f>dataset[[#This Row],[implied_soda_ppu]]-dataset[[#This Row],[soda_ppu]]</f>
        <v>1.6647520003076899E-5</v>
      </c>
      <c r="M2173">
        <f>dataset[[#This Row],[soda_sales]]/dataset[[#This Row],[total_sales]]</f>
        <v>4.1570258124788283E-2</v>
      </c>
      <c r="N2173">
        <f>LN(dataset[[#This Row],[soda_units_sold]])</f>
        <v>12.198383157045793</v>
      </c>
      <c r="O2173">
        <f>LN(dataset[[#This Row],[soda_sales]])</f>
        <v>11.877374054083923</v>
      </c>
      <c r="P2173">
        <f>LN(dataset[[#This Row],[soda_ppu]])</f>
        <v>-0.32103205213333502</v>
      </c>
      <c r="Q2173">
        <f>IF(dataset[[#This Row],[state]]="VA",1,0)</f>
        <v>0</v>
      </c>
    </row>
    <row r="2174" spans="1:17" x14ac:dyDescent="0.35">
      <c r="A2174">
        <v>202301</v>
      </c>
      <c r="B2174">
        <v>91</v>
      </c>
      <c r="C2174" s="2">
        <v>2016279.7578</v>
      </c>
      <c r="D2174" s="2">
        <v>0.74309999999999998</v>
      </c>
      <c r="E2174" s="3">
        <v>147617</v>
      </c>
      <c r="F2174" s="2">
        <v>109696.7257</v>
      </c>
      <c r="G2174" t="s">
        <v>3856</v>
      </c>
      <c r="H2174" t="s">
        <v>8</v>
      </c>
      <c r="I2174">
        <f>HLOOKUP(G2174,zip_tiers!$A$1:$EON$2,2,FALSE)</f>
        <v>75636.666666666672</v>
      </c>
      <c r="J2174" t="str">
        <f t="shared" si="33"/>
        <v>Med</v>
      </c>
      <c r="K2174">
        <f>dataset[[#This Row],[soda_sales]]/dataset[[#This Row],[soda_units_sold]]</f>
        <v>0.74311715927027366</v>
      </c>
      <c r="L2174" s="29">
        <f>dataset[[#This Row],[implied_soda_ppu]]-dataset[[#This Row],[soda_ppu]]</f>
        <v>1.7159270273681138E-5</v>
      </c>
      <c r="M2174">
        <f>dataset[[#This Row],[soda_sales]]/dataset[[#This Row],[total_sales]]</f>
        <v>5.4405508598515173E-2</v>
      </c>
      <c r="N2174">
        <f>LN(dataset[[#This Row],[soda_units_sold]])</f>
        <v>11.902376360668008</v>
      </c>
      <c r="O2174">
        <f>LN(dataset[[#This Row],[soda_sales]])</f>
        <v>11.605474798051231</v>
      </c>
      <c r="P2174">
        <f>LN(dataset[[#This Row],[soda_ppu]])</f>
        <v>-0.29692465381871352</v>
      </c>
      <c r="Q2174">
        <f>IF(dataset[[#This Row],[state]]="VA",1,0)</f>
        <v>0</v>
      </c>
    </row>
    <row r="2175" spans="1:17" x14ac:dyDescent="0.35">
      <c r="A2175">
        <v>202302</v>
      </c>
      <c r="B2175">
        <v>91</v>
      </c>
      <c r="C2175" s="2">
        <v>2289945.6439999999</v>
      </c>
      <c r="D2175" s="2">
        <v>0.75939999999999996</v>
      </c>
      <c r="E2175" s="3">
        <v>161418</v>
      </c>
      <c r="F2175" s="2">
        <v>122588.24860000001</v>
      </c>
      <c r="G2175" t="s">
        <v>3856</v>
      </c>
      <c r="H2175" t="s">
        <v>8</v>
      </c>
      <c r="I2175">
        <f>HLOOKUP(G2175,zip_tiers!$A$1:$EON$2,2,FALSE)</f>
        <v>75636.666666666672</v>
      </c>
      <c r="J2175" t="str">
        <f t="shared" si="33"/>
        <v>Med</v>
      </c>
      <c r="K2175">
        <f>dataset[[#This Row],[soda_sales]]/dataset[[#This Row],[soda_units_sold]]</f>
        <v>0.75944596389498076</v>
      </c>
      <c r="L2175" s="29">
        <f>dataset[[#This Row],[implied_soda_ppu]]-dataset[[#This Row],[soda_ppu]]</f>
        <v>4.5963894980793896E-5</v>
      </c>
      <c r="M2175">
        <f>dataset[[#This Row],[soda_sales]]/dataset[[#This Row],[total_sales]]</f>
        <v>5.3533256966688078E-2</v>
      </c>
      <c r="N2175">
        <f>LN(dataset[[#This Row],[soda_units_sold]])</f>
        <v>11.991752552763197</v>
      </c>
      <c r="O2175">
        <f>LN(dataset[[#This Row],[soda_sales]])</f>
        <v>11.71658644634044</v>
      </c>
      <c r="P2175">
        <f>LN(dataset[[#This Row],[soda_ppu]])</f>
        <v>-0.27522663118443513</v>
      </c>
      <c r="Q2175">
        <f>IF(dataset[[#This Row],[state]]="VA",1,0)</f>
        <v>0</v>
      </c>
    </row>
    <row r="2176" spans="1:17" x14ac:dyDescent="0.35">
      <c r="A2176">
        <v>202303</v>
      </c>
      <c r="B2176">
        <v>91</v>
      </c>
      <c r="C2176" s="2">
        <v>2520542.0821000002</v>
      </c>
      <c r="D2176" s="2">
        <v>0.74629999999999996</v>
      </c>
      <c r="E2176" s="3">
        <v>186922</v>
      </c>
      <c r="F2176" s="2">
        <v>139507.72510000001</v>
      </c>
      <c r="G2176" t="s">
        <v>3856</v>
      </c>
      <c r="H2176" t="s">
        <v>8</v>
      </c>
      <c r="I2176">
        <f>HLOOKUP(G2176,zip_tiers!$A$1:$EON$2,2,FALSE)</f>
        <v>75636.666666666672</v>
      </c>
      <c r="J2176" t="str">
        <f t="shared" si="33"/>
        <v>Med</v>
      </c>
      <c r="K2176">
        <f>dataset[[#This Row],[soda_sales]]/dataset[[#This Row],[soda_units_sold]]</f>
        <v>0.74634192390408838</v>
      </c>
      <c r="L2176" s="29">
        <f>dataset[[#This Row],[implied_soda_ppu]]-dataset[[#This Row],[soda_ppu]]</f>
        <v>4.192390408841451E-5</v>
      </c>
      <c r="M2176">
        <f>dataset[[#This Row],[soda_sales]]/dataset[[#This Row],[total_sales]]</f>
        <v>5.534830229208812E-2</v>
      </c>
      <c r="N2176">
        <f>LN(dataset[[#This Row],[soda_units_sold]])</f>
        <v>12.138446696521726</v>
      </c>
      <c r="O2176">
        <f>LN(dataset[[#This Row],[soda_sales]])</f>
        <v>11.845875255771237</v>
      </c>
      <c r="P2176">
        <f>LN(dataset[[#This Row],[soda_ppu]])</f>
        <v>-0.29262761484479538</v>
      </c>
      <c r="Q2176">
        <f>IF(dataset[[#This Row],[state]]="VA",1,0)</f>
        <v>0</v>
      </c>
    </row>
    <row r="2177" spans="1:17" x14ac:dyDescent="0.35">
      <c r="A2177">
        <v>202304</v>
      </c>
      <c r="B2177">
        <v>91</v>
      </c>
      <c r="C2177" s="2">
        <v>2686168.7511</v>
      </c>
      <c r="D2177" s="2">
        <v>0.73719999999999997</v>
      </c>
      <c r="E2177" s="3">
        <v>222727</v>
      </c>
      <c r="F2177" s="2">
        <v>164195.65539999999</v>
      </c>
      <c r="G2177" t="s">
        <v>3856</v>
      </c>
      <c r="H2177" t="s">
        <v>8</v>
      </c>
      <c r="I2177">
        <f>HLOOKUP(G2177,zip_tiers!$A$1:$EON$2,2,FALSE)</f>
        <v>75636.666666666672</v>
      </c>
      <c r="J2177" t="str">
        <f t="shared" si="33"/>
        <v>Med</v>
      </c>
      <c r="K2177">
        <f>dataset[[#This Row],[soda_sales]]/dataset[[#This Row],[soda_units_sold]]</f>
        <v>0.73720588612965643</v>
      </c>
      <c r="L2177" s="29">
        <f>dataset[[#This Row],[implied_soda_ppu]]-dataset[[#This Row],[soda_ppu]]</f>
        <v>5.8861296564627352E-6</v>
      </c>
      <c r="M2177">
        <f>dataset[[#This Row],[soda_sales]]/dataset[[#This Row],[total_sales]]</f>
        <v>6.1126336658023077E-2</v>
      </c>
      <c r="N2177">
        <f>LN(dataset[[#This Row],[soda_units_sold]])</f>
        <v>12.313702085231993</v>
      </c>
      <c r="O2177">
        <f>LN(dataset[[#This Row],[soda_sales]])</f>
        <v>12.008814016454313</v>
      </c>
      <c r="P2177">
        <f>LN(dataset[[#This Row],[soda_ppu]])</f>
        <v>-0.3048960531864689</v>
      </c>
      <c r="Q2177">
        <f>IF(dataset[[#This Row],[state]]="VA",1,0)</f>
        <v>0</v>
      </c>
    </row>
    <row r="2178" spans="1:17" x14ac:dyDescent="0.35">
      <c r="A2178">
        <v>202305</v>
      </c>
      <c r="B2178">
        <v>91</v>
      </c>
      <c r="C2178" s="2">
        <v>2820299.3476999998</v>
      </c>
      <c r="D2178" s="2">
        <v>0.7409</v>
      </c>
      <c r="E2178" s="3">
        <v>241296</v>
      </c>
      <c r="F2178" s="2">
        <v>178764.2297</v>
      </c>
      <c r="G2178" t="s">
        <v>3856</v>
      </c>
      <c r="H2178" t="s">
        <v>8</v>
      </c>
      <c r="I2178">
        <f>HLOOKUP(G2178,zip_tiers!$A$1:$EON$2,2,FALSE)</f>
        <v>75636.666666666672</v>
      </c>
      <c r="J2178" t="str">
        <f t="shared" ref="J2178:J2241" si="34">IF(I2178="","No Data",IF(I2178&gt;=100000,"High",IF(I2178&gt;=40000,"Med","Low")))</f>
        <v>Med</v>
      </c>
      <c r="K2178">
        <f>dataset[[#This Row],[soda_sales]]/dataset[[#This Row],[soda_units_sold]]</f>
        <v>0.74085036511172997</v>
      </c>
      <c r="L2178" s="29">
        <f>dataset[[#This Row],[implied_soda_ppu]]-dataset[[#This Row],[soda_ppu]]</f>
        <v>-4.9634888270033706E-5</v>
      </c>
      <c r="M2178">
        <f>dataset[[#This Row],[soda_sales]]/dataset[[#This Row],[total_sales]]</f>
        <v>6.3384842408939726E-2</v>
      </c>
      <c r="N2178">
        <f>LN(dataset[[#This Row],[soda_units_sold]])</f>
        <v>12.393779674600466</v>
      </c>
      <c r="O2178">
        <f>LN(dataset[[#This Row],[soda_sales]])</f>
        <v>12.093823064101095</v>
      </c>
      <c r="P2178">
        <f>LN(dataset[[#This Row],[soda_ppu]])</f>
        <v>-0.29988961555952581</v>
      </c>
      <c r="Q2178">
        <f>IF(dataset[[#This Row],[state]]="VA",1,0)</f>
        <v>0</v>
      </c>
    </row>
    <row r="2179" spans="1:17" x14ac:dyDescent="0.35">
      <c r="A2179">
        <v>202306</v>
      </c>
      <c r="B2179">
        <v>91</v>
      </c>
      <c r="C2179" s="2">
        <v>2686515.4539000001</v>
      </c>
      <c r="D2179" s="2">
        <v>0.74229999999999996</v>
      </c>
      <c r="E2179" s="3">
        <v>261313</v>
      </c>
      <c r="F2179" s="2">
        <v>193978.78950000001</v>
      </c>
      <c r="G2179" t="s">
        <v>3856</v>
      </c>
      <c r="H2179" t="s">
        <v>8</v>
      </c>
      <c r="I2179">
        <f>HLOOKUP(G2179,zip_tiers!$A$1:$EON$2,2,FALSE)</f>
        <v>75636.666666666672</v>
      </c>
      <c r="J2179" t="str">
        <f t="shared" si="34"/>
        <v>Med</v>
      </c>
      <c r="K2179">
        <f>dataset[[#This Row],[soda_sales]]/dataset[[#This Row],[soda_units_sold]]</f>
        <v>0.74232353346370072</v>
      </c>
      <c r="L2179" s="29">
        <f>dataset[[#This Row],[implied_soda_ppu]]-dataset[[#This Row],[soda_ppu]]</f>
        <v>2.3533463700764479E-5</v>
      </c>
      <c r="M2179">
        <f>dataset[[#This Row],[soda_sales]]/dataset[[#This Row],[total_sales]]</f>
        <v>7.2204605865342053E-2</v>
      </c>
      <c r="N2179">
        <f>LN(dataset[[#This Row],[soda_units_sold]])</f>
        <v>12.473474201514932</v>
      </c>
      <c r="O2179">
        <f>LN(dataset[[#This Row],[soda_sales]])</f>
        <v>12.175504099594008</v>
      </c>
      <c r="P2179">
        <f>LN(dataset[[#This Row],[soda_ppu]])</f>
        <v>-0.29800180485863581</v>
      </c>
      <c r="Q2179">
        <f>IF(dataset[[#This Row],[state]]="VA",1,0)</f>
        <v>0</v>
      </c>
    </row>
    <row r="2180" spans="1:17" x14ac:dyDescent="0.35">
      <c r="A2180">
        <v>202307</v>
      </c>
      <c r="B2180">
        <v>91</v>
      </c>
      <c r="C2180" s="2">
        <v>2586609.9060999998</v>
      </c>
      <c r="D2180" s="2">
        <v>0.77390000000000003</v>
      </c>
      <c r="E2180" s="3">
        <v>254780</v>
      </c>
      <c r="F2180" s="2">
        <v>197184.04319999999</v>
      </c>
      <c r="G2180" t="s">
        <v>3856</v>
      </c>
      <c r="H2180" t="s">
        <v>8</v>
      </c>
      <c r="I2180">
        <f>HLOOKUP(G2180,zip_tiers!$A$1:$EON$2,2,FALSE)</f>
        <v>75636.666666666672</v>
      </c>
      <c r="J2180" t="str">
        <f t="shared" si="34"/>
        <v>Med</v>
      </c>
      <c r="K2180">
        <f>dataset[[#This Row],[soda_sales]]/dataset[[#This Row],[soda_units_sold]]</f>
        <v>0.77393846926760335</v>
      </c>
      <c r="L2180" s="29">
        <f>dataset[[#This Row],[implied_soda_ppu]]-dataset[[#This Row],[soda_ppu]]</f>
        <v>3.8469267603313817E-5</v>
      </c>
      <c r="M2180">
        <f>dataset[[#This Row],[soda_sales]]/dataset[[#This Row],[total_sales]]</f>
        <v>7.6232617347896575E-2</v>
      </c>
      <c r="N2180">
        <f>LN(dataset[[#This Row],[soda_units_sold]])</f>
        <v>12.448155706663778</v>
      </c>
      <c r="O2180">
        <f>LN(dataset[[#This Row],[soda_sales]])</f>
        <v>12.191892801041028</v>
      </c>
      <c r="P2180">
        <f>LN(dataset[[#This Row],[soda_ppu]])</f>
        <v>-0.25631261270572359</v>
      </c>
      <c r="Q2180">
        <f>IF(dataset[[#This Row],[state]]="VA",1,0)</f>
        <v>0</v>
      </c>
    </row>
    <row r="2181" spans="1:17" x14ac:dyDescent="0.35">
      <c r="A2181">
        <v>202308</v>
      </c>
      <c r="B2181">
        <v>91</v>
      </c>
      <c r="C2181" s="2">
        <v>2468663.1623999998</v>
      </c>
      <c r="D2181" s="2">
        <v>0.75880000000000003</v>
      </c>
      <c r="E2181" s="3">
        <v>231217</v>
      </c>
      <c r="F2181" s="2">
        <v>175450.56599999999</v>
      </c>
      <c r="G2181" t="s">
        <v>3856</v>
      </c>
      <c r="H2181" t="s">
        <v>8</v>
      </c>
      <c r="I2181">
        <f>HLOOKUP(G2181,zip_tiers!$A$1:$EON$2,2,FALSE)</f>
        <v>75636.666666666672</v>
      </c>
      <c r="J2181" t="str">
        <f t="shared" si="34"/>
        <v>Med</v>
      </c>
      <c r="K2181">
        <f>dataset[[#This Row],[soda_sales]]/dataset[[#This Row],[soda_units_sold]]</f>
        <v>0.75881343499829157</v>
      </c>
      <c r="L2181" s="29">
        <f>dataset[[#This Row],[implied_soda_ppu]]-dataset[[#This Row],[soda_ppu]]</f>
        <v>1.343499829153938E-5</v>
      </c>
      <c r="M2181">
        <f>dataset[[#This Row],[soda_sales]]/dataset[[#This Row],[total_sales]]</f>
        <v>7.1071083601956214E-2</v>
      </c>
      <c r="N2181">
        <f>LN(dataset[[#This Row],[soda_units_sold]])</f>
        <v>12.35111194248897</v>
      </c>
      <c r="O2181">
        <f>LN(dataset[[#This Row],[soda_sales]])</f>
        <v>12.075112606996468</v>
      </c>
      <c r="P2181">
        <f>LN(dataset[[#This Row],[soda_ppu]])</f>
        <v>-0.27601704092127788</v>
      </c>
      <c r="Q2181">
        <f>IF(dataset[[#This Row],[state]]="VA",1,0)</f>
        <v>0</v>
      </c>
    </row>
    <row r="2182" spans="1:17" x14ac:dyDescent="0.35">
      <c r="A2182">
        <v>202309</v>
      </c>
      <c r="B2182">
        <v>91</v>
      </c>
      <c r="C2182" s="2">
        <v>2440940.1831999999</v>
      </c>
      <c r="D2182" s="2">
        <v>0.77180000000000004</v>
      </c>
      <c r="E2182" s="3">
        <v>214605</v>
      </c>
      <c r="F2182" s="2">
        <v>165641.70129999999</v>
      </c>
      <c r="G2182" t="s">
        <v>3856</v>
      </c>
      <c r="H2182" t="s">
        <v>8</v>
      </c>
      <c r="I2182">
        <f>HLOOKUP(G2182,zip_tiers!$A$1:$EON$2,2,FALSE)</f>
        <v>75636.666666666672</v>
      </c>
      <c r="J2182" t="str">
        <f t="shared" si="34"/>
        <v>Med</v>
      </c>
      <c r="K2182">
        <f>dataset[[#This Row],[soda_sales]]/dataset[[#This Row],[soda_units_sold]]</f>
        <v>0.77184455767572979</v>
      </c>
      <c r="L2182" s="29">
        <f>dataset[[#This Row],[implied_soda_ppu]]-dataset[[#This Row],[soda_ppu]]</f>
        <v>4.4557675729750557E-5</v>
      </c>
      <c r="M2182">
        <f>dataset[[#This Row],[soda_sales]]/dataset[[#This Row],[total_sales]]</f>
        <v>6.785979535264508E-2</v>
      </c>
      <c r="N2182">
        <f>LN(dataset[[#This Row],[soda_units_sold]])</f>
        <v>12.276554408068543</v>
      </c>
      <c r="O2182">
        <f>LN(dataset[[#This Row],[soda_sales]])</f>
        <v>12.017582308676547</v>
      </c>
      <c r="P2182">
        <f>LN(dataset[[#This Row],[soda_ppu]])</f>
        <v>-0.25902982987861861</v>
      </c>
      <c r="Q2182">
        <f>IF(dataset[[#This Row],[state]]="VA",1,0)</f>
        <v>0</v>
      </c>
    </row>
    <row r="2183" spans="1:17" x14ac:dyDescent="0.35">
      <c r="A2183">
        <v>202310</v>
      </c>
      <c r="B2183">
        <v>91</v>
      </c>
      <c r="C2183" s="2">
        <v>2972335.2082000002</v>
      </c>
      <c r="D2183" s="2">
        <v>0.74809999999999999</v>
      </c>
      <c r="E2183" s="3">
        <v>211911</v>
      </c>
      <c r="F2183" s="2">
        <v>158531.4215</v>
      </c>
      <c r="G2183" t="s">
        <v>3856</v>
      </c>
      <c r="H2183" t="s">
        <v>8</v>
      </c>
      <c r="I2183">
        <f>HLOOKUP(G2183,zip_tiers!$A$1:$EON$2,2,FALSE)</f>
        <v>75636.666666666672</v>
      </c>
      <c r="J2183" t="str">
        <f t="shared" si="34"/>
        <v>Med</v>
      </c>
      <c r="K2183">
        <f>dataset[[#This Row],[soda_sales]]/dataset[[#This Row],[soda_units_sold]]</f>
        <v>0.74810378649527398</v>
      </c>
      <c r="L2183" s="29">
        <f>dataset[[#This Row],[implied_soda_ppu]]-dataset[[#This Row],[soda_ppu]]</f>
        <v>3.786495273994106E-6</v>
      </c>
      <c r="M2183">
        <f>dataset[[#This Row],[soda_sales]]/dataset[[#This Row],[total_sales]]</f>
        <v>5.3335647023474229E-2</v>
      </c>
      <c r="N2183">
        <f>LN(dataset[[#This Row],[soda_units_sold]])</f>
        <v>12.263921654187952</v>
      </c>
      <c r="O2183">
        <f>LN(dataset[[#This Row],[soda_sales]])</f>
        <v>11.973708095554153</v>
      </c>
      <c r="P2183">
        <f>LN(dataset[[#This Row],[soda_ppu]])</f>
        <v>-0.29021862010377786</v>
      </c>
      <c r="Q2183">
        <f>IF(dataset[[#This Row],[state]]="VA",1,0)</f>
        <v>0</v>
      </c>
    </row>
    <row r="2184" spans="1:17" x14ac:dyDescent="0.35">
      <c r="A2184">
        <v>202311</v>
      </c>
      <c r="B2184">
        <v>91</v>
      </c>
      <c r="C2184" s="2">
        <v>3368649.8703999999</v>
      </c>
      <c r="D2184" s="2">
        <v>0.78480000000000005</v>
      </c>
      <c r="E2184" s="3">
        <v>191964</v>
      </c>
      <c r="F2184" s="2">
        <v>150658.97020000001</v>
      </c>
      <c r="G2184" t="s">
        <v>3856</v>
      </c>
      <c r="H2184" t="s">
        <v>8</v>
      </c>
      <c r="I2184">
        <f>HLOOKUP(G2184,zip_tiers!$A$1:$EON$2,2,FALSE)</f>
        <v>75636.666666666672</v>
      </c>
      <c r="J2184" t="str">
        <f t="shared" si="34"/>
        <v>Med</v>
      </c>
      <c r="K2184">
        <f>dataset[[#This Row],[soda_sales]]/dataset[[#This Row],[soda_units_sold]]</f>
        <v>0.78482929195057416</v>
      </c>
      <c r="L2184" s="29">
        <f>dataset[[#This Row],[implied_soda_ppu]]-dataset[[#This Row],[soda_ppu]]</f>
        <v>2.9291950574106274E-5</v>
      </c>
      <c r="M2184">
        <f>dataset[[#This Row],[soda_sales]]/dataset[[#This Row],[total_sales]]</f>
        <v>4.4723843675125094E-2</v>
      </c>
      <c r="N2184">
        <f>LN(dataset[[#This Row],[soda_units_sold]])</f>
        <v>12.165063133429596</v>
      </c>
      <c r="O2184">
        <f>LN(dataset[[#This Row],[soda_sales]])</f>
        <v>11.922774086098128</v>
      </c>
      <c r="P2184">
        <f>LN(dataset[[#This Row],[soda_ppu]])</f>
        <v>-0.24232637073098365</v>
      </c>
      <c r="Q2184">
        <f>IF(dataset[[#This Row],[state]]="VA",1,0)</f>
        <v>0</v>
      </c>
    </row>
    <row r="2185" spans="1:17" x14ac:dyDescent="0.35">
      <c r="A2185">
        <v>202312</v>
      </c>
      <c r="B2185">
        <v>91</v>
      </c>
      <c r="C2185" s="2">
        <v>3613317.9122000001</v>
      </c>
      <c r="D2185" s="2">
        <v>0.75860000000000005</v>
      </c>
      <c r="E2185" s="3">
        <v>201113</v>
      </c>
      <c r="F2185" s="2">
        <v>152569.03810000001</v>
      </c>
      <c r="G2185" t="s">
        <v>3856</v>
      </c>
      <c r="H2185" t="s">
        <v>8</v>
      </c>
      <c r="I2185">
        <f>HLOOKUP(G2185,zip_tiers!$A$1:$EON$2,2,FALSE)</f>
        <v>75636.666666666672</v>
      </c>
      <c r="J2185" t="str">
        <f t="shared" si="34"/>
        <v>Med</v>
      </c>
      <c r="K2185">
        <f>dataset[[#This Row],[soda_sales]]/dataset[[#This Row],[soda_units_sold]]</f>
        <v>0.75862345099521167</v>
      </c>
      <c r="L2185" s="29">
        <f>dataset[[#This Row],[implied_soda_ppu]]-dataset[[#This Row],[soda_ppu]]</f>
        <v>2.3450995211615755E-5</v>
      </c>
      <c r="M2185">
        <f>dataset[[#This Row],[soda_sales]]/dataset[[#This Row],[total_sales]]</f>
        <v>4.2224083738899965E-2</v>
      </c>
      <c r="N2185">
        <f>LN(dataset[[#This Row],[soda_units_sold]])</f>
        <v>12.211622218126875</v>
      </c>
      <c r="O2185">
        <f>LN(dataset[[#This Row],[soda_sales]])</f>
        <v>11.935372481440327</v>
      </c>
      <c r="P2185">
        <f>LN(dataset[[#This Row],[soda_ppu]])</f>
        <v>-0.2762806497273384</v>
      </c>
      <c r="Q2185">
        <f>IF(dataset[[#This Row],[state]]="VA",1,0)</f>
        <v>0</v>
      </c>
    </row>
    <row r="2186" spans="1:17" x14ac:dyDescent="0.35">
      <c r="A2186">
        <v>202401</v>
      </c>
      <c r="B2186">
        <v>91</v>
      </c>
      <c r="C2186" s="2">
        <v>2117711.9506000001</v>
      </c>
      <c r="D2186" s="2">
        <v>0.76249999999999996</v>
      </c>
      <c r="E2186" s="3">
        <v>147375</v>
      </c>
      <c r="F2186" s="2">
        <v>112378.1825</v>
      </c>
      <c r="G2186" t="s">
        <v>3856</v>
      </c>
      <c r="H2186" t="s">
        <v>8</v>
      </c>
      <c r="I2186">
        <f>HLOOKUP(G2186,zip_tiers!$A$1:$EON$2,2,FALSE)</f>
        <v>75636.666666666672</v>
      </c>
      <c r="J2186" t="str">
        <f t="shared" si="34"/>
        <v>Med</v>
      </c>
      <c r="K2186">
        <f>dataset[[#This Row],[soda_sales]]/dataset[[#This Row],[soda_units_sold]]</f>
        <v>0.76253219677692952</v>
      </c>
      <c r="L2186" s="29">
        <f>dataset[[#This Row],[implied_soda_ppu]]-dataset[[#This Row],[soda_ppu]]</f>
        <v>3.2196776929560578E-5</v>
      </c>
      <c r="M2186">
        <f>dataset[[#This Row],[soda_sales]]/dataset[[#This Row],[total_sales]]</f>
        <v>5.3065848954651496E-2</v>
      </c>
      <c r="N2186">
        <f>LN(dataset[[#This Row],[soda_units_sold]])</f>
        <v>11.900735637839672</v>
      </c>
      <c r="O2186">
        <f>LN(dataset[[#This Row],[soda_sales]])</f>
        <v>11.629625091728858</v>
      </c>
      <c r="P2186">
        <f>LN(dataset[[#This Row],[soda_ppu]])</f>
        <v>-0.27115277050057041</v>
      </c>
      <c r="Q2186">
        <f>IF(dataset[[#This Row],[state]]="VA",1,0)</f>
        <v>0</v>
      </c>
    </row>
    <row r="2187" spans="1:17" x14ac:dyDescent="0.35">
      <c r="A2187">
        <v>202402</v>
      </c>
      <c r="B2187">
        <v>91</v>
      </c>
      <c r="C2187" s="2">
        <v>2368325.1047999999</v>
      </c>
      <c r="D2187" s="2">
        <v>0.7732</v>
      </c>
      <c r="E2187" s="3">
        <v>165713</v>
      </c>
      <c r="F2187" s="2">
        <v>128123.326</v>
      </c>
      <c r="G2187" t="s">
        <v>3856</v>
      </c>
      <c r="H2187" t="s">
        <v>8</v>
      </c>
      <c r="I2187">
        <f>HLOOKUP(G2187,zip_tiers!$A$1:$EON$2,2,FALSE)</f>
        <v>75636.666666666672</v>
      </c>
      <c r="J2187" t="str">
        <f t="shared" si="34"/>
        <v>Med</v>
      </c>
      <c r="K2187">
        <f>dataset[[#This Row],[soda_sales]]/dataset[[#This Row],[soda_units_sold]]</f>
        <v>0.77316400041034805</v>
      </c>
      <c r="L2187" s="29">
        <f>dataset[[#This Row],[implied_soda_ppu]]-dataset[[#This Row],[soda_ppu]]</f>
        <v>-3.5999589651947161E-5</v>
      </c>
      <c r="M2187">
        <f>dataset[[#This Row],[soda_sales]]/dataset[[#This Row],[total_sales]]</f>
        <v>5.409870703153305E-2</v>
      </c>
      <c r="N2187">
        <f>LN(dataset[[#This Row],[soda_units_sold]])</f>
        <v>12.018012655376447</v>
      </c>
      <c r="O2187">
        <f>LN(dataset[[#This Row],[soda_sales]])</f>
        <v>11.760748563423604</v>
      </c>
      <c r="P2187">
        <f>LN(dataset[[#This Row],[soda_ppu]])</f>
        <v>-0.25721753164796124</v>
      </c>
      <c r="Q2187">
        <f>IF(dataset[[#This Row],[state]]="VA",1,0)</f>
        <v>0</v>
      </c>
    </row>
    <row r="2188" spans="1:17" x14ac:dyDescent="0.35">
      <c r="A2188">
        <v>202403</v>
      </c>
      <c r="B2188">
        <v>91</v>
      </c>
      <c r="C2188" s="2">
        <v>2619734.6318999999</v>
      </c>
      <c r="D2188" s="2">
        <v>0.77359999999999995</v>
      </c>
      <c r="E2188" s="3">
        <v>193351</v>
      </c>
      <c r="F2188" s="2">
        <v>149581.0521</v>
      </c>
      <c r="G2188" t="s">
        <v>3856</v>
      </c>
      <c r="H2188" t="s">
        <v>8</v>
      </c>
      <c r="I2188">
        <f>HLOOKUP(G2188,zip_tiers!$A$1:$EON$2,2,FALSE)</f>
        <v>75636.666666666672</v>
      </c>
      <c r="J2188" t="str">
        <f t="shared" si="34"/>
        <v>Med</v>
      </c>
      <c r="K2188">
        <f>dataset[[#This Row],[soda_sales]]/dataset[[#This Row],[soda_units_sold]]</f>
        <v>0.77362440380447994</v>
      </c>
      <c r="L2188" s="29">
        <f>dataset[[#This Row],[implied_soda_ppu]]-dataset[[#This Row],[soda_ppu]]</f>
        <v>2.44038044799888E-5</v>
      </c>
      <c r="M2188">
        <f>dataset[[#This Row],[soda_sales]]/dataset[[#This Row],[total_sales]]</f>
        <v>5.7097787798268025E-2</v>
      </c>
      <c r="N2188">
        <f>LN(dataset[[#This Row],[soda_units_sold]])</f>
        <v>12.172262468990002</v>
      </c>
      <c r="O2188">
        <f>LN(dataset[[#This Row],[soda_sales]])</f>
        <v>11.915593679415267</v>
      </c>
      <c r="P2188">
        <f>LN(dataset[[#This Row],[soda_ppu]])</f>
        <v>-0.25670033484305255</v>
      </c>
      <c r="Q2188">
        <f>IF(dataset[[#This Row],[state]]="VA",1,0)</f>
        <v>0</v>
      </c>
    </row>
    <row r="2189" spans="1:17" x14ac:dyDescent="0.35">
      <c r="A2189">
        <v>202404</v>
      </c>
      <c r="B2189">
        <v>91</v>
      </c>
      <c r="C2189" s="2">
        <v>2794594.3297999999</v>
      </c>
      <c r="D2189" s="2">
        <v>0.77800000000000002</v>
      </c>
      <c r="E2189" s="3">
        <v>225084</v>
      </c>
      <c r="F2189" s="2">
        <v>175122.38130000001</v>
      </c>
      <c r="G2189" t="s">
        <v>3856</v>
      </c>
      <c r="H2189" t="s">
        <v>8</v>
      </c>
      <c r="I2189">
        <f>HLOOKUP(G2189,zip_tiers!$A$1:$EON$2,2,FALSE)</f>
        <v>75636.666666666672</v>
      </c>
      <c r="J2189" t="str">
        <f t="shared" si="34"/>
        <v>Med</v>
      </c>
      <c r="K2189">
        <f>dataset[[#This Row],[soda_sales]]/dataset[[#This Row],[soda_units_sold]]</f>
        <v>0.77803122967425498</v>
      </c>
      <c r="L2189" s="29">
        <f>dataset[[#This Row],[implied_soda_ppu]]-dataset[[#This Row],[soda_ppu]]</f>
        <v>3.1229674254951156E-5</v>
      </c>
      <c r="M2189">
        <f>dataset[[#This Row],[soda_sales]]/dataset[[#This Row],[total_sales]]</f>
        <v>6.2664687834149066E-2</v>
      </c>
      <c r="N2189">
        <f>LN(dataset[[#This Row],[soda_units_sold]])</f>
        <v>12.324228944848342</v>
      </c>
      <c r="O2189">
        <f>LN(dataset[[#This Row],[soda_sales]])</f>
        <v>12.073240330208449</v>
      </c>
      <c r="P2189">
        <f>LN(dataset[[#This Row],[soda_ppu]])</f>
        <v>-0.25102875480374542</v>
      </c>
      <c r="Q2189">
        <f>IF(dataset[[#This Row],[state]]="VA",1,0)</f>
        <v>0</v>
      </c>
    </row>
    <row r="2190" spans="1:17" x14ac:dyDescent="0.35">
      <c r="A2190">
        <v>202405</v>
      </c>
      <c r="B2190">
        <v>91</v>
      </c>
      <c r="C2190" s="2">
        <v>2876852.9807000002</v>
      </c>
      <c r="D2190" s="2">
        <v>0.80169999999999997</v>
      </c>
      <c r="E2190" s="3">
        <v>236293</v>
      </c>
      <c r="F2190" s="2">
        <v>189447.24419999999</v>
      </c>
      <c r="G2190" t="s">
        <v>3856</v>
      </c>
      <c r="H2190" t="s">
        <v>8</v>
      </c>
      <c r="I2190">
        <f>HLOOKUP(G2190,zip_tiers!$A$1:$EON$2,2,FALSE)</f>
        <v>75636.666666666672</v>
      </c>
      <c r="J2190" t="str">
        <f t="shared" si="34"/>
        <v>Med</v>
      </c>
      <c r="K2190">
        <f>dataset[[#This Row],[soda_sales]]/dataset[[#This Row],[soda_units_sold]]</f>
        <v>0.80174717067369738</v>
      </c>
      <c r="L2190" s="29">
        <f>dataset[[#This Row],[implied_soda_ppu]]-dataset[[#This Row],[soda_ppu]]</f>
        <v>4.7170673697416454E-5</v>
      </c>
      <c r="M2190">
        <f>dataset[[#This Row],[soda_sales]]/dataset[[#This Row],[total_sales]]</f>
        <v>6.5852250869595494E-2</v>
      </c>
      <c r="N2190">
        <f>LN(dataset[[#This Row],[soda_units_sold]])</f>
        <v>12.372827839376084</v>
      </c>
      <c r="O2190">
        <f>LN(dataset[[#This Row],[soda_sales]])</f>
        <v>12.151865870022659</v>
      </c>
      <c r="P2190">
        <f>LN(dataset[[#This Row],[soda_ppu]])</f>
        <v>-0.22102080593323115</v>
      </c>
      <c r="Q2190">
        <f>IF(dataset[[#This Row],[state]]="VA",1,0)</f>
        <v>0</v>
      </c>
    </row>
    <row r="2191" spans="1:17" x14ac:dyDescent="0.35">
      <c r="A2191">
        <v>202406</v>
      </c>
      <c r="B2191">
        <v>91</v>
      </c>
      <c r="C2191" s="2">
        <v>2783021.0362</v>
      </c>
      <c r="D2191" s="2">
        <v>0.74609999999999999</v>
      </c>
      <c r="E2191" s="3">
        <v>264513</v>
      </c>
      <c r="F2191" s="2">
        <v>197356.75200000001</v>
      </c>
      <c r="G2191" t="s">
        <v>3856</v>
      </c>
      <c r="H2191" t="s">
        <v>8</v>
      </c>
      <c r="I2191">
        <f>HLOOKUP(G2191,zip_tiers!$A$1:$EON$2,2,FALSE)</f>
        <v>75636.666666666672</v>
      </c>
      <c r="J2191" t="str">
        <f t="shared" si="34"/>
        <v>Med</v>
      </c>
      <c r="K2191">
        <f>dataset[[#This Row],[soda_sales]]/dataset[[#This Row],[soda_units_sold]]</f>
        <v>0.74611362012453075</v>
      </c>
      <c r="L2191" s="29">
        <f>dataset[[#This Row],[implied_soda_ppu]]-dataset[[#This Row],[soda_ppu]]</f>
        <v>1.3620124530766553E-5</v>
      </c>
      <c r="M2191">
        <f>dataset[[#This Row],[soda_sales]]/dataset[[#This Row],[total_sales]]</f>
        <v>7.0914574282009521E-2</v>
      </c>
      <c r="N2191">
        <f>LN(dataset[[#This Row],[soda_units_sold]])</f>
        <v>12.485645678411077</v>
      </c>
      <c r="O2191">
        <f>LN(dataset[[#This Row],[soda_sales]])</f>
        <v>12.192768293832307</v>
      </c>
      <c r="P2191">
        <f>LN(dataset[[#This Row],[soda_ppu]])</f>
        <v>-0.2928956395046684</v>
      </c>
      <c r="Q2191">
        <f>IF(dataset[[#This Row],[state]]="VA",1,0)</f>
        <v>0</v>
      </c>
    </row>
    <row r="2192" spans="1:17" x14ac:dyDescent="0.35">
      <c r="A2192">
        <v>202407</v>
      </c>
      <c r="B2192">
        <v>91</v>
      </c>
      <c r="C2192" s="2">
        <v>2612440.8461000002</v>
      </c>
      <c r="D2192" s="2">
        <v>0.83889999999999998</v>
      </c>
      <c r="E2192" s="3">
        <v>240824</v>
      </c>
      <c r="F2192" s="2">
        <v>202021.42939999999</v>
      </c>
      <c r="G2192" t="s">
        <v>3856</v>
      </c>
      <c r="H2192" t="s">
        <v>8</v>
      </c>
      <c r="I2192">
        <f>HLOOKUP(G2192,zip_tiers!$A$1:$EON$2,2,FALSE)</f>
        <v>75636.666666666672</v>
      </c>
      <c r="J2192" t="str">
        <f t="shared" si="34"/>
        <v>Med</v>
      </c>
      <c r="K2192">
        <f>dataset[[#This Row],[soda_sales]]/dataset[[#This Row],[soda_units_sold]]</f>
        <v>0.83887581553333557</v>
      </c>
      <c r="L2192" s="29">
        <f>dataset[[#This Row],[implied_soda_ppu]]-dataset[[#This Row],[soda_ppu]]</f>
        <v>-2.4184466664411985E-5</v>
      </c>
      <c r="M2192">
        <f>dataset[[#This Row],[soda_sales]]/dataset[[#This Row],[total_sales]]</f>
        <v>7.7330527771217877E-2</v>
      </c>
      <c r="N2192">
        <f>LN(dataset[[#This Row],[soda_units_sold]])</f>
        <v>12.391821655224387</v>
      </c>
      <c r="O2192">
        <f>LN(dataset[[#This Row],[soda_sales]])</f>
        <v>12.21612905689522</v>
      </c>
      <c r="P2192">
        <f>LN(dataset[[#This Row],[soda_ppu]])</f>
        <v>-0.17566376912988815</v>
      </c>
      <c r="Q2192">
        <f>IF(dataset[[#This Row],[state]]="VA",1,0)</f>
        <v>0</v>
      </c>
    </row>
    <row r="2193" spans="1:17" x14ac:dyDescent="0.35">
      <c r="A2193">
        <v>202408</v>
      </c>
      <c r="B2193">
        <v>91</v>
      </c>
      <c r="C2193" s="2">
        <v>2492692.7634999999</v>
      </c>
      <c r="D2193" s="2">
        <v>0.76249999999999996</v>
      </c>
      <c r="E2193" s="3">
        <v>235750</v>
      </c>
      <c r="F2193" s="2">
        <v>179755.30780000001</v>
      </c>
      <c r="G2193" t="s">
        <v>3856</v>
      </c>
      <c r="H2193" t="s">
        <v>8</v>
      </c>
      <c r="I2193">
        <f>HLOOKUP(G2193,zip_tiers!$A$1:$EON$2,2,FALSE)</f>
        <v>75636.666666666672</v>
      </c>
      <c r="J2193" t="str">
        <f t="shared" si="34"/>
        <v>Med</v>
      </c>
      <c r="K2193">
        <f>dataset[[#This Row],[soda_sales]]/dataset[[#This Row],[soda_units_sold]]</f>
        <v>0.76248274782608705</v>
      </c>
      <c r="L2193" s="29">
        <f>dataset[[#This Row],[implied_soda_ppu]]-dataset[[#This Row],[soda_ppu]]</f>
        <v>-1.7252173912907232E-5</v>
      </c>
      <c r="M2193">
        <f>dataset[[#This Row],[soda_sales]]/dataset[[#This Row],[total_sales]]</f>
        <v>7.2112901530473755E-2</v>
      </c>
      <c r="N2193">
        <f>LN(dataset[[#This Row],[soda_units_sold]])</f>
        <v>12.370527200495705</v>
      </c>
      <c r="O2193">
        <f>LN(dataset[[#This Row],[soda_sales]])</f>
        <v>12.099351803937314</v>
      </c>
      <c r="P2193">
        <f>LN(dataset[[#This Row],[soda_ppu]])</f>
        <v>-0.27115277050057041</v>
      </c>
      <c r="Q2193">
        <f>IF(dataset[[#This Row],[state]]="VA",1,0)</f>
        <v>0</v>
      </c>
    </row>
    <row r="2194" spans="1:17" x14ac:dyDescent="0.35">
      <c r="A2194">
        <v>202409</v>
      </c>
      <c r="B2194">
        <v>91</v>
      </c>
      <c r="C2194" s="2">
        <v>2483198.023</v>
      </c>
      <c r="D2194" s="2">
        <v>0.79979999999999996</v>
      </c>
      <c r="E2194" s="3">
        <v>213056</v>
      </c>
      <c r="F2194" s="2">
        <v>170400.07089999999</v>
      </c>
      <c r="G2194" t="s">
        <v>3856</v>
      </c>
      <c r="H2194" t="s">
        <v>8</v>
      </c>
      <c r="I2194">
        <f>HLOOKUP(G2194,zip_tiers!$A$1:$EON$2,2,FALSE)</f>
        <v>75636.666666666672</v>
      </c>
      <c r="J2194" t="str">
        <f t="shared" si="34"/>
        <v>Med</v>
      </c>
      <c r="K2194">
        <f>dataset[[#This Row],[soda_sales]]/dataset[[#This Row],[soda_units_sold]]</f>
        <v>0.79979005942099723</v>
      </c>
      <c r="L2194" s="29">
        <f>dataset[[#This Row],[implied_soda_ppu]]-dataset[[#This Row],[soda_ppu]]</f>
        <v>-9.9405790027207175E-6</v>
      </c>
      <c r="M2194">
        <f>dataset[[#This Row],[soda_sales]]/dataset[[#This Row],[total_sales]]</f>
        <v>6.8621217205278029E-2</v>
      </c>
      <c r="N2194">
        <f>LN(dataset[[#This Row],[soda_units_sold]])</f>
        <v>12.269310320934697</v>
      </c>
      <c r="O2194">
        <f>LN(dataset[[#This Row],[soda_sales]])</f>
        <v>12.045904309457079</v>
      </c>
      <c r="P2194">
        <f>LN(dataset[[#This Row],[soda_ppu]])</f>
        <v>-0.22339358256941913</v>
      </c>
      <c r="Q2194">
        <f>IF(dataset[[#This Row],[state]]="VA",1,0)</f>
        <v>0</v>
      </c>
    </row>
    <row r="2195" spans="1:17" x14ac:dyDescent="0.35">
      <c r="A2195">
        <v>202410</v>
      </c>
      <c r="B2195">
        <v>91</v>
      </c>
      <c r="C2195" s="2">
        <v>3084061.1384000001</v>
      </c>
      <c r="D2195" s="2">
        <v>0.83199999999999996</v>
      </c>
      <c r="E2195" s="3">
        <v>197953</v>
      </c>
      <c r="F2195" s="2">
        <v>164694.1948</v>
      </c>
      <c r="G2195" t="s">
        <v>3856</v>
      </c>
      <c r="H2195" t="s">
        <v>8</v>
      </c>
      <c r="I2195">
        <f>HLOOKUP(G2195,zip_tiers!$A$1:$EON$2,2,FALSE)</f>
        <v>75636.666666666672</v>
      </c>
      <c r="J2195" t="str">
        <f t="shared" si="34"/>
        <v>Med</v>
      </c>
      <c r="K2195">
        <f>dataset[[#This Row],[soda_sales]]/dataset[[#This Row],[soda_units_sold]]</f>
        <v>0.83198635433663548</v>
      </c>
      <c r="L2195" s="29">
        <f>dataset[[#This Row],[implied_soda_ppu]]-dataset[[#This Row],[soda_ppu]]</f>
        <v>-1.3645663364481031E-5</v>
      </c>
      <c r="M2195">
        <f>dataset[[#This Row],[soda_sales]]/dataset[[#This Row],[total_sales]]</f>
        <v>5.3401728243767162E-2</v>
      </c>
      <c r="N2195">
        <f>LN(dataset[[#This Row],[soda_units_sold]])</f>
        <v>12.195784907761693</v>
      </c>
      <c r="O2195">
        <f>LN(dataset[[#This Row],[soda_sales]])</f>
        <v>12.011845668428569</v>
      </c>
      <c r="P2195">
        <f>LN(dataset[[#This Row],[soda_ppu]])</f>
        <v>-0.1839228381609285</v>
      </c>
      <c r="Q2195">
        <f>IF(dataset[[#This Row],[state]]="VA",1,0)</f>
        <v>0</v>
      </c>
    </row>
    <row r="2196" spans="1:17" x14ac:dyDescent="0.35">
      <c r="A2196">
        <v>202411</v>
      </c>
      <c r="B2196">
        <v>91</v>
      </c>
      <c r="C2196" s="2">
        <v>3498696.9325000001</v>
      </c>
      <c r="D2196" s="2">
        <v>0.7772</v>
      </c>
      <c r="E2196" s="3">
        <v>198681</v>
      </c>
      <c r="F2196" s="2">
        <v>154414.2752</v>
      </c>
      <c r="G2196" t="s">
        <v>3856</v>
      </c>
      <c r="H2196" t="s">
        <v>8</v>
      </c>
      <c r="I2196">
        <f>HLOOKUP(G2196,zip_tiers!$A$1:$EON$2,2,FALSE)</f>
        <v>75636.666666666672</v>
      </c>
      <c r="J2196" t="str">
        <f t="shared" si="34"/>
        <v>Med</v>
      </c>
      <c r="K2196">
        <f>dataset[[#This Row],[soda_sales]]/dataset[[#This Row],[soda_units_sold]]</f>
        <v>0.77719699015003951</v>
      </c>
      <c r="L2196" s="29">
        <f>dataset[[#This Row],[implied_soda_ppu]]-dataset[[#This Row],[soda_ppu]]</f>
        <v>-3.0098499604891416E-6</v>
      </c>
      <c r="M2196">
        <f>dataset[[#This Row],[soda_sales]]/dataset[[#This Row],[total_sales]]</f>
        <v>4.4134795948062584E-2</v>
      </c>
      <c r="N2196">
        <f>LN(dataset[[#This Row],[soda_units_sold]])</f>
        <v>12.199455802427867</v>
      </c>
      <c r="O2196">
        <f>LN(dataset[[#This Row],[soda_sales]])</f>
        <v>11.947394368257573</v>
      </c>
      <c r="P2196">
        <f>LN(dataset[[#This Row],[soda_ppu]])</f>
        <v>-0.25205756147885205</v>
      </c>
      <c r="Q2196">
        <f>IF(dataset[[#This Row],[state]]="VA",1,0)</f>
        <v>0</v>
      </c>
    </row>
    <row r="2197" spans="1:17" x14ac:dyDescent="0.35">
      <c r="A2197">
        <v>202412</v>
      </c>
      <c r="B2197">
        <v>91</v>
      </c>
      <c r="C2197" s="2">
        <v>3624664.3613</v>
      </c>
      <c r="D2197" s="2">
        <v>0.79400000000000004</v>
      </c>
      <c r="E2197" s="3">
        <v>193313</v>
      </c>
      <c r="F2197" s="2">
        <v>153485.91149999999</v>
      </c>
      <c r="G2197" t="s">
        <v>3856</v>
      </c>
      <c r="H2197" t="s">
        <v>8</v>
      </c>
      <c r="I2197">
        <f>HLOOKUP(G2197,zip_tiers!$A$1:$EON$2,2,FALSE)</f>
        <v>75636.666666666672</v>
      </c>
      <c r="J2197" t="str">
        <f t="shared" si="34"/>
        <v>Med</v>
      </c>
      <c r="K2197">
        <f>dataset[[#This Row],[soda_sales]]/dataset[[#This Row],[soda_units_sold]]</f>
        <v>0.79397615007785294</v>
      </c>
      <c r="L2197" s="29">
        <f>dataset[[#This Row],[implied_soda_ppu]]-dataset[[#This Row],[soda_ppu]]</f>
        <v>-2.3849922147101132E-5</v>
      </c>
      <c r="M2197">
        <f>dataset[[#This Row],[soda_sales]]/dataset[[#This Row],[total_sales]]</f>
        <v>4.234486181361953E-2</v>
      </c>
      <c r="N2197">
        <f>LN(dataset[[#This Row],[soda_units_sold]])</f>
        <v>12.172065915909693</v>
      </c>
      <c r="O2197">
        <f>LN(dataset[[#This Row],[soda_sales]])</f>
        <v>11.941364060038227</v>
      </c>
      <c r="P2197">
        <f>LN(dataset[[#This Row],[soda_ppu]])</f>
        <v>-0.23067181773500128</v>
      </c>
      <c r="Q2197">
        <f>IF(dataset[[#This Row],[state]]="VA",1,0)</f>
        <v>0</v>
      </c>
    </row>
    <row r="2198" spans="1:17" x14ac:dyDescent="0.35">
      <c r="A2198">
        <v>202201</v>
      </c>
      <c r="B2198">
        <v>45</v>
      </c>
      <c r="C2198" s="2">
        <v>1695219.5762</v>
      </c>
      <c r="D2198" s="2">
        <v>0.6855</v>
      </c>
      <c r="E2198" s="3">
        <v>155374</v>
      </c>
      <c r="F2198" s="2">
        <v>106501.2982</v>
      </c>
      <c r="G2198" t="s">
        <v>3876</v>
      </c>
      <c r="H2198" t="s">
        <v>8</v>
      </c>
      <c r="I2198">
        <f>HLOOKUP(G2198,zip_tiers!$A$1:$EON$2,2,FALSE)</f>
        <v>60240.333333333336</v>
      </c>
      <c r="J2198" t="str">
        <f t="shared" si="34"/>
        <v>Med</v>
      </c>
      <c r="K2198">
        <f>dataset[[#This Row],[soda_sales]]/dataset[[#This Row],[soda_units_sold]]</f>
        <v>0.68545122221221055</v>
      </c>
      <c r="L2198" s="29">
        <f>dataset[[#This Row],[implied_soda_ppu]]-dataset[[#This Row],[soda_ppu]]</f>
        <v>-4.8777787789444638E-5</v>
      </c>
      <c r="M2198">
        <f>dataset[[#This Row],[soda_sales]]/dataset[[#This Row],[total_sales]]</f>
        <v>6.2824485804212488E-2</v>
      </c>
      <c r="N2198">
        <f>LN(dataset[[#This Row],[soda_units_sold]])</f>
        <v>11.953590392750467</v>
      </c>
      <c r="O2198">
        <f>LN(dataset[[#This Row],[soda_sales]])</f>
        <v>11.575912453728685</v>
      </c>
      <c r="P2198">
        <f>LN(dataset[[#This Row],[soda_ppu]])</f>
        <v>-0.37760677997976799</v>
      </c>
      <c r="Q2198">
        <f>IF(dataset[[#This Row],[state]]="VA",1,0)</f>
        <v>0</v>
      </c>
    </row>
    <row r="2199" spans="1:17" x14ac:dyDescent="0.35">
      <c r="A2199">
        <v>202202</v>
      </c>
      <c r="B2199">
        <v>45</v>
      </c>
      <c r="C2199" s="2">
        <v>1928206.4415</v>
      </c>
      <c r="D2199" s="2">
        <v>0.67259999999999998</v>
      </c>
      <c r="E2199" s="3">
        <v>178775</v>
      </c>
      <c r="F2199" s="2">
        <v>120242.03780000001</v>
      </c>
      <c r="G2199" t="s">
        <v>3876</v>
      </c>
      <c r="H2199" t="s">
        <v>8</v>
      </c>
      <c r="I2199">
        <f>HLOOKUP(G2199,zip_tiers!$A$1:$EON$2,2,FALSE)</f>
        <v>60240.333333333336</v>
      </c>
      <c r="J2199" t="str">
        <f t="shared" si="34"/>
        <v>Med</v>
      </c>
      <c r="K2199">
        <f>dataset[[#This Row],[soda_sales]]/dataset[[#This Row],[soda_units_sold]]</f>
        <v>0.67258866060690814</v>
      </c>
      <c r="L2199" s="29">
        <f>dataset[[#This Row],[implied_soda_ppu]]-dataset[[#This Row],[soda_ppu]]</f>
        <v>-1.1339393091835959E-5</v>
      </c>
      <c r="M2199">
        <f>dataset[[#This Row],[soda_sales]]/dataset[[#This Row],[total_sales]]</f>
        <v>6.2359525003173787E-2</v>
      </c>
      <c r="N2199">
        <f>LN(dataset[[#This Row],[soda_units_sold]])</f>
        <v>12.093883310916597</v>
      </c>
      <c r="O2199">
        <f>LN(dataset[[#This Row],[soda_sales]])</f>
        <v>11.697261972054369</v>
      </c>
      <c r="P2199">
        <f>LN(dataset[[#This Row],[soda_ppu]])</f>
        <v>-0.39660447967596785</v>
      </c>
      <c r="Q2199">
        <f>IF(dataset[[#This Row],[state]]="VA",1,0)</f>
        <v>0</v>
      </c>
    </row>
    <row r="2200" spans="1:17" x14ac:dyDescent="0.35">
      <c r="A2200">
        <v>202203</v>
      </c>
      <c r="B2200">
        <v>45</v>
      </c>
      <c r="C2200" s="2">
        <v>2173819.1461</v>
      </c>
      <c r="D2200" s="2">
        <v>0.69020000000000004</v>
      </c>
      <c r="E2200" s="3">
        <v>209019</v>
      </c>
      <c r="F2200" s="2">
        <v>144257.19020000001</v>
      </c>
      <c r="G2200" t="s">
        <v>3876</v>
      </c>
      <c r="H2200" t="s">
        <v>8</v>
      </c>
      <c r="I2200">
        <f>HLOOKUP(G2200,zip_tiers!$A$1:$EON$2,2,FALSE)</f>
        <v>60240.333333333336</v>
      </c>
      <c r="J2200" t="str">
        <f t="shared" si="34"/>
        <v>Med</v>
      </c>
      <c r="K2200">
        <f>dataset[[#This Row],[soda_sales]]/dataset[[#This Row],[soda_units_sold]]</f>
        <v>0.69016304833531883</v>
      </c>
      <c r="L2200" s="29">
        <f>dataset[[#This Row],[implied_soda_ppu]]-dataset[[#This Row],[soda_ppu]]</f>
        <v>-3.6951664681206253E-5</v>
      </c>
      <c r="M2200">
        <f>dataset[[#This Row],[soda_sales]]/dataset[[#This Row],[total_sales]]</f>
        <v>6.6361173816510258E-2</v>
      </c>
      <c r="N2200">
        <f>LN(dataset[[#This Row],[soda_units_sold]])</f>
        <v>12.250180435905877</v>
      </c>
      <c r="O2200">
        <f>LN(dataset[[#This Row],[soda_sales]])</f>
        <v>11.879353028535384</v>
      </c>
      <c r="P2200">
        <f>LN(dataset[[#This Row],[soda_ppu]])</f>
        <v>-0.37077386831823395</v>
      </c>
      <c r="Q2200">
        <f>IF(dataset[[#This Row],[state]]="VA",1,0)</f>
        <v>0</v>
      </c>
    </row>
    <row r="2201" spans="1:17" x14ac:dyDescent="0.35">
      <c r="A2201">
        <v>202204</v>
      </c>
      <c r="B2201">
        <v>45</v>
      </c>
      <c r="C2201" s="2">
        <v>2298837.0074</v>
      </c>
      <c r="D2201" s="2">
        <v>0.69640000000000002</v>
      </c>
      <c r="E2201" s="3">
        <v>239938</v>
      </c>
      <c r="F2201" s="2">
        <v>167091.2574</v>
      </c>
      <c r="G2201" t="s">
        <v>3876</v>
      </c>
      <c r="H2201" t="s">
        <v>8</v>
      </c>
      <c r="I2201">
        <f>HLOOKUP(G2201,zip_tiers!$A$1:$EON$2,2,FALSE)</f>
        <v>60240.333333333336</v>
      </c>
      <c r="J2201" t="str">
        <f t="shared" si="34"/>
        <v>Med</v>
      </c>
      <c r="K2201">
        <f>dataset[[#This Row],[soda_sales]]/dataset[[#This Row],[soda_units_sold]]</f>
        <v>0.69639347414748809</v>
      </c>
      <c r="L2201" s="29">
        <f>dataset[[#This Row],[implied_soda_ppu]]-dataset[[#This Row],[soda_ppu]]</f>
        <v>-6.5258525119293864E-6</v>
      </c>
      <c r="M2201">
        <f>dataset[[#This Row],[soda_sales]]/dataset[[#This Row],[total_sales]]</f>
        <v>7.2685125940695261E-2</v>
      </c>
      <c r="N2201">
        <f>LN(dataset[[#This Row],[soda_units_sold]])</f>
        <v>12.388135835616991</v>
      </c>
      <c r="O2201">
        <f>LN(dataset[[#This Row],[soda_sales]])</f>
        <v>12.026295393645649</v>
      </c>
      <c r="P2201">
        <f>LN(dataset[[#This Row],[soda_ppu]])</f>
        <v>-0.36183107108810303</v>
      </c>
      <c r="Q2201">
        <f>IF(dataset[[#This Row],[state]]="VA",1,0)</f>
        <v>0</v>
      </c>
    </row>
    <row r="2202" spans="1:17" x14ac:dyDescent="0.35">
      <c r="A2202">
        <v>202205</v>
      </c>
      <c r="B2202">
        <v>45</v>
      </c>
      <c r="C2202" s="2">
        <v>2445522.6726000002</v>
      </c>
      <c r="D2202" s="2">
        <v>0.67600000000000005</v>
      </c>
      <c r="E2202" s="3">
        <v>280979</v>
      </c>
      <c r="F2202" s="2">
        <v>189930.8339</v>
      </c>
      <c r="G2202" t="s">
        <v>3876</v>
      </c>
      <c r="H2202" t="s">
        <v>8</v>
      </c>
      <c r="I2202">
        <f>HLOOKUP(G2202,zip_tiers!$A$1:$EON$2,2,FALSE)</f>
        <v>60240.333333333336</v>
      </c>
      <c r="J2202" t="str">
        <f t="shared" si="34"/>
        <v>Med</v>
      </c>
      <c r="K2202">
        <f>dataset[[#This Row],[soda_sales]]/dataset[[#This Row],[soda_units_sold]]</f>
        <v>0.67596095758045971</v>
      </c>
      <c r="L2202" s="29">
        <f>dataset[[#This Row],[implied_soda_ppu]]-dataset[[#This Row],[soda_ppu]]</f>
        <v>-3.9042419540336049E-5</v>
      </c>
      <c r="M2202">
        <f>dataset[[#This Row],[soda_sales]]/dataset[[#This Row],[total_sales]]</f>
        <v>7.7664720114032595E-2</v>
      </c>
      <c r="N2202">
        <f>LN(dataset[[#This Row],[soda_units_sold]])</f>
        <v>12.546035212427141</v>
      </c>
      <c r="O2202">
        <f>LN(dataset[[#This Row],[soda_sales]])</f>
        <v>12.154415252761588</v>
      </c>
      <c r="P2202">
        <f>LN(dataset[[#This Row],[soda_ppu]])</f>
        <v>-0.39156220293917288</v>
      </c>
      <c r="Q2202">
        <f>IF(dataset[[#This Row],[state]]="VA",1,0)</f>
        <v>0</v>
      </c>
    </row>
    <row r="2203" spans="1:17" x14ac:dyDescent="0.35">
      <c r="A2203">
        <v>202206</v>
      </c>
      <c r="B2203">
        <v>45</v>
      </c>
      <c r="C2203" s="2">
        <v>2296220.0890000002</v>
      </c>
      <c r="D2203" s="2">
        <v>0.69189999999999996</v>
      </c>
      <c r="E2203" s="3">
        <v>273613</v>
      </c>
      <c r="F2203" s="2">
        <v>189320.2928</v>
      </c>
      <c r="G2203" t="s">
        <v>3876</v>
      </c>
      <c r="H2203" t="s">
        <v>8</v>
      </c>
      <c r="I2203">
        <f>HLOOKUP(G2203,zip_tiers!$A$1:$EON$2,2,FALSE)</f>
        <v>60240.333333333336</v>
      </c>
      <c r="J2203" t="str">
        <f t="shared" si="34"/>
        <v>Med</v>
      </c>
      <c r="K2203">
        <f>dataset[[#This Row],[soda_sales]]/dataset[[#This Row],[soda_units_sold]]</f>
        <v>0.69192725784228082</v>
      </c>
      <c r="L2203" s="29">
        <f>dataset[[#This Row],[implied_soda_ppu]]-dataset[[#This Row],[soda_ppu]]</f>
        <v>2.7257842280858924E-5</v>
      </c>
      <c r="M2203">
        <f>dataset[[#This Row],[soda_sales]]/dataset[[#This Row],[total_sales]]</f>
        <v>8.2448670189297343E-2</v>
      </c>
      <c r="N2203">
        <f>LN(dataset[[#This Row],[soda_units_sold]])</f>
        <v>12.519469978221633</v>
      </c>
      <c r="O2203">
        <f>LN(dataset[[#This Row],[soda_sales]])</f>
        <v>12.151195530606776</v>
      </c>
      <c r="P2203">
        <f>LN(dataset[[#This Row],[soda_ppu]])</f>
        <v>-0.3683138424773717</v>
      </c>
      <c r="Q2203">
        <f>IF(dataset[[#This Row],[state]]="VA",1,0)</f>
        <v>0</v>
      </c>
    </row>
    <row r="2204" spans="1:17" x14ac:dyDescent="0.35">
      <c r="A2204">
        <v>202207</v>
      </c>
      <c r="B2204">
        <v>45</v>
      </c>
      <c r="C2204" s="2">
        <v>2148423.8163000001</v>
      </c>
      <c r="D2204" s="2">
        <v>0.71240000000000003</v>
      </c>
      <c r="E2204" s="3">
        <v>271735</v>
      </c>
      <c r="F2204" s="2">
        <v>193574.33660000001</v>
      </c>
      <c r="G2204" t="s">
        <v>3876</v>
      </c>
      <c r="H2204" t="s">
        <v>8</v>
      </c>
      <c r="I2204">
        <f>HLOOKUP(G2204,zip_tiers!$A$1:$EON$2,2,FALSE)</f>
        <v>60240.333333333336</v>
      </c>
      <c r="J2204" t="str">
        <f t="shared" si="34"/>
        <v>Med</v>
      </c>
      <c r="K2204">
        <f>dataset[[#This Row],[soda_sales]]/dataset[[#This Row],[soda_units_sold]]</f>
        <v>0.71236438662667678</v>
      </c>
      <c r="L2204" s="29">
        <f>dataset[[#This Row],[implied_soda_ppu]]-dataset[[#This Row],[soda_ppu]]</f>
        <v>-3.5613373323251096E-5</v>
      </c>
      <c r="M2204">
        <f>dataset[[#This Row],[soda_sales]]/dataset[[#This Row],[total_sales]]</f>
        <v>9.0100628717369333E-2</v>
      </c>
      <c r="N2204">
        <f>LN(dataset[[#This Row],[soda_units_sold]])</f>
        <v>12.512582605667914</v>
      </c>
      <c r="O2204">
        <f>LN(dataset[[#This Row],[soda_sales]])</f>
        <v>12.173416886153611</v>
      </c>
      <c r="P2204">
        <f>LN(dataset[[#This Row],[soda_ppu]])</f>
        <v>-0.33911572756663044</v>
      </c>
      <c r="Q2204">
        <f>IF(dataset[[#This Row],[state]]="VA",1,0)</f>
        <v>0</v>
      </c>
    </row>
    <row r="2205" spans="1:17" x14ac:dyDescent="0.35">
      <c r="A2205">
        <v>202208</v>
      </c>
      <c r="B2205">
        <v>45</v>
      </c>
      <c r="C2205" s="2">
        <v>2054242.9689</v>
      </c>
      <c r="D2205" s="2">
        <v>0.69269999999999998</v>
      </c>
      <c r="E2205" s="3">
        <v>249449</v>
      </c>
      <c r="F2205" s="2">
        <v>172784.55530000001</v>
      </c>
      <c r="G2205" t="s">
        <v>3876</v>
      </c>
      <c r="H2205" t="s">
        <v>8</v>
      </c>
      <c r="I2205">
        <f>HLOOKUP(G2205,zip_tiers!$A$1:$EON$2,2,FALSE)</f>
        <v>60240.333333333336</v>
      </c>
      <c r="J2205" t="str">
        <f t="shared" si="34"/>
        <v>Med</v>
      </c>
      <c r="K2205">
        <f>dataset[[#This Row],[soda_sales]]/dataset[[#This Row],[soda_units_sold]]</f>
        <v>0.69266485453940485</v>
      </c>
      <c r="L2205" s="29">
        <f>dataset[[#This Row],[implied_soda_ppu]]-dataset[[#This Row],[soda_ppu]]</f>
        <v>-3.5145460595131794E-5</v>
      </c>
      <c r="M2205">
        <f>dataset[[#This Row],[soda_sales]]/dataset[[#This Row],[total_sales]]</f>
        <v>8.4111060821847272E-2</v>
      </c>
      <c r="N2205">
        <f>LN(dataset[[#This Row],[soda_units_sold]])</f>
        <v>12.427009764461745</v>
      </c>
      <c r="O2205">
        <f>LN(dataset[[#This Row],[soda_sales]])</f>
        <v>12.059800752306622</v>
      </c>
      <c r="P2205">
        <f>LN(dataset[[#This Row],[soda_ppu]])</f>
        <v>-0.3671582739535777</v>
      </c>
      <c r="Q2205">
        <f>IF(dataset[[#This Row],[state]]="VA",1,0)</f>
        <v>0</v>
      </c>
    </row>
    <row r="2206" spans="1:17" x14ac:dyDescent="0.35">
      <c r="A2206">
        <v>202209</v>
      </c>
      <c r="B2206">
        <v>45</v>
      </c>
      <c r="C2206" s="2">
        <v>2072271.2849000001</v>
      </c>
      <c r="D2206" s="2">
        <v>0.70620000000000005</v>
      </c>
      <c r="E2206" s="3">
        <v>238324</v>
      </c>
      <c r="F2206" s="2">
        <v>168300.32939999999</v>
      </c>
      <c r="G2206" t="s">
        <v>3876</v>
      </c>
      <c r="H2206" t="s">
        <v>8</v>
      </c>
      <c r="I2206">
        <f>HLOOKUP(G2206,zip_tiers!$A$1:$EON$2,2,FALSE)</f>
        <v>60240.333333333336</v>
      </c>
      <c r="J2206" t="str">
        <f t="shared" si="34"/>
        <v>Med</v>
      </c>
      <c r="K2206">
        <f>dataset[[#This Row],[soda_sales]]/dataset[[#This Row],[soda_units_sold]]</f>
        <v>0.70618288296604614</v>
      </c>
      <c r="L2206" s="29">
        <f>dataset[[#This Row],[implied_soda_ppu]]-dataset[[#This Row],[soda_ppu]]</f>
        <v>-1.711703395390618E-5</v>
      </c>
      <c r="M2206">
        <f>dataset[[#This Row],[soda_sales]]/dataset[[#This Row],[total_sales]]</f>
        <v>8.1215394251878334E-2</v>
      </c>
      <c r="N2206">
        <f>LN(dataset[[#This Row],[soda_units_sold]])</f>
        <v>12.381386371402069</v>
      </c>
      <c r="O2206">
        <f>LN(dataset[[#This Row],[soda_sales]])</f>
        <v>12.033505337396234</v>
      </c>
      <c r="P2206">
        <f>LN(dataset[[#This Row],[soda_ppu]])</f>
        <v>-0.34785679548785092</v>
      </c>
      <c r="Q2206">
        <f>IF(dataset[[#This Row],[state]]="VA",1,0)</f>
        <v>0</v>
      </c>
    </row>
    <row r="2207" spans="1:17" x14ac:dyDescent="0.35">
      <c r="A2207">
        <v>202210</v>
      </c>
      <c r="B2207">
        <v>45</v>
      </c>
      <c r="C2207" s="2">
        <v>2528817.9213</v>
      </c>
      <c r="D2207" s="2">
        <v>0.68689999999999996</v>
      </c>
      <c r="E2207" s="3">
        <v>231143</v>
      </c>
      <c r="F2207" s="2">
        <v>158770.8988</v>
      </c>
      <c r="G2207" t="s">
        <v>3876</v>
      </c>
      <c r="H2207" t="s">
        <v>8</v>
      </c>
      <c r="I2207">
        <f>HLOOKUP(G2207,zip_tiers!$A$1:$EON$2,2,FALSE)</f>
        <v>60240.333333333336</v>
      </c>
      <c r="J2207" t="str">
        <f t="shared" si="34"/>
        <v>Med</v>
      </c>
      <c r="K2207">
        <f>dataset[[#This Row],[soda_sales]]/dataset[[#This Row],[soda_units_sold]]</f>
        <v>0.68689468770414852</v>
      </c>
      <c r="L2207" s="29">
        <f>dataset[[#This Row],[implied_soda_ppu]]-dataset[[#This Row],[soda_ppu]]</f>
        <v>-5.3122958514340013E-6</v>
      </c>
      <c r="M2207">
        <f>dataset[[#This Row],[soda_sales]]/dataset[[#This Row],[total_sales]]</f>
        <v>6.2784630503717714E-2</v>
      </c>
      <c r="N2207">
        <f>LN(dataset[[#This Row],[soda_units_sold]])</f>
        <v>12.350791845592042</v>
      </c>
      <c r="O2207">
        <f>LN(dataset[[#This Row],[soda_sales]])</f>
        <v>11.975217554074618</v>
      </c>
      <c r="P2207">
        <f>LN(dataset[[#This Row],[soda_ppu]])</f>
        <v>-0.37556655776230119</v>
      </c>
      <c r="Q2207">
        <f>IF(dataset[[#This Row],[state]]="VA",1,0)</f>
        <v>0</v>
      </c>
    </row>
    <row r="2208" spans="1:17" x14ac:dyDescent="0.35">
      <c r="A2208">
        <v>202211</v>
      </c>
      <c r="B2208">
        <v>45</v>
      </c>
      <c r="C2208" s="2">
        <v>2919782.8036000002</v>
      </c>
      <c r="D2208" s="2">
        <v>0.69259999999999999</v>
      </c>
      <c r="E2208" s="3">
        <v>224513</v>
      </c>
      <c r="F2208" s="2">
        <v>155505.71739999999</v>
      </c>
      <c r="G2208" t="s">
        <v>3876</v>
      </c>
      <c r="H2208" t="s">
        <v>8</v>
      </c>
      <c r="I2208">
        <f>HLOOKUP(G2208,zip_tiers!$A$1:$EON$2,2,FALSE)</f>
        <v>60240.333333333336</v>
      </c>
      <c r="J2208" t="str">
        <f t="shared" si="34"/>
        <v>Med</v>
      </c>
      <c r="K2208">
        <f>dataset[[#This Row],[soda_sales]]/dataset[[#This Row],[soda_units_sold]]</f>
        <v>0.69263569325606977</v>
      </c>
      <c r="L2208" s="29">
        <f>dataset[[#This Row],[implied_soda_ppu]]-dataset[[#This Row],[soda_ppu]]</f>
        <v>3.56932560697798E-5</v>
      </c>
      <c r="M2208">
        <f>dataset[[#This Row],[soda_sales]]/dataset[[#This Row],[total_sales]]</f>
        <v>5.3259344225284957E-2</v>
      </c>
      <c r="N2208">
        <f>LN(dataset[[#This Row],[soda_units_sold]])</f>
        <v>12.32168889094673</v>
      </c>
      <c r="O2208">
        <f>LN(dataset[[#This Row],[soda_sales]])</f>
        <v>11.954437777771163</v>
      </c>
      <c r="P2208">
        <f>LN(dataset[[#This Row],[soda_ppu]])</f>
        <v>-0.36730264701381549</v>
      </c>
      <c r="Q2208">
        <f>IF(dataset[[#This Row],[state]]="VA",1,0)</f>
        <v>0</v>
      </c>
    </row>
    <row r="2209" spans="1:17" x14ac:dyDescent="0.35">
      <c r="A2209">
        <v>202212</v>
      </c>
      <c r="B2209">
        <v>45</v>
      </c>
      <c r="C2209" s="2">
        <v>2974756.1107000001</v>
      </c>
      <c r="D2209" s="2">
        <v>0.70579999999999998</v>
      </c>
      <c r="E2209" s="3">
        <v>205895</v>
      </c>
      <c r="F2209" s="2">
        <v>145319.557</v>
      </c>
      <c r="G2209" t="s">
        <v>3876</v>
      </c>
      <c r="H2209" t="s">
        <v>8</v>
      </c>
      <c r="I2209">
        <f>HLOOKUP(G2209,zip_tiers!$A$1:$EON$2,2,FALSE)</f>
        <v>60240.333333333336</v>
      </c>
      <c r="J2209" t="str">
        <f t="shared" si="34"/>
        <v>Med</v>
      </c>
      <c r="K2209">
        <f>dataset[[#This Row],[soda_sales]]/dataset[[#This Row],[soda_units_sold]]</f>
        <v>0.70579449233832781</v>
      </c>
      <c r="L2209" s="29">
        <f>dataset[[#This Row],[implied_soda_ppu]]-dataset[[#This Row],[soda_ppu]]</f>
        <v>-5.5076616721771998E-6</v>
      </c>
      <c r="M2209">
        <f>dataset[[#This Row],[soda_sales]]/dataset[[#This Row],[total_sales]]</f>
        <v>4.8850914694248453E-2</v>
      </c>
      <c r="N2209">
        <f>LN(dataset[[#This Row],[soda_units_sold]])</f>
        <v>12.235121609088198</v>
      </c>
      <c r="O2209">
        <f>LN(dataset[[#This Row],[soda_sales]])</f>
        <v>11.886690437885679</v>
      </c>
      <c r="P2209">
        <f>LN(dataset[[#This Row],[soda_ppu]])</f>
        <v>-0.34842336774096738</v>
      </c>
      <c r="Q2209">
        <f>IF(dataset[[#This Row],[state]]="VA",1,0)</f>
        <v>0</v>
      </c>
    </row>
    <row r="2210" spans="1:17" x14ac:dyDescent="0.35">
      <c r="A2210">
        <v>202301</v>
      </c>
      <c r="B2210">
        <v>45</v>
      </c>
      <c r="C2210" s="2">
        <v>1680953.1547999999</v>
      </c>
      <c r="D2210" s="2">
        <v>0.73280000000000001</v>
      </c>
      <c r="E2210" s="3">
        <v>139626</v>
      </c>
      <c r="F2210" s="2">
        <v>102312.4088</v>
      </c>
      <c r="G2210" t="s">
        <v>3876</v>
      </c>
      <c r="H2210" t="s">
        <v>8</v>
      </c>
      <c r="I2210">
        <f>HLOOKUP(G2210,zip_tiers!$A$1:$EON$2,2,FALSE)</f>
        <v>60240.333333333336</v>
      </c>
      <c r="J2210" t="str">
        <f t="shared" si="34"/>
        <v>Med</v>
      </c>
      <c r="K2210">
        <f>dataset[[#This Row],[soda_sales]]/dataset[[#This Row],[soda_units_sold]]</f>
        <v>0.73276043716786277</v>
      </c>
      <c r="L2210" s="29">
        <f>dataset[[#This Row],[implied_soda_ppu]]-dataset[[#This Row],[soda_ppu]]</f>
        <v>-3.9562832137240989E-5</v>
      </c>
      <c r="M2210">
        <f>dataset[[#This Row],[soda_sales]]/dataset[[#This Row],[total_sales]]</f>
        <v>6.0865710925878329E-2</v>
      </c>
      <c r="N2210">
        <f>LN(dataset[[#This Row],[soda_units_sold]])</f>
        <v>11.846722698387037</v>
      </c>
      <c r="O2210">
        <f>LN(dataset[[#This Row],[soda_sales]])</f>
        <v>11.535786242726411</v>
      </c>
      <c r="P2210">
        <f>LN(dataset[[#This Row],[soda_ppu]])</f>
        <v>-0.31088246562221655</v>
      </c>
      <c r="Q2210">
        <f>IF(dataset[[#This Row],[state]]="VA",1,0)</f>
        <v>0</v>
      </c>
    </row>
    <row r="2211" spans="1:17" x14ac:dyDescent="0.35">
      <c r="A2211">
        <v>202302</v>
      </c>
      <c r="B2211">
        <v>45</v>
      </c>
      <c r="C2211" s="2">
        <v>1957703.2019</v>
      </c>
      <c r="D2211" s="2">
        <v>0.70889999999999997</v>
      </c>
      <c r="E2211" s="3">
        <v>173043</v>
      </c>
      <c r="F2211" s="2">
        <v>122673.10129999999</v>
      </c>
      <c r="G2211" t="s">
        <v>3876</v>
      </c>
      <c r="H2211" t="s">
        <v>8</v>
      </c>
      <c r="I2211">
        <f>HLOOKUP(G2211,zip_tiers!$A$1:$EON$2,2,FALSE)</f>
        <v>60240.333333333336</v>
      </c>
      <c r="J2211" t="str">
        <f t="shared" si="34"/>
        <v>Med</v>
      </c>
      <c r="K2211">
        <f>dataset[[#This Row],[soda_sales]]/dataset[[#This Row],[soda_units_sold]]</f>
        <v>0.70891686632802253</v>
      </c>
      <c r="L2211" s="29">
        <f>dataset[[#This Row],[implied_soda_ppu]]-dataset[[#This Row],[soda_ppu]]</f>
        <v>1.686632802255783E-5</v>
      </c>
      <c r="M2211">
        <f>dataset[[#This Row],[soda_sales]]/dataset[[#This Row],[total_sales]]</f>
        <v>6.2661746265186002E-2</v>
      </c>
      <c r="N2211">
        <f>LN(dataset[[#This Row],[soda_units_sold]])</f>
        <v>12.061295397508555</v>
      </c>
      <c r="O2211">
        <f>LN(dataset[[#This Row],[soda_sales]])</f>
        <v>11.717278383357177</v>
      </c>
      <c r="P2211">
        <f>LN(dataset[[#This Row],[soda_ppu]])</f>
        <v>-0.34404080612116522</v>
      </c>
      <c r="Q2211">
        <f>IF(dataset[[#This Row],[state]]="VA",1,0)</f>
        <v>0</v>
      </c>
    </row>
    <row r="2212" spans="1:17" x14ac:dyDescent="0.35">
      <c r="A2212">
        <v>202303</v>
      </c>
      <c r="B2212">
        <v>45</v>
      </c>
      <c r="C2212" s="2">
        <v>2236014.6197000002</v>
      </c>
      <c r="D2212" s="2">
        <v>0.73750000000000004</v>
      </c>
      <c r="E2212" s="3">
        <v>194847</v>
      </c>
      <c r="F2212" s="2">
        <v>143692.87539999999</v>
      </c>
      <c r="G2212" t="s">
        <v>3876</v>
      </c>
      <c r="H2212" t="s">
        <v>8</v>
      </c>
      <c r="I2212">
        <f>HLOOKUP(G2212,zip_tiers!$A$1:$EON$2,2,FALSE)</f>
        <v>60240.333333333336</v>
      </c>
      <c r="J2212" t="str">
        <f t="shared" si="34"/>
        <v>Med</v>
      </c>
      <c r="K2212">
        <f>dataset[[#This Row],[soda_sales]]/dataset[[#This Row],[soda_units_sold]]</f>
        <v>0.73746516702848897</v>
      </c>
      <c r="L2212" s="29">
        <f>dataset[[#This Row],[implied_soda_ppu]]-dataset[[#This Row],[soda_ppu]]</f>
        <v>-3.4832971511078448E-5</v>
      </c>
      <c r="M2212">
        <f>dataset[[#This Row],[soda_sales]]/dataset[[#This Row],[total_sales]]</f>
        <v>6.4262940919088837E-2</v>
      </c>
      <c r="N2212">
        <f>LN(dataset[[#This Row],[soda_units_sold]])</f>
        <v>12.179969914189513</v>
      </c>
      <c r="O2212">
        <f>LN(dataset[[#This Row],[soda_sales]])</f>
        <v>11.875433491158114</v>
      </c>
      <c r="P2212">
        <f>LN(dataset[[#This Row],[soda_ppu]])</f>
        <v>-0.30448919076816211</v>
      </c>
      <c r="Q2212">
        <f>IF(dataset[[#This Row],[state]]="VA",1,0)</f>
        <v>0</v>
      </c>
    </row>
    <row r="2213" spans="1:17" x14ac:dyDescent="0.35">
      <c r="A2213">
        <v>202304</v>
      </c>
      <c r="B2213">
        <v>45</v>
      </c>
      <c r="C2213" s="2">
        <v>2302025.2215999998</v>
      </c>
      <c r="D2213" s="2">
        <v>0.71840000000000004</v>
      </c>
      <c r="E2213" s="3">
        <v>234371</v>
      </c>
      <c r="F2213" s="2">
        <v>168381.20170000001</v>
      </c>
      <c r="G2213" t="s">
        <v>3876</v>
      </c>
      <c r="H2213" t="s">
        <v>8</v>
      </c>
      <c r="I2213">
        <f>HLOOKUP(G2213,zip_tiers!$A$1:$EON$2,2,FALSE)</f>
        <v>60240.333333333336</v>
      </c>
      <c r="J2213" t="str">
        <f t="shared" si="34"/>
        <v>Med</v>
      </c>
      <c r="K2213">
        <f>dataset[[#This Row],[soda_sales]]/dataset[[#This Row],[soda_units_sold]]</f>
        <v>0.71843872194085445</v>
      </c>
      <c r="L2213" s="29">
        <f>dataset[[#This Row],[implied_soda_ppu]]-dataset[[#This Row],[soda_ppu]]</f>
        <v>3.8721940854413717E-5</v>
      </c>
      <c r="M2213">
        <f>dataset[[#This Row],[soda_sales]]/dataset[[#This Row],[total_sales]]</f>
        <v>7.3144811846574093E-2</v>
      </c>
      <c r="N2213">
        <f>LN(dataset[[#This Row],[soda_units_sold]])</f>
        <v>12.364660608894509</v>
      </c>
      <c r="O2213">
        <f>LN(dataset[[#This Row],[soda_sales]])</f>
        <v>12.033985745699541</v>
      </c>
      <c r="P2213">
        <f>LN(dataset[[#This Row],[soda_ppu]])</f>
        <v>-0.33072876199414714</v>
      </c>
      <c r="Q2213">
        <f>IF(dataset[[#This Row],[state]]="VA",1,0)</f>
        <v>0</v>
      </c>
    </row>
    <row r="2214" spans="1:17" x14ac:dyDescent="0.35">
      <c r="A2214">
        <v>202305</v>
      </c>
      <c r="B2214">
        <v>45</v>
      </c>
      <c r="C2214" s="2">
        <v>2425438.159</v>
      </c>
      <c r="D2214" s="2">
        <v>0.70989999999999998</v>
      </c>
      <c r="E2214" s="3">
        <v>261247</v>
      </c>
      <c r="F2214" s="2">
        <v>185446.29730000001</v>
      </c>
      <c r="G2214" t="s">
        <v>3876</v>
      </c>
      <c r="H2214" t="s">
        <v>8</v>
      </c>
      <c r="I2214">
        <f>HLOOKUP(G2214,zip_tiers!$A$1:$EON$2,2,FALSE)</f>
        <v>60240.333333333336</v>
      </c>
      <c r="J2214" t="str">
        <f t="shared" si="34"/>
        <v>Med</v>
      </c>
      <c r="K2214">
        <f>dataset[[#This Row],[soda_sales]]/dataset[[#This Row],[soda_units_sold]]</f>
        <v>0.70985043770837564</v>
      </c>
      <c r="L2214" s="29">
        <f>dataset[[#This Row],[implied_soda_ppu]]-dataset[[#This Row],[soda_ppu]]</f>
        <v>-4.9562291624338783E-5</v>
      </c>
      <c r="M2214">
        <f>dataset[[#This Row],[soda_sales]]/dataset[[#This Row],[total_sales]]</f>
        <v>7.6458885010887642E-2</v>
      </c>
      <c r="N2214">
        <f>LN(dataset[[#This Row],[soda_units_sold]])</f>
        <v>12.473221598941636</v>
      </c>
      <c r="O2214">
        <f>LN(dataset[[#This Row],[soda_sales]])</f>
        <v>12.130520616689834</v>
      </c>
      <c r="P2214">
        <f>LN(dataset[[#This Row],[soda_ppu]])</f>
        <v>-0.34263116393679688</v>
      </c>
      <c r="Q2214">
        <f>IF(dataset[[#This Row],[state]]="VA",1,0)</f>
        <v>0</v>
      </c>
    </row>
    <row r="2215" spans="1:17" x14ac:dyDescent="0.35">
      <c r="A2215">
        <v>202306</v>
      </c>
      <c r="B2215">
        <v>45</v>
      </c>
      <c r="C2215" s="2">
        <v>2293227.5548</v>
      </c>
      <c r="D2215" s="2">
        <v>0.69810000000000005</v>
      </c>
      <c r="E2215" s="3">
        <v>270765</v>
      </c>
      <c r="F2215" s="2">
        <v>189031.967</v>
      </c>
      <c r="G2215" t="s">
        <v>3876</v>
      </c>
      <c r="H2215" t="s">
        <v>8</v>
      </c>
      <c r="I2215">
        <f>HLOOKUP(G2215,zip_tiers!$A$1:$EON$2,2,FALSE)</f>
        <v>60240.333333333336</v>
      </c>
      <c r="J2215" t="str">
        <f t="shared" si="34"/>
        <v>Med</v>
      </c>
      <c r="K2215">
        <f>dataset[[#This Row],[soda_sales]]/dataset[[#This Row],[soda_units_sold]]</f>
        <v>0.69814033202223336</v>
      </c>
      <c r="L2215" s="29">
        <f>dataset[[#This Row],[implied_soda_ppu]]-dataset[[#This Row],[soda_ppu]]</f>
        <v>4.0332022233302567E-5</v>
      </c>
      <c r="M2215">
        <f>dataset[[#This Row],[soda_sales]]/dataset[[#This Row],[total_sales]]</f>
        <v>8.2430531852076105E-2</v>
      </c>
      <c r="N2215">
        <f>LN(dataset[[#This Row],[soda_units_sold]])</f>
        <v>12.509006564990672</v>
      </c>
      <c r="O2215">
        <f>LN(dataset[[#This Row],[soda_sales]])</f>
        <v>12.149671417305772</v>
      </c>
      <c r="P2215">
        <f>LN(dataset[[#This Row],[soda_ppu]])</f>
        <v>-0.35939292000578121</v>
      </c>
      <c r="Q2215">
        <f>IF(dataset[[#This Row],[state]]="VA",1,0)</f>
        <v>0</v>
      </c>
    </row>
    <row r="2216" spans="1:17" x14ac:dyDescent="0.35">
      <c r="A2216">
        <v>202307</v>
      </c>
      <c r="B2216">
        <v>45</v>
      </c>
      <c r="C2216" s="2">
        <v>2195663.9441999998</v>
      </c>
      <c r="D2216" s="2">
        <v>0.71760000000000002</v>
      </c>
      <c r="E2216" s="3">
        <v>272160</v>
      </c>
      <c r="F2216" s="2">
        <v>195302.91630000001</v>
      </c>
      <c r="G2216" t="s">
        <v>3876</v>
      </c>
      <c r="H2216" t="s">
        <v>8</v>
      </c>
      <c r="I2216">
        <f>HLOOKUP(G2216,zip_tiers!$A$1:$EON$2,2,FALSE)</f>
        <v>60240.333333333336</v>
      </c>
      <c r="J2216" t="str">
        <f t="shared" si="34"/>
        <v>Med</v>
      </c>
      <c r="K2216">
        <f>dataset[[#This Row],[soda_sales]]/dataset[[#This Row],[soda_units_sold]]</f>
        <v>0.71760330798059968</v>
      </c>
      <c r="L2216" s="29">
        <f>dataset[[#This Row],[implied_soda_ppu]]-dataset[[#This Row],[soda_ppu]]</f>
        <v>3.3079805996649725E-6</v>
      </c>
      <c r="M2216">
        <f>dataset[[#This Row],[soda_sales]]/dataset[[#This Row],[total_sales]]</f>
        <v>8.8949366234257463E-2</v>
      </c>
      <c r="N2216">
        <f>LN(dataset[[#This Row],[soda_units_sold]])</f>
        <v>12.514145407629689</v>
      </c>
      <c r="O2216">
        <f>LN(dataset[[#This Row],[soda_sales]])</f>
        <v>12.182307049164958</v>
      </c>
      <c r="P2216">
        <f>LN(dataset[[#This Row],[soda_ppu]])</f>
        <v>-0.33184296823755066</v>
      </c>
      <c r="Q2216">
        <f>IF(dataset[[#This Row],[state]]="VA",1,0)</f>
        <v>0</v>
      </c>
    </row>
    <row r="2217" spans="1:17" x14ac:dyDescent="0.35">
      <c r="A2217">
        <v>202308</v>
      </c>
      <c r="B2217">
        <v>45</v>
      </c>
      <c r="C2217" s="2">
        <v>2056693.5704999999</v>
      </c>
      <c r="D2217" s="2">
        <v>0.71160000000000001</v>
      </c>
      <c r="E2217" s="3">
        <v>237267</v>
      </c>
      <c r="F2217" s="2">
        <v>168841.53649999999</v>
      </c>
      <c r="G2217" t="s">
        <v>3876</v>
      </c>
      <c r="H2217" t="s">
        <v>8</v>
      </c>
      <c r="I2217">
        <f>HLOOKUP(G2217,zip_tiers!$A$1:$EON$2,2,FALSE)</f>
        <v>60240.333333333336</v>
      </c>
      <c r="J2217" t="str">
        <f t="shared" si="34"/>
        <v>Med</v>
      </c>
      <c r="K2217">
        <f>dataset[[#This Row],[soda_sales]]/dataset[[#This Row],[soda_units_sold]]</f>
        <v>0.71160985935675836</v>
      </c>
      <c r="L2217" s="29">
        <f>dataset[[#This Row],[implied_soda_ppu]]-dataset[[#This Row],[soda_ppu]]</f>
        <v>9.8593567583460384E-6</v>
      </c>
      <c r="M2217">
        <f>dataset[[#This Row],[soda_sales]]/dataset[[#This Row],[total_sales]]</f>
        <v>8.2093676433749513E-2</v>
      </c>
      <c r="N2217">
        <f>LN(dataset[[#This Row],[soda_units_sold]])</f>
        <v>12.376941368278146</v>
      </c>
      <c r="O2217">
        <f>LN(dataset[[#This Row],[soda_sales]])</f>
        <v>12.036715900186703</v>
      </c>
      <c r="P2217">
        <f>LN(dataset[[#This Row],[soda_ppu]])</f>
        <v>-0.34023932319045697</v>
      </c>
      <c r="Q2217">
        <f>IF(dataset[[#This Row],[state]]="VA",1,0)</f>
        <v>0</v>
      </c>
    </row>
    <row r="2218" spans="1:17" x14ac:dyDescent="0.35">
      <c r="A2218">
        <v>202309</v>
      </c>
      <c r="B2218">
        <v>45</v>
      </c>
      <c r="C2218" s="2">
        <v>2044677.7113999999</v>
      </c>
      <c r="D2218" s="2">
        <v>0.67479999999999996</v>
      </c>
      <c r="E2218" s="3">
        <v>242028</v>
      </c>
      <c r="F2218" s="2">
        <v>163323.62959999999</v>
      </c>
      <c r="G2218" t="s">
        <v>3876</v>
      </c>
      <c r="H2218" t="s">
        <v>8</v>
      </c>
      <c r="I2218">
        <f>HLOOKUP(G2218,zip_tiers!$A$1:$EON$2,2,FALSE)</f>
        <v>60240.333333333336</v>
      </c>
      <c r="J2218" t="str">
        <f t="shared" si="34"/>
        <v>Med</v>
      </c>
      <c r="K2218">
        <f>dataset[[#This Row],[soda_sales]]/dataset[[#This Row],[soda_units_sold]]</f>
        <v>0.67481295387310558</v>
      </c>
      <c r="L2218" s="29">
        <f>dataset[[#This Row],[implied_soda_ppu]]-dataset[[#This Row],[soda_ppu]]</f>
        <v>1.2953873105625568E-5</v>
      </c>
      <c r="M2218">
        <f>dataset[[#This Row],[soda_sales]]/dataset[[#This Row],[total_sales]]</f>
        <v>7.9877444102509229E-2</v>
      </c>
      <c r="N2218">
        <f>LN(dataset[[#This Row],[soda_units_sold]])</f>
        <v>12.396808700925147</v>
      </c>
      <c r="O2218">
        <f>LN(dataset[[#This Row],[soda_sales]])</f>
        <v>12.003488969041575</v>
      </c>
      <c r="P2218">
        <f>LN(dataset[[#This Row],[soda_ppu]])</f>
        <v>-0.39333892831032391</v>
      </c>
      <c r="Q2218">
        <f>IF(dataset[[#This Row],[state]]="VA",1,0)</f>
        <v>0</v>
      </c>
    </row>
    <row r="2219" spans="1:17" x14ac:dyDescent="0.35">
      <c r="A2219">
        <v>202310</v>
      </c>
      <c r="B2219">
        <v>45</v>
      </c>
      <c r="C2219" s="2">
        <v>2538838.7584000002</v>
      </c>
      <c r="D2219" s="2">
        <v>0.71679999999999999</v>
      </c>
      <c r="E2219" s="3">
        <v>220299</v>
      </c>
      <c r="F2219" s="2">
        <v>157917.3303</v>
      </c>
      <c r="G2219" t="s">
        <v>3876</v>
      </c>
      <c r="H2219" t="s">
        <v>8</v>
      </c>
      <c r="I2219">
        <f>HLOOKUP(G2219,zip_tiers!$A$1:$EON$2,2,FALSE)</f>
        <v>60240.333333333336</v>
      </c>
      <c r="J2219" t="str">
        <f t="shared" si="34"/>
        <v>Med</v>
      </c>
      <c r="K2219">
        <f>dataset[[#This Row],[soda_sales]]/dataset[[#This Row],[soda_units_sold]]</f>
        <v>0.71683180722563422</v>
      </c>
      <c r="L2219" s="29">
        <f>dataset[[#This Row],[implied_soda_ppu]]-dataset[[#This Row],[soda_ppu]]</f>
        <v>3.1807225634228331E-5</v>
      </c>
      <c r="M2219">
        <f>dataset[[#This Row],[soda_sales]]/dataset[[#This Row],[total_sales]]</f>
        <v>6.2200614268044727E-2</v>
      </c>
      <c r="N2219">
        <f>LN(dataset[[#This Row],[soda_units_sold]])</f>
        <v>12.302740993515492</v>
      </c>
      <c r="O2219">
        <f>LN(dataset[[#This Row],[soda_sales]])</f>
        <v>11.969826949129274</v>
      </c>
      <c r="P2219">
        <f>LN(dataset[[#This Row],[soda_ppu]])</f>
        <v>-0.33295841732141634</v>
      </c>
      <c r="Q2219">
        <f>IF(dataset[[#This Row],[state]]="VA",1,0)</f>
        <v>0</v>
      </c>
    </row>
    <row r="2220" spans="1:17" x14ac:dyDescent="0.35">
      <c r="A2220">
        <v>202311</v>
      </c>
      <c r="B2220">
        <v>45</v>
      </c>
      <c r="C2220" s="2">
        <v>2911585.6233999999</v>
      </c>
      <c r="D2220" s="2">
        <v>0.71730000000000005</v>
      </c>
      <c r="E2220" s="3">
        <v>211688</v>
      </c>
      <c r="F2220" s="2">
        <v>151833.85630000001</v>
      </c>
      <c r="G2220" t="s">
        <v>3876</v>
      </c>
      <c r="H2220" t="s">
        <v>8</v>
      </c>
      <c r="I2220">
        <f>HLOOKUP(G2220,zip_tiers!$A$1:$EON$2,2,FALSE)</f>
        <v>60240.333333333336</v>
      </c>
      <c r="J2220" t="str">
        <f t="shared" si="34"/>
        <v>Med</v>
      </c>
      <c r="K2220">
        <f>dataset[[#This Row],[soda_sales]]/dataset[[#This Row],[soda_units_sold]]</f>
        <v>0.71725301528664831</v>
      </c>
      <c r="L2220" s="29">
        <f>dataset[[#This Row],[implied_soda_ppu]]-dataset[[#This Row],[soda_ppu]]</f>
        <v>-4.6984713351738705E-5</v>
      </c>
      <c r="M2220">
        <f>dataset[[#This Row],[soda_sales]]/dataset[[#This Row],[total_sales]]</f>
        <v>5.2148168022170767E-2</v>
      </c>
      <c r="N2220">
        <f>LN(dataset[[#This Row],[soda_units_sold]])</f>
        <v>12.262868771529584</v>
      </c>
      <c r="O2220">
        <f>LN(dataset[[#This Row],[soda_sales]])</f>
        <v>11.930542151354981</v>
      </c>
      <c r="P2220">
        <f>LN(dataset[[#This Row],[soda_ppu]])</f>
        <v>-0.33226111584974827</v>
      </c>
      <c r="Q2220">
        <f>IF(dataset[[#This Row],[state]]="VA",1,0)</f>
        <v>0</v>
      </c>
    </row>
    <row r="2221" spans="1:17" x14ac:dyDescent="0.35">
      <c r="A2221">
        <v>202312</v>
      </c>
      <c r="B2221">
        <v>45</v>
      </c>
      <c r="C2221" s="2">
        <v>3042458.3975</v>
      </c>
      <c r="D2221" s="2">
        <v>0.7046</v>
      </c>
      <c r="E2221" s="3">
        <v>208180</v>
      </c>
      <c r="F2221" s="2">
        <v>146678.57740000001</v>
      </c>
      <c r="G2221" t="s">
        <v>3876</v>
      </c>
      <c r="H2221" t="s">
        <v>8</v>
      </c>
      <c r="I2221">
        <f>HLOOKUP(G2221,zip_tiers!$A$1:$EON$2,2,FALSE)</f>
        <v>60240.333333333336</v>
      </c>
      <c r="J2221" t="str">
        <f t="shared" si="34"/>
        <v>Med</v>
      </c>
      <c r="K2221">
        <f>dataset[[#This Row],[soda_sales]]/dataset[[#This Row],[soda_units_sold]]</f>
        <v>0.70457573926409844</v>
      </c>
      <c r="L2221" s="29">
        <f>dataset[[#This Row],[implied_soda_ppu]]-dataset[[#This Row],[soda_ppu]]</f>
        <v>-2.4260735901560082E-5</v>
      </c>
      <c r="M2221">
        <f>dataset[[#This Row],[soda_sales]]/dataset[[#This Row],[total_sales]]</f>
        <v>4.8210544972620291E-2</v>
      </c>
      <c r="N2221">
        <f>LN(dataset[[#This Row],[soda_units_sold]])</f>
        <v>12.246158369069459</v>
      </c>
      <c r="O2221">
        <f>LN(dataset[[#This Row],[soda_sales]])</f>
        <v>11.895998923474473</v>
      </c>
      <c r="P2221">
        <f>LN(dataset[[#This Row],[soda_ppu]])</f>
        <v>-0.35012501307499977</v>
      </c>
      <c r="Q2221">
        <f>IF(dataset[[#This Row],[state]]="VA",1,0)</f>
        <v>0</v>
      </c>
    </row>
    <row r="2222" spans="1:17" x14ac:dyDescent="0.35">
      <c r="A2222">
        <v>202401</v>
      </c>
      <c r="B2222">
        <v>45</v>
      </c>
      <c r="C2222" s="2">
        <v>1784470.3652999999</v>
      </c>
      <c r="D2222" s="2">
        <v>0.74160000000000004</v>
      </c>
      <c r="E2222" s="3">
        <v>150149</v>
      </c>
      <c r="F2222" s="2">
        <v>111354.5901</v>
      </c>
      <c r="G2222" t="s">
        <v>3876</v>
      </c>
      <c r="H2222" t="s">
        <v>8</v>
      </c>
      <c r="I2222">
        <f>HLOOKUP(G2222,zip_tiers!$A$1:$EON$2,2,FALSE)</f>
        <v>60240.333333333336</v>
      </c>
      <c r="J2222" t="str">
        <f t="shared" si="34"/>
        <v>Med</v>
      </c>
      <c r="K2222">
        <f>dataset[[#This Row],[soda_sales]]/dataset[[#This Row],[soda_units_sold]]</f>
        <v>0.74162725093074211</v>
      </c>
      <c r="L2222" s="29">
        <f>dataset[[#This Row],[implied_soda_ppu]]-dataset[[#This Row],[soda_ppu]]</f>
        <v>2.7250930742073187E-5</v>
      </c>
      <c r="M2222">
        <f>dataset[[#This Row],[soda_sales]]/dataset[[#This Row],[total_sales]]</f>
        <v>6.2402039431615548E-2</v>
      </c>
      <c r="N2222">
        <f>LN(dataset[[#This Row],[soda_units_sold]])</f>
        <v>11.919383413382638</v>
      </c>
      <c r="O2222">
        <f>LN(dataset[[#This Row],[soda_sales]])</f>
        <v>11.620474894108014</v>
      </c>
      <c r="P2222">
        <f>LN(dataset[[#This Row],[soda_ppu]])</f>
        <v>-0.2989452647304916</v>
      </c>
      <c r="Q2222">
        <f>IF(dataset[[#This Row],[state]]="VA",1,0)</f>
        <v>0</v>
      </c>
    </row>
    <row r="2223" spans="1:17" x14ac:dyDescent="0.35">
      <c r="A2223">
        <v>202402</v>
      </c>
      <c r="B2223">
        <v>45</v>
      </c>
      <c r="C2223" s="2">
        <v>1988763.997</v>
      </c>
      <c r="D2223" s="2">
        <v>0.70099999999999996</v>
      </c>
      <c r="E2223" s="3">
        <v>180029</v>
      </c>
      <c r="F2223" s="2">
        <v>126196.8996</v>
      </c>
      <c r="G2223" t="s">
        <v>3876</v>
      </c>
      <c r="H2223" t="s">
        <v>8</v>
      </c>
      <c r="I2223">
        <f>HLOOKUP(G2223,zip_tiers!$A$1:$EON$2,2,FALSE)</f>
        <v>60240.333333333336</v>
      </c>
      <c r="J2223" t="str">
        <f t="shared" si="34"/>
        <v>Med</v>
      </c>
      <c r="K2223">
        <f>dataset[[#This Row],[soda_sales]]/dataset[[#This Row],[soda_units_sold]]</f>
        <v>0.700980950846808</v>
      </c>
      <c r="L2223" s="29">
        <f>dataset[[#This Row],[implied_soda_ppu]]-dataset[[#This Row],[soda_ppu]]</f>
        <v>-1.9049153191952328E-5</v>
      </c>
      <c r="M2223">
        <f>dataset[[#This Row],[soda_sales]]/dataset[[#This Row],[total_sales]]</f>
        <v>6.3454939746679262E-2</v>
      </c>
      <c r="N2223">
        <f>LN(dataset[[#This Row],[soda_units_sold]])</f>
        <v>12.100873228006458</v>
      </c>
      <c r="O2223">
        <f>LN(dataset[[#This Row],[soda_sales]])</f>
        <v>11.745598661434061</v>
      </c>
      <c r="P2223">
        <f>LN(dataset[[#This Row],[soda_ppu]])</f>
        <v>-0.35524739194754701</v>
      </c>
      <c r="Q2223">
        <f>IF(dataset[[#This Row],[state]]="VA",1,0)</f>
        <v>0</v>
      </c>
    </row>
    <row r="2224" spans="1:17" x14ac:dyDescent="0.35">
      <c r="A2224">
        <v>202403</v>
      </c>
      <c r="B2224">
        <v>45</v>
      </c>
      <c r="C2224" s="2">
        <v>2224009.2500999998</v>
      </c>
      <c r="D2224" s="2">
        <v>0.72789999999999999</v>
      </c>
      <c r="E2224" s="3">
        <v>203765</v>
      </c>
      <c r="F2224" s="2">
        <v>148317.05549999999</v>
      </c>
      <c r="G2224" t="s">
        <v>3876</v>
      </c>
      <c r="H2224" t="s">
        <v>8</v>
      </c>
      <c r="I2224">
        <f>HLOOKUP(G2224,zip_tiers!$A$1:$EON$2,2,FALSE)</f>
        <v>60240.333333333336</v>
      </c>
      <c r="J2224" t="str">
        <f t="shared" si="34"/>
        <v>Med</v>
      </c>
      <c r="K2224">
        <f>dataset[[#This Row],[soda_sales]]/dataset[[#This Row],[soda_units_sold]]</f>
        <v>0.72788288224179809</v>
      </c>
      <c r="L2224" s="29">
        <f>dataset[[#This Row],[implied_soda_ppu]]-dataset[[#This Row],[soda_ppu]]</f>
        <v>-1.711775820190109E-5</v>
      </c>
      <c r="M2224">
        <f>dataset[[#This Row],[soda_sales]]/dataset[[#This Row],[total_sales]]</f>
        <v>6.6689046141930886E-2</v>
      </c>
      <c r="N2224">
        <f>LN(dataset[[#This Row],[soda_units_sold]])</f>
        <v>12.224722648025219</v>
      </c>
      <c r="O2224">
        <f>LN(dataset[[#This Row],[soda_sales]])</f>
        <v>11.907107528256343</v>
      </c>
      <c r="P2224">
        <f>LN(dataset[[#This Row],[soda_ppu]])</f>
        <v>-0.31759160285792482</v>
      </c>
      <c r="Q2224">
        <f>IF(dataset[[#This Row],[state]]="VA",1,0)</f>
        <v>0</v>
      </c>
    </row>
    <row r="2225" spans="1:17" x14ac:dyDescent="0.35">
      <c r="A2225">
        <v>202404</v>
      </c>
      <c r="B2225">
        <v>45</v>
      </c>
      <c r="C2225" s="2">
        <v>2356308.0778000001</v>
      </c>
      <c r="D2225" s="2">
        <v>0.73660000000000003</v>
      </c>
      <c r="E2225" s="3">
        <v>233158</v>
      </c>
      <c r="F2225" s="2">
        <v>171736.30619999999</v>
      </c>
      <c r="G2225" t="s">
        <v>3876</v>
      </c>
      <c r="H2225" t="s">
        <v>8</v>
      </c>
      <c r="I2225">
        <f>HLOOKUP(G2225,zip_tiers!$A$1:$EON$2,2,FALSE)</f>
        <v>60240.333333333336</v>
      </c>
      <c r="J2225" t="str">
        <f t="shared" si="34"/>
        <v>Med</v>
      </c>
      <c r="K2225">
        <f>dataset[[#This Row],[soda_sales]]/dataset[[#This Row],[soda_units_sold]]</f>
        <v>0.7365662177579152</v>
      </c>
      <c r="L2225" s="29">
        <f>dataset[[#This Row],[implied_soda_ppu]]-dataset[[#This Row],[soda_ppu]]</f>
        <v>-3.378224208483438E-5</v>
      </c>
      <c r="M2225">
        <f>dataset[[#This Row],[soda_sales]]/dataset[[#This Row],[total_sales]]</f>
        <v>7.2883638526734587E-2</v>
      </c>
      <c r="N2225">
        <f>LN(dataset[[#This Row],[soda_units_sold]])</f>
        <v>12.359471614322045</v>
      </c>
      <c r="O2225">
        <f>LN(dataset[[#This Row],[soda_sales]])</f>
        <v>12.053715475901543</v>
      </c>
      <c r="P2225">
        <f>LN(dataset[[#This Row],[soda_ppu]])</f>
        <v>-0.30571027497117209</v>
      </c>
      <c r="Q2225">
        <f>IF(dataset[[#This Row],[state]]="VA",1,0)</f>
        <v>0</v>
      </c>
    </row>
    <row r="2226" spans="1:17" x14ac:dyDescent="0.35">
      <c r="A2226">
        <v>202405</v>
      </c>
      <c r="B2226">
        <v>45</v>
      </c>
      <c r="C2226" s="2">
        <v>2442195.4616</v>
      </c>
      <c r="D2226" s="2">
        <v>0.72240000000000004</v>
      </c>
      <c r="E2226" s="3">
        <v>257587</v>
      </c>
      <c r="F2226" s="2">
        <v>186075.42</v>
      </c>
      <c r="G2226" t="s">
        <v>3876</v>
      </c>
      <c r="H2226" t="s">
        <v>8</v>
      </c>
      <c r="I2226">
        <f>HLOOKUP(G2226,zip_tiers!$A$1:$EON$2,2,FALSE)</f>
        <v>60240.333333333336</v>
      </c>
      <c r="J2226" t="str">
        <f t="shared" si="34"/>
        <v>Med</v>
      </c>
      <c r="K2226">
        <f>dataset[[#This Row],[soda_sales]]/dataset[[#This Row],[soda_units_sold]]</f>
        <v>0.72237892440224083</v>
      </c>
      <c r="L2226" s="29">
        <f>dataset[[#This Row],[implied_soda_ppu]]-dataset[[#This Row],[soda_ppu]]</f>
        <v>-2.1075597759212528E-5</v>
      </c>
      <c r="M2226">
        <f>dataset[[#This Row],[soda_sales]]/dataset[[#This Row],[total_sales]]</f>
        <v>7.6191862169006336E-2</v>
      </c>
      <c r="N2226">
        <f>LN(dataset[[#This Row],[soda_units_sold]])</f>
        <v>12.459112806100382</v>
      </c>
      <c r="O2226">
        <f>LN(dataset[[#This Row],[soda_sales]])</f>
        <v>12.133907354379938</v>
      </c>
      <c r="P2226">
        <f>LN(dataset[[#This Row],[soda_ppu]])</f>
        <v>-0.32517627687936135</v>
      </c>
      <c r="Q2226">
        <f>IF(dataset[[#This Row],[state]]="VA",1,0)</f>
        <v>0</v>
      </c>
    </row>
    <row r="2227" spans="1:17" x14ac:dyDescent="0.35">
      <c r="A2227">
        <v>202406</v>
      </c>
      <c r="B2227">
        <v>45</v>
      </c>
      <c r="C2227" s="2">
        <v>2318745.0353000001</v>
      </c>
      <c r="D2227" s="2">
        <v>0.74990000000000001</v>
      </c>
      <c r="E2227" s="3">
        <v>257402</v>
      </c>
      <c r="F2227" s="2">
        <v>193023.467</v>
      </c>
      <c r="G2227" t="s">
        <v>3876</v>
      </c>
      <c r="H2227" t="s">
        <v>8</v>
      </c>
      <c r="I2227">
        <f>HLOOKUP(G2227,zip_tiers!$A$1:$EON$2,2,FALSE)</f>
        <v>60240.333333333336</v>
      </c>
      <c r="J2227" t="str">
        <f t="shared" si="34"/>
        <v>Med</v>
      </c>
      <c r="K2227">
        <f>dataset[[#This Row],[soda_sales]]/dataset[[#This Row],[soda_units_sold]]</f>
        <v>0.74989109253230357</v>
      </c>
      <c r="L2227" s="29">
        <f>dataset[[#This Row],[implied_soda_ppu]]-dataset[[#This Row],[soda_ppu]]</f>
        <v>-8.9074676964395749E-6</v>
      </c>
      <c r="M2227">
        <f>dataset[[#This Row],[soda_sales]]/dataset[[#This Row],[total_sales]]</f>
        <v>8.3244800123109072E-2</v>
      </c>
      <c r="N2227">
        <f>LN(dataset[[#This Row],[soda_units_sold]])</f>
        <v>12.458394344121746</v>
      </c>
      <c r="O2227">
        <f>LN(dataset[[#This Row],[soda_sales]])</f>
        <v>12.170567051169051</v>
      </c>
      <c r="P2227">
        <f>LN(dataset[[#This Row],[soda_ppu]])</f>
        <v>-0.28781541467479332</v>
      </c>
      <c r="Q2227">
        <f>IF(dataset[[#This Row],[state]]="VA",1,0)</f>
        <v>0</v>
      </c>
    </row>
    <row r="2228" spans="1:17" x14ac:dyDescent="0.35">
      <c r="A2228">
        <v>202407</v>
      </c>
      <c r="B2228">
        <v>45</v>
      </c>
      <c r="C2228" s="2">
        <v>2247222.8539999998</v>
      </c>
      <c r="D2228" s="2">
        <v>0.75219999999999998</v>
      </c>
      <c r="E2228" s="3">
        <v>268581</v>
      </c>
      <c r="F2228" s="2">
        <v>202013.56849999999</v>
      </c>
      <c r="G2228" t="s">
        <v>3876</v>
      </c>
      <c r="H2228" t="s">
        <v>8</v>
      </c>
      <c r="I2228">
        <f>HLOOKUP(G2228,zip_tiers!$A$1:$EON$2,2,FALSE)</f>
        <v>60240.333333333336</v>
      </c>
      <c r="J2228" t="str">
        <f t="shared" si="34"/>
        <v>Med</v>
      </c>
      <c r="K2228">
        <f>dataset[[#This Row],[soda_sales]]/dataset[[#This Row],[soda_units_sold]]</f>
        <v>0.75215137519035224</v>
      </c>
      <c r="L2228" s="29">
        <f>dataset[[#This Row],[implied_soda_ppu]]-dataset[[#This Row],[soda_ppu]]</f>
        <v>-4.8624809647734857E-5</v>
      </c>
      <c r="M2228">
        <f>dataset[[#This Row],[soda_sales]]/dataset[[#This Row],[total_sales]]</f>
        <v>8.9894764170994859E-2</v>
      </c>
      <c r="N2228">
        <f>LN(dataset[[#This Row],[soda_units_sold]])</f>
        <v>12.500907823413662</v>
      </c>
      <c r="O2228">
        <f>LN(dataset[[#This Row],[soda_sales]])</f>
        <v>12.216090144919564</v>
      </c>
      <c r="P2228">
        <f>LN(dataset[[#This Row],[soda_ppu]])</f>
        <v>-0.28475303294590104</v>
      </c>
      <c r="Q2228">
        <f>IF(dataset[[#This Row],[state]]="VA",1,0)</f>
        <v>0</v>
      </c>
    </row>
    <row r="2229" spans="1:17" x14ac:dyDescent="0.35">
      <c r="A2229">
        <v>202408</v>
      </c>
      <c r="B2229">
        <v>45</v>
      </c>
      <c r="C2229" s="2">
        <v>2141739.1932999999</v>
      </c>
      <c r="D2229" s="2">
        <v>0.74350000000000005</v>
      </c>
      <c r="E2229" s="3">
        <v>241858</v>
      </c>
      <c r="F2229" s="2">
        <v>179826.05850000001</v>
      </c>
      <c r="G2229" t="s">
        <v>3876</v>
      </c>
      <c r="H2229" t="s">
        <v>8</v>
      </c>
      <c r="I2229">
        <f>HLOOKUP(G2229,zip_tiers!$A$1:$EON$2,2,FALSE)</f>
        <v>60240.333333333336</v>
      </c>
      <c r="J2229" t="str">
        <f t="shared" si="34"/>
        <v>Med</v>
      </c>
      <c r="K2229">
        <f>dataset[[#This Row],[soda_sales]]/dataset[[#This Row],[soda_units_sold]]</f>
        <v>0.74351916620496328</v>
      </c>
      <c r="L2229" s="29">
        <f>dataset[[#This Row],[implied_soda_ppu]]-dataset[[#This Row],[soda_ppu]]</f>
        <v>1.9166204963227962E-5</v>
      </c>
      <c r="M2229">
        <f>dataset[[#This Row],[soda_sales]]/dataset[[#This Row],[total_sales]]</f>
        <v>8.3962631427089554E-2</v>
      </c>
      <c r="N2229">
        <f>LN(dataset[[#This Row],[soda_units_sold]])</f>
        <v>12.396106056058404</v>
      </c>
      <c r="O2229">
        <f>LN(dataset[[#This Row],[soda_sales]])</f>
        <v>12.09974532099656</v>
      </c>
      <c r="P2229">
        <f>LN(dataset[[#This Row],[soda_ppu]])</f>
        <v>-0.29638651308192721</v>
      </c>
      <c r="Q2229">
        <f>IF(dataset[[#This Row],[state]]="VA",1,0)</f>
        <v>0</v>
      </c>
    </row>
    <row r="2230" spans="1:17" x14ac:dyDescent="0.35">
      <c r="A2230">
        <v>202409</v>
      </c>
      <c r="B2230">
        <v>45</v>
      </c>
      <c r="C2230" s="2">
        <v>2128519.0419999999</v>
      </c>
      <c r="D2230" s="2">
        <v>0.73660000000000003</v>
      </c>
      <c r="E2230" s="3">
        <v>226192</v>
      </c>
      <c r="F2230" s="2">
        <v>166603.8884</v>
      </c>
      <c r="G2230" t="s">
        <v>3876</v>
      </c>
      <c r="H2230" t="s">
        <v>8</v>
      </c>
      <c r="I2230">
        <f>HLOOKUP(G2230,zip_tiers!$A$1:$EON$2,2,FALSE)</f>
        <v>60240.333333333336</v>
      </c>
      <c r="J2230" t="str">
        <f t="shared" si="34"/>
        <v>Med</v>
      </c>
      <c r="K2230">
        <f>dataset[[#This Row],[soda_sales]]/dataset[[#This Row],[soda_units_sold]]</f>
        <v>0.73655959715639807</v>
      </c>
      <c r="L2230" s="29">
        <f>dataset[[#This Row],[implied_soda_ppu]]-dataset[[#This Row],[soda_ppu]]</f>
        <v>-4.0402843601961003E-5</v>
      </c>
      <c r="M2230">
        <f>dataset[[#This Row],[soda_sales]]/dataset[[#This Row],[total_sales]]</f>
        <v>7.8272209509319485E-2</v>
      </c>
      <c r="N2230">
        <f>LN(dataset[[#This Row],[soda_units_sold]])</f>
        <v>12.329139475106814</v>
      </c>
      <c r="O2230">
        <f>LN(dataset[[#This Row],[soda_sales]])</f>
        <v>12.023374348178406</v>
      </c>
      <c r="P2230">
        <f>LN(dataset[[#This Row],[soda_ppu]])</f>
        <v>-0.30571027497117209</v>
      </c>
      <c r="Q2230">
        <f>IF(dataset[[#This Row],[state]]="VA",1,0)</f>
        <v>0</v>
      </c>
    </row>
    <row r="2231" spans="1:17" x14ac:dyDescent="0.35">
      <c r="A2231">
        <v>202410</v>
      </c>
      <c r="B2231">
        <v>45</v>
      </c>
      <c r="C2231" s="2">
        <v>2634260.8155</v>
      </c>
      <c r="D2231" s="2">
        <v>0.75009999999999999</v>
      </c>
      <c r="E2231" s="3">
        <v>222220</v>
      </c>
      <c r="F2231" s="2">
        <v>166678.2953</v>
      </c>
      <c r="G2231" t="s">
        <v>3876</v>
      </c>
      <c r="H2231" t="s">
        <v>8</v>
      </c>
      <c r="I2231">
        <f>HLOOKUP(G2231,zip_tiers!$A$1:$EON$2,2,FALSE)</f>
        <v>60240.333333333336</v>
      </c>
      <c r="J2231" t="str">
        <f t="shared" si="34"/>
        <v>Med</v>
      </c>
      <c r="K2231">
        <f>dataset[[#This Row],[soda_sales]]/dataset[[#This Row],[soda_units_sold]]</f>
        <v>0.75005982944829452</v>
      </c>
      <c r="L2231" s="29">
        <f>dataset[[#This Row],[implied_soda_ppu]]-dataset[[#This Row],[soda_ppu]]</f>
        <v>-4.017055170546513E-5</v>
      </c>
      <c r="M2231">
        <f>dataset[[#This Row],[soda_sales]]/dataset[[#This Row],[total_sales]]</f>
        <v>6.3273269798975226E-2</v>
      </c>
      <c r="N2231">
        <f>LN(dataset[[#This Row],[soda_units_sold]])</f>
        <v>12.311423161138</v>
      </c>
      <c r="O2231">
        <f>LN(dataset[[#This Row],[soda_sales]])</f>
        <v>12.02382085810228</v>
      </c>
      <c r="P2231">
        <f>LN(dataset[[#This Row],[soda_ppu]])</f>
        <v>-0.28754874800654645</v>
      </c>
      <c r="Q2231">
        <f>IF(dataset[[#This Row],[state]]="VA",1,0)</f>
        <v>0</v>
      </c>
    </row>
    <row r="2232" spans="1:17" x14ac:dyDescent="0.35">
      <c r="A2232">
        <v>202411</v>
      </c>
      <c r="B2232">
        <v>45</v>
      </c>
      <c r="C2232" s="2">
        <v>2972045.1047999999</v>
      </c>
      <c r="D2232" s="2">
        <v>0.75680000000000003</v>
      </c>
      <c r="E2232" s="3">
        <v>204980</v>
      </c>
      <c r="F2232" s="2">
        <v>155121.67860000001</v>
      </c>
      <c r="G2232" t="s">
        <v>3876</v>
      </c>
      <c r="H2232" t="s">
        <v>8</v>
      </c>
      <c r="I2232">
        <f>HLOOKUP(G2232,zip_tiers!$A$1:$EON$2,2,FALSE)</f>
        <v>60240.333333333336</v>
      </c>
      <c r="J2232" t="str">
        <f t="shared" si="34"/>
        <v>Med</v>
      </c>
      <c r="K2232">
        <f>dataset[[#This Row],[soda_sales]]/dataset[[#This Row],[soda_units_sold]]</f>
        <v>0.7567649458483755</v>
      </c>
      <c r="L2232" s="29">
        <f>dataset[[#This Row],[implied_soda_ppu]]-dataset[[#This Row],[soda_ppu]]</f>
        <v>-3.5054151624525076E-5</v>
      </c>
      <c r="M2232">
        <f>dataset[[#This Row],[soda_sales]]/dataset[[#This Row],[total_sales]]</f>
        <v>5.2193581567611752E-2</v>
      </c>
      <c r="N2232">
        <f>LN(dataset[[#This Row],[soda_units_sold]])</f>
        <v>12.230667692385554</v>
      </c>
      <c r="O2232">
        <f>LN(dataset[[#This Row],[soda_sales]])</f>
        <v>11.951965111157623</v>
      </c>
      <c r="P2232">
        <f>LN(dataset[[#This Row],[soda_ppu]])</f>
        <v>-0.27865626124446852</v>
      </c>
      <c r="Q2232">
        <f>IF(dataset[[#This Row],[state]]="VA",1,0)</f>
        <v>0</v>
      </c>
    </row>
    <row r="2233" spans="1:17" x14ac:dyDescent="0.35">
      <c r="A2233">
        <v>202412</v>
      </c>
      <c r="B2233">
        <v>45</v>
      </c>
      <c r="C2233" s="2">
        <v>3078024.4799000002</v>
      </c>
      <c r="D2233" s="2">
        <v>0.75419999999999998</v>
      </c>
      <c r="E2233" s="3">
        <v>198999</v>
      </c>
      <c r="F2233" s="2">
        <v>150087.91080000001</v>
      </c>
      <c r="G2233" t="s">
        <v>3876</v>
      </c>
      <c r="H2233" t="s">
        <v>8</v>
      </c>
      <c r="I2233">
        <f>HLOOKUP(G2233,zip_tiers!$A$1:$EON$2,2,FALSE)</f>
        <v>60240.333333333336</v>
      </c>
      <c r="J2233" t="str">
        <f t="shared" si="34"/>
        <v>Med</v>
      </c>
      <c r="K2233">
        <f>dataset[[#This Row],[soda_sales]]/dataset[[#This Row],[soda_units_sold]]</f>
        <v>0.75421439705727167</v>
      </c>
      <c r="L2233" s="29">
        <f>dataset[[#This Row],[implied_soda_ppu]]-dataset[[#This Row],[soda_ppu]]</f>
        <v>1.439705727168672E-5</v>
      </c>
      <c r="M2233">
        <f>dataset[[#This Row],[soda_sales]]/dataset[[#This Row],[total_sales]]</f>
        <v>4.8761116677303394E-2</v>
      </c>
      <c r="N2233">
        <f>LN(dataset[[#This Row],[soda_units_sold]])</f>
        <v>12.201055078568375</v>
      </c>
      <c r="O2233">
        <f>LN(dataset[[#This Row],[soda_sales]])</f>
        <v>11.918976473405269</v>
      </c>
      <c r="P2233">
        <f>LN(dataset[[#This Row],[soda_ppu]])</f>
        <v>-0.28209769415788033</v>
      </c>
      <c r="Q2233">
        <f>IF(dataset[[#This Row],[state]]="VA",1,0)</f>
        <v>0</v>
      </c>
    </row>
    <row r="2234" spans="1:17" x14ac:dyDescent="0.35">
      <c r="A2234">
        <v>202201</v>
      </c>
      <c r="B2234">
        <v>21</v>
      </c>
      <c r="C2234" s="2">
        <v>1626935.2196</v>
      </c>
      <c r="D2234" s="2">
        <v>0.68530000000000002</v>
      </c>
      <c r="E2234" s="3">
        <v>135944</v>
      </c>
      <c r="F2234" s="2">
        <v>93168.5916</v>
      </c>
      <c r="G2234" t="s">
        <v>3879</v>
      </c>
      <c r="H2234" t="s">
        <v>8</v>
      </c>
      <c r="I2234">
        <f>HLOOKUP(G2234,zip_tiers!$A$1:$EON$2,2,FALSE)</f>
        <v>54854.333333333336</v>
      </c>
      <c r="J2234" t="str">
        <f t="shared" si="34"/>
        <v>Med</v>
      </c>
      <c r="K2234">
        <f>dataset[[#This Row],[soda_sales]]/dataset[[#This Row],[soda_units_sold]]</f>
        <v>0.68534537456599776</v>
      </c>
      <c r="L2234" s="29">
        <f>dataset[[#This Row],[implied_soda_ppu]]-dataset[[#This Row],[soda_ppu]]</f>
        <v>4.5374565997735594E-5</v>
      </c>
      <c r="M2234">
        <f>dataset[[#This Row],[soda_sales]]/dataset[[#This Row],[total_sales]]</f>
        <v>5.7266319197949708E-2</v>
      </c>
      <c r="N2234">
        <f>LN(dataset[[#This Row],[soda_units_sold]])</f>
        <v>11.819998315213942</v>
      </c>
      <c r="O2234">
        <f>LN(dataset[[#This Row],[soda_sales]])</f>
        <v>11.442165943876422</v>
      </c>
      <c r="P2234">
        <f>LN(dataset[[#This Row],[soda_ppu]])</f>
        <v>-0.37789858039035901</v>
      </c>
      <c r="Q2234">
        <f>IF(dataset[[#This Row],[state]]="VA",1,0)</f>
        <v>0</v>
      </c>
    </row>
    <row r="2235" spans="1:17" x14ac:dyDescent="0.35">
      <c r="A2235">
        <v>202202</v>
      </c>
      <c r="B2235">
        <v>21</v>
      </c>
      <c r="C2235" s="2">
        <v>1913434.8069</v>
      </c>
      <c r="D2235" s="2">
        <v>0.70940000000000003</v>
      </c>
      <c r="E2235" s="3">
        <v>149900</v>
      </c>
      <c r="F2235" s="2">
        <v>106346.52220000001</v>
      </c>
      <c r="G2235" t="s">
        <v>3879</v>
      </c>
      <c r="H2235" t="s">
        <v>8</v>
      </c>
      <c r="I2235">
        <f>HLOOKUP(G2235,zip_tiers!$A$1:$EON$2,2,FALSE)</f>
        <v>54854.333333333336</v>
      </c>
      <c r="J2235" t="str">
        <f t="shared" si="34"/>
        <v>Med</v>
      </c>
      <c r="K2235">
        <f>dataset[[#This Row],[soda_sales]]/dataset[[#This Row],[soda_units_sold]]</f>
        <v>0.70944978118745838</v>
      </c>
      <c r="L2235" s="29">
        <f>dataset[[#This Row],[implied_soda_ppu]]-dataset[[#This Row],[soda_ppu]]</f>
        <v>4.9781187458353138E-5</v>
      </c>
      <c r="M2235">
        <f>dataset[[#This Row],[soda_sales]]/dataset[[#This Row],[total_sales]]</f>
        <v>5.5578858405055602E-2</v>
      </c>
      <c r="N2235">
        <f>LN(dataset[[#This Row],[soda_units_sold]])</f>
        <v>11.917723684090689</v>
      </c>
      <c r="O2235">
        <f>LN(dataset[[#This Row],[soda_sales]])</f>
        <v>11.574458118636228</v>
      </c>
      <c r="P2235">
        <f>LN(dataset[[#This Row],[soda_ppu]])</f>
        <v>-0.34333573664261557</v>
      </c>
      <c r="Q2235">
        <f>IF(dataset[[#This Row],[state]]="VA",1,0)</f>
        <v>0</v>
      </c>
    </row>
    <row r="2236" spans="1:17" x14ac:dyDescent="0.35">
      <c r="A2236">
        <v>202203</v>
      </c>
      <c r="B2236">
        <v>21</v>
      </c>
      <c r="C2236" s="2">
        <v>2104792.7373000002</v>
      </c>
      <c r="D2236" s="2">
        <v>0.70320000000000005</v>
      </c>
      <c r="E2236" s="3">
        <v>175139</v>
      </c>
      <c r="F2236" s="2">
        <v>123152.9047</v>
      </c>
      <c r="G2236" t="s">
        <v>3879</v>
      </c>
      <c r="H2236" t="s">
        <v>8</v>
      </c>
      <c r="I2236">
        <f>HLOOKUP(G2236,zip_tiers!$A$1:$EON$2,2,FALSE)</f>
        <v>54854.333333333336</v>
      </c>
      <c r="J2236" t="str">
        <f t="shared" si="34"/>
        <v>Med</v>
      </c>
      <c r="K2236">
        <f>dataset[[#This Row],[soda_sales]]/dataset[[#This Row],[soda_units_sold]]</f>
        <v>0.7031723642364065</v>
      </c>
      <c r="L2236" s="29">
        <f>dataset[[#This Row],[implied_soda_ppu]]-dataset[[#This Row],[soda_ppu]]</f>
        <v>-2.763576359354758E-5</v>
      </c>
      <c r="M2236">
        <f>dataset[[#This Row],[soda_sales]]/dataset[[#This Row],[total_sales]]</f>
        <v>5.8510703936568542E-2</v>
      </c>
      <c r="N2236">
        <f>LN(dataset[[#This Row],[soda_units_sold]])</f>
        <v>12.073335223341974</v>
      </c>
      <c r="O2236">
        <f>LN(dataset[[#This Row],[soda_sales]])</f>
        <v>11.721181989953429</v>
      </c>
      <c r="P2236">
        <f>LN(dataset[[#This Row],[soda_ppu]])</f>
        <v>-0.35211393261116974</v>
      </c>
      <c r="Q2236">
        <f>IF(dataset[[#This Row],[state]]="VA",1,0)</f>
        <v>0</v>
      </c>
    </row>
    <row r="2237" spans="1:17" x14ac:dyDescent="0.35">
      <c r="A2237">
        <v>202204</v>
      </c>
      <c r="B2237">
        <v>21</v>
      </c>
      <c r="C2237" s="2">
        <v>2190563.5148</v>
      </c>
      <c r="D2237" s="2">
        <v>0.69020000000000004</v>
      </c>
      <c r="E2237" s="3">
        <v>205679</v>
      </c>
      <c r="F2237" s="2">
        <v>141966.6257</v>
      </c>
      <c r="G2237" t="s">
        <v>3879</v>
      </c>
      <c r="H2237" t="s">
        <v>8</v>
      </c>
      <c r="I2237">
        <f>HLOOKUP(G2237,zip_tiers!$A$1:$EON$2,2,FALSE)</f>
        <v>54854.333333333336</v>
      </c>
      <c r="J2237" t="str">
        <f t="shared" si="34"/>
        <v>Med</v>
      </c>
      <c r="K2237">
        <f>dataset[[#This Row],[soda_sales]]/dataset[[#This Row],[soda_units_sold]]</f>
        <v>0.69023393589039228</v>
      </c>
      <c r="L2237" s="29">
        <f>dataset[[#This Row],[implied_soda_ppu]]-dataset[[#This Row],[soda_ppu]]</f>
        <v>3.3935890392244872E-5</v>
      </c>
      <c r="M2237">
        <f>dataset[[#This Row],[soda_sales]]/dataset[[#This Row],[total_sales]]</f>
        <v>6.4808267252164861E-2</v>
      </c>
      <c r="N2237">
        <f>LN(dataset[[#This Row],[soda_units_sold]])</f>
        <v>12.234071980006521</v>
      </c>
      <c r="O2237">
        <f>LN(dataset[[#This Row],[soda_sales]])</f>
        <v>11.863347278677763</v>
      </c>
      <c r="P2237">
        <f>LN(dataset[[#This Row],[soda_ppu]])</f>
        <v>-0.37077386831823395</v>
      </c>
      <c r="Q2237">
        <f>IF(dataset[[#This Row],[state]]="VA",1,0)</f>
        <v>0</v>
      </c>
    </row>
    <row r="2238" spans="1:17" x14ac:dyDescent="0.35">
      <c r="A2238">
        <v>202205</v>
      </c>
      <c r="B2238">
        <v>21</v>
      </c>
      <c r="C2238" s="2">
        <v>2327818.4632999999</v>
      </c>
      <c r="D2238" s="2">
        <v>0.68010000000000004</v>
      </c>
      <c r="E2238" s="3">
        <v>233379</v>
      </c>
      <c r="F2238" s="2">
        <v>158722.90400000001</v>
      </c>
      <c r="G2238" t="s">
        <v>3879</v>
      </c>
      <c r="H2238" t="s">
        <v>8</v>
      </c>
      <c r="I2238">
        <f>HLOOKUP(G2238,zip_tiers!$A$1:$EON$2,2,FALSE)</f>
        <v>54854.333333333336</v>
      </c>
      <c r="J2238" t="str">
        <f t="shared" si="34"/>
        <v>Med</v>
      </c>
      <c r="K2238">
        <f>dataset[[#This Row],[soda_sales]]/dataset[[#This Row],[soda_units_sold]]</f>
        <v>0.68010791030898243</v>
      </c>
      <c r="L2238" s="29">
        <f>dataset[[#This Row],[implied_soda_ppu]]-dataset[[#This Row],[soda_ppu]]</f>
        <v>7.9103089823950867E-6</v>
      </c>
      <c r="M2238">
        <f>dataset[[#This Row],[soda_sales]]/dataset[[#This Row],[total_sales]]</f>
        <v>6.8185258645551194E-2</v>
      </c>
      <c r="N2238">
        <f>LN(dataset[[#This Row],[soda_units_sold]])</f>
        <v>12.360419020493604</v>
      </c>
      <c r="O2238">
        <f>LN(dataset[[#This Row],[soda_sales]])</f>
        <v>11.974915218722291</v>
      </c>
      <c r="P2238">
        <f>LN(dataset[[#This Row],[soda_ppu]])</f>
        <v>-0.38551543280054401</v>
      </c>
      <c r="Q2238">
        <f>IF(dataset[[#This Row],[state]]="VA",1,0)</f>
        <v>0</v>
      </c>
    </row>
    <row r="2239" spans="1:17" x14ac:dyDescent="0.35">
      <c r="A2239">
        <v>202206</v>
      </c>
      <c r="B2239">
        <v>21</v>
      </c>
      <c r="C2239" s="2">
        <v>2233274.6658000001</v>
      </c>
      <c r="D2239" s="2">
        <v>0.68600000000000005</v>
      </c>
      <c r="E2239" s="3">
        <v>239016</v>
      </c>
      <c r="F2239" s="2">
        <v>163975.1735</v>
      </c>
      <c r="G2239" t="s">
        <v>3879</v>
      </c>
      <c r="H2239" t="s">
        <v>8</v>
      </c>
      <c r="I2239">
        <f>HLOOKUP(G2239,zip_tiers!$A$1:$EON$2,2,FALSE)</f>
        <v>54854.333333333336</v>
      </c>
      <c r="J2239" t="str">
        <f t="shared" si="34"/>
        <v>Med</v>
      </c>
      <c r="K2239">
        <f>dataset[[#This Row],[soda_sales]]/dataset[[#This Row],[soda_units_sold]]</f>
        <v>0.68604266450781537</v>
      </c>
      <c r="L2239" s="29">
        <f>dataset[[#This Row],[implied_soda_ppu]]-dataset[[#This Row],[soda_ppu]]</f>
        <v>4.2664507815315389E-5</v>
      </c>
      <c r="M2239">
        <f>dataset[[#This Row],[soda_sales]]/dataset[[#This Row],[total_sales]]</f>
        <v>7.3423648246715364E-2</v>
      </c>
      <c r="N2239">
        <f>LN(dataset[[#This Row],[soda_units_sold]])</f>
        <v>12.384285774279585</v>
      </c>
      <c r="O2239">
        <f>LN(dataset[[#This Row],[soda_sales]])</f>
        <v>12.007470314249499</v>
      </c>
      <c r="P2239">
        <f>LN(dataset[[#This Row],[soda_ppu]])</f>
        <v>-0.37687765125625172</v>
      </c>
      <c r="Q2239">
        <f>IF(dataset[[#This Row],[state]]="VA",1,0)</f>
        <v>0</v>
      </c>
    </row>
    <row r="2240" spans="1:17" x14ac:dyDescent="0.35">
      <c r="A2240">
        <v>202207</v>
      </c>
      <c r="B2240">
        <v>21</v>
      </c>
      <c r="C2240" s="2">
        <v>2087733.5</v>
      </c>
      <c r="D2240" s="2">
        <v>0.67430000000000001</v>
      </c>
      <c r="E2240" s="3">
        <v>251567</v>
      </c>
      <c r="F2240" s="2">
        <v>169634.01819999999</v>
      </c>
      <c r="G2240" t="s">
        <v>3879</v>
      </c>
      <c r="H2240" t="s">
        <v>8</v>
      </c>
      <c r="I2240">
        <f>HLOOKUP(G2240,zip_tiers!$A$1:$EON$2,2,FALSE)</f>
        <v>54854.333333333336</v>
      </c>
      <c r="J2240" t="str">
        <f t="shared" si="34"/>
        <v>Med</v>
      </c>
      <c r="K2240">
        <f>dataset[[#This Row],[soda_sales]]/dataset[[#This Row],[soda_units_sold]]</f>
        <v>0.67430950084868047</v>
      </c>
      <c r="L2240" s="29">
        <f>dataset[[#This Row],[implied_soda_ppu]]-dataset[[#This Row],[soda_ppu]]</f>
        <v>9.5008486804548653E-6</v>
      </c>
      <c r="M2240">
        <f>dataset[[#This Row],[soda_sales]]/dataset[[#This Row],[total_sales]]</f>
        <v>8.1252716498537769E-2</v>
      </c>
      <c r="N2240">
        <f>LN(dataset[[#This Row],[soda_units_sold]])</f>
        <v>12.435464634633785</v>
      </c>
      <c r="O2240">
        <f>LN(dataset[[#This Row],[soda_sales]])</f>
        <v>12.041398561236093</v>
      </c>
      <c r="P2240">
        <f>LN(dataset[[#This Row],[soda_ppu]])</f>
        <v>-0.39408016324160078</v>
      </c>
      <c r="Q2240">
        <f>IF(dataset[[#This Row],[state]]="VA",1,0)</f>
        <v>0</v>
      </c>
    </row>
    <row r="2241" spans="1:17" x14ac:dyDescent="0.35">
      <c r="A2241">
        <v>202208</v>
      </c>
      <c r="B2241">
        <v>21</v>
      </c>
      <c r="C2241" s="2">
        <v>1978992.7283999999</v>
      </c>
      <c r="D2241" s="2">
        <v>0.67190000000000005</v>
      </c>
      <c r="E2241" s="3">
        <v>223358</v>
      </c>
      <c r="F2241" s="2">
        <v>150068.0111</v>
      </c>
      <c r="G2241" t="s">
        <v>3879</v>
      </c>
      <c r="H2241" t="s">
        <v>8</v>
      </c>
      <c r="I2241">
        <f>HLOOKUP(G2241,zip_tiers!$A$1:$EON$2,2,FALSE)</f>
        <v>54854.333333333336</v>
      </c>
      <c r="J2241" t="str">
        <f t="shared" si="34"/>
        <v>Med</v>
      </c>
      <c r="K2241">
        <f>dataset[[#This Row],[soda_sales]]/dataset[[#This Row],[soda_units_sold]]</f>
        <v>0.67187211158767546</v>
      </c>
      <c r="L2241" s="29">
        <f>dataset[[#This Row],[implied_soda_ppu]]-dataset[[#This Row],[soda_ppu]]</f>
        <v>-2.7888412324594825E-5</v>
      </c>
      <c r="M2241">
        <f>dataset[[#This Row],[soda_sales]]/dataset[[#This Row],[total_sales]]</f>
        <v>7.5830501520502719E-2</v>
      </c>
      <c r="N2241">
        <f>LN(dataset[[#This Row],[soda_units_sold]])</f>
        <v>12.316531144361328</v>
      </c>
      <c r="O2241">
        <f>LN(dataset[[#This Row],[soda_sales]])</f>
        <v>11.91884387765368</v>
      </c>
      <c r="P2241">
        <f>LN(dataset[[#This Row],[soda_ppu]])</f>
        <v>-0.39764575905603267</v>
      </c>
      <c r="Q2241">
        <f>IF(dataset[[#This Row],[state]]="VA",1,0)</f>
        <v>0</v>
      </c>
    </row>
    <row r="2242" spans="1:17" x14ac:dyDescent="0.35">
      <c r="A2242">
        <v>202209</v>
      </c>
      <c r="B2242">
        <v>21</v>
      </c>
      <c r="C2242" s="2">
        <v>2010005.8148000001</v>
      </c>
      <c r="D2242" s="2">
        <v>0.66769999999999996</v>
      </c>
      <c r="E2242" s="3">
        <v>216715</v>
      </c>
      <c r="F2242" s="2">
        <v>144706.32680000001</v>
      </c>
      <c r="G2242" t="s">
        <v>3879</v>
      </c>
      <c r="H2242" t="s">
        <v>8</v>
      </c>
      <c r="I2242">
        <f>HLOOKUP(G2242,zip_tiers!$A$1:$EON$2,2,FALSE)</f>
        <v>54854.333333333336</v>
      </c>
      <c r="J2242" t="str">
        <f t="shared" ref="J2242:J2305" si="35">IF(I2242="","No Data",IF(I2242&gt;=100000,"High",IF(I2242&gt;=40000,"Med","Low")))</f>
        <v>Med</v>
      </c>
      <c r="K2242">
        <f>dataset[[#This Row],[soda_sales]]/dataset[[#This Row],[soda_units_sold]]</f>
        <v>0.66772640011074458</v>
      </c>
      <c r="L2242" s="29">
        <f>dataset[[#This Row],[implied_soda_ppu]]-dataset[[#This Row],[soda_ppu]]</f>
        <v>2.6400110744617677E-5</v>
      </c>
      <c r="M2242">
        <f>dataset[[#This Row],[soda_sales]]/dataset[[#This Row],[total_sales]]</f>
        <v>7.1992989141874006E-2</v>
      </c>
      <c r="N2242">
        <f>LN(dataset[[#This Row],[soda_units_sold]])</f>
        <v>12.286338405248831</v>
      </c>
      <c r="O2242">
        <f>LN(dataset[[#This Row],[soda_sales]])</f>
        <v>11.882461635229726</v>
      </c>
      <c r="P2242">
        <f>LN(dataset[[#This Row],[soda_ppu]])</f>
        <v>-0.40391630811831397</v>
      </c>
      <c r="Q2242">
        <f>IF(dataset[[#This Row],[state]]="VA",1,0)</f>
        <v>0</v>
      </c>
    </row>
    <row r="2243" spans="1:17" x14ac:dyDescent="0.35">
      <c r="A2243">
        <v>202210</v>
      </c>
      <c r="B2243">
        <v>21</v>
      </c>
      <c r="C2243" s="2">
        <v>2418909.9567999998</v>
      </c>
      <c r="D2243" s="2">
        <v>0.66290000000000004</v>
      </c>
      <c r="E2243" s="3">
        <v>203861</v>
      </c>
      <c r="F2243" s="2">
        <v>135131.35750000001</v>
      </c>
      <c r="G2243" t="s">
        <v>3879</v>
      </c>
      <c r="H2243" t="s">
        <v>8</v>
      </c>
      <c r="I2243">
        <f>HLOOKUP(G2243,zip_tiers!$A$1:$EON$2,2,FALSE)</f>
        <v>54854.333333333336</v>
      </c>
      <c r="J2243" t="str">
        <f t="shared" si="35"/>
        <v>Med</v>
      </c>
      <c r="K2243">
        <f>dataset[[#This Row],[soda_sales]]/dataset[[#This Row],[soda_units_sold]]</f>
        <v>0.66286026998788394</v>
      </c>
      <c r="L2243" s="29">
        <f>dataset[[#This Row],[implied_soda_ppu]]-dataset[[#This Row],[soda_ppu]]</f>
        <v>-3.9730012116101499E-5</v>
      </c>
      <c r="M2243">
        <f>dataset[[#This Row],[soda_sales]]/dataset[[#This Row],[total_sales]]</f>
        <v>5.5864567062581624E-2</v>
      </c>
      <c r="N2243">
        <f>LN(dataset[[#This Row],[soda_units_sold]])</f>
        <v>12.225193668037559</v>
      </c>
      <c r="O2243">
        <f>LN(dataset[[#This Row],[soda_sales]])</f>
        <v>11.814002602863416</v>
      </c>
      <c r="P2243">
        <f>LN(dataset[[#This Row],[soda_ppu]])</f>
        <v>-0.4111311297347911</v>
      </c>
      <c r="Q2243">
        <f>IF(dataset[[#This Row],[state]]="VA",1,0)</f>
        <v>0</v>
      </c>
    </row>
    <row r="2244" spans="1:17" x14ac:dyDescent="0.35">
      <c r="A2244">
        <v>202211</v>
      </c>
      <c r="B2244">
        <v>21</v>
      </c>
      <c r="C2244" s="2">
        <v>2782480.8431000002</v>
      </c>
      <c r="D2244" s="2">
        <v>0.68359999999999999</v>
      </c>
      <c r="E2244" s="3">
        <v>188448</v>
      </c>
      <c r="F2244" s="2">
        <v>128815.584</v>
      </c>
      <c r="G2244" t="s">
        <v>3879</v>
      </c>
      <c r="H2244" t="s">
        <v>8</v>
      </c>
      <c r="I2244">
        <f>HLOOKUP(G2244,zip_tiers!$A$1:$EON$2,2,FALSE)</f>
        <v>54854.333333333336</v>
      </c>
      <c r="J2244" t="str">
        <f t="shared" si="35"/>
        <v>Med</v>
      </c>
      <c r="K2244">
        <f>dataset[[#This Row],[soda_sales]]/dataset[[#This Row],[soda_units_sold]]</f>
        <v>0.68356036678553234</v>
      </c>
      <c r="L2244" s="29">
        <f>dataset[[#This Row],[implied_soda_ppu]]-dataset[[#This Row],[soda_ppu]]</f>
        <v>-3.9633214467649225E-5</v>
      </c>
      <c r="M2244">
        <f>dataset[[#This Row],[soda_sales]]/dataset[[#This Row],[total_sales]]</f>
        <v>4.6295227627330147E-2</v>
      </c>
      <c r="N2244">
        <f>LN(dataset[[#This Row],[soda_units_sold]])</f>
        <v>12.146577385744298</v>
      </c>
      <c r="O2244">
        <f>LN(dataset[[#This Row],[soda_sales]])</f>
        <v>11.766137079122052</v>
      </c>
      <c r="P2244">
        <f>LN(dataset[[#This Row],[soda_ppu]])</f>
        <v>-0.38038232774070124</v>
      </c>
      <c r="Q2244">
        <f>IF(dataset[[#This Row],[state]]="VA",1,0)</f>
        <v>0</v>
      </c>
    </row>
    <row r="2245" spans="1:17" x14ac:dyDescent="0.35">
      <c r="A2245">
        <v>202212</v>
      </c>
      <c r="B2245">
        <v>21</v>
      </c>
      <c r="C2245" s="2">
        <v>2933134.7258000001</v>
      </c>
      <c r="D2245" s="2">
        <v>0.68369999999999997</v>
      </c>
      <c r="E2245" s="3">
        <v>187446</v>
      </c>
      <c r="F2245" s="2">
        <v>128161.6881</v>
      </c>
      <c r="G2245" t="s">
        <v>3879</v>
      </c>
      <c r="H2245" t="s">
        <v>8</v>
      </c>
      <c r="I2245">
        <f>HLOOKUP(G2245,zip_tiers!$A$1:$EON$2,2,FALSE)</f>
        <v>54854.333333333336</v>
      </c>
      <c r="J2245" t="str">
        <f t="shared" si="35"/>
        <v>Med</v>
      </c>
      <c r="K2245">
        <f>dataset[[#This Row],[soda_sales]]/dataset[[#This Row],[soda_units_sold]]</f>
        <v>0.68372591626388401</v>
      </c>
      <c r="L2245" s="29">
        <f>dataset[[#This Row],[implied_soda_ppu]]-dataset[[#This Row],[soda_ppu]]</f>
        <v>2.5916263884040447E-5</v>
      </c>
      <c r="M2245">
        <f>dataset[[#This Row],[soda_sales]]/dataset[[#This Row],[total_sales]]</f>
        <v>4.3694443004163211E-2</v>
      </c>
      <c r="N2245">
        <f>LN(dataset[[#This Row],[soda_units_sold]])</f>
        <v>12.141246082912637</v>
      </c>
      <c r="O2245">
        <f>LN(dataset[[#This Row],[soda_sales]])</f>
        <v>11.761047934031918</v>
      </c>
      <c r="P2245">
        <f>LN(dataset[[#This Row],[soda_ppu]])</f>
        <v>-0.38023605406238881</v>
      </c>
      <c r="Q2245">
        <f>IF(dataset[[#This Row],[state]]="VA",1,0)</f>
        <v>0</v>
      </c>
    </row>
    <row r="2246" spans="1:17" x14ac:dyDescent="0.35">
      <c r="A2246">
        <v>202301</v>
      </c>
      <c r="B2246">
        <v>21</v>
      </c>
      <c r="C2246" s="2">
        <v>1683427.4397</v>
      </c>
      <c r="D2246" s="2">
        <v>0.71230000000000004</v>
      </c>
      <c r="E2246" s="3">
        <v>133228</v>
      </c>
      <c r="F2246" s="2">
        <v>94894.819600000003</v>
      </c>
      <c r="G2246" t="s">
        <v>3879</v>
      </c>
      <c r="H2246" t="s">
        <v>8</v>
      </c>
      <c r="I2246">
        <f>HLOOKUP(G2246,zip_tiers!$A$1:$EON$2,2,FALSE)</f>
        <v>54854.333333333336</v>
      </c>
      <c r="J2246" t="str">
        <f t="shared" si="35"/>
        <v>Med</v>
      </c>
      <c r="K2246">
        <f>dataset[[#This Row],[soda_sales]]/dataset[[#This Row],[soda_units_sold]]</f>
        <v>0.71227384333623567</v>
      </c>
      <c r="L2246" s="29">
        <f>dataset[[#This Row],[implied_soda_ppu]]-dataset[[#This Row],[soda_ppu]]</f>
        <v>-2.6156663764376198E-5</v>
      </c>
      <c r="M2246">
        <f>dataset[[#This Row],[soda_sales]]/dataset[[#This Row],[total_sales]]</f>
        <v>5.6370008805910282E-2</v>
      </c>
      <c r="N2246">
        <f>LN(dataset[[#This Row],[soda_units_sold]])</f>
        <v>11.799817225207565</v>
      </c>
      <c r="O2246">
        <f>LN(dataset[[#This Row],[soda_sales]])</f>
        <v>11.460524395120686</v>
      </c>
      <c r="P2246">
        <f>LN(dataset[[#This Row],[soda_ppu]])</f>
        <v>-0.33925610799782885</v>
      </c>
      <c r="Q2246">
        <f>IF(dataset[[#This Row],[state]]="VA",1,0)</f>
        <v>0</v>
      </c>
    </row>
    <row r="2247" spans="1:17" x14ac:dyDescent="0.35">
      <c r="A2247">
        <v>202302</v>
      </c>
      <c r="B2247">
        <v>21</v>
      </c>
      <c r="C2247" s="2">
        <v>1915744.629</v>
      </c>
      <c r="D2247" s="2">
        <v>0.66279999999999994</v>
      </c>
      <c r="E2247" s="3">
        <v>163418</v>
      </c>
      <c r="F2247" s="2">
        <v>108321.49770000001</v>
      </c>
      <c r="G2247" t="s">
        <v>3879</v>
      </c>
      <c r="H2247" t="s">
        <v>8</v>
      </c>
      <c r="I2247">
        <f>HLOOKUP(G2247,zip_tiers!$A$1:$EON$2,2,FALSE)</f>
        <v>54854.333333333336</v>
      </c>
      <c r="J2247" t="str">
        <f t="shared" si="35"/>
        <v>Med</v>
      </c>
      <c r="K2247">
        <f>dataset[[#This Row],[soda_sales]]/dataset[[#This Row],[soda_units_sold]]</f>
        <v>0.66284924365736952</v>
      </c>
      <c r="L2247" s="29">
        <f>dataset[[#This Row],[implied_soda_ppu]]-dataset[[#This Row],[soda_ppu]]</f>
        <v>4.9243657369579807E-5</v>
      </c>
      <c r="M2247">
        <f>dataset[[#This Row],[soda_sales]]/dataset[[#This Row],[total_sales]]</f>
        <v>5.654276465676053E-2</v>
      </c>
      <c r="N2247">
        <f>LN(dataset[[#This Row],[soda_units_sold]])</f>
        <v>12.004066614459697</v>
      </c>
      <c r="O2247">
        <f>LN(dataset[[#This Row],[soda_sales]])</f>
        <v>11.592858914675331</v>
      </c>
      <c r="P2247">
        <f>LN(dataset[[#This Row],[soda_ppu]])</f>
        <v>-0.41128199342972926</v>
      </c>
      <c r="Q2247">
        <f>IF(dataset[[#This Row],[state]]="VA",1,0)</f>
        <v>0</v>
      </c>
    </row>
    <row r="2248" spans="1:17" x14ac:dyDescent="0.35">
      <c r="A2248">
        <v>202303</v>
      </c>
      <c r="B2248">
        <v>21</v>
      </c>
      <c r="C2248" s="2">
        <v>2083776.7492</v>
      </c>
      <c r="D2248" s="2">
        <v>0.73419999999999996</v>
      </c>
      <c r="E2248" s="3">
        <v>166063</v>
      </c>
      <c r="F2248" s="2">
        <v>121915.2274</v>
      </c>
      <c r="G2248" t="s">
        <v>3879</v>
      </c>
      <c r="H2248" t="s">
        <v>8</v>
      </c>
      <c r="I2248">
        <f>HLOOKUP(G2248,zip_tiers!$A$1:$EON$2,2,FALSE)</f>
        <v>54854.333333333336</v>
      </c>
      <c r="J2248" t="str">
        <f t="shared" si="35"/>
        <v>Med</v>
      </c>
      <c r="K2248">
        <f>dataset[[#This Row],[soda_sales]]/dataset[[#This Row],[soda_units_sold]]</f>
        <v>0.73415045735654538</v>
      </c>
      <c r="L2248" s="29">
        <f>dataset[[#This Row],[implied_soda_ppu]]-dataset[[#This Row],[soda_ppu]]</f>
        <v>-4.9542643454580926E-5</v>
      </c>
      <c r="M2248">
        <f>dataset[[#This Row],[soda_sales]]/dataset[[#This Row],[total_sales]]</f>
        <v>5.8506856575113189E-2</v>
      </c>
      <c r="N2248">
        <f>LN(dataset[[#This Row],[soda_units_sold]])</f>
        <v>12.020122513412202</v>
      </c>
      <c r="O2248">
        <f>LN(dataset[[#This Row],[soda_sales]])</f>
        <v>11.711081224813068</v>
      </c>
      <c r="P2248">
        <f>LN(dataset[[#This Row],[soda_ppu]])</f>
        <v>-0.30897380791940321</v>
      </c>
      <c r="Q2248">
        <f>IF(dataset[[#This Row],[state]]="VA",1,0)</f>
        <v>0</v>
      </c>
    </row>
    <row r="2249" spans="1:17" x14ac:dyDescent="0.35">
      <c r="A2249">
        <v>202304</v>
      </c>
      <c r="B2249">
        <v>21</v>
      </c>
      <c r="C2249" s="2">
        <v>2201222.0787999998</v>
      </c>
      <c r="D2249" s="2">
        <v>0.67900000000000005</v>
      </c>
      <c r="E2249" s="3">
        <v>210702</v>
      </c>
      <c r="F2249" s="2">
        <v>143071.38560000001</v>
      </c>
      <c r="G2249" t="s">
        <v>3879</v>
      </c>
      <c r="H2249" t="s">
        <v>8</v>
      </c>
      <c r="I2249">
        <f>HLOOKUP(G2249,zip_tiers!$A$1:$EON$2,2,FALSE)</f>
        <v>54854.333333333336</v>
      </c>
      <c r="J2249" t="str">
        <f t="shared" si="35"/>
        <v>Med</v>
      </c>
      <c r="K2249">
        <f>dataset[[#This Row],[soda_sales]]/dataset[[#This Row],[soda_units_sold]]</f>
        <v>0.67902243737600976</v>
      </c>
      <c r="L2249" s="29">
        <f>dataset[[#This Row],[implied_soda_ppu]]-dataset[[#This Row],[soda_ppu]]</f>
        <v>2.2437376009709631E-5</v>
      </c>
      <c r="M2249">
        <f>dataset[[#This Row],[soda_sales]]/dataset[[#This Row],[total_sales]]</f>
        <v>6.4996343157704306E-2</v>
      </c>
      <c r="N2249">
        <f>LN(dataset[[#This Row],[soda_units_sold]])</f>
        <v>12.258200091916191</v>
      </c>
      <c r="O2249">
        <f>LN(dataset[[#This Row],[soda_sales]])</f>
        <v>11.871098984683176</v>
      </c>
      <c r="P2249">
        <f>LN(dataset[[#This Row],[soda_ppu]])</f>
        <v>-0.38713415142344088</v>
      </c>
      <c r="Q2249">
        <f>IF(dataset[[#This Row],[state]]="VA",1,0)</f>
        <v>0</v>
      </c>
    </row>
    <row r="2250" spans="1:17" x14ac:dyDescent="0.35">
      <c r="A2250">
        <v>202305</v>
      </c>
      <c r="B2250">
        <v>21</v>
      </c>
      <c r="C2250" s="2">
        <v>2346509.4067000002</v>
      </c>
      <c r="D2250" s="2">
        <v>0.69889999999999997</v>
      </c>
      <c r="E2250" s="3">
        <v>232647</v>
      </c>
      <c r="F2250" s="2">
        <v>162593.73149999999</v>
      </c>
      <c r="G2250" t="s">
        <v>3879</v>
      </c>
      <c r="H2250" t="s">
        <v>8</v>
      </c>
      <c r="I2250">
        <f>HLOOKUP(G2250,zip_tiers!$A$1:$EON$2,2,FALSE)</f>
        <v>54854.333333333336</v>
      </c>
      <c r="J2250" t="str">
        <f t="shared" si="35"/>
        <v>Med</v>
      </c>
      <c r="K2250">
        <f>dataset[[#This Row],[soda_sales]]/dataset[[#This Row],[soda_units_sold]]</f>
        <v>0.69888600110897625</v>
      </c>
      <c r="L2250" s="29">
        <f>dataset[[#This Row],[implied_soda_ppu]]-dataset[[#This Row],[soda_ppu]]</f>
        <v>-1.3998891023714322E-5</v>
      </c>
      <c r="M2250">
        <f>dataset[[#This Row],[soda_sales]]/dataset[[#This Row],[total_sales]]</f>
        <v>6.9291745021667198E-2</v>
      </c>
      <c r="N2250">
        <f>LN(dataset[[#This Row],[soda_units_sold]])</f>
        <v>12.357277562283143</v>
      </c>
      <c r="O2250">
        <f>LN(dataset[[#This Row],[soda_sales]])</f>
        <v>11.999009923692196</v>
      </c>
      <c r="P2250">
        <f>LN(dataset[[#This Row],[soda_ppu]])</f>
        <v>-0.35824760849905374</v>
      </c>
      <c r="Q2250">
        <f>IF(dataset[[#This Row],[state]]="VA",1,0)</f>
        <v>0</v>
      </c>
    </row>
    <row r="2251" spans="1:17" x14ac:dyDescent="0.35">
      <c r="A2251">
        <v>202306</v>
      </c>
      <c r="B2251">
        <v>21</v>
      </c>
      <c r="C2251" s="2">
        <v>2234265.1431999998</v>
      </c>
      <c r="D2251" s="2">
        <v>0.69210000000000005</v>
      </c>
      <c r="E2251" s="3">
        <v>242410</v>
      </c>
      <c r="F2251" s="2">
        <v>167764.18710000001</v>
      </c>
      <c r="G2251" t="s">
        <v>3879</v>
      </c>
      <c r="H2251" t="s">
        <v>8</v>
      </c>
      <c r="I2251">
        <f>HLOOKUP(G2251,zip_tiers!$A$1:$EON$2,2,FALSE)</f>
        <v>54854.333333333336</v>
      </c>
      <c r="J2251" t="str">
        <f t="shared" si="35"/>
        <v>Med</v>
      </c>
      <c r="K2251">
        <f>dataset[[#This Row],[soda_sales]]/dataset[[#This Row],[soda_units_sold]]</f>
        <v>0.69206793077843332</v>
      </c>
      <c r="L2251" s="29">
        <f>dataset[[#This Row],[implied_soda_ppu]]-dataset[[#This Row],[soda_ppu]]</f>
        <v>-3.2069221566732864E-5</v>
      </c>
      <c r="M2251">
        <f>dataset[[#This Row],[soda_sales]]/dataset[[#This Row],[total_sales]]</f>
        <v>7.5086964324977898E-2</v>
      </c>
      <c r="N2251">
        <f>LN(dataset[[#This Row],[soda_units_sold]])</f>
        <v>12.398385786451781</v>
      </c>
      <c r="O2251">
        <f>LN(dataset[[#This Row],[soda_sales]])</f>
        <v>12.030314624134148</v>
      </c>
      <c r="P2251">
        <f>LN(dataset[[#This Row],[soda_ppu]])</f>
        <v>-0.36802482513431933</v>
      </c>
      <c r="Q2251">
        <f>IF(dataset[[#This Row],[state]]="VA",1,0)</f>
        <v>0</v>
      </c>
    </row>
    <row r="2252" spans="1:17" x14ac:dyDescent="0.35">
      <c r="A2252">
        <v>202307</v>
      </c>
      <c r="B2252">
        <v>21</v>
      </c>
      <c r="C2252" s="2">
        <v>2104666.1883</v>
      </c>
      <c r="D2252" s="2">
        <v>0.71630000000000005</v>
      </c>
      <c r="E2252" s="3">
        <v>234744</v>
      </c>
      <c r="F2252" s="2">
        <v>168147.9797</v>
      </c>
      <c r="G2252" t="s">
        <v>3879</v>
      </c>
      <c r="H2252" t="s">
        <v>8</v>
      </c>
      <c r="I2252">
        <f>HLOOKUP(G2252,zip_tiers!$A$1:$EON$2,2,FALSE)</f>
        <v>54854.333333333336</v>
      </c>
      <c r="J2252" t="str">
        <f t="shared" si="35"/>
        <v>Med</v>
      </c>
      <c r="K2252">
        <f>dataset[[#This Row],[soda_sales]]/dataset[[#This Row],[soda_units_sold]]</f>
        <v>0.71630363161571753</v>
      </c>
      <c r="L2252" s="29">
        <f>dataset[[#This Row],[implied_soda_ppu]]-dataset[[#This Row],[soda_ppu]]</f>
        <v>3.6316157174809405E-6</v>
      </c>
      <c r="M2252">
        <f>dataset[[#This Row],[soda_sales]]/dataset[[#This Row],[total_sales]]</f>
        <v>7.9892944845480693E-2</v>
      </c>
      <c r="N2252">
        <f>LN(dataset[[#This Row],[soda_units_sold]])</f>
        <v>12.366250837638438</v>
      </c>
      <c r="O2252">
        <f>LN(dataset[[#This Row],[soda_sales]])</f>
        <v>12.032599702228559</v>
      </c>
      <c r="P2252">
        <f>LN(dataset[[#This Row],[soda_ppu]])</f>
        <v>-0.33365620536173146</v>
      </c>
      <c r="Q2252">
        <f>IF(dataset[[#This Row],[state]]="VA",1,0)</f>
        <v>0</v>
      </c>
    </row>
    <row r="2253" spans="1:17" x14ac:dyDescent="0.35">
      <c r="A2253">
        <v>202308</v>
      </c>
      <c r="B2253">
        <v>21</v>
      </c>
      <c r="C2253" s="2">
        <v>2006944.1975</v>
      </c>
      <c r="D2253" s="2">
        <v>0.68989999999999996</v>
      </c>
      <c r="E2253" s="3">
        <v>217387</v>
      </c>
      <c r="F2253" s="2">
        <v>149972.41149999999</v>
      </c>
      <c r="G2253" t="s">
        <v>3879</v>
      </c>
      <c r="H2253" t="s">
        <v>8</v>
      </c>
      <c r="I2253">
        <f>HLOOKUP(G2253,zip_tiers!$A$1:$EON$2,2,FALSE)</f>
        <v>54854.333333333336</v>
      </c>
      <c r="J2253" t="str">
        <f t="shared" si="35"/>
        <v>Med</v>
      </c>
      <c r="K2253">
        <f>dataset[[#This Row],[soda_sales]]/dataset[[#This Row],[soda_units_sold]]</f>
        <v>0.68988675265770261</v>
      </c>
      <c r="L2253" s="29">
        <f>dataset[[#This Row],[implied_soda_ppu]]-dataset[[#This Row],[soda_ppu]]</f>
        <v>-1.3247342297351139E-5</v>
      </c>
      <c r="M2253">
        <f>dataset[[#This Row],[soda_sales]]/dataset[[#This Row],[total_sales]]</f>
        <v>7.4726747104785898E-2</v>
      </c>
      <c r="N2253">
        <f>LN(dataset[[#This Row],[soda_units_sold]])</f>
        <v>12.289434454273202</v>
      </c>
      <c r="O2253">
        <f>LN(dataset[[#This Row],[soda_sales]])</f>
        <v>11.918206632829088</v>
      </c>
      <c r="P2253">
        <f>LN(dataset[[#This Row],[soda_ppu]])</f>
        <v>-0.3712086194300741</v>
      </c>
      <c r="Q2253">
        <f>IF(dataset[[#This Row],[state]]="VA",1,0)</f>
        <v>0</v>
      </c>
    </row>
    <row r="2254" spans="1:17" x14ac:dyDescent="0.35">
      <c r="A2254">
        <v>202309</v>
      </c>
      <c r="B2254">
        <v>21</v>
      </c>
      <c r="C2254" s="2">
        <v>2030313.7253</v>
      </c>
      <c r="D2254" s="2">
        <v>0.67949999999999999</v>
      </c>
      <c r="E2254" s="3">
        <v>213166</v>
      </c>
      <c r="F2254" s="2">
        <v>144841.8254</v>
      </c>
      <c r="G2254" t="s">
        <v>3879</v>
      </c>
      <c r="H2254" t="s">
        <v>8</v>
      </c>
      <c r="I2254">
        <f>HLOOKUP(G2254,zip_tiers!$A$1:$EON$2,2,FALSE)</f>
        <v>54854.333333333336</v>
      </c>
      <c r="J2254" t="str">
        <f t="shared" si="35"/>
        <v>Med</v>
      </c>
      <c r="K2254">
        <f>dataset[[#This Row],[soda_sales]]/dataset[[#This Row],[soda_units_sold]]</f>
        <v>0.67947902292110374</v>
      </c>
      <c r="L2254" s="29">
        <f>dataset[[#This Row],[implied_soda_ppu]]-dataset[[#This Row],[soda_ppu]]</f>
        <v>-2.0977078896255996E-5</v>
      </c>
      <c r="M2254">
        <f>dataset[[#This Row],[soda_sales]]/dataset[[#This Row],[total_sales]]</f>
        <v>7.1339627760531502E-2</v>
      </c>
      <c r="N2254">
        <f>LN(dataset[[#This Row],[soda_units_sold]])</f>
        <v>12.269826483884719</v>
      </c>
      <c r="O2254">
        <f>LN(dataset[[#This Row],[soda_sales]])</f>
        <v>11.883397566672297</v>
      </c>
      <c r="P2254">
        <f>LN(dataset[[#This Row],[soda_ppu]])</f>
        <v>-0.38639804539093864</v>
      </c>
      <c r="Q2254">
        <f>IF(dataset[[#This Row],[state]]="VA",1,0)</f>
        <v>0</v>
      </c>
    </row>
    <row r="2255" spans="1:17" x14ac:dyDescent="0.35">
      <c r="A2255">
        <v>202310</v>
      </c>
      <c r="B2255">
        <v>21</v>
      </c>
      <c r="C2255" s="2">
        <v>2464511.7167000002</v>
      </c>
      <c r="D2255" s="2">
        <v>0.70299999999999996</v>
      </c>
      <c r="E2255" s="3">
        <v>195405</v>
      </c>
      <c r="F2255" s="2">
        <v>137363.45860000001</v>
      </c>
      <c r="G2255" t="s">
        <v>3879</v>
      </c>
      <c r="H2255" t="s">
        <v>8</v>
      </c>
      <c r="I2255">
        <f>HLOOKUP(G2255,zip_tiers!$A$1:$EON$2,2,FALSE)</f>
        <v>54854.333333333336</v>
      </c>
      <c r="J2255" t="str">
        <f t="shared" si="35"/>
        <v>Med</v>
      </c>
      <c r="K2255">
        <f>dataset[[#This Row],[soda_sales]]/dataset[[#This Row],[soda_units_sold]]</f>
        <v>0.70296798239553748</v>
      </c>
      <c r="L2255" s="29">
        <f>dataset[[#This Row],[implied_soda_ppu]]-dataset[[#This Row],[soda_ppu]]</f>
        <v>-3.2017604462475369E-5</v>
      </c>
      <c r="M2255">
        <f>dataset[[#This Row],[soda_sales]]/dataset[[#This Row],[total_sales]]</f>
        <v>5.5736581680338175E-2</v>
      </c>
      <c r="N2255">
        <f>LN(dataset[[#This Row],[soda_units_sold]])</f>
        <v>12.182829606799775</v>
      </c>
      <c r="O2255">
        <f>LN(dataset[[#This Row],[soda_sales]])</f>
        <v>11.830385674345807</v>
      </c>
      <c r="P2255">
        <f>LN(dataset[[#This Row],[soda_ppu]])</f>
        <v>-0.3523983871714722</v>
      </c>
      <c r="Q2255">
        <f>IF(dataset[[#This Row],[state]]="VA",1,0)</f>
        <v>0</v>
      </c>
    </row>
    <row r="2256" spans="1:17" x14ac:dyDescent="0.35">
      <c r="A2256">
        <v>202311</v>
      </c>
      <c r="B2256">
        <v>21</v>
      </c>
      <c r="C2256" s="2">
        <v>2836239.9119000002</v>
      </c>
      <c r="D2256" s="2">
        <v>0.71079999999999999</v>
      </c>
      <c r="E2256" s="3">
        <v>187798</v>
      </c>
      <c r="F2256" s="2">
        <v>133490.83230000001</v>
      </c>
      <c r="G2256" t="s">
        <v>3879</v>
      </c>
      <c r="H2256" t="s">
        <v>8</v>
      </c>
      <c r="I2256">
        <f>HLOOKUP(G2256,zip_tiers!$A$1:$EON$2,2,FALSE)</f>
        <v>54854.333333333336</v>
      </c>
      <c r="J2256" t="str">
        <f t="shared" si="35"/>
        <v>Med</v>
      </c>
      <c r="K2256">
        <f>dataset[[#This Row],[soda_sales]]/dataset[[#This Row],[soda_units_sold]]</f>
        <v>0.71082137349705543</v>
      </c>
      <c r="L2256" s="29">
        <f>dataset[[#This Row],[implied_soda_ppu]]-dataset[[#This Row],[soda_ppu]]</f>
        <v>2.1373497055443558E-5</v>
      </c>
      <c r="M2256">
        <f>dataset[[#This Row],[soda_sales]]/dataset[[#This Row],[total_sales]]</f>
        <v>4.7066128552776185E-2</v>
      </c>
      <c r="N2256">
        <f>LN(dataset[[#This Row],[soda_units_sold]])</f>
        <v>12.143122196072328</v>
      </c>
      <c r="O2256">
        <f>LN(dataset[[#This Row],[soda_sales]])</f>
        <v>11.801788082554305</v>
      </c>
      <c r="P2256">
        <f>LN(dataset[[#This Row],[soda_ppu]])</f>
        <v>-0.34136418270164082</v>
      </c>
      <c r="Q2256">
        <f>IF(dataset[[#This Row],[state]]="VA",1,0)</f>
        <v>0</v>
      </c>
    </row>
    <row r="2257" spans="1:17" x14ac:dyDescent="0.35">
      <c r="A2257">
        <v>202312</v>
      </c>
      <c r="B2257">
        <v>21</v>
      </c>
      <c r="C2257" s="2">
        <v>2973092.1641000002</v>
      </c>
      <c r="D2257" s="2">
        <v>0.70579999999999998</v>
      </c>
      <c r="E2257" s="3">
        <v>181710</v>
      </c>
      <c r="F2257" s="2">
        <v>128255.4841</v>
      </c>
      <c r="G2257" t="s">
        <v>3879</v>
      </c>
      <c r="H2257" t="s">
        <v>8</v>
      </c>
      <c r="I2257">
        <f>HLOOKUP(G2257,zip_tiers!$A$1:$EON$2,2,FALSE)</f>
        <v>54854.333333333336</v>
      </c>
      <c r="J2257" t="str">
        <f t="shared" si="35"/>
        <v>Med</v>
      </c>
      <c r="K2257">
        <f>dataset[[#This Row],[soda_sales]]/dataset[[#This Row],[soda_units_sold]]</f>
        <v>0.7058251285014584</v>
      </c>
      <c r="L2257" s="29">
        <f>dataset[[#This Row],[implied_soda_ppu]]-dataset[[#This Row],[soda_ppu]]</f>
        <v>2.512850145841572E-5</v>
      </c>
      <c r="M2257">
        <f>dataset[[#This Row],[soda_sales]]/dataset[[#This Row],[total_sales]]</f>
        <v>4.3138751515570617E-2</v>
      </c>
      <c r="N2257">
        <f>LN(dataset[[#This Row],[soda_units_sold]])</f>
        <v>12.110167288643103</v>
      </c>
      <c r="O2257">
        <f>LN(dataset[[#This Row],[soda_sales]])</f>
        <v>11.761779523132436</v>
      </c>
      <c r="P2257">
        <f>LN(dataset[[#This Row],[soda_ppu]])</f>
        <v>-0.34842336774096738</v>
      </c>
      <c r="Q2257">
        <f>IF(dataset[[#This Row],[state]]="VA",1,0)</f>
        <v>0</v>
      </c>
    </row>
    <row r="2258" spans="1:17" x14ac:dyDescent="0.35">
      <c r="A2258">
        <v>202401</v>
      </c>
      <c r="B2258">
        <v>21</v>
      </c>
      <c r="C2258" s="2">
        <v>1695459.9883999999</v>
      </c>
      <c r="D2258" s="2">
        <v>0.69950000000000001</v>
      </c>
      <c r="E2258" s="3">
        <v>134870</v>
      </c>
      <c r="F2258" s="2">
        <v>94337.218399999998</v>
      </c>
      <c r="G2258" t="s">
        <v>3879</v>
      </c>
      <c r="H2258" t="s">
        <v>8</v>
      </c>
      <c r="I2258">
        <f>HLOOKUP(G2258,zip_tiers!$A$1:$EON$2,2,FALSE)</f>
        <v>54854.333333333336</v>
      </c>
      <c r="J2258" t="str">
        <f t="shared" si="35"/>
        <v>Med</v>
      </c>
      <c r="K2258">
        <f>dataset[[#This Row],[soda_sales]]/dataset[[#This Row],[soda_units_sold]]</f>
        <v>0.69946777192852372</v>
      </c>
      <c r="L2258" s="29">
        <f>dataset[[#This Row],[implied_soda_ppu]]-dataset[[#This Row],[soda_ppu]]</f>
        <v>-3.2228071476292364E-5</v>
      </c>
      <c r="M2258">
        <f>dataset[[#This Row],[soda_sales]]/dataset[[#This Row],[total_sales]]</f>
        <v>5.5641076194918482E-2</v>
      </c>
      <c r="N2258">
        <f>LN(dataset[[#This Row],[soda_units_sold]])</f>
        <v>11.812066630510904</v>
      </c>
      <c r="O2258">
        <f>LN(dataset[[#This Row],[soda_sales]])</f>
        <v>11.454631071561506</v>
      </c>
      <c r="P2258">
        <f>LN(dataset[[#This Row],[soda_ppu]])</f>
        <v>-0.35738948487660116</v>
      </c>
      <c r="Q2258">
        <f>IF(dataset[[#This Row],[state]]="VA",1,0)</f>
        <v>0</v>
      </c>
    </row>
    <row r="2259" spans="1:17" x14ac:dyDescent="0.35">
      <c r="A2259">
        <v>202402</v>
      </c>
      <c r="B2259">
        <v>21</v>
      </c>
      <c r="C2259" s="2">
        <v>1938434.7008</v>
      </c>
      <c r="D2259" s="2">
        <v>0.70189999999999997</v>
      </c>
      <c r="E2259" s="3">
        <v>156956</v>
      </c>
      <c r="F2259" s="2">
        <v>110160.7599</v>
      </c>
      <c r="G2259" t="s">
        <v>3879</v>
      </c>
      <c r="H2259" t="s">
        <v>8</v>
      </c>
      <c r="I2259">
        <f>HLOOKUP(G2259,zip_tiers!$A$1:$EON$2,2,FALSE)</f>
        <v>54854.333333333336</v>
      </c>
      <c r="J2259" t="str">
        <f t="shared" si="35"/>
        <v>Med</v>
      </c>
      <c r="K2259">
        <f>dataset[[#This Row],[soda_sales]]/dataset[[#This Row],[soda_units_sold]]</f>
        <v>0.70185759002523007</v>
      </c>
      <c r="L2259" s="29">
        <f>dataset[[#This Row],[implied_soda_ppu]]-dataset[[#This Row],[soda_ppu]]</f>
        <v>-4.2409974769896941E-5</v>
      </c>
      <c r="M2259">
        <f>dataset[[#This Row],[soda_sales]]/dataset[[#This Row],[total_sales]]</f>
        <v>5.6829750238445588E-2</v>
      </c>
      <c r="N2259">
        <f>LN(dataset[[#This Row],[soda_units_sold]])</f>
        <v>11.963720790274666</v>
      </c>
      <c r="O2259">
        <f>LN(dataset[[#This Row],[soda_sales]])</f>
        <v>11.609696031526893</v>
      </c>
      <c r="P2259">
        <f>LN(dataset[[#This Row],[soda_ppu]])</f>
        <v>-0.35396433524576132</v>
      </c>
      <c r="Q2259">
        <f>IF(dataset[[#This Row],[state]]="VA",1,0)</f>
        <v>0</v>
      </c>
    </row>
    <row r="2260" spans="1:17" x14ac:dyDescent="0.35">
      <c r="A2260">
        <v>202403</v>
      </c>
      <c r="B2260">
        <v>21</v>
      </c>
      <c r="C2260" s="2">
        <v>2151687.3371000001</v>
      </c>
      <c r="D2260" s="2">
        <v>0.71619999999999995</v>
      </c>
      <c r="E2260" s="3">
        <v>177562</v>
      </c>
      <c r="F2260" s="2">
        <v>127168.81909999999</v>
      </c>
      <c r="G2260" t="s">
        <v>3879</v>
      </c>
      <c r="H2260" t="s">
        <v>8</v>
      </c>
      <c r="I2260">
        <f>HLOOKUP(G2260,zip_tiers!$A$1:$EON$2,2,FALSE)</f>
        <v>54854.333333333336</v>
      </c>
      <c r="J2260" t="str">
        <f t="shared" si="35"/>
        <v>Med</v>
      </c>
      <c r="K2260">
        <f>dataset[[#This Row],[soda_sales]]/dataset[[#This Row],[soda_units_sold]]</f>
        <v>0.71619388776877935</v>
      </c>
      <c r="L2260" s="29">
        <f>dataset[[#This Row],[implied_soda_ppu]]-dataset[[#This Row],[soda_ppu]]</f>
        <v>-6.1122312206007834E-6</v>
      </c>
      <c r="M2260">
        <f>dataset[[#This Row],[soda_sales]]/dataset[[#This Row],[total_sales]]</f>
        <v>5.9101904308920414E-2</v>
      </c>
      <c r="N2260">
        <f>LN(dataset[[#This Row],[soda_units_sold]])</f>
        <v>12.087075122682688</v>
      </c>
      <c r="O2260">
        <f>LN(dataset[[#This Row],[soda_sales]])</f>
        <v>11.753270766976552</v>
      </c>
      <c r="P2260">
        <f>LN(dataset[[#This Row],[soda_ppu]])</f>
        <v>-0.33379582141780478</v>
      </c>
      <c r="Q2260">
        <f>IF(dataset[[#This Row],[state]]="VA",1,0)</f>
        <v>0</v>
      </c>
    </row>
    <row r="2261" spans="1:17" x14ac:dyDescent="0.35">
      <c r="A2261">
        <v>202404</v>
      </c>
      <c r="B2261">
        <v>21</v>
      </c>
      <c r="C2261" s="2">
        <v>2293951.2795000002</v>
      </c>
      <c r="D2261" s="2">
        <v>0.7177</v>
      </c>
      <c r="E2261" s="3">
        <v>211300</v>
      </c>
      <c r="F2261" s="2">
        <v>151649.6827</v>
      </c>
      <c r="G2261" t="s">
        <v>3879</v>
      </c>
      <c r="H2261" t="s">
        <v>8</v>
      </c>
      <c r="I2261">
        <f>HLOOKUP(G2261,zip_tiers!$A$1:$EON$2,2,FALSE)</f>
        <v>54854.333333333336</v>
      </c>
      <c r="J2261" t="str">
        <f t="shared" si="35"/>
        <v>Med</v>
      </c>
      <c r="K2261">
        <f>dataset[[#This Row],[soda_sales]]/dataset[[#This Row],[soda_units_sold]]</f>
        <v>0.71769845101751062</v>
      </c>
      <c r="L2261" s="29">
        <f>dataset[[#This Row],[implied_soda_ppu]]-dataset[[#This Row],[soda_ppu]]</f>
        <v>-1.5489824893855086E-6</v>
      </c>
      <c r="M2261">
        <f>dataset[[#This Row],[soda_sales]]/dataset[[#This Row],[total_sales]]</f>
        <v>6.6108501978757908E-2</v>
      </c>
      <c r="N2261">
        <f>LN(dataset[[#This Row],[soda_units_sold]])</f>
        <v>12.261034203604147</v>
      </c>
      <c r="O2261">
        <f>LN(dataset[[#This Row],[soda_sales]])</f>
        <v>11.929328420796701</v>
      </c>
      <c r="P2261">
        <f>LN(dataset[[#This Row],[soda_ppu]])</f>
        <v>-0.33170362454611085</v>
      </c>
      <c r="Q2261">
        <f>IF(dataset[[#This Row],[state]]="VA",1,0)</f>
        <v>0</v>
      </c>
    </row>
    <row r="2262" spans="1:17" x14ac:dyDescent="0.35">
      <c r="A2262">
        <v>202405</v>
      </c>
      <c r="B2262">
        <v>21</v>
      </c>
      <c r="C2262" s="2">
        <v>2401812.3042000001</v>
      </c>
      <c r="D2262" s="2">
        <v>0.72219999999999995</v>
      </c>
      <c r="E2262" s="3">
        <v>225981</v>
      </c>
      <c r="F2262" s="2">
        <v>163197.79319999999</v>
      </c>
      <c r="G2262" t="s">
        <v>3879</v>
      </c>
      <c r="H2262" t="s">
        <v>8</v>
      </c>
      <c r="I2262">
        <f>HLOOKUP(G2262,zip_tiers!$A$1:$EON$2,2,FALSE)</f>
        <v>54854.333333333336</v>
      </c>
      <c r="J2262" t="str">
        <f t="shared" si="35"/>
        <v>Med</v>
      </c>
      <c r="K2262">
        <f>dataset[[#This Row],[soda_sales]]/dataset[[#This Row],[soda_units_sold]]</f>
        <v>0.72217484301777579</v>
      </c>
      <c r="L2262" s="29">
        <f>dataset[[#This Row],[implied_soda_ppu]]-dataset[[#This Row],[soda_ppu]]</f>
        <v>-2.5156982224161517E-5</v>
      </c>
      <c r="M2262">
        <f>dataset[[#This Row],[soda_sales]]/dataset[[#This Row],[total_sales]]</f>
        <v>6.7947771320273173E-2</v>
      </c>
      <c r="N2262">
        <f>LN(dataset[[#This Row],[soda_units_sold]])</f>
        <v>12.328206203923814</v>
      </c>
      <c r="O2262">
        <f>LN(dataset[[#This Row],[soda_sales]])</f>
        <v>12.002718199361896</v>
      </c>
      <c r="P2262">
        <f>LN(dataset[[#This Row],[soda_ppu]])</f>
        <v>-0.32545317013877972</v>
      </c>
      <c r="Q2262">
        <f>IF(dataset[[#This Row],[state]]="VA",1,0)</f>
        <v>0</v>
      </c>
    </row>
    <row r="2263" spans="1:17" x14ac:dyDescent="0.35">
      <c r="A2263">
        <v>202406</v>
      </c>
      <c r="B2263">
        <v>21</v>
      </c>
      <c r="C2263" s="2">
        <v>2313134.3645000001</v>
      </c>
      <c r="D2263" s="2">
        <v>0.72440000000000004</v>
      </c>
      <c r="E2263" s="3">
        <v>239691</v>
      </c>
      <c r="F2263" s="2">
        <v>173620.64689999999</v>
      </c>
      <c r="G2263" t="s">
        <v>3879</v>
      </c>
      <c r="H2263" t="s">
        <v>8</v>
      </c>
      <c r="I2263">
        <f>HLOOKUP(G2263,zip_tiers!$A$1:$EON$2,2,FALSE)</f>
        <v>54854.333333333336</v>
      </c>
      <c r="J2263" t="str">
        <f t="shared" si="35"/>
        <v>Med</v>
      </c>
      <c r="K2263">
        <f>dataset[[#This Row],[soda_sales]]/dataset[[#This Row],[soda_units_sold]]</f>
        <v>0.72435196523857792</v>
      </c>
      <c r="L2263" s="29">
        <f>dataset[[#This Row],[implied_soda_ppu]]-dataset[[#This Row],[soda_ppu]]</f>
        <v>-4.8034761422122152E-5</v>
      </c>
      <c r="M2263">
        <f>dataset[[#This Row],[soda_sales]]/dataset[[#This Row],[total_sales]]</f>
        <v>7.5058608598177687E-2</v>
      </c>
      <c r="N2263">
        <f>LN(dataset[[#This Row],[soda_units_sold]])</f>
        <v>12.387105872783906</v>
      </c>
      <c r="O2263">
        <f>LN(dataset[[#This Row],[soda_sales]])</f>
        <v>12.06462800789209</v>
      </c>
      <c r="P2263">
        <f>LN(dataset[[#This Row],[soda_ppu]])</f>
        <v>-0.32241155297287866</v>
      </c>
      <c r="Q2263">
        <f>IF(dataset[[#This Row],[state]]="VA",1,0)</f>
        <v>0</v>
      </c>
    </row>
    <row r="2264" spans="1:17" x14ac:dyDescent="0.35">
      <c r="A2264">
        <v>202407</v>
      </c>
      <c r="B2264">
        <v>21</v>
      </c>
      <c r="C2264" s="2">
        <v>2194612.7705999999</v>
      </c>
      <c r="D2264" s="2">
        <v>0.73440000000000005</v>
      </c>
      <c r="E2264" s="3">
        <v>241797</v>
      </c>
      <c r="F2264" s="2">
        <v>177576.6727</v>
      </c>
      <c r="G2264" t="s">
        <v>3879</v>
      </c>
      <c r="H2264" t="s">
        <v>8</v>
      </c>
      <c r="I2264">
        <f>HLOOKUP(G2264,zip_tiers!$A$1:$EON$2,2,FALSE)</f>
        <v>54854.333333333336</v>
      </c>
      <c r="J2264" t="str">
        <f t="shared" si="35"/>
        <v>Med</v>
      </c>
      <c r="K2264">
        <f>dataset[[#This Row],[soda_sales]]/dataset[[#This Row],[soda_units_sold]]</f>
        <v>0.73440395331621156</v>
      </c>
      <c r="L2264" s="29">
        <f>dataset[[#This Row],[implied_soda_ppu]]-dataset[[#This Row],[soda_ppu]]</f>
        <v>3.9533162115024112E-6</v>
      </c>
      <c r="M2264">
        <f>dataset[[#This Row],[soda_sales]]/dataset[[#This Row],[total_sales]]</f>
        <v>8.091480878945724E-2</v>
      </c>
      <c r="N2264">
        <f>LN(dataset[[#This Row],[soda_units_sold]])</f>
        <v>12.395853810137972</v>
      </c>
      <c r="O2264">
        <f>LN(dataset[[#This Row],[soda_sales]])</f>
        <v>12.087157753503471</v>
      </c>
      <c r="P2264">
        <f>LN(dataset[[#This Row],[soda_ppu]])</f>
        <v>-0.30870143967585628</v>
      </c>
      <c r="Q2264">
        <f>IF(dataset[[#This Row],[state]]="VA",1,0)</f>
        <v>0</v>
      </c>
    </row>
    <row r="2265" spans="1:17" x14ac:dyDescent="0.35">
      <c r="A2265">
        <v>202408</v>
      </c>
      <c r="B2265">
        <v>21</v>
      </c>
      <c r="C2265" s="2">
        <v>2103903.7133999998</v>
      </c>
      <c r="D2265" s="2">
        <v>0.73660000000000003</v>
      </c>
      <c r="E2265" s="3">
        <v>212635</v>
      </c>
      <c r="F2265" s="2">
        <v>156622.94159999999</v>
      </c>
      <c r="G2265" t="s">
        <v>3879</v>
      </c>
      <c r="H2265" t="s">
        <v>8</v>
      </c>
      <c r="I2265">
        <f>HLOOKUP(G2265,zip_tiers!$A$1:$EON$2,2,FALSE)</f>
        <v>54854.333333333336</v>
      </c>
      <c r="J2265" t="str">
        <f t="shared" si="35"/>
        <v>Med</v>
      </c>
      <c r="K2265">
        <f>dataset[[#This Row],[soda_sales]]/dataset[[#This Row],[soda_units_sold]]</f>
        <v>0.7365811912432102</v>
      </c>
      <c r="L2265" s="29">
        <f>dataset[[#This Row],[implied_soda_ppu]]-dataset[[#This Row],[soda_ppu]]</f>
        <v>-1.8808756789834291E-5</v>
      </c>
      <c r="M2265">
        <f>dataset[[#This Row],[soda_sales]]/dataset[[#This Row],[total_sales]]</f>
        <v>7.4443968420441875E-2</v>
      </c>
      <c r="N2265">
        <f>LN(dataset[[#This Row],[soda_units_sold]])</f>
        <v>12.267332359750375</v>
      </c>
      <c r="O2265">
        <f>LN(dataset[[#This Row],[soda_sales]])</f>
        <v>11.961596549893335</v>
      </c>
      <c r="P2265">
        <f>LN(dataset[[#This Row],[soda_ppu]])</f>
        <v>-0.30571027497117209</v>
      </c>
      <c r="Q2265">
        <f>IF(dataset[[#This Row],[state]]="VA",1,0)</f>
        <v>0</v>
      </c>
    </row>
    <row r="2266" spans="1:17" x14ac:dyDescent="0.35">
      <c r="A2266">
        <v>202409</v>
      </c>
      <c r="B2266">
        <v>21</v>
      </c>
      <c r="C2266" s="2">
        <v>2086386.2356</v>
      </c>
      <c r="D2266" s="2">
        <v>0.72</v>
      </c>
      <c r="E2266" s="3">
        <v>207752</v>
      </c>
      <c r="F2266" s="2">
        <v>149588.4944</v>
      </c>
      <c r="G2266" t="s">
        <v>3879</v>
      </c>
      <c r="H2266" t="s">
        <v>8</v>
      </c>
      <c r="I2266">
        <f>HLOOKUP(G2266,zip_tiers!$A$1:$EON$2,2,FALSE)</f>
        <v>54854.333333333336</v>
      </c>
      <c r="J2266" t="str">
        <f t="shared" si="35"/>
        <v>Med</v>
      </c>
      <c r="K2266">
        <f>dataset[[#This Row],[soda_sales]]/dataset[[#This Row],[soda_units_sold]]</f>
        <v>0.72003395587046093</v>
      </c>
      <c r="L2266" s="29">
        <f>dataset[[#This Row],[implied_soda_ppu]]-dataset[[#This Row],[soda_ppu]]</f>
        <v>3.3955870460955495E-5</v>
      </c>
      <c r="M2266">
        <f>dataset[[#This Row],[soda_sales]]/dataset[[#This Row],[total_sales]]</f>
        <v>7.1697412419413104E-2</v>
      </c>
      <c r="N2266">
        <f>LN(dataset[[#This Row],[soda_units_sold]])</f>
        <v>12.244100339626831</v>
      </c>
      <c r="O2266">
        <f>LN(dataset[[#This Row],[soda_sales]])</f>
        <v>11.915643432473949</v>
      </c>
      <c r="P2266">
        <f>LN(dataset[[#This Row],[soda_ppu]])</f>
        <v>-0.3285040669720361</v>
      </c>
      <c r="Q2266">
        <f>IF(dataset[[#This Row],[state]]="VA",1,0)</f>
        <v>0</v>
      </c>
    </row>
    <row r="2267" spans="1:17" x14ac:dyDescent="0.35">
      <c r="A2267">
        <v>202410</v>
      </c>
      <c r="B2267">
        <v>21</v>
      </c>
      <c r="C2267" s="2">
        <v>2534155.773</v>
      </c>
      <c r="D2267" s="2">
        <v>0.74280000000000002</v>
      </c>
      <c r="E2267" s="3">
        <v>191096</v>
      </c>
      <c r="F2267" s="2">
        <v>141941.41190000001</v>
      </c>
      <c r="G2267" t="s">
        <v>3879</v>
      </c>
      <c r="H2267" t="s">
        <v>8</v>
      </c>
      <c r="I2267">
        <f>HLOOKUP(G2267,zip_tiers!$A$1:$EON$2,2,FALSE)</f>
        <v>54854.333333333336</v>
      </c>
      <c r="J2267" t="str">
        <f t="shared" si="35"/>
        <v>Med</v>
      </c>
      <c r="K2267">
        <f>dataset[[#This Row],[soda_sales]]/dataset[[#This Row],[soda_units_sold]]</f>
        <v>0.74277542125423879</v>
      </c>
      <c r="L2267" s="29">
        <f>dataset[[#This Row],[implied_soda_ppu]]-dataset[[#This Row],[soda_ppu]]</f>
        <v>-2.4578745761227871E-5</v>
      </c>
      <c r="M2267">
        <f>dataset[[#This Row],[soda_sales]]/dataset[[#This Row],[total_sales]]</f>
        <v>5.6011320776846341E-2</v>
      </c>
      <c r="N2267">
        <f>LN(dataset[[#This Row],[soda_units_sold]])</f>
        <v>12.160531198559795</v>
      </c>
      <c r="O2267">
        <f>LN(dataset[[#This Row],[soda_sales]])</f>
        <v>11.863169659190273</v>
      </c>
      <c r="P2267">
        <f>LN(dataset[[#This Row],[soda_ppu]])</f>
        <v>-0.29732844950358628</v>
      </c>
      <c r="Q2267">
        <f>IF(dataset[[#This Row],[state]]="VA",1,0)</f>
        <v>0</v>
      </c>
    </row>
    <row r="2268" spans="1:17" x14ac:dyDescent="0.35">
      <c r="A2268">
        <v>202411</v>
      </c>
      <c r="B2268">
        <v>21</v>
      </c>
      <c r="C2268" s="2">
        <v>2924578.4667000002</v>
      </c>
      <c r="D2268" s="2">
        <v>0.72709999999999997</v>
      </c>
      <c r="E2268" s="3">
        <v>185980</v>
      </c>
      <c r="F2268" s="2">
        <v>135219.9523</v>
      </c>
      <c r="G2268" t="s">
        <v>3879</v>
      </c>
      <c r="H2268" t="s">
        <v>8</v>
      </c>
      <c r="I2268">
        <f>HLOOKUP(G2268,zip_tiers!$A$1:$EON$2,2,FALSE)</f>
        <v>54854.333333333336</v>
      </c>
      <c r="J2268" t="str">
        <f t="shared" si="35"/>
        <v>Med</v>
      </c>
      <c r="K2268">
        <f>dataset[[#This Row],[soda_sales]]/dataset[[#This Row],[soda_units_sold]]</f>
        <v>0.72706717012582001</v>
      </c>
      <c r="L2268" s="29">
        <f>dataset[[#This Row],[implied_soda_ppu]]-dataset[[#This Row],[soda_ppu]]</f>
        <v>-3.2829874179962637E-5</v>
      </c>
      <c r="M2268">
        <f>dataset[[#This Row],[soda_sales]]/dataset[[#This Row],[total_sales]]</f>
        <v>4.6235706731636378E-2</v>
      </c>
      <c r="N2268">
        <f>LN(dataset[[#This Row],[soda_units_sold]])</f>
        <v>12.133394420032188</v>
      </c>
      <c r="O2268">
        <f>LN(dataset[[#This Row],[soda_sales]])</f>
        <v>11.814658007886139</v>
      </c>
      <c r="P2268">
        <f>LN(dataset[[#This Row],[soda_ppu]])</f>
        <v>-0.31869125932612596</v>
      </c>
      <c r="Q2268">
        <f>IF(dataset[[#This Row],[state]]="VA",1,0)</f>
        <v>0</v>
      </c>
    </row>
    <row r="2269" spans="1:17" x14ac:dyDescent="0.35">
      <c r="A2269">
        <v>202412</v>
      </c>
      <c r="B2269">
        <v>21</v>
      </c>
      <c r="C2269" s="2">
        <v>3014691.7055000002</v>
      </c>
      <c r="D2269" s="2">
        <v>0.73499999999999999</v>
      </c>
      <c r="E2269" s="3">
        <v>177562</v>
      </c>
      <c r="F2269" s="2">
        <v>130516.35679999999</v>
      </c>
      <c r="G2269" t="s">
        <v>3879</v>
      </c>
      <c r="H2269" t="s">
        <v>8</v>
      </c>
      <c r="I2269">
        <f>HLOOKUP(G2269,zip_tiers!$A$1:$EON$2,2,FALSE)</f>
        <v>54854.333333333336</v>
      </c>
      <c r="J2269" t="str">
        <f t="shared" si="35"/>
        <v>Med</v>
      </c>
      <c r="K2269">
        <f>dataset[[#This Row],[soda_sales]]/dataset[[#This Row],[soda_units_sold]]</f>
        <v>0.73504666989558576</v>
      </c>
      <c r="L2269" s="29">
        <f>dataset[[#This Row],[implied_soda_ppu]]-dataset[[#This Row],[soda_ppu]]</f>
        <v>4.6669895585771393E-5</v>
      </c>
      <c r="M2269">
        <f>dataset[[#This Row],[soda_sales]]/dataset[[#This Row],[total_sales]]</f>
        <v>4.3293434138517745E-2</v>
      </c>
      <c r="N2269">
        <f>LN(dataset[[#This Row],[soda_units_sold]])</f>
        <v>12.087075122682688</v>
      </c>
      <c r="O2269">
        <f>LN(dataset[[#This Row],[soda_sales]])</f>
        <v>11.779253837354153</v>
      </c>
      <c r="P2269">
        <f>LN(dataset[[#This Row],[soda_ppu]])</f>
        <v>-0.3078847797693004</v>
      </c>
      <c r="Q2269">
        <f>IF(dataset[[#This Row],[state]]="VA",1,0)</f>
        <v>0</v>
      </c>
    </row>
    <row r="2270" spans="1:17" x14ac:dyDescent="0.35">
      <c r="A2270">
        <v>202201</v>
      </c>
      <c r="B2270">
        <v>99</v>
      </c>
      <c r="C2270" s="2">
        <v>2012386.9267</v>
      </c>
      <c r="D2270" s="2">
        <v>0.70469999999999999</v>
      </c>
      <c r="E2270" s="3">
        <v>132377</v>
      </c>
      <c r="F2270" s="2">
        <v>93291.579299999998</v>
      </c>
      <c r="G2270" t="s">
        <v>1403</v>
      </c>
      <c r="H2270" t="s">
        <v>7</v>
      </c>
      <c r="I2270">
        <f>HLOOKUP(G2270,zip_tiers!$A$1:$EON$2,2,FALSE)</f>
        <v>85208</v>
      </c>
      <c r="J2270" t="str">
        <f t="shared" si="35"/>
        <v>Med</v>
      </c>
      <c r="K2270">
        <f>dataset[[#This Row],[soda_sales]]/dataset[[#This Row],[soda_units_sold]]</f>
        <v>0.70474160390400142</v>
      </c>
      <c r="L2270" s="29">
        <f>dataset[[#This Row],[implied_soda_ppu]]-dataset[[#This Row],[soda_ppu]]</f>
        <v>4.1603904001430436E-5</v>
      </c>
      <c r="M2270">
        <f>dataset[[#This Row],[soda_sales]]/dataset[[#This Row],[total_sales]]</f>
        <v>4.6358668933008627E-2</v>
      </c>
      <c r="N2270">
        <f>LN(dataset[[#This Row],[soda_units_sold]])</f>
        <v>11.793409191382587</v>
      </c>
      <c r="O2270">
        <f>LN(dataset[[#This Row],[soda_sales]])</f>
        <v>11.443485128743003</v>
      </c>
      <c r="P2270">
        <f>LN(dataset[[#This Row],[soda_ppu]])</f>
        <v>-0.34998309864916027</v>
      </c>
      <c r="Q2270">
        <f>IF(dataset[[#This Row],[state]]="VA",1,0)</f>
        <v>0</v>
      </c>
    </row>
    <row r="2271" spans="1:17" x14ac:dyDescent="0.35">
      <c r="A2271">
        <v>202202</v>
      </c>
      <c r="B2271">
        <v>99</v>
      </c>
      <c r="C2271" s="2">
        <v>2282559.2116999999</v>
      </c>
      <c r="D2271" s="2">
        <v>0.66969999999999996</v>
      </c>
      <c r="E2271" s="3">
        <v>156249</v>
      </c>
      <c r="F2271" s="2">
        <v>104639.77710000001</v>
      </c>
      <c r="G2271" t="s">
        <v>1403</v>
      </c>
      <c r="H2271" t="s">
        <v>7</v>
      </c>
      <c r="I2271">
        <f>HLOOKUP(G2271,zip_tiers!$A$1:$EON$2,2,FALSE)</f>
        <v>85208</v>
      </c>
      <c r="J2271" t="str">
        <f t="shared" si="35"/>
        <v>Med</v>
      </c>
      <c r="K2271">
        <f>dataset[[#This Row],[soda_sales]]/dataset[[#This Row],[soda_units_sold]]</f>
        <v>0.66969885951270092</v>
      </c>
      <c r="L2271" s="29">
        <f>dataset[[#This Row],[implied_soda_ppu]]-dataset[[#This Row],[soda_ppu]]</f>
        <v>-1.1404872990450343E-6</v>
      </c>
      <c r="M2271">
        <f>dataset[[#This Row],[soda_sales]]/dataset[[#This Row],[total_sales]]</f>
        <v>4.5843181882702005E-2</v>
      </c>
      <c r="N2271">
        <f>LN(dataset[[#This Row],[soda_units_sold]])</f>
        <v>11.959206167578168</v>
      </c>
      <c r="O2271">
        <f>LN(dataset[[#This Row],[soda_sales]])</f>
        <v>11.558279036528207</v>
      </c>
      <c r="P2271">
        <f>LN(dataset[[#This Row],[soda_ppu]])</f>
        <v>-0.40092542806613263</v>
      </c>
      <c r="Q2271">
        <f>IF(dataset[[#This Row],[state]]="VA",1,0)</f>
        <v>0</v>
      </c>
    </row>
    <row r="2272" spans="1:17" x14ac:dyDescent="0.35">
      <c r="A2272">
        <v>202203</v>
      </c>
      <c r="B2272">
        <v>99</v>
      </c>
      <c r="C2272" s="2">
        <v>2530330.142</v>
      </c>
      <c r="D2272" s="2">
        <v>0.70899999999999996</v>
      </c>
      <c r="E2272" s="3">
        <v>175969</v>
      </c>
      <c r="F2272" s="2">
        <v>124753.66650000001</v>
      </c>
      <c r="G2272" t="s">
        <v>1403</v>
      </c>
      <c r="H2272" t="s">
        <v>7</v>
      </c>
      <c r="I2272">
        <f>HLOOKUP(G2272,zip_tiers!$A$1:$EON$2,2,FALSE)</f>
        <v>85208</v>
      </c>
      <c r="J2272" t="str">
        <f t="shared" si="35"/>
        <v>Med</v>
      </c>
      <c r="K2272">
        <f>dataset[[#This Row],[soda_sales]]/dataset[[#This Row],[soda_units_sold]]</f>
        <v>0.70895252288755406</v>
      </c>
      <c r="L2272" s="29">
        <f>dataset[[#This Row],[implied_soda_ppu]]-dataset[[#This Row],[soda_ppu]]</f>
        <v>-4.7477112445903913E-5</v>
      </c>
      <c r="M2272">
        <f>dataset[[#This Row],[soda_sales]]/dataset[[#This Row],[total_sales]]</f>
        <v>4.9303315970220939E-2</v>
      </c>
      <c r="N2272">
        <f>LN(dataset[[#This Row],[soda_units_sold]])</f>
        <v>12.078063122142822</v>
      </c>
      <c r="O2272">
        <f>LN(dataset[[#This Row],[soda_sales]])</f>
        <v>11.734096403963427</v>
      </c>
      <c r="P2272">
        <f>LN(dataset[[#This Row],[soda_ppu]])</f>
        <v>-0.34389975245000959</v>
      </c>
      <c r="Q2272">
        <f>IF(dataset[[#This Row],[state]]="VA",1,0)</f>
        <v>0</v>
      </c>
    </row>
    <row r="2273" spans="1:17" x14ac:dyDescent="0.35">
      <c r="A2273">
        <v>202204</v>
      </c>
      <c r="B2273">
        <v>99</v>
      </c>
      <c r="C2273" s="2">
        <v>2691342.5989000001</v>
      </c>
      <c r="D2273" s="2">
        <v>0.70189999999999997</v>
      </c>
      <c r="E2273" s="3">
        <v>205988</v>
      </c>
      <c r="F2273" s="2">
        <v>144591.26389999999</v>
      </c>
      <c r="G2273" t="s">
        <v>1403</v>
      </c>
      <c r="H2273" t="s">
        <v>7</v>
      </c>
      <c r="I2273">
        <f>HLOOKUP(G2273,zip_tiers!$A$1:$EON$2,2,FALSE)</f>
        <v>85208</v>
      </c>
      <c r="J2273" t="str">
        <f t="shared" si="35"/>
        <v>Med</v>
      </c>
      <c r="K2273">
        <f>dataset[[#This Row],[soda_sales]]/dataset[[#This Row],[soda_units_sold]]</f>
        <v>0.70194022904246844</v>
      </c>
      <c r="L2273" s="29">
        <f>dataset[[#This Row],[implied_soda_ppu]]-dataset[[#This Row],[soda_ppu]]</f>
        <v>4.0229042468475917E-5</v>
      </c>
      <c r="M2273">
        <f>dataset[[#This Row],[soda_sales]]/dataset[[#This Row],[total_sales]]</f>
        <v>5.3724584881574361E-2</v>
      </c>
      <c r="N2273">
        <f>LN(dataset[[#This Row],[soda_units_sold]])</f>
        <v>12.235573193647795</v>
      </c>
      <c r="O2273">
        <f>LN(dataset[[#This Row],[soda_sales]])</f>
        <v>11.881666171252382</v>
      </c>
      <c r="P2273">
        <f>LN(dataset[[#This Row],[soda_ppu]])</f>
        <v>-0.35396433524576132</v>
      </c>
      <c r="Q2273">
        <f>IF(dataset[[#This Row],[state]]="VA",1,0)</f>
        <v>0</v>
      </c>
    </row>
    <row r="2274" spans="1:17" x14ac:dyDescent="0.35">
      <c r="A2274">
        <v>202205</v>
      </c>
      <c r="B2274">
        <v>99</v>
      </c>
      <c r="C2274" s="2">
        <v>2793337.9314000001</v>
      </c>
      <c r="D2274" s="2">
        <v>0.68779999999999997</v>
      </c>
      <c r="E2274" s="3">
        <v>227374</v>
      </c>
      <c r="F2274" s="2">
        <v>156391.63759999999</v>
      </c>
      <c r="G2274" t="s">
        <v>1403</v>
      </c>
      <c r="H2274" t="s">
        <v>7</v>
      </c>
      <c r="I2274">
        <f>HLOOKUP(G2274,zip_tiers!$A$1:$EON$2,2,FALSE)</f>
        <v>85208</v>
      </c>
      <c r="J2274" t="str">
        <f t="shared" si="35"/>
        <v>Med</v>
      </c>
      <c r="K2274">
        <f>dataset[[#This Row],[soda_sales]]/dataset[[#This Row],[soda_units_sold]]</f>
        <v>0.68781671431210245</v>
      </c>
      <c r="L2274" s="29">
        <f>dataset[[#This Row],[implied_soda_ppu]]-dataset[[#This Row],[soda_ppu]]</f>
        <v>1.6714312102483753E-5</v>
      </c>
      <c r="M2274">
        <f>dataset[[#This Row],[soda_sales]]/dataset[[#This Row],[total_sales]]</f>
        <v>5.5987367601319067E-2</v>
      </c>
      <c r="N2274">
        <f>LN(dataset[[#This Row],[soda_units_sold]])</f>
        <v>12.334351517789861</v>
      </c>
      <c r="O2274">
        <f>LN(dataset[[#This Row],[soda_sales]])</f>
        <v>11.96011863763319</v>
      </c>
      <c r="P2274">
        <f>LN(dataset[[#This Row],[soda_ppu]])</f>
        <v>-0.37425718098397126</v>
      </c>
      <c r="Q2274">
        <f>IF(dataset[[#This Row],[state]]="VA",1,0)</f>
        <v>0</v>
      </c>
    </row>
    <row r="2275" spans="1:17" x14ac:dyDescent="0.35">
      <c r="A2275">
        <v>202206</v>
      </c>
      <c r="B2275">
        <v>99</v>
      </c>
      <c r="C2275" s="2">
        <v>2706707.0208999999</v>
      </c>
      <c r="D2275" s="2">
        <v>0.71220000000000006</v>
      </c>
      <c r="E2275" s="3">
        <v>237548</v>
      </c>
      <c r="F2275" s="2">
        <v>169173.1102</v>
      </c>
      <c r="G2275" t="s">
        <v>1403</v>
      </c>
      <c r="H2275" t="s">
        <v>7</v>
      </c>
      <c r="I2275">
        <f>HLOOKUP(G2275,zip_tiers!$A$1:$EON$2,2,FALSE)</f>
        <v>85208</v>
      </c>
      <c r="J2275" t="str">
        <f t="shared" si="35"/>
        <v>Med</v>
      </c>
      <c r="K2275">
        <f>dataset[[#This Row],[soda_sales]]/dataset[[#This Row],[soda_units_sold]]</f>
        <v>0.71216390034856114</v>
      </c>
      <c r="L2275" s="29">
        <f>dataset[[#This Row],[implied_soda_ppu]]-dataset[[#This Row],[soda_ppu]]</f>
        <v>-3.6099651438914471E-5</v>
      </c>
      <c r="M2275">
        <f>dataset[[#This Row],[soda_sales]]/dataset[[#This Row],[total_sales]]</f>
        <v>6.2501448769194348E-2</v>
      </c>
      <c r="N2275">
        <f>LN(dataset[[#This Row],[soda_units_sold]])</f>
        <v>12.378124987299474</v>
      </c>
      <c r="O2275">
        <f>LN(dataset[[#This Row],[soda_sales]])</f>
        <v>12.038677790356786</v>
      </c>
      <c r="P2275">
        <f>LN(dataset[[#This Row],[soda_ppu]])</f>
        <v>-0.33939650813845962</v>
      </c>
      <c r="Q2275">
        <f>IF(dataset[[#This Row],[state]]="VA",1,0)</f>
        <v>0</v>
      </c>
    </row>
    <row r="2276" spans="1:17" x14ac:dyDescent="0.35">
      <c r="A2276">
        <v>202207</v>
      </c>
      <c r="B2276">
        <v>99</v>
      </c>
      <c r="C2276" s="2">
        <v>2613023.4775999999</v>
      </c>
      <c r="D2276" s="2">
        <v>0.71740000000000004</v>
      </c>
      <c r="E2276" s="3">
        <v>247007</v>
      </c>
      <c r="F2276" s="2">
        <v>177215.1012</v>
      </c>
      <c r="G2276" t="s">
        <v>1403</v>
      </c>
      <c r="H2276" t="s">
        <v>7</v>
      </c>
      <c r="I2276">
        <f>HLOOKUP(G2276,zip_tiers!$A$1:$EON$2,2,FALSE)</f>
        <v>85208</v>
      </c>
      <c r="J2276" t="str">
        <f t="shared" si="35"/>
        <v>Med</v>
      </c>
      <c r="K2276">
        <f>dataset[[#This Row],[soda_sales]]/dataset[[#This Row],[soda_units_sold]]</f>
        <v>0.71744971276117686</v>
      </c>
      <c r="L2276" s="29">
        <f>dataset[[#This Row],[implied_soda_ppu]]-dataset[[#This Row],[soda_ppu]]</f>
        <v>4.9712761176823328E-5</v>
      </c>
      <c r="M2276">
        <f>dataset[[#This Row],[soda_sales]]/dataset[[#This Row],[total_sales]]</f>
        <v>6.7819942193082738E-2</v>
      </c>
      <c r="N2276">
        <f>LN(dataset[[#This Row],[soda_units_sold]])</f>
        <v>12.417171955289513</v>
      </c>
      <c r="O2276">
        <f>LN(dataset[[#This Row],[soda_sales]])</f>
        <v>12.085119534740958</v>
      </c>
      <c r="P2276">
        <f>LN(dataset[[#This Row],[soda_ppu]])</f>
        <v>-0.33212171388395478</v>
      </c>
      <c r="Q2276">
        <f>IF(dataset[[#This Row],[state]]="VA",1,0)</f>
        <v>0</v>
      </c>
    </row>
    <row r="2277" spans="1:17" x14ac:dyDescent="0.35">
      <c r="A2277">
        <v>202208</v>
      </c>
      <c r="B2277">
        <v>99</v>
      </c>
      <c r="C2277" s="2">
        <v>2425892.8443999998</v>
      </c>
      <c r="D2277" s="2">
        <v>0.71830000000000005</v>
      </c>
      <c r="E2277" s="3">
        <v>210831</v>
      </c>
      <c r="F2277" s="2">
        <v>151446.49799999999</v>
      </c>
      <c r="G2277" t="s">
        <v>1403</v>
      </c>
      <c r="H2277" t="s">
        <v>7</v>
      </c>
      <c r="I2277">
        <f>HLOOKUP(G2277,zip_tiers!$A$1:$EON$2,2,FALSE)</f>
        <v>85208</v>
      </c>
      <c r="J2277" t="str">
        <f t="shared" si="35"/>
        <v>Med</v>
      </c>
      <c r="K2277">
        <f>dataset[[#This Row],[soda_sales]]/dataset[[#This Row],[soda_units_sold]]</f>
        <v>0.71833126058312102</v>
      </c>
      <c r="L2277" s="29">
        <f>dataset[[#This Row],[implied_soda_ppu]]-dataset[[#This Row],[soda_ppu]]</f>
        <v>3.1260583120973351E-5</v>
      </c>
      <c r="M2277">
        <f>dataset[[#This Row],[soda_sales]]/dataset[[#This Row],[total_sales]]</f>
        <v>6.2429178745303363E-2</v>
      </c>
      <c r="N2277">
        <f>LN(dataset[[#This Row],[soda_units_sold]])</f>
        <v>12.258812143660785</v>
      </c>
      <c r="O2277">
        <f>LN(dataset[[#This Row],[soda_sales]])</f>
        <v>11.927987693045088</v>
      </c>
      <c r="P2277">
        <f>LN(dataset[[#This Row],[soda_ppu]])</f>
        <v>-0.33086796990138106</v>
      </c>
      <c r="Q2277">
        <f>IF(dataset[[#This Row],[state]]="VA",1,0)</f>
        <v>0</v>
      </c>
    </row>
    <row r="2278" spans="1:17" x14ac:dyDescent="0.35">
      <c r="A2278">
        <v>202209</v>
      </c>
      <c r="B2278">
        <v>99</v>
      </c>
      <c r="C2278" s="2">
        <v>2404328.3659000001</v>
      </c>
      <c r="D2278" s="2">
        <v>0.68500000000000005</v>
      </c>
      <c r="E2278" s="3">
        <v>206133</v>
      </c>
      <c r="F2278" s="2">
        <v>141209.0943</v>
      </c>
      <c r="G2278" t="s">
        <v>1403</v>
      </c>
      <c r="H2278" t="s">
        <v>7</v>
      </c>
      <c r="I2278">
        <f>HLOOKUP(G2278,zip_tiers!$A$1:$EON$2,2,FALSE)</f>
        <v>85208</v>
      </c>
      <c r="J2278" t="str">
        <f t="shared" si="35"/>
        <v>Med</v>
      </c>
      <c r="K2278">
        <f>dataset[[#This Row],[soda_sales]]/dataset[[#This Row],[soda_units_sold]]</f>
        <v>0.68503875798634861</v>
      </c>
      <c r="L2278" s="29">
        <f>dataset[[#This Row],[implied_soda_ppu]]-dataset[[#This Row],[soda_ppu]]</f>
        <v>3.8757986348558759E-5</v>
      </c>
      <c r="M2278">
        <f>dataset[[#This Row],[soda_sales]]/dataset[[#This Row],[total_sales]]</f>
        <v>5.8731201737139554E-2</v>
      </c>
      <c r="N2278">
        <f>LN(dataset[[#This Row],[soda_units_sold]])</f>
        <v>12.236276870509606</v>
      </c>
      <c r="O2278">
        <f>LN(dataset[[#This Row],[soda_sales]])</f>
        <v>11.857997009191019</v>
      </c>
      <c r="P2278">
        <f>LN(dataset[[#This Row],[soda_ppu]])</f>
        <v>-0.37833644071991168</v>
      </c>
      <c r="Q2278">
        <f>IF(dataset[[#This Row],[state]]="VA",1,0)</f>
        <v>0</v>
      </c>
    </row>
    <row r="2279" spans="1:17" x14ac:dyDescent="0.35">
      <c r="A2279">
        <v>202210</v>
      </c>
      <c r="B2279">
        <v>99</v>
      </c>
      <c r="C2279" s="2">
        <v>2976240.6370999999</v>
      </c>
      <c r="D2279" s="2">
        <v>0.69350000000000001</v>
      </c>
      <c r="E2279" s="3">
        <v>195542</v>
      </c>
      <c r="F2279" s="2">
        <v>135609.9295</v>
      </c>
      <c r="G2279" t="s">
        <v>1403</v>
      </c>
      <c r="H2279" t="s">
        <v>7</v>
      </c>
      <c r="I2279">
        <f>HLOOKUP(G2279,zip_tiers!$A$1:$EON$2,2,FALSE)</f>
        <v>85208</v>
      </c>
      <c r="J2279" t="str">
        <f t="shared" si="35"/>
        <v>Med</v>
      </c>
      <c r="K2279">
        <f>dataset[[#This Row],[soda_sales]]/dataset[[#This Row],[soda_units_sold]]</f>
        <v>0.69350793947080425</v>
      </c>
      <c r="L2279" s="29">
        <f>dataset[[#This Row],[implied_soda_ppu]]-dataset[[#This Row],[soda_ppu]]</f>
        <v>7.9394708042412887E-6</v>
      </c>
      <c r="M2279">
        <f>dataset[[#This Row],[soda_sales]]/dataset[[#This Row],[total_sales]]</f>
        <v>4.5564168370517272E-2</v>
      </c>
      <c r="N2279">
        <f>LN(dataset[[#This Row],[soda_units_sold]])</f>
        <v>12.183530469093681</v>
      </c>
      <c r="O2279">
        <f>LN(dataset[[#This Row],[soda_sales]])</f>
        <v>11.81753787820869</v>
      </c>
      <c r="P2279">
        <f>LN(dataset[[#This Row],[soda_ppu]])</f>
        <v>-0.36600403922725078</v>
      </c>
      <c r="Q2279">
        <f>IF(dataset[[#This Row],[state]]="VA",1,0)</f>
        <v>0</v>
      </c>
    </row>
    <row r="2280" spans="1:17" x14ac:dyDescent="0.35">
      <c r="A2280">
        <v>202211</v>
      </c>
      <c r="B2280">
        <v>99</v>
      </c>
      <c r="C2280" s="2">
        <v>3371607.7171</v>
      </c>
      <c r="D2280" s="2">
        <v>0.69040000000000001</v>
      </c>
      <c r="E2280" s="3">
        <v>190503</v>
      </c>
      <c r="F2280" s="2">
        <v>131516.50750000001</v>
      </c>
      <c r="G2280" t="s">
        <v>1403</v>
      </c>
      <c r="H2280" t="s">
        <v>7</v>
      </c>
      <c r="I2280">
        <f>HLOOKUP(G2280,zip_tiers!$A$1:$EON$2,2,FALSE)</f>
        <v>85208</v>
      </c>
      <c r="J2280" t="str">
        <f t="shared" si="35"/>
        <v>Med</v>
      </c>
      <c r="K2280">
        <f>dataset[[#This Row],[soda_sales]]/dataset[[#This Row],[soda_units_sold]]</f>
        <v>0.69036449557224822</v>
      </c>
      <c r="L2280" s="29">
        <f>dataset[[#This Row],[implied_soda_ppu]]-dataset[[#This Row],[soda_ppu]]</f>
        <v>-3.5504427751797962E-5</v>
      </c>
      <c r="M2280">
        <f>dataset[[#This Row],[soda_sales]]/dataset[[#This Row],[total_sales]]</f>
        <v>3.900706088462761E-2</v>
      </c>
      <c r="N2280">
        <f>LN(dataset[[#This Row],[soda_units_sold]])</f>
        <v>12.157423221456391</v>
      </c>
      <c r="O2280">
        <f>LN(dataset[[#This Row],[soda_sales]])</f>
        <v>11.786887655040825</v>
      </c>
      <c r="P2280">
        <f>LN(dataset[[#This Row],[soda_ppu]])</f>
        <v>-0.37048413921291884</v>
      </c>
      <c r="Q2280">
        <f>IF(dataset[[#This Row],[state]]="VA",1,0)</f>
        <v>0</v>
      </c>
    </row>
    <row r="2281" spans="1:17" x14ac:dyDescent="0.35">
      <c r="A2281">
        <v>202212</v>
      </c>
      <c r="B2281">
        <v>99</v>
      </c>
      <c r="C2281" s="2">
        <v>3586172.7985</v>
      </c>
      <c r="D2281" s="2">
        <v>0.69450000000000001</v>
      </c>
      <c r="E2281" s="3">
        <v>182124</v>
      </c>
      <c r="F2281" s="2">
        <v>126490.0722</v>
      </c>
      <c r="G2281" t="s">
        <v>1403</v>
      </c>
      <c r="H2281" t="s">
        <v>7</v>
      </c>
      <c r="I2281">
        <f>HLOOKUP(G2281,zip_tiers!$A$1:$EON$2,2,FALSE)</f>
        <v>85208</v>
      </c>
      <c r="J2281" t="str">
        <f t="shared" si="35"/>
        <v>Med</v>
      </c>
      <c r="K2281">
        <f>dataset[[#This Row],[soda_sales]]/dataset[[#This Row],[soda_units_sold]]</f>
        <v>0.69452720234565457</v>
      </c>
      <c r="L2281" s="29">
        <f>dataset[[#This Row],[implied_soda_ppu]]-dataset[[#This Row],[soda_ppu]]</f>
        <v>2.7202345654564475E-5</v>
      </c>
      <c r="M2281">
        <f>dataset[[#This Row],[soda_sales]]/dataset[[#This Row],[total_sales]]</f>
        <v>3.5271605499017616E-2</v>
      </c>
      <c r="N2281">
        <f>LN(dataset[[#This Row],[soda_units_sold]])</f>
        <v>12.112443052748047</v>
      </c>
      <c r="O2281">
        <f>LN(dataset[[#This Row],[soda_sales]])</f>
        <v>11.747919103437535</v>
      </c>
      <c r="P2281">
        <f>LN(dataset[[#This Row],[soda_ppu]])</f>
        <v>-0.36456311678773856</v>
      </c>
      <c r="Q2281">
        <f>IF(dataset[[#This Row],[state]]="VA",1,0)</f>
        <v>0</v>
      </c>
    </row>
    <row r="2282" spans="1:17" x14ac:dyDescent="0.35">
      <c r="A2282">
        <v>202301</v>
      </c>
      <c r="B2282">
        <v>99</v>
      </c>
      <c r="C2282" s="2">
        <v>2052039.5377</v>
      </c>
      <c r="D2282" s="2">
        <v>0.70820000000000005</v>
      </c>
      <c r="E2282" s="3">
        <v>133210</v>
      </c>
      <c r="F2282" s="2">
        <v>94343.08</v>
      </c>
      <c r="G2282" t="s">
        <v>1403</v>
      </c>
      <c r="H2282" t="s">
        <v>7</v>
      </c>
      <c r="I2282">
        <f>HLOOKUP(G2282,zip_tiers!$A$1:$EON$2,2,FALSE)</f>
        <v>85208</v>
      </c>
      <c r="J2282" t="str">
        <f t="shared" si="35"/>
        <v>Med</v>
      </c>
      <c r="K2282">
        <f>dataset[[#This Row],[soda_sales]]/dataset[[#This Row],[soda_units_sold]]</f>
        <v>0.70822821109526313</v>
      </c>
      <c r="L2282" s="29">
        <f>dataset[[#This Row],[implied_soda_ppu]]-dataset[[#This Row],[soda_ppu]]</f>
        <v>2.8211095263075414E-5</v>
      </c>
      <c r="M2282">
        <f>dataset[[#This Row],[soda_sales]]/dataset[[#This Row],[total_sales]]</f>
        <v>4.59752739977628E-2</v>
      </c>
      <c r="N2282">
        <f>LN(dataset[[#This Row],[soda_units_sold]])</f>
        <v>11.799682109345509</v>
      </c>
      <c r="O2282">
        <f>LN(dataset[[#This Row],[soda_sales]])</f>
        <v>11.454693204174731</v>
      </c>
      <c r="P2282">
        <f>LN(dataset[[#This Row],[soda_ppu]])</f>
        <v>-0.34502873930433364</v>
      </c>
      <c r="Q2282">
        <f>IF(dataset[[#This Row],[state]]="VA",1,0)</f>
        <v>0</v>
      </c>
    </row>
    <row r="2283" spans="1:17" x14ac:dyDescent="0.35">
      <c r="A2283">
        <v>202302</v>
      </c>
      <c r="B2283">
        <v>99</v>
      </c>
      <c r="C2283" s="2">
        <v>2344304.7075999998</v>
      </c>
      <c r="D2283" s="2">
        <v>0.71450000000000002</v>
      </c>
      <c r="E2283" s="3">
        <v>147321</v>
      </c>
      <c r="F2283" s="2">
        <v>105258.95</v>
      </c>
      <c r="G2283" t="s">
        <v>1403</v>
      </c>
      <c r="H2283" t="s">
        <v>7</v>
      </c>
      <c r="I2283">
        <f>HLOOKUP(G2283,zip_tiers!$A$1:$EON$2,2,FALSE)</f>
        <v>85208</v>
      </c>
      <c r="J2283" t="str">
        <f t="shared" si="35"/>
        <v>Med</v>
      </c>
      <c r="K2283">
        <f>dataset[[#This Row],[soda_sales]]/dataset[[#This Row],[soda_units_sold]]</f>
        <v>0.71448707244724108</v>
      </c>
      <c r="L2283" s="29">
        <f>dataset[[#This Row],[implied_soda_ppu]]-dataset[[#This Row],[soda_ppu]]</f>
        <v>-1.2927552758945637E-5</v>
      </c>
      <c r="M2283">
        <f>dataset[[#This Row],[soda_sales]]/dataset[[#This Row],[total_sales]]</f>
        <v>4.4899858648392028E-2</v>
      </c>
      <c r="N2283">
        <f>LN(dataset[[#This Row],[soda_units_sold]])</f>
        <v>11.900369158480574</v>
      </c>
      <c r="O2283">
        <f>LN(dataset[[#This Row],[soda_sales]])</f>
        <v>11.564178783558758</v>
      </c>
      <c r="P2283">
        <f>LN(dataset[[#This Row],[soda_ppu]])</f>
        <v>-0.33617228161221491</v>
      </c>
      <c r="Q2283">
        <f>IF(dataset[[#This Row],[state]]="VA",1,0)</f>
        <v>0</v>
      </c>
    </row>
    <row r="2284" spans="1:17" x14ac:dyDescent="0.35">
      <c r="A2284">
        <v>202303</v>
      </c>
      <c r="B2284">
        <v>99</v>
      </c>
      <c r="C2284" s="2">
        <v>2605664.4563000002</v>
      </c>
      <c r="D2284" s="2">
        <v>0.71130000000000004</v>
      </c>
      <c r="E2284" s="3">
        <v>176768</v>
      </c>
      <c r="F2284" s="2">
        <v>125736.6531</v>
      </c>
      <c r="G2284" t="s">
        <v>1403</v>
      </c>
      <c r="H2284" t="s">
        <v>7</v>
      </c>
      <c r="I2284">
        <f>HLOOKUP(G2284,zip_tiers!$A$1:$EON$2,2,FALSE)</f>
        <v>85208</v>
      </c>
      <c r="J2284" t="str">
        <f t="shared" si="35"/>
        <v>Med</v>
      </c>
      <c r="K2284">
        <f>dataset[[#This Row],[soda_sales]]/dataset[[#This Row],[soda_units_sold]]</f>
        <v>0.71130890828656768</v>
      </c>
      <c r="L2284" s="29">
        <f>dataset[[#This Row],[implied_soda_ppu]]-dataset[[#This Row],[soda_ppu]]</f>
        <v>8.9082865676326506E-6</v>
      </c>
      <c r="M2284">
        <f>dataset[[#This Row],[soda_sales]]/dataset[[#This Row],[total_sales]]</f>
        <v>4.8255120798839896E-2</v>
      </c>
      <c r="N2284">
        <f>LN(dataset[[#This Row],[soda_units_sold]])</f>
        <v>12.082593417328908</v>
      </c>
      <c r="O2284">
        <f>LN(dataset[[#This Row],[soda_sales]])</f>
        <v>11.74194494395913</v>
      </c>
      <c r="P2284">
        <f>LN(dataset[[#This Row],[soda_ppu]])</f>
        <v>-0.34066099724266752</v>
      </c>
      <c r="Q2284">
        <f>IF(dataset[[#This Row],[state]]="VA",1,0)</f>
        <v>0</v>
      </c>
    </row>
    <row r="2285" spans="1:17" x14ac:dyDescent="0.35">
      <c r="A2285">
        <v>202304</v>
      </c>
      <c r="B2285">
        <v>99</v>
      </c>
      <c r="C2285" s="2">
        <v>2744097.7532000002</v>
      </c>
      <c r="D2285" s="2">
        <v>0.69820000000000004</v>
      </c>
      <c r="E2285" s="3">
        <v>210373</v>
      </c>
      <c r="F2285" s="2">
        <v>146877.30470000001</v>
      </c>
      <c r="G2285" t="s">
        <v>1403</v>
      </c>
      <c r="H2285" t="s">
        <v>7</v>
      </c>
      <c r="I2285">
        <f>HLOOKUP(G2285,zip_tiers!$A$1:$EON$2,2,FALSE)</f>
        <v>85208</v>
      </c>
      <c r="J2285" t="str">
        <f t="shared" si="35"/>
        <v>Med</v>
      </c>
      <c r="K2285">
        <f>dataset[[#This Row],[soda_sales]]/dataset[[#This Row],[soda_units_sold]]</f>
        <v>0.69817564373755192</v>
      </c>
      <c r="L2285" s="29">
        <f>dataset[[#This Row],[implied_soda_ppu]]-dataset[[#This Row],[soda_ppu]]</f>
        <v>-2.4356262448121946E-5</v>
      </c>
      <c r="M2285">
        <f>dataset[[#This Row],[soda_sales]]/dataset[[#This Row],[total_sales]]</f>
        <v>5.3524807754651092E-2</v>
      </c>
      <c r="N2285">
        <f>LN(dataset[[#This Row],[soda_units_sold]])</f>
        <v>12.256637424614881</v>
      </c>
      <c r="O2285">
        <f>LN(dataset[[#This Row],[soda_sales]])</f>
        <v>11.897352855331917</v>
      </c>
      <c r="P2285">
        <f>LN(dataset[[#This Row],[soda_ppu]])</f>
        <v>-0.35924968431120136</v>
      </c>
      <c r="Q2285">
        <f>IF(dataset[[#This Row],[state]]="VA",1,0)</f>
        <v>0</v>
      </c>
    </row>
    <row r="2286" spans="1:17" x14ac:dyDescent="0.35">
      <c r="A2286">
        <v>202305</v>
      </c>
      <c r="B2286">
        <v>99</v>
      </c>
      <c r="C2286" s="2">
        <v>2795164.1148999999</v>
      </c>
      <c r="D2286" s="2">
        <v>0.70050000000000001</v>
      </c>
      <c r="E2286" s="3">
        <v>225917</v>
      </c>
      <c r="F2286" s="2">
        <v>158248.72450000001</v>
      </c>
      <c r="G2286" t="s">
        <v>1403</v>
      </c>
      <c r="H2286" t="s">
        <v>7</v>
      </c>
      <c r="I2286">
        <f>HLOOKUP(G2286,zip_tiers!$A$1:$EON$2,2,FALSE)</f>
        <v>85208</v>
      </c>
      <c r="J2286" t="str">
        <f t="shared" si="35"/>
        <v>Med</v>
      </c>
      <c r="K2286">
        <f>dataset[[#This Row],[soda_sales]]/dataset[[#This Row],[soda_units_sold]]</f>
        <v>0.70047284843548741</v>
      </c>
      <c r="L2286" s="29">
        <f>dataset[[#This Row],[implied_soda_ppu]]-dataset[[#This Row],[soda_ppu]]</f>
        <v>-2.7151564512606363E-5</v>
      </c>
      <c r="M2286">
        <f>dataset[[#This Row],[soda_sales]]/dataset[[#This Row],[total_sales]]</f>
        <v>5.6615181790734152E-2</v>
      </c>
      <c r="N2286">
        <f>LN(dataset[[#This Row],[soda_units_sold]])</f>
        <v>12.32792295416202</v>
      </c>
      <c r="O2286">
        <f>LN(dataset[[#This Row],[soda_sales]])</f>
        <v>11.971923279942345</v>
      </c>
      <c r="P2286">
        <f>LN(dataset[[#This Row],[soda_ppu]])</f>
        <v>-0.35596091320507534</v>
      </c>
      <c r="Q2286">
        <f>IF(dataset[[#This Row],[state]]="VA",1,0)</f>
        <v>0</v>
      </c>
    </row>
    <row r="2287" spans="1:17" x14ac:dyDescent="0.35">
      <c r="A2287">
        <v>202306</v>
      </c>
      <c r="B2287">
        <v>99</v>
      </c>
      <c r="C2287" s="2">
        <v>2723358.4068999998</v>
      </c>
      <c r="D2287" s="2">
        <v>0.6744</v>
      </c>
      <c r="E2287" s="3">
        <v>247121</v>
      </c>
      <c r="F2287" s="2">
        <v>166660.12280000001</v>
      </c>
      <c r="G2287" t="s">
        <v>1403</v>
      </c>
      <c r="H2287" t="s">
        <v>7</v>
      </c>
      <c r="I2287">
        <f>HLOOKUP(G2287,zip_tiers!$A$1:$EON$2,2,FALSE)</f>
        <v>85208</v>
      </c>
      <c r="J2287" t="str">
        <f t="shared" si="35"/>
        <v>Med</v>
      </c>
      <c r="K2287">
        <f>dataset[[#This Row],[soda_sales]]/dataset[[#This Row],[soda_units_sold]]</f>
        <v>0.67440696177176362</v>
      </c>
      <c r="L2287" s="29">
        <f>dataset[[#This Row],[implied_soda_ppu]]-dataset[[#This Row],[soda_ppu]]</f>
        <v>6.9617717636250021E-6</v>
      </c>
      <c r="M2287">
        <f>dataset[[#This Row],[soda_sales]]/dataset[[#This Row],[total_sales]]</f>
        <v>6.1196544082388817E-2</v>
      </c>
      <c r="N2287">
        <f>LN(dataset[[#This Row],[soda_units_sold]])</f>
        <v>12.417633374201303</v>
      </c>
      <c r="O2287">
        <f>LN(dataset[[#This Row],[soda_sales]])</f>
        <v>12.0237118247654</v>
      </c>
      <c r="P2287">
        <f>LN(dataset[[#This Row],[soda_ppu]])</f>
        <v>-0.39393187229449134</v>
      </c>
      <c r="Q2287">
        <f>IF(dataset[[#This Row],[state]]="VA",1,0)</f>
        <v>0</v>
      </c>
    </row>
    <row r="2288" spans="1:17" x14ac:dyDescent="0.35">
      <c r="A2288">
        <v>202307</v>
      </c>
      <c r="B2288">
        <v>99</v>
      </c>
      <c r="C2288" s="2">
        <v>2499730.6357</v>
      </c>
      <c r="D2288" s="2">
        <v>0.74470000000000003</v>
      </c>
      <c r="E2288" s="3">
        <v>224457</v>
      </c>
      <c r="F2288" s="2">
        <v>167142.3578</v>
      </c>
      <c r="G2288" t="s">
        <v>1403</v>
      </c>
      <c r="H2288" t="s">
        <v>7</v>
      </c>
      <c r="I2288">
        <f>HLOOKUP(G2288,zip_tiers!$A$1:$EON$2,2,FALSE)</f>
        <v>85208</v>
      </c>
      <c r="J2288" t="str">
        <f t="shared" si="35"/>
        <v>Med</v>
      </c>
      <c r="K2288">
        <f>dataset[[#This Row],[soda_sales]]/dataset[[#This Row],[soda_units_sold]]</f>
        <v>0.74465201709013307</v>
      </c>
      <c r="L2288" s="29">
        <f>dataset[[#This Row],[implied_soda_ppu]]-dataset[[#This Row],[soda_ppu]]</f>
        <v>-4.7982909866961521E-5</v>
      </c>
      <c r="M2288">
        <f>dataset[[#This Row],[soda_sales]]/dataset[[#This Row],[total_sales]]</f>
        <v>6.6864147445708719E-2</v>
      </c>
      <c r="N2288">
        <f>LN(dataset[[#This Row],[soda_units_sold]])</f>
        <v>12.32143943107061</v>
      </c>
      <c r="O2288">
        <f>LN(dataset[[#This Row],[soda_sales]])</f>
        <v>12.026601170192796</v>
      </c>
      <c r="P2288">
        <f>LN(dataset[[#This Row],[soda_ppu]])</f>
        <v>-0.29477382626553716</v>
      </c>
      <c r="Q2288">
        <f>IF(dataset[[#This Row],[state]]="VA",1,0)</f>
        <v>0</v>
      </c>
    </row>
    <row r="2289" spans="1:17" x14ac:dyDescent="0.35">
      <c r="A2289">
        <v>202308</v>
      </c>
      <c r="B2289">
        <v>99</v>
      </c>
      <c r="C2289" s="2">
        <v>2433764.1704000002</v>
      </c>
      <c r="D2289" s="2">
        <v>0.72909999999999997</v>
      </c>
      <c r="E2289" s="3">
        <v>206387</v>
      </c>
      <c r="F2289" s="2">
        <v>150468.37160000001</v>
      </c>
      <c r="G2289" t="s">
        <v>1403</v>
      </c>
      <c r="H2289" t="s">
        <v>7</v>
      </c>
      <c r="I2289">
        <f>HLOOKUP(G2289,zip_tiers!$A$1:$EON$2,2,FALSE)</f>
        <v>85208</v>
      </c>
      <c r="J2289" t="str">
        <f t="shared" si="35"/>
        <v>Med</v>
      </c>
      <c r="K2289">
        <f>dataset[[#This Row],[soda_sales]]/dataset[[#This Row],[soda_units_sold]]</f>
        <v>0.72905934773023506</v>
      </c>
      <c r="L2289" s="29">
        <f>dataset[[#This Row],[implied_soda_ppu]]-dataset[[#This Row],[soda_ppu]]</f>
        <v>-4.065226976490699E-5</v>
      </c>
      <c r="M2289">
        <f>dataset[[#This Row],[soda_sales]]/dataset[[#This Row],[total_sales]]</f>
        <v>6.1825370522760985E-2</v>
      </c>
      <c r="N2289">
        <f>LN(dataset[[#This Row],[soda_units_sold]])</f>
        <v>12.237508326109815</v>
      </c>
      <c r="O2289">
        <f>LN(dataset[[#This Row],[soda_sales]])</f>
        <v>11.921508185603582</v>
      </c>
      <c r="P2289">
        <f>LN(dataset[[#This Row],[soda_ppu]])</f>
        <v>-0.31594438216975246</v>
      </c>
      <c r="Q2289">
        <f>IF(dataset[[#This Row],[state]]="VA",1,0)</f>
        <v>0</v>
      </c>
    </row>
    <row r="2290" spans="1:17" x14ac:dyDescent="0.35">
      <c r="A2290">
        <v>202309</v>
      </c>
      <c r="B2290">
        <v>99</v>
      </c>
      <c r="C2290" s="2">
        <v>2450411.6438000002</v>
      </c>
      <c r="D2290" s="2">
        <v>0.75219999999999998</v>
      </c>
      <c r="E2290" s="3">
        <v>192185</v>
      </c>
      <c r="F2290" s="2">
        <v>144561.1863</v>
      </c>
      <c r="G2290" t="s">
        <v>1403</v>
      </c>
      <c r="H2290" t="s">
        <v>7</v>
      </c>
      <c r="I2290">
        <f>HLOOKUP(G2290,zip_tiers!$A$1:$EON$2,2,FALSE)</f>
        <v>85208</v>
      </c>
      <c r="J2290" t="str">
        <f t="shared" si="35"/>
        <v>Med</v>
      </c>
      <c r="K2290">
        <f>dataset[[#This Row],[soda_sales]]/dataset[[#This Row],[soda_units_sold]]</f>
        <v>0.75219807112938053</v>
      </c>
      <c r="L2290" s="29">
        <f>dataset[[#This Row],[implied_soda_ppu]]-dataset[[#This Row],[soda_ppu]]</f>
        <v>-1.9288706194497962E-6</v>
      </c>
      <c r="M2290">
        <f>dataset[[#This Row],[soda_sales]]/dataset[[#This Row],[total_sales]]</f>
        <v>5.8994653680236479E-2</v>
      </c>
      <c r="N2290">
        <f>LN(dataset[[#This Row],[soda_units_sold]])</f>
        <v>12.166213728768286</v>
      </c>
      <c r="O2290">
        <f>LN(dataset[[#This Row],[soda_sales]])</f>
        <v>11.881458131513568</v>
      </c>
      <c r="P2290">
        <f>LN(dataset[[#This Row],[soda_ppu]])</f>
        <v>-0.28475303294590104</v>
      </c>
      <c r="Q2290">
        <f>IF(dataset[[#This Row],[state]]="VA",1,0)</f>
        <v>0</v>
      </c>
    </row>
    <row r="2291" spans="1:17" x14ac:dyDescent="0.35">
      <c r="A2291">
        <v>202310</v>
      </c>
      <c r="B2291">
        <v>99</v>
      </c>
      <c r="C2291" s="2">
        <v>3036994.7077000001</v>
      </c>
      <c r="D2291" s="2">
        <v>0.75370000000000004</v>
      </c>
      <c r="E2291" s="3">
        <v>188136</v>
      </c>
      <c r="F2291" s="2">
        <v>141803.2132</v>
      </c>
      <c r="G2291" t="s">
        <v>1403</v>
      </c>
      <c r="H2291" t="s">
        <v>7</v>
      </c>
      <c r="I2291">
        <f>HLOOKUP(G2291,zip_tiers!$A$1:$EON$2,2,FALSE)</f>
        <v>85208</v>
      </c>
      <c r="J2291" t="str">
        <f t="shared" si="35"/>
        <v>Med</v>
      </c>
      <c r="K2291">
        <f>dataset[[#This Row],[soda_sales]]/dataset[[#This Row],[soda_units_sold]]</f>
        <v>0.75372716120253436</v>
      </c>
      <c r="L2291" s="29">
        <f>dataset[[#This Row],[implied_soda_ppu]]-dataset[[#This Row],[soda_ppu]]</f>
        <v>2.7161202534320417E-5</v>
      </c>
      <c r="M2291">
        <f>dataset[[#This Row],[soda_sales]]/dataset[[#This Row],[total_sales]]</f>
        <v>4.6691952686144615E-2</v>
      </c>
      <c r="N2291">
        <f>LN(dataset[[#This Row],[soda_units_sold]])</f>
        <v>12.144920384536668</v>
      </c>
      <c r="O2291">
        <f>LN(dataset[[#This Row],[soda_sales]])</f>
        <v>11.862195552908055</v>
      </c>
      <c r="P2291">
        <f>LN(dataset[[#This Row],[soda_ppu]])</f>
        <v>-0.28276086813271278</v>
      </c>
      <c r="Q2291">
        <f>IF(dataset[[#This Row],[state]]="VA",1,0)</f>
        <v>0</v>
      </c>
    </row>
    <row r="2292" spans="1:17" x14ac:dyDescent="0.35">
      <c r="A2292">
        <v>202311</v>
      </c>
      <c r="B2292">
        <v>99</v>
      </c>
      <c r="C2292" s="2">
        <v>3453347.2387000001</v>
      </c>
      <c r="D2292" s="2">
        <v>0.72609999999999997</v>
      </c>
      <c r="E2292" s="3">
        <v>186286</v>
      </c>
      <c r="F2292" s="2">
        <v>135263.21520000001</v>
      </c>
      <c r="G2292" t="s">
        <v>1403</v>
      </c>
      <c r="H2292" t="s">
        <v>7</v>
      </c>
      <c r="I2292">
        <f>HLOOKUP(G2292,zip_tiers!$A$1:$EON$2,2,FALSE)</f>
        <v>85208</v>
      </c>
      <c r="J2292" t="str">
        <f t="shared" si="35"/>
        <v>Med</v>
      </c>
      <c r="K2292">
        <f>dataset[[#This Row],[soda_sales]]/dataset[[#This Row],[soda_units_sold]]</f>
        <v>0.72610510290628394</v>
      </c>
      <c r="L2292" s="29">
        <f>dataset[[#This Row],[implied_soda_ppu]]-dataset[[#This Row],[soda_ppu]]</f>
        <v>5.1029062839713646E-6</v>
      </c>
      <c r="M2292">
        <f>dataset[[#This Row],[soda_sales]]/dataset[[#This Row],[total_sales]]</f>
        <v>3.9168726991647487E-2</v>
      </c>
      <c r="N2292">
        <f>LN(dataset[[#This Row],[soda_units_sold]])</f>
        <v>12.135038406154576</v>
      </c>
      <c r="O2292">
        <f>LN(dataset[[#This Row],[soda_sales]])</f>
        <v>11.814977901362459</v>
      </c>
      <c r="P2292">
        <f>LN(dataset[[#This Row],[soda_ppu]])</f>
        <v>-0.32006753259593601</v>
      </c>
      <c r="Q2292">
        <f>IF(dataset[[#This Row],[state]]="VA",1,0)</f>
        <v>0</v>
      </c>
    </row>
    <row r="2293" spans="1:17" x14ac:dyDescent="0.35">
      <c r="A2293">
        <v>202312</v>
      </c>
      <c r="B2293">
        <v>99</v>
      </c>
      <c r="C2293" s="2">
        <v>3646141.1634</v>
      </c>
      <c r="D2293" s="2">
        <v>0.75739999999999996</v>
      </c>
      <c r="E2293" s="3">
        <v>173361</v>
      </c>
      <c r="F2293" s="2">
        <v>131300.66500000001</v>
      </c>
      <c r="G2293" t="s">
        <v>1403</v>
      </c>
      <c r="H2293" t="s">
        <v>7</v>
      </c>
      <c r="I2293">
        <f>HLOOKUP(G2293,zip_tiers!$A$1:$EON$2,2,FALSE)</f>
        <v>85208</v>
      </c>
      <c r="J2293" t="str">
        <f t="shared" si="35"/>
        <v>Med</v>
      </c>
      <c r="K2293">
        <f>dataset[[#This Row],[soda_sales]]/dataset[[#This Row],[soda_units_sold]]</f>
        <v>0.75738294656814398</v>
      </c>
      <c r="L2293" s="29">
        <f>dataset[[#This Row],[implied_soda_ppu]]-dataset[[#This Row],[soda_ppu]]</f>
        <v>-1.7053431855984513E-5</v>
      </c>
      <c r="M2293">
        <f>dataset[[#This Row],[soda_sales]]/dataset[[#This Row],[total_sales]]</f>
        <v>3.6010856167061588E-2</v>
      </c>
      <c r="N2293">
        <f>LN(dataset[[#This Row],[soda_units_sold]])</f>
        <v>12.063131404536936</v>
      </c>
      <c r="O2293">
        <f>LN(dataset[[#This Row],[soda_sales]])</f>
        <v>11.785245125015305</v>
      </c>
      <c r="P2293">
        <f>LN(dataset[[#This Row],[soda_ppu]])</f>
        <v>-0.27786376351444264</v>
      </c>
      <c r="Q2293">
        <f>IF(dataset[[#This Row],[state]]="VA",1,0)</f>
        <v>0</v>
      </c>
    </row>
    <row r="2294" spans="1:17" x14ac:dyDescent="0.35">
      <c r="A2294">
        <v>202401</v>
      </c>
      <c r="B2294">
        <v>99</v>
      </c>
      <c r="C2294" s="2">
        <v>2075741.5551</v>
      </c>
      <c r="D2294" s="2">
        <v>0.7732</v>
      </c>
      <c r="E2294" s="3">
        <v>126208</v>
      </c>
      <c r="F2294" s="2">
        <v>97585.186600000001</v>
      </c>
      <c r="G2294" t="s">
        <v>1403</v>
      </c>
      <c r="H2294" t="s">
        <v>7</v>
      </c>
      <c r="I2294">
        <f>HLOOKUP(G2294,zip_tiers!$A$1:$EON$2,2,FALSE)</f>
        <v>85208</v>
      </c>
      <c r="J2294" t="str">
        <f t="shared" si="35"/>
        <v>Med</v>
      </c>
      <c r="K2294">
        <f>dataset[[#This Row],[soda_sales]]/dataset[[#This Row],[soda_units_sold]]</f>
        <v>0.7732091990998986</v>
      </c>
      <c r="L2294" s="29">
        <f>dataset[[#This Row],[implied_soda_ppu]]-dataset[[#This Row],[soda_ppu]]</f>
        <v>9.199099898604679E-6</v>
      </c>
      <c r="M2294">
        <f>dataset[[#This Row],[soda_sales]]/dataset[[#This Row],[total_sales]]</f>
        <v>4.7012204559010611E-2</v>
      </c>
      <c r="N2294">
        <f>LN(dataset[[#This Row],[soda_units_sold]])</f>
        <v>11.745686618522253</v>
      </c>
      <c r="O2294">
        <f>LN(dataset[[#This Row],[soda_sales]])</f>
        <v>11.488480984242599</v>
      </c>
      <c r="P2294">
        <f>LN(dataset[[#This Row],[soda_ppu]])</f>
        <v>-0.25721753164796124</v>
      </c>
      <c r="Q2294">
        <f>IF(dataset[[#This Row],[state]]="VA",1,0)</f>
        <v>0</v>
      </c>
    </row>
    <row r="2295" spans="1:17" x14ac:dyDescent="0.35">
      <c r="A2295">
        <v>202402</v>
      </c>
      <c r="B2295">
        <v>99</v>
      </c>
      <c r="C2295" s="2">
        <v>2371716.2344</v>
      </c>
      <c r="D2295" s="2">
        <v>0.77810000000000001</v>
      </c>
      <c r="E2295" s="3">
        <v>141145</v>
      </c>
      <c r="F2295" s="2">
        <v>109819.1798</v>
      </c>
      <c r="G2295" t="s">
        <v>1403</v>
      </c>
      <c r="H2295" t="s">
        <v>7</v>
      </c>
      <c r="I2295">
        <f>HLOOKUP(G2295,zip_tiers!$A$1:$EON$2,2,FALSE)</f>
        <v>85208</v>
      </c>
      <c r="J2295" t="str">
        <f t="shared" si="35"/>
        <v>Med</v>
      </c>
      <c r="K2295">
        <f>dataset[[#This Row],[soda_sales]]/dataset[[#This Row],[soda_units_sold]]</f>
        <v>0.77805929930213613</v>
      </c>
      <c r="L2295" s="29">
        <f>dataset[[#This Row],[implied_soda_ppu]]-dataset[[#This Row],[soda_ppu]]</f>
        <v>-4.0700697863882418E-5</v>
      </c>
      <c r="M2295">
        <f>dataset[[#This Row],[soda_sales]]/dataset[[#This Row],[total_sales]]</f>
        <v>4.6303675881268401E-2</v>
      </c>
      <c r="N2295">
        <f>LN(dataset[[#This Row],[soda_units_sold]])</f>
        <v>11.857543009745678</v>
      </c>
      <c r="O2295">
        <f>LN(dataset[[#This Row],[soda_sales]])</f>
        <v>11.606590472220017</v>
      </c>
      <c r="P2295">
        <f>LN(dataset[[#This Row],[soda_ppu]])</f>
        <v>-0.25090022835925258</v>
      </c>
      <c r="Q2295">
        <f>IF(dataset[[#This Row],[state]]="VA",1,0)</f>
        <v>0</v>
      </c>
    </row>
    <row r="2296" spans="1:17" x14ac:dyDescent="0.35">
      <c r="A2296">
        <v>202403</v>
      </c>
      <c r="B2296">
        <v>99</v>
      </c>
      <c r="C2296" s="2">
        <v>2630696.0476000002</v>
      </c>
      <c r="D2296" s="2">
        <v>0.75390000000000001</v>
      </c>
      <c r="E2296" s="3">
        <v>170714</v>
      </c>
      <c r="F2296" s="2">
        <v>128697.43</v>
      </c>
      <c r="G2296" t="s">
        <v>1403</v>
      </c>
      <c r="H2296" t="s">
        <v>7</v>
      </c>
      <c r="I2296">
        <f>HLOOKUP(G2296,zip_tiers!$A$1:$EON$2,2,FALSE)</f>
        <v>85208</v>
      </c>
      <c r="J2296" t="str">
        <f t="shared" si="35"/>
        <v>Med</v>
      </c>
      <c r="K2296">
        <f>dataset[[#This Row],[soda_sales]]/dataset[[#This Row],[soda_units_sold]]</f>
        <v>0.75387742071534847</v>
      </c>
      <c r="L2296" s="29">
        <f>dataset[[#This Row],[implied_soda_ppu]]-dataset[[#This Row],[soda_ppu]]</f>
        <v>-2.2579284651547127E-5</v>
      </c>
      <c r="M2296">
        <f>dataset[[#This Row],[soda_sales]]/dataset[[#This Row],[total_sales]]</f>
        <v>4.8921436635529003E-2</v>
      </c>
      <c r="N2296">
        <f>LN(dataset[[#This Row],[soda_units_sold]])</f>
        <v>12.047744920650867</v>
      </c>
      <c r="O2296">
        <f>LN(dataset[[#This Row],[soda_sales]])</f>
        <v>11.765219424464867</v>
      </c>
      <c r="P2296">
        <f>LN(dataset[[#This Row],[soda_ppu]])</f>
        <v>-0.28249554576448083</v>
      </c>
      <c r="Q2296">
        <f>IF(dataset[[#This Row],[state]]="VA",1,0)</f>
        <v>0</v>
      </c>
    </row>
    <row r="2297" spans="1:17" x14ac:dyDescent="0.35">
      <c r="A2297">
        <v>202404</v>
      </c>
      <c r="B2297">
        <v>99</v>
      </c>
      <c r="C2297" s="2">
        <v>2805248.9408</v>
      </c>
      <c r="D2297" s="2">
        <v>0.77669999999999995</v>
      </c>
      <c r="E2297" s="3">
        <v>196450</v>
      </c>
      <c r="F2297" s="2">
        <v>152589.179</v>
      </c>
      <c r="G2297" t="s">
        <v>1403</v>
      </c>
      <c r="H2297" t="s">
        <v>7</v>
      </c>
      <c r="I2297">
        <f>HLOOKUP(G2297,zip_tiers!$A$1:$EON$2,2,FALSE)</f>
        <v>85208</v>
      </c>
      <c r="J2297" t="str">
        <f t="shared" si="35"/>
        <v>Med</v>
      </c>
      <c r="K2297">
        <f>dataset[[#This Row],[soda_sales]]/dataset[[#This Row],[soda_units_sold]]</f>
        <v>0.77673290404683126</v>
      </c>
      <c r="L2297" s="29">
        <f>dataset[[#This Row],[implied_soda_ppu]]-dataset[[#This Row],[soda_ppu]]</f>
        <v>3.2904046831316869E-5</v>
      </c>
      <c r="M2297">
        <f>dataset[[#This Row],[soda_sales]]/dataset[[#This Row],[total_sales]]</f>
        <v>5.439416687079638E-2</v>
      </c>
      <c r="N2297">
        <f>LN(dataset[[#This Row],[soda_units_sold]])</f>
        <v>12.188163224986607</v>
      </c>
      <c r="O2297">
        <f>LN(dataset[[#This Row],[soda_sales]])</f>
        <v>11.935504484440086</v>
      </c>
      <c r="P2297">
        <f>LN(dataset[[#This Row],[soda_ppu]])</f>
        <v>-0.25270110355653547</v>
      </c>
      <c r="Q2297">
        <f>IF(dataset[[#This Row],[state]]="VA",1,0)</f>
        <v>0</v>
      </c>
    </row>
    <row r="2298" spans="1:17" x14ac:dyDescent="0.35">
      <c r="A2298">
        <v>202405</v>
      </c>
      <c r="B2298">
        <v>99</v>
      </c>
      <c r="C2298" s="2">
        <v>2940128.2277000002</v>
      </c>
      <c r="D2298" s="2">
        <v>0.78</v>
      </c>
      <c r="E2298" s="3">
        <v>214556</v>
      </c>
      <c r="F2298" s="2">
        <v>167357.31229999999</v>
      </c>
      <c r="G2298" t="s">
        <v>1403</v>
      </c>
      <c r="H2298" t="s">
        <v>7</v>
      </c>
      <c r="I2298">
        <f>HLOOKUP(G2298,zip_tiers!$A$1:$EON$2,2,FALSE)</f>
        <v>85208</v>
      </c>
      <c r="J2298" t="str">
        <f t="shared" si="35"/>
        <v>Med</v>
      </c>
      <c r="K2298">
        <f>dataset[[#This Row],[soda_sales]]/dataset[[#This Row],[soda_units_sold]]</f>
        <v>0.78001692937974232</v>
      </c>
      <c r="L2298" s="29">
        <f>dataset[[#This Row],[implied_soda_ppu]]-dataset[[#This Row],[soda_ppu]]</f>
        <v>1.6929379742292028E-5</v>
      </c>
      <c r="M2298">
        <f>dataset[[#This Row],[soda_sales]]/dataset[[#This Row],[total_sales]]</f>
        <v>5.6921773248957939E-2</v>
      </c>
      <c r="N2298">
        <f>LN(dataset[[#This Row],[soda_units_sold]])</f>
        <v>12.276326055537849</v>
      </c>
      <c r="O2298">
        <f>LN(dataset[[#This Row],[soda_sales]])</f>
        <v>12.027886400336817</v>
      </c>
      <c r="P2298">
        <f>LN(dataset[[#This Row],[soda_ppu]])</f>
        <v>-0.24846135929849961</v>
      </c>
      <c r="Q2298">
        <f>IF(dataset[[#This Row],[state]]="VA",1,0)</f>
        <v>0</v>
      </c>
    </row>
    <row r="2299" spans="1:17" x14ac:dyDescent="0.35">
      <c r="A2299">
        <v>202406</v>
      </c>
      <c r="B2299">
        <v>99</v>
      </c>
      <c r="C2299" s="2">
        <v>2775877.3942</v>
      </c>
      <c r="D2299" s="2">
        <v>0.77449999999999997</v>
      </c>
      <c r="E2299" s="3">
        <v>221606</v>
      </c>
      <c r="F2299" s="2">
        <v>171640.55470000001</v>
      </c>
      <c r="G2299" t="s">
        <v>1403</v>
      </c>
      <c r="H2299" t="s">
        <v>7</v>
      </c>
      <c r="I2299">
        <f>HLOOKUP(G2299,zip_tiers!$A$1:$EON$2,2,FALSE)</f>
        <v>85208</v>
      </c>
      <c r="J2299" t="str">
        <f t="shared" si="35"/>
        <v>Med</v>
      </c>
      <c r="K2299">
        <f>dataset[[#This Row],[soda_sales]]/dataset[[#This Row],[soda_units_sold]]</f>
        <v>0.77453026858478569</v>
      </c>
      <c r="L2299" s="29">
        <f>dataset[[#This Row],[implied_soda_ppu]]-dataset[[#This Row],[soda_ppu]]</f>
        <v>3.026858478571981E-5</v>
      </c>
      <c r="M2299">
        <f>dataset[[#This Row],[soda_sales]]/dataset[[#This Row],[total_sales]]</f>
        <v>6.1832901935305516E-2</v>
      </c>
      <c r="N2299">
        <f>LN(dataset[[#This Row],[soda_units_sold]])</f>
        <v>12.308656309300996</v>
      </c>
      <c r="O2299">
        <f>LN(dataset[[#This Row],[soda_sales]])</f>
        <v>12.053157770864397</v>
      </c>
      <c r="P2299">
        <f>LN(dataset[[#This Row],[soda_ppu]])</f>
        <v>-0.25553761912521378</v>
      </c>
      <c r="Q2299">
        <f>IF(dataset[[#This Row],[state]]="VA",1,0)</f>
        <v>0</v>
      </c>
    </row>
    <row r="2300" spans="1:17" x14ac:dyDescent="0.35">
      <c r="A2300">
        <v>202407</v>
      </c>
      <c r="B2300">
        <v>99</v>
      </c>
      <c r="C2300" s="2">
        <v>2639634.5449999999</v>
      </c>
      <c r="D2300" s="2">
        <v>0.77980000000000005</v>
      </c>
      <c r="E2300" s="3">
        <v>228516</v>
      </c>
      <c r="F2300" s="2">
        <v>178190.55559999999</v>
      </c>
      <c r="G2300" t="s">
        <v>1403</v>
      </c>
      <c r="H2300" t="s">
        <v>7</v>
      </c>
      <c r="I2300">
        <f>HLOOKUP(G2300,zip_tiers!$A$1:$EON$2,2,FALSE)</f>
        <v>85208</v>
      </c>
      <c r="J2300" t="str">
        <f t="shared" si="35"/>
        <v>Med</v>
      </c>
      <c r="K2300">
        <f>dataset[[#This Row],[soda_sales]]/dataset[[#This Row],[soda_units_sold]]</f>
        <v>0.77977277564809466</v>
      </c>
      <c r="L2300" s="29">
        <f>dataset[[#This Row],[implied_soda_ppu]]-dataset[[#This Row],[soda_ppu]]</f>
        <v>-2.7224351905386079E-5</v>
      </c>
      <c r="M2300">
        <f>dataset[[#This Row],[soda_sales]]/dataset[[#This Row],[total_sales]]</f>
        <v>6.750576739402385E-2</v>
      </c>
      <c r="N2300">
        <f>LN(dataset[[#This Row],[soda_units_sold]])</f>
        <v>12.339361508746817</v>
      </c>
      <c r="O2300">
        <f>LN(dataset[[#This Row],[soda_sales]])</f>
        <v>12.09060879373669</v>
      </c>
      <c r="P2300">
        <f>LN(dataset[[#This Row],[soda_ppu]])</f>
        <v>-0.24871780243364003</v>
      </c>
      <c r="Q2300">
        <f>IF(dataset[[#This Row],[state]]="VA",1,0)</f>
        <v>0</v>
      </c>
    </row>
    <row r="2301" spans="1:17" x14ac:dyDescent="0.35">
      <c r="A2301">
        <v>202408</v>
      </c>
      <c r="B2301">
        <v>99</v>
      </c>
      <c r="C2301" s="2">
        <v>2506547.6436000001</v>
      </c>
      <c r="D2301" s="2">
        <v>0.77980000000000005</v>
      </c>
      <c r="E2301" s="3">
        <v>196352</v>
      </c>
      <c r="F2301" s="2">
        <v>153105.99400000001</v>
      </c>
      <c r="G2301" t="s">
        <v>1403</v>
      </c>
      <c r="H2301" t="s">
        <v>7</v>
      </c>
      <c r="I2301">
        <f>HLOOKUP(G2301,zip_tiers!$A$1:$EON$2,2,FALSE)</f>
        <v>85208</v>
      </c>
      <c r="J2301" t="str">
        <f t="shared" si="35"/>
        <v>Med</v>
      </c>
      <c r="K2301">
        <f>dataset[[#This Row],[soda_sales]]/dataset[[#This Row],[soda_units_sold]]</f>
        <v>0.77975265849087361</v>
      </c>
      <c r="L2301" s="29">
        <f>dataset[[#This Row],[implied_soda_ppu]]-dataset[[#This Row],[soda_ppu]]</f>
        <v>-4.734150912644175E-5</v>
      </c>
      <c r="M2301">
        <f>dataset[[#This Row],[soda_sales]]/dataset[[#This Row],[total_sales]]</f>
        <v>6.1082419235448202E-2</v>
      </c>
      <c r="N2301">
        <f>LN(dataset[[#This Row],[soda_units_sold]])</f>
        <v>12.187664245846818</v>
      </c>
      <c r="O2301">
        <f>LN(dataset[[#This Row],[soda_sales]])</f>
        <v>11.938885731761175</v>
      </c>
      <c r="P2301">
        <f>LN(dataset[[#This Row],[soda_ppu]])</f>
        <v>-0.24871780243364003</v>
      </c>
      <c r="Q2301">
        <f>IF(dataset[[#This Row],[state]]="VA",1,0)</f>
        <v>0</v>
      </c>
    </row>
    <row r="2302" spans="1:17" x14ac:dyDescent="0.35">
      <c r="A2302">
        <v>202409</v>
      </c>
      <c r="B2302">
        <v>99</v>
      </c>
      <c r="C2302" s="2">
        <v>2534351.3313000002</v>
      </c>
      <c r="D2302" s="2">
        <v>0.78259999999999996</v>
      </c>
      <c r="E2302" s="3">
        <v>194998</v>
      </c>
      <c r="F2302" s="2">
        <v>152609.36679999999</v>
      </c>
      <c r="G2302" t="s">
        <v>1403</v>
      </c>
      <c r="H2302" t="s">
        <v>7</v>
      </c>
      <c r="I2302">
        <f>HLOOKUP(G2302,zip_tiers!$A$1:$EON$2,2,FALSE)</f>
        <v>85208</v>
      </c>
      <c r="J2302" t="str">
        <f t="shared" si="35"/>
        <v>Med</v>
      </c>
      <c r="K2302">
        <f>dataset[[#This Row],[soda_sales]]/dataset[[#This Row],[soda_units_sold]]</f>
        <v>0.78262016430937742</v>
      </c>
      <c r="L2302" s="29">
        <f>dataset[[#This Row],[implied_soda_ppu]]-dataset[[#This Row],[soda_ppu]]</f>
        <v>2.0164309377457279E-5</v>
      </c>
      <c r="M2302">
        <f>dataset[[#This Row],[soda_sales]]/dataset[[#This Row],[total_sales]]</f>
        <v>6.0216342112961396E-2</v>
      </c>
      <c r="N2302">
        <f>LN(dataset[[#This Row],[soda_units_sold]])</f>
        <v>12.180744581083029</v>
      </c>
      <c r="O2302">
        <f>LN(dataset[[#This Row],[soda_sales]])</f>
        <v>11.935636777337987</v>
      </c>
      <c r="P2302">
        <f>LN(dataset[[#This Row],[soda_ppu]])</f>
        <v>-0.24513356920582502</v>
      </c>
      <c r="Q2302">
        <f>IF(dataset[[#This Row],[state]]="VA",1,0)</f>
        <v>0</v>
      </c>
    </row>
    <row r="2303" spans="1:17" x14ac:dyDescent="0.35">
      <c r="A2303">
        <v>202410</v>
      </c>
      <c r="B2303">
        <v>99</v>
      </c>
      <c r="C2303" s="2">
        <v>3092970.5301999999</v>
      </c>
      <c r="D2303" s="2">
        <v>0.76370000000000005</v>
      </c>
      <c r="E2303" s="3">
        <v>189207</v>
      </c>
      <c r="F2303" s="2">
        <v>144502.3523</v>
      </c>
      <c r="G2303" t="s">
        <v>1403</v>
      </c>
      <c r="H2303" t="s">
        <v>7</v>
      </c>
      <c r="I2303">
        <f>HLOOKUP(G2303,zip_tiers!$A$1:$EON$2,2,FALSE)</f>
        <v>85208</v>
      </c>
      <c r="J2303" t="str">
        <f t="shared" si="35"/>
        <v>Med</v>
      </c>
      <c r="K2303">
        <f>dataset[[#This Row],[soda_sales]]/dataset[[#This Row],[soda_units_sold]]</f>
        <v>0.76372624850031978</v>
      </c>
      <c r="L2303" s="29">
        <f>dataset[[#This Row],[implied_soda_ppu]]-dataset[[#This Row],[soda_ppu]]</f>
        <v>2.6248500319736578E-5</v>
      </c>
      <c r="M2303">
        <f>dataset[[#This Row],[soda_sales]]/dataset[[#This Row],[total_sales]]</f>
        <v>4.6719602042459833E-2</v>
      </c>
      <c r="N2303">
        <f>LN(dataset[[#This Row],[soda_units_sold]])</f>
        <v>12.150596932801346</v>
      </c>
      <c r="O2303">
        <f>LN(dataset[[#This Row],[soda_sales]])</f>
        <v>11.881051065294857</v>
      </c>
      <c r="P2303">
        <f>LN(dataset[[#This Row],[soda_ppu]])</f>
        <v>-0.26958023708779855</v>
      </c>
      <c r="Q2303">
        <f>IF(dataset[[#This Row],[state]]="VA",1,0)</f>
        <v>0</v>
      </c>
    </row>
    <row r="2304" spans="1:17" x14ac:dyDescent="0.35">
      <c r="A2304">
        <v>202411</v>
      </c>
      <c r="B2304">
        <v>99</v>
      </c>
      <c r="C2304" s="2">
        <v>3557735.2420999999</v>
      </c>
      <c r="D2304" s="2">
        <v>0.76529999999999998</v>
      </c>
      <c r="E2304" s="3">
        <v>177805</v>
      </c>
      <c r="F2304" s="2">
        <v>136069.538</v>
      </c>
      <c r="G2304" t="s">
        <v>1403</v>
      </c>
      <c r="H2304" t="s">
        <v>7</v>
      </c>
      <c r="I2304">
        <f>HLOOKUP(G2304,zip_tiers!$A$1:$EON$2,2,FALSE)</f>
        <v>85208</v>
      </c>
      <c r="J2304" t="str">
        <f t="shared" si="35"/>
        <v>Med</v>
      </c>
      <c r="K2304">
        <f>dataset[[#This Row],[soda_sales]]/dataset[[#This Row],[soda_units_sold]]</f>
        <v>0.76527396867354691</v>
      </c>
      <c r="L2304" s="29">
        <f>dataset[[#This Row],[implied_soda_ppu]]-dataset[[#This Row],[soda_ppu]]</f>
        <v>-2.6031326453068715E-5</v>
      </c>
      <c r="M2304">
        <f>dataset[[#This Row],[soda_sales]]/dataset[[#This Row],[total_sales]]</f>
        <v>3.8246111287270262E-2</v>
      </c>
      <c r="N2304">
        <f>LN(dataset[[#This Row],[soda_units_sold]])</f>
        <v>12.088442723151354</v>
      </c>
      <c r="O2304">
        <f>LN(dataset[[#This Row],[soda_sales]])</f>
        <v>11.820921342867903</v>
      </c>
      <c r="P2304">
        <f>LN(dataset[[#This Row],[soda_ppu]])</f>
        <v>-0.26748736516626165</v>
      </c>
      <c r="Q2304">
        <f>IF(dataset[[#This Row],[state]]="VA",1,0)</f>
        <v>0</v>
      </c>
    </row>
    <row r="2305" spans="1:17" x14ac:dyDescent="0.35">
      <c r="A2305">
        <v>202412</v>
      </c>
      <c r="B2305">
        <v>99</v>
      </c>
      <c r="C2305" s="2">
        <v>3723044.2204</v>
      </c>
      <c r="D2305" s="2">
        <v>0.79679999999999995</v>
      </c>
      <c r="E2305" s="3">
        <v>168767</v>
      </c>
      <c r="F2305" s="2">
        <v>134476.58240000001</v>
      </c>
      <c r="G2305" t="s">
        <v>1403</v>
      </c>
      <c r="H2305" t="s">
        <v>7</v>
      </c>
      <c r="I2305">
        <f>HLOOKUP(G2305,zip_tiers!$A$1:$EON$2,2,FALSE)</f>
        <v>85208</v>
      </c>
      <c r="J2305" t="str">
        <f t="shared" si="35"/>
        <v>Med</v>
      </c>
      <c r="K2305">
        <f>dataset[[#This Row],[soda_sales]]/dataset[[#This Row],[soda_units_sold]]</f>
        <v>0.79681799403911913</v>
      </c>
      <c r="L2305" s="29">
        <f>dataset[[#This Row],[implied_soda_ppu]]-dataset[[#This Row],[soda_ppu]]</f>
        <v>1.7994039119173522E-5</v>
      </c>
      <c r="M2305">
        <f>dataset[[#This Row],[soda_sales]]/dataset[[#This Row],[total_sales]]</f>
        <v>3.6120060477162957E-2</v>
      </c>
      <c r="N2305">
        <f>LN(dataset[[#This Row],[soda_units_sold]])</f>
        <v>12.036274344401509</v>
      </c>
      <c r="O2305">
        <f>LN(dataset[[#This Row],[soda_sales]])</f>
        <v>11.809145354315191</v>
      </c>
      <c r="P2305">
        <f>LN(dataset[[#This Row],[soda_ppu]])</f>
        <v>-0.22715157271174863</v>
      </c>
      <c r="Q2305">
        <f>IF(dataset[[#This Row],[state]]="VA",1,0)</f>
        <v>0</v>
      </c>
    </row>
    <row r="2306" spans="1:17" x14ac:dyDescent="0.35">
      <c r="A2306">
        <v>202201</v>
      </c>
      <c r="B2306">
        <v>53</v>
      </c>
      <c r="C2306" s="2">
        <v>2028184.4712</v>
      </c>
      <c r="D2306" s="2">
        <v>0.70760000000000001</v>
      </c>
      <c r="E2306" s="3">
        <v>152115</v>
      </c>
      <c r="F2306" s="2">
        <v>107638.5733</v>
      </c>
      <c r="G2306" t="s">
        <v>1429</v>
      </c>
      <c r="H2306" t="s">
        <v>7</v>
      </c>
      <c r="I2306">
        <f>HLOOKUP(G2306,zip_tiers!$A$1:$EON$2,2,FALSE)</f>
        <v>86195.333333333328</v>
      </c>
      <c r="J2306" t="str">
        <f t="shared" ref="J2306:J2369" si="36">IF(I2306="","No Data",IF(I2306&gt;=100000,"High",IF(I2306&gt;=40000,"Med","Low")))</f>
        <v>Med</v>
      </c>
      <c r="K2306">
        <f>dataset[[#This Row],[soda_sales]]/dataset[[#This Row],[soda_units_sold]]</f>
        <v>0.70761314334549519</v>
      </c>
      <c r="L2306" s="29">
        <f>dataset[[#This Row],[implied_soda_ppu]]-dataset[[#This Row],[soda_ppu]]</f>
        <v>1.3143345495181258E-5</v>
      </c>
      <c r="M2306">
        <f>dataset[[#This Row],[soda_sales]]/dataset[[#This Row],[total_sales]]</f>
        <v>5.3071392089060976E-2</v>
      </c>
      <c r="N2306">
        <f>LN(dataset[[#This Row],[soda_units_sold]])</f>
        <v>11.932392092714206</v>
      </c>
      <c r="O2306">
        <f>LN(dataset[[#This Row],[soda_sales]])</f>
        <v>11.586534350386597</v>
      </c>
      <c r="P2306">
        <f>LN(dataset[[#This Row],[soda_ppu]])</f>
        <v>-0.34587631669650681</v>
      </c>
      <c r="Q2306">
        <f>IF(dataset[[#This Row],[state]]="VA",1,0)</f>
        <v>0</v>
      </c>
    </row>
    <row r="2307" spans="1:17" x14ac:dyDescent="0.35">
      <c r="A2307">
        <v>202202</v>
      </c>
      <c r="B2307">
        <v>53</v>
      </c>
      <c r="C2307" s="2">
        <v>2310524.1501000002</v>
      </c>
      <c r="D2307" s="2">
        <v>0.71220000000000006</v>
      </c>
      <c r="E2307" s="3">
        <v>174978</v>
      </c>
      <c r="F2307" s="2">
        <v>124622.2476</v>
      </c>
      <c r="G2307" t="s">
        <v>1429</v>
      </c>
      <c r="H2307" t="s">
        <v>7</v>
      </c>
      <c r="I2307">
        <f>HLOOKUP(G2307,zip_tiers!$A$1:$EON$2,2,FALSE)</f>
        <v>86195.333333333328</v>
      </c>
      <c r="J2307" t="str">
        <f t="shared" si="36"/>
        <v>Med</v>
      </c>
      <c r="K2307">
        <f>dataset[[#This Row],[soda_sales]]/dataset[[#This Row],[soda_units_sold]]</f>
        <v>0.7122166649521654</v>
      </c>
      <c r="L2307" s="29">
        <f>dataset[[#This Row],[implied_soda_ppu]]-dataset[[#This Row],[soda_ppu]]</f>
        <v>1.6664952165346136E-5</v>
      </c>
      <c r="M2307">
        <f>dataset[[#This Row],[soda_sales]]/dataset[[#This Row],[total_sales]]</f>
        <v>5.3936786419049684E-2</v>
      </c>
      <c r="N2307">
        <f>LN(dataset[[#This Row],[soda_units_sold]])</f>
        <v>12.072415530717233</v>
      </c>
      <c r="O2307">
        <f>LN(dataset[[#This Row],[soda_sales]])</f>
        <v>11.733042421563884</v>
      </c>
      <c r="P2307">
        <f>LN(dataset[[#This Row],[soda_ppu]])</f>
        <v>-0.33939650813845962</v>
      </c>
      <c r="Q2307">
        <f>IF(dataset[[#This Row],[state]]="VA",1,0)</f>
        <v>0</v>
      </c>
    </row>
    <row r="2308" spans="1:17" x14ac:dyDescent="0.35">
      <c r="A2308">
        <v>202203</v>
      </c>
      <c r="B2308">
        <v>53</v>
      </c>
      <c r="C2308" s="2">
        <v>2565107.8923999998</v>
      </c>
      <c r="D2308" s="2">
        <v>0.71109999999999995</v>
      </c>
      <c r="E2308" s="3">
        <v>205007</v>
      </c>
      <c r="F2308" s="2">
        <v>145780.9638</v>
      </c>
      <c r="G2308" t="s">
        <v>1429</v>
      </c>
      <c r="H2308" t="s">
        <v>7</v>
      </c>
      <c r="I2308">
        <f>HLOOKUP(G2308,zip_tiers!$A$1:$EON$2,2,FALSE)</f>
        <v>86195.333333333328</v>
      </c>
      <c r="J2308" t="str">
        <f t="shared" si="36"/>
        <v>Med</v>
      </c>
      <c r="K2308">
        <f>dataset[[#This Row],[soda_sales]]/dataset[[#This Row],[soda_units_sold]]</f>
        <v>0.71110237113854646</v>
      </c>
      <c r="L2308" s="29">
        <f>dataset[[#This Row],[implied_soda_ppu]]-dataset[[#This Row],[soda_ppu]]</f>
        <v>2.371138546508611E-6</v>
      </c>
      <c r="M2308">
        <f>dataset[[#This Row],[soda_sales]]/dataset[[#This Row],[total_sales]]</f>
        <v>5.6832293188105433E-2</v>
      </c>
      <c r="N2308">
        <f>LN(dataset[[#This Row],[soda_units_sold]])</f>
        <v>12.230799403879036</v>
      </c>
      <c r="O2308">
        <f>LN(dataset[[#This Row],[soda_sales]])</f>
        <v>11.889860526246494</v>
      </c>
      <c r="P2308">
        <f>LN(dataset[[#This Row],[soda_ppu]])</f>
        <v>-0.34094221209266484</v>
      </c>
      <c r="Q2308">
        <f>IF(dataset[[#This Row],[state]]="VA",1,0)</f>
        <v>0</v>
      </c>
    </row>
    <row r="2309" spans="1:17" x14ac:dyDescent="0.35">
      <c r="A2309">
        <v>202204</v>
      </c>
      <c r="B2309">
        <v>53</v>
      </c>
      <c r="C2309" s="2">
        <v>2720414.3689000001</v>
      </c>
      <c r="D2309" s="2">
        <v>0.70489999999999997</v>
      </c>
      <c r="E2309" s="3">
        <v>237634</v>
      </c>
      <c r="F2309" s="2">
        <v>167501.08989999999</v>
      </c>
      <c r="G2309" t="s">
        <v>1429</v>
      </c>
      <c r="H2309" t="s">
        <v>7</v>
      </c>
      <c r="I2309">
        <f>HLOOKUP(G2309,zip_tiers!$A$1:$EON$2,2,FALSE)</f>
        <v>86195.333333333328</v>
      </c>
      <c r="J2309" t="str">
        <f t="shared" si="36"/>
        <v>Med</v>
      </c>
      <c r="K2309">
        <f>dataset[[#This Row],[soda_sales]]/dataset[[#This Row],[soda_units_sold]]</f>
        <v>0.70487005184443297</v>
      </c>
      <c r="L2309" s="29">
        <f>dataset[[#This Row],[implied_soda_ppu]]-dataset[[#This Row],[soda_ppu]]</f>
        <v>-2.9948155567005585E-5</v>
      </c>
      <c r="M2309">
        <f>dataset[[#This Row],[soda_sales]]/dataset[[#This Row],[total_sales]]</f>
        <v>6.1571903094942509E-2</v>
      </c>
      <c r="N2309">
        <f>LN(dataset[[#This Row],[soda_units_sold]])</f>
        <v>12.378486953876234</v>
      </c>
      <c r="O2309">
        <f>LN(dataset[[#This Row],[soda_sales]])</f>
        <v>12.028745137091761</v>
      </c>
      <c r="P2309">
        <f>LN(dataset[[#This Row],[soda_ppu]])</f>
        <v>-0.3496993302023072</v>
      </c>
      <c r="Q2309">
        <f>IF(dataset[[#This Row],[state]]="VA",1,0)</f>
        <v>0</v>
      </c>
    </row>
    <row r="2310" spans="1:17" x14ac:dyDescent="0.35">
      <c r="A2310">
        <v>202205</v>
      </c>
      <c r="B2310">
        <v>53</v>
      </c>
      <c r="C2310" s="2">
        <v>2786595.7053999999</v>
      </c>
      <c r="D2310" s="2">
        <v>0.71250000000000002</v>
      </c>
      <c r="E2310" s="3">
        <v>253955</v>
      </c>
      <c r="F2310" s="2">
        <v>180954.4583</v>
      </c>
      <c r="G2310" t="s">
        <v>1429</v>
      </c>
      <c r="H2310" t="s">
        <v>7</v>
      </c>
      <c r="I2310">
        <f>HLOOKUP(G2310,zip_tiers!$A$1:$EON$2,2,FALSE)</f>
        <v>86195.333333333328</v>
      </c>
      <c r="J2310" t="str">
        <f t="shared" si="36"/>
        <v>Med</v>
      </c>
      <c r="K2310">
        <f>dataset[[#This Row],[soda_sales]]/dataset[[#This Row],[soda_units_sold]]</f>
        <v>0.71254536551751291</v>
      </c>
      <c r="L2310" s="29">
        <f>dataset[[#This Row],[implied_soda_ppu]]-dataset[[#This Row],[soda_ppu]]</f>
        <v>4.5365517512885312E-5</v>
      </c>
      <c r="M2310">
        <f>dataset[[#This Row],[soda_sales]]/dataset[[#This Row],[total_sales]]</f>
        <v>6.4937463999294079E-2</v>
      </c>
      <c r="N2310">
        <f>LN(dataset[[#This Row],[soda_units_sold]])</f>
        <v>12.444912364950708</v>
      </c>
      <c r="O2310">
        <f>LN(dataset[[#This Row],[soda_sales]])</f>
        <v>12.106000666986242</v>
      </c>
      <c r="P2310">
        <f>LN(dataset[[#This Row],[soda_ppu]])</f>
        <v>-0.33897536683933144</v>
      </c>
      <c r="Q2310">
        <f>IF(dataset[[#This Row],[state]]="VA",1,0)</f>
        <v>0</v>
      </c>
    </row>
    <row r="2311" spans="1:17" x14ac:dyDescent="0.35">
      <c r="A2311">
        <v>202206</v>
      </c>
      <c r="B2311">
        <v>53</v>
      </c>
      <c r="C2311" s="2">
        <v>2678703.3774000001</v>
      </c>
      <c r="D2311" s="2">
        <v>0.71779999999999999</v>
      </c>
      <c r="E2311" s="3">
        <v>268268</v>
      </c>
      <c r="F2311" s="2">
        <v>192574.3175</v>
      </c>
      <c r="G2311" t="s">
        <v>1429</v>
      </c>
      <c r="H2311" t="s">
        <v>7</v>
      </c>
      <c r="I2311">
        <f>HLOOKUP(G2311,zip_tiers!$A$1:$EON$2,2,FALSE)</f>
        <v>86195.333333333328</v>
      </c>
      <c r="J2311" t="str">
        <f t="shared" si="36"/>
        <v>Med</v>
      </c>
      <c r="K2311">
        <f>dataset[[#This Row],[soda_sales]]/dataset[[#This Row],[soda_units_sold]]</f>
        <v>0.71784304315087899</v>
      </c>
      <c r="L2311" s="29">
        <f>dataset[[#This Row],[implied_soda_ppu]]-dataset[[#This Row],[soda_ppu]]</f>
        <v>4.304315087899635E-5</v>
      </c>
      <c r="M2311">
        <f>dataset[[#This Row],[soda_sales]]/dataset[[#This Row],[total_sales]]</f>
        <v>7.1890870457973682E-2</v>
      </c>
      <c r="N2311">
        <f>LN(dataset[[#This Row],[soda_units_sold]])</f>
        <v>12.499741759826078</v>
      </c>
      <c r="O2311">
        <f>LN(dataset[[#This Row],[soda_sales]])</f>
        <v>12.168237423141148</v>
      </c>
      <c r="P2311">
        <f>LN(dataset[[#This Row],[soda_ppu]])</f>
        <v>-0.33156430026863015</v>
      </c>
      <c r="Q2311">
        <f>IF(dataset[[#This Row],[state]]="VA",1,0)</f>
        <v>0</v>
      </c>
    </row>
    <row r="2312" spans="1:17" x14ac:dyDescent="0.35">
      <c r="A2312">
        <v>202207</v>
      </c>
      <c r="B2312">
        <v>53</v>
      </c>
      <c r="C2312" s="2">
        <v>2564422.4249</v>
      </c>
      <c r="D2312" s="2">
        <v>0.70799999999999996</v>
      </c>
      <c r="E2312" s="3">
        <v>269793</v>
      </c>
      <c r="F2312" s="2">
        <v>191010.97229999999</v>
      </c>
      <c r="G2312" t="s">
        <v>1429</v>
      </c>
      <c r="H2312" t="s">
        <v>7</v>
      </c>
      <c r="I2312">
        <f>HLOOKUP(G2312,zip_tiers!$A$1:$EON$2,2,FALSE)</f>
        <v>86195.333333333328</v>
      </c>
      <c r="J2312" t="str">
        <f t="shared" si="36"/>
        <v>Med</v>
      </c>
      <c r="K2312">
        <f>dataset[[#This Row],[soda_sales]]/dataset[[#This Row],[soda_units_sold]]</f>
        <v>0.70799083853176326</v>
      </c>
      <c r="L2312" s="29">
        <f>dataset[[#This Row],[implied_soda_ppu]]-dataset[[#This Row],[soda_ppu]]</f>
        <v>-9.1614682367069378E-6</v>
      </c>
      <c r="M2312">
        <f>dataset[[#This Row],[soda_sales]]/dataset[[#This Row],[total_sales]]</f>
        <v>7.4484987514273709E-2</v>
      </c>
      <c r="N2312">
        <f>LN(dataset[[#This Row],[soda_units_sold]])</f>
        <v>12.50541027727466</v>
      </c>
      <c r="O2312">
        <f>LN(dataset[[#This Row],[soda_sales]])</f>
        <v>12.160086151975634</v>
      </c>
      <c r="P2312">
        <f>LN(dataset[[#This Row],[soda_ppu]])</f>
        <v>-0.34531118528841737</v>
      </c>
      <c r="Q2312">
        <f>IF(dataset[[#This Row],[state]]="VA",1,0)</f>
        <v>0</v>
      </c>
    </row>
    <row r="2313" spans="1:17" x14ac:dyDescent="0.35">
      <c r="A2313">
        <v>202208</v>
      </c>
      <c r="B2313">
        <v>53</v>
      </c>
      <c r="C2313" s="2">
        <v>2455953.6918000001</v>
      </c>
      <c r="D2313" s="2">
        <v>0.69259999999999999</v>
      </c>
      <c r="E2313" s="3">
        <v>249859</v>
      </c>
      <c r="F2313" s="2">
        <v>173057.6538</v>
      </c>
      <c r="G2313" t="s">
        <v>1429</v>
      </c>
      <c r="H2313" t="s">
        <v>7</v>
      </c>
      <c r="I2313">
        <f>HLOOKUP(G2313,zip_tiers!$A$1:$EON$2,2,FALSE)</f>
        <v>86195.333333333328</v>
      </c>
      <c r="J2313" t="str">
        <f t="shared" si="36"/>
        <v>Med</v>
      </c>
      <c r="K2313">
        <f>dataset[[#This Row],[soda_sales]]/dataset[[#This Row],[soda_units_sold]]</f>
        <v>0.69262125358702309</v>
      </c>
      <c r="L2313" s="29">
        <f>dataset[[#This Row],[implied_soda_ppu]]-dataset[[#This Row],[soda_ppu]]</f>
        <v>2.1253587023095655E-5</v>
      </c>
      <c r="M2313">
        <f>dataset[[#This Row],[soda_sales]]/dataset[[#This Row],[total_sales]]</f>
        <v>7.0464542706081656E-2</v>
      </c>
      <c r="N2313">
        <f>LN(dataset[[#This Row],[soda_units_sold]])</f>
        <v>12.428652037736557</v>
      </c>
      <c r="O2313">
        <f>LN(dataset[[#This Row],[soda_sales]])</f>
        <v>12.06138007692102</v>
      </c>
      <c r="P2313">
        <f>LN(dataset[[#This Row],[soda_ppu]])</f>
        <v>-0.36730264701381549</v>
      </c>
      <c r="Q2313">
        <f>IF(dataset[[#This Row],[state]]="VA",1,0)</f>
        <v>0</v>
      </c>
    </row>
    <row r="2314" spans="1:17" x14ac:dyDescent="0.35">
      <c r="A2314">
        <v>202209</v>
      </c>
      <c r="B2314">
        <v>53</v>
      </c>
      <c r="C2314" s="2">
        <v>2434639.58</v>
      </c>
      <c r="D2314" s="2">
        <v>0.70040000000000002</v>
      </c>
      <c r="E2314" s="3">
        <v>238100</v>
      </c>
      <c r="F2314" s="2">
        <v>166763.64369999999</v>
      </c>
      <c r="G2314" t="s">
        <v>1429</v>
      </c>
      <c r="H2314" t="s">
        <v>7</v>
      </c>
      <c r="I2314">
        <f>HLOOKUP(G2314,zip_tiers!$A$1:$EON$2,2,FALSE)</f>
        <v>86195.333333333328</v>
      </c>
      <c r="J2314" t="str">
        <f t="shared" si="36"/>
        <v>Med</v>
      </c>
      <c r="K2314">
        <f>dataset[[#This Row],[soda_sales]]/dataset[[#This Row],[soda_units_sold]]</f>
        <v>0.70039329567408648</v>
      </c>
      <c r="L2314" s="29">
        <f>dataset[[#This Row],[implied_soda_ppu]]-dataset[[#This Row],[soda_ppu]]</f>
        <v>-6.7043259135424194E-6</v>
      </c>
      <c r="M2314">
        <f>dataset[[#This Row],[soda_sales]]/dataset[[#This Row],[total_sales]]</f>
        <v>6.849623454326656E-2</v>
      </c>
      <c r="N2314">
        <f>LN(dataset[[#This Row],[soda_units_sold]])</f>
        <v>12.380446032474953</v>
      </c>
      <c r="O2314">
        <f>LN(dataset[[#This Row],[soda_sales]])</f>
        <v>12.024332781720046</v>
      </c>
      <c r="P2314">
        <f>LN(dataset[[#This Row],[soda_ppu]])</f>
        <v>-0.35610367857044023</v>
      </c>
      <c r="Q2314">
        <f>IF(dataset[[#This Row],[state]]="VA",1,0)</f>
        <v>0</v>
      </c>
    </row>
    <row r="2315" spans="1:17" x14ac:dyDescent="0.35">
      <c r="A2315">
        <v>202210</v>
      </c>
      <c r="B2315">
        <v>53</v>
      </c>
      <c r="C2315" s="2">
        <v>2995891.6867999998</v>
      </c>
      <c r="D2315" s="2">
        <v>0.71399999999999997</v>
      </c>
      <c r="E2315" s="3">
        <v>225552</v>
      </c>
      <c r="F2315" s="2">
        <v>161041.99290000001</v>
      </c>
      <c r="G2315" t="s">
        <v>1429</v>
      </c>
      <c r="H2315" t="s">
        <v>7</v>
      </c>
      <c r="I2315">
        <f>HLOOKUP(G2315,zip_tiers!$A$1:$EON$2,2,FALSE)</f>
        <v>86195.333333333328</v>
      </c>
      <c r="J2315" t="str">
        <f t="shared" si="36"/>
        <v>Med</v>
      </c>
      <c r="K2315">
        <f>dataset[[#This Row],[soda_sales]]/dataset[[#This Row],[soda_units_sold]]</f>
        <v>0.7139905338901894</v>
      </c>
      <c r="L2315" s="29">
        <f>dataset[[#This Row],[implied_soda_ppu]]-dataset[[#This Row],[soda_ppu]]</f>
        <v>-9.4661098105630614E-6</v>
      </c>
      <c r="M2315">
        <f>dataset[[#This Row],[soda_sales]]/dataset[[#This Row],[total_sales]]</f>
        <v>5.3754277435848728E-2</v>
      </c>
      <c r="N2315">
        <f>LN(dataset[[#This Row],[soda_units_sold]])</f>
        <v>12.326306010010706</v>
      </c>
      <c r="O2315">
        <f>LN(dataset[[#This Row],[soda_sales]])</f>
        <v>11.989420435423391</v>
      </c>
      <c r="P2315">
        <f>LN(dataset[[#This Row],[soda_ppu]])</f>
        <v>-0.33687231664255274</v>
      </c>
      <c r="Q2315">
        <f>IF(dataset[[#This Row],[state]]="VA",1,0)</f>
        <v>0</v>
      </c>
    </row>
    <row r="2316" spans="1:17" x14ac:dyDescent="0.35">
      <c r="A2316">
        <v>202211</v>
      </c>
      <c r="B2316">
        <v>53</v>
      </c>
      <c r="C2316" s="2">
        <v>3443109.1381000001</v>
      </c>
      <c r="D2316" s="2">
        <v>0.71279999999999999</v>
      </c>
      <c r="E2316" s="3">
        <v>217913</v>
      </c>
      <c r="F2316" s="2">
        <v>155336.976</v>
      </c>
      <c r="G2316" t="s">
        <v>1429</v>
      </c>
      <c r="H2316" t="s">
        <v>7</v>
      </c>
      <c r="I2316">
        <f>HLOOKUP(G2316,zip_tiers!$A$1:$EON$2,2,FALSE)</f>
        <v>86195.333333333328</v>
      </c>
      <c r="J2316" t="str">
        <f t="shared" si="36"/>
        <v>Med</v>
      </c>
      <c r="K2316">
        <f>dataset[[#This Row],[soda_sales]]/dataset[[#This Row],[soda_units_sold]]</f>
        <v>0.71283941756572577</v>
      </c>
      <c r="L2316" s="29">
        <f>dataset[[#This Row],[implied_soda_ppu]]-dataset[[#This Row],[soda_ppu]]</f>
        <v>3.9417565725785586E-5</v>
      </c>
      <c r="M2316">
        <f>dataset[[#This Row],[soda_sales]]/dataset[[#This Row],[total_sales]]</f>
        <v>4.5115321579878555E-2</v>
      </c>
      <c r="N2316">
        <f>LN(dataset[[#This Row],[soda_units_sold]])</f>
        <v>12.291851179547777</v>
      </c>
      <c r="O2316">
        <f>LN(dataset[[#This Row],[soda_sales]])</f>
        <v>11.953352074808487</v>
      </c>
      <c r="P2316">
        <f>LN(dataset[[#This Row],[soda_ppu]])</f>
        <v>-0.3385544028255375</v>
      </c>
      <c r="Q2316">
        <f>IF(dataset[[#This Row],[state]]="VA",1,0)</f>
        <v>0</v>
      </c>
    </row>
    <row r="2317" spans="1:17" x14ac:dyDescent="0.35">
      <c r="A2317">
        <v>202212</v>
      </c>
      <c r="B2317">
        <v>53</v>
      </c>
      <c r="C2317" s="2">
        <v>3576439.9429000001</v>
      </c>
      <c r="D2317" s="2">
        <v>0.72899999999999998</v>
      </c>
      <c r="E2317" s="3">
        <v>203461</v>
      </c>
      <c r="F2317" s="2">
        <v>148324.28880000001</v>
      </c>
      <c r="G2317" t="s">
        <v>1429</v>
      </c>
      <c r="H2317" t="s">
        <v>7</v>
      </c>
      <c r="I2317">
        <f>HLOOKUP(G2317,zip_tiers!$A$1:$EON$2,2,FALSE)</f>
        <v>86195.333333333328</v>
      </c>
      <c r="J2317" t="str">
        <f t="shared" si="36"/>
        <v>Med</v>
      </c>
      <c r="K2317">
        <f>dataset[[#This Row],[soda_sales]]/dataset[[#This Row],[soda_units_sold]]</f>
        <v>0.72900599525216137</v>
      </c>
      <c r="L2317" s="29">
        <f>dataset[[#This Row],[implied_soda_ppu]]-dataset[[#This Row],[soda_ppu]]</f>
        <v>5.9952521613837462E-6</v>
      </c>
      <c r="M2317">
        <f>dataset[[#This Row],[soda_sales]]/dataset[[#This Row],[total_sales]]</f>
        <v>4.1472607164690548E-2</v>
      </c>
      <c r="N2317">
        <f>LN(dataset[[#This Row],[soda_units_sold]])</f>
        <v>12.223229619306663</v>
      </c>
      <c r="O2317">
        <f>LN(dataset[[#This Row],[soda_sales]])</f>
        <v>11.907156296239233</v>
      </c>
      <c r="P2317">
        <f>LN(dataset[[#This Row],[soda_ppu]])</f>
        <v>-0.31608154697347896</v>
      </c>
      <c r="Q2317">
        <f>IF(dataset[[#This Row],[state]]="VA",1,0)</f>
        <v>0</v>
      </c>
    </row>
    <row r="2318" spans="1:17" x14ac:dyDescent="0.35">
      <c r="A2318">
        <v>202301</v>
      </c>
      <c r="B2318">
        <v>53</v>
      </c>
      <c r="C2318" s="2">
        <v>2043374.1396000001</v>
      </c>
      <c r="D2318" s="2">
        <v>0.73029999999999995</v>
      </c>
      <c r="E2318" s="3">
        <v>149343</v>
      </c>
      <c r="F2318" s="2">
        <v>109066.3175</v>
      </c>
      <c r="G2318" t="s">
        <v>1429</v>
      </c>
      <c r="H2318" t="s">
        <v>7</v>
      </c>
      <c r="I2318">
        <f>HLOOKUP(G2318,zip_tiers!$A$1:$EON$2,2,FALSE)</f>
        <v>86195.333333333328</v>
      </c>
      <c r="J2318" t="str">
        <f t="shared" si="36"/>
        <v>Med</v>
      </c>
      <c r="K2318">
        <f>dataset[[#This Row],[soda_sales]]/dataset[[#This Row],[soda_units_sold]]</f>
        <v>0.73030753031611795</v>
      </c>
      <c r="L2318" s="29">
        <f>dataset[[#This Row],[implied_soda_ppu]]-dataset[[#This Row],[soda_ppu]]</f>
        <v>7.5303161179984812E-6</v>
      </c>
      <c r="M2318">
        <f>dataset[[#This Row],[soda_sales]]/dataset[[#This Row],[total_sales]]</f>
        <v>5.3375598421417939E-2</v>
      </c>
      <c r="N2318">
        <f>LN(dataset[[#This Row],[soda_units_sold]])</f>
        <v>11.914000952776835</v>
      </c>
      <c r="O2318">
        <f>LN(dataset[[#This Row],[soda_sales]])</f>
        <v>11.599711393631626</v>
      </c>
      <c r="P2318">
        <f>LN(dataset[[#This Row],[soda_ppu]])</f>
        <v>-0.31429987035607304</v>
      </c>
      <c r="Q2318">
        <f>IF(dataset[[#This Row],[state]]="VA",1,0)</f>
        <v>0</v>
      </c>
    </row>
    <row r="2319" spans="1:17" x14ac:dyDescent="0.35">
      <c r="A2319">
        <v>202302</v>
      </c>
      <c r="B2319">
        <v>53</v>
      </c>
      <c r="C2319" s="2">
        <v>2324459.5090999999</v>
      </c>
      <c r="D2319" s="2">
        <v>0.73170000000000002</v>
      </c>
      <c r="E2319" s="3">
        <v>174616</v>
      </c>
      <c r="F2319" s="2">
        <v>127773.8501</v>
      </c>
      <c r="G2319" t="s">
        <v>1429</v>
      </c>
      <c r="H2319" t="s">
        <v>7</v>
      </c>
      <c r="I2319">
        <f>HLOOKUP(G2319,zip_tiers!$A$1:$EON$2,2,FALSE)</f>
        <v>86195.333333333328</v>
      </c>
      <c r="J2319" t="str">
        <f t="shared" si="36"/>
        <v>Med</v>
      </c>
      <c r="K2319">
        <f>dataset[[#This Row],[soda_sales]]/dataset[[#This Row],[soda_units_sold]]</f>
        <v>0.73174193716497915</v>
      </c>
      <c r="L2319" s="29">
        <f>dataset[[#This Row],[implied_soda_ppu]]-dataset[[#This Row],[soda_ppu]]</f>
        <v>4.1937164979133357E-5</v>
      </c>
      <c r="M2319">
        <f>dataset[[#This Row],[soda_sales]]/dataset[[#This Row],[total_sales]]</f>
        <v>5.4969273329898677E-2</v>
      </c>
      <c r="N2319">
        <f>LN(dataset[[#This Row],[soda_units_sold]])</f>
        <v>12.070344556218913</v>
      </c>
      <c r="O2319">
        <f>LN(dataset[[#This Row],[soda_sales]])</f>
        <v>11.758017184182954</v>
      </c>
      <c r="P2319">
        <f>LN(dataset[[#This Row],[soda_ppu]])</f>
        <v>-0.31238468509215273</v>
      </c>
      <c r="Q2319">
        <f>IF(dataset[[#This Row],[state]]="VA",1,0)</f>
        <v>0</v>
      </c>
    </row>
    <row r="2320" spans="1:17" x14ac:dyDescent="0.35">
      <c r="A2320">
        <v>202303</v>
      </c>
      <c r="B2320">
        <v>53</v>
      </c>
      <c r="C2320" s="2">
        <v>2621510.1963</v>
      </c>
      <c r="D2320" s="2">
        <v>0.71360000000000001</v>
      </c>
      <c r="E2320" s="3">
        <v>203712</v>
      </c>
      <c r="F2320" s="2">
        <v>145368.15289999999</v>
      </c>
      <c r="G2320" t="s">
        <v>1429</v>
      </c>
      <c r="H2320" t="s">
        <v>7</v>
      </c>
      <c r="I2320">
        <f>HLOOKUP(G2320,zip_tiers!$A$1:$EON$2,2,FALSE)</f>
        <v>86195.333333333328</v>
      </c>
      <c r="J2320" t="str">
        <f t="shared" si="36"/>
        <v>Med</v>
      </c>
      <c r="K2320">
        <f>dataset[[#This Row],[soda_sales]]/dataset[[#This Row],[soda_units_sold]]</f>
        <v>0.71359641503691484</v>
      </c>
      <c r="L2320" s="29">
        <f>dataset[[#This Row],[implied_soda_ppu]]-dataset[[#This Row],[soda_ppu]]</f>
        <v>-3.5849630851680914E-6</v>
      </c>
      <c r="M2320">
        <f>dataset[[#This Row],[soda_sales]]/dataset[[#This Row],[total_sales]]</f>
        <v>5.5452064655393152E-2</v>
      </c>
      <c r="N2320">
        <f>LN(dataset[[#This Row],[soda_units_sold]])</f>
        <v>12.224462510641764</v>
      </c>
      <c r="O2320">
        <f>LN(dataset[[#This Row],[soda_sales]])</f>
        <v>11.887024789141668</v>
      </c>
      <c r="P2320">
        <f>LN(dataset[[#This Row],[soda_ppu]])</f>
        <v>-0.33743269771633744</v>
      </c>
      <c r="Q2320">
        <f>IF(dataset[[#This Row],[state]]="VA",1,0)</f>
        <v>0</v>
      </c>
    </row>
    <row r="2321" spans="1:17" x14ac:dyDescent="0.35">
      <c r="A2321">
        <v>202304</v>
      </c>
      <c r="B2321">
        <v>53</v>
      </c>
      <c r="C2321" s="2">
        <v>2787908.2949999999</v>
      </c>
      <c r="D2321" s="2">
        <v>0.70820000000000005</v>
      </c>
      <c r="E2321" s="3">
        <v>243985</v>
      </c>
      <c r="F2321" s="2">
        <v>172799.96160000001</v>
      </c>
      <c r="G2321" t="s">
        <v>1429</v>
      </c>
      <c r="H2321" t="s">
        <v>7</v>
      </c>
      <c r="I2321">
        <f>HLOOKUP(G2321,zip_tiers!$A$1:$EON$2,2,FALSE)</f>
        <v>86195.333333333328</v>
      </c>
      <c r="J2321" t="str">
        <f t="shared" si="36"/>
        <v>Med</v>
      </c>
      <c r="K2321">
        <f>dataset[[#This Row],[soda_sales]]/dataset[[#This Row],[soda_units_sold]]</f>
        <v>0.70824010328503806</v>
      </c>
      <c r="L2321" s="29">
        <f>dataset[[#This Row],[implied_soda_ppu]]-dataset[[#This Row],[soda_ppu]]</f>
        <v>4.0103285038006753E-5</v>
      </c>
      <c r="M2321">
        <f>dataset[[#This Row],[soda_sales]]/dataset[[#This Row],[total_sales]]</f>
        <v>6.1981938900181797E-2</v>
      </c>
      <c r="N2321">
        <f>LN(dataset[[#This Row],[soda_units_sold]])</f>
        <v>12.404862026975813</v>
      </c>
      <c r="O2321">
        <f>LN(dataset[[#This Row],[soda_sales]])</f>
        <v>12.059889913129846</v>
      </c>
      <c r="P2321">
        <f>LN(dataset[[#This Row],[soda_ppu]])</f>
        <v>-0.34502873930433364</v>
      </c>
      <c r="Q2321">
        <f>IF(dataset[[#This Row],[state]]="VA",1,0)</f>
        <v>0</v>
      </c>
    </row>
    <row r="2322" spans="1:17" x14ac:dyDescent="0.35">
      <c r="A2322">
        <v>202305</v>
      </c>
      <c r="B2322">
        <v>53</v>
      </c>
      <c r="C2322" s="2">
        <v>2885546.8273999998</v>
      </c>
      <c r="D2322" s="2">
        <v>0.68420000000000003</v>
      </c>
      <c r="E2322" s="3">
        <v>275044</v>
      </c>
      <c r="F2322" s="2">
        <v>188187.83300000001</v>
      </c>
      <c r="G2322" t="s">
        <v>1429</v>
      </c>
      <c r="H2322" t="s">
        <v>7</v>
      </c>
      <c r="I2322">
        <f>HLOOKUP(G2322,zip_tiers!$A$1:$EON$2,2,FALSE)</f>
        <v>86195.333333333328</v>
      </c>
      <c r="J2322" t="str">
        <f t="shared" si="36"/>
        <v>Med</v>
      </c>
      <c r="K2322">
        <f>dataset[[#This Row],[soda_sales]]/dataset[[#This Row],[soda_units_sold]]</f>
        <v>0.68420991914021034</v>
      </c>
      <c r="L2322" s="29">
        <f>dataset[[#This Row],[implied_soda_ppu]]-dataset[[#This Row],[soda_ppu]]</f>
        <v>9.9191402103127047E-6</v>
      </c>
      <c r="M2322">
        <f>dataset[[#This Row],[soda_sales]]/dataset[[#This Row],[total_sales]]</f>
        <v>6.5217390067298001E-2</v>
      </c>
      <c r="N2322">
        <f>LN(dataset[[#This Row],[soda_units_sold]])</f>
        <v>12.524686363850073</v>
      </c>
      <c r="O2322">
        <f>LN(dataset[[#This Row],[soda_sales]])</f>
        <v>12.145195854734315</v>
      </c>
      <c r="P2322">
        <f>LN(dataset[[#This Row],[soda_ppu]])</f>
        <v>-0.37950500643863272</v>
      </c>
      <c r="Q2322">
        <f>IF(dataset[[#This Row],[state]]="VA",1,0)</f>
        <v>0</v>
      </c>
    </row>
    <row r="2323" spans="1:17" x14ac:dyDescent="0.35">
      <c r="A2323">
        <v>202306</v>
      </c>
      <c r="B2323">
        <v>53</v>
      </c>
      <c r="C2323" s="2">
        <v>2760670.6943000001</v>
      </c>
      <c r="D2323" s="2">
        <v>0.73870000000000002</v>
      </c>
      <c r="E2323" s="3">
        <v>268738</v>
      </c>
      <c r="F2323" s="2">
        <v>198527.42790000001</v>
      </c>
      <c r="G2323" t="s">
        <v>1429</v>
      </c>
      <c r="H2323" t="s">
        <v>7</v>
      </c>
      <c r="I2323">
        <f>HLOOKUP(G2323,zip_tiers!$A$1:$EON$2,2,FALSE)</f>
        <v>86195.333333333328</v>
      </c>
      <c r="J2323" t="str">
        <f t="shared" si="36"/>
        <v>Med</v>
      </c>
      <c r="K2323">
        <f>dataset[[#This Row],[soda_sales]]/dataset[[#This Row],[soda_units_sold]]</f>
        <v>0.73873969405145534</v>
      </c>
      <c r="L2323" s="29">
        <f>dataset[[#This Row],[implied_soda_ppu]]-dataset[[#This Row],[soda_ppu]]</f>
        <v>3.9694051455319013E-5</v>
      </c>
      <c r="M2323">
        <f>dataset[[#This Row],[soda_sales]]/dataset[[#This Row],[total_sales]]</f>
        <v>7.1912752328592719E-2</v>
      </c>
      <c r="N2323">
        <f>LN(dataset[[#This Row],[soda_units_sold]])</f>
        <v>12.501492206264325</v>
      </c>
      <c r="O2323">
        <f>LN(dataset[[#This Row],[soda_sales]])</f>
        <v>12.198682545382622</v>
      </c>
      <c r="P2323">
        <f>LN(dataset[[#This Row],[soda_ppu]])</f>
        <v>-0.30286339444744492</v>
      </c>
      <c r="Q2323">
        <f>IF(dataset[[#This Row],[state]]="VA",1,0)</f>
        <v>0</v>
      </c>
    </row>
    <row r="2324" spans="1:17" x14ac:dyDescent="0.35">
      <c r="A2324">
        <v>202307</v>
      </c>
      <c r="B2324">
        <v>53</v>
      </c>
      <c r="C2324" s="2">
        <v>2617124.1139000002</v>
      </c>
      <c r="D2324" s="2">
        <v>0.753</v>
      </c>
      <c r="E2324" s="3">
        <v>271447</v>
      </c>
      <c r="F2324" s="2">
        <v>204411.59909999999</v>
      </c>
      <c r="G2324" t="s">
        <v>1429</v>
      </c>
      <c r="H2324" t="s">
        <v>7</v>
      </c>
      <c r="I2324">
        <f>HLOOKUP(G2324,zip_tiers!$A$1:$EON$2,2,FALSE)</f>
        <v>86195.333333333328</v>
      </c>
      <c r="J2324" t="str">
        <f t="shared" si="36"/>
        <v>Med</v>
      </c>
      <c r="K2324">
        <f>dataset[[#This Row],[soda_sales]]/dataset[[#This Row],[soda_units_sold]]</f>
        <v>0.75304423736493675</v>
      </c>
      <c r="L2324" s="29">
        <f>dataset[[#This Row],[implied_soda_ppu]]-dataset[[#This Row],[soda_ppu]]</f>
        <v>4.4237364936750012E-5</v>
      </c>
      <c r="M2324">
        <f>dataset[[#This Row],[soda_sales]]/dataset[[#This Row],[total_sales]]</f>
        <v>7.8105428020908335E-2</v>
      </c>
      <c r="N2324">
        <f>LN(dataset[[#This Row],[soda_units_sold]])</f>
        <v>12.511522187513455</v>
      </c>
      <c r="O2324">
        <f>LN(dataset[[#This Row],[soda_sales]])</f>
        <v>12.227890882766212</v>
      </c>
      <c r="P2324">
        <f>LN(dataset[[#This Row],[soda_ppu]])</f>
        <v>-0.2836900511822435</v>
      </c>
      <c r="Q2324">
        <f>IF(dataset[[#This Row],[state]]="VA",1,0)</f>
        <v>0</v>
      </c>
    </row>
    <row r="2325" spans="1:17" x14ac:dyDescent="0.35">
      <c r="A2325">
        <v>202308</v>
      </c>
      <c r="B2325">
        <v>53</v>
      </c>
      <c r="C2325" s="2">
        <v>2524898.9139999999</v>
      </c>
      <c r="D2325" s="2">
        <v>0.77339999999999998</v>
      </c>
      <c r="E2325" s="3">
        <v>233868</v>
      </c>
      <c r="F2325" s="2">
        <v>180884.1986</v>
      </c>
      <c r="G2325" t="s">
        <v>1429</v>
      </c>
      <c r="H2325" t="s">
        <v>7</v>
      </c>
      <c r="I2325">
        <f>HLOOKUP(G2325,zip_tiers!$A$1:$EON$2,2,FALSE)</f>
        <v>86195.333333333328</v>
      </c>
      <c r="J2325" t="str">
        <f t="shared" si="36"/>
        <v>Med</v>
      </c>
      <c r="K2325">
        <f>dataset[[#This Row],[soda_sales]]/dataset[[#This Row],[soda_units_sold]]</f>
        <v>0.77344569842817312</v>
      </c>
      <c r="L2325" s="29">
        <f>dataset[[#This Row],[implied_soda_ppu]]-dataset[[#This Row],[soda_ppu]]</f>
        <v>4.569842817314651E-5</v>
      </c>
      <c r="M2325">
        <f>dataset[[#This Row],[soda_sales]]/dataset[[#This Row],[total_sales]]</f>
        <v>7.1640174423236336E-2</v>
      </c>
      <c r="N2325">
        <f>LN(dataset[[#This Row],[soda_units_sold]])</f>
        <v>12.362512132610025</v>
      </c>
      <c r="O2325">
        <f>LN(dataset[[#This Row],[soda_sales]])</f>
        <v>12.105612318756759</v>
      </c>
      <c r="P2325">
        <f>LN(dataset[[#This Row],[soda_ppu]])</f>
        <v>-0.25695889980894038</v>
      </c>
      <c r="Q2325">
        <f>IF(dataset[[#This Row],[state]]="VA",1,0)</f>
        <v>0</v>
      </c>
    </row>
    <row r="2326" spans="1:17" x14ac:dyDescent="0.35">
      <c r="A2326">
        <v>202309</v>
      </c>
      <c r="B2326">
        <v>53</v>
      </c>
      <c r="C2326" s="2">
        <v>2458756.2689999999</v>
      </c>
      <c r="D2326" s="2">
        <v>0.746</v>
      </c>
      <c r="E2326" s="3">
        <v>228136</v>
      </c>
      <c r="F2326" s="2">
        <v>170196.81020000001</v>
      </c>
      <c r="G2326" t="s">
        <v>1429</v>
      </c>
      <c r="H2326" t="s">
        <v>7</v>
      </c>
      <c r="I2326">
        <f>HLOOKUP(G2326,zip_tiers!$A$1:$EON$2,2,FALSE)</f>
        <v>86195.333333333328</v>
      </c>
      <c r="J2326" t="str">
        <f t="shared" si="36"/>
        <v>Med</v>
      </c>
      <c r="K2326">
        <f>dataset[[#This Row],[soda_sales]]/dataset[[#This Row],[soda_units_sold]]</f>
        <v>0.74603223603464608</v>
      </c>
      <c r="L2326" s="29">
        <f>dataset[[#This Row],[implied_soda_ppu]]-dataset[[#This Row],[soda_ppu]]</f>
        <v>3.2236034646082601E-5</v>
      </c>
      <c r="M2326">
        <f>dataset[[#This Row],[soda_sales]]/dataset[[#This Row],[total_sales]]</f>
        <v>6.9220691918854049E-2</v>
      </c>
      <c r="N2326">
        <f>LN(dataset[[#This Row],[soda_units_sold]])</f>
        <v>12.337697221334468</v>
      </c>
      <c r="O2326">
        <f>LN(dataset[[#This Row],[soda_sales]])</f>
        <v>12.044710753465177</v>
      </c>
      <c r="P2326">
        <f>LN(dataset[[#This Row],[soda_ppu]])</f>
        <v>-0.29302967877837621</v>
      </c>
      <c r="Q2326">
        <f>IF(dataset[[#This Row],[state]]="VA",1,0)</f>
        <v>0</v>
      </c>
    </row>
    <row r="2327" spans="1:17" x14ac:dyDescent="0.35">
      <c r="A2327">
        <v>202310</v>
      </c>
      <c r="B2327">
        <v>53</v>
      </c>
      <c r="C2327" s="2">
        <v>3061241.4848000002</v>
      </c>
      <c r="D2327" s="2">
        <v>0.76259999999999994</v>
      </c>
      <c r="E2327" s="3">
        <v>214760</v>
      </c>
      <c r="F2327" s="2">
        <v>163775.5583</v>
      </c>
      <c r="G2327" t="s">
        <v>1429</v>
      </c>
      <c r="H2327" t="s">
        <v>7</v>
      </c>
      <c r="I2327">
        <f>HLOOKUP(G2327,zip_tiers!$A$1:$EON$2,2,FALSE)</f>
        <v>86195.333333333328</v>
      </c>
      <c r="J2327" t="str">
        <f t="shared" si="36"/>
        <v>Med</v>
      </c>
      <c r="K2327">
        <f>dataset[[#This Row],[soda_sales]]/dataset[[#This Row],[soda_units_sold]]</f>
        <v>0.76259805503818212</v>
      </c>
      <c r="L2327" s="29">
        <f>dataset[[#This Row],[implied_soda_ppu]]-dataset[[#This Row],[soda_ppu]]</f>
        <v>-1.9449618178235539E-6</v>
      </c>
      <c r="M2327">
        <f>dataset[[#This Row],[soda_sales]]/dataset[[#This Row],[total_sales]]</f>
        <v>5.3499718696873706E-2</v>
      </c>
      <c r="N2327">
        <f>LN(dataset[[#This Row],[soda_units_sold]])</f>
        <v>12.277276404536506</v>
      </c>
      <c r="O2327">
        <f>LN(dataset[[#This Row],[soda_sales]])</f>
        <v>12.006252222539466</v>
      </c>
      <c r="P2327">
        <f>LN(dataset[[#This Row],[soda_ppu]])</f>
        <v>-0.27102163155867376</v>
      </c>
      <c r="Q2327">
        <f>IF(dataset[[#This Row],[state]]="VA",1,0)</f>
        <v>0</v>
      </c>
    </row>
    <row r="2328" spans="1:17" x14ac:dyDescent="0.35">
      <c r="A2328">
        <v>202311</v>
      </c>
      <c r="B2328">
        <v>53</v>
      </c>
      <c r="C2328" s="2">
        <v>3478061.7683999999</v>
      </c>
      <c r="D2328" s="2">
        <v>0.76970000000000005</v>
      </c>
      <c r="E2328" s="3">
        <v>201804</v>
      </c>
      <c r="F2328" s="2">
        <v>155332.99239999999</v>
      </c>
      <c r="G2328" t="s">
        <v>1429</v>
      </c>
      <c r="H2328" t="s">
        <v>7</v>
      </c>
      <c r="I2328">
        <f>HLOOKUP(G2328,zip_tiers!$A$1:$EON$2,2,FALSE)</f>
        <v>86195.333333333328</v>
      </c>
      <c r="J2328" t="str">
        <f t="shared" si="36"/>
        <v>Med</v>
      </c>
      <c r="K2328">
        <f>dataset[[#This Row],[soda_sales]]/dataset[[#This Row],[soda_units_sold]]</f>
        <v>0.76972206893817763</v>
      </c>
      <c r="L2328" s="29">
        <f>dataset[[#This Row],[implied_soda_ppu]]-dataset[[#This Row],[soda_ppu]]</f>
        <v>2.206893817757738E-5</v>
      </c>
      <c r="M2328">
        <f>dataset[[#This Row],[soda_sales]]/dataset[[#This Row],[total_sales]]</f>
        <v>4.466079176950824E-2</v>
      </c>
      <c r="N2328">
        <f>LN(dataset[[#This Row],[soda_units_sold]])</f>
        <v>12.21505220831075</v>
      </c>
      <c r="O2328">
        <f>LN(dataset[[#This Row],[soda_sales]])</f>
        <v>11.953326429587479</v>
      </c>
      <c r="P2328">
        <f>LN(dataset[[#This Row],[soda_ppu]])</f>
        <v>-0.26175445044186524</v>
      </c>
      <c r="Q2328">
        <f>IF(dataset[[#This Row],[state]]="VA",1,0)</f>
        <v>0</v>
      </c>
    </row>
    <row r="2329" spans="1:17" x14ac:dyDescent="0.35">
      <c r="A2329">
        <v>202312</v>
      </c>
      <c r="B2329">
        <v>53</v>
      </c>
      <c r="C2329" s="2">
        <v>3675769.5252</v>
      </c>
      <c r="D2329" s="2">
        <v>0.72540000000000004</v>
      </c>
      <c r="E2329" s="3">
        <v>209390</v>
      </c>
      <c r="F2329" s="2">
        <v>151882.03520000001</v>
      </c>
      <c r="G2329" t="s">
        <v>1429</v>
      </c>
      <c r="H2329" t="s">
        <v>7</v>
      </c>
      <c r="I2329">
        <f>HLOOKUP(G2329,zip_tiers!$A$1:$EON$2,2,FALSE)</f>
        <v>86195.333333333328</v>
      </c>
      <c r="J2329" t="str">
        <f t="shared" si="36"/>
        <v>Med</v>
      </c>
      <c r="K2329">
        <f>dataset[[#This Row],[soda_sales]]/dataset[[#This Row],[soda_units_sold]]</f>
        <v>0.72535476956874734</v>
      </c>
      <c r="L2329" s="29">
        <f>dataset[[#This Row],[implied_soda_ppu]]-dataset[[#This Row],[soda_ppu]]</f>
        <v>-4.5230431252707426E-5</v>
      </c>
      <c r="M2329">
        <f>dataset[[#This Row],[soda_sales]]/dataset[[#This Row],[total_sales]]</f>
        <v>4.1319792810387383E-2</v>
      </c>
      <c r="N2329">
        <f>LN(dataset[[#This Row],[soda_units_sold]])</f>
        <v>12.251953820786362</v>
      </c>
      <c r="O2329">
        <f>LN(dataset[[#This Row],[soda_sales]])</f>
        <v>11.930859414308632</v>
      </c>
      <c r="P2329">
        <f>LN(dataset[[#This Row],[soda_ppu]])</f>
        <v>-0.32103205213333502</v>
      </c>
      <c r="Q2329">
        <f>IF(dataset[[#This Row],[state]]="VA",1,0)</f>
        <v>0</v>
      </c>
    </row>
    <row r="2330" spans="1:17" x14ac:dyDescent="0.35">
      <c r="A2330">
        <v>202401</v>
      </c>
      <c r="B2330">
        <v>53</v>
      </c>
      <c r="C2330" s="2">
        <v>2111585.1775000002</v>
      </c>
      <c r="D2330" s="2">
        <v>0.76500000000000001</v>
      </c>
      <c r="E2330" s="3">
        <v>149022</v>
      </c>
      <c r="F2330" s="2">
        <v>114008.5343</v>
      </c>
      <c r="G2330" t="s">
        <v>1429</v>
      </c>
      <c r="H2330" t="s">
        <v>7</v>
      </c>
      <c r="I2330">
        <f>HLOOKUP(G2330,zip_tiers!$A$1:$EON$2,2,FALSE)</f>
        <v>86195.333333333328</v>
      </c>
      <c r="J2330" t="str">
        <f t="shared" si="36"/>
        <v>Med</v>
      </c>
      <c r="K2330">
        <f>dataset[[#This Row],[soda_sales]]/dataset[[#This Row],[soda_units_sold]]</f>
        <v>0.76504498865939252</v>
      </c>
      <c r="L2330" s="29">
        <f>dataset[[#This Row],[implied_soda_ppu]]-dataset[[#This Row],[soda_ppu]]</f>
        <v>4.4988659392508623E-5</v>
      </c>
      <c r="M2330">
        <f>dataset[[#This Row],[soda_sales]]/dataset[[#This Row],[total_sales]]</f>
        <v>5.3991918258765099E-2</v>
      </c>
      <c r="N2330">
        <f>LN(dataset[[#This Row],[soda_units_sold]])</f>
        <v>11.91184922503497</v>
      </c>
      <c r="O2330">
        <f>LN(dataset[[#This Row],[soda_sales]])</f>
        <v>11.644028586855294</v>
      </c>
      <c r="P2330">
        <f>LN(dataset[[#This Row],[soda_ppu]])</f>
        <v>-0.26787944515560119</v>
      </c>
      <c r="Q2330">
        <f>IF(dataset[[#This Row],[state]]="VA",1,0)</f>
        <v>0</v>
      </c>
    </row>
    <row r="2331" spans="1:17" x14ac:dyDescent="0.35">
      <c r="A2331">
        <v>202402</v>
      </c>
      <c r="B2331">
        <v>53</v>
      </c>
      <c r="C2331" s="2">
        <v>2387633.4763000002</v>
      </c>
      <c r="D2331" s="2">
        <v>0.81479999999999997</v>
      </c>
      <c r="E2331" s="3">
        <v>157012</v>
      </c>
      <c r="F2331" s="2">
        <v>127926.1645</v>
      </c>
      <c r="G2331" t="s">
        <v>1429</v>
      </c>
      <c r="H2331" t="s">
        <v>7</v>
      </c>
      <c r="I2331">
        <f>HLOOKUP(G2331,zip_tiers!$A$1:$EON$2,2,FALSE)</f>
        <v>86195.333333333328</v>
      </c>
      <c r="J2331" t="str">
        <f t="shared" si="36"/>
        <v>Med</v>
      </c>
      <c r="K2331">
        <f>dataset[[#This Row],[soda_sales]]/dataset[[#This Row],[soda_units_sold]]</f>
        <v>0.81475406019922048</v>
      </c>
      <c r="L2331" s="29">
        <f>dataset[[#This Row],[implied_soda_ppu]]-dataset[[#This Row],[soda_ppu]]</f>
        <v>-4.5939800779493112E-5</v>
      </c>
      <c r="M2331">
        <f>dataset[[#This Row],[soda_sales]]/dataset[[#This Row],[total_sales]]</f>
        <v>5.3578644197199383E-2</v>
      </c>
      <c r="N2331">
        <f>LN(dataset[[#This Row],[soda_units_sold]])</f>
        <v>11.964077514530603</v>
      </c>
      <c r="O2331">
        <f>LN(dataset[[#This Row],[soda_sales]])</f>
        <v>11.759208536621895</v>
      </c>
      <c r="P2331">
        <f>LN(dataset[[#This Row],[soda_ppu]])</f>
        <v>-0.20481259462948634</v>
      </c>
      <c r="Q2331">
        <f>IF(dataset[[#This Row],[state]]="VA",1,0)</f>
        <v>0</v>
      </c>
    </row>
    <row r="2332" spans="1:17" x14ac:dyDescent="0.35">
      <c r="A2332">
        <v>202403</v>
      </c>
      <c r="B2332">
        <v>53</v>
      </c>
      <c r="C2332" s="2">
        <v>2680341.7124000001</v>
      </c>
      <c r="D2332" s="2">
        <v>0.78129999999999999</v>
      </c>
      <c r="E2332" s="3">
        <v>195990</v>
      </c>
      <c r="F2332" s="2">
        <v>153127.4258</v>
      </c>
      <c r="G2332" t="s">
        <v>1429</v>
      </c>
      <c r="H2332" t="s">
        <v>7</v>
      </c>
      <c r="I2332">
        <f>HLOOKUP(G2332,zip_tiers!$A$1:$EON$2,2,FALSE)</f>
        <v>86195.333333333328</v>
      </c>
      <c r="J2332" t="str">
        <f t="shared" si="36"/>
        <v>Med</v>
      </c>
      <c r="K2332">
        <f>dataset[[#This Row],[soda_sales]]/dataset[[#This Row],[soda_units_sold]]</f>
        <v>0.78130223888973926</v>
      </c>
      <c r="L2332" s="29">
        <f>dataset[[#This Row],[implied_soda_ppu]]-dataset[[#This Row],[soda_ppu]]</f>
        <v>2.2388897392700002E-6</v>
      </c>
      <c r="M2332">
        <f>dataset[[#This Row],[soda_sales]]/dataset[[#This Row],[total_sales]]</f>
        <v>5.7129814863377412E-2</v>
      </c>
      <c r="N2332">
        <f>LN(dataset[[#This Row],[soda_units_sold]])</f>
        <v>12.185818916502905</v>
      </c>
      <c r="O2332">
        <f>LN(dataset[[#This Row],[soda_sales]])</f>
        <v>11.939025702114829</v>
      </c>
      <c r="P2332">
        <f>LN(dataset[[#This Row],[soda_ppu]])</f>
        <v>-0.24679607997943842</v>
      </c>
      <c r="Q2332">
        <f>IF(dataset[[#This Row],[state]]="VA",1,0)</f>
        <v>0</v>
      </c>
    </row>
    <row r="2333" spans="1:17" x14ac:dyDescent="0.35">
      <c r="A2333">
        <v>202404</v>
      </c>
      <c r="B2333">
        <v>53</v>
      </c>
      <c r="C2333" s="2">
        <v>2791169.0669999998</v>
      </c>
      <c r="D2333" s="2">
        <v>0.79579999999999995</v>
      </c>
      <c r="E2333" s="3">
        <v>218098</v>
      </c>
      <c r="F2333" s="2">
        <v>173557.1361</v>
      </c>
      <c r="G2333" t="s">
        <v>1429</v>
      </c>
      <c r="H2333" t="s">
        <v>7</v>
      </c>
      <c r="I2333">
        <f>HLOOKUP(G2333,zip_tiers!$A$1:$EON$2,2,FALSE)</f>
        <v>86195.333333333328</v>
      </c>
      <c r="J2333" t="str">
        <f t="shared" si="36"/>
        <v>Med</v>
      </c>
      <c r="K2333">
        <f>dataset[[#This Row],[soda_sales]]/dataset[[#This Row],[soda_units_sold]]</f>
        <v>0.79577591770671896</v>
      </c>
      <c r="L2333" s="29">
        <f>dataset[[#This Row],[implied_soda_ppu]]-dataset[[#This Row],[soda_ppu]]</f>
        <v>-2.4082293280991429E-5</v>
      </c>
      <c r="M2333">
        <f>dataset[[#This Row],[soda_sales]]/dataset[[#This Row],[total_sales]]</f>
        <v>6.2180803790055764E-2</v>
      </c>
      <c r="N2333">
        <f>LN(dataset[[#This Row],[soda_units_sold]])</f>
        <v>12.292699782042218</v>
      </c>
      <c r="O2333">
        <f>LN(dataset[[#This Row],[soda_sales]])</f>
        <v>12.064262138854273</v>
      </c>
      <c r="P2333">
        <f>LN(dataset[[#This Row],[soda_ppu]])</f>
        <v>-0.22840738098930885</v>
      </c>
      <c r="Q2333">
        <f>IF(dataset[[#This Row],[state]]="VA",1,0)</f>
        <v>0</v>
      </c>
    </row>
    <row r="2334" spans="1:17" x14ac:dyDescent="0.35">
      <c r="A2334">
        <v>202405</v>
      </c>
      <c r="B2334">
        <v>53</v>
      </c>
      <c r="C2334" s="2">
        <v>2941955.2426999998</v>
      </c>
      <c r="D2334" s="2">
        <v>0.76049999999999995</v>
      </c>
      <c r="E2334" s="3">
        <v>255859</v>
      </c>
      <c r="F2334" s="2">
        <v>194592.52789999999</v>
      </c>
      <c r="G2334" t="s">
        <v>1429</v>
      </c>
      <c r="H2334" t="s">
        <v>7</v>
      </c>
      <c r="I2334">
        <f>HLOOKUP(G2334,zip_tiers!$A$1:$EON$2,2,FALSE)</f>
        <v>86195.333333333328</v>
      </c>
      <c r="J2334" t="str">
        <f t="shared" si="36"/>
        <v>Med</v>
      </c>
      <c r="K2334">
        <f>dataset[[#This Row],[soda_sales]]/dataset[[#This Row],[soda_units_sold]]</f>
        <v>0.76054595656201263</v>
      </c>
      <c r="L2334" s="29">
        <f>dataset[[#This Row],[implied_soda_ppu]]-dataset[[#This Row],[soda_ppu]]</f>
        <v>4.5956562012672286E-5</v>
      </c>
      <c r="M2334">
        <f>dataset[[#This Row],[soda_sales]]/dataset[[#This Row],[total_sales]]</f>
        <v>6.614394572550035E-2</v>
      </c>
      <c r="N2334">
        <f>LN(dataset[[#This Row],[soda_units_sold]])</f>
        <v>12.452381790475989</v>
      </c>
      <c r="O2334">
        <f>LN(dataset[[#This Row],[soda_sales]])</f>
        <v>12.178663050771773</v>
      </c>
      <c r="P2334">
        <f>LN(dataset[[#This Row],[soda_ppu]])</f>
        <v>-0.27377916728278956</v>
      </c>
      <c r="Q2334">
        <f>IF(dataset[[#This Row],[state]]="VA",1,0)</f>
        <v>0</v>
      </c>
    </row>
    <row r="2335" spans="1:17" x14ac:dyDescent="0.35">
      <c r="A2335">
        <v>202406</v>
      </c>
      <c r="B2335">
        <v>53</v>
      </c>
      <c r="C2335" s="2">
        <v>2783218.6077000001</v>
      </c>
      <c r="D2335" s="2">
        <v>0.77710000000000001</v>
      </c>
      <c r="E2335" s="3">
        <v>257149</v>
      </c>
      <c r="F2335" s="2">
        <v>199820.51980000001</v>
      </c>
      <c r="G2335" t="s">
        <v>1429</v>
      </c>
      <c r="H2335" t="s">
        <v>7</v>
      </c>
      <c r="I2335">
        <f>HLOOKUP(G2335,zip_tiers!$A$1:$EON$2,2,FALSE)</f>
        <v>86195.333333333328</v>
      </c>
      <c r="J2335" t="str">
        <f t="shared" si="36"/>
        <v>Med</v>
      </c>
      <c r="K2335">
        <f>dataset[[#This Row],[soda_sales]]/dataset[[#This Row],[soda_units_sold]]</f>
        <v>0.7770612360926934</v>
      </c>
      <c r="L2335" s="29">
        <f>dataset[[#This Row],[implied_soda_ppu]]-dataset[[#This Row],[soda_ppu]]</f>
        <v>-3.8763907306615941E-5</v>
      </c>
      <c r="M2335">
        <f>dataset[[#This Row],[soda_sales]]/dataset[[#This Row],[total_sales]]</f>
        <v>7.1794762814239715E-2</v>
      </c>
      <c r="N2335">
        <f>LN(dataset[[#This Row],[soda_units_sold]])</f>
        <v>12.457410962414635</v>
      </c>
      <c r="O2335">
        <f>LN(dataset[[#This Row],[soda_sales]])</f>
        <v>12.205174841624833</v>
      </c>
      <c r="P2335">
        <f>LN(dataset[[#This Row],[soda_ppu]])</f>
        <v>-0.25218623676694052</v>
      </c>
      <c r="Q2335">
        <f>IF(dataset[[#This Row],[state]]="VA",1,0)</f>
        <v>0</v>
      </c>
    </row>
    <row r="2336" spans="1:17" x14ac:dyDescent="0.35">
      <c r="A2336">
        <v>202407</v>
      </c>
      <c r="B2336">
        <v>53</v>
      </c>
      <c r="C2336" s="2">
        <v>2704141.9432000001</v>
      </c>
      <c r="D2336" s="2">
        <v>0.79630000000000001</v>
      </c>
      <c r="E2336" s="3">
        <v>265973</v>
      </c>
      <c r="F2336" s="2">
        <v>211795.79019999999</v>
      </c>
      <c r="G2336" t="s">
        <v>1429</v>
      </c>
      <c r="H2336" t="s">
        <v>7</v>
      </c>
      <c r="I2336">
        <f>HLOOKUP(G2336,zip_tiers!$A$1:$EON$2,2,FALSE)</f>
        <v>86195.333333333328</v>
      </c>
      <c r="J2336" t="str">
        <f t="shared" si="36"/>
        <v>Med</v>
      </c>
      <c r="K2336">
        <f>dataset[[#This Row],[soda_sales]]/dataset[[#This Row],[soda_units_sold]]</f>
        <v>0.79630560320032484</v>
      </c>
      <c r="L2336" s="29">
        <f>dataset[[#This Row],[implied_soda_ppu]]-dataset[[#This Row],[soda_ppu]]</f>
        <v>5.6032003248329687E-6</v>
      </c>
      <c r="M2336">
        <f>dataset[[#This Row],[soda_sales]]/dataset[[#This Row],[total_sales]]</f>
        <v>7.8322734031249563E-2</v>
      </c>
      <c r="N2336">
        <f>LN(dataset[[#This Row],[soda_units_sold]])</f>
        <v>12.491150078852582</v>
      </c>
      <c r="O2336">
        <f>LN(dataset[[#This Row],[soda_sales]])</f>
        <v>12.263377835653513</v>
      </c>
      <c r="P2336">
        <f>LN(dataset[[#This Row],[soda_ppu]])</f>
        <v>-0.22777927971873788</v>
      </c>
      <c r="Q2336">
        <f>IF(dataset[[#This Row],[state]]="VA",1,0)</f>
        <v>0</v>
      </c>
    </row>
    <row r="2337" spans="1:17" x14ac:dyDescent="0.35">
      <c r="A2337">
        <v>202408</v>
      </c>
      <c r="B2337">
        <v>53</v>
      </c>
      <c r="C2337" s="2">
        <v>2564824.3684</v>
      </c>
      <c r="D2337" s="2">
        <v>0.80610000000000004</v>
      </c>
      <c r="E2337" s="3">
        <v>223038</v>
      </c>
      <c r="F2337" s="2">
        <v>179780.7879</v>
      </c>
      <c r="G2337" t="s">
        <v>1429</v>
      </c>
      <c r="H2337" t="s">
        <v>7</v>
      </c>
      <c r="I2337">
        <f>HLOOKUP(G2337,zip_tiers!$A$1:$EON$2,2,FALSE)</f>
        <v>86195.333333333328</v>
      </c>
      <c r="J2337" t="str">
        <f t="shared" si="36"/>
        <v>Med</v>
      </c>
      <c r="K2337">
        <f>dataset[[#This Row],[soda_sales]]/dataset[[#This Row],[soda_units_sold]]</f>
        <v>0.80605451940924866</v>
      </c>
      <c r="L2337" s="29">
        <f>dataset[[#This Row],[implied_soda_ppu]]-dataset[[#This Row],[soda_ppu]]</f>
        <v>-4.5480590751378891E-5</v>
      </c>
      <c r="M2337">
        <f>dataset[[#This Row],[soda_sales]]/dataset[[#This Row],[total_sales]]</f>
        <v>7.0094775344072241E-2</v>
      </c>
      <c r="N2337">
        <f>LN(dataset[[#This Row],[soda_units_sold]])</f>
        <v>12.315097439512657</v>
      </c>
      <c r="O2337">
        <f>LN(dataset[[#This Row],[soda_sales]])</f>
        <v>12.099493542696495</v>
      </c>
      <c r="P2337">
        <f>LN(dataset[[#This Row],[soda_ppu]])</f>
        <v>-0.21554747469258176</v>
      </c>
      <c r="Q2337">
        <f>IF(dataset[[#This Row],[state]]="VA",1,0)</f>
        <v>0</v>
      </c>
    </row>
    <row r="2338" spans="1:17" x14ac:dyDescent="0.35">
      <c r="A2338">
        <v>202409</v>
      </c>
      <c r="B2338">
        <v>53</v>
      </c>
      <c r="C2338" s="2">
        <v>2641011.8037999999</v>
      </c>
      <c r="D2338" s="2">
        <v>0.78359999999999996</v>
      </c>
      <c r="E2338" s="3">
        <v>229184</v>
      </c>
      <c r="F2338" s="2">
        <v>179586.2188</v>
      </c>
      <c r="G2338" t="s">
        <v>1429</v>
      </c>
      <c r="H2338" t="s">
        <v>7</v>
      </c>
      <c r="I2338">
        <f>HLOOKUP(G2338,zip_tiers!$A$1:$EON$2,2,FALSE)</f>
        <v>86195.333333333328</v>
      </c>
      <c r="J2338" t="str">
        <f t="shared" si="36"/>
        <v>Med</v>
      </c>
      <c r="K2338">
        <f>dataset[[#This Row],[soda_sales]]/dataset[[#This Row],[soda_units_sold]]</f>
        <v>0.7835896868891371</v>
      </c>
      <c r="L2338" s="29">
        <f>dataset[[#This Row],[implied_soda_ppu]]-dataset[[#This Row],[soda_ppu]]</f>
        <v>-1.0313110862858466E-5</v>
      </c>
      <c r="M2338">
        <f>dataset[[#This Row],[soda_sales]]/dataset[[#This Row],[total_sales]]</f>
        <v>6.7999021640722593E-2</v>
      </c>
      <c r="N2338">
        <f>LN(dataset[[#This Row],[soda_units_sold]])</f>
        <v>12.342280453358105</v>
      </c>
      <c r="O2338">
        <f>LN(dataset[[#This Row],[soda_sales]])</f>
        <v>12.098410699166708</v>
      </c>
      <c r="P2338">
        <f>LN(dataset[[#This Row],[soda_ppu]])</f>
        <v>-0.24385659291175141</v>
      </c>
      <c r="Q2338">
        <f>IF(dataset[[#This Row],[state]]="VA",1,0)</f>
        <v>0</v>
      </c>
    </row>
    <row r="2339" spans="1:17" x14ac:dyDescent="0.35">
      <c r="A2339">
        <v>202410</v>
      </c>
      <c r="B2339">
        <v>53</v>
      </c>
      <c r="C2339" s="2">
        <v>3105579.7927000001</v>
      </c>
      <c r="D2339" s="2">
        <v>0.77380000000000004</v>
      </c>
      <c r="E2339" s="3">
        <v>213539</v>
      </c>
      <c r="F2339" s="2">
        <v>165245.7175</v>
      </c>
      <c r="G2339" t="s">
        <v>1429</v>
      </c>
      <c r="H2339" t="s">
        <v>7</v>
      </c>
      <c r="I2339">
        <f>HLOOKUP(G2339,zip_tiers!$A$1:$EON$2,2,FALSE)</f>
        <v>86195.333333333328</v>
      </c>
      <c r="J2339" t="str">
        <f t="shared" si="36"/>
        <v>Med</v>
      </c>
      <c r="K2339">
        <f>dataset[[#This Row],[soda_sales]]/dataset[[#This Row],[soda_units_sold]]</f>
        <v>0.77384326750616983</v>
      </c>
      <c r="L2339" s="29">
        <f>dataset[[#This Row],[implied_soda_ppu]]-dataset[[#This Row],[soda_ppu]]</f>
        <v>4.3267506169786252E-5</v>
      </c>
      <c r="M2339">
        <f>dataset[[#This Row],[soda_sales]]/dataset[[#This Row],[total_sales]]</f>
        <v>5.3209296984874727E-2</v>
      </c>
      <c r="N2339">
        <f>LN(dataset[[#This Row],[soda_units_sold]])</f>
        <v>12.271574764757949</v>
      </c>
      <c r="O2339">
        <f>LN(dataset[[#This Row],[soda_sales]])</f>
        <v>12.015188842098247</v>
      </c>
      <c r="P2339">
        <f>LN(dataset[[#This Row],[soda_ppu]])</f>
        <v>-0.2564418367157244</v>
      </c>
      <c r="Q2339">
        <f>IF(dataset[[#This Row],[state]]="VA",1,0)</f>
        <v>0</v>
      </c>
    </row>
    <row r="2340" spans="1:17" x14ac:dyDescent="0.35">
      <c r="A2340">
        <v>202411</v>
      </c>
      <c r="B2340">
        <v>53</v>
      </c>
      <c r="C2340" s="2">
        <v>3542301.2941000001</v>
      </c>
      <c r="D2340" s="2">
        <v>0.78180000000000005</v>
      </c>
      <c r="E2340" s="3">
        <v>201118</v>
      </c>
      <c r="F2340" s="2">
        <v>157227.28289999999</v>
      </c>
      <c r="G2340" t="s">
        <v>1429</v>
      </c>
      <c r="H2340" t="s">
        <v>7</v>
      </c>
      <c r="I2340">
        <f>HLOOKUP(G2340,zip_tiers!$A$1:$EON$2,2,FALSE)</f>
        <v>86195.333333333328</v>
      </c>
      <c r="J2340" t="str">
        <f t="shared" si="36"/>
        <v>Med</v>
      </c>
      <c r="K2340">
        <f>dataset[[#This Row],[soda_sales]]/dataset[[#This Row],[soda_units_sold]]</f>
        <v>0.78176634065573436</v>
      </c>
      <c r="L2340" s="29">
        <f>dataset[[#This Row],[implied_soda_ppu]]-dataset[[#This Row],[soda_ppu]]</f>
        <v>-3.3659344265690727E-5</v>
      </c>
      <c r="M2340">
        <f>dataset[[#This Row],[soda_sales]]/dataset[[#This Row],[total_sales]]</f>
        <v>4.4385632346371898E-2</v>
      </c>
      <c r="N2340">
        <f>LN(dataset[[#This Row],[soda_units_sold]])</f>
        <v>12.211647079462775</v>
      </c>
      <c r="O2340">
        <f>LN(dataset[[#This Row],[soda_sales]])</f>
        <v>11.965447699261768</v>
      </c>
      <c r="P2340">
        <f>LN(dataset[[#This Row],[soda_ppu]])</f>
        <v>-0.24615632562328255</v>
      </c>
      <c r="Q2340">
        <f>IF(dataset[[#This Row],[state]]="VA",1,0)</f>
        <v>0</v>
      </c>
    </row>
    <row r="2341" spans="1:17" x14ac:dyDescent="0.35">
      <c r="A2341">
        <v>202412</v>
      </c>
      <c r="B2341">
        <v>53</v>
      </c>
      <c r="C2341" s="2">
        <v>3707182.9319000002</v>
      </c>
      <c r="D2341" s="2">
        <v>0.79330000000000001</v>
      </c>
      <c r="E2341" s="3">
        <v>194584</v>
      </c>
      <c r="F2341" s="2">
        <v>154356.42499999999</v>
      </c>
      <c r="G2341" t="s">
        <v>1429</v>
      </c>
      <c r="H2341" t="s">
        <v>7</v>
      </c>
      <c r="I2341">
        <f>HLOOKUP(G2341,zip_tiers!$A$1:$EON$2,2,FALSE)</f>
        <v>86195.333333333328</v>
      </c>
      <c r="J2341" t="str">
        <f t="shared" si="36"/>
        <v>Med</v>
      </c>
      <c r="K2341">
        <f>dataset[[#This Row],[soda_sales]]/dataset[[#This Row],[soda_units_sold]]</f>
        <v>0.79326370616289099</v>
      </c>
      <c r="L2341" s="29">
        <f>dataset[[#This Row],[implied_soda_ppu]]-dataset[[#This Row],[soda_ppu]]</f>
        <v>-3.6293837109013793E-5</v>
      </c>
      <c r="M2341">
        <f>dataset[[#This Row],[soda_sales]]/dataset[[#This Row],[total_sales]]</f>
        <v>4.1637121187566926E-2</v>
      </c>
      <c r="N2341">
        <f>LN(dataset[[#This Row],[soda_units_sold]])</f>
        <v>12.178619225415462</v>
      </c>
      <c r="O2341">
        <f>LN(dataset[[#This Row],[soda_sales]])</f>
        <v>11.94701965523824</v>
      </c>
      <c r="P2341">
        <f>LN(dataset[[#This Row],[soda_ppu]])</f>
        <v>-0.23155381867417979</v>
      </c>
      <c r="Q2341">
        <f>IF(dataset[[#This Row],[state]]="VA",1,0)</f>
        <v>0</v>
      </c>
    </row>
    <row r="2342" spans="1:17" x14ac:dyDescent="0.35">
      <c r="A2342">
        <v>202201</v>
      </c>
      <c r="B2342">
        <v>60</v>
      </c>
      <c r="C2342" s="2">
        <v>1997708.2346000001</v>
      </c>
      <c r="D2342" s="2">
        <v>0.73650000000000004</v>
      </c>
      <c r="E2342" s="3">
        <v>138812</v>
      </c>
      <c r="F2342" s="2">
        <v>102230.8247</v>
      </c>
      <c r="G2342" t="s">
        <v>1522</v>
      </c>
      <c r="H2342" t="s">
        <v>7</v>
      </c>
      <c r="I2342">
        <f>HLOOKUP(G2342,zip_tiers!$A$1:$EON$2,2,FALSE)</f>
        <v>84558.333333333328</v>
      </c>
      <c r="J2342" t="str">
        <f t="shared" si="36"/>
        <v>Med</v>
      </c>
      <c r="K2342">
        <f>dataset[[#This Row],[soda_sales]]/dataset[[#This Row],[soda_units_sold]]</f>
        <v>0.73646964743682097</v>
      </c>
      <c r="L2342" s="29">
        <f>dataset[[#This Row],[implied_soda_ppu]]-dataset[[#This Row],[soda_ppu]]</f>
        <v>-3.0352563179070202E-5</v>
      </c>
      <c r="M2342">
        <f>dataset[[#This Row],[soda_sales]]/dataset[[#This Row],[total_sales]]</f>
        <v>5.1174051810658733E-2</v>
      </c>
      <c r="N2342">
        <f>LN(dataset[[#This Row],[soda_units_sold]])</f>
        <v>11.840875778649206</v>
      </c>
      <c r="O2342">
        <f>LN(dataset[[#This Row],[soda_sales]])</f>
        <v>11.534988522822111</v>
      </c>
      <c r="P2342">
        <f>LN(dataset[[#This Row],[soda_ppu]])</f>
        <v>-0.30584604307945201</v>
      </c>
      <c r="Q2342">
        <f>IF(dataset[[#This Row],[state]]="VA",1,0)</f>
        <v>0</v>
      </c>
    </row>
    <row r="2343" spans="1:17" x14ac:dyDescent="0.35">
      <c r="A2343">
        <v>202202</v>
      </c>
      <c r="B2343">
        <v>60</v>
      </c>
      <c r="C2343" s="2">
        <v>2282359.9992</v>
      </c>
      <c r="D2343" s="2">
        <v>0.72989999999999999</v>
      </c>
      <c r="E2343" s="3">
        <v>159993</v>
      </c>
      <c r="F2343" s="2">
        <v>116774.82919999999</v>
      </c>
      <c r="G2343" t="s">
        <v>1522</v>
      </c>
      <c r="H2343" t="s">
        <v>7</v>
      </c>
      <c r="I2343">
        <f>HLOOKUP(G2343,zip_tiers!$A$1:$EON$2,2,FALSE)</f>
        <v>84558.333333333328</v>
      </c>
      <c r="J2343" t="str">
        <f t="shared" si="36"/>
        <v>Med</v>
      </c>
      <c r="K2343">
        <f>dataset[[#This Row],[soda_sales]]/dataset[[#This Row],[soda_units_sold]]</f>
        <v>0.72987461451438496</v>
      </c>
      <c r="L2343" s="29">
        <f>dataset[[#This Row],[implied_soda_ppu]]-dataset[[#This Row],[soda_ppu]]</f>
        <v>-2.5385485615037062E-5</v>
      </c>
      <c r="M2343">
        <f>dataset[[#This Row],[soda_sales]]/dataset[[#This Row],[total_sales]]</f>
        <v>5.1164071067198537E-2</v>
      </c>
      <c r="N2343">
        <f>LN(dataset[[#This Row],[soda_units_sold]])</f>
        <v>11.982885343258905</v>
      </c>
      <c r="O2343">
        <f>LN(dataset[[#This Row],[soda_sales]])</f>
        <v>11.668002822727406</v>
      </c>
      <c r="P2343">
        <f>LN(dataset[[#This Row],[soda_ppu]])</f>
        <v>-0.31484774052455045</v>
      </c>
      <c r="Q2343">
        <f>IF(dataset[[#This Row],[state]]="VA",1,0)</f>
        <v>0</v>
      </c>
    </row>
    <row r="2344" spans="1:17" x14ac:dyDescent="0.35">
      <c r="A2344">
        <v>202203</v>
      </c>
      <c r="B2344">
        <v>60</v>
      </c>
      <c r="C2344" s="2">
        <v>2534931.3221999998</v>
      </c>
      <c r="D2344" s="2">
        <v>0.72940000000000005</v>
      </c>
      <c r="E2344" s="3">
        <v>186487</v>
      </c>
      <c r="F2344" s="2">
        <v>136030.57709999999</v>
      </c>
      <c r="G2344" t="s">
        <v>1522</v>
      </c>
      <c r="H2344" t="s">
        <v>7</v>
      </c>
      <c r="I2344">
        <f>HLOOKUP(G2344,zip_tiers!$A$1:$EON$2,2,FALSE)</f>
        <v>84558.333333333328</v>
      </c>
      <c r="J2344" t="str">
        <f t="shared" si="36"/>
        <v>Med</v>
      </c>
      <c r="K2344">
        <f>dataset[[#This Row],[soda_sales]]/dataset[[#This Row],[soda_units_sold]]</f>
        <v>0.72943731788274779</v>
      </c>
      <c r="L2344" s="29">
        <f>dataset[[#This Row],[implied_soda_ppu]]-dataset[[#This Row],[soda_ppu]]</f>
        <v>3.7317882747744946E-5</v>
      </c>
      <c r="M2344">
        <f>dataset[[#This Row],[soda_sales]]/dataset[[#This Row],[total_sales]]</f>
        <v>5.3662430973452434E-2</v>
      </c>
      <c r="N2344">
        <f>LN(dataset[[#This Row],[soda_units_sold]])</f>
        <v>12.13611681054266</v>
      </c>
      <c r="O2344">
        <f>LN(dataset[[#This Row],[soda_sales]])</f>
        <v>11.820634971064996</v>
      </c>
      <c r="P2344">
        <f>LN(dataset[[#This Row],[soda_ppu]])</f>
        <v>-0.31553300060755712</v>
      </c>
      <c r="Q2344">
        <f>IF(dataset[[#This Row],[state]]="VA",1,0)</f>
        <v>0</v>
      </c>
    </row>
    <row r="2345" spans="1:17" x14ac:dyDescent="0.35">
      <c r="A2345">
        <v>202204</v>
      </c>
      <c r="B2345">
        <v>60</v>
      </c>
      <c r="C2345" s="2">
        <v>2731926.6206</v>
      </c>
      <c r="D2345" s="2">
        <v>0.73740000000000006</v>
      </c>
      <c r="E2345" s="3">
        <v>218156</v>
      </c>
      <c r="F2345" s="2">
        <v>160869.6594</v>
      </c>
      <c r="G2345" t="s">
        <v>1522</v>
      </c>
      <c r="H2345" t="s">
        <v>7</v>
      </c>
      <c r="I2345">
        <f>HLOOKUP(G2345,zip_tiers!$A$1:$EON$2,2,FALSE)</f>
        <v>84558.333333333328</v>
      </c>
      <c r="J2345" t="str">
        <f t="shared" si="36"/>
        <v>Med</v>
      </c>
      <c r="K2345">
        <f>dataset[[#This Row],[soda_sales]]/dataset[[#This Row],[soda_units_sold]]</f>
        <v>0.73740653202295603</v>
      </c>
      <c r="L2345" s="29">
        <f>dataset[[#This Row],[implied_soda_ppu]]-dataset[[#This Row],[soda_ppu]]</f>
        <v>6.5320229559739929E-6</v>
      </c>
      <c r="M2345">
        <f>dataset[[#This Row],[soda_sales]]/dataset[[#This Row],[total_sales]]</f>
        <v>5.8885058693365994E-2</v>
      </c>
      <c r="N2345">
        <f>LN(dataset[[#This Row],[soda_units_sold]])</f>
        <v>12.292965682184528</v>
      </c>
      <c r="O2345">
        <f>LN(dataset[[#This Row],[soda_sales]])</f>
        <v>11.988349747144591</v>
      </c>
      <c r="P2345">
        <f>LN(dataset[[#This Row],[soda_ppu]])</f>
        <v>-0.30462479318209285</v>
      </c>
      <c r="Q2345">
        <f>IF(dataset[[#This Row],[state]]="VA",1,0)</f>
        <v>0</v>
      </c>
    </row>
    <row r="2346" spans="1:17" x14ac:dyDescent="0.35">
      <c r="A2346">
        <v>202205</v>
      </c>
      <c r="B2346">
        <v>60</v>
      </c>
      <c r="C2346" s="2">
        <v>2820361.3662</v>
      </c>
      <c r="D2346" s="2">
        <v>0.75180000000000002</v>
      </c>
      <c r="E2346" s="3">
        <v>233173</v>
      </c>
      <c r="F2346" s="2">
        <v>175304.5238</v>
      </c>
      <c r="G2346" t="s">
        <v>1522</v>
      </c>
      <c r="H2346" t="s">
        <v>7</v>
      </c>
      <c r="I2346">
        <f>HLOOKUP(G2346,zip_tiers!$A$1:$EON$2,2,FALSE)</f>
        <v>84558.333333333328</v>
      </c>
      <c r="J2346" t="str">
        <f t="shared" si="36"/>
        <v>Med</v>
      </c>
      <c r="K2346">
        <f>dataset[[#This Row],[soda_sales]]/dataset[[#This Row],[soda_units_sold]]</f>
        <v>0.75182171091850258</v>
      </c>
      <c r="L2346" s="29">
        <f>dataset[[#This Row],[implied_soda_ppu]]-dataset[[#This Row],[soda_ppu]]</f>
        <v>2.1710918502559906E-5</v>
      </c>
      <c r="M2346">
        <f>dataset[[#This Row],[soda_sales]]/dataset[[#This Row],[total_sales]]</f>
        <v>6.2156759733308815E-2</v>
      </c>
      <c r="N2346">
        <f>LN(dataset[[#This Row],[soda_units_sold]])</f>
        <v>12.359535946309432</v>
      </c>
      <c r="O2346">
        <f>LN(dataset[[#This Row],[soda_sales]])</f>
        <v>12.074279876623132</v>
      </c>
      <c r="P2346">
        <f>LN(dataset[[#This Row],[soda_ppu]])</f>
        <v>-0.28528494785205938</v>
      </c>
      <c r="Q2346">
        <f>IF(dataset[[#This Row],[state]]="VA",1,0)</f>
        <v>0</v>
      </c>
    </row>
    <row r="2347" spans="1:17" x14ac:dyDescent="0.35">
      <c r="A2347">
        <v>202206</v>
      </c>
      <c r="B2347">
        <v>60</v>
      </c>
      <c r="C2347" s="2">
        <v>2673203.5129</v>
      </c>
      <c r="D2347" s="2">
        <v>0.69230000000000003</v>
      </c>
      <c r="E2347" s="3">
        <v>260474</v>
      </c>
      <c r="F2347" s="2">
        <v>180326.42499999999</v>
      </c>
      <c r="G2347" t="s">
        <v>1522</v>
      </c>
      <c r="H2347" t="s">
        <v>7</v>
      </c>
      <c r="I2347">
        <f>HLOOKUP(G2347,zip_tiers!$A$1:$EON$2,2,FALSE)</f>
        <v>84558.333333333328</v>
      </c>
      <c r="J2347" t="str">
        <f t="shared" si="36"/>
        <v>Med</v>
      </c>
      <c r="K2347">
        <f>dataset[[#This Row],[soda_sales]]/dataset[[#This Row],[soda_units_sold]]</f>
        <v>0.69230105499973127</v>
      </c>
      <c r="L2347" s="29">
        <f>dataset[[#This Row],[implied_soda_ppu]]-dataset[[#This Row],[soda_ppu]]</f>
        <v>1.0549997312425674E-6</v>
      </c>
      <c r="M2347">
        <f>dataset[[#This Row],[soda_sales]]/dataset[[#This Row],[total_sales]]</f>
        <v>6.7457050736991792E-2</v>
      </c>
      <c r="N2347">
        <f>LN(dataset[[#This Row],[soda_units_sold]])</f>
        <v>12.470258327132981</v>
      </c>
      <c r="O2347">
        <f>LN(dataset[[#This Row],[soda_sales]])</f>
        <v>12.102523959739097</v>
      </c>
      <c r="P2347">
        <f>LN(dataset[[#This Row],[soda_ppu]])</f>
        <v>-0.36773589129815726</v>
      </c>
      <c r="Q2347">
        <f>IF(dataset[[#This Row],[state]]="VA",1,0)</f>
        <v>0</v>
      </c>
    </row>
    <row r="2348" spans="1:17" x14ac:dyDescent="0.35">
      <c r="A2348">
        <v>202207</v>
      </c>
      <c r="B2348">
        <v>60</v>
      </c>
      <c r="C2348" s="2">
        <v>2556664.8223999999</v>
      </c>
      <c r="D2348" s="2">
        <v>0.72860000000000003</v>
      </c>
      <c r="E2348" s="3">
        <v>258179</v>
      </c>
      <c r="F2348" s="2">
        <v>188110.28</v>
      </c>
      <c r="G2348" t="s">
        <v>1522</v>
      </c>
      <c r="H2348" t="s">
        <v>7</v>
      </c>
      <c r="I2348">
        <f>HLOOKUP(G2348,zip_tiers!$A$1:$EON$2,2,FALSE)</f>
        <v>84558.333333333328</v>
      </c>
      <c r="J2348" t="str">
        <f t="shared" si="36"/>
        <v>Med</v>
      </c>
      <c r="K2348">
        <f>dataset[[#This Row],[soda_sales]]/dataset[[#This Row],[soda_units_sold]]</f>
        <v>0.72860410800258735</v>
      </c>
      <c r="L2348" s="29">
        <f>dataset[[#This Row],[implied_soda_ppu]]-dataset[[#This Row],[soda_ppu]]</f>
        <v>4.1080025873219128E-6</v>
      </c>
      <c r="M2348">
        <f>dataset[[#This Row],[soda_sales]]/dataset[[#This Row],[total_sales]]</f>
        <v>7.3576433778838699E-2</v>
      </c>
      <c r="N2348">
        <f>LN(dataset[[#This Row],[soda_units_sold]])</f>
        <v>12.461408421786485</v>
      </c>
      <c r="O2348">
        <f>LN(dataset[[#This Row],[soda_sales]])</f>
        <v>12.144783665576735</v>
      </c>
      <c r="P2348">
        <f>LN(dataset[[#This Row],[soda_ppu]])</f>
        <v>-0.3166303944076736</v>
      </c>
      <c r="Q2348">
        <f>IF(dataset[[#This Row],[state]]="VA",1,0)</f>
        <v>0</v>
      </c>
    </row>
    <row r="2349" spans="1:17" x14ac:dyDescent="0.35">
      <c r="A2349">
        <v>202208</v>
      </c>
      <c r="B2349">
        <v>60</v>
      </c>
      <c r="C2349" s="2">
        <v>2466236.5033999998</v>
      </c>
      <c r="D2349" s="2">
        <v>0.71079999999999999</v>
      </c>
      <c r="E2349" s="3">
        <v>231829</v>
      </c>
      <c r="F2349" s="2">
        <v>164782.51139999999</v>
      </c>
      <c r="G2349" t="s">
        <v>1522</v>
      </c>
      <c r="H2349" t="s">
        <v>7</v>
      </c>
      <c r="I2349">
        <f>HLOOKUP(G2349,zip_tiers!$A$1:$EON$2,2,FALSE)</f>
        <v>84558.333333333328</v>
      </c>
      <c r="J2349" t="str">
        <f t="shared" si="36"/>
        <v>Med</v>
      </c>
      <c r="K2349">
        <f>dataset[[#This Row],[soda_sales]]/dataset[[#This Row],[soda_units_sold]]</f>
        <v>0.71079334940840011</v>
      </c>
      <c r="L2349" s="29">
        <f>dataset[[#This Row],[implied_soda_ppu]]-dataset[[#This Row],[soda_ppu]]</f>
        <v>-6.6505915998771314E-6</v>
      </c>
      <c r="M2349">
        <f>dataset[[#This Row],[soda_sales]]/dataset[[#This Row],[total_sales]]</f>
        <v>6.6815372805011902E-2</v>
      </c>
      <c r="N2349">
        <f>LN(dataset[[#This Row],[soda_units_sold]])</f>
        <v>12.35375530991405</v>
      </c>
      <c r="O2349">
        <f>LN(dataset[[#This Row],[soda_sales]])</f>
        <v>12.012381770680737</v>
      </c>
      <c r="P2349">
        <f>LN(dataset[[#This Row],[soda_ppu]])</f>
        <v>-0.34136418270164082</v>
      </c>
      <c r="Q2349">
        <f>IF(dataset[[#This Row],[state]]="VA",1,0)</f>
        <v>0</v>
      </c>
    </row>
    <row r="2350" spans="1:17" x14ac:dyDescent="0.35">
      <c r="A2350">
        <v>202209</v>
      </c>
      <c r="B2350">
        <v>60</v>
      </c>
      <c r="C2350" s="2">
        <v>2450788.7431000001</v>
      </c>
      <c r="D2350" s="2">
        <v>0.74539999999999995</v>
      </c>
      <c r="E2350" s="3">
        <v>211326</v>
      </c>
      <c r="F2350" s="2">
        <v>157518.55850000001</v>
      </c>
      <c r="G2350" t="s">
        <v>1522</v>
      </c>
      <c r="H2350" t="s">
        <v>7</v>
      </c>
      <c r="I2350">
        <f>HLOOKUP(G2350,zip_tiers!$A$1:$EON$2,2,FALSE)</f>
        <v>84558.333333333328</v>
      </c>
      <c r="J2350" t="str">
        <f t="shared" si="36"/>
        <v>Med</v>
      </c>
      <c r="K2350">
        <f>dataset[[#This Row],[soda_sales]]/dataset[[#This Row],[soda_units_sold]]</f>
        <v>0.74538182003161002</v>
      </c>
      <c r="L2350" s="29">
        <f>dataset[[#This Row],[implied_soda_ppu]]-dataset[[#This Row],[soda_ppu]]</f>
        <v>-1.8179968389930856E-5</v>
      </c>
      <c r="M2350">
        <f>dataset[[#This Row],[soda_sales]]/dataset[[#This Row],[total_sales]]</f>
        <v>6.4272597523340566E-2</v>
      </c>
      <c r="N2350">
        <f>LN(dataset[[#This Row],[soda_units_sold]])</f>
        <v>12.261157243833726</v>
      </c>
      <c r="O2350">
        <f>LN(dataset[[#This Row],[soda_sales]])</f>
        <v>11.967298562052243</v>
      </c>
      <c r="P2350">
        <f>LN(dataset[[#This Row],[soda_ppu]])</f>
        <v>-0.29383429193697908</v>
      </c>
      <c r="Q2350">
        <f>IF(dataset[[#This Row],[state]]="VA",1,0)</f>
        <v>0</v>
      </c>
    </row>
    <row r="2351" spans="1:17" x14ac:dyDescent="0.35">
      <c r="A2351">
        <v>202210</v>
      </c>
      <c r="B2351">
        <v>60</v>
      </c>
      <c r="C2351" s="2">
        <v>2952490.3147999998</v>
      </c>
      <c r="D2351" s="2">
        <v>0.74360000000000004</v>
      </c>
      <c r="E2351" s="3">
        <v>200268</v>
      </c>
      <c r="F2351" s="2">
        <v>148927.139</v>
      </c>
      <c r="G2351" t="s">
        <v>1522</v>
      </c>
      <c r="H2351" t="s">
        <v>7</v>
      </c>
      <c r="I2351">
        <f>HLOOKUP(G2351,zip_tiers!$A$1:$EON$2,2,FALSE)</f>
        <v>84558.333333333328</v>
      </c>
      <c r="J2351" t="str">
        <f t="shared" si="36"/>
        <v>Med</v>
      </c>
      <c r="K2351">
        <f>dataset[[#This Row],[soda_sales]]/dataset[[#This Row],[soda_units_sold]]</f>
        <v>0.74363921844728065</v>
      </c>
      <c r="L2351" s="29">
        <f>dataset[[#This Row],[implied_soda_ppu]]-dataset[[#This Row],[soda_ppu]]</f>
        <v>3.921844728060897E-5</v>
      </c>
      <c r="M2351">
        <f>dataset[[#This Row],[soda_sales]]/dataset[[#This Row],[total_sales]]</f>
        <v>5.0441194761408806E-2</v>
      </c>
      <c r="N2351">
        <f>LN(dataset[[#This Row],[soda_units_sold]])</f>
        <v>12.207411748531403</v>
      </c>
      <c r="O2351">
        <f>LN(dataset[[#This Row],[soda_sales]])</f>
        <v>11.911212465328106</v>
      </c>
      <c r="P2351">
        <f>LN(dataset[[#This Row],[soda_ppu]])</f>
        <v>-0.29625202313484805</v>
      </c>
      <c r="Q2351">
        <f>IF(dataset[[#This Row],[state]]="VA",1,0)</f>
        <v>0</v>
      </c>
    </row>
    <row r="2352" spans="1:17" x14ac:dyDescent="0.35">
      <c r="A2352">
        <v>202211</v>
      </c>
      <c r="B2352">
        <v>60</v>
      </c>
      <c r="C2352" s="2">
        <v>3408888.3092</v>
      </c>
      <c r="D2352" s="2">
        <v>0.71899999999999997</v>
      </c>
      <c r="E2352" s="3">
        <v>198805</v>
      </c>
      <c r="F2352" s="2">
        <v>142949.24460000001</v>
      </c>
      <c r="G2352" t="s">
        <v>1522</v>
      </c>
      <c r="H2352" t="s">
        <v>7</v>
      </c>
      <c r="I2352">
        <f>HLOOKUP(G2352,zip_tiers!$A$1:$EON$2,2,FALSE)</f>
        <v>84558.333333333328</v>
      </c>
      <c r="J2352" t="str">
        <f t="shared" si="36"/>
        <v>Med</v>
      </c>
      <c r="K2352">
        <f>dataset[[#This Row],[soda_sales]]/dataset[[#This Row],[soda_units_sold]]</f>
        <v>0.71904250194914621</v>
      </c>
      <c r="L2352" s="29">
        <f>dataset[[#This Row],[implied_soda_ppu]]-dataset[[#This Row],[soda_ppu]]</f>
        <v>4.2501949146234175E-5</v>
      </c>
      <c r="M2352">
        <f>dataset[[#This Row],[soda_sales]]/dataset[[#This Row],[total_sales]]</f>
        <v>4.1934270540400137E-2</v>
      </c>
      <c r="N2352">
        <f>LN(dataset[[#This Row],[soda_units_sold]])</f>
        <v>12.200079723793765</v>
      </c>
      <c r="O2352">
        <f>LN(dataset[[#This Row],[soda_sales]])</f>
        <v>11.870244913371334</v>
      </c>
      <c r="P2352">
        <f>LN(dataset[[#This Row],[soda_ppu]])</f>
        <v>-0.32989392126109041</v>
      </c>
      <c r="Q2352">
        <f>IF(dataset[[#This Row],[state]]="VA",1,0)</f>
        <v>0</v>
      </c>
    </row>
    <row r="2353" spans="1:17" x14ac:dyDescent="0.35">
      <c r="A2353">
        <v>202212</v>
      </c>
      <c r="B2353">
        <v>60</v>
      </c>
      <c r="C2353" s="2">
        <v>3521170.4572999999</v>
      </c>
      <c r="D2353" s="2">
        <v>0.70150000000000001</v>
      </c>
      <c r="E2353" s="3">
        <v>195928</v>
      </c>
      <c r="F2353" s="2">
        <v>137450.5681</v>
      </c>
      <c r="G2353" t="s">
        <v>1522</v>
      </c>
      <c r="H2353" t="s">
        <v>7</v>
      </c>
      <c r="I2353">
        <f>HLOOKUP(G2353,zip_tiers!$A$1:$EON$2,2,FALSE)</f>
        <v>84558.333333333328</v>
      </c>
      <c r="J2353" t="str">
        <f t="shared" si="36"/>
        <v>Med</v>
      </c>
      <c r="K2353">
        <f>dataset[[#This Row],[soda_sales]]/dataset[[#This Row],[soda_units_sold]]</f>
        <v>0.70153611581805564</v>
      </c>
      <c r="L2353" s="29">
        <f>dataset[[#This Row],[implied_soda_ppu]]-dataset[[#This Row],[soda_ppu]]</f>
        <v>3.611581805562647E-5</v>
      </c>
      <c r="M2353">
        <f>dataset[[#This Row],[soda_sales]]/dataset[[#This Row],[total_sales]]</f>
        <v>3.9035476915081184E-2</v>
      </c>
      <c r="N2353">
        <f>LN(dataset[[#This Row],[soda_units_sold]])</f>
        <v>12.185502523785464</v>
      </c>
      <c r="O2353">
        <f>LN(dataset[[#This Row],[soda_sales]])</f>
        <v>11.831019626724174</v>
      </c>
      <c r="P2353">
        <f>LN(dataset[[#This Row],[soda_ppu]])</f>
        <v>-0.35453437943962141</v>
      </c>
      <c r="Q2353">
        <f>IF(dataset[[#This Row],[state]]="VA",1,0)</f>
        <v>0</v>
      </c>
    </row>
    <row r="2354" spans="1:17" x14ac:dyDescent="0.35">
      <c r="A2354">
        <v>202301</v>
      </c>
      <c r="B2354">
        <v>60</v>
      </c>
      <c r="C2354" s="2">
        <v>2005680.5299</v>
      </c>
      <c r="D2354" s="2">
        <v>0.74580000000000002</v>
      </c>
      <c r="E2354" s="3">
        <v>138309</v>
      </c>
      <c r="F2354" s="2">
        <v>103144.72870000001</v>
      </c>
      <c r="G2354" t="s">
        <v>1522</v>
      </c>
      <c r="H2354" t="s">
        <v>7</v>
      </c>
      <c r="I2354">
        <f>HLOOKUP(G2354,zip_tiers!$A$1:$EON$2,2,FALSE)</f>
        <v>84558.333333333328</v>
      </c>
      <c r="J2354" t="str">
        <f t="shared" si="36"/>
        <v>Med</v>
      </c>
      <c r="K2354">
        <f>dataset[[#This Row],[soda_sales]]/dataset[[#This Row],[soda_units_sold]]</f>
        <v>0.74575572594697381</v>
      </c>
      <c r="L2354" s="29">
        <f>dataset[[#This Row],[implied_soda_ppu]]-dataset[[#This Row],[soda_ppu]]</f>
        <v>-4.4274053026205351E-5</v>
      </c>
      <c r="M2354">
        <f>dataset[[#This Row],[soda_sales]]/dataset[[#This Row],[total_sales]]</f>
        <v>5.1426300032509482E-2</v>
      </c>
      <c r="N2354">
        <f>LN(dataset[[#This Row],[soda_units_sold]])</f>
        <v>11.837245591457412</v>
      </c>
      <c r="O2354">
        <f>LN(dataset[[#This Row],[soda_sales]])</f>
        <v>11.543888413945885</v>
      </c>
      <c r="P2354">
        <f>LN(dataset[[#This Row],[soda_ppu]])</f>
        <v>-0.29329781123741661</v>
      </c>
      <c r="Q2354">
        <f>IF(dataset[[#This Row],[state]]="VA",1,0)</f>
        <v>0</v>
      </c>
    </row>
    <row r="2355" spans="1:17" x14ac:dyDescent="0.35">
      <c r="A2355">
        <v>202302</v>
      </c>
      <c r="B2355">
        <v>60</v>
      </c>
      <c r="C2355" s="2">
        <v>2316685.7774999999</v>
      </c>
      <c r="D2355" s="2">
        <v>0.74809999999999999</v>
      </c>
      <c r="E2355" s="3">
        <v>155495</v>
      </c>
      <c r="F2355" s="2">
        <v>116330.8201</v>
      </c>
      <c r="G2355" t="s">
        <v>1522</v>
      </c>
      <c r="H2355" t="s">
        <v>7</v>
      </c>
      <c r="I2355">
        <f>HLOOKUP(G2355,zip_tiers!$A$1:$EON$2,2,FALSE)</f>
        <v>84558.333333333328</v>
      </c>
      <c r="J2355" t="str">
        <f t="shared" si="36"/>
        <v>Med</v>
      </c>
      <c r="K2355">
        <f>dataset[[#This Row],[soda_sales]]/dataset[[#This Row],[soda_units_sold]]</f>
        <v>0.74813222354416542</v>
      </c>
      <c r="L2355" s="29">
        <f>dataset[[#This Row],[implied_soda_ppu]]-dataset[[#This Row],[soda_ppu]]</f>
        <v>3.2223544165432827E-5</v>
      </c>
      <c r="M2355">
        <f>dataset[[#This Row],[soda_sales]]/dataset[[#This Row],[total_sales]]</f>
        <v>5.0214328257125927E-2</v>
      </c>
      <c r="N2355">
        <f>LN(dataset[[#This Row],[soda_units_sold]])</f>
        <v>11.954368855743628</v>
      </c>
      <c r="O2355">
        <f>LN(dataset[[#This Row],[soda_sales]])</f>
        <v>11.664193308558163</v>
      </c>
      <c r="P2355">
        <f>LN(dataset[[#This Row],[soda_ppu]])</f>
        <v>-0.29021862010377786</v>
      </c>
      <c r="Q2355">
        <f>IF(dataset[[#This Row],[state]]="VA",1,0)</f>
        <v>0</v>
      </c>
    </row>
    <row r="2356" spans="1:17" x14ac:dyDescent="0.35">
      <c r="A2356">
        <v>202303</v>
      </c>
      <c r="B2356">
        <v>60</v>
      </c>
      <c r="C2356" s="2">
        <v>2631308.2381000002</v>
      </c>
      <c r="D2356" s="2">
        <v>0.74580000000000002</v>
      </c>
      <c r="E2356" s="3">
        <v>187544</v>
      </c>
      <c r="F2356" s="2">
        <v>139879.1269</v>
      </c>
      <c r="G2356" t="s">
        <v>1522</v>
      </c>
      <c r="H2356" t="s">
        <v>7</v>
      </c>
      <c r="I2356">
        <f>HLOOKUP(G2356,zip_tiers!$A$1:$EON$2,2,FALSE)</f>
        <v>84558.333333333328</v>
      </c>
      <c r="J2356" t="str">
        <f t="shared" si="36"/>
        <v>Med</v>
      </c>
      <c r="K2356">
        <f>dataset[[#This Row],[soda_sales]]/dataset[[#This Row],[soda_units_sold]]</f>
        <v>0.74584698470758859</v>
      </c>
      <c r="L2356" s="29">
        <f>dataset[[#This Row],[implied_soda_ppu]]-dataset[[#This Row],[soda_ppu]]</f>
        <v>4.6984707588570984E-5</v>
      </c>
      <c r="M2356">
        <f>dataset[[#This Row],[soda_sales]]/dataset[[#This Row],[total_sales]]</f>
        <v>5.3159536718131936E-2</v>
      </c>
      <c r="N2356">
        <f>LN(dataset[[#This Row],[soda_units_sold]])</f>
        <v>12.141768763529354</v>
      </c>
      <c r="O2356">
        <f>LN(dataset[[#This Row],[soda_sales]])</f>
        <v>11.848533949379165</v>
      </c>
      <c r="P2356">
        <f>LN(dataset[[#This Row],[soda_ppu]])</f>
        <v>-0.29329781123741661</v>
      </c>
      <c r="Q2356">
        <f>IF(dataset[[#This Row],[state]]="VA",1,0)</f>
        <v>0</v>
      </c>
    </row>
    <row r="2357" spans="1:17" x14ac:dyDescent="0.35">
      <c r="A2357">
        <v>202304</v>
      </c>
      <c r="B2357">
        <v>60</v>
      </c>
      <c r="C2357" s="2">
        <v>2749480.8587000002</v>
      </c>
      <c r="D2357" s="2">
        <v>0.75880000000000003</v>
      </c>
      <c r="E2357" s="3">
        <v>215055</v>
      </c>
      <c r="F2357" s="2">
        <v>163194.3118</v>
      </c>
      <c r="G2357" t="s">
        <v>1522</v>
      </c>
      <c r="H2357" t="s">
        <v>7</v>
      </c>
      <c r="I2357">
        <f>HLOOKUP(G2357,zip_tiers!$A$1:$EON$2,2,FALSE)</f>
        <v>84558.333333333328</v>
      </c>
      <c r="J2357" t="str">
        <f t="shared" si="36"/>
        <v>Med</v>
      </c>
      <c r="K2357">
        <f>dataset[[#This Row],[soda_sales]]/dataset[[#This Row],[soda_units_sold]]</f>
        <v>0.7588491864871777</v>
      </c>
      <c r="L2357" s="29">
        <f>dataset[[#This Row],[implied_soda_ppu]]-dataset[[#This Row],[soda_ppu]]</f>
        <v>4.9186487177665938E-5</v>
      </c>
      <c r="M2357">
        <f>dataset[[#This Row],[soda_sales]]/dataset[[#This Row],[total_sales]]</f>
        <v>5.935459098891889E-2</v>
      </c>
      <c r="N2357">
        <f>LN(dataset[[#This Row],[soda_units_sold]])</f>
        <v>12.278649088348478</v>
      </c>
      <c r="O2357">
        <f>LN(dataset[[#This Row],[soda_sales]])</f>
        <v>12.002696866738056</v>
      </c>
      <c r="P2357">
        <f>LN(dataset[[#This Row],[soda_ppu]])</f>
        <v>-0.27601704092127788</v>
      </c>
      <c r="Q2357">
        <f>IF(dataset[[#This Row],[state]]="VA",1,0)</f>
        <v>0</v>
      </c>
    </row>
    <row r="2358" spans="1:17" x14ac:dyDescent="0.35">
      <c r="A2358">
        <v>202305</v>
      </c>
      <c r="B2358">
        <v>60</v>
      </c>
      <c r="C2358" s="2">
        <v>2884856.5287000001</v>
      </c>
      <c r="D2358" s="2">
        <v>0.72960000000000003</v>
      </c>
      <c r="E2358" s="3">
        <v>246450</v>
      </c>
      <c r="F2358" s="2">
        <v>179807.92449999999</v>
      </c>
      <c r="G2358" t="s">
        <v>1522</v>
      </c>
      <c r="H2358" t="s">
        <v>7</v>
      </c>
      <c r="I2358">
        <f>HLOOKUP(G2358,zip_tiers!$A$1:$EON$2,2,FALSE)</f>
        <v>84558.333333333328</v>
      </c>
      <c r="J2358" t="str">
        <f t="shared" si="36"/>
        <v>Med</v>
      </c>
      <c r="K2358">
        <f>dataset[[#This Row],[soda_sales]]/dataset[[#This Row],[soda_units_sold]]</f>
        <v>0.72959190302292554</v>
      </c>
      <c r="L2358" s="29">
        <f>dataset[[#This Row],[implied_soda_ppu]]-dataset[[#This Row],[soda_ppu]]</f>
        <v>-8.0969770744898639E-6</v>
      </c>
      <c r="M2358">
        <f>dataset[[#This Row],[soda_sales]]/dataset[[#This Row],[total_sales]]</f>
        <v>6.2328203399781082E-2</v>
      </c>
      <c r="N2358">
        <f>LN(dataset[[#This Row],[soda_units_sold]])</f>
        <v>12.414914412133523</v>
      </c>
      <c r="O2358">
        <f>LN(dataset[[#This Row],[soda_sales]])</f>
        <v>12.099644474019508</v>
      </c>
      <c r="P2358">
        <f>LN(dataset[[#This Row],[soda_ppu]])</f>
        <v>-0.31525884022201539</v>
      </c>
      <c r="Q2358">
        <f>IF(dataset[[#This Row],[state]]="VA",1,0)</f>
        <v>0</v>
      </c>
    </row>
    <row r="2359" spans="1:17" x14ac:dyDescent="0.35">
      <c r="A2359">
        <v>202306</v>
      </c>
      <c r="B2359">
        <v>60</v>
      </c>
      <c r="C2359" s="2">
        <v>2729385.1904000002</v>
      </c>
      <c r="D2359" s="2">
        <v>0.75049999999999994</v>
      </c>
      <c r="E2359" s="3">
        <v>248126</v>
      </c>
      <c r="F2359" s="2">
        <v>186225.24859999999</v>
      </c>
      <c r="G2359" t="s">
        <v>1522</v>
      </c>
      <c r="H2359" t="s">
        <v>7</v>
      </c>
      <c r="I2359">
        <f>HLOOKUP(G2359,zip_tiers!$A$1:$EON$2,2,FALSE)</f>
        <v>84558.333333333328</v>
      </c>
      <c r="J2359" t="str">
        <f t="shared" si="36"/>
        <v>Med</v>
      </c>
      <c r="K2359">
        <f>dataset[[#This Row],[soda_sales]]/dataset[[#This Row],[soda_units_sold]]</f>
        <v>0.7505269443750352</v>
      </c>
      <c r="L2359" s="29">
        <f>dataset[[#This Row],[implied_soda_ppu]]-dataset[[#This Row],[soda_ppu]]</f>
        <v>2.694437503525382E-5</v>
      </c>
      <c r="M2359">
        <f>dataset[[#This Row],[soda_sales]]/dataset[[#This Row],[total_sales]]</f>
        <v>6.8229742454456593E-2</v>
      </c>
      <c r="N2359">
        <f>LN(dataset[[#This Row],[soda_units_sold]])</f>
        <v>12.421691960642171</v>
      </c>
      <c r="O2359">
        <f>LN(dataset[[#This Row],[soda_sales]])</f>
        <v>12.134712233987873</v>
      </c>
      <c r="P2359">
        <f>LN(dataset[[#This Row],[soda_ppu]])</f>
        <v>-0.28701562790862051</v>
      </c>
      <c r="Q2359">
        <f>IF(dataset[[#This Row],[state]]="VA",1,0)</f>
        <v>0</v>
      </c>
    </row>
    <row r="2360" spans="1:17" x14ac:dyDescent="0.35">
      <c r="A2360">
        <v>202307</v>
      </c>
      <c r="B2360">
        <v>60</v>
      </c>
      <c r="C2360" s="2">
        <v>2607706.6587999999</v>
      </c>
      <c r="D2360" s="2">
        <v>0.78090000000000004</v>
      </c>
      <c r="E2360" s="3">
        <v>244220</v>
      </c>
      <c r="F2360" s="2">
        <v>190721.6047</v>
      </c>
      <c r="G2360" t="s">
        <v>1522</v>
      </c>
      <c r="H2360" t="s">
        <v>7</v>
      </c>
      <c r="I2360">
        <f>HLOOKUP(G2360,zip_tiers!$A$1:$EON$2,2,FALSE)</f>
        <v>84558.333333333328</v>
      </c>
      <c r="J2360" t="str">
        <f t="shared" si="36"/>
        <v>Med</v>
      </c>
      <c r="K2360">
        <f>dataset[[#This Row],[soda_sales]]/dataset[[#This Row],[soda_units_sold]]</f>
        <v>0.78094179305544176</v>
      </c>
      <c r="L2360" s="29">
        <f>dataset[[#This Row],[implied_soda_ppu]]-dataset[[#This Row],[soda_ppu]]</f>
        <v>4.1793055441718963E-5</v>
      </c>
      <c r="M2360">
        <f>dataset[[#This Row],[soda_sales]]/dataset[[#This Row],[total_sales]]</f>
        <v>7.3137675994494417E-2</v>
      </c>
      <c r="N2360">
        <f>LN(dataset[[#This Row],[soda_units_sold]])</f>
        <v>12.405824737387013</v>
      </c>
      <c r="O2360">
        <f>LN(dataset[[#This Row],[soda_sales]])</f>
        <v>12.158570076728926</v>
      </c>
      <c r="P2360">
        <f>LN(dataset[[#This Row],[soda_ppu]])</f>
        <v>-0.24730817831350763</v>
      </c>
      <c r="Q2360">
        <f>IF(dataset[[#This Row],[state]]="VA",1,0)</f>
        <v>0</v>
      </c>
    </row>
    <row r="2361" spans="1:17" x14ac:dyDescent="0.35">
      <c r="A2361">
        <v>202308</v>
      </c>
      <c r="B2361">
        <v>60</v>
      </c>
      <c r="C2361" s="2">
        <v>2454356.3237999999</v>
      </c>
      <c r="D2361" s="2">
        <v>0.78120000000000001</v>
      </c>
      <c r="E2361" s="3">
        <v>211674</v>
      </c>
      <c r="F2361" s="2">
        <v>165367.50829999999</v>
      </c>
      <c r="G2361" t="s">
        <v>1522</v>
      </c>
      <c r="H2361" t="s">
        <v>7</v>
      </c>
      <c r="I2361">
        <f>HLOOKUP(G2361,zip_tiers!$A$1:$EON$2,2,FALSE)</f>
        <v>84558.333333333328</v>
      </c>
      <c r="J2361" t="str">
        <f t="shared" si="36"/>
        <v>Med</v>
      </c>
      <c r="K2361">
        <f>dataset[[#This Row],[soda_sales]]/dataset[[#This Row],[soda_units_sold]]</f>
        <v>0.78123675227</v>
      </c>
      <c r="L2361" s="29">
        <f>dataset[[#This Row],[implied_soda_ppu]]-dataset[[#This Row],[soda_ppu]]</f>
        <v>3.675226999999559E-5</v>
      </c>
      <c r="M2361">
        <f>dataset[[#This Row],[soda_sales]]/dataset[[#This Row],[total_sales]]</f>
        <v>6.7377139454619553E-2</v>
      </c>
      <c r="N2361">
        <f>LN(dataset[[#This Row],[soda_units_sold]])</f>
        <v>12.262802634275863</v>
      </c>
      <c r="O2361">
        <f>LN(dataset[[#This Row],[soda_sales]])</f>
        <v>12.015925599106165</v>
      </c>
      <c r="P2361">
        <f>LN(dataset[[#This Row],[soda_ppu]])</f>
        <v>-0.24692407997961319</v>
      </c>
      <c r="Q2361">
        <f>IF(dataset[[#This Row],[state]]="VA",1,0)</f>
        <v>0</v>
      </c>
    </row>
    <row r="2362" spans="1:17" x14ac:dyDescent="0.35">
      <c r="A2362">
        <v>202309</v>
      </c>
      <c r="B2362">
        <v>60</v>
      </c>
      <c r="C2362" s="2">
        <v>2490553.6024000002</v>
      </c>
      <c r="D2362" s="2">
        <v>0.77559999999999996</v>
      </c>
      <c r="E2362" s="3">
        <v>207513</v>
      </c>
      <c r="F2362" s="2">
        <v>160950.35200000001</v>
      </c>
      <c r="G2362" t="s">
        <v>1522</v>
      </c>
      <c r="H2362" t="s">
        <v>7</v>
      </c>
      <c r="I2362">
        <f>HLOOKUP(G2362,zip_tiers!$A$1:$EON$2,2,FALSE)</f>
        <v>84558.333333333328</v>
      </c>
      <c r="J2362" t="str">
        <f t="shared" si="36"/>
        <v>Med</v>
      </c>
      <c r="K2362">
        <f>dataset[[#This Row],[soda_sales]]/dataset[[#This Row],[soda_units_sold]]</f>
        <v>0.7756157541937132</v>
      </c>
      <c r="L2362" s="29">
        <f>dataset[[#This Row],[implied_soda_ppu]]-dataset[[#This Row],[soda_ppu]]</f>
        <v>1.57541937132466E-5</v>
      </c>
      <c r="M2362">
        <f>dataset[[#This Row],[soda_sales]]/dataset[[#This Row],[total_sales]]</f>
        <v>6.4624327637398213E-2</v>
      </c>
      <c r="N2362">
        <f>LN(dataset[[#This Row],[soda_units_sold]])</f>
        <v>12.242949267292833</v>
      </c>
      <c r="O2362">
        <f>LN(dataset[[#This Row],[soda_sales]])</f>
        <v>11.988851223739164</v>
      </c>
      <c r="P2362">
        <f>LN(dataset[[#This Row],[soda_ppu]])</f>
        <v>-0.25411835561364038</v>
      </c>
      <c r="Q2362">
        <f>IF(dataset[[#This Row],[state]]="VA",1,0)</f>
        <v>0</v>
      </c>
    </row>
    <row r="2363" spans="1:17" x14ac:dyDescent="0.35">
      <c r="A2363">
        <v>202310</v>
      </c>
      <c r="B2363">
        <v>60</v>
      </c>
      <c r="C2363" s="2">
        <v>3042260.4953999999</v>
      </c>
      <c r="D2363" s="2">
        <v>0.78949999999999998</v>
      </c>
      <c r="E2363" s="3">
        <v>198026</v>
      </c>
      <c r="F2363" s="2">
        <v>156339.08170000001</v>
      </c>
      <c r="G2363" t="s">
        <v>1522</v>
      </c>
      <c r="H2363" t="s">
        <v>7</v>
      </c>
      <c r="I2363">
        <f>HLOOKUP(G2363,zip_tiers!$A$1:$EON$2,2,FALSE)</f>
        <v>84558.333333333328</v>
      </c>
      <c r="J2363" t="str">
        <f t="shared" si="36"/>
        <v>Med</v>
      </c>
      <c r="K2363">
        <f>dataset[[#This Row],[soda_sales]]/dataset[[#This Row],[soda_units_sold]]</f>
        <v>0.78948765162150425</v>
      </c>
      <c r="L2363" s="29">
        <f>dataset[[#This Row],[implied_soda_ppu]]-dataset[[#This Row],[soda_ppu]]</f>
        <v>-1.2348378495730117E-5</v>
      </c>
      <c r="M2363">
        <f>dataset[[#This Row],[soda_sales]]/dataset[[#This Row],[total_sales]]</f>
        <v>5.1389117380444556E-2</v>
      </c>
      <c r="N2363">
        <f>LN(dataset[[#This Row],[soda_units_sold]])</f>
        <v>12.196153614187171</v>
      </c>
      <c r="O2363">
        <f>LN(dataset[[#This Row],[soda_sales]])</f>
        <v>11.959782528020343</v>
      </c>
      <c r="P2363">
        <f>LN(dataset[[#This Row],[soda_ppu]])</f>
        <v>-0.23635544528644029</v>
      </c>
      <c r="Q2363">
        <f>IF(dataset[[#This Row],[state]]="VA",1,0)</f>
        <v>0</v>
      </c>
    </row>
    <row r="2364" spans="1:17" x14ac:dyDescent="0.35">
      <c r="A2364">
        <v>202311</v>
      </c>
      <c r="B2364">
        <v>60</v>
      </c>
      <c r="C2364" s="2">
        <v>3487657.1661</v>
      </c>
      <c r="D2364" s="2">
        <v>0.79830000000000001</v>
      </c>
      <c r="E2364" s="3">
        <v>188266</v>
      </c>
      <c r="F2364" s="2">
        <v>150293.53580000001</v>
      </c>
      <c r="G2364" t="s">
        <v>1522</v>
      </c>
      <c r="H2364" t="s">
        <v>7</v>
      </c>
      <c r="I2364">
        <f>HLOOKUP(G2364,zip_tiers!$A$1:$EON$2,2,FALSE)</f>
        <v>84558.333333333328</v>
      </c>
      <c r="J2364" t="str">
        <f t="shared" si="36"/>
        <v>Med</v>
      </c>
      <c r="K2364">
        <f>dataset[[#This Row],[soda_sales]]/dataset[[#This Row],[soda_units_sold]]</f>
        <v>0.79830418556722937</v>
      </c>
      <c r="L2364" s="29">
        <f>dataset[[#This Row],[implied_soda_ppu]]-dataset[[#This Row],[soda_ppu]]</f>
        <v>4.185567229364473E-6</v>
      </c>
      <c r="M2364">
        <f>dataset[[#This Row],[soda_sales]]/dataset[[#This Row],[total_sales]]</f>
        <v>4.3092978650783681E-2</v>
      </c>
      <c r="N2364">
        <f>LN(dataset[[#This Row],[soda_units_sold]])</f>
        <v>12.145611135410302</v>
      </c>
      <c r="O2364">
        <f>LN(dataset[[#This Row],[soda_sales]])</f>
        <v>11.9203455661668</v>
      </c>
      <c r="P2364">
        <f>LN(dataset[[#This Row],[soda_ppu]])</f>
        <v>-0.22527081233038385</v>
      </c>
      <c r="Q2364">
        <f>IF(dataset[[#This Row],[state]]="VA",1,0)</f>
        <v>0</v>
      </c>
    </row>
    <row r="2365" spans="1:17" x14ac:dyDescent="0.35">
      <c r="A2365">
        <v>202312</v>
      </c>
      <c r="B2365">
        <v>60</v>
      </c>
      <c r="C2365" s="2">
        <v>3583542.7971000001</v>
      </c>
      <c r="D2365" s="2">
        <v>0.78639999999999999</v>
      </c>
      <c r="E2365" s="3">
        <v>181257</v>
      </c>
      <c r="F2365" s="2">
        <v>142548.78090000001</v>
      </c>
      <c r="G2365" t="s">
        <v>1522</v>
      </c>
      <c r="H2365" t="s">
        <v>7</v>
      </c>
      <c r="I2365">
        <f>HLOOKUP(G2365,zip_tiers!$A$1:$EON$2,2,FALSE)</f>
        <v>84558.333333333328</v>
      </c>
      <c r="J2365" t="str">
        <f t="shared" si="36"/>
        <v>Med</v>
      </c>
      <c r="K2365">
        <f>dataset[[#This Row],[soda_sales]]/dataset[[#This Row],[soda_units_sold]]</f>
        <v>0.78644565947797884</v>
      </c>
      <c r="L2365" s="29">
        <f>dataset[[#This Row],[implied_soda_ppu]]-dataset[[#This Row],[soda_ppu]]</f>
        <v>4.565947797885439E-5</v>
      </c>
      <c r="M2365">
        <f>dataset[[#This Row],[soda_sales]]/dataset[[#This Row],[total_sales]]</f>
        <v>3.977872986904421E-2</v>
      </c>
      <c r="N2365">
        <f>LN(dataset[[#This Row],[soda_units_sold]])</f>
        <v>12.107671192660817</v>
      </c>
      <c r="O2365">
        <f>LN(dataset[[#This Row],[soda_sales]])</f>
        <v>11.867439542217262</v>
      </c>
      <c r="P2365">
        <f>LN(dataset[[#This Row],[soda_ppu]])</f>
        <v>-0.24028971014918027</v>
      </c>
      <c r="Q2365">
        <f>IF(dataset[[#This Row],[state]]="VA",1,0)</f>
        <v>0</v>
      </c>
    </row>
    <row r="2366" spans="1:17" x14ac:dyDescent="0.35">
      <c r="A2366">
        <v>202401</v>
      </c>
      <c r="B2366">
        <v>60</v>
      </c>
      <c r="C2366" s="2">
        <v>2058671.1148999999</v>
      </c>
      <c r="D2366" s="2">
        <v>0.79079999999999995</v>
      </c>
      <c r="E2366" s="3">
        <v>130620</v>
      </c>
      <c r="F2366" s="2">
        <v>103291.1076</v>
      </c>
      <c r="G2366" t="s">
        <v>1522</v>
      </c>
      <c r="H2366" t="s">
        <v>7</v>
      </c>
      <c r="I2366">
        <f>HLOOKUP(G2366,zip_tiers!$A$1:$EON$2,2,FALSE)</f>
        <v>84558.333333333328</v>
      </c>
      <c r="J2366" t="str">
        <f t="shared" si="36"/>
        <v>Med</v>
      </c>
      <c r="K2366">
        <f>dataset[[#This Row],[soda_sales]]/dataset[[#This Row],[soda_units_sold]]</f>
        <v>0.7907755902618282</v>
      </c>
      <c r="L2366" s="29">
        <f>dataset[[#This Row],[implied_soda_ppu]]-dataset[[#This Row],[soda_ppu]]</f>
        <v>-2.4409738171748963E-5</v>
      </c>
      <c r="M2366">
        <f>dataset[[#This Row],[soda_sales]]/dataset[[#This Row],[total_sales]]</f>
        <v>5.0173680901437902E-2</v>
      </c>
      <c r="N2366">
        <f>LN(dataset[[#This Row],[soda_units_sold]])</f>
        <v>11.780047623456648</v>
      </c>
      <c r="O2366">
        <f>LN(dataset[[#This Row],[soda_sales]])</f>
        <v>11.545306568149693</v>
      </c>
      <c r="P2366">
        <f>LN(dataset[[#This Row],[soda_ppu]])</f>
        <v>-0.23471018768567528</v>
      </c>
      <c r="Q2366">
        <f>IF(dataset[[#This Row],[state]]="VA",1,0)</f>
        <v>0</v>
      </c>
    </row>
    <row r="2367" spans="1:17" x14ac:dyDescent="0.35">
      <c r="A2367">
        <v>202402</v>
      </c>
      <c r="B2367">
        <v>60</v>
      </c>
      <c r="C2367" s="2">
        <v>2342447.5317000002</v>
      </c>
      <c r="D2367" s="2">
        <v>0.77610000000000001</v>
      </c>
      <c r="E2367" s="3">
        <v>153349</v>
      </c>
      <c r="F2367" s="2">
        <v>119008.399</v>
      </c>
      <c r="G2367" t="s">
        <v>1522</v>
      </c>
      <c r="H2367" t="s">
        <v>7</v>
      </c>
      <c r="I2367">
        <f>HLOOKUP(G2367,zip_tiers!$A$1:$EON$2,2,FALSE)</f>
        <v>84558.333333333328</v>
      </c>
      <c r="J2367" t="str">
        <f t="shared" si="36"/>
        <v>Med</v>
      </c>
      <c r="K2367">
        <f>dataset[[#This Row],[soda_sales]]/dataset[[#This Row],[soda_units_sold]]</f>
        <v>0.77606243927250917</v>
      </c>
      <c r="L2367" s="29">
        <f>dataset[[#This Row],[implied_soda_ppu]]-dataset[[#This Row],[soda_ppu]]</f>
        <v>-3.7560727490837387E-5</v>
      </c>
      <c r="M2367">
        <f>dataset[[#This Row],[soda_sales]]/dataset[[#This Row],[total_sales]]</f>
        <v>5.0805150335056275E-2</v>
      </c>
      <c r="N2367">
        <f>LN(dataset[[#This Row],[soda_units_sold]])</f>
        <v>11.940471648490814</v>
      </c>
      <c r="O2367">
        <f>LN(dataset[[#This Row],[soda_sales]])</f>
        <v>11.686949349434959</v>
      </c>
      <c r="P2367">
        <f>LN(dataset[[#This Row],[soda_ppu]])</f>
        <v>-0.25347390112204388</v>
      </c>
      <c r="Q2367">
        <f>IF(dataset[[#This Row],[state]]="VA",1,0)</f>
        <v>0</v>
      </c>
    </row>
    <row r="2368" spans="1:17" x14ac:dyDescent="0.35">
      <c r="A2368">
        <v>202403</v>
      </c>
      <c r="B2368">
        <v>60</v>
      </c>
      <c r="C2368" s="2">
        <v>2649063.1120000002</v>
      </c>
      <c r="D2368" s="2">
        <v>0.81530000000000002</v>
      </c>
      <c r="E2368" s="3">
        <v>171783</v>
      </c>
      <c r="F2368" s="2">
        <v>140057.6839</v>
      </c>
      <c r="G2368" t="s">
        <v>1522</v>
      </c>
      <c r="H2368" t="s">
        <v>7</v>
      </c>
      <c r="I2368">
        <f>HLOOKUP(G2368,zip_tiers!$A$1:$EON$2,2,FALSE)</f>
        <v>84558.333333333328</v>
      </c>
      <c r="J2368" t="str">
        <f t="shared" si="36"/>
        <v>Med</v>
      </c>
      <c r="K2368">
        <f>dataset[[#This Row],[soda_sales]]/dataset[[#This Row],[soda_units_sold]]</f>
        <v>0.81531748717859165</v>
      </c>
      <c r="L2368" s="29">
        <f>dataset[[#This Row],[implied_soda_ppu]]-dataset[[#This Row],[soda_ppu]]</f>
        <v>1.7487178591624186E-5</v>
      </c>
      <c r="M2368">
        <f>dataset[[#This Row],[soda_sales]]/dataset[[#This Row],[total_sales]]</f>
        <v>5.2870648217308303E-2</v>
      </c>
      <c r="N2368">
        <f>LN(dataset[[#This Row],[soda_units_sold]])</f>
        <v>12.053987331366113</v>
      </c>
      <c r="O2368">
        <f>LN(dataset[[#This Row],[soda_sales]])</f>
        <v>11.849809644588415</v>
      </c>
      <c r="P2368">
        <f>LN(dataset[[#This Row],[soda_ppu]])</f>
        <v>-0.20419913531327191</v>
      </c>
      <c r="Q2368">
        <f>IF(dataset[[#This Row],[state]]="VA",1,0)</f>
        <v>0</v>
      </c>
    </row>
    <row r="2369" spans="1:17" x14ac:dyDescent="0.35">
      <c r="A2369">
        <v>202404</v>
      </c>
      <c r="B2369">
        <v>60</v>
      </c>
      <c r="C2369" s="2">
        <v>2793456.6855000001</v>
      </c>
      <c r="D2369" s="2">
        <v>0.81100000000000005</v>
      </c>
      <c r="E2369" s="3">
        <v>207256</v>
      </c>
      <c r="F2369" s="2">
        <v>168078.67800000001</v>
      </c>
      <c r="G2369" t="s">
        <v>1522</v>
      </c>
      <c r="H2369" t="s">
        <v>7</v>
      </c>
      <c r="I2369">
        <f>HLOOKUP(G2369,zip_tiers!$A$1:$EON$2,2,FALSE)</f>
        <v>84558.333333333328</v>
      </c>
      <c r="J2369" t="str">
        <f t="shared" si="36"/>
        <v>Med</v>
      </c>
      <c r="K2369">
        <f>dataset[[#This Row],[soda_sales]]/dataset[[#This Row],[soda_units_sold]]</f>
        <v>0.81097134944223581</v>
      </c>
      <c r="L2369" s="29">
        <f>dataset[[#This Row],[implied_soda_ppu]]-dataset[[#This Row],[soda_ppu]]</f>
        <v>-2.8650557764242635E-5</v>
      </c>
      <c r="M2369">
        <f>dataset[[#This Row],[soda_sales]]/dataset[[#This Row],[total_sales]]</f>
        <v>6.0168707419895308E-2</v>
      </c>
      <c r="N2369">
        <f>LN(dataset[[#This Row],[soda_units_sold]])</f>
        <v>12.241710023121305</v>
      </c>
      <c r="O2369">
        <f>LN(dataset[[#This Row],[soda_sales]])</f>
        <v>12.032187470185713</v>
      </c>
      <c r="P2369">
        <f>LN(dataset[[#This Row],[soda_ppu]])</f>
        <v>-0.20948722486672405</v>
      </c>
      <c r="Q2369">
        <f>IF(dataset[[#This Row],[state]]="VA",1,0)</f>
        <v>0</v>
      </c>
    </row>
    <row r="2370" spans="1:17" x14ac:dyDescent="0.35">
      <c r="A2370">
        <v>202405</v>
      </c>
      <c r="B2370">
        <v>60</v>
      </c>
      <c r="C2370" s="2">
        <v>2961299.1904000002</v>
      </c>
      <c r="D2370" s="2">
        <v>0.79179999999999995</v>
      </c>
      <c r="E2370" s="3">
        <v>231559</v>
      </c>
      <c r="F2370" s="2">
        <v>183357.8751</v>
      </c>
      <c r="G2370" t="s">
        <v>1522</v>
      </c>
      <c r="H2370" t="s">
        <v>7</v>
      </c>
      <c r="I2370">
        <f>HLOOKUP(G2370,zip_tiers!$A$1:$EON$2,2,FALSE)</f>
        <v>84558.333333333328</v>
      </c>
      <c r="J2370" t="str">
        <f t="shared" ref="J2370:J2433" si="37">IF(I2370="","No Data",IF(I2370&gt;=100000,"High",IF(I2370&gt;=40000,"Med","Low")))</f>
        <v>Med</v>
      </c>
      <c r="K2370">
        <f>dataset[[#This Row],[soda_sales]]/dataset[[#This Row],[soda_units_sold]]</f>
        <v>0.79184084876856442</v>
      </c>
      <c r="L2370" s="29">
        <f>dataset[[#This Row],[implied_soda_ppu]]-dataset[[#This Row],[soda_ppu]]</f>
        <v>4.084876856447206E-5</v>
      </c>
      <c r="M2370">
        <f>dataset[[#This Row],[soda_sales]]/dataset[[#This Row],[total_sales]]</f>
        <v>6.1918051271014185E-2</v>
      </c>
      <c r="N2370">
        <f>LN(dataset[[#This Row],[soda_units_sold]])</f>
        <v>12.352589979648464</v>
      </c>
      <c r="O2370">
        <f>LN(dataset[[#This Row],[soda_sales]])</f>
        <v>12.119195123763353</v>
      </c>
      <c r="P2370">
        <f>LN(dataset[[#This Row],[soda_ppu]])</f>
        <v>-0.23344644431010689</v>
      </c>
      <c r="Q2370">
        <f>IF(dataset[[#This Row],[state]]="VA",1,0)</f>
        <v>0</v>
      </c>
    </row>
    <row r="2371" spans="1:17" x14ac:dyDescent="0.35">
      <c r="A2371">
        <v>202406</v>
      </c>
      <c r="B2371">
        <v>60</v>
      </c>
      <c r="C2371" s="2">
        <v>2729945.2620000001</v>
      </c>
      <c r="D2371" s="2">
        <v>0.82220000000000004</v>
      </c>
      <c r="E2371" s="3">
        <v>226400</v>
      </c>
      <c r="F2371" s="2">
        <v>186136.81159999999</v>
      </c>
      <c r="G2371" t="s">
        <v>1522</v>
      </c>
      <c r="H2371" t="s">
        <v>7</v>
      </c>
      <c r="I2371">
        <f>HLOOKUP(G2371,zip_tiers!$A$1:$EON$2,2,FALSE)</f>
        <v>84558.333333333328</v>
      </c>
      <c r="J2371" t="str">
        <f t="shared" si="37"/>
        <v>Med</v>
      </c>
      <c r="K2371">
        <f>dataset[[#This Row],[soda_sales]]/dataset[[#This Row],[soda_units_sold]]</f>
        <v>0.8221590618374558</v>
      </c>
      <c r="L2371" s="29">
        <f>dataset[[#This Row],[implied_soda_ppu]]-dataset[[#This Row],[soda_ppu]]</f>
        <v>-4.0938162544246204E-5</v>
      </c>
      <c r="M2371">
        <f>dataset[[#This Row],[soda_sales]]/dataset[[#This Row],[total_sales]]</f>
        <v>6.8183349384680805E-2</v>
      </c>
      <c r="N2371">
        <f>LN(dataset[[#This Row],[soda_units_sold]])</f>
        <v>12.330058625311166</v>
      </c>
      <c r="O2371">
        <f>LN(dataset[[#This Row],[soda_sales]])</f>
        <v>12.134237228550342</v>
      </c>
      <c r="P2371">
        <f>LN(dataset[[#This Row],[soda_ppu]])</f>
        <v>-0.19577160451835895</v>
      </c>
      <c r="Q2371">
        <f>IF(dataset[[#This Row],[state]]="VA",1,0)</f>
        <v>0</v>
      </c>
    </row>
    <row r="2372" spans="1:17" x14ac:dyDescent="0.35">
      <c r="A2372">
        <v>202407</v>
      </c>
      <c r="B2372">
        <v>60</v>
      </c>
      <c r="C2372" s="2">
        <v>2673533.9145</v>
      </c>
      <c r="D2372" s="2">
        <v>0.80620000000000003</v>
      </c>
      <c r="E2372" s="3">
        <v>245481</v>
      </c>
      <c r="F2372" s="2">
        <v>197917.99830000001</v>
      </c>
      <c r="G2372" t="s">
        <v>1522</v>
      </c>
      <c r="H2372" t="s">
        <v>7</v>
      </c>
      <c r="I2372">
        <f>HLOOKUP(G2372,zip_tiers!$A$1:$EON$2,2,FALSE)</f>
        <v>84558.333333333328</v>
      </c>
      <c r="J2372" t="str">
        <f t="shared" si="37"/>
        <v>Med</v>
      </c>
      <c r="K2372">
        <f>dataset[[#This Row],[soda_sales]]/dataset[[#This Row],[soda_units_sold]]</f>
        <v>0.80624569029782345</v>
      </c>
      <c r="L2372" s="29">
        <f>dataset[[#This Row],[implied_soda_ppu]]-dataset[[#This Row],[soda_ppu]]</f>
        <v>4.5690297823419712E-5</v>
      </c>
      <c r="M2372">
        <f>dataset[[#This Row],[soda_sales]]/dataset[[#This Row],[total_sales]]</f>
        <v>7.4028609559274774E-2</v>
      </c>
      <c r="N2372">
        <f>LN(dataset[[#This Row],[soda_units_sold]])</f>
        <v>12.410974830146356</v>
      </c>
      <c r="O2372">
        <f>LN(dataset[[#This Row],[soda_sales]])</f>
        <v>12.195608073892876</v>
      </c>
      <c r="P2372">
        <f>LN(dataset[[#This Row],[soda_ppu]])</f>
        <v>-0.2154234282990716</v>
      </c>
      <c r="Q2372">
        <f>IF(dataset[[#This Row],[state]]="VA",1,0)</f>
        <v>0</v>
      </c>
    </row>
    <row r="2373" spans="1:17" x14ac:dyDescent="0.35">
      <c r="A2373">
        <v>202408</v>
      </c>
      <c r="B2373">
        <v>60</v>
      </c>
      <c r="C2373" s="2">
        <v>2481673.7604</v>
      </c>
      <c r="D2373" s="2">
        <v>0.79890000000000005</v>
      </c>
      <c r="E2373" s="3">
        <v>213010</v>
      </c>
      <c r="F2373" s="2">
        <v>170165.91159999999</v>
      </c>
      <c r="G2373" t="s">
        <v>1522</v>
      </c>
      <c r="H2373" t="s">
        <v>7</v>
      </c>
      <c r="I2373">
        <f>HLOOKUP(G2373,zip_tiers!$A$1:$EON$2,2,FALSE)</f>
        <v>84558.333333333328</v>
      </c>
      <c r="J2373" t="str">
        <f t="shared" si="37"/>
        <v>Med</v>
      </c>
      <c r="K2373">
        <f>dataset[[#This Row],[soda_sales]]/dataset[[#This Row],[soda_units_sold]]</f>
        <v>0.7988634880991502</v>
      </c>
      <c r="L2373" s="29">
        <f>dataset[[#This Row],[implied_soda_ppu]]-dataset[[#This Row],[soda_ppu]]</f>
        <v>-3.6511900849856005E-5</v>
      </c>
      <c r="M2373">
        <f>dataset[[#This Row],[soda_sales]]/dataset[[#This Row],[total_sales]]</f>
        <v>6.85690094787368E-2</v>
      </c>
      <c r="N2373">
        <f>LN(dataset[[#This Row],[soda_units_sold]])</f>
        <v>12.26909439194633</v>
      </c>
      <c r="O2373">
        <f>LN(dataset[[#This Row],[soda_sales]])</f>
        <v>12.04452919069049</v>
      </c>
      <c r="P2373">
        <f>LN(dataset[[#This Row],[soda_ppu]])</f>
        <v>-0.22451949749414074</v>
      </c>
      <c r="Q2373">
        <f>IF(dataset[[#This Row],[state]]="VA",1,0)</f>
        <v>0</v>
      </c>
    </row>
    <row r="2374" spans="1:17" x14ac:dyDescent="0.35">
      <c r="A2374">
        <v>202409</v>
      </c>
      <c r="B2374">
        <v>60</v>
      </c>
      <c r="C2374" s="2">
        <v>2527201.7817000002</v>
      </c>
      <c r="D2374" s="2">
        <v>0.83030000000000004</v>
      </c>
      <c r="E2374" s="3">
        <v>198517</v>
      </c>
      <c r="F2374" s="2">
        <v>164836.21100000001</v>
      </c>
      <c r="G2374" t="s">
        <v>1522</v>
      </c>
      <c r="H2374" t="s">
        <v>7</v>
      </c>
      <c r="I2374">
        <f>HLOOKUP(G2374,zip_tiers!$A$1:$EON$2,2,FALSE)</f>
        <v>84558.333333333328</v>
      </c>
      <c r="J2374" t="str">
        <f t="shared" si="37"/>
        <v>Med</v>
      </c>
      <c r="K2374">
        <f>dataset[[#This Row],[soda_sales]]/dataset[[#This Row],[soda_units_sold]]</f>
        <v>0.83033801135419139</v>
      </c>
      <c r="L2374" s="29">
        <f>dataset[[#This Row],[implied_soda_ppu]]-dataset[[#This Row],[soda_ppu]]</f>
        <v>3.801135419134738E-5</v>
      </c>
      <c r="M2374">
        <f>dataset[[#This Row],[soda_sales]]/dataset[[#This Row],[total_sales]]</f>
        <v>6.5224792176712482E-2</v>
      </c>
      <c r="N2374">
        <f>LN(dataset[[#This Row],[soda_units_sold]])</f>
        <v>12.198630017759669</v>
      </c>
      <c r="O2374">
        <f>LN(dataset[[#This Row],[soda_sales]])</f>
        <v>12.012707599262827</v>
      </c>
      <c r="P2374">
        <f>LN(dataset[[#This Row],[soda_ppu]])</f>
        <v>-0.18596819771415207</v>
      </c>
      <c r="Q2374">
        <f>IF(dataset[[#This Row],[state]]="VA",1,0)</f>
        <v>0</v>
      </c>
    </row>
    <row r="2375" spans="1:17" x14ac:dyDescent="0.35">
      <c r="A2375">
        <v>202410</v>
      </c>
      <c r="B2375">
        <v>60</v>
      </c>
      <c r="C2375" s="2">
        <v>3114153.8410999998</v>
      </c>
      <c r="D2375" s="2">
        <v>0.80389999999999995</v>
      </c>
      <c r="E2375" s="3">
        <v>197531</v>
      </c>
      <c r="F2375" s="2">
        <v>158795.67019999999</v>
      </c>
      <c r="G2375" t="s">
        <v>1522</v>
      </c>
      <c r="H2375" t="s">
        <v>7</v>
      </c>
      <c r="I2375">
        <f>HLOOKUP(G2375,zip_tiers!$A$1:$EON$2,2,FALSE)</f>
        <v>84558.333333333328</v>
      </c>
      <c r="J2375" t="str">
        <f t="shared" si="37"/>
        <v>Med</v>
      </c>
      <c r="K2375">
        <f>dataset[[#This Row],[soda_sales]]/dataset[[#This Row],[soda_units_sold]]</f>
        <v>0.8039025277045122</v>
      </c>
      <c r="L2375" s="29">
        <f>dataset[[#This Row],[implied_soda_ppu]]-dataset[[#This Row],[soda_ppu]]</f>
        <v>2.5277045122562569E-6</v>
      </c>
      <c r="M2375">
        <f>dataset[[#This Row],[soda_sales]]/dataset[[#This Row],[total_sales]]</f>
        <v>5.0991594604044753E-2</v>
      </c>
      <c r="N2375">
        <f>LN(dataset[[#This Row],[soda_units_sold]])</f>
        <v>12.193650813031381</v>
      </c>
      <c r="O2375">
        <f>LN(dataset[[#This Row],[soda_sales]])</f>
        <v>11.975373561680382</v>
      </c>
      <c r="P2375">
        <f>LN(dataset[[#This Row],[soda_ppu]])</f>
        <v>-0.21828039564822196</v>
      </c>
      <c r="Q2375">
        <f>IF(dataset[[#This Row],[state]]="VA",1,0)</f>
        <v>0</v>
      </c>
    </row>
    <row r="2376" spans="1:17" x14ac:dyDescent="0.35">
      <c r="A2376">
        <v>202411</v>
      </c>
      <c r="B2376">
        <v>60</v>
      </c>
      <c r="C2376" s="2">
        <v>3491664.6022000001</v>
      </c>
      <c r="D2376" s="2">
        <v>0.83089999999999997</v>
      </c>
      <c r="E2376" s="3">
        <v>181358</v>
      </c>
      <c r="F2376" s="2">
        <v>150691.7371</v>
      </c>
      <c r="G2376" t="s">
        <v>1522</v>
      </c>
      <c r="H2376" t="s">
        <v>7</v>
      </c>
      <c r="I2376">
        <f>HLOOKUP(G2376,zip_tiers!$A$1:$EON$2,2,FALSE)</f>
        <v>84558.333333333328</v>
      </c>
      <c r="J2376" t="str">
        <f t="shared" si="37"/>
        <v>Med</v>
      </c>
      <c r="K2376">
        <f>dataset[[#This Row],[soda_sales]]/dataset[[#This Row],[soda_units_sold]]</f>
        <v>0.8309075811378599</v>
      </c>
      <c r="L2376" s="29">
        <f>dataset[[#This Row],[implied_soda_ppu]]-dataset[[#This Row],[soda_ppu]]</f>
        <v>7.581137859924425E-6</v>
      </c>
      <c r="M2376">
        <f>dataset[[#This Row],[soda_sales]]/dataset[[#This Row],[total_sales]]</f>
        <v>4.3157563588740268E-2</v>
      </c>
      <c r="N2376">
        <f>LN(dataset[[#This Row],[soda_units_sold]])</f>
        <v>12.108228257330573</v>
      </c>
      <c r="O2376">
        <f>LN(dataset[[#This Row],[soda_sales]])</f>
        <v>11.922991552985282</v>
      </c>
      <c r="P2376">
        <f>LN(dataset[[#This Row],[soda_ppu]])</f>
        <v>-0.18524582831120143</v>
      </c>
      <c r="Q2376">
        <f>IF(dataset[[#This Row],[state]]="VA",1,0)</f>
        <v>0</v>
      </c>
    </row>
    <row r="2377" spans="1:17" x14ac:dyDescent="0.35">
      <c r="A2377">
        <v>202412</v>
      </c>
      <c r="B2377">
        <v>60</v>
      </c>
      <c r="C2377" s="2">
        <v>3617470.0384</v>
      </c>
      <c r="D2377" s="2">
        <v>0.81559999999999999</v>
      </c>
      <c r="E2377" s="3">
        <v>174300</v>
      </c>
      <c r="F2377" s="2">
        <v>142151.64079999999</v>
      </c>
      <c r="G2377" t="s">
        <v>1522</v>
      </c>
      <c r="H2377" t="s">
        <v>7</v>
      </c>
      <c r="I2377">
        <f>HLOOKUP(G2377,zip_tiers!$A$1:$EON$2,2,FALSE)</f>
        <v>84558.333333333328</v>
      </c>
      <c r="J2377" t="str">
        <f t="shared" si="37"/>
        <v>Med</v>
      </c>
      <c r="K2377">
        <f>dataset[[#This Row],[soda_sales]]/dataset[[#This Row],[soda_units_sold]]</f>
        <v>0.81555731956397015</v>
      </c>
      <c r="L2377" s="29">
        <f>dataset[[#This Row],[implied_soda_ppu]]-dataset[[#This Row],[soda_ppu]]</f>
        <v>-4.2680436029840507E-5</v>
      </c>
      <c r="M2377">
        <f>dataset[[#This Row],[soda_sales]]/dataset[[#This Row],[total_sales]]</f>
        <v>3.9295872333713476E-2</v>
      </c>
      <c r="N2377">
        <f>LN(dataset[[#This Row],[soda_units_sold]])</f>
        <v>12.068533231508113</v>
      </c>
      <c r="O2377">
        <f>LN(dataset[[#This Row],[soda_sales]])</f>
        <v>11.864649659749075</v>
      </c>
      <c r="P2377">
        <f>LN(dataset[[#This Row],[soda_ppu]])</f>
        <v>-0.20383124028183694</v>
      </c>
      <c r="Q2377">
        <f>IF(dataset[[#This Row],[state]]="VA",1,0)</f>
        <v>0</v>
      </c>
    </row>
    <row r="2378" spans="1:17" x14ac:dyDescent="0.35">
      <c r="A2378">
        <v>202201</v>
      </c>
      <c r="B2378">
        <v>89</v>
      </c>
      <c r="C2378" s="2">
        <v>1858100.7058999999</v>
      </c>
      <c r="D2378" s="2">
        <v>0.71709999999999996</v>
      </c>
      <c r="E2378" s="3">
        <v>148055</v>
      </c>
      <c r="F2378" s="2">
        <v>106174.9188</v>
      </c>
      <c r="G2378" t="s">
        <v>1557</v>
      </c>
      <c r="H2378" t="s">
        <v>7</v>
      </c>
      <c r="I2378">
        <f>HLOOKUP(G2378,zip_tiers!$A$1:$EON$2,2,FALSE)</f>
        <v>69341.666666666672</v>
      </c>
      <c r="J2378" t="str">
        <f t="shared" si="37"/>
        <v>Med</v>
      </c>
      <c r="K2378">
        <f>dataset[[#This Row],[soda_sales]]/dataset[[#This Row],[soda_units_sold]]</f>
        <v>0.7171315983924893</v>
      </c>
      <c r="L2378" s="29">
        <f>dataset[[#This Row],[implied_soda_ppu]]-dataset[[#This Row],[soda_ppu]]</f>
        <v>3.1598392489340377E-5</v>
      </c>
      <c r="M2378">
        <f>dataset[[#This Row],[soda_sales]]/dataset[[#This Row],[total_sales]]</f>
        <v>5.7141638482168557E-2</v>
      </c>
      <c r="N2378">
        <f>LN(dataset[[#This Row],[soda_units_sold]])</f>
        <v>11.905339105333661</v>
      </c>
      <c r="O2378">
        <f>LN(dataset[[#This Row],[soda_sales]])</f>
        <v>11.572843190406044</v>
      </c>
      <c r="P2378">
        <f>LN(dataset[[#This Row],[soda_ppu]])</f>
        <v>-0.33253997809360791</v>
      </c>
      <c r="Q2378">
        <f>IF(dataset[[#This Row],[state]]="VA",1,0)</f>
        <v>0</v>
      </c>
    </row>
    <row r="2379" spans="1:17" x14ac:dyDescent="0.35">
      <c r="A2379">
        <v>202202</v>
      </c>
      <c r="B2379">
        <v>89</v>
      </c>
      <c r="C2379" s="2">
        <v>2146476.1817999999</v>
      </c>
      <c r="D2379" s="2">
        <v>0.70850000000000002</v>
      </c>
      <c r="E2379" s="3">
        <v>176824</v>
      </c>
      <c r="F2379" s="2">
        <v>125283.2895</v>
      </c>
      <c r="G2379" t="s">
        <v>1557</v>
      </c>
      <c r="H2379" t="s">
        <v>7</v>
      </c>
      <c r="I2379">
        <f>HLOOKUP(G2379,zip_tiers!$A$1:$EON$2,2,FALSE)</f>
        <v>69341.666666666672</v>
      </c>
      <c r="J2379" t="str">
        <f t="shared" si="37"/>
        <v>Med</v>
      </c>
      <c r="K2379">
        <f>dataset[[#This Row],[soda_sales]]/dataset[[#This Row],[soda_units_sold]]</f>
        <v>0.7085197116907207</v>
      </c>
      <c r="L2379" s="29">
        <f>dataset[[#This Row],[implied_soda_ppu]]-dataset[[#This Row],[soda_ppu]]</f>
        <v>1.9711690720680686E-5</v>
      </c>
      <c r="M2379">
        <f>dataset[[#This Row],[soda_sales]]/dataset[[#This Row],[total_sales]]</f>
        <v>5.8366960026055112E-2</v>
      </c>
      <c r="N2379">
        <f>LN(dataset[[#This Row],[soda_units_sold]])</f>
        <v>12.082910166579278</v>
      </c>
      <c r="O2379">
        <f>LN(dataset[[#This Row],[soda_sales]])</f>
        <v>11.738332768063824</v>
      </c>
      <c r="P2379">
        <f>LN(dataset[[#This Row],[soda_ppu]])</f>
        <v>-0.34460521985140191</v>
      </c>
      <c r="Q2379">
        <f>IF(dataset[[#This Row],[state]]="VA",1,0)</f>
        <v>0</v>
      </c>
    </row>
    <row r="2380" spans="1:17" x14ac:dyDescent="0.35">
      <c r="A2380">
        <v>202203</v>
      </c>
      <c r="B2380">
        <v>89</v>
      </c>
      <c r="C2380" s="2">
        <v>2377255.3478999999</v>
      </c>
      <c r="D2380" s="2">
        <v>0.68820000000000003</v>
      </c>
      <c r="E2380" s="3">
        <v>219126</v>
      </c>
      <c r="F2380" s="2">
        <v>150803.74239999999</v>
      </c>
      <c r="G2380" t="s">
        <v>1557</v>
      </c>
      <c r="H2380" t="s">
        <v>7</v>
      </c>
      <c r="I2380">
        <f>HLOOKUP(G2380,zip_tiers!$A$1:$EON$2,2,FALSE)</f>
        <v>69341.666666666672</v>
      </c>
      <c r="J2380" t="str">
        <f t="shared" si="37"/>
        <v>Med</v>
      </c>
      <c r="K2380">
        <f>dataset[[#This Row],[soda_sales]]/dataset[[#This Row],[soda_units_sold]]</f>
        <v>0.68820560955797117</v>
      </c>
      <c r="L2380" s="29">
        <f>dataset[[#This Row],[implied_soda_ppu]]-dataset[[#This Row],[soda_ppu]]</f>
        <v>5.6095579711312737E-6</v>
      </c>
      <c r="M2380">
        <f>dataset[[#This Row],[soda_sales]]/dataset[[#This Row],[total_sales]]</f>
        <v>6.3436072415702316E-2</v>
      </c>
      <c r="N2380">
        <f>LN(dataset[[#This Row],[soda_units_sold]])</f>
        <v>12.29740218581837</v>
      </c>
      <c r="O2380">
        <f>LN(dataset[[#This Row],[soda_sales]])</f>
        <v>11.923734551224184</v>
      </c>
      <c r="P2380">
        <f>LN(dataset[[#This Row],[soda_ppu]])</f>
        <v>-0.37367578561875697</v>
      </c>
      <c r="Q2380">
        <f>IF(dataset[[#This Row],[state]]="VA",1,0)</f>
        <v>0</v>
      </c>
    </row>
    <row r="2381" spans="1:17" x14ac:dyDescent="0.35">
      <c r="A2381">
        <v>202204</v>
      </c>
      <c r="B2381">
        <v>89</v>
      </c>
      <c r="C2381" s="2">
        <v>2521944.0918999999</v>
      </c>
      <c r="D2381" s="2">
        <v>0.70669999999999999</v>
      </c>
      <c r="E2381" s="3">
        <v>245361</v>
      </c>
      <c r="F2381" s="2">
        <v>173386.91639999999</v>
      </c>
      <c r="G2381" t="s">
        <v>1557</v>
      </c>
      <c r="H2381" t="s">
        <v>7</v>
      </c>
      <c r="I2381">
        <f>HLOOKUP(G2381,zip_tiers!$A$1:$EON$2,2,FALSE)</f>
        <v>69341.666666666672</v>
      </c>
      <c r="J2381" t="str">
        <f t="shared" si="37"/>
        <v>Med</v>
      </c>
      <c r="K2381">
        <f>dataset[[#This Row],[soda_sales]]/dataset[[#This Row],[soda_units_sold]]</f>
        <v>0.70666045704085001</v>
      </c>
      <c r="L2381" s="29">
        <f>dataset[[#This Row],[implied_soda_ppu]]-dataset[[#This Row],[soda_ppu]]</f>
        <v>-3.954295914998518E-5</v>
      </c>
      <c r="M2381">
        <f>dataset[[#This Row],[soda_sales]]/dataset[[#This Row],[total_sales]]</f>
        <v>6.8751292686021662E-2</v>
      </c>
      <c r="N2381">
        <f>LN(dataset[[#This Row],[soda_units_sold]])</f>
        <v>12.410485874423779</v>
      </c>
      <c r="O2381">
        <f>LN(dataset[[#This Row],[soda_sales]])</f>
        <v>12.063280887194638</v>
      </c>
      <c r="P2381">
        <f>LN(dataset[[#This Row],[soda_ppu]])</f>
        <v>-0.34714903128532842</v>
      </c>
      <c r="Q2381">
        <f>IF(dataset[[#This Row],[state]]="VA",1,0)</f>
        <v>0</v>
      </c>
    </row>
    <row r="2382" spans="1:17" x14ac:dyDescent="0.35">
      <c r="A2382">
        <v>202205</v>
      </c>
      <c r="B2382">
        <v>89</v>
      </c>
      <c r="C2382" s="2">
        <v>2634405.4223000002</v>
      </c>
      <c r="D2382" s="2">
        <v>0.70309999999999995</v>
      </c>
      <c r="E2382" s="3">
        <v>270553</v>
      </c>
      <c r="F2382" s="2">
        <v>190212.4725</v>
      </c>
      <c r="G2382" t="s">
        <v>1557</v>
      </c>
      <c r="H2382" t="s">
        <v>7</v>
      </c>
      <c r="I2382">
        <f>HLOOKUP(G2382,zip_tiers!$A$1:$EON$2,2,FALSE)</f>
        <v>69341.666666666672</v>
      </c>
      <c r="J2382" t="str">
        <f t="shared" si="37"/>
        <v>Med</v>
      </c>
      <c r="K2382">
        <f>dataset[[#This Row],[soda_sales]]/dataset[[#This Row],[soda_units_sold]]</f>
        <v>0.70305068692640627</v>
      </c>
      <c r="L2382" s="29">
        <f>dataset[[#This Row],[implied_soda_ppu]]-dataset[[#This Row],[soda_ppu]]</f>
        <v>-4.9313073593681978E-5</v>
      </c>
      <c r="M2382">
        <f>dataset[[#This Row],[soda_sales]]/dataset[[#This Row],[total_sales]]</f>
        <v>7.2203188958642764E-2</v>
      </c>
      <c r="N2382">
        <f>LN(dataset[[#This Row],[soda_units_sold]])</f>
        <v>12.508223291532783</v>
      </c>
      <c r="O2382">
        <f>LN(dataset[[#This Row],[soda_sales]])</f>
        <v>12.155897002653214</v>
      </c>
      <c r="P2382">
        <f>LN(dataset[[#This Row],[soda_ppu]])</f>
        <v>-0.35225614977702147</v>
      </c>
      <c r="Q2382">
        <f>IF(dataset[[#This Row],[state]]="VA",1,0)</f>
        <v>0</v>
      </c>
    </row>
    <row r="2383" spans="1:17" x14ac:dyDescent="0.35">
      <c r="A2383">
        <v>202206</v>
      </c>
      <c r="B2383">
        <v>89</v>
      </c>
      <c r="C2383" s="2">
        <v>2468506.128</v>
      </c>
      <c r="D2383" s="2">
        <v>0.71199999999999997</v>
      </c>
      <c r="E2383" s="3">
        <v>272345</v>
      </c>
      <c r="F2383" s="2">
        <v>193914.948</v>
      </c>
      <c r="G2383" t="s">
        <v>1557</v>
      </c>
      <c r="H2383" t="s">
        <v>7</v>
      </c>
      <c r="I2383">
        <f>HLOOKUP(G2383,zip_tiers!$A$1:$EON$2,2,FALSE)</f>
        <v>69341.666666666672</v>
      </c>
      <c r="J2383" t="str">
        <f t="shared" si="37"/>
        <v>Med</v>
      </c>
      <c r="K2383">
        <f>dataset[[#This Row],[soda_sales]]/dataset[[#This Row],[soda_units_sold]]</f>
        <v>0.71201948998512921</v>
      </c>
      <c r="L2383" s="29">
        <f>dataset[[#This Row],[implied_soda_ppu]]-dataset[[#This Row],[soda_ppu]]</f>
        <v>1.9489985129239606E-5</v>
      </c>
      <c r="M2383">
        <f>dataset[[#This Row],[soda_sales]]/dataset[[#This Row],[total_sales]]</f>
        <v>7.8555587041264988E-2</v>
      </c>
      <c r="N2383">
        <f>LN(dataset[[#This Row],[soda_units_sold]])</f>
        <v>12.514824923913721</v>
      </c>
      <c r="O2383">
        <f>LN(dataset[[#This Row],[soda_sales]])</f>
        <v>12.17517492954353</v>
      </c>
      <c r="P2383">
        <f>LN(dataset[[#This Row],[soda_ppu]])</f>
        <v>-0.33967736757016131</v>
      </c>
      <c r="Q2383">
        <f>IF(dataset[[#This Row],[state]]="VA",1,0)</f>
        <v>0</v>
      </c>
    </row>
    <row r="2384" spans="1:17" x14ac:dyDescent="0.35">
      <c r="A2384">
        <v>202207</v>
      </c>
      <c r="B2384">
        <v>89</v>
      </c>
      <c r="C2384" s="2">
        <v>2388115.7788</v>
      </c>
      <c r="D2384" s="2">
        <v>0.71960000000000002</v>
      </c>
      <c r="E2384" s="3">
        <v>286068</v>
      </c>
      <c r="F2384" s="2">
        <v>205854.78520000001</v>
      </c>
      <c r="G2384" t="s">
        <v>1557</v>
      </c>
      <c r="H2384" t="s">
        <v>7</v>
      </c>
      <c r="I2384">
        <f>HLOOKUP(G2384,zip_tiers!$A$1:$EON$2,2,FALSE)</f>
        <v>69341.666666666672</v>
      </c>
      <c r="J2384" t="str">
        <f t="shared" si="37"/>
        <v>Med</v>
      </c>
      <c r="K2384">
        <f>dataset[[#This Row],[soda_sales]]/dataset[[#This Row],[soda_units_sold]]</f>
        <v>0.71960088230770314</v>
      </c>
      <c r="L2384" s="29">
        <f>dataset[[#This Row],[implied_soda_ppu]]-dataset[[#This Row],[soda_ppu]]</f>
        <v>8.8230770312058837E-7</v>
      </c>
      <c r="M2384">
        <f>dataset[[#This Row],[soda_sales]]/dataset[[#This Row],[total_sales]]</f>
        <v>8.6199667129807089E-2</v>
      </c>
      <c r="N2384">
        <f>LN(dataset[[#This Row],[soda_units_sold]])</f>
        <v>12.563984823778791</v>
      </c>
      <c r="O2384">
        <f>LN(dataset[[#This Row],[soda_sales]])</f>
        <v>12.234926272980816</v>
      </c>
      <c r="P2384">
        <f>LN(dataset[[#This Row],[soda_ppu]])</f>
        <v>-0.32905977690575899</v>
      </c>
      <c r="Q2384">
        <f>IF(dataset[[#This Row],[state]]="VA",1,0)</f>
        <v>0</v>
      </c>
    </row>
    <row r="2385" spans="1:17" x14ac:dyDescent="0.35">
      <c r="A2385">
        <v>202208</v>
      </c>
      <c r="B2385">
        <v>89</v>
      </c>
      <c r="C2385" s="2">
        <v>2271072.4909000001</v>
      </c>
      <c r="D2385" s="2">
        <v>0.72629999999999995</v>
      </c>
      <c r="E2385" s="3">
        <v>246315</v>
      </c>
      <c r="F2385" s="2">
        <v>178893.0889</v>
      </c>
      <c r="G2385" t="s">
        <v>1557</v>
      </c>
      <c r="H2385" t="s">
        <v>7</v>
      </c>
      <c r="I2385">
        <f>HLOOKUP(G2385,zip_tiers!$A$1:$EON$2,2,FALSE)</f>
        <v>69341.666666666672</v>
      </c>
      <c r="J2385" t="str">
        <f t="shared" si="37"/>
        <v>Med</v>
      </c>
      <c r="K2385">
        <f>dataset[[#This Row],[soda_sales]]/dataset[[#This Row],[soda_units_sold]]</f>
        <v>0.72627768873190834</v>
      </c>
      <c r="L2385" s="29">
        <f>dataset[[#This Row],[implied_soda_ppu]]-dataset[[#This Row],[soda_ppu]]</f>
        <v>-2.2311268091601555E-5</v>
      </c>
      <c r="M2385">
        <f>dataset[[#This Row],[soda_sales]]/dataset[[#This Row],[total_sales]]</f>
        <v>7.8770312095633163E-2</v>
      </c>
      <c r="N2385">
        <f>LN(dataset[[#This Row],[soda_units_sold]])</f>
        <v>12.414366483594048</v>
      </c>
      <c r="O2385">
        <f>LN(dataset[[#This Row],[soda_sales]])</f>
        <v>12.094543637671796</v>
      </c>
      <c r="P2385">
        <f>LN(dataset[[#This Row],[soda_ppu]])</f>
        <v>-0.31979212637001464</v>
      </c>
      <c r="Q2385">
        <f>IF(dataset[[#This Row],[state]]="VA",1,0)</f>
        <v>0</v>
      </c>
    </row>
    <row r="2386" spans="1:17" x14ac:dyDescent="0.35">
      <c r="A2386">
        <v>202209</v>
      </c>
      <c r="B2386">
        <v>89</v>
      </c>
      <c r="C2386" s="2">
        <v>2207097.6849000002</v>
      </c>
      <c r="D2386" s="2">
        <v>0.71689999999999998</v>
      </c>
      <c r="E2386" s="3">
        <v>231751</v>
      </c>
      <c r="F2386" s="2">
        <v>166138.7616</v>
      </c>
      <c r="G2386" t="s">
        <v>1557</v>
      </c>
      <c r="H2386" t="s">
        <v>7</v>
      </c>
      <c r="I2386">
        <f>HLOOKUP(G2386,zip_tiers!$A$1:$EON$2,2,FALSE)</f>
        <v>69341.666666666672</v>
      </c>
      <c r="J2386" t="str">
        <f t="shared" si="37"/>
        <v>Med</v>
      </c>
      <c r="K2386">
        <f>dataset[[#This Row],[soda_sales]]/dataset[[#This Row],[soda_units_sold]]</f>
        <v>0.71688476684027258</v>
      </c>
      <c r="L2386" s="29">
        <f>dataset[[#This Row],[implied_soda_ppu]]-dataset[[#This Row],[soda_ppu]]</f>
        <v>-1.5233159727401357E-5</v>
      </c>
      <c r="M2386">
        <f>dataset[[#This Row],[soda_sales]]/dataset[[#This Row],[total_sales]]</f>
        <v>7.5274765922980644E-2</v>
      </c>
      <c r="N2386">
        <f>LN(dataset[[#This Row],[soda_units_sold]])</f>
        <v>12.353418798413399</v>
      </c>
      <c r="O2386">
        <f>LN(dataset[[#This Row],[soda_sales]])</f>
        <v>12.020578631410785</v>
      </c>
      <c r="P2386">
        <f>LN(dataset[[#This Row],[soda_ppu]])</f>
        <v>-0.33281891812331055</v>
      </c>
      <c r="Q2386">
        <f>IF(dataset[[#This Row],[state]]="VA",1,0)</f>
        <v>0</v>
      </c>
    </row>
    <row r="2387" spans="1:17" x14ac:dyDescent="0.35">
      <c r="A2387">
        <v>202210</v>
      </c>
      <c r="B2387">
        <v>89</v>
      </c>
      <c r="C2387" s="2">
        <v>2761570.5792999999</v>
      </c>
      <c r="D2387" s="2">
        <v>0.69099999999999995</v>
      </c>
      <c r="E2387" s="3">
        <v>238030</v>
      </c>
      <c r="F2387" s="2">
        <v>164483.85930000001</v>
      </c>
      <c r="G2387" t="s">
        <v>1557</v>
      </c>
      <c r="H2387" t="s">
        <v>7</v>
      </c>
      <c r="I2387">
        <f>HLOOKUP(G2387,zip_tiers!$A$1:$EON$2,2,FALSE)</f>
        <v>69341.666666666672</v>
      </c>
      <c r="J2387" t="str">
        <f t="shared" si="37"/>
        <v>Med</v>
      </c>
      <c r="K2387">
        <f>dataset[[#This Row],[soda_sales]]/dataset[[#This Row],[soda_units_sold]]</f>
        <v>0.69102154896441625</v>
      </c>
      <c r="L2387" s="29">
        <f>dataset[[#This Row],[implied_soda_ppu]]-dataset[[#This Row],[soda_ppu]]</f>
        <v>2.1548964416306937E-5</v>
      </c>
      <c r="M2387">
        <f>dataset[[#This Row],[soda_sales]]/dataset[[#This Row],[total_sales]]</f>
        <v>5.9561707577900552E-2</v>
      </c>
      <c r="N2387">
        <f>LN(dataset[[#This Row],[soda_units_sold]])</f>
        <v>12.380151995130094</v>
      </c>
      <c r="O2387">
        <f>LN(dataset[[#This Row],[soda_sales]])</f>
        <v>12.010567724616667</v>
      </c>
      <c r="P2387">
        <f>LN(dataset[[#This Row],[soda_ppu]])</f>
        <v>-0.36961545521446726</v>
      </c>
      <c r="Q2387">
        <f>IF(dataset[[#This Row],[state]]="VA",1,0)</f>
        <v>0</v>
      </c>
    </row>
    <row r="2388" spans="1:17" x14ac:dyDescent="0.35">
      <c r="A2388">
        <v>202211</v>
      </c>
      <c r="B2388">
        <v>89</v>
      </c>
      <c r="C2388" s="2">
        <v>3138538.9467000002</v>
      </c>
      <c r="D2388" s="2">
        <v>0.73729999999999996</v>
      </c>
      <c r="E2388" s="3">
        <v>204700</v>
      </c>
      <c r="F2388" s="2">
        <v>150928.79380000001</v>
      </c>
      <c r="G2388" t="s">
        <v>1557</v>
      </c>
      <c r="H2388" t="s">
        <v>7</v>
      </c>
      <c r="I2388">
        <f>HLOOKUP(G2388,zip_tiers!$A$1:$EON$2,2,FALSE)</f>
        <v>69341.666666666672</v>
      </c>
      <c r="J2388" t="str">
        <f t="shared" si="37"/>
        <v>Med</v>
      </c>
      <c r="K2388">
        <f>dataset[[#This Row],[soda_sales]]/dataset[[#This Row],[soda_units_sold]]</f>
        <v>0.73731701905227165</v>
      </c>
      <c r="L2388" s="29">
        <f>dataset[[#This Row],[implied_soda_ppu]]-dataset[[#This Row],[soda_ppu]]</f>
        <v>1.701905227169398E-5</v>
      </c>
      <c r="M2388">
        <f>dataset[[#This Row],[soda_sales]]/dataset[[#This Row],[total_sales]]</f>
        <v>4.8088870765390146E-2</v>
      </c>
      <c r="N2388">
        <f>LN(dataset[[#This Row],[soda_units_sold]])</f>
        <v>12.229300771649381</v>
      </c>
      <c r="O2388">
        <f>LN(dataset[[#This Row],[soda_sales]])</f>
        <v>11.924563440337268</v>
      </c>
      <c r="P2388">
        <f>LN(dataset[[#This Row],[soda_ppu]])</f>
        <v>-0.3047604139865322</v>
      </c>
      <c r="Q2388">
        <f>IF(dataset[[#This Row],[state]]="VA",1,0)</f>
        <v>0</v>
      </c>
    </row>
    <row r="2389" spans="1:17" x14ac:dyDescent="0.35">
      <c r="A2389">
        <v>202212</v>
      </c>
      <c r="B2389">
        <v>89</v>
      </c>
      <c r="C2389" s="2">
        <v>3252064.2152</v>
      </c>
      <c r="D2389" s="2">
        <v>0.7177</v>
      </c>
      <c r="E2389" s="3">
        <v>205697</v>
      </c>
      <c r="F2389" s="2">
        <v>147629.25659999999</v>
      </c>
      <c r="G2389" t="s">
        <v>1557</v>
      </c>
      <c r="H2389" t="s">
        <v>7</v>
      </c>
      <c r="I2389">
        <f>HLOOKUP(G2389,zip_tiers!$A$1:$EON$2,2,FALSE)</f>
        <v>69341.666666666672</v>
      </c>
      <c r="J2389" t="str">
        <f t="shared" si="37"/>
        <v>Med</v>
      </c>
      <c r="K2389">
        <f>dataset[[#This Row],[soda_sales]]/dataset[[#This Row],[soda_units_sold]]</f>
        <v>0.71770252653174327</v>
      </c>
      <c r="L2389" s="29">
        <f>dataset[[#This Row],[implied_soda_ppu]]-dataset[[#This Row],[soda_ppu]]</f>
        <v>2.5265317432632273E-6</v>
      </c>
      <c r="M2389">
        <f>dataset[[#This Row],[soda_sales]]/dataset[[#This Row],[total_sales]]</f>
        <v>4.5395553971532165E-2</v>
      </c>
      <c r="N2389">
        <f>LN(dataset[[#This Row],[soda_units_sold]])</f>
        <v>12.23415949118856</v>
      </c>
      <c r="O2389">
        <f>LN(dataset[[#This Row],[soda_sales]])</f>
        <v>11.902459386953577</v>
      </c>
      <c r="P2389">
        <f>LN(dataset[[#This Row],[soda_ppu]])</f>
        <v>-0.33170362454611085</v>
      </c>
      <c r="Q2389">
        <f>IF(dataset[[#This Row],[state]]="VA",1,0)</f>
        <v>0</v>
      </c>
    </row>
    <row r="2390" spans="1:17" x14ac:dyDescent="0.35">
      <c r="A2390">
        <v>202301</v>
      </c>
      <c r="B2390">
        <v>89</v>
      </c>
      <c r="C2390" s="2">
        <v>1881443.7863</v>
      </c>
      <c r="D2390" s="2">
        <v>0.72650000000000003</v>
      </c>
      <c r="E2390" s="3">
        <v>150685</v>
      </c>
      <c r="F2390" s="2">
        <v>109478.98789999999</v>
      </c>
      <c r="G2390" t="s">
        <v>1557</v>
      </c>
      <c r="H2390" t="s">
        <v>7</v>
      </c>
      <c r="I2390">
        <f>HLOOKUP(G2390,zip_tiers!$A$1:$EON$2,2,FALSE)</f>
        <v>69341.666666666672</v>
      </c>
      <c r="J2390" t="str">
        <f t="shared" si="37"/>
        <v>Med</v>
      </c>
      <c r="K2390">
        <f>dataset[[#This Row],[soda_sales]]/dataset[[#This Row],[soda_units_sold]]</f>
        <v>0.72654204399907085</v>
      </c>
      <c r="L2390" s="29">
        <f>dataset[[#This Row],[implied_soda_ppu]]-dataset[[#This Row],[soda_ppu]]</f>
        <v>4.2043999070817684E-5</v>
      </c>
      <c r="M2390">
        <f>dataset[[#This Row],[soda_sales]]/dataset[[#This Row],[total_sales]]</f>
        <v>5.8188816852880104E-2</v>
      </c>
      <c r="N2390">
        <f>LN(dataset[[#This Row],[soda_units_sold]])</f>
        <v>11.922946844159604</v>
      </c>
      <c r="O2390">
        <f>LN(dataset[[#This Row],[soda_sales]])</f>
        <v>11.603487918500996</v>
      </c>
      <c r="P2390">
        <f>LN(dataset[[#This Row],[soda_ppu]])</f>
        <v>-0.31951679597179938</v>
      </c>
      <c r="Q2390">
        <f>IF(dataset[[#This Row],[state]]="VA",1,0)</f>
        <v>0</v>
      </c>
    </row>
    <row r="2391" spans="1:17" x14ac:dyDescent="0.35">
      <c r="A2391">
        <v>202302</v>
      </c>
      <c r="B2391">
        <v>89</v>
      </c>
      <c r="C2391" s="2">
        <v>2142570.3853000002</v>
      </c>
      <c r="D2391" s="2">
        <v>0.74029999999999996</v>
      </c>
      <c r="E2391" s="3">
        <v>172960</v>
      </c>
      <c r="F2391" s="2">
        <v>128050.4172</v>
      </c>
      <c r="G2391" t="s">
        <v>1557</v>
      </c>
      <c r="H2391" t="s">
        <v>7</v>
      </c>
      <c r="I2391">
        <f>HLOOKUP(G2391,zip_tiers!$A$1:$EON$2,2,FALSE)</f>
        <v>69341.666666666672</v>
      </c>
      <c r="J2391" t="str">
        <f t="shared" si="37"/>
        <v>Med</v>
      </c>
      <c r="K2391">
        <f>dataset[[#This Row],[soda_sales]]/dataset[[#This Row],[soda_units_sold]]</f>
        <v>0.74034700046253465</v>
      </c>
      <c r="L2391" s="29">
        <f>dataset[[#This Row],[implied_soda_ppu]]-dataset[[#This Row],[soda_ppu]]</f>
        <v>4.7000462534696474E-5</v>
      </c>
      <c r="M2391">
        <f>dataset[[#This Row],[soda_sales]]/dataset[[#This Row],[total_sales]]</f>
        <v>5.9764859104999964E-2</v>
      </c>
      <c r="N2391">
        <f>LN(dataset[[#This Row],[soda_units_sold]])</f>
        <v>12.060815632873036</v>
      </c>
      <c r="O2391">
        <f>LN(dataset[[#This Row],[soda_sales]])</f>
        <v>11.760179349724668</v>
      </c>
      <c r="P2391">
        <f>LN(dataset[[#This Row],[soda_ppu]])</f>
        <v>-0.30069976953308447</v>
      </c>
      <c r="Q2391">
        <f>IF(dataset[[#This Row],[state]]="VA",1,0)</f>
        <v>0</v>
      </c>
    </row>
    <row r="2392" spans="1:17" x14ac:dyDescent="0.35">
      <c r="A2392">
        <v>202303</v>
      </c>
      <c r="B2392">
        <v>89</v>
      </c>
      <c r="C2392" s="2">
        <v>2364985.3983</v>
      </c>
      <c r="D2392" s="2">
        <v>0.76490000000000002</v>
      </c>
      <c r="E2392" s="3">
        <v>189224</v>
      </c>
      <c r="F2392" s="2">
        <v>144729.06589999999</v>
      </c>
      <c r="G2392" t="s">
        <v>1557</v>
      </c>
      <c r="H2392" t="s">
        <v>7</v>
      </c>
      <c r="I2392">
        <f>HLOOKUP(G2392,zip_tiers!$A$1:$EON$2,2,FALSE)</f>
        <v>69341.666666666672</v>
      </c>
      <c r="J2392" t="str">
        <f t="shared" si="37"/>
        <v>Med</v>
      </c>
      <c r="K2392">
        <f>dataset[[#This Row],[soda_sales]]/dataset[[#This Row],[soda_units_sold]]</f>
        <v>0.76485575772629255</v>
      </c>
      <c r="L2392" s="29">
        <f>dataset[[#This Row],[implied_soda_ppu]]-dataset[[#This Row],[soda_ppu]]</f>
        <v>-4.4242273707473245E-5</v>
      </c>
      <c r="M2392">
        <f>dataset[[#This Row],[soda_sales]]/dataset[[#This Row],[total_sales]]</f>
        <v>6.1196600200590756E-2</v>
      </c>
      <c r="N2392">
        <f>LN(dataset[[#This Row],[soda_units_sold]])</f>
        <v>12.150686777449438</v>
      </c>
      <c r="O2392">
        <f>LN(dataset[[#This Row],[soda_sales]])</f>
        <v>11.882618762523903</v>
      </c>
      <c r="P2392">
        <f>LN(dataset[[#This Row],[soda_ppu]])</f>
        <v>-0.26801017265431665</v>
      </c>
      <c r="Q2392">
        <f>IF(dataset[[#This Row],[state]]="VA",1,0)</f>
        <v>0</v>
      </c>
    </row>
    <row r="2393" spans="1:17" x14ac:dyDescent="0.35">
      <c r="A2393">
        <v>202304</v>
      </c>
      <c r="B2393">
        <v>89</v>
      </c>
      <c r="C2393" s="2">
        <v>2490328.2264999999</v>
      </c>
      <c r="D2393" s="2">
        <v>0.72950000000000004</v>
      </c>
      <c r="E2393" s="3">
        <v>234665</v>
      </c>
      <c r="F2393" s="2">
        <v>171188.64350000001</v>
      </c>
      <c r="G2393" t="s">
        <v>1557</v>
      </c>
      <c r="H2393" t="s">
        <v>7</v>
      </c>
      <c r="I2393">
        <f>HLOOKUP(G2393,zip_tiers!$A$1:$EON$2,2,FALSE)</f>
        <v>69341.666666666672</v>
      </c>
      <c r="J2393" t="str">
        <f t="shared" si="37"/>
        <v>Med</v>
      </c>
      <c r="K2393">
        <f>dataset[[#This Row],[soda_sales]]/dataset[[#This Row],[soda_units_sold]]</f>
        <v>0.72950224149319243</v>
      </c>
      <c r="L2393" s="29">
        <f>dataset[[#This Row],[implied_soda_ppu]]-dataset[[#This Row],[soda_ppu]]</f>
        <v>2.2414931923897541E-6</v>
      </c>
      <c r="M2393">
        <f>dataset[[#This Row],[soda_sales]]/dataset[[#This Row],[total_sales]]</f>
        <v>6.8741397892194675E-2</v>
      </c>
      <c r="N2393">
        <f>LN(dataset[[#This Row],[soda_units_sold]])</f>
        <v>12.365914244174121</v>
      </c>
      <c r="O2393">
        <f>LN(dataset[[#This Row],[soda_sales]])</f>
        <v>12.050521405793274</v>
      </c>
      <c r="P2393">
        <f>LN(dataset[[#This Row],[soda_ppu]])</f>
        <v>-0.31539591101929665</v>
      </c>
      <c r="Q2393">
        <f>IF(dataset[[#This Row],[state]]="VA",1,0)</f>
        <v>0</v>
      </c>
    </row>
    <row r="2394" spans="1:17" x14ac:dyDescent="0.35">
      <c r="A2394">
        <v>202305</v>
      </c>
      <c r="B2394">
        <v>89</v>
      </c>
      <c r="C2394" s="2">
        <v>2662616.4224999999</v>
      </c>
      <c r="D2394" s="2">
        <v>0.72889999999999999</v>
      </c>
      <c r="E2394" s="3">
        <v>260913</v>
      </c>
      <c r="F2394" s="2">
        <v>190166.5183</v>
      </c>
      <c r="G2394" t="s">
        <v>1557</v>
      </c>
      <c r="H2394" t="s">
        <v>7</v>
      </c>
      <c r="I2394">
        <f>HLOOKUP(G2394,zip_tiers!$A$1:$EON$2,2,FALSE)</f>
        <v>69341.666666666672</v>
      </c>
      <c r="J2394" t="str">
        <f t="shared" si="37"/>
        <v>Med</v>
      </c>
      <c r="K2394">
        <f>dataset[[#This Row],[soda_sales]]/dataset[[#This Row],[soda_units_sold]]</f>
        <v>0.72885029990839856</v>
      </c>
      <c r="L2394" s="29">
        <f>dataset[[#This Row],[implied_soda_ppu]]-dataset[[#This Row],[soda_ppu]]</f>
        <v>-4.9700091601434515E-5</v>
      </c>
      <c r="M2394">
        <f>dataset[[#This Row],[soda_sales]]/dataset[[#This Row],[total_sales]]</f>
        <v>7.142092142639446E-2</v>
      </c>
      <c r="N2394">
        <f>LN(dataset[[#This Row],[soda_units_sold]])</f>
        <v>12.471942297403594</v>
      </c>
      <c r="O2394">
        <f>LN(dataset[[#This Row],[soda_sales]])</f>
        <v>12.15565537942304</v>
      </c>
      <c r="P2394">
        <f>LN(dataset[[#This Row],[soda_ppu]])</f>
        <v>-0.31621873059396982</v>
      </c>
      <c r="Q2394">
        <f>IF(dataset[[#This Row],[state]]="VA",1,0)</f>
        <v>0</v>
      </c>
    </row>
    <row r="2395" spans="1:17" x14ac:dyDescent="0.35">
      <c r="A2395">
        <v>202306</v>
      </c>
      <c r="B2395">
        <v>89</v>
      </c>
      <c r="C2395" s="2">
        <v>2524242.4783999999</v>
      </c>
      <c r="D2395" s="2">
        <v>0.70089999999999997</v>
      </c>
      <c r="E2395" s="3">
        <v>277789</v>
      </c>
      <c r="F2395" s="2">
        <v>194693.83499999999</v>
      </c>
      <c r="G2395" t="s">
        <v>1557</v>
      </c>
      <c r="H2395" t="s">
        <v>7</v>
      </c>
      <c r="I2395">
        <f>HLOOKUP(G2395,zip_tiers!$A$1:$EON$2,2,FALSE)</f>
        <v>69341.666666666672</v>
      </c>
      <c r="J2395" t="str">
        <f t="shared" si="37"/>
        <v>Med</v>
      </c>
      <c r="K2395">
        <f>dataset[[#This Row],[soda_sales]]/dataset[[#This Row],[soda_units_sold]]</f>
        <v>0.70086949087256867</v>
      </c>
      <c r="L2395" s="29">
        <f>dataset[[#This Row],[implied_soda_ppu]]-dataset[[#This Row],[soda_ppu]]</f>
        <v>-3.0509127431299632E-5</v>
      </c>
      <c r="M2395">
        <f>dataset[[#This Row],[soda_sales]]/dataset[[#This Row],[total_sales]]</f>
        <v>7.7129608849387313E-2</v>
      </c>
      <c r="N2395">
        <f>LN(dataset[[#This Row],[soda_units_sold]])</f>
        <v>12.534617111686151</v>
      </c>
      <c r="O2395">
        <f>LN(dataset[[#This Row],[soda_sales]])</f>
        <v>12.17918352676036</v>
      </c>
      <c r="P2395">
        <f>LN(dataset[[#This Row],[soda_ppu]])</f>
        <v>-0.355390055475858</v>
      </c>
      <c r="Q2395">
        <f>IF(dataset[[#This Row],[state]]="VA",1,0)</f>
        <v>0</v>
      </c>
    </row>
    <row r="2396" spans="1:17" x14ac:dyDescent="0.35">
      <c r="A2396">
        <v>202307</v>
      </c>
      <c r="B2396">
        <v>89</v>
      </c>
      <c r="C2396" s="2">
        <v>2401823.2094000001</v>
      </c>
      <c r="D2396" s="2">
        <v>0.76519999999999999</v>
      </c>
      <c r="E2396" s="3">
        <v>265012</v>
      </c>
      <c r="F2396" s="2">
        <v>202777.80720000001</v>
      </c>
      <c r="G2396" t="s">
        <v>1557</v>
      </c>
      <c r="H2396" t="s">
        <v>7</v>
      </c>
      <c r="I2396">
        <f>HLOOKUP(G2396,zip_tiers!$A$1:$EON$2,2,FALSE)</f>
        <v>69341.666666666672</v>
      </c>
      <c r="J2396" t="str">
        <f t="shared" si="37"/>
        <v>Med</v>
      </c>
      <c r="K2396">
        <f>dataset[[#This Row],[soda_sales]]/dataset[[#This Row],[soda_units_sold]]</f>
        <v>0.7651646234887477</v>
      </c>
      <c r="L2396" s="29">
        <f>dataset[[#This Row],[implied_soda_ppu]]-dataset[[#This Row],[soda_ppu]]</f>
        <v>-3.5376511252294129E-5</v>
      </c>
      <c r="M2396">
        <f>dataset[[#This Row],[soda_sales]]/dataset[[#This Row],[total_sales]]</f>
        <v>8.4426616582931588E-2</v>
      </c>
      <c r="N2396">
        <f>LN(dataset[[#This Row],[soda_units_sold]])</f>
        <v>12.487530386961982</v>
      </c>
      <c r="O2396">
        <f>LN(dataset[[#This Row],[soda_sales]])</f>
        <v>12.219866112758389</v>
      </c>
      <c r="P2396">
        <f>LN(dataset[[#This Row],[soda_ppu]])</f>
        <v>-0.26761804141603923</v>
      </c>
      <c r="Q2396">
        <f>IF(dataset[[#This Row],[state]]="VA",1,0)</f>
        <v>0</v>
      </c>
    </row>
    <row r="2397" spans="1:17" x14ac:dyDescent="0.35">
      <c r="A2397">
        <v>202308</v>
      </c>
      <c r="B2397">
        <v>89</v>
      </c>
      <c r="C2397" s="2">
        <v>2264501.8624</v>
      </c>
      <c r="D2397" s="2">
        <v>0.76780000000000004</v>
      </c>
      <c r="E2397" s="3">
        <v>230157</v>
      </c>
      <c r="F2397" s="2">
        <v>176719.4871</v>
      </c>
      <c r="G2397" t="s">
        <v>1557</v>
      </c>
      <c r="H2397" t="s">
        <v>7</v>
      </c>
      <c r="I2397">
        <f>HLOOKUP(G2397,zip_tiers!$A$1:$EON$2,2,FALSE)</f>
        <v>69341.666666666672</v>
      </c>
      <c r="J2397" t="str">
        <f t="shared" si="37"/>
        <v>Med</v>
      </c>
      <c r="K2397">
        <f>dataset[[#This Row],[soda_sales]]/dataset[[#This Row],[soda_units_sold]]</f>
        <v>0.76782147447177362</v>
      </c>
      <c r="L2397" s="29">
        <f>dataset[[#This Row],[implied_soda_ppu]]-dataset[[#This Row],[soda_ppu]]</f>
        <v>2.1474471773585968E-5</v>
      </c>
      <c r="M2397">
        <f>dataset[[#This Row],[soda_sales]]/dataset[[#This Row],[total_sales]]</f>
        <v>7.8039011596442831E-2</v>
      </c>
      <c r="N2397">
        <f>LN(dataset[[#This Row],[soda_units_sold]])</f>
        <v>12.346516963729636</v>
      </c>
      <c r="O2397">
        <f>LN(dataset[[#This Row],[soda_sales]])</f>
        <v>12.082318935758416</v>
      </c>
      <c r="P2397">
        <f>LN(dataset[[#This Row],[soda_ppu]])</f>
        <v>-0.26422599641543965</v>
      </c>
      <c r="Q2397">
        <f>IF(dataset[[#This Row],[state]]="VA",1,0)</f>
        <v>0</v>
      </c>
    </row>
    <row r="2398" spans="1:17" x14ac:dyDescent="0.35">
      <c r="A2398">
        <v>202309</v>
      </c>
      <c r="B2398">
        <v>89</v>
      </c>
      <c r="C2398" s="2">
        <v>2245244.0588000002</v>
      </c>
      <c r="D2398" s="2">
        <v>0.7681</v>
      </c>
      <c r="E2398" s="3">
        <v>216589</v>
      </c>
      <c r="F2398" s="2">
        <v>166362.21040000001</v>
      </c>
      <c r="G2398" t="s">
        <v>1557</v>
      </c>
      <c r="H2398" t="s">
        <v>7</v>
      </c>
      <c r="I2398">
        <f>HLOOKUP(G2398,zip_tiers!$A$1:$EON$2,2,FALSE)</f>
        <v>69341.666666666672</v>
      </c>
      <c r="J2398" t="str">
        <f t="shared" si="37"/>
        <v>Med</v>
      </c>
      <c r="K2398">
        <f>dataset[[#This Row],[soda_sales]]/dataset[[#This Row],[soda_units_sold]]</f>
        <v>0.76810092109940953</v>
      </c>
      <c r="L2398" s="29">
        <f>dataset[[#This Row],[implied_soda_ppu]]-dataset[[#This Row],[soda_ppu]]</f>
        <v>9.2109940952322944E-7</v>
      </c>
      <c r="M2398">
        <f>dataset[[#This Row],[soda_sales]]/dataset[[#This Row],[total_sales]]</f>
        <v>7.4095379407846843E-2</v>
      </c>
      <c r="N2398">
        <f>LN(dataset[[#This Row],[soda_units_sold]])</f>
        <v>12.285756827402555</v>
      </c>
      <c r="O2398">
        <f>LN(dataset[[#This Row],[soda_sales]])</f>
        <v>12.021922680616379</v>
      </c>
      <c r="P2398">
        <f>LN(dataset[[#This Row],[soda_ppu]])</f>
        <v>-0.2638353459775008</v>
      </c>
      <c r="Q2398">
        <f>IF(dataset[[#This Row],[state]]="VA",1,0)</f>
        <v>0</v>
      </c>
    </row>
    <row r="2399" spans="1:17" x14ac:dyDescent="0.35">
      <c r="A2399">
        <v>202310</v>
      </c>
      <c r="B2399">
        <v>89</v>
      </c>
      <c r="C2399" s="2">
        <v>2782183.3980999999</v>
      </c>
      <c r="D2399" s="2">
        <v>0.75409999999999999</v>
      </c>
      <c r="E2399" s="3">
        <v>214077</v>
      </c>
      <c r="F2399" s="2">
        <v>161436.00709999999</v>
      </c>
      <c r="G2399" t="s">
        <v>1557</v>
      </c>
      <c r="H2399" t="s">
        <v>7</v>
      </c>
      <c r="I2399">
        <f>HLOOKUP(G2399,zip_tiers!$A$1:$EON$2,2,FALSE)</f>
        <v>69341.666666666672</v>
      </c>
      <c r="J2399" t="str">
        <f t="shared" si="37"/>
        <v>Med</v>
      </c>
      <c r="K2399">
        <f>dataset[[#This Row],[soda_sales]]/dataset[[#This Row],[soda_units_sold]]</f>
        <v>0.75410252899657593</v>
      </c>
      <c r="L2399" s="29">
        <f>dataset[[#This Row],[implied_soda_ppu]]-dataset[[#This Row],[soda_ppu]]</f>
        <v>2.5289965759345279E-6</v>
      </c>
      <c r="M2399">
        <f>dataset[[#This Row],[soda_sales]]/dataset[[#This Row],[total_sales]]</f>
        <v>5.8024933658308568E-2</v>
      </c>
      <c r="N2399">
        <f>LN(dataset[[#This Row],[soda_units_sold]])</f>
        <v>12.274091042370896</v>
      </c>
      <c r="O2399">
        <f>LN(dataset[[#This Row],[soda_sales]])</f>
        <v>11.991864102253819</v>
      </c>
      <c r="P2399">
        <f>LN(dataset[[#This Row],[soda_ppu]])</f>
        <v>-0.2822302937735357</v>
      </c>
      <c r="Q2399">
        <f>IF(dataset[[#This Row],[state]]="VA",1,0)</f>
        <v>0</v>
      </c>
    </row>
    <row r="2400" spans="1:17" x14ac:dyDescent="0.35">
      <c r="A2400">
        <v>202311</v>
      </c>
      <c r="B2400">
        <v>89</v>
      </c>
      <c r="C2400" s="2">
        <v>3178410.4783000001</v>
      </c>
      <c r="D2400" s="2">
        <v>0.77100000000000002</v>
      </c>
      <c r="E2400" s="3">
        <v>198666</v>
      </c>
      <c r="F2400" s="2">
        <v>153168.53169999999</v>
      </c>
      <c r="G2400" t="s">
        <v>1557</v>
      </c>
      <c r="H2400" t="s">
        <v>7</v>
      </c>
      <c r="I2400">
        <f>HLOOKUP(G2400,zip_tiers!$A$1:$EON$2,2,FALSE)</f>
        <v>69341.666666666672</v>
      </c>
      <c r="J2400" t="str">
        <f t="shared" si="37"/>
        <v>Med</v>
      </c>
      <c r="K2400">
        <f>dataset[[#This Row],[soda_sales]]/dataset[[#This Row],[soda_units_sold]]</f>
        <v>0.77098512931251439</v>
      </c>
      <c r="L2400" s="29">
        <f>dataset[[#This Row],[implied_soda_ppu]]-dataset[[#This Row],[soda_ppu]]</f>
        <v>-1.4870687485624146E-5</v>
      </c>
      <c r="M2400">
        <f>dataset[[#This Row],[soda_sales]]/dataset[[#This Row],[total_sales]]</f>
        <v>4.8190292835280195E-2</v>
      </c>
      <c r="N2400">
        <f>LN(dataset[[#This Row],[soda_units_sold]])</f>
        <v>12.199380301669049</v>
      </c>
      <c r="O2400">
        <f>LN(dataset[[#This Row],[soda_sales]])</f>
        <v>11.939294108531827</v>
      </c>
      <c r="P2400">
        <f>LN(dataset[[#This Row],[soda_ppu]])</f>
        <v>-0.26006690541880756</v>
      </c>
      <c r="Q2400">
        <f>IF(dataset[[#This Row],[state]]="VA",1,0)</f>
        <v>0</v>
      </c>
    </row>
    <row r="2401" spans="1:17" x14ac:dyDescent="0.35">
      <c r="A2401">
        <v>202312</v>
      </c>
      <c r="B2401">
        <v>89</v>
      </c>
      <c r="C2401" s="2">
        <v>3367995.5052999998</v>
      </c>
      <c r="D2401" s="2">
        <v>0.73939999999999995</v>
      </c>
      <c r="E2401" s="3">
        <v>206736</v>
      </c>
      <c r="F2401" s="2">
        <v>152850.6348</v>
      </c>
      <c r="G2401" t="s">
        <v>1557</v>
      </c>
      <c r="H2401" t="s">
        <v>7</v>
      </c>
      <c r="I2401">
        <f>HLOOKUP(G2401,zip_tiers!$A$1:$EON$2,2,FALSE)</f>
        <v>69341.666666666672</v>
      </c>
      <c r="J2401" t="str">
        <f t="shared" si="37"/>
        <v>Med</v>
      </c>
      <c r="K2401">
        <f>dataset[[#This Row],[soda_sales]]/dataset[[#This Row],[soda_units_sold]]</f>
        <v>0.73935180520083588</v>
      </c>
      <c r="L2401" s="29">
        <f>dataset[[#This Row],[implied_soda_ppu]]-dataset[[#This Row],[soda_ppu]]</f>
        <v>-4.8194799164069657E-5</v>
      </c>
      <c r="M2401">
        <f>dataset[[#This Row],[soda_sales]]/dataset[[#This Row],[total_sales]]</f>
        <v>4.5383265672257783E-2</v>
      </c>
      <c r="N2401">
        <f>LN(dataset[[#This Row],[soda_units_sold]])</f>
        <v>12.239197895962002</v>
      </c>
      <c r="O2401">
        <f>LN(dataset[[#This Row],[soda_sales]])</f>
        <v>11.937216480401622</v>
      </c>
      <c r="P2401">
        <f>LN(dataset[[#This Row],[soda_ppu]])</f>
        <v>-0.30191623247960558</v>
      </c>
      <c r="Q2401">
        <f>IF(dataset[[#This Row],[state]]="VA",1,0)</f>
        <v>0</v>
      </c>
    </row>
    <row r="2402" spans="1:17" x14ac:dyDescent="0.35">
      <c r="A2402">
        <v>202401</v>
      </c>
      <c r="B2402">
        <v>89</v>
      </c>
      <c r="C2402" s="2">
        <v>1925045.9578</v>
      </c>
      <c r="D2402" s="2">
        <v>0.77880000000000005</v>
      </c>
      <c r="E2402" s="3">
        <v>145046</v>
      </c>
      <c r="F2402" s="2">
        <v>112964.8578</v>
      </c>
      <c r="G2402" t="s">
        <v>1557</v>
      </c>
      <c r="H2402" t="s">
        <v>7</v>
      </c>
      <c r="I2402">
        <f>HLOOKUP(G2402,zip_tiers!$A$1:$EON$2,2,FALSE)</f>
        <v>69341.666666666672</v>
      </c>
      <c r="J2402" t="str">
        <f t="shared" si="37"/>
        <v>Med</v>
      </c>
      <c r="K2402">
        <f>dataset[[#This Row],[soda_sales]]/dataset[[#This Row],[soda_units_sold]]</f>
        <v>0.77882091060766923</v>
      </c>
      <c r="L2402" s="29">
        <f>dataset[[#This Row],[implied_soda_ppu]]-dataset[[#This Row],[soda_ppu]]</f>
        <v>2.091060766917785E-5</v>
      </c>
      <c r="M2402">
        <f>dataset[[#This Row],[soda_sales]]/dataset[[#This Row],[total_sales]]</f>
        <v>5.8681642036795635E-2</v>
      </c>
      <c r="N2402">
        <f>LN(dataset[[#This Row],[soda_units_sold]])</f>
        <v>11.884806212471615</v>
      </c>
      <c r="O2402">
        <f>LN(dataset[[#This Row],[soda_sales]])</f>
        <v>11.634832056405797</v>
      </c>
      <c r="P2402">
        <f>LN(dataset[[#This Row],[soda_ppu]])</f>
        <v>-0.25000100548409238</v>
      </c>
      <c r="Q2402">
        <f>IF(dataset[[#This Row],[state]]="VA",1,0)</f>
        <v>0</v>
      </c>
    </row>
    <row r="2403" spans="1:17" x14ac:dyDescent="0.35">
      <c r="A2403">
        <v>202402</v>
      </c>
      <c r="B2403">
        <v>89</v>
      </c>
      <c r="C2403" s="2">
        <v>2177884.8876999998</v>
      </c>
      <c r="D2403" s="2">
        <v>0.7903</v>
      </c>
      <c r="E2403" s="3">
        <v>161321</v>
      </c>
      <c r="F2403" s="2">
        <v>127492.742</v>
      </c>
      <c r="G2403" t="s">
        <v>1557</v>
      </c>
      <c r="H2403" t="s">
        <v>7</v>
      </c>
      <c r="I2403">
        <f>HLOOKUP(G2403,zip_tiers!$A$1:$EON$2,2,FALSE)</f>
        <v>69341.666666666672</v>
      </c>
      <c r="J2403" t="str">
        <f t="shared" si="37"/>
        <v>Med</v>
      </c>
      <c r="K2403">
        <f>dataset[[#This Row],[soda_sales]]/dataset[[#This Row],[soda_units_sold]]</f>
        <v>0.7903046844490178</v>
      </c>
      <c r="L2403" s="29">
        <f>dataset[[#This Row],[implied_soda_ppu]]-dataset[[#This Row],[soda_ppu]]</f>
        <v>4.6844490177999631E-6</v>
      </c>
      <c r="M2403">
        <f>dataset[[#This Row],[soda_sales]]/dataset[[#This Row],[total_sales]]</f>
        <v>5.8539706446395952E-2</v>
      </c>
      <c r="N2403">
        <f>LN(dataset[[#This Row],[soda_units_sold]])</f>
        <v>11.991151447827502</v>
      </c>
      <c r="O2403">
        <f>LN(dataset[[#This Row],[soda_sales]])</f>
        <v>11.755814716470105</v>
      </c>
      <c r="P2403">
        <f>LN(dataset[[#This Row],[soda_ppu]])</f>
        <v>-0.23534265877120741</v>
      </c>
      <c r="Q2403">
        <f>IF(dataset[[#This Row],[state]]="VA",1,0)</f>
        <v>0</v>
      </c>
    </row>
    <row r="2404" spans="1:17" x14ac:dyDescent="0.35">
      <c r="A2404">
        <v>202403</v>
      </c>
      <c r="B2404">
        <v>89</v>
      </c>
      <c r="C2404" s="2">
        <v>2446197.7727999999</v>
      </c>
      <c r="D2404" s="2">
        <v>0.79369999999999996</v>
      </c>
      <c r="E2404" s="3">
        <v>193925</v>
      </c>
      <c r="F2404" s="2">
        <v>153908.66010000001</v>
      </c>
      <c r="G2404" t="s">
        <v>1557</v>
      </c>
      <c r="H2404" t="s">
        <v>7</v>
      </c>
      <c r="I2404">
        <f>HLOOKUP(G2404,zip_tiers!$A$1:$EON$2,2,FALSE)</f>
        <v>69341.666666666672</v>
      </c>
      <c r="J2404" t="str">
        <f t="shared" si="37"/>
        <v>Med</v>
      </c>
      <c r="K2404">
        <f>dataset[[#This Row],[soda_sales]]/dataset[[#This Row],[soda_units_sold]]</f>
        <v>0.79365043238365351</v>
      </c>
      <c r="L2404" s="29">
        <f>dataset[[#This Row],[implied_soda_ppu]]-dataset[[#This Row],[soda_ppu]]</f>
        <v>-4.9567616346446464E-5</v>
      </c>
      <c r="M2404">
        <f>dataset[[#This Row],[soda_sales]]/dataset[[#This Row],[total_sales]]</f>
        <v>6.2917504795138052E-2</v>
      </c>
      <c r="N2404">
        <f>LN(dataset[[#This Row],[soda_units_sold]])</f>
        <v>12.175226765359072</v>
      </c>
      <c r="O2404">
        <f>LN(dataset[[#This Row],[soda_sales]])</f>
        <v>11.944114589198985</v>
      </c>
      <c r="P2404">
        <f>LN(dataset[[#This Row],[soda_ppu]])</f>
        <v>-0.23104972288530723</v>
      </c>
      <c r="Q2404">
        <f>IF(dataset[[#This Row],[state]]="VA",1,0)</f>
        <v>0</v>
      </c>
    </row>
    <row r="2405" spans="1:17" x14ac:dyDescent="0.35">
      <c r="A2405">
        <v>202404</v>
      </c>
      <c r="B2405">
        <v>89</v>
      </c>
      <c r="C2405" s="2">
        <v>2567183.2733</v>
      </c>
      <c r="D2405" s="2">
        <v>0.7742</v>
      </c>
      <c r="E2405" s="3">
        <v>230318</v>
      </c>
      <c r="F2405" s="2">
        <v>178302.69010000001</v>
      </c>
      <c r="G2405" t="s">
        <v>1557</v>
      </c>
      <c r="H2405" t="s">
        <v>7</v>
      </c>
      <c r="I2405">
        <f>HLOOKUP(G2405,zip_tiers!$A$1:$EON$2,2,FALSE)</f>
        <v>69341.666666666672</v>
      </c>
      <c r="J2405" t="str">
        <f t="shared" si="37"/>
        <v>Med</v>
      </c>
      <c r="K2405">
        <f>dataset[[#This Row],[soda_sales]]/dataset[[#This Row],[soda_units_sold]]</f>
        <v>0.77415872880104897</v>
      </c>
      <c r="L2405" s="29">
        <f>dataset[[#This Row],[implied_soda_ppu]]-dataset[[#This Row],[soda_ppu]]</f>
        <v>-4.1271198951031707E-5</v>
      </c>
      <c r="M2405">
        <f>dataset[[#This Row],[soda_sales]]/dataset[[#This Row],[total_sales]]</f>
        <v>6.9454601061964633E-2</v>
      </c>
      <c r="N2405">
        <f>LN(dataset[[#This Row],[soda_units_sold]])</f>
        <v>12.347216241677671</v>
      </c>
      <c r="O2405">
        <f>LN(dataset[[#This Row],[soda_sales]])</f>
        <v>12.091237891230406</v>
      </c>
      <c r="P2405">
        <f>LN(dataset[[#This Row],[soda_ppu]])</f>
        <v>-0.2559250408385893</v>
      </c>
      <c r="Q2405">
        <f>IF(dataset[[#This Row],[state]]="VA",1,0)</f>
        <v>0</v>
      </c>
    </row>
    <row r="2406" spans="1:17" x14ac:dyDescent="0.35">
      <c r="A2406">
        <v>202405</v>
      </c>
      <c r="B2406">
        <v>89</v>
      </c>
      <c r="C2406" s="2">
        <v>2666543.5605000001</v>
      </c>
      <c r="D2406" s="2">
        <v>0.78710000000000002</v>
      </c>
      <c r="E2406" s="3">
        <v>244734</v>
      </c>
      <c r="F2406" s="2">
        <v>192629.69279999999</v>
      </c>
      <c r="G2406" t="s">
        <v>1557</v>
      </c>
      <c r="H2406" t="s">
        <v>7</v>
      </c>
      <c r="I2406">
        <f>HLOOKUP(G2406,zip_tiers!$A$1:$EON$2,2,FALSE)</f>
        <v>69341.666666666672</v>
      </c>
      <c r="J2406" t="str">
        <f t="shared" si="37"/>
        <v>Med</v>
      </c>
      <c r="K2406">
        <f>dataset[[#This Row],[soda_sales]]/dataset[[#This Row],[soda_units_sold]]</f>
        <v>0.78709820785015561</v>
      </c>
      <c r="L2406" s="29">
        <f>dataset[[#This Row],[implied_soda_ppu]]-dataset[[#This Row],[soda_ppu]]</f>
        <v>-1.792149844415114E-6</v>
      </c>
      <c r="M2406">
        <f>dataset[[#This Row],[soda_sales]]/dataset[[#This Row],[total_sales]]</f>
        <v>7.2239469721574787E-2</v>
      </c>
      <c r="N2406">
        <f>LN(dataset[[#This Row],[soda_units_sold]])</f>
        <v>12.407927185426443</v>
      </c>
      <c r="O2406">
        <f>LN(dataset[[#This Row],[soda_sales]])</f>
        <v>12.168524934687762</v>
      </c>
      <c r="P2406">
        <f>LN(dataset[[#This Row],[soda_ppu]])</f>
        <v>-0.23939997383373254</v>
      </c>
      <c r="Q2406">
        <f>IF(dataset[[#This Row],[state]]="VA",1,0)</f>
        <v>0</v>
      </c>
    </row>
    <row r="2407" spans="1:17" x14ac:dyDescent="0.35">
      <c r="A2407">
        <v>202406</v>
      </c>
      <c r="B2407">
        <v>89</v>
      </c>
      <c r="C2407" s="2">
        <v>2564226.9164</v>
      </c>
      <c r="D2407" s="2">
        <v>0.78310000000000002</v>
      </c>
      <c r="E2407" s="3">
        <v>252264</v>
      </c>
      <c r="F2407" s="2">
        <v>197546.36840000001</v>
      </c>
      <c r="G2407" t="s">
        <v>1557</v>
      </c>
      <c r="H2407" t="s">
        <v>7</v>
      </c>
      <c r="I2407">
        <f>HLOOKUP(G2407,zip_tiers!$A$1:$EON$2,2,FALSE)</f>
        <v>69341.666666666672</v>
      </c>
      <c r="J2407" t="str">
        <f t="shared" si="37"/>
        <v>Med</v>
      </c>
      <c r="K2407">
        <f>dataset[[#This Row],[soda_sales]]/dataset[[#This Row],[soda_units_sold]]</f>
        <v>0.78309377636127231</v>
      </c>
      <c r="L2407" s="29">
        <f>dataset[[#This Row],[implied_soda_ppu]]-dataset[[#This Row],[soda_ppu]]</f>
        <v>-6.2236387277092575E-6</v>
      </c>
      <c r="M2407">
        <f>dataset[[#This Row],[soda_sales]]/dataset[[#This Row],[total_sales]]</f>
        <v>7.703934746825826E-2</v>
      </c>
      <c r="N2407">
        <f>LN(dataset[[#This Row],[soda_units_sold]])</f>
        <v>12.4382314371713</v>
      </c>
      <c r="O2407">
        <f>LN(dataset[[#This Row],[soda_sales]])</f>
        <v>12.193728612476436</v>
      </c>
      <c r="P2407">
        <f>LN(dataset[[#This Row],[soda_ppu]])</f>
        <v>-0.24449487722524504</v>
      </c>
      <c r="Q2407">
        <f>IF(dataset[[#This Row],[state]]="VA",1,0)</f>
        <v>0</v>
      </c>
    </row>
    <row r="2408" spans="1:17" x14ac:dyDescent="0.35">
      <c r="A2408">
        <v>202407</v>
      </c>
      <c r="B2408">
        <v>89</v>
      </c>
      <c r="C2408" s="2">
        <v>2434962.2132000001</v>
      </c>
      <c r="D2408" s="2">
        <v>0.76729999999999998</v>
      </c>
      <c r="E2408" s="3">
        <v>268785</v>
      </c>
      <c r="F2408" s="2">
        <v>206240.46830000001</v>
      </c>
      <c r="G2408" t="s">
        <v>1557</v>
      </c>
      <c r="H2408" t="s">
        <v>7</v>
      </c>
      <c r="I2408">
        <f>HLOOKUP(G2408,zip_tiers!$A$1:$EON$2,2,FALSE)</f>
        <v>69341.666666666672</v>
      </c>
      <c r="J2408" t="str">
        <f t="shared" si="37"/>
        <v>Med</v>
      </c>
      <c r="K2408">
        <f>dataset[[#This Row],[soda_sales]]/dataset[[#This Row],[soda_units_sold]]</f>
        <v>0.7673064653905538</v>
      </c>
      <c r="L2408" s="29">
        <f>dataset[[#This Row],[implied_soda_ppu]]-dataset[[#This Row],[soda_ppu]]</f>
        <v>6.4653905538225587E-6</v>
      </c>
      <c r="M2408">
        <f>dataset[[#This Row],[soda_sales]]/dataset[[#This Row],[total_sales]]</f>
        <v>8.4699658656698859E-2</v>
      </c>
      <c r="N2408">
        <f>LN(dataset[[#This Row],[soda_units_sold]])</f>
        <v>12.501667082502626</v>
      </c>
      <c r="O2408">
        <f>LN(dataset[[#This Row],[soda_sales]])</f>
        <v>12.236798088825983</v>
      </c>
      <c r="P2408">
        <f>LN(dataset[[#This Row],[soda_ppu]])</f>
        <v>-0.26487741979851753</v>
      </c>
      <c r="Q2408">
        <f>IF(dataset[[#This Row],[state]]="VA",1,0)</f>
        <v>0</v>
      </c>
    </row>
    <row r="2409" spans="1:17" x14ac:dyDescent="0.35">
      <c r="A2409">
        <v>202408</v>
      </c>
      <c r="B2409">
        <v>89</v>
      </c>
      <c r="C2409" s="2">
        <v>2309509.7012999998</v>
      </c>
      <c r="D2409" s="2">
        <v>0.81910000000000005</v>
      </c>
      <c r="E2409" s="3">
        <v>219959</v>
      </c>
      <c r="F2409" s="2">
        <v>180168.33489999999</v>
      </c>
      <c r="G2409" t="s">
        <v>1557</v>
      </c>
      <c r="H2409" t="s">
        <v>7</v>
      </c>
      <c r="I2409">
        <f>HLOOKUP(G2409,zip_tiers!$A$1:$EON$2,2,FALSE)</f>
        <v>69341.666666666672</v>
      </c>
      <c r="J2409" t="str">
        <f t="shared" si="37"/>
        <v>Med</v>
      </c>
      <c r="K2409">
        <f>dataset[[#This Row],[soda_sales]]/dataset[[#This Row],[soda_units_sold]]</f>
        <v>0.81909962720325147</v>
      </c>
      <c r="L2409" s="29">
        <f>dataset[[#This Row],[implied_soda_ppu]]-dataset[[#This Row],[soda_ppu]]</f>
        <v>-3.7279674858226031E-7</v>
      </c>
      <c r="M2409">
        <f>dataset[[#This Row],[soda_sales]]/dataset[[#This Row],[total_sales]]</f>
        <v>7.8011508156291806E-2</v>
      </c>
      <c r="N2409">
        <f>LN(dataset[[#This Row],[soda_units_sold]])</f>
        <v>12.301196444330275</v>
      </c>
      <c r="O2409">
        <f>LN(dataset[[#This Row],[soda_sales]])</f>
        <v>12.101646886739877</v>
      </c>
      <c r="P2409">
        <f>LN(dataset[[#This Row],[soda_ppu]])</f>
        <v>-0.19954910246058064</v>
      </c>
      <c r="Q2409">
        <f>IF(dataset[[#This Row],[state]]="VA",1,0)</f>
        <v>0</v>
      </c>
    </row>
    <row r="2410" spans="1:17" x14ac:dyDescent="0.35">
      <c r="A2410">
        <v>202409</v>
      </c>
      <c r="B2410">
        <v>89</v>
      </c>
      <c r="C2410" s="2">
        <v>2323884.2137000002</v>
      </c>
      <c r="D2410" s="2">
        <v>0.80640000000000001</v>
      </c>
      <c r="E2410" s="3">
        <v>212720</v>
      </c>
      <c r="F2410" s="2">
        <v>171535.23060000001</v>
      </c>
      <c r="G2410" t="s">
        <v>1557</v>
      </c>
      <c r="H2410" t="s">
        <v>7</v>
      </c>
      <c r="I2410">
        <f>HLOOKUP(G2410,zip_tiers!$A$1:$EON$2,2,FALSE)</f>
        <v>69341.666666666672</v>
      </c>
      <c r="J2410" t="str">
        <f t="shared" si="37"/>
        <v>Med</v>
      </c>
      <c r="K2410">
        <f>dataset[[#This Row],[soda_sales]]/dataset[[#This Row],[soda_units_sold]]</f>
        <v>0.80638976400902596</v>
      </c>
      <c r="L2410" s="29">
        <f>dataset[[#This Row],[implied_soda_ppu]]-dataset[[#This Row],[soda_ppu]]</f>
        <v>-1.0235990974050146E-5</v>
      </c>
      <c r="M2410">
        <f>dataset[[#This Row],[soda_sales]]/dataset[[#This Row],[total_sales]]</f>
        <v>7.3814017750431782E-2</v>
      </c>
      <c r="N2410">
        <f>LN(dataset[[#This Row],[soda_units_sold]])</f>
        <v>12.267732025916901</v>
      </c>
      <c r="O2410">
        <f>LN(dataset[[#This Row],[soda_sales]])</f>
        <v>12.052543950730119</v>
      </c>
      <c r="P2410">
        <f>LN(dataset[[#This Row],[soda_ppu]])</f>
        <v>-0.21517538166503289</v>
      </c>
      <c r="Q2410">
        <f>IF(dataset[[#This Row],[state]]="VA",1,0)</f>
        <v>0</v>
      </c>
    </row>
    <row r="2411" spans="1:17" x14ac:dyDescent="0.35">
      <c r="A2411">
        <v>202410</v>
      </c>
      <c r="B2411">
        <v>89</v>
      </c>
      <c r="C2411" s="2">
        <v>2835311.2544</v>
      </c>
      <c r="D2411" s="2">
        <v>0.79469999999999996</v>
      </c>
      <c r="E2411" s="3">
        <v>206547</v>
      </c>
      <c r="F2411" s="2">
        <v>164135.48190000001</v>
      </c>
      <c r="G2411" t="s">
        <v>1557</v>
      </c>
      <c r="H2411" t="s">
        <v>7</v>
      </c>
      <c r="I2411">
        <f>HLOOKUP(G2411,zip_tiers!$A$1:$EON$2,2,FALSE)</f>
        <v>69341.666666666672</v>
      </c>
      <c r="J2411" t="str">
        <f t="shared" si="37"/>
        <v>Med</v>
      </c>
      <c r="K2411">
        <f>dataset[[#This Row],[soda_sales]]/dataset[[#This Row],[soda_units_sold]]</f>
        <v>0.79466408081453621</v>
      </c>
      <c r="L2411" s="29">
        <f>dataset[[#This Row],[implied_soda_ppu]]-dataset[[#This Row],[soda_ppu]]</f>
        <v>-3.5919185463750836E-5</v>
      </c>
      <c r="M2411">
        <f>dataset[[#This Row],[soda_sales]]/dataset[[#This Row],[total_sales]]</f>
        <v>5.7889757833565918E-2</v>
      </c>
      <c r="N2411">
        <f>LN(dataset[[#This Row],[soda_units_sold]])</f>
        <v>12.238283268391182</v>
      </c>
      <c r="O2411">
        <f>LN(dataset[[#This Row],[soda_sales]])</f>
        <v>12.008447474912328</v>
      </c>
      <c r="P2411">
        <f>LN(dataset[[#This Row],[soda_ppu]])</f>
        <v>-0.22979059403600338</v>
      </c>
      <c r="Q2411">
        <f>IF(dataset[[#This Row],[state]]="VA",1,0)</f>
        <v>0</v>
      </c>
    </row>
    <row r="2412" spans="1:17" x14ac:dyDescent="0.35">
      <c r="A2412">
        <v>202411</v>
      </c>
      <c r="B2412">
        <v>89</v>
      </c>
      <c r="C2412" s="2">
        <v>3244060.9405999999</v>
      </c>
      <c r="D2412" s="2">
        <v>0.81679999999999997</v>
      </c>
      <c r="E2412" s="3">
        <v>191300</v>
      </c>
      <c r="F2412" s="2">
        <v>156251.76569999999</v>
      </c>
      <c r="G2412" t="s">
        <v>1557</v>
      </c>
      <c r="H2412" t="s">
        <v>7</v>
      </c>
      <c r="I2412">
        <f>HLOOKUP(G2412,zip_tiers!$A$1:$EON$2,2,FALSE)</f>
        <v>69341.666666666672</v>
      </c>
      <c r="J2412" t="str">
        <f t="shared" si="37"/>
        <v>Med</v>
      </c>
      <c r="K2412">
        <f>dataset[[#This Row],[soda_sales]]/dataset[[#This Row],[soda_units_sold]]</f>
        <v>0.81678915682174591</v>
      </c>
      <c r="L2412" s="29">
        <f>dataset[[#This Row],[implied_soda_ppu]]-dataset[[#This Row],[soda_ppu]]</f>
        <v>-1.0843178254060781E-5</v>
      </c>
      <c r="M2412">
        <f>dataset[[#This Row],[soda_sales]]/dataset[[#This Row],[total_sales]]</f>
        <v>4.8165484114210476E-2</v>
      </c>
      <c r="N2412">
        <f>LN(dataset[[#This Row],[soda_units_sold]])</f>
        <v>12.161598155428344</v>
      </c>
      <c r="O2412">
        <f>LN(dataset[[#This Row],[soda_sales]])</f>
        <v>11.959223868014798</v>
      </c>
      <c r="P2412">
        <f>LN(dataset[[#This Row],[soda_ppu]])</f>
        <v>-0.20236101213168128</v>
      </c>
      <c r="Q2412">
        <f>IF(dataset[[#This Row],[state]]="VA",1,0)</f>
        <v>0</v>
      </c>
    </row>
    <row r="2413" spans="1:17" x14ac:dyDescent="0.35">
      <c r="A2413">
        <v>202412</v>
      </c>
      <c r="B2413">
        <v>89</v>
      </c>
      <c r="C2413" s="2">
        <v>3423108.5858999998</v>
      </c>
      <c r="D2413" s="2">
        <v>0.82479999999999998</v>
      </c>
      <c r="E2413" s="3">
        <v>188341</v>
      </c>
      <c r="F2413" s="2">
        <v>155350.0287</v>
      </c>
      <c r="G2413" t="s">
        <v>1557</v>
      </c>
      <c r="H2413" t="s">
        <v>7</v>
      </c>
      <c r="I2413">
        <f>HLOOKUP(G2413,zip_tiers!$A$1:$EON$2,2,FALSE)</f>
        <v>69341.666666666672</v>
      </c>
      <c r="J2413" t="str">
        <f t="shared" si="37"/>
        <v>Med</v>
      </c>
      <c r="K2413">
        <f>dataset[[#This Row],[soda_sales]]/dataset[[#This Row],[soda_units_sold]]</f>
        <v>0.82483383172012459</v>
      </c>
      <c r="L2413" s="29">
        <f>dataset[[#This Row],[implied_soda_ppu]]-dataset[[#This Row],[soda_ppu]]</f>
        <v>3.3831720124610776E-5</v>
      </c>
      <c r="M2413">
        <f>dataset[[#This Row],[soda_sales]]/dataset[[#This Row],[total_sales]]</f>
        <v>4.538273466985434E-2</v>
      </c>
      <c r="N2413">
        <f>LN(dataset[[#This Row],[soda_units_sold]])</f>
        <v>12.146009428596523</v>
      </c>
      <c r="O2413">
        <f>LN(dataset[[#This Row],[soda_sales]])</f>
        <v>11.953436099565302</v>
      </c>
      <c r="P2413">
        <f>LN(dataset[[#This Row],[soda_ppu]])</f>
        <v>-0.19261434627938692</v>
      </c>
      <c r="Q2413">
        <f>IF(dataset[[#This Row],[state]]="VA",1,0)</f>
        <v>0</v>
      </c>
    </row>
    <row r="2414" spans="1:17" x14ac:dyDescent="0.35">
      <c r="A2414">
        <v>202201</v>
      </c>
      <c r="B2414">
        <v>19</v>
      </c>
      <c r="C2414" s="2">
        <v>1665354.2127</v>
      </c>
      <c r="D2414" s="2">
        <v>0.71589999999999998</v>
      </c>
      <c r="E2414" s="3">
        <v>136461</v>
      </c>
      <c r="F2414" s="2">
        <v>97692.856700000004</v>
      </c>
      <c r="G2414" t="s">
        <v>1566</v>
      </c>
      <c r="H2414" t="s">
        <v>7</v>
      </c>
      <c r="I2414">
        <f>HLOOKUP(G2414,zip_tiers!$A$1:$EON$2,2,FALSE)</f>
        <v>54296</v>
      </c>
      <c r="J2414" t="str">
        <f t="shared" si="37"/>
        <v>Med</v>
      </c>
      <c r="K2414">
        <f>dataset[[#This Row],[soda_sales]]/dataset[[#This Row],[soda_units_sold]]</f>
        <v>0.71590312763353636</v>
      </c>
      <c r="L2414" s="29">
        <f>dataset[[#This Row],[implied_soda_ppu]]-dataset[[#This Row],[soda_ppu]]</f>
        <v>3.1276335363816798E-6</v>
      </c>
      <c r="M2414">
        <f>dataset[[#This Row],[soda_sales]]/dataset[[#This Row],[total_sales]]</f>
        <v>5.8661908652822184E-2</v>
      </c>
      <c r="N2414">
        <f>LN(dataset[[#This Row],[soda_units_sold]])</f>
        <v>11.823794138497334</v>
      </c>
      <c r="O2414">
        <f>LN(dataset[[#This Row],[soda_sales]])</f>
        <v>11.489583720721226</v>
      </c>
      <c r="P2414">
        <f>LN(dataset[[#This Row],[soda_ppu]])</f>
        <v>-0.33421478657999776</v>
      </c>
      <c r="Q2414">
        <f>IF(dataset[[#This Row],[state]]="VA",1,0)</f>
        <v>0</v>
      </c>
    </row>
    <row r="2415" spans="1:17" x14ac:dyDescent="0.35">
      <c r="A2415">
        <v>202202</v>
      </c>
      <c r="B2415">
        <v>19</v>
      </c>
      <c r="C2415" s="2">
        <v>1898975.5841000001</v>
      </c>
      <c r="D2415" s="2">
        <v>0.74119999999999997</v>
      </c>
      <c r="E2415" s="3">
        <v>151040</v>
      </c>
      <c r="F2415" s="2">
        <v>111954.4988</v>
      </c>
      <c r="G2415" t="s">
        <v>1566</v>
      </c>
      <c r="H2415" t="s">
        <v>7</v>
      </c>
      <c r="I2415">
        <f>HLOOKUP(G2415,zip_tiers!$A$1:$EON$2,2,FALSE)</f>
        <v>54296</v>
      </c>
      <c r="J2415" t="str">
        <f t="shared" si="37"/>
        <v>Med</v>
      </c>
      <c r="K2415">
        <f>dataset[[#This Row],[soda_sales]]/dataset[[#This Row],[soda_units_sold]]</f>
        <v>0.74122417108050853</v>
      </c>
      <c r="L2415" s="29">
        <f>dataset[[#This Row],[implied_soda_ppu]]-dataset[[#This Row],[soda_ppu]]</f>
        <v>2.4171080508561538E-5</v>
      </c>
      <c r="M2415">
        <f>dataset[[#This Row],[soda_sales]]/dataset[[#This Row],[total_sales]]</f>
        <v>5.8955207079747517E-2</v>
      </c>
      <c r="N2415">
        <f>LN(dataset[[#This Row],[soda_units_sold]])</f>
        <v>11.925299981379327</v>
      </c>
      <c r="O2415">
        <f>LN(dataset[[#This Row],[soda_sales]])</f>
        <v>11.625847807016704</v>
      </c>
      <c r="P2415">
        <f>LN(dataset[[#This Row],[soda_ppu]])</f>
        <v>-0.29948478457093236</v>
      </c>
      <c r="Q2415">
        <f>IF(dataset[[#This Row],[state]]="VA",1,0)</f>
        <v>0</v>
      </c>
    </row>
    <row r="2416" spans="1:17" x14ac:dyDescent="0.35">
      <c r="A2416">
        <v>202203</v>
      </c>
      <c r="B2416">
        <v>19</v>
      </c>
      <c r="C2416" s="2">
        <v>2095833.7541</v>
      </c>
      <c r="D2416" s="2">
        <v>0.70589999999999997</v>
      </c>
      <c r="E2416" s="3">
        <v>185146</v>
      </c>
      <c r="F2416" s="2">
        <v>130690.9362</v>
      </c>
      <c r="G2416" t="s">
        <v>1566</v>
      </c>
      <c r="H2416" t="s">
        <v>7</v>
      </c>
      <c r="I2416">
        <f>HLOOKUP(G2416,zip_tiers!$A$1:$EON$2,2,FALSE)</f>
        <v>54296</v>
      </c>
      <c r="J2416" t="str">
        <f t="shared" si="37"/>
        <v>Med</v>
      </c>
      <c r="K2416">
        <f>dataset[[#This Row],[soda_sales]]/dataset[[#This Row],[soda_units_sold]]</f>
        <v>0.70588041977682481</v>
      </c>
      <c r="L2416" s="29">
        <f>dataset[[#This Row],[implied_soda_ppu]]-dataset[[#This Row],[soda_ppu]]</f>
        <v>-1.9580223175164058E-5</v>
      </c>
      <c r="M2416">
        <f>dataset[[#This Row],[soda_sales]]/dataset[[#This Row],[total_sales]]</f>
        <v>6.2357491830797307E-2</v>
      </c>
      <c r="N2416">
        <f>LN(dataset[[#This Row],[soda_units_sold]])</f>
        <v>12.128899982003606</v>
      </c>
      <c r="O2416">
        <f>LN(dataset[[#This Row],[soda_sales]])</f>
        <v>11.780590549082143</v>
      </c>
      <c r="P2416">
        <f>LN(dataset[[#This Row],[soda_ppu]])</f>
        <v>-0.34828169458071062</v>
      </c>
      <c r="Q2416">
        <f>IF(dataset[[#This Row],[state]]="VA",1,0)</f>
        <v>0</v>
      </c>
    </row>
    <row r="2417" spans="1:17" x14ac:dyDescent="0.35">
      <c r="A2417">
        <v>202204</v>
      </c>
      <c r="B2417">
        <v>19</v>
      </c>
      <c r="C2417" s="2">
        <v>2213840.9770999998</v>
      </c>
      <c r="D2417" s="2">
        <v>0.7339</v>
      </c>
      <c r="E2417" s="3">
        <v>209250</v>
      </c>
      <c r="F2417" s="2">
        <v>153577.3829</v>
      </c>
      <c r="G2417" t="s">
        <v>1566</v>
      </c>
      <c r="H2417" t="s">
        <v>7</v>
      </c>
      <c r="I2417">
        <f>HLOOKUP(G2417,zip_tiers!$A$1:$EON$2,2,FALSE)</f>
        <v>54296</v>
      </c>
      <c r="J2417" t="str">
        <f t="shared" si="37"/>
        <v>Med</v>
      </c>
      <c r="K2417">
        <f>dataset[[#This Row],[soda_sales]]/dataset[[#This Row],[soda_units_sold]]</f>
        <v>0.7339420927120669</v>
      </c>
      <c r="L2417" s="29">
        <f>dataset[[#This Row],[implied_soda_ppu]]-dataset[[#This Row],[soda_ppu]]</f>
        <v>4.2092712066899018E-5</v>
      </c>
      <c r="M2417">
        <f>dataset[[#This Row],[soda_sales]]/dataset[[#This Row],[total_sales]]</f>
        <v>6.9371460953431829E-2</v>
      </c>
      <c r="N2417">
        <f>LN(dataset[[#This Row],[soda_units_sold]])</f>
        <v>12.251284988351722</v>
      </c>
      <c r="O2417">
        <f>LN(dataset[[#This Row],[soda_sales]])</f>
        <v>11.941959842109052</v>
      </c>
      <c r="P2417">
        <f>LN(dataset[[#This Row],[soda_ppu]])</f>
        <v>-0.30938249943111995</v>
      </c>
      <c r="Q2417">
        <f>IF(dataset[[#This Row],[state]]="VA",1,0)</f>
        <v>0</v>
      </c>
    </row>
    <row r="2418" spans="1:17" x14ac:dyDescent="0.35">
      <c r="A2418">
        <v>202205</v>
      </c>
      <c r="B2418">
        <v>19</v>
      </c>
      <c r="C2418" s="2">
        <v>2348535.7603000002</v>
      </c>
      <c r="D2418" s="2">
        <v>0.70589999999999997</v>
      </c>
      <c r="E2418" s="3">
        <v>240738</v>
      </c>
      <c r="F2418" s="2">
        <v>169938.62779999999</v>
      </c>
      <c r="G2418" t="s">
        <v>1566</v>
      </c>
      <c r="H2418" t="s">
        <v>7</v>
      </c>
      <c r="I2418">
        <f>HLOOKUP(G2418,zip_tiers!$A$1:$EON$2,2,FALSE)</f>
        <v>54296</v>
      </c>
      <c r="J2418" t="str">
        <f t="shared" si="37"/>
        <v>Med</v>
      </c>
      <c r="K2418">
        <f>dataset[[#This Row],[soda_sales]]/dataset[[#This Row],[soda_units_sold]]</f>
        <v>0.70590695195606834</v>
      </c>
      <c r="L2418" s="29">
        <f>dataset[[#This Row],[implied_soda_ppu]]-dataset[[#This Row],[soda_ppu]]</f>
        <v>6.9519560683684034E-6</v>
      </c>
      <c r="M2418">
        <f>dataset[[#This Row],[soda_sales]]/dataset[[#This Row],[total_sales]]</f>
        <v>7.2359395446587607E-2</v>
      </c>
      <c r="N2418">
        <f>LN(dataset[[#This Row],[soda_units_sold]])</f>
        <v>12.391464484181347</v>
      </c>
      <c r="O2418">
        <f>LN(dataset[[#This Row],[soda_sales]])</f>
        <v>12.043192637910362</v>
      </c>
      <c r="P2418">
        <f>LN(dataset[[#This Row],[soda_ppu]])</f>
        <v>-0.34828169458071062</v>
      </c>
      <c r="Q2418">
        <f>IF(dataset[[#This Row],[state]]="VA",1,0)</f>
        <v>0</v>
      </c>
    </row>
    <row r="2419" spans="1:17" x14ac:dyDescent="0.35">
      <c r="A2419">
        <v>202206</v>
      </c>
      <c r="B2419">
        <v>19</v>
      </c>
      <c r="C2419" s="2">
        <v>2236524.5355000002</v>
      </c>
      <c r="D2419" s="2">
        <v>0.6996</v>
      </c>
      <c r="E2419" s="3">
        <v>254395</v>
      </c>
      <c r="F2419" s="2">
        <v>177978.7972</v>
      </c>
      <c r="G2419" t="s">
        <v>1566</v>
      </c>
      <c r="H2419" t="s">
        <v>7</v>
      </c>
      <c r="I2419">
        <f>HLOOKUP(G2419,zip_tiers!$A$1:$EON$2,2,FALSE)</f>
        <v>54296</v>
      </c>
      <c r="J2419" t="str">
        <f t="shared" si="37"/>
        <v>Med</v>
      </c>
      <c r="K2419">
        <f>dataset[[#This Row],[soda_sales]]/dataset[[#This Row],[soda_units_sold]]</f>
        <v>0.69961594056486964</v>
      </c>
      <c r="L2419" s="29">
        <f>dataset[[#This Row],[implied_soda_ppu]]-dataset[[#This Row],[soda_ppu]]</f>
        <v>1.5940564869643126E-5</v>
      </c>
      <c r="M2419">
        <f>dataset[[#This Row],[soda_sales]]/dataset[[#This Row],[total_sales]]</f>
        <v>7.957828960736657E-2</v>
      </c>
      <c r="N2419">
        <f>LN(dataset[[#This Row],[soda_units_sold]])</f>
        <v>12.44664345616691</v>
      </c>
      <c r="O2419">
        <f>LN(dataset[[#This Row],[soda_sales]])</f>
        <v>12.089419705325314</v>
      </c>
      <c r="P2419">
        <f>LN(dataset[[#This Row],[soda_ppu]])</f>
        <v>-0.35724653583769006</v>
      </c>
      <c r="Q2419">
        <f>IF(dataset[[#This Row],[state]]="VA",1,0)</f>
        <v>0</v>
      </c>
    </row>
    <row r="2420" spans="1:17" x14ac:dyDescent="0.35">
      <c r="A2420">
        <v>202207</v>
      </c>
      <c r="B2420">
        <v>19</v>
      </c>
      <c r="C2420" s="2">
        <v>2112146.77</v>
      </c>
      <c r="D2420" s="2">
        <v>0.71189999999999998</v>
      </c>
      <c r="E2420" s="3">
        <v>257779</v>
      </c>
      <c r="F2420" s="2">
        <v>183508.4669</v>
      </c>
      <c r="G2420" t="s">
        <v>1566</v>
      </c>
      <c r="H2420" t="s">
        <v>7</v>
      </c>
      <c r="I2420">
        <f>HLOOKUP(G2420,zip_tiers!$A$1:$EON$2,2,FALSE)</f>
        <v>54296</v>
      </c>
      <c r="J2420" t="str">
        <f t="shared" si="37"/>
        <v>Med</v>
      </c>
      <c r="K2420">
        <f>dataset[[#This Row],[soda_sales]]/dataset[[#This Row],[soda_units_sold]]</f>
        <v>0.71188291870167852</v>
      </c>
      <c r="L2420" s="29">
        <f>dataset[[#This Row],[implied_soda_ppu]]-dataset[[#This Row],[soda_ppu]]</f>
        <v>-1.7081298321452998E-5</v>
      </c>
      <c r="M2420">
        <f>dataset[[#This Row],[soda_sales]]/dataset[[#This Row],[total_sales]]</f>
        <v>8.6882440892116608E-2</v>
      </c>
      <c r="N2420">
        <f>LN(dataset[[#This Row],[soda_units_sold]])</f>
        <v>12.459857907674344</v>
      </c>
      <c r="O2420">
        <f>LN(dataset[[#This Row],[soda_sales]])</f>
        <v>12.120016086556706</v>
      </c>
      <c r="P2420">
        <f>LN(dataset[[#This Row],[soda_ppu]])</f>
        <v>-0.33981782687230949</v>
      </c>
      <c r="Q2420">
        <f>IF(dataset[[#This Row],[state]]="VA",1,0)</f>
        <v>0</v>
      </c>
    </row>
    <row r="2421" spans="1:17" x14ac:dyDescent="0.35">
      <c r="A2421">
        <v>202208</v>
      </c>
      <c r="B2421">
        <v>19</v>
      </c>
      <c r="C2421" s="2">
        <v>1996196.219</v>
      </c>
      <c r="D2421" s="2">
        <v>0.71089999999999998</v>
      </c>
      <c r="E2421" s="3">
        <v>227140</v>
      </c>
      <c r="F2421" s="2">
        <v>161484.06159999999</v>
      </c>
      <c r="G2421" t="s">
        <v>1566</v>
      </c>
      <c r="H2421" t="s">
        <v>7</v>
      </c>
      <c r="I2421">
        <f>HLOOKUP(G2421,zip_tiers!$A$1:$EON$2,2,FALSE)</f>
        <v>54296</v>
      </c>
      <c r="J2421" t="str">
        <f t="shared" si="37"/>
        <v>Med</v>
      </c>
      <c r="K2421">
        <f>dataset[[#This Row],[soda_sales]]/dataset[[#This Row],[soda_units_sold]]</f>
        <v>0.71094506295676674</v>
      </c>
      <c r="L2421" s="29">
        <f>dataset[[#This Row],[implied_soda_ppu]]-dataset[[#This Row],[soda_ppu]]</f>
        <v>4.5062956766761531E-5</v>
      </c>
      <c r="M2421">
        <f>dataset[[#This Row],[soda_sales]]/dataset[[#This Row],[total_sales]]</f>
        <v>8.0895885916914462E-2</v>
      </c>
      <c r="N2421">
        <f>LN(dataset[[#This Row],[soda_units_sold]])</f>
        <v>12.333321846445637</v>
      </c>
      <c r="O2421">
        <f>LN(dataset[[#This Row],[soda_sales]])</f>
        <v>11.992161726991409</v>
      </c>
      <c r="P2421">
        <f>LN(dataset[[#This Row],[soda_ppu]])</f>
        <v>-0.34122350604669965</v>
      </c>
      <c r="Q2421">
        <f>IF(dataset[[#This Row],[state]]="VA",1,0)</f>
        <v>0</v>
      </c>
    </row>
    <row r="2422" spans="1:17" x14ac:dyDescent="0.35">
      <c r="A2422">
        <v>202209</v>
      </c>
      <c r="B2422">
        <v>19</v>
      </c>
      <c r="C2422" s="2">
        <v>2013097.6461</v>
      </c>
      <c r="D2422" s="2">
        <v>0.70520000000000005</v>
      </c>
      <c r="E2422" s="3">
        <v>219835</v>
      </c>
      <c r="F2422" s="2">
        <v>155034.2127</v>
      </c>
      <c r="G2422" t="s">
        <v>1566</v>
      </c>
      <c r="H2422" t="s">
        <v>7</v>
      </c>
      <c r="I2422">
        <f>HLOOKUP(G2422,zip_tiers!$A$1:$EON$2,2,FALSE)</f>
        <v>54296</v>
      </c>
      <c r="J2422" t="str">
        <f t="shared" si="37"/>
        <v>Med</v>
      </c>
      <c r="K2422">
        <f>dataset[[#This Row],[soda_sales]]/dataset[[#This Row],[soda_units_sold]]</f>
        <v>0.70522988923510821</v>
      </c>
      <c r="L2422" s="29">
        <f>dataset[[#This Row],[implied_soda_ppu]]-dataset[[#This Row],[soda_ppu]]</f>
        <v>2.9889235108160328E-5</v>
      </c>
      <c r="M2422">
        <f>dataset[[#This Row],[soda_sales]]/dataset[[#This Row],[total_sales]]</f>
        <v>7.7012763389967584E-2</v>
      </c>
      <c r="N2422">
        <f>LN(dataset[[#This Row],[soda_units_sold]])</f>
        <v>12.300632543943795</v>
      </c>
      <c r="O2422">
        <f>LN(dataset[[#This Row],[soda_sales]])</f>
        <v>11.951401098641517</v>
      </c>
      <c r="P2422">
        <f>LN(dataset[[#This Row],[soda_ppu]])</f>
        <v>-0.34927382845842181</v>
      </c>
      <c r="Q2422">
        <f>IF(dataset[[#This Row],[state]]="VA",1,0)</f>
        <v>0</v>
      </c>
    </row>
    <row r="2423" spans="1:17" x14ac:dyDescent="0.35">
      <c r="A2423">
        <v>202210</v>
      </c>
      <c r="B2423">
        <v>19</v>
      </c>
      <c r="C2423" s="2">
        <v>2394624.4136999999</v>
      </c>
      <c r="D2423" s="2">
        <v>0.71319999999999995</v>
      </c>
      <c r="E2423" s="3">
        <v>202669</v>
      </c>
      <c r="F2423" s="2">
        <v>144551.02129999999</v>
      </c>
      <c r="G2423" t="s">
        <v>1566</v>
      </c>
      <c r="H2423" t="s">
        <v>7</v>
      </c>
      <c r="I2423">
        <f>HLOOKUP(G2423,zip_tiers!$A$1:$EON$2,2,FALSE)</f>
        <v>54296</v>
      </c>
      <c r="J2423" t="str">
        <f t="shared" si="37"/>
        <v>Med</v>
      </c>
      <c r="K2423">
        <f>dataset[[#This Row],[soda_sales]]/dataset[[#This Row],[soda_units_sold]]</f>
        <v>0.71323695927842934</v>
      </c>
      <c r="L2423" s="29">
        <f>dataset[[#This Row],[implied_soda_ppu]]-dataset[[#This Row],[soda_ppu]]</f>
        <v>3.6959278429393727E-5</v>
      </c>
      <c r="M2423">
        <f>dataset[[#This Row],[soda_sales]]/dataset[[#This Row],[total_sales]]</f>
        <v>6.0364798952604951E-2</v>
      </c>
      <c r="N2423">
        <f>LN(dataset[[#This Row],[soda_units_sold]])</f>
        <v>12.219329385371813</v>
      </c>
      <c r="O2423">
        <f>LN(dataset[[#This Row],[soda_sales]])</f>
        <v>11.881387812794834</v>
      </c>
      <c r="P2423">
        <f>LN(dataset[[#This Row],[soda_ppu]])</f>
        <v>-0.33799339299315179</v>
      </c>
      <c r="Q2423">
        <f>IF(dataset[[#This Row],[state]]="VA",1,0)</f>
        <v>0</v>
      </c>
    </row>
    <row r="2424" spans="1:17" x14ac:dyDescent="0.35">
      <c r="A2424">
        <v>202211</v>
      </c>
      <c r="B2424">
        <v>19</v>
      </c>
      <c r="C2424" s="2">
        <v>2792518.7176999999</v>
      </c>
      <c r="D2424" s="2">
        <v>0.71350000000000002</v>
      </c>
      <c r="E2424" s="3">
        <v>195456</v>
      </c>
      <c r="F2424" s="2">
        <v>139456.78820000001</v>
      </c>
      <c r="G2424" t="s">
        <v>1566</v>
      </c>
      <c r="H2424" t="s">
        <v>7</v>
      </c>
      <c r="I2424">
        <f>HLOOKUP(G2424,zip_tiers!$A$1:$EON$2,2,FALSE)</f>
        <v>54296</v>
      </c>
      <c r="J2424" t="str">
        <f t="shared" si="37"/>
        <v>Med</v>
      </c>
      <c r="K2424">
        <f>dataset[[#This Row],[soda_sales]]/dataset[[#This Row],[soda_units_sold]]</f>
        <v>0.71349453687786513</v>
      </c>
      <c r="L2424" s="29">
        <f>dataset[[#This Row],[implied_soda_ppu]]-dataset[[#This Row],[soda_ppu]]</f>
        <v>-5.4631221348966363E-6</v>
      </c>
      <c r="M2424">
        <f>dataset[[#This Row],[soda_sales]]/dataset[[#This Row],[total_sales]]</f>
        <v>4.9939428271714756E-2</v>
      </c>
      <c r="N2424">
        <f>LN(dataset[[#This Row],[soda_units_sold]])</f>
        <v>12.183090569138249</v>
      </c>
      <c r="O2424">
        <f>LN(dataset[[#This Row],[soda_sales]])</f>
        <v>11.845510070250228</v>
      </c>
      <c r="P2424">
        <f>LN(dataset[[#This Row],[soda_ppu]])</f>
        <v>-0.3375728420652459</v>
      </c>
      <c r="Q2424">
        <f>IF(dataset[[#This Row],[state]]="VA",1,0)</f>
        <v>0</v>
      </c>
    </row>
    <row r="2425" spans="1:17" x14ac:dyDescent="0.35">
      <c r="A2425">
        <v>202212</v>
      </c>
      <c r="B2425">
        <v>19</v>
      </c>
      <c r="C2425" s="2">
        <v>2882021.9456000002</v>
      </c>
      <c r="D2425" s="2">
        <v>0.72430000000000005</v>
      </c>
      <c r="E2425" s="3">
        <v>185726</v>
      </c>
      <c r="F2425" s="2">
        <v>134514.24350000001</v>
      </c>
      <c r="G2425" t="s">
        <v>1566</v>
      </c>
      <c r="H2425" t="s">
        <v>7</v>
      </c>
      <c r="I2425">
        <f>HLOOKUP(G2425,zip_tiers!$A$1:$EON$2,2,FALSE)</f>
        <v>54296</v>
      </c>
      <c r="J2425" t="str">
        <f t="shared" si="37"/>
        <v>Med</v>
      </c>
      <c r="K2425">
        <f>dataset[[#This Row],[soda_sales]]/dataset[[#This Row],[soda_units_sold]]</f>
        <v>0.7242617807953653</v>
      </c>
      <c r="L2425" s="29">
        <f>dataset[[#This Row],[implied_soda_ppu]]-dataset[[#This Row],[soda_ppu]]</f>
        <v>-3.8219204634759585E-5</v>
      </c>
      <c r="M2425">
        <f>dataset[[#This Row],[soda_sales]]/dataset[[#This Row],[total_sales]]</f>
        <v>4.6673566696937785E-2</v>
      </c>
      <c r="N2425">
        <f>LN(dataset[[#This Row],[soda_units_sold]])</f>
        <v>12.132027748310263</v>
      </c>
      <c r="O2425">
        <f>LN(dataset[[#This Row],[soda_sales]])</f>
        <v>11.809425372045315</v>
      </c>
      <c r="P2425">
        <f>LN(dataset[[#This Row],[soda_ppu]])</f>
        <v>-0.32254960778085662</v>
      </c>
      <c r="Q2425">
        <f>IF(dataset[[#This Row],[state]]="VA",1,0)</f>
        <v>0</v>
      </c>
    </row>
    <row r="2426" spans="1:17" x14ac:dyDescent="0.35">
      <c r="A2426">
        <v>202301</v>
      </c>
      <c r="B2426">
        <v>19</v>
      </c>
      <c r="C2426" s="2">
        <v>1695040.6118000001</v>
      </c>
      <c r="D2426" s="2">
        <v>0.74590000000000001</v>
      </c>
      <c r="E2426" s="3">
        <v>133067</v>
      </c>
      <c r="F2426" s="2">
        <v>99250.983600000007</v>
      </c>
      <c r="G2426" t="s">
        <v>1566</v>
      </c>
      <c r="H2426" t="s">
        <v>7</v>
      </c>
      <c r="I2426">
        <f>HLOOKUP(G2426,zip_tiers!$A$1:$EON$2,2,FALSE)</f>
        <v>54296</v>
      </c>
      <c r="J2426" t="str">
        <f t="shared" si="37"/>
        <v>Med</v>
      </c>
      <c r="K2426">
        <f>dataset[[#This Row],[soda_sales]]/dataset[[#This Row],[soda_units_sold]]</f>
        <v>0.74587225683302405</v>
      </c>
      <c r="L2426" s="29">
        <f>dataset[[#This Row],[implied_soda_ppu]]-dataset[[#This Row],[soda_ppu]]</f>
        <v>-2.7743166975957578E-5</v>
      </c>
      <c r="M2426">
        <f>dataset[[#This Row],[soda_sales]]/dataset[[#This Row],[total_sales]]</f>
        <v>5.8553749632348488E-2</v>
      </c>
      <c r="N2426">
        <f>LN(dataset[[#This Row],[soda_units_sold]])</f>
        <v>11.79860803975822</v>
      </c>
      <c r="O2426">
        <f>LN(dataset[[#This Row],[soda_sales]])</f>
        <v>11.505407108827786</v>
      </c>
      <c r="P2426">
        <f>LN(dataset[[#This Row],[soda_ppu]])</f>
        <v>-0.29316373602101947</v>
      </c>
      <c r="Q2426">
        <f>IF(dataset[[#This Row],[state]]="VA",1,0)</f>
        <v>0</v>
      </c>
    </row>
    <row r="2427" spans="1:17" x14ac:dyDescent="0.35">
      <c r="A2427">
        <v>202302</v>
      </c>
      <c r="B2427">
        <v>19</v>
      </c>
      <c r="C2427" s="2">
        <v>1884153.8802</v>
      </c>
      <c r="D2427" s="2">
        <v>0.77459999999999996</v>
      </c>
      <c r="E2427" s="3">
        <v>141327</v>
      </c>
      <c r="F2427" s="2">
        <v>109477.42170000001</v>
      </c>
      <c r="G2427" t="s">
        <v>1566</v>
      </c>
      <c r="H2427" t="s">
        <v>7</v>
      </c>
      <c r="I2427">
        <f>HLOOKUP(G2427,zip_tiers!$A$1:$EON$2,2,FALSE)</f>
        <v>54296</v>
      </c>
      <c r="J2427" t="str">
        <f t="shared" si="37"/>
        <v>Med</v>
      </c>
      <c r="K2427">
        <f>dataset[[#This Row],[soda_sales]]/dataset[[#This Row],[soda_units_sold]]</f>
        <v>0.7746391114224459</v>
      </c>
      <c r="L2427" s="29">
        <f>dataset[[#This Row],[implied_soda_ppu]]-dataset[[#This Row],[soda_ppu]]</f>
        <v>3.9111422445947674E-5</v>
      </c>
      <c r="M2427">
        <f>dataset[[#This Row],[soda_sales]]/dataset[[#This Row],[total_sales]]</f>
        <v>5.8104289066017868E-2</v>
      </c>
      <c r="N2427">
        <f>LN(dataset[[#This Row],[soda_units_sold]])</f>
        <v>11.858831633221174</v>
      </c>
      <c r="O2427">
        <f>LN(dataset[[#This Row],[soda_sales]])</f>
        <v>11.603473612457131</v>
      </c>
      <c r="P2427">
        <f>LN(dataset[[#This Row],[soda_ppu]])</f>
        <v>-0.25540851190148528</v>
      </c>
      <c r="Q2427">
        <f>IF(dataset[[#This Row],[state]]="VA",1,0)</f>
        <v>0</v>
      </c>
    </row>
    <row r="2428" spans="1:17" x14ac:dyDescent="0.35">
      <c r="A2428">
        <v>202303</v>
      </c>
      <c r="B2428">
        <v>19</v>
      </c>
      <c r="C2428" s="2">
        <v>2121967.6885000002</v>
      </c>
      <c r="D2428" s="2">
        <v>0.74429999999999996</v>
      </c>
      <c r="E2428" s="3">
        <v>177337</v>
      </c>
      <c r="F2428" s="2">
        <v>131983.4031</v>
      </c>
      <c r="G2428" t="s">
        <v>1566</v>
      </c>
      <c r="H2428" t="s">
        <v>7</v>
      </c>
      <c r="I2428">
        <f>HLOOKUP(G2428,zip_tiers!$A$1:$EON$2,2,FALSE)</f>
        <v>54296</v>
      </c>
      <c r="J2428" t="str">
        <f t="shared" si="37"/>
        <v>Med</v>
      </c>
      <c r="K2428">
        <f>dataset[[#This Row],[soda_sales]]/dataset[[#This Row],[soda_units_sold]]</f>
        <v>0.74425192204672452</v>
      </c>
      <c r="L2428" s="29">
        <f>dataset[[#This Row],[implied_soda_ppu]]-dataset[[#This Row],[soda_ppu]]</f>
        <v>-4.807795327543829E-5</v>
      </c>
      <c r="M2428">
        <f>dataset[[#This Row],[soda_sales]]/dataset[[#This Row],[total_sales]]</f>
        <v>6.219859228549228E-2</v>
      </c>
      <c r="N2428">
        <f>LN(dataset[[#This Row],[soda_units_sold]])</f>
        <v>12.085807156133642</v>
      </c>
      <c r="O2428">
        <f>LN(dataset[[#This Row],[soda_sales]])</f>
        <v>11.790431459572405</v>
      </c>
      <c r="P2428">
        <f>LN(dataset[[#This Row],[soda_ppu]])</f>
        <v>-0.29531109961627211</v>
      </c>
      <c r="Q2428">
        <f>IF(dataset[[#This Row],[state]]="VA",1,0)</f>
        <v>0</v>
      </c>
    </row>
    <row r="2429" spans="1:17" x14ac:dyDescent="0.35">
      <c r="A2429">
        <v>202304</v>
      </c>
      <c r="B2429">
        <v>19</v>
      </c>
      <c r="C2429" s="2">
        <v>2220814.4824999999</v>
      </c>
      <c r="D2429" s="2">
        <v>0.73960000000000004</v>
      </c>
      <c r="E2429" s="3">
        <v>208498</v>
      </c>
      <c r="F2429" s="2">
        <v>154206.53099999999</v>
      </c>
      <c r="G2429" t="s">
        <v>1566</v>
      </c>
      <c r="H2429" t="s">
        <v>7</v>
      </c>
      <c r="I2429">
        <f>HLOOKUP(G2429,zip_tiers!$A$1:$EON$2,2,FALSE)</f>
        <v>54296</v>
      </c>
      <c r="J2429" t="str">
        <f t="shared" si="37"/>
        <v>Med</v>
      </c>
      <c r="K2429">
        <f>dataset[[#This Row],[soda_sales]]/dataset[[#This Row],[soda_units_sold]]</f>
        <v>0.73960676361403943</v>
      </c>
      <c r="L2429" s="29">
        <f>dataset[[#This Row],[implied_soda_ppu]]-dataset[[#This Row],[soda_ppu]]</f>
        <v>6.7636140393956268E-6</v>
      </c>
      <c r="M2429">
        <f>dataset[[#This Row],[soda_sales]]/dataset[[#This Row],[total_sales]]</f>
        <v>6.9436926053547565E-2</v>
      </c>
      <c r="N2429">
        <f>LN(dataset[[#This Row],[soda_units_sold]])</f>
        <v>12.247684727848847</v>
      </c>
      <c r="O2429">
        <f>LN(dataset[[#This Row],[soda_sales]])</f>
        <v>11.94604809330006</v>
      </c>
      <c r="P2429">
        <f>LN(dataset[[#This Row],[soda_ppu]])</f>
        <v>-0.30164577946916721</v>
      </c>
      <c r="Q2429">
        <f>IF(dataset[[#This Row],[state]]="VA",1,0)</f>
        <v>0</v>
      </c>
    </row>
    <row r="2430" spans="1:17" x14ac:dyDescent="0.35">
      <c r="A2430">
        <v>202305</v>
      </c>
      <c r="B2430">
        <v>19</v>
      </c>
      <c r="C2430" s="2">
        <v>2349579.7447000002</v>
      </c>
      <c r="D2430" s="2">
        <v>0.7258</v>
      </c>
      <c r="E2430" s="3">
        <v>235099</v>
      </c>
      <c r="F2430" s="2">
        <v>170632.34419999999</v>
      </c>
      <c r="G2430" t="s">
        <v>1566</v>
      </c>
      <c r="H2430" t="s">
        <v>7</v>
      </c>
      <c r="I2430">
        <f>HLOOKUP(G2430,zip_tiers!$A$1:$EON$2,2,FALSE)</f>
        <v>54296</v>
      </c>
      <c r="J2430" t="str">
        <f t="shared" si="37"/>
        <v>Med</v>
      </c>
      <c r="K2430">
        <f>dataset[[#This Row],[soda_sales]]/dataset[[#This Row],[soda_units_sold]]</f>
        <v>0.72578932364663395</v>
      </c>
      <c r="L2430" s="29">
        <f>dataset[[#This Row],[implied_soda_ppu]]-dataset[[#This Row],[soda_ppu]]</f>
        <v>-1.0676353366045888E-5</v>
      </c>
      <c r="M2430">
        <f>dataset[[#This Row],[soda_sales]]/dataset[[#This Row],[total_sales]]</f>
        <v>7.2622495399400341E-2</v>
      </c>
      <c r="N2430">
        <f>LN(dataset[[#This Row],[soda_units_sold]])</f>
        <v>12.36776198100997</v>
      </c>
      <c r="O2430">
        <f>LN(dataset[[#This Row],[soda_sales]])</f>
        <v>12.047266486925444</v>
      </c>
      <c r="P2430">
        <f>LN(dataset[[#This Row],[soda_ppu]])</f>
        <v>-0.32048078420316711</v>
      </c>
      <c r="Q2430">
        <f>IF(dataset[[#This Row],[state]]="VA",1,0)</f>
        <v>0</v>
      </c>
    </row>
    <row r="2431" spans="1:17" x14ac:dyDescent="0.35">
      <c r="A2431">
        <v>202306</v>
      </c>
      <c r="B2431">
        <v>19</v>
      </c>
      <c r="C2431" s="2">
        <v>2234612.6156000001</v>
      </c>
      <c r="D2431" s="2">
        <v>0.73719999999999997</v>
      </c>
      <c r="E2431" s="3">
        <v>238693</v>
      </c>
      <c r="F2431" s="2">
        <v>175958.758</v>
      </c>
      <c r="G2431" t="s">
        <v>1566</v>
      </c>
      <c r="H2431" t="s">
        <v>7</v>
      </c>
      <c r="I2431">
        <f>HLOOKUP(G2431,zip_tiers!$A$1:$EON$2,2,FALSE)</f>
        <v>54296</v>
      </c>
      <c r="J2431" t="str">
        <f t="shared" si="37"/>
        <v>Med</v>
      </c>
      <c r="K2431">
        <f>dataset[[#This Row],[soda_sales]]/dataset[[#This Row],[soda_units_sold]]</f>
        <v>0.73717602946043659</v>
      </c>
      <c r="L2431" s="29">
        <f>dataset[[#This Row],[implied_soda_ppu]]-dataset[[#This Row],[soda_ppu]]</f>
        <v>-2.3970539563378246E-5</v>
      </c>
      <c r="M2431">
        <f>dataset[[#This Row],[soda_sales]]/dataset[[#This Row],[total_sales]]</f>
        <v>7.8742398915865139E-2</v>
      </c>
      <c r="N2431">
        <f>LN(dataset[[#This Row],[soda_units_sold]])</f>
        <v>12.382933486383724</v>
      </c>
      <c r="O2431">
        <f>LN(dataset[[#This Row],[soda_sales]])</f>
        <v>12.078004917015377</v>
      </c>
      <c r="P2431">
        <f>LN(dataset[[#This Row],[soda_ppu]])</f>
        <v>-0.3048960531864689</v>
      </c>
      <c r="Q2431">
        <f>IF(dataset[[#This Row],[state]]="VA",1,0)</f>
        <v>0</v>
      </c>
    </row>
    <row r="2432" spans="1:17" x14ac:dyDescent="0.35">
      <c r="A2432">
        <v>202307</v>
      </c>
      <c r="B2432">
        <v>19</v>
      </c>
      <c r="C2432" s="2">
        <v>2130256.4942000001</v>
      </c>
      <c r="D2432" s="2">
        <v>0.76580000000000004</v>
      </c>
      <c r="E2432" s="3">
        <v>233769</v>
      </c>
      <c r="F2432" s="2">
        <v>179030.92629999999</v>
      </c>
      <c r="G2432" t="s">
        <v>1566</v>
      </c>
      <c r="H2432" t="s">
        <v>7</v>
      </c>
      <c r="I2432">
        <f>HLOOKUP(G2432,zip_tiers!$A$1:$EON$2,2,FALSE)</f>
        <v>54296</v>
      </c>
      <c r="J2432" t="str">
        <f t="shared" si="37"/>
        <v>Med</v>
      </c>
      <c r="K2432">
        <f>dataset[[#This Row],[soda_sales]]/dataset[[#This Row],[soda_units_sold]]</f>
        <v>0.7658454555565537</v>
      </c>
      <c r="L2432" s="29">
        <f>dataset[[#This Row],[implied_soda_ppu]]-dataset[[#This Row],[soda_ppu]]</f>
        <v>4.5455556553664067E-5</v>
      </c>
      <c r="M2432">
        <f>dataset[[#This Row],[soda_sales]]/dataset[[#This Row],[total_sales]]</f>
        <v>8.4041957758346636E-2</v>
      </c>
      <c r="N2432">
        <f>LN(dataset[[#This Row],[soda_units_sold]])</f>
        <v>12.362088727270075</v>
      </c>
      <c r="O2432">
        <f>LN(dataset[[#This Row],[soda_sales]])</f>
        <v>12.095313842525119</v>
      </c>
      <c r="P2432">
        <f>LN(dataset[[#This Row],[soda_ppu]])</f>
        <v>-0.26683423993894284</v>
      </c>
      <c r="Q2432">
        <f>IF(dataset[[#This Row],[state]]="VA",1,0)</f>
        <v>0</v>
      </c>
    </row>
    <row r="2433" spans="1:17" x14ac:dyDescent="0.35">
      <c r="A2433">
        <v>202308</v>
      </c>
      <c r="B2433">
        <v>19</v>
      </c>
      <c r="C2433" s="2">
        <v>2019900.1181000001</v>
      </c>
      <c r="D2433" s="2">
        <v>0.7742</v>
      </c>
      <c r="E2433" s="3">
        <v>200995</v>
      </c>
      <c r="F2433" s="2">
        <v>155601.62659999999</v>
      </c>
      <c r="G2433" t="s">
        <v>1566</v>
      </c>
      <c r="H2433" t="s">
        <v>7</v>
      </c>
      <c r="I2433">
        <f>HLOOKUP(G2433,zip_tiers!$A$1:$EON$2,2,FALSE)</f>
        <v>54296</v>
      </c>
      <c r="J2433" t="str">
        <f t="shared" si="37"/>
        <v>Med</v>
      </c>
      <c r="K2433">
        <f>dataset[[#This Row],[soda_sales]]/dataset[[#This Row],[soda_units_sold]]</f>
        <v>0.77415670340058207</v>
      </c>
      <c r="L2433" s="29">
        <f>dataset[[#This Row],[implied_soda_ppu]]-dataset[[#This Row],[soda_ppu]]</f>
        <v>-4.3296599417930182E-5</v>
      </c>
      <c r="M2433">
        <f>dataset[[#This Row],[soda_sales]]/dataset[[#This Row],[total_sales]]</f>
        <v>7.7034317294047777E-2</v>
      </c>
      <c r="N2433">
        <f>LN(dataset[[#This Row],[soda_units_sold]])</f>
        <v>12.211035311109919</v>
      </c>
      <c r="O2433">
        <f>LN(dataset[[#This Row],[soda_sales]])</f>
        <v>11.955054344399295</v>
      </c>
      <c r="P2433">
        <f>LN(dataset[[#This Row],[soda_ppu]])</f>
        <v>-0.2559250408385893</v>
      </c>
      <c r="Q2433">
        <f>IF(dataset[[#This Row],[state]]="VA",1,0)</f>
        <v>0</v>
      </c>
    </row>
    <row r="2434" spans="1:17" x14ac:dyDescent="0.35">
      <c r="A2434">
        <v>202309</v>
      </c>
      <c r="B2434">
        <v>19</v>
      </c>
      <c r="C2434" s="2">
        <v>1995854.1916</v>
      </c>
      <c r="D2434" s="2">
        <v>0.78090000000000004</v>
      </c>
      <c r="E2434" s="3">
        <v>191059</v>
      </c>
      <c r="F2434" s="2">
        <v>149196.7597</v>
      </c>
      <c r="G2434" t="s">
        <v>1566</v>
      </c>
      <c r="H2434" t="s">
        <v>7</v>
      </c>
      <c r="I2434">
        <f>HLOOKUP(G2434,zip_tiers!$A$1:$EON$2,2,FALSE)</f>
        <v>54296</v>
      </c>
      <c r="J2434" t="str">
        <f t="shared" ref="J2434:J2497" si="38">IF(I2434="","No Data",IF(I2434&gt;=100000,"High",IF(I2434&gt;=40000,"Med","Low")))</f>
        <v>Med</v>
      </c>
      <c r="K2434">
        <f>dataset[[#This Row],[soda_sales]]/dataset[[#This Row],[soda_units_sold]]</f>
        <v>0.7808936490822207</v>
      </c>
      <c r="L2434" s="29">
        <f>dataset[[#This Row],[implied_soda_ppu]]-dataset[[#This Row],[soda_ppu]]</f>
        <v>-6.3509177793408256E-6</v>
      </c>
      <c r="M2434">
        <f>dataset[[#This Row],[soda_sales]]/dataset[[#This Row],[total_sales]]</f>
        <v>7.4753336354894076E-2</v>
      </c>
      <c r="N2434">
        <f>LN(dataset[[#This Row],[soda_units_sold]])</f>
        <v>12.160337559852383</v>
      </c>
      <c r="O2434">
        <f>LN(dataset[[#This Row],[soda_sales]])</f>
        <v>11.913021248687544</v>
      </c>
      <c r="P2434">
        <f>LN(dataset[[#This Row],[soda_ppu]])</f>
        <v>-0.24730817831350763</v>
      </c>
      <c r="Q2434">
        <f>IF(dataset[[#This Row],[state]]="VA",1,0)</f>
        <v>0</v>
      </c>
    </row>
    <row r="2435" spans="1:17" x14ac:dyDescent="0.35">
      <c r="A2435">
        <v>202310</v>
      </c>
      <c r="B2435">
        <v>19</v>
      </c>
      <c r="C2435" s="2">
        <v>2493641.7655000002</v>
      </c>
      <c r="D2435" s="2">
        <v>0.79520000000000002</v>
      </c>
      <c r="E2435" s="3">
        <v>180242</v>
      </c>
      <c r="F2435" s="2">
        <v>143333.51240000001</v>
      </c>
      <c r="G2435" t="s">
        <v>1566</v>
      </c>
      <c r="H2435" t="s">
        <v>7</v>
      </c>
      <c r="I2435">
        <f>HLOOKUP(G2435,zip_tiers!$A$1:$EON$2,2,FALSE)</f>
        <v>54296</v>
      </c>
      <c r="J2435" t="str">
        <f t="shared" si="38"/>
        <v>Med</v>
      </c>
      <c r="K2435">
        <f>dataset[[#This Row],[soda_sales]]/dataset[[#This Row],[soda_units_sold]]</f>
        <v>0.79522815104137778</v>
      </c>
      <c r="L2435" s="29">
        <f>dataset[[#This Row],[implied_soda_ppu]]-dataset[[#This Row],[soda_ppu]]</f>
        <v>2.8151041377766362E-5</v>
      </c>
      <c r="M2435">
        <f>dataset[[#This Row],[soda_sales]]/dataset[[#This Row],[total_sales]]</f>
        <v>5.7479592451107425E-2</v>
      </c>
      <c r="N2435">
        <f>LN(dataset[[#This Row],[soda_units_sold]])</f>
        <v>12.102055671360585</v>
      </c>
      <c r="O2435">
        <f>LN(dataset[[#This Row],[soda_sales]])</f>
        <v>11.87292944830318</v>
      </c>
      <c r="P2435">
        <f>LN(dataset[[#This Row],[soda_ppu]])</f>
        <v>-0.22916162363977274</v>
      </c>
      <c r="Q2435">
        <f>IF(dataset[[#This Row],[state]]="VA",1,0)</f>
        <v>0</v>
      </c>
    </row>
    <row r="2436" spans="1:17" x14ac:dyDescent="0.35">
      <c r="A2436">
        <v>202311</v>
      </c>
      <c r="B2436">
        <v>19</v>
      </c>
      <c r="C2436" s="2">
        <v>2822110.2727999999</v>
      </c>
      <c r="D2436" s="2">
        <v>0.78700000000000003</v>
      </c>
      <c r="E2436" s="3">
        <v>172927</v>
      </c>
      <c r="F2436" s="2">
        <v>136099.8328</v>
      </c>
      <c r="G2436" t="s">
        <v>1566</v>
      </c>
      <c r="H2436" t="s">
        <v>7</v>
      </c>
      <c r="I2436">
        <f>HLOOKUP(G2436,zip_tiers!$A$1:$EON$2,2,FALSE)</f>
        <v>54296</v>
      </c>
      <c r="J2436" t="str">
        <f t="shared" si="38"/>
        <v>Med</v>
      </c>
      <c r="K2436">
        <f>dataset[[#This Row],[soda_sales]]/dataset[[#This Row],[soda_units_sold]]</f>
        <v>0.78703633787667626</v>
      </c>
      <c r="L2436" s="29">
        <f>dataset[[#This Row],[implied_soda_ppu]]-dataset[[#This Row],[soda_ppu]]</f>
        <v>3.6337876676229008E-5</v>
      </c>
      <c r="M2436">
        <f>dataset[[#This Row],[soda_sales]]/dataset[[#This Row],[total_sales]]</f>
        <v>4.8226263201602844E-2</v>
      </c>
      <c r="N2436">
        <f>LN(dataset[[#This Row],[soda_units_sold]])</f>
        <v>12.060624819109579</v>
      </c>
      <c r="O2436">
        <f>LN(dataset[[#This Row],[soda_sales]])</f>
        <v>11.821143960130353</v>
      </c>
      <c r="P2436">
        <f>LN(dataset[[#This Row],[soda_ppu]])</f>
        <v>-0.23952703056473379</v>
      </c>
      <c r="Q2436">
        <f>IF(dataset[[#This Row],[state]]="VA",1,0)</f>
        <v>0</v>
      </c>
    </row>
    <row r="2437" spans="1:17" x14ac:dyDescent="0.35">
      <c r="A2437">
        <v>202312</v>
      </c>
      <c r="B2437">
        <v>19</v>
      </c>
      <c r="C2437" s="2">
        <v>2947162.2919999999</v>
      </c>
      <c r="D2437" s="2">
        <v>0.75519999999999998</v>
      </c>
      <c r="E2437" s="3">
        <v>180566</v>
      </c>
      <c r="F2437" s="2">
        <v>136368.86050000001</v>
      </c>
      <c r="G2437" t="s">
        <v>1566</v>
      </c>
      <c r="H2437" t="s">
        <v>7</v>
      </c>
      <c r="I2437">
        <f>HLOOKUP(G2437,zip_tiers!$A$1:$EON$2,2,FALSE)</f>
        <v>54296</v>
      </c>
      <c r="J2437" t="str">
        <f t="shared" si="38"/>
        <v>Med</v>
      </c>
      <c r="K2437">
        <f>dataset[[#This Row],[soda_sales]]/dataset[[#This Row],[soda_units_sold]]</f>
        <v>0.75523000177220523</v>
      </c>
      <c r="L2437" s="29">
        <f>dataset[[#This Row],[implied_soda_ppu]]-dataset[[#This Row],[soda_ppu]]</f>
        <v>3.0001772205245913E-5</v>
      </c>
      <c r="M2437">
        <f>dataset[[#This Row],[soda_sales]]/dataset[[#This Row],[total_sales]]</f>
        <v>4.6271242296418477E-2</v>
      </c>
      <c r="N2437">
        <f>LN(dataset[[#This Row],[soda_units_sold]])</f>
        <v>12.103851640890577</v>
      </c>
      <c r="O2437">
        <f>LN(dataset[[#This Row],[soda_sales]])</f>
        <v>11.823118702873579</v>
      </c>
      <c r="P2437">
        <f>LN(dataset[[#This Row],[soda_ppu]])</f>
        <v>-0.28077266415084612</v>
      </c>
      <c r="Q2437">
        <f>IF(dataset[[#This Row],[state]]="VA",1,0)</f>
        <v>0</v>
      </c>
    </row>
    <row r="2438" spans="1:17" x14ac:dyDescent="0.35">
      <c r="A2438">
        <v>202401</v>
      </c>
      <c r="B2438">
        <v>19</v>
      </c>
      <c r="C2438" s="2">
        <v>1699901.1364</v>
      </c>
      <c r="D2438" s="2">
        <v>0.79039999999999999</v>
      </c>
      <c r="E2438" s="3">
        <v>127089</v>
      </c>
      <c r="F2438" s="2">
        <v>100448.8766</v>
      </c>
      <c r="G2438" t="s">
        <v>1566</v>
      </c>
      <c r="H2438" t="s">
        <v>7</v>
      </c>
      <c r="I2438">
        <f>HLOOKUP(G2438,zip_tiers!$A$1:$EON$2,2,FALSE)</f>
        <v>54296</v>
      </c>
      <c r="J2438" t="str">
        <f t="shared" si="38"/>
        <v>Med</v>
      </c>
      <c r="K2438">
        <f>dataset[[#This Row],[soda_sales]]/dataset[[#This Row],[soda_units_sold]]</f>
        <v>0.79038214636986681</v>
      </c>
      <c r="L2438" s="29">
        <f>dataset[[#This Row],[implied_soda_ppu]]-dataset[[#This Row],[soda_ppu]]</f>
        <v>-1.7853630133179976E-5</v>
      </c>
      <c r="M2438">
        <f>dataset[[#This Row],[soda_sales]]/dataset[[#This Row],[total_sales]]</f>
        <v>5.9091010911803757E-2</v>
      </c>
      <c r="N2438">
        <f>LN(dataset[[#This Row],[soda_units_sold]])</f>
        <v>11.752642907405471</v>
      </c>
      <c r="O2438">
        <f>LN(dataset[[#This Row],[soda_sales]])</f>
        <v>11.517404186507074</v>
      </c>
      <c r="P2438">
        <f>LN(dataset[[#This Row],[soda_ppu]])</f>
        <v>-0.23521613254847901</v>
      </c>
      <c r="Q2438">
        <f>IF(dataset[[#This Row],[state]]="VA",1,0)</f>
        <v>0</v>
      </c>
    </row>
    <row r="2439" spans="1:17" x14ac:dyDescent="0.35">
      <c r="A2439">
        <v>202402</v>
      </c>
      <c r="B2439">
        <v>19</v>
      </c>
      <c r="C2439" s="2">
        <v>1937159.2897999999</v>
      </c>
      <c r="D2439" s="2">
        <v>0.78690000000000004</v>
      </c>
      <c r="E2439" s="3">
        <v>140473</v>
      </c>
      <c r="F2439" s="2">
        <v>110536.0287</v>
      </c>
      <c r="G2439" t="s">
        <v>1566</v>
      </c>
      <c r="H2439" t="s">
        <v>7</v>
      </c>
      <c r="I2439">
        <f>HLOOKUP(G2439,zip_tiers!$A$1:$EON$2,2,FALSE)</f>
        <v>54296</v>
      </c>
      <c r="J2439" t="str">
        <f t="shared" si="38"/>
        <v>Med</v>
      </c>
      <c r="K2439">
        <f>dataset[[#This Row],[soda_sales]]/dataset[[#This Row],[soda_units_sold]]</f>
        <v>0.78688451659749559</v>
      </c>
      <c r="L2439" s="29">
        <f>dataset[[#This Row],[implied_soda_ppu]]-dataset[[#This Row],[soda_ppu]]</f>
        <v>-1.5483402504457011E-5</v>
      </c>
      <c r="M2439">
        <f>dataset[[#This Row],[soda_sales]]/dataset[[#This Row],[total_sales]]</f>
        <v>5.7060887703980281E-2</v>
      </c>
      <c r="N2439">
        <f>LN(dataset[[#This Row],[soda_units_sold]])</f>
        <v>11.852770578470254</v>
      </c>
      <c r="O2439">
        <f>LN(dataset[[#This Row],[soda_sales]])</f>
        <v>11.613096798380388</v>
      </c>
      <c r="P2439">
        <f>LN(dataset[[#This Row],[soda_ppu]])</f>
        <v>-0.23965410344119931</v>
      </c>
      <c r="Q2439">
        <f>IF(dataset[[#This Row],[state]]="VA",1,0)</f>
        <v>0</v>
      </c>
    </row>
    <row r="2440" spans="1:17" x14ac:dyDescent="0.35">
      <c r="A2440">
        <v>202403</v>
      </c>
      <c r="B2440">
        <v>19</v>
      </c>
      <c r="C2440" s="2">
        <v>2166708.5273000002</v>
      </c>
      <c r="D2440" s="2">
        <v>0.80600000000000005</v>
      </c>
      <c r="E2440" s="3">
        <v>166998</v>
      </c>
      <c r="F2440" s="2">
        <v>134607.80439999999</v>
      </c>
      <c r="G2440" t="s">
        <v>1566</v>
      </c>
      <c r="H2440" t="s">
        <v>7</v>
      </c>
      <c r="I2440">
        <f>HLOOKUP(G2440,zip_tiers!$A$1:$EON$2,2,FALSE)</f>
        <v>54296</v>
      </c>
      <c r="J2440" t="str">
        <f t="shared" si="38"/>
        <v>Med</v>
      </c>
      <c r="K2440">
        <f>dataset[[#This Row],[soda_sales]]/dataset[[#This Row],[soda_units_sold]]</f>
        <v>0.8060444101126959</v>
      </c>
      <c r="L2440" s="29">
        <f>dataset[[#This Row],[implied_soda_ppu]]-dataset[[#This Row],[soda_ppu]]</f>
        <v>4.4410112695847381E-5</v>
      </c>
      <c r="M2440">
        <f>dataset[[#This Row],[soda_sales]]/dataset[[#This Row],[total_sales]]</f>
        <v>6.2125478671438458E-2</v>
      </c>
      <c r="N2440">
        <f>LN(dataset[[#This Row],[soda_units_sold]])</f>
        <v>12.025737115279275</v>
      </c>
      <c r="O2440">
        <f>LN(dataset[[#This Row],[soda_sales]])</f>
        <v>11.810120676681255</v>
      </c>
      <c r="P2440">
        <f>LN(dataset[[#This Row],[soda_ppu]])</f>
        <v>-0.21567153647550871</v>
      </c>
      <c r="Q2440">
        <f>IF(dataset[[#This Row],[state]]="VA",1,0)</f>
        <v>0</v>
      </c>
    </row>
    <row r="2441" spans="1:17" x14ac:dyDescent="0.35">
      <c r="A2441">
        <v>202404</v>
      </c>
      <c r="B2441">
        <v>19</v>
      </c>
      <c r="C2441" s="2">
        <v>2259003.0054000001</v>
      </c>
      <c r="D2441" s="2">
        <v>0.82369999999999999</v>
      </c>
      <c r="E2441" s="3">
        <v>183457</v>
      </c>
      <c r="F2441" s="2">
        <v>151111.7249</v>
      </c>
      <c r="G2441" t="s">
        <v>1566</v>
      </c>
      <c r="H2441" t="s">
        <v>7</v>
      </c>
      <c r="I2441">
        <f>HLOOKUP(G2441,zip_tiers!$A$1:$EON$2,2,FALSE)</f>
        <v>54296</v>
      </c>
      <c r="J2441" t="str">
        <f t="shared" si="38"/>
        <v>Med</v>
      </c>
      <c r="K2441">
        <f>dataset[[#This Row],[soda_sales]]/dataset[[#This Row],[soda_units_sold]]</f>
        <v>0.82369015573131577</v>
      </c>
      <c r="L2441" s="29">
        <f>dataset[[#This Row],[implied_soda_ppu]]-dataset[[#This Row],[soda_ppu]]</f>
        <v>-9.8442686842226124E-6</v>
      </c>
      <c r="M2441">
        <f>dataset[[#This Row],[soda_sales]]/dataset[[#This Row],[total_sales]]</f>
        <v>6.6893104851466434E-2</v>
      </c>
      <c r="N2441">
        <f>LN(dataset[[#This Row],[soda_units_sold]])</f>
        <v>12.119735586591561</v>
      </c>
      <c r="O2441">
        <f>LN(dataset[[#This Row],[soda_sales]])</f>
        <v>11.925774742206002</v>
      </c>
      <c r="P2441">
        <f>LN(dataset[[#This Row],[soda_ppu]])</f>
        <v>-0.19394889303493401</v>
      </c>
      <c r="Q2441">
        <f>IF(dataset[[#This Row],[state]]="VA",1,0)</f>
        <v>0</v>
      </c>
    </row>
    <row r="2442" spans="1:17" x14ac:dyDescent="0.35">
      <c r="A2442">
        <v>202405</v>
      </c>
      <c r="B2442">
        <v>19</v>
      </c>
      <c r="C2442" s="2">
        <v>2385486.1244000001</v>
      </c>
      <c r="D2442" s="2">
        <v>0.78059999999999996</v>
      </c>
      <c r="E2442" s="3">
        <v>220204</v>
      </c>
      <c r="F2442" s="2">
        <v>171900.44339999999</v>
      </c>
      <c r="G2442" t="s">
        <v>1566</v>
      </c>
      <c r="H2442" t="s">
        <v>7</v>
      </c>
      <c r="I2442">
        <f>HLOOKUP(G2442,zip_tiers!$A$1:$EON$2,2,FALSE)</f>
        <v>54296</v>
      </c>
      <c r="J2442" t="str">
        <f t="shared" si="38"/>
        <v>Med</v>
      </c>
      <c r="K2442">
        <f>dataset[[#This Row],[soda_sales]]/dataset[[#This Row],[soda_units_sold]]</f>
        <v>0.78064178398212558</v>
      </c>
      <c r="L2442" s="29">
        <f>dataset[[#This Row],[implied_soda_ppu]]-dataset[[#This Row],[soda_ppu]]</f>
        <v>4.1783982125620511E-5</v>
      </c>
      <c r="M2442">
        <f>dataset[[#This Row],[soda_sales]]/dataset[[#This Row],[total_sales]]</f>
        <v>7.206096972927753E-2</v>
      </c>
      <c r="N2442">
        <f>LN(dataset[[#This Row],[soda_units_sold]])</f>
        <v>12.302309668409999</v>
      </c>
      <c r="O2442">
        <f>LN(dataset[[#This Row],[soda_sales]])</f>
        <v>12.054670770774246</v>
      </c>
      <c r="P2442">
        <f>LN(dataset[[#This Row],[soda_ppu]])</f>
        <v>-0.24769242423562252</v>
      </c>
      <c r="Q2442">
        <f>IF(dataset[[#This Row],[state]]="VA",1,0)</f>
        <v>0</v>
      </c>
    </row>
    <row r="2443" spans="1:17" x14ac:dyDescent="0.35">
      <c r="A2443">
        <v>202406</v>
      </c>
      <c r="B2443">
        <v>19</v>
      </c>
      <c r="C2443" s="2">
        <v>2287527.9571000002</v>
      </c>
      <c r="D2443" s="2">
        <v>0.83609999999999995</v>
      </c>
      <c r="E2443" s="3">
        <v>205620</v>
      </c>
      <c r="F2443" s="2">
        <v>171908.68229999999</v>
      </c>
      <c r="G2443" t="s">
        <v>1566</v>
      </c>
      <c r="H2443" t="s">
        <v>7</v>
      </c>
      <c r="I2443">
        <f>HLOOKUP(G2443,zip_tiers!$A$1:$EON$2,2,FALSE)</f>
        <v>54296</v>
      </c>
      <c r="J2443" t="str">
        <f t="shared" si="38"/>
        <v>Med</v>
      </c>
      <c r="K2443">
        <f>dataset[[#This Row],[soda_sales]]/dataset[[#This Row],[soda_units_sold]]</f>
        <v>0.8360503953895535</v>
      </c>
      <c r="L2443" s="29">
        <f>dataset[[#This Row],[implied_soda_ppu]]-dataset[[#This Row],[soda_ppu]]</f>
        <v>-4.9604610446452035E-5</v>
      </c>
      <c r="M2443">
        <f>dataset[[#This Row],[soda_sales]]/dataset[[#This Row],[total_sales]]</f>
        <v>7.515041805999878E-2</v>
      </c>
      <c r="N2443">
        <f>LN(dataset[[#This Row],[soda_units_sold]])</f>
        <v>12.233785084096709</v>
      </c>
      <c r="O2443">
        <f>LN(dataset[[#This Row],[soda_sales]])</f>
        <v>12.054718697948864</v>
      </c>
      <c r="P2443">
        <f>LN(dataset[[#This Row],[soda_ppu]])</f>
        <v>-0.17900705582612489</v>
      </c>
      <c r="Q2443">
        <f>IF(dataset[[#This Row],[state]]="VA",1,0)</f>
        <v>0</v>
      </c>
    </row>
    <row r="2444" spans="1:17" x14ac:dyDescent="0.35">
      <c r="A2444">
        <v>202407</v>
      </c>
      <c r="B2444">
        <v>19</v>
      </c>
      <c r="C2444" s="2">
        <v>2187009.0868000002</v>
      </c>
      <c r="D2444" s="2">
        <v>0.77400000000000002</v>
      </c>
      <c r="E2444" s="3">
        <v>238801</v>
      </c>
      <c r="F2444" s="2">
        <v>184826.02549999999</v>
      </c>
      <c r="G2444" t="s">
        <v>1566</v>
      </c>
      <c r="H2444" t="s">
        <v>7</v>
      </c>
      <c r="I2444">
        <f>HLOOKUP(G2444,zip_tiers!$A$1:$EON$2,2,FALSE)</f>
        <v>54296</v>
      </c>
      <c r="J2444" t="str">
        <f t="shared" si="38"/>
        <v>Med</v>
      </c>
      <c r="K2444">
        <f>dataset[[#This Row],[soda_sales]]/dataset[[#This Row],[soda_units_sold]]</f>
        <v>0.7739750901378134</v>
      </c>
      <c r="L2444" s="29">
        <f>dataset[[#This Row],[implied_soda_ppu]]-dataset[[#This Row],[soda_ppu]]</f>
        <v>-2.4909862186617282E-5</v>
      </c>
      <c r="M2444">
        <f>dataset[[#This Row],[soda_sales]]/dataset[[#This Row],[total_sales]]</f>
        <v>8.4510863084905935E-2</v>
      </c>
      <c r="N2444">
        <f>LN(dataset[[#This Row],[soda_units_sold]])</f>
        <v>12.383385848096506</v>
      </c>
      <c r="O2444">
        <f>LN(dataset[[#This Row],[soda_sales]])</f>
        <v>12.127170258901725</v>
      </c>
      <c r="P2444">
        <f>LN(dataset[[#This Row],[soda_ppu]])</f>
        <v>-0.25618340539240991</v>
      </c>
      <c r="Q2444">
        <f>IF(dataset[[#This Row],[state]]="VA",1,0)</f>
        <v>0</v>
      </c>
    </row>
    <row r="2445" spans="1:17" x14ac:dyDescent="0.35">
      <c r="A2445">
        <v>202408</v>
      </c>
      <c r="B2445">
        <v>19</v>
      </c>
      <c r="C2445" s="2">
        <v>2083106.1106</v>
      </c>
      <c r="D2445" s="2">
        <v>0.81189999999999996</v>
      </c>
      <c r="E2445" s="3">
        <v>198512</v>
      </c>
      <c r="F2445" s="2">
        <v>161168.2856</v>
      </c>
      <c r="G2445" t="s">
        <v>1566</v>
      </c>
      <c r="H2445" t="s">
        <v>7</v>
      </c>
      <c r="I2445">
        <f>HLOOKUP(G2445,zip_tiers!$A$1:$EON$2,2,FALSE)</f>
        <v>54296</v>
      </c>
      <c r="J2445" t="str">
        <f t="shared" si="38"/>
        <v>Med</v>
      </c>
      <c r="K2445">
        <f>dataset[[#This Row],[soda_sales]]/dataset[[#This Row],[soda_units_sold]]</f>
        <v>0.81188182880631898</v>
      </c>
      <c r="L2445" s="29">
        <f>dataset[[#This Row],[implied_soda_ppu]]-dataset[[#This Row],[soda_ppu]]</f>
        <v>-1.817119368097142E-5</v>
      </c>
      <c r="M2445">
        <f>dataset[[#This Row],[soda_sales]]/dataset[[#This Row],[total_sales]]</f>
        <v>7.736921550941947E-2</v>
      </c>
      <c r="N2445">
        <f>LN(dataset[[#This Row],[soda_units_sold]])</f>
        <v>12.198604830682653</v>
      </c>
      <c r="O2445">
        <f>LN(dataset[[#This Row],[soda_sales]])</f>
        <v>11.990204350244825</v>
      </c>
      <c r="P2445">
        <f>LN(dataset[[#This Row],[soda_ppu]])</f>
        <v>-0.20837809911373634</v>
      </c>
      <c r="Q2445">
        <f>IF(dataset[[#This Row],[state]]="VA",1,0)</f>
        <v>0</v>
      </c>
    </row>
    <row r="2446" spans="1:17" x14ac:dyDescent="0.35">
      <c r="A2446">
        <v>202409</v>
      </c>
      <c r="B2446">
        <v>19</v>
      </c>
      <c r="C2446" s="2">
        <v>2065011.0020999999</v>
      </c>
      <c r="D2446" s="2">
        <v>0.80230000000000001</v>
      </c>
      <c r="E2446" s="3">
        <v>195704</v>
      </c>
      <c r="F2446" s="2">
        <v>157005.66469999999</v>
      </c>
      <c r="G2446" t="s">
        <v>1566</v>
      </c>
      <c r="H2446" t="s">
        <v>7</v>
      </c>
      <c r="I2446">
        <f>HLOOKUP(G2446,zip_tiers!$A$1:$EON$2,2,FALSE)</f>
        <v>54296</v>
      </c>
      <c r="J2446" t="str">
        <f t="shared" si="38"/>
        <v>Med</v>
      </c>
      <c r="K2446">
        <f>dataset[[#This Row],[soda_sales]]/dataset[[#This Row],[soda_units_sold]]</f>
        <v>0.80226088736050361</v>
      </c>
      <c r="L2446" s="29">
        <f>dataset[[#This Row],[implied_soda_ppu]]-dataset[[#This Row],[soda_ppu]]</f>
        <v>-3.9112639496408086E-5</v>
      </c>
      <c r="M2446">
        <f>dataset[[#This Row],[soda_sales]]/dataset[[#This Row],[total_sales]]</f>
        <v>7.6031393799032579E-2</v>
      </c>
      <c r="N2446">
        <f>LN(dataset[[#This Row],[soda_units_sold]])</f>
        <v>12.18435859262342</v>
      </c>
      <c r="O2446">
        <f>LN(dataset[[#This Row],[soda_sales]])</f>
        <v>11.964037164571264</v>
      </c>
      <c r="P2446">
        <f>LN(dataset[[#This Row],[soda_ppu]])</f>
        <v>-0.22027267622252672</v>
      </c>
      <c r="Q2446">
        <f>IF(dataset[[#This Row],[state]]="VA",1,0)</f>
        <v>0</v>
      </c>
    </row>
    <row r="2447" spans="1:17" x14ac:dyDescent="0.35">
      <c r="A2447">
        <v>202410</v>
      </c>
      <c r="B2447">
        <v>19</v>
      </c>
      <c r="C2447" s="2">
        <v>2556649.0817</v>
      </c>
      <c r="D2447" s="2">
        <v>0.80889999999999995</v>
      </c>
      <c r="E2447" s="3">
        <v>182775</v>
      </c>
      <c r="F2447" s="2">
        <v>147852.21909999999</v>
      </c>
      <c r="G2447" t="s">
        <v>1566</v>
      </c>
      <c r="H2447" t="s">
        <v>7</v>
      </c>
      <c r="I2447">
        <f>HLOOKUP(G2447,zip_tiers!$A$1:$EON$2,2,FALSE)</f>
        <v>54296</v>
      </c>
      <c r="J2447" t="str">
        <f t="shared" si="38"/>
        <v>Med</v>
      </c>
      <c r="K2447">
        <f>dataset[[#This Row],[soda_sales]]/dataset[[#This Row],[soda_units_sold]]</f>
        <v>0.80893020982081787</v>
      </c>
      <c r="L2447" s="29">
        <f>dataset[[#This Row],[implied_soda_ppu]]-dataset[[#This Row],[soda_ppu]]</f>
        <v>3.0209820817916899E-5</v>
      </c>
      <c r="M2447">
        <f>dataset[[#This Row],[soda_sales]]/dataset[[#This Row],[total_sales]]</f>
        <v>5.783047042251422E-2</v>
      </c>
      <c r="N2447">
        <f>LN(dataset[[#This Row],[soda_units_sold]])</f>
        <v>12.116011167161517</v>
      </c>
      <c r="O2447">
        <f>LN(dataset[[#This Row],[soda_sales]])</f>
        <v>11.903968534298864</v>
      </c>
      <c r="P2447">
        <f>LN(dataset[[#This Row],[soda_ppu]])</f>
        <v>-0.21207997895823019</v>
      </c>
      <c r="Q2447">
        <f>IF(dataset[[#This Row],[state]]="VA",1,0)</f>
        <v>0</v>
      </c>
    </row>
    <row r="2448" spans="1:17" x14ac:dyDescent="0.35">
      <c r="A2448">
        <v>202411</v>
      </c>
      <c r="B2448">
        <v>19</v>
      </c>
      <c r="C2448" s="2">
        <v>2857317.2518000002</v>
      </c>
      <c r="D2448" s="2">
        <v>0.81950000000000001</v>
      </c>
      <c r="E2448" s="3">
        <v>169905</v>
      </c>
      <c r="F2448" s="2">
        <v>139234.34280000001</v>
      </c>
      <c r="G2448" t="s">
        <v>1566</v>
      </c>
      <c r="H2448" t="s">
        <v>7</v>
      </c>
      <c r="I2448">
        <f>HLOOKUP(G2448,zip_tiers!$A$1:$EON$2,2,FALSE)</f>
        <v>54296</v>
      </c>
      <c r="J2448" t="str">
        <f t="shared" si="38"/>
        <v>Med</v>
      </c>
      <c r="K2448">
        <f>dataset[[#This Row],[soda_sales]]/dataset[[#This Row],[soda_units_sold]]</f>
        <v>0.8194834925399489</v>
      </c>
      <c r="L2448" s="29">
        <f>dataset[[#This Row],[implied_soda_ppu]]-dataset[[#This Row],[soda_ppu]]</f>
        <v>-1.6507460051107259E-5</v>
      </c>
      <c r="M2448">
        <f>dataset[[#This Row],[soda_sales]]/dataset[[#This Row],[total_sales]]</f>
        <v>4.8729045650176828E-2</v>
      </c>
      <c r="N2448">
        <f>LN(dataset[[#This Row],[soda_units_sold]])</f>
        <v>12.042994736302923</v>
      </c>
      <c r="O2448">
        <f>LN(dataset[[#This Row],[soda_sales]])</f>
        <v>11.84391371197043</v>
      </c>
      <c r="P2448">
        <f>LN(dataset[[#This Row],[soda_ppu]])</f>
        <v>-0.19906088079825268</v>
      </c>
      <c r="Q2448">
        <f>IF(dataset[[#This Row],[state]]="VA",1,0)</f>
        <v>0</v>
      </c>
    </row>
    <row r="2449" spans="1:17" x14ac:dyDescent="0.35">
      <c r="A2449">
        <v>202412</v>
      </c>
      <c r="B2449">
        <v>19</v>
      </c>
      <c r="C2449" s="2">
        <v>3051833.1779</v>
      </c>
      <c r="D2449" s="2">
        <v>0.81599999999999995</v>
      </c>
      <c r="E2449" s="3">
        <v>169302</v>
      </c>
      <c r="F2449" s="2">
        <v>138151.78210000001</v>
      </c>
      <c r="G2449" t="s">
        <v>1566</v>
      </c>
      <c r="H2449" t="s">
        <v>7</v>
      </c>
      <c r="I2449">
        <f>HLOOKUP(G2449,zip_tiers!$A$1:$EON$2,2,FALSE)</f>
        <v>54296</v>
      </c>
      <c r="J2449" t="str">
        <f t="shared" si="38"/>
        <v>Med</v>
      </c>
      <c r="K2449">
        <f>dataset[[#This Row],[soda_sales]]/dataset[[#This Row],[soda_units_sold]]</f>
        <v>0.81600797450709395</v>
      </c>
      <c r="L2449" s="29">
        <f>dataset[[#This Row],[implied_soda_ppu]]-dataset[[#This Row],[soda_ppu]]</f>
        <v>7.9745070939996054E-6</v>
      </c>
      <c r="M2449">
        <f>dataset[[#This Row],[soda_sales]]/dataset[[#This Row],[total_sales]]</f>
        <v>4.5268458020717821E-2</v>
      </c>
      <c r="N2449">
        <f>LN(dataset[[#This Row],[soda_units_sold]])</f>
        <v>12.039439381400534</v>
      </c>
      <c r="O2449">
        <f>LN(dataset[[#This Row],[soda_sales]])</f>
        <v>11.836108230015014</v>
      </c>
      <c r="P2449">
        <f>LN(dataset[[#This Row],[soda_ppu]])</f>
        <v>-0.20334092401803011</v>
      </c>
      <c r="Q2449">
        <f>IF(dataset[[#This Row],[state]]="VA",1,0)</f>
        <v>0</v>
      </c>
    </row>
    <row r="2450" spans="1:17" x14ac:dyDescent="0.35">
      <c r="A2450">
        <v>202201</v>
      </c>
      <c r="B2450">
        <v>58</v>
      </c>
      <c r="C2450" s="2">
        <v>1871379.1428</v>
      </c>
      <c r="D2450" s="2">
        <v>0.68679999999999997</v>
      </c>
      <c r="E2450" s="3">
        <v>136015</v>
      </c>
      <c r="F2450" s="2">
        <v>93416.343200000003</v>
      </c>
      <c r="G2450" t="s">
        <v>1587</v>
      </c>
      <c r="H2450" t="s">
        <v>7</v>
      </c>
      <c r="I2450" t="str">
        <f>HLOOKUP(G2450,zip_tiers!$A$1:$EON$2,2,FALSE)</f>
        <v/>
      </c>
      <c r="J2450" t="str">
        <f t="shared" si="38"/>
        <v>No Data</v>
      </c>
      <c r="K2450">
        <f>dataset[[#This Row],[soda_sales]]/dataset[[#This Row],[soda_units_sold]]</f>
        <v>0.68680912546410322</v>
      </c>
      <c r="L2450" s="29">
        <f>dataset[[#This Row],[implied_soda_ppu]]-dataset[[#This Row],[soda_ppu]]</f>
        <v>9.1254641032545436E-6</v>
      </c>
      <c r="M2450">
        <f>dataset[[#This Row],[soda_sales]]/dataset[[#This Row],[total_sales]]</f>
        <v>4.9918448412451764E-2</v>
      </c>
      <c r="N2450">
        <f>LN(dataset[[#This Row],[soda_units_sold]])</f>
        <v>11.820520452753888</v>
      </c>
      <c r="O2450">
        <f>LN(dataset[[#This Row],[soda_sales]])</f>
        <v>11.444821589637643</v>
      </c>
      <c r="P2450">
        <f>LN(dataset[[#This Row],[soda_ppu]])</f>
        <v>-0.37571214995881663</v>
      </c>
      <c r="Q2450">
        <f>IF(dataset[[#This Row],[state]]="VA",1,0)</f>
        <v>0</v>
      </c>
    </row>
    <row r="2451" spans="1:17" x14ac:dyDescent="0.35">
      <c r="A2451">
        <v>202202</v>
      </c>
      <c r="B2451">
        <v>58</v>
      </c>
      <c r="C2451" s="2">
        <v>2121672.9369999999</v>
      </c>
      <c r="D2451" s="2">
        <v>0.72919999999999996</v>
      </c>
      <c r="E2451" s="3">
        <v>148796</v>
      </c>
      <c r="F2451" s="2">
        <v>108502.1829</v>
      </c>
      <c r="G2451" t="s">
        <v>1587</v>
      </c>
      <c r="H2451" t="s">
        <v>7</v>
      </c>
      <c r="I2451" t="str">
        <f>HLOOKUP(G2451,zip_tiers!$A$1:$EON$2,2,FALSE)</f>
        <v/>
      </c>
      <c r="J2451" t="str">
        <f t="shared" si="38"/>
        <v>No Data</v>
      </c>
      <c r="K2451">
        <f>dataset[[#This Row],[soda_sales]]/dataset[[#This Row],[soda_units_sold]]</f>
        <v>0.72920093886932447</v>
      </c>
      <c r="L2451" s="29">
        <f>dataset[[#This Row],[implied_soda_ppu]]-dataset[[#This Row],[soda_ppu]]</f>
        <v>9.3886932450715221E-7</v>
      </c>
      <c r="M2451">
        <f>dataset[[#This Row],[soda_sales]]/dataset[[#This Row],[total_sales]]</f>
        <v>5.113991935694847E-2</v>
      </c>
      <c r="N2451">
        <f>LN(dataset[[#This Row],[soda_units_sold]])</f>
        <v>11.910331519299378</v>
      </c>
      <c r="O2451">
        <f>LN(dataset[[#This Row],[soda_sales]])</f>
        <v>11.594525570654278</v>
      </c>
      <c r="P2451">
        <f>LN(dataset[[#This Row],[soda_ppu]])</f>
        <v>-0.31580723617762912</v>
      </c>
      <c r="Q2451">
        <f>IF(dataset[[#This Row],[state]]="VA",1,0)</f>
        <v>0</v>
      </c>
    </row>
    <row r="2452" spans="1:17" x14ac:dyDescent="0.35">
      <c r="A2452">
        <v>202203</v>
      </c>
      <c r="B2452">
        <v>58</v>
      </c>
      <c r="C2452" s="2">
        <v>2369204.3453000002</v>
      </c>
      <c r="D2452" s="2">
        <v>0.73199999999999998</v>
      </c>
      <c r="E2452" s="3">
        <v>171996</v>
      </c>
      <c r="F2452" s="2">
        <v>125897.228</v>
      </c>
      <c r="G2452" t="s">
        <v>1587</v>
      </c>
      <c r="H2452" t="s">
        <v>7</v>
      </c>
      <c r="I2452" t="str">
        <f>HLOOKUP(G2452,zip_tiers!$A$1:$EON$2,2,FALSE)</f>
        <v/>
      </c>
      <c r="J2452" t="str">
        <f t="shared" si="38"/>
        <v>No Data</v>
      </c>
      <c r="K2452">
        <f>dataset[[#This Row],[soda_sales]]/dataset[[#This Row],[soda_units_sold]]</f>
        <v>0.73197765064303821</v>
      </c>
      <c r="L2452" s="29">
        <f>dataset[[#This Row],[implied_soda_ppu]]-dataset[[#This Row],[soda_ppu]]</f>
        <v>-2.2349356961770539E-5</v>
      </c>
      <c r="M2452">
        <f>dataset[[#This Row],[soda_sales]]/dataset[[#This Row],[total_sales]]</f>
        <v>5.3139033047003077E-2</v>
      </c>
      <c r="N2452">
        <f>LN(dataset[[#This Row],[soda_units_sold]])</f>
        <v>12.055226499711216</v>
      </c>
      <c r="O2452">
        <f>LN(dataset[[#This Row],[soda_sales]])</f>
        <v>11.743221202315864</v>
      </c>
      <c r="P2452">
        <f>LN(dataset[[#This Row],[soda_ppu]])</f>
        <v>-0.3119747650208255</v>
      </c>
      <c r="Q2452">
        <f>IF(dataset[[#This Row],[state]]="VA",1,0)</f>
        <v>0</v>
      </c>
    </row>
    <row r="2453" spans="1:17" x14ac:dyDescent="0.35">
      <c r="A2453">
        <v>202204</v>
      </c>
      <c r="B2453">
        <v>58</v>
      </c>
      <c r="C2453" s="2">
        <v>2506127.6680999999</v>
      </c>
      <c r="D2453" s="2">
        <v>0.71799999999999997</v>
      </c>
      <c r="E2453" s="3">
        <v>203245</v>
      </c>
      <c r="F2453" s="2">
        <v>145922.47779999999</v>
      </c>
      <c r="G2453" t="s">
        <v>1587</v>
      </c>
      <c r="H2453" t="s">
        <v>7</v>
      </c>
      <c r="I2453" t="str">
        <f>HLOOKUP(G2453,zip_tiers!$A$1:$EON$2,2,FALSE)</f>
        <v/>
      </c>
      <c r="J2453" t="str">
        <f t="shared" si="38"/>
        <v>No Data</v>
      </c>
      <c r="K2453">
        <f>dataset[[#This Row],[soda_sales]]/dataset[[#This Row],[soda_units_sold]]</f>
        <v>0.71796343231075788</v>
      </c>
      <c r="L2453" s="29">
        <f>dataset[[#This Row],[implied_soda_ppu]]-dataset[[#This Row],[soda_ppu]]</f>
        <v>-3.6567689242095192E-5</v>
      </c>
      <c r="M2453">
        <f>dataset[[#This Row],[soda_sales]]/dataset[[#This Row],[total_sales]]</f>
        <v>5.8226274605806462E-2</v>
      </c>
      <c r="N2453">
        <f>LN(dataset[[#This Row],[soda_units_sold]])</f>
        <v>12.222167426861464</v>
      </c>
      <c r="O2453">
        <f>LN(dataset[[#This Row],[soda_sales]])</f>
        <v>11.89083078570127</v>
      </c>
      <c r="P2453">
        <f>LN(dataset[[#This Row],[soda_ppu]])</f>
        <v>-0.33128570993391293</v>
      </c>
      <c r="Q2453">
        <f>IF(dataset[[#This Row],[state]]="VA",1,0)</f>
        <v>0</v>
      </c>
    </row>
    <row r="2454" spans="1:17" x14ac:dyDescent="0.35">
      <c r="A2454">
        <v>202205</v>
      </c>
      <c r="B2454">
        <v>58</v>
      </c>
      <c r="C2454" s="2">
        <v>2540513.6804</v>
      </c>
      <c r="D2454" s="2">
        <v>0.71599999999999997</v>
      </c>
      <c r="E2454" s="3">
        <v>218806</v>
      </c>
      <c r="F2454" s="2">
        <v>156666.65299999999</v>
      </c>
      <c r="G2454" t="s">
        <v>1587</v>
      </c>
      <c r="H2454" t="s">
        <v>7</v>
      </c>
      <c r="I2454" t="str">
        <f>HLOOKUP(G2454,zip_tiers!$A$1:$EON$2,2,FALSE)</f>
        <v/>
      </c>
      <c r="J2454" t="str">
        <f t="shared" si="38"/>
        <v>No Data</v>
      </c>
      <c r="K2454">
        <f>dataset[[#This Row],[soda_sales]]/dataset[[#This Row],[soda_units_sold]]</f>
        <v>0.71600711589261712</v>
      </c>
      <c r="L2454" s="29">
        <f>dataset[[#This Row],[implied_soda_ppu]]-dataset[[#This Row],[soda_ppu]]</f>
        <v>7.1158926171488446E-6</v>
      </c>
      <c r="M2454">
        <f>dataset[[#This Row],[soda_sales]]/dataset[[#This Row],[total_sales]]</f>
        <v>6.1667313271595164E-2</v>
      </c>
      <c r="N2454">
        <f>LN(dataset[[#This Row],[soda_units_sold]])</f>
        <v>12.295940771457452</v>
      </c>
      <c r="O2454">
        <f>LN(dataset[[#This Row],[soda_sales]])</f>
        <v>11.961875597784084</v>
      </c>
      <c r="P2454">
        <f>LN(dataset[[#This Row],[soda_ppu]])</f>
        <v>-0.33407511202149148</v>
      </c>
      <c r="Q2454">
        <f>IF(dataset[[#This Row],[state]]="VA",1,0)</f>
        <v>0</v>
      </c>
    </row>
    <row r="2455" spans="1:17" x14ac:dyDescent="0.35">
      <c r="A2455">
        <v>202206</v>
      </c>
      <c r="B2455">
        <v>58</v>
      </c>
      <c r="C2455" s="2">
        <v>2452418.6949999998</v>
      </c>
      <c r="D2455" s="2">
        <v>0.71540000000000004</v>
      </c>
      <c r="E2455" s="3">
        <v>233259</v>
      </c>
      <c r="F2455" s="2">
        <v>166870.96549999999</v>
      </c>
      <c r="G2455" t="s">
        <v>1587</v>
      </c>
      <c r="H2455" t="s">
        <v>7</v>
      </c>
      <c r="I2455" t="str">
        <f>HLOOKUP(G2455,zip_tiers!$A$1:$EON$2,2,FALSE)</f>
        <v/>
      </c>
      <c r="J2455" t="str">
        <f t="shared" si="38"/>
        <v>No Data</v>
      </c>
      <c r="K2455">
        <f>dataset[[#This Row],[soda_sales]]/dataset[[#This Row],[soda_units_sold]]</f>
        <v>0.71538918326838408</v>
      </c>
      <c r="L2455" s="29">
        <f>dataset[[#This Row],[implied_soda_ppu]]-dataset[[#This Row],[soda_ppu]]</f>
        <v>-1.0816731615959085E-5</v>
      </c>
      <c r="M2455">
        <f>dataset[[#This Row],[soda_sales]]/dataset[[#This Row],[total_sales]]</f>
        <v>6.804342416742179E-2</v>
      </c>
      <c r="N2455">
        <f>LN(dataset[[#This Row],[soda_units_sold]])</f>
        <v>12.359904703174204</v>
      </c>
      <c r="O2455">
        <f>LN(dataset[[#This Row],[soda_sales]])</f>
        <v>12.024976131065362</v>
      </c>
      <c r="P2455">
        <f>LN(dataset[[#This Row],[soda_ppu]])</f>
        <v>-0.33491345215721963</v>
      </c>
      <c r="Q2455">
        <f>IF(dataset[[#This Row],[state]]="VA",1,0)</f>
        <v>0</v>
      </c>
    </row>
    <row r="2456" spans="1:17" x14ac:dyDescent="0.35">
      <c r="A2456">
        <v>202207</v>
      </c>
      <c r="B2456">
        <v>58</v>
      </c>
      <c r="C2456" s="2">
        <v>2367650.8054999998</v>
      </c>
      <c r="D2456" s="2">
        <v>0.70469999999999999</v>
      </c>
      <c r="E2456" s="3">
        <v>243451</v>
      </c>
      <c r="F2456" s="2">
        <v>171561.302</v>
      </c>
      <c r="G2456" t="s">
        <v>1587</v>
      </c>
      <c r="H2456" t="s">
        <v>7</v>
      </c>
      <c r="I2456" t="str">
        <f>HLOOKUP(G2456,zip_tiers!$A$1:$EON$2,2,FALSE)</f>
        <v/>
      </c>
      <c r="J2456" t="str">
        <f t="shared" si="38"/>
        <v>No Data</v>
      </c>
      <c r="K2456">
        <f>dataset[[#This Row],[soda_sales]]/dataset[[#This Row],[soda_units_sold]]</f>
        <v>0.70470567793929784</v>
      </c>
      <c r="L2456" s="29">
        <f>dataset[[#This Row],[implied_soda_ppu]]-dataset[[#This Row],[soda_ppu]]</f>
        <v>5.6779392978434373E-6</v>
      </c>
      <c r="M2456">
        <f>dataset[[#This Row],[soda_sales]]/dataset[[#This Row],[total_sales]]</f>
        <v>7.2460559471636155E-2</v>
      </c>
      <c r="N2456">
        <f>LN(dataset[[#This Row],[soda_units_sold]])</f>
        <v>12.402670969222045</v>
      </c>
      <c r="O2456">
        <f>LN(dataset[[#This Row],[soda_sales]])</f>
        <v>12.052695927783647</v>
      </c>
      <c r="P2456">
        <f>LN(dataset[[#This Row],[soda_ppu]])</f>
        <v>-0.34998309864916027</v>
      </c>
      <c r="Q2456">
        <f>IF(dataset[[#This Row],[state]]="VA",1,0)</f>
        <v>0</v>
      </c>
    </row>
    <row r="2457" spans="1:17" x14ac:dyDescent="0.35">
      <c r="A2457">
        <v>202208</v>
      </c>
      <c r="B2457">
        <v>58</v>
      </c>
      <c r="C2457" s="2">
        <v>2249800.8139999998</v>
      </c>
      <c r="D2457" s="2">
        <v>0.71379999999999999</v>
      </c>
      <c r="E2457" s="3">
        <v>208857</v>
      </c>
      <c r="F2457" s="2">
        <v>149091.72940000001</v>
      </c>
      <c r="G2457" t="s">
        <v>1587</v>
      </c>
      <c r="H2457" t="s">
        <v>7</v>
      </c>
      <c r="I2457" t="str">
        <f>HLOOKUP(G2457,zip_tiers!$A$1:$EON$2,2,FALSE)</f>
        <v/>
      </c>
      <c r="J2457" t="str">
        <f t="shared" si="38"/>
        <v>No Data</v>
      </c>
      <c r="K2457">
        <f>dataset[[#This Row],[soda_sales]]/dataset[[#This Row],[soda_units_sold]]</f>
        <v>0.71384597787002591</v>
      </c>
      <c r="L2457" s="29">
        <f>dataset[[#This Row],[implied_soda_ppu]]-dataset[[#This Row],[soda_ppu]]</f>
        <v>4.5977870025915024E-5</v>
      </c>
      <c r="M2457">
        <f>dataset[[#This Row],[soda_sales]]/dataset[[#This Row],[total_sales]]</f>
        <v>6.6268857434949813E-2</v>
      </c>
      <c r="N2457">
        <f>LN(dataset[[#This Row],[soda_units_sold]])</f>
        <v>12.249405086241786</v>
      </c>
      <c r="O2457">
        <f>LN(dataset[[#This Row],[soda_sales]])</f>
        <v>11.912317029060045</v>
      </c>
      <c r="P2457">
        <f>LN(dataset[[#This Row],[soda_ppu]])</f>
        <v>-0.33715246792607712</v>
      </c>
      <c r="Q2457">
        <f>IF(dataset[[#This Row],[state]]="VA",1,0)</f>
        <v>0</v>
      </c>
    </row>
    <row r="2458" spans="1:17" x14ac:dyDescent="0.35">
      <c r="A2458">
        <v>202209</v>
      </c>
      <c r="B2458">
        <v>58</v>
      </c>
      <c r="C2458" s="2">
        <v>2224918.3154000002</v>
      </c>
      <c r="D2458" s="2">
        <v>0.71599999999999997</v>
      </c>
      <c r="E2458" s="3">
        <v>198942</v>
      </c>
      <c r="F2458" s="2">
        <v>142443.4927</v>
      </c>
      <c r="G2458" t="s">
        <v>1587</v>
      </c>
      <c r="H2458" t="s">
        <v>7</v>
      </c>
      <c r="I2458" t="str">
        <f>HLOOKUP(G2458,zip_tiers!$A$1:$EON$2,2,FALSE)</f>
        <v/>
      </c>
      <c r="J2458" t="str">
        <f t="shared" si="38"/>
        <v>No Data</v>
      </c>
      <c r="K2458">
        <f>dataset[[#This Row],[soda_sales]]/dataset[[#This Row],[soda_units_sold]]</f>
        <v>0.71600513064109139</v>
      </c>
      <c r="L2458" s="29">
        <f>dataset[[#This Row],[implied_soda_ppu]]-dataset[[#This Row],[soda_ppu]]</f>
        <v>5.130641091422028E-6</v>
      </c>
      <c r="M2458">
        <f>dataset[[#This Row],[soda_sales]]/dataset[[#This Row],[total_sales]]</f>
        <v>6.4021897664315486E-2</v>
      </c>
      <c r="N2458">
        <f>LN(dataset[[#This Row],[soda_units_sold]])</f>
        <v>12.200768603938268</v>
      </c>
      <c r="O2458">
        <f>LN(dataset[[#This Row],[soda_sales]])</f>
        <v>11.86670065759095</v>
      </c>
      <c r="P2458">
        <f>LN(dataset[[#This Row],[soda_ppu]])</f>
        <v>-0.33407511202149148</v>
      </c>
      <c r="Q2458">
        <f>IF(dataset[[#This Row],[state]]="VA",1,0)</f>
        <v>0</v>
      </c>
    </row>
    <row r="2459" spans="1:17" x14ac:dyDescent="0.35">
      <c r="A2459">
        <v>202210</v>
      </c>
      <c r="B2459">
        <v>58</v>
      </c>
      <c r="C2459" s="2">
        <v>2745172.3953</v>
      </c>
      <c r="D2459" s="2">
        <v>0.73470000000000002</v>
      </c>
      <c r="E2459" s="3">
        <v>185438</v>
      </c>
      <c r="F2459" s="2">
        <v>136242.99100000001</v>
      </c>
      <c r="G2459" t="s">
        <v>1587</v>
      </c>
      <c r="H2459" t="s">
        <v>7</v>
      </c>
      <c r="I2459" t="str">
        <f>HLOOKUP(G2459,zip_tiers!$A$1:$EON$2,2,FALSE)</f>
        <v/>
      </c>
      <c r="J2459" t="str">
        <f t="shared" si="38"/>
        <v>No Data</v>
      </c>
      <c r="K2459">
        <f>dataset[[#This Row],[soda_sales]]/dataset[[#This Row],[soda_units_sold]]</f>
        <v>0.73470912650050157</v>
      </c>
      <c r="L2459" s="29">
        <f>dataset[[#This Row],[implied_soda_ppu]]-dataset[[#This Row],[soda_ppu]]</f>
        <v>9.1265005015550571E-6</v>
      </c>
      <c r="M2459">
        <f>dataset[[#This Row],[soda_sales]]/dataset[[#This Row],[total_sales]]</f>
        <v>4.9630030971191882E-2</v>
      </c>
      <c r="N2459">
        <f>LN(dataset[[#This Row],[soda_units_sold]])</f>
        <v>12.130475873355797</v>
      </c>
      <c r="O2459">
        <f>LN(dataset[[#This Row],[soda_sales]])</f>
        <v>11.82219526900046</v>
      </c>
      <c r="P2459">
        <f>LN(dataset[[#This Row],[soda_ppu]])</f>
        <v>-0.30829302635590528</v>
      </c>
      <c r="Q2459">
        <f>IF(dataset[[#This Row],[state]]="VA",1,0)</f>
        <v>0</v>
      </c>
    </row>
    <row r="2460" spans="1:17" x14ac:dyDescent="0.35">
      <c r="A2460">
        <v>202211</v>
      </c>
      <c r="B2460">
        <v>58</v>
      </c>
      <c r="C2460" s="2">
        <v>3145263.7042</v>
      </c>
      <c r="D2460" s="2">
        <v>0.71499999999999997</v>
      </c>
      <c r="E2460" s="3">
        <v>180999</v>
      </c>
      <c r="F2460" s="2">
        <v>129410.3036</v>
      </c>
      <c r="G2460" t="s">
        <v>1587</v>
      </c>
      <c r="H2460" t="s">
        <v>7</v>
      </c>
      <c r="I2460" t="str">
        <f>HLOOKUP(G2460,zip_tiers!$A$1:$EON$2,2,FALSE)</f>
        <v/>
      </c>
      <c r="J2460" t="str">
        <f t="shared" si="38"/>
        <v>No Data</v>
      </c>
      <c r="K2460">
        <f>dataset[[#This Row],[soda_sales]]/dataset[[#This Row],[soda_units_sold]]</f>
        <v>0.71497800319338778</v>
      </c>
      <c r="L2460" s="29">
        <f>dataset[[#This Row],[implied_soda_ppu]]-dataset[[#This Row],[soda_ppu]]</f>
        <v>-2.1996806612190056E-5</v>
      </c>
      <c r="M2460">
        <f>dataset[[#This Row],[soda_sales]]/dataset[[#This Row],[total_sales]]</f>
        <v>4.1144500356899517E-2</v>
      </c>
      <c r="N2460">
        <f>LN(dataset[[#This Row],[soda_units_sold]])</f>
        <v>12.106246785370823</v>
      </c>
      <c r="O2460">
        <f>LN(dataset[[#This Row],[soda_sales]])</f>
        <v>11.770743283844956</v>
      </c>
      <c r="P2460">
        <f>LN(dataset[[#This Row],[soda_ppu]])</f>
        <v>-0.33547273628812946</v>
      </c>
      <c r="Q2460">
        <f>IF(dataset[[#This Row],[state]]="VA",1,0)</f>
        <v>0</v>
      </c>
    </row>
    <row r="2461" spans="1:17" x14ac:dyDescent="0.35">
      <c r="A2461">
        <v>202212</v>
      </c>
      <c r="B2461">
        <v>58</v>
      </c>
      <c r="C2461" s="2">
        <v>3226295.8530999999</v>
      </c>
      <c r="D2461" s="2">
        <v>0.72030000000000005</v>
      </c>
      <c r="E2461" s="3">
        <v>174251</v>
      </c>
      <c r="F2461" s="2">
        <v>125508.7386</v>
      </c>
      <c r="G2461" t="s">
        <v>1587</v>
      </c>
      <c r="H2461" t="s">
        <v>7</v>
      </c>
      <c r="I2461" t="str">
        <f>HLOOKUP(G2461,zip_tiers!$A$1:$EON$2,2,FALSE)</f>
        <v/>
      </c>
      <c r="J2461" t="str">
        <f t="shared" si="38"/>
        <v>No Data</v>
      </c>
      <c r="K2461">
        <f>dataset[[#This Row],[soda_sales]]/dataset[[#This Row],[soda_units_sold]]</f>
        <v>0.72027557144578791</v>
      </c>
      <c r="L2461" s="29">
        <f>dataset[[#This Row],[implied_soda_ppu]]-dataset[[#This Row],[soda_ppu]]</f>
        <v>-2.4428554212141407E-5</v>
      </c>
      <c r="M2461">
        <f>dataset[[#This Row],[soda_sales]]/dataset[[#This Row],[total_sales]]</f>
        <v>3.8901806999319173E-2</v>
      </c>
      <c r="N2461">
        <f>LN(dataset[[#This Row],[soda_units_sold]])</f>
        <v>12.06825206748722</v>
      </c>
      <c r="O2461">
        <f>LN(dataset[[#This Row],[soda_sales]])</f>
        <v>11.740130665408785</v>
      </c>
      <c r="P2461">
        <f>LN(dataset[[#This Row],[soda_ppu]])</f>
        <v>-0.32808748708681973</v>
      </c>
      <c r="Q2461">
        <f>IF(dataset[[#This Row],[state]]="VA",1,0)</f>
        <v>0</v>
      </c>
    </row>
    <row r="2462" spans="1:17" x14ac:dyDescent="0.35">
      <c r="A2462">
        <v>202301</v>
      </c>
      <c r="B2462">
        <v>58</v>
      </c>
      <c r="C2462" s="2">
        <v>1874261.0001000001</v>
      </c>
      <c r="D2462" s="2">
        <v>0.7167</v>
      </c>
      <c r="E2462" s="3">
        <v>131640</v>
      </c>
      <c r="F2462" s="2">
        <v>94343.085800000001</v>
      </c>
      <c r="G2462" t="s">
        <v>1587</v>
      </c>
      <c r="H2462" t="s">
        <v>7</v>
      </c>
      <c r="I2462" t="str">
        <f>HLOOKUP(G2462,zip_tiers!$A$1:$EON$2,2,FALSE)</f>
        <v/>
      </c>
      <c r="J2462" t="str">
        <f t="shared" si="38"/>
        <v>No Data</v>
      </c>
      <c r="K2462">
        <f>dataset[[#This Row],[soda_sales]]/dataset[[#This Row],[soda_units_sold]]</f>
        <v>0.71667491491947732</v>
      </c>
      <c r="L2462" s="29">
        <f>dataset[[#This Row],[implied_soda_ppu]]-dataset[[#This Row],[soda_ppu]]</f>
        <v>-2.5085080522679881E-5</v>
      </c>
      <c r="M2462">
        <f>dataset[[#This Row],[soda_sales]]/dataset[[#This Row],[total_sales]]</f>
        <v>5.0336151579191149E-2</v>
      </c>
      <c r="N2462">
        <f>LN(dataset[[#This Row],[soda_units_sold]])</f>
        <v>11.787826203057277</v>
      </c>
      <c r="O2462">
        <f>LN(dataset[[#This Row],[soda_sales]])</f>
        <v>11.454693265652477</v>
      </c>
      <c r="P2462">
        <f>LN(dataset[[#This Row],[soda_ppu]])</f>
        <v>-0.3330979359822635</v>
      </c>
      <c r="Q2462">
        <f>IF(dataset[[#This Row],[state]]="VA",1,0)</f>
        <v>0</v>
      </c>
    </row>
    <row r="2463" spans="1:17" x14ac:dyDescent="0.35">
      <c r="A2463">
        <v>202302</v>
      </c>
      <c r="B2463">
        <v>58</v>
      </c>
      <c r="C2463" s="2">
        <v>2068270.8821</v>
      </c>
      <c r="D2463" s="2">
        <v>0.73229999999999995</v>
      </c>
      <c r="E2463" s="3">
        <v>140538</v>
      </c>
      <c r="F2463" s="2">
        <v>102919.2231</v>
      </c>
      <c r="G2463" t="s">
        <v>1587</v>
      </c>
      <c r="H2463" t="s">
        <v>7</v>
      </c>
      <c r="I2463" t="str">
        <f>HLOOKUP(G2463,zip_tiers!$A$1:$EON$2,2,FALSE)</f>
        <v/>
      </c>
      <c r="J2463" t="str">
        <f t="shared" si="38"/>
        <v>No Data</v>
      </c>
      <c r="K2463">
        <f>dataset[[#This Row],[soda_sales]]/dataset[[#This Row],[soda_units_sold]]</f>
        <v>0.73232309482132951</v>
      </c>
      <c r="L2463" s="29">
        <f>dataset[[#This Row],[implied_soda_ppu]]-dataset[[#This Row],[soda_ppu]]</f>
        <v>2.3094821329561199E-5</v>
      </c>
      <c r="M2463">
        <f>dataset[[#This Row],[soda_sales]]/dataset[[#This Row],[total_sales]]</f>
        <v>4.9760997938288386E-2</v>
      </c>
      <c r="N2463">
        <f>LN(dataset[[#This Row],[soda_units_sold]])</f>
        <v>11.853233193820964</v>
      </c>
      <c r="O2463">
        <f>LN(dataset[[#This Row],[soda_sales]])</f>
        <v>11.541699717785768</v>
      </c>
      <c r="P2463">
        <f>LN(dataset[[#This Row],[soda_ppu]])</f>
        <v>-0.31156501291511302</v>
      </c>
      <c r="Q2463">
        <f>IF(dataset[[#This Row],[state]]="VA",1,0)</f>
        <v>0</v>
      </c>
    </row>
    <row r="2464" spans="1:17" x14ac:dyDescent="0.35">
      <c r="A2464">
        <v>202303</v>
      </c>
      <c r="B2464">
        <v>58</v>
      </c>
      <c r="C2464" s="2">
        <v>2323949.7333999998</v>
      </c>
      <c r="D2464" s="2">
        <v>0.75170000000000003</v>
      </c>
      <c r="E2464" s="3">
        <v>164353</v>
      </c>
      <c r="F2464" s="2">
        <v>123536.7276</v>
      </c>
      <c r="G2464" t="s">
        <v>1587</v>
      </c>
      <c r="H2464" t="s">
        <v>7</v>
      </c>
      <c r="I2464" t="str">
        <f>HLOOKUP(G2464,zip_tiers!$A$1:$EON$2,2,FALSE)</f>
        <v/>
      </c>
      <c r="J2464" t="str">
        <f t="shared" si="38"/>
        <v>No Data</v>
      </c>
      <c r="K2464">
        <f>dataset[[#This Row],[soda_sales]]/dataset[[#This Row],[soda_units_sold]]</f>
        <v>0.7516548380619763</v>
      </c>
      <c r="L2464" s="29">
        <f>dataset[[#This Row],[implied_soda_ppu]]-dataset[[#This Row],[soda_ppu]]</f>
        <v>-4.5161938023730031E-5</v>
      </c>
      <c r="M2464">
        <f>dataset[[#This Row],[soda_sales]]/dataset[[#This Row],[total_sales]]</f>
        <v>5.3158089361624229E-2</v>
      </c>
      <c r="N2464">
        <f>LN(dataset[[#This Row],[soda_units_sold]])</f>
        <v>12.009771832652572</v>
      </c>
      <c r="O2464">
        <f>LN(dataset[[#This Row],[soda_sales]])</f>
        <v>11.724293780312369</v>
      </c>
      <c r="P2464">
        <f>LN(dataset[[#This Row],[soda_ppu]])</f>
        <v>-0.28541797079871378</v>
      </c>
      <c r="Q2464">
        <f>IF(dataset[[#This Row],[state]]="VA",1,0)</f>
        <v>0</v>
      </c>
    </row>
    <row r="2465" spans="1:17" x14ac:dyDescent="0.35">
      <c r="A2465">
        <v>202304</v>
      </c>
      <c r="B2465">
        <v>58</v>
      </c>
      <c r="C2465" s="2">
        <v>2486570.9410999999</v>
      </c>
      <c r="D2465" s="2">
        <v>0.71589999999999998</v>
      </c>
      <c r="E2465" s="3">
        <v>204525</v>
      </c>
      <c r="F2465" s="2">
        <v>146417.66899999999</v>
      </c>
      <c r="G2465" t="s">
        <v>1587</v>
      </c>
      <c r="H2465" t="s">
        <v>7</v>
      </c>
      <c r="I2465" t="str">
        <f>HLOOKUP(G2465,zip_tiers!$A$1:$EON$2,2,FALSE)</f>
        <v/>
      </c>
      <c r="J2465" t="str">
        <f t="shared" si="38"/>
        <v>No Data</v>
      </c>
      <c r="K2465">
        <f>dataset[[#This Row],[soda_sales]]/dataset[[#This Row],[soda_units_sold]]</f>
        <v>0.71589130424153524</v>
      </c>
      <c r="L2465" s="29">
        <f>dataset[[#This Row],[implied_soda_ppu]]-dataset[[#This Row],[soda_ppu]]</f>
        <v>-8.6957584647384678E-6</v>
      </c>
      <c r="M2465">
        <f>dataset[[#This Row],[soda_sales]]/dataset[[#This Row],[total_sales]]</f>
        <v>5.8883366880829187E-2</v>
      </c>
      <c r="N2465">
        <f>LN(dataset[[#This Row],[soda_units_sold]])</f>
        <v>12.2284454963819</v>
      </c>
      <c r="O2465">
        <f>LN(dataset[[#This Row],[soda_sales]])</f>
        <v>11.89421856311762</v>
      </c>
      <c r="P2465">
        <f>LN(dataset[[#This Row],[soda_ppu]])</f>
        <v>-0.33421478657999776</v>
      </c>
      <c r="Q2465">
        <f>IF(dataset[[#This Row],[state]]="VA",1,0)</f>
        <v>0</v>
      </c>
    </row>
    <row r="2466" spans="1:17" x14ac:dyDescent="0.35">
      <c r="A2466">
        <v>202305</v>
      </c>
      <c r="B2466">
        <v>58</v>
      </c>
      <c r="C2466" s="2">
        <v>2629893.8873999999</v>
      </c>
      <c r="D2466" s="2">
        <v>0.73550000000000004</v>
      </c>
      <c r="E2466" s="3">
        <v>219764</v>
      </c>
      <c r="F2466" s="2">
        <v>161629.54569999999</v>
      </c>
      <c r="G2466" t="s">
        <v>1587</v>
      </c>
      <c r="H2466" t="s">
        <v>7</v>
      </c>
      <c r="I2466" t="str">
        <f>HLOOKUP(G2466,zip_tiers!$A$1:$EON$2,2,FALSE)</f>
        <v/>
      </c>
      <c r="J2466" t="str">
        <f t="shared" si="38"/>
        <v>No Data</v>
      </c>
      <c r="K2466">
        <f>dataset[[#This Row],[soda_sales]]/dataset[[#This Row],[soda_units_sold]]</f>
        <v>0.73546871052583673</v>
      </c>
      <c r="L2466" s="29">
        <f>dataset[[#This Row],[implied_soda_ppu]]-dataset[[#This Row],[soda_ppu]]</f>
        <v>-3.1289474163309627E-5</v>
      </c>
      <c r="M2466">
        <f>dataset[[#This Row],[soda_sales]]/dataset[[#This Row],[total_sales]]</f>
        <v>6.1458580695737619E-2</v>
      </c>
      <c r="N2466">
        <f>LN(dataset[[#This Row],[soda_units_sold]])</f>
        <v>12.300309522278061</v>
      </c>
      <c r="O2466">
        <f>LN(dataset[[#This Row],[soda_sales]])</f>
        <v>11.993062240659324</v>
      </c>
      <c r="P2466">
        <f>LN(dataset[[#This Row],[soda_ppu]])</f>
        <v>-0.30720473894064476</v>
      </c>
      <c r="Q2466">
        <f>IF(dataset[[#This Row],[state]]="VA",1,0)</f>
        <v>0</v>
      </c>
    </row>
    <row r="2467" spans="1:17" x14ac:dyDescent="0.35">
      <c r="A2467">
        <v>202306</v>
      </c>
      <c r="B2467">
        <v>58</v>
      </c>
      <c r="C2467" s="2">
        <v>2470681.0995</v>
      </c>
      <c r="D2467" s="2">
        <v>0.72070000000000001</v>
      </c>
      <c r="E2467" s="3">
        <v>226499</v>
      </c>
      <c r="F2467" s="2">
        <v>163238.40590000001</v>
      </c>
      <c r="G2467" t="s">
        <v>1587</v>
      </c>
      <c r="H2467" t="s">
        <v>7</v>
      </c>
      <c r="I2467" t="str">
        <f>HLOOKUP(G2467,zip_tiers!$A$1:$EON$2,2,FALSE)</f>
        <v/>
      </c>
      <c r="J2467" t="str">
        <f t="shared" si="38"/>
        <v>No Data</v>
      </c>
      <c r="K2467">
        <f>dataset[[#This Row],[soda_sales]]/dataset[[#This Row],[soda_units_sold]]</f>
        <v>0.72070254570660364</v>
      </c>
      <c r="L2467" s="29">
        <f>dataset[[#This Row],[implied_soda_ppu]]-dataset[[#This Row],[soda_ppu]]</f>
        <v>2.5457066036294052E-6</v>
      </c>
      <c r="M2467">
        <f>dataset[[#This Row],[soda_sales]]/dataset[[#This Row],[total_sales]]</f>
        <v>6.6070204662607046E-2</v>
      </c>
      <c r="N2467">
        <f>LN(dataset[[#This Row],[soda_units_sold]])</f>
        <v>12.330495808884441</v>
      </c>
      <c r="O2467">
        <f>LN(dataset[[#This Row],[soda_sales]])</f>
        <v>12.002967024095927</v>
      </c>
      <c r="P2467">
        <f>LN(dataset[[#This Row],[soda_ppu]])</f>
        <v>-0.32753231705174168</v>
      </c>
      <c r="Q2467">
        <f>IF(dataset[[#This Row],[state]]="VA",1,0)</f>
        <v>0</v>
      </c>
    </row>
    <row r="2468" spans="1:17" x14ac:dyDescent="0.35">
      <c r="A2468">
        <v>202307</v>
      </c>
      <c r="B2468">
        <v>58</v>
      </c>
      <c r="C2468" s="2">
        <v>2390014.6979</v>
      </c>
      <c r="D2468" s="2">
        <v>0.75590000000000002</v>
      </c>
      <c r="E2468" s="3">
        <v>226797</v>
      </c>
      <c r="F2468" s="2">
        <v>171429.511</v>
      </c>
      <c r="G2468" t="s">
        <v>1587</v>
      </c>
      <c r="H2468" t="s">
        <v>7</v>
      </c>
      <c r="I2468" t="str">
        <f>HLOOKUP(G2468,zip_tiers!$A$1:$EON$2,2,FALSE)</f>
        <v/>
      </c>
      <c r="J2468" t="str">
        <f t="shared" si="38"/>
        <v>No Data</v>
      </c>
      <c r="K2468">
        <f>dataset[[#This Row],[soda_sales]]/dataset[[#This Row],[soda_units_sold]]</f>
        <v>0.75587203975361228</v>
      </c>
      <c r="L2468" s="29">
        <f>dataset[[#This Row],[implied_soda_ppu]]-dataset[[#This Row],[soda_ppu]]</f>
        <v>-2.7960246387737087E-5</v>
      </c>
      <c r="M2468">
        <f>dataset[[#This Row],[soda_sales]]/dataset[[#This Row],[total_sales]]</f>
        <v>7.1727387764865008E-2</v>
      </c>
      <c r="N2468">
        <f>LN(dataset[[#This Row],[soda_units_sold]])</f>
        <v>12.331810623235022</v>
      </c>
      <c r="O2468">
        <f>LN(dataset[[#This Row],[soda_sales]])</f>
        <v>12.05192744652123</v>
      </c>
      <c r="P2468">
        <f>LN(dataset[[#This Row],[soda_ppu]])</f>
        <v>-0.27984618668400602</v>
      </c>
      <c r="Q2468">
        <f>IF(dataset[[#This Row],[state]]="VA",1,0)</f>
        <v>0</v>
      </c>
    </row>
    <row r="2469" spans="1:17" x14ac:dyDescent="0.35">
      <c r="A2469">
        <v>202308</v>
      </c>
      <c r="B2469">
        <v>58</v>
      </c>
      <c r="C2469" s="2">
        <v>2294160.2182</v>
      </c>
      <c r="D2469" s="2">
        <v>0.74580000000000002</v>
      </c>
      <c r="E2469" s="3">
        <v>205105</v>
      </c>
      <c r="F2469" s="2">
        <v>152975.2016</v>
      </c>
      <c r="G2469" t="s">
        <v>1587</v>
      </c>
      <c r="H2469" t="s">
        <v>7</v>
      </c>
      <c r="I2469" t="str">
        <f>HLOOKUP(G2469,zip_tiers!$A$1:$EON$2,2,FALSE)</f>
        <v/>
      </c>
      <c r="J2469" t="str">
        <f t="shared" si="38"/>
        <v>No Data</v>
      </c>
      <c r="K2469">
        <f>dataset[[#This Row],[soda_sales]]/dataset[[#This Row],[soda_units_sold]]</f>
        <v>0.74583848077813808</v>
      </c>
      <c r="L2469" s="29">
        <f>dataset[[#This Row],[implied_soda_ppu]]-dataset[[#This Row],[soda_ppu]]</f>
        <v>3.8480778138061389E-5</v>
      </c>
      <c r="M2469">
        <f>dataset[[#This Row],[soda_sales]]/dataset[[#This Row],[total_sales]]</f>
        <v>6.6680260770986807E-2</v>
      </c>
      <c r="N2469">
        <f>LN(dataset[[#This Row],[soda_units_sold]])</f>
        <v>12.231277322115348</v>
      </c>
      <c r="O2469">
        <f>LN(dataset[[#This Row],[soda_sales]])</f>
        <v>11.938031106192268</v>
      </c>
      <c r="P2469">
        <f>LN(dataset[[#This Row],[soda_ppu]])</f>
        <v>-0.29329781123741661</v>
      </c>
      <c r="Q2469">
        <f>IF(dataset[[#This Row],[state]]="VA",1,0)</f>
        <v>0</v>
      </c>
    </row>
    <row r="2470" spans="1:17" x14ac:dyDescent="0.35">
      <c r="A2470">
        <v>202309</v>
      </c>
      <c r="B2470">
        <v>58</v>
      </c>
      <c r="C2470" s="2">
        <v>2277374.7259</v>
      </c>
      <c r="D2470" s="2">
        <v>0.77580000000000005</v>
      </c>
      <c r="E2470" s="3">
        <v>187326</v>
      </c>
      <c r="F2470" s="2">
        <v>145320.2715</v>
      </c>
      <c r="G2470" t="s">
        <v>1587</v>
      </c>
      <c r="H2470" t="s">
        <v>7</v>
      </c>
      <c r="I2470" t="str">
        <f>HLOOKUP(G2470,zip_tiers!$A$1:$EON$2,2,FALSE)</f>
        <v/>
      </c>
      <c r="J2470" t="str">
        <f t="shared" si="38"/>
        <v>No Data</v>
      </c>
      <c r="K2470">
        <f>dataset[[#This Row],[soda_sales]]/dataset[[#This Row],[soda_units_sold]]</f>
        <v>0.77576135453701034</v>
      </c>
      <c r="L2470" s="29">
        <f>dataset[[#This Row],[implied_soda_ppu]]-dataset[[#This Row],[soda_ppu]]</f>
        <v>-3.8645462989705948E-5</v>
      </c>
      <c r="M2470">
        <f>dataset[[#This Row],[soda_sales]]/dataset[[#This Row],[total_sales]]</f>
        <v>6.381043481659375E-2</v>
      </c>
      <c r="N2470">
        <f>LN(dataset[[#This Row],[soda_units_sold]])</f>
        <v>12.140605693534024</v>
      </c>
      <c r="O2470">
        <f>LN(dataset[[#This Row],[soda_sales]])</f>
        <v>11.886695354624061</v>
      </c>
      <c r="P2470">
        <f>LN(dataset[[#This Row],[soda_ppu]])</f>
        <v>-0.25386052397627018</v>
      </c>
      <c r="Q2470">
        <f>IF(dataset[[#This Row],[state]]="VA",1,0)</f>
        <v>0</v>
      </c>
    </row>
    <row r="2471" spans="1:17" x14ac:dyDescent="0.35">
      <c r="A2471">
        <v>202310</v>
      </c>
      <c r="B2471">
        <v>58</v>
      </c>
      <c r="C2471" s="2">
        <v>2765970.0652999999</v>
      </c>
      <c r="D2471" s="2">
        <v>0.72970000000000002</v>
      </c>
      <c r="E2471" s="3">
        <v>189204</v>
      </c>
      <c r="F2471" s="2">
        <v>138059.859</v>
      </c>
      <c r="G2471" t="s">
        <v>1587</v>
      </c>
      <c r="H2471" t="s">
        <v>7</v>
      </c>
      <c r="I2471" t="str">
        <f>HLOOKUP(G2471,zip_tiers!$A$1:$EON$2,2,FALSE)</f>
        <v/>
      </c>
      <c r="J2471" t="str">
        <f t="shared" si="38"/>
        <v>No Data</v>
      </c>
      <c r="K2471">
        <f>dataset[[#This Row],[soda_sales]]/dataset[[#This Row],[soda_units_sold]]</f>
        <v>0.72968784486585903</v>
      </c>
      <c r="L2471" s="29">
        <f>dataset[[#This Row],[implied_soda_ppu]]-dataset[[#This Row],[soda_ppu]]</f>
        <v>-1.2155134140989787E-5</v>
      </c>
      <c r="M2471">
        <f>dataset[[#This Row],[soda_sales]]/dataset[[#This Row],[total_sales]]</f>
        <v>4.9913721313186332E-2</v>
      </c>
      <c r="N2471">
        <f>LN(dataset[[#This Row],[soda_units_sold]])</f>
        <v>12.150581077025482</v>
      </c>
      <c r="O2471">
        <f>LN(dataset[[#This Row],[soda_sales]])</f>
        <v>11.835442630961856</v>
      </c>
      <c r="P2471">
        <f>LN(dataset[[#This Row],[soda_ppu]])</f>
        <v>-0.31512178821056264</v>
      </c>
      <c r="Q2471">
        <f>IF(dataset[[#This Row],[state]]="VA",1,0)</f>
        <v>0</v>
      </c>
    </row>
    <row r="2472" spans="1:17" x14ac:dyDescent="0.35">
      <c r="A2472">
        <v>202311</v>
      </c>
      <c r="B2472">
        <v>58</v>
      </c>
      <c r="C2472" s="2">
        <v>3126963.2873999998</v>
      </c>
      <c r="D2472" s="2">
        <v>0.76959999999999995</v>
      </c>
      <c r="E2472" s="3">
        <v>168420</v>
      </c>
      <c r="F2472" s="2">
        <v>129621.9276</v>
      </c>
      <c r="G2472" t="s">
        <v>1587</v>
      </c>
      <c r="H2472" t="s">
        <v>7</v>
      </c>
      <c r="I2472" t="str">
        <f>HLOOKUP(G2472,zip_tiers!$A$1:$EON$2,2,FALSE)</f>
        <v/>
      </c>
      <c r="J2472" t="str">
        <f t="shared" si="38"/>
        <v>No Data</v>
      </c>
      <c r="K2472">
        <f>dataset[[#This Row],[soda_sales]]/dataset[[#This Row],[soda_units_sold]]</f>
        <v>0.76963500534378337</v>
      </c>
      <c r="L2472" s="29">
        <f>dataset[[#This Row],[implied_soda_ppu]]-dataset[[#This Row],[soda_ppu]]</f>
        <v>3.5005343783423015E-5</v>
      </c>
      <c r="M2472">
        <f>dataset[[#This Row],[soda_sales]]/dataset[[#This Row],[total_sales]]</f>
        <v>4.1452973919555589E-2</v>
      </c>
      <c r="N2472">
        <f>LN(dataset[[#This Row],[soda_units_sold]])</f>
        <v>12.034216138583982</v>
      </c>
      <c r="O2472">
        <f>LN(dataset[[#This Row],[soda_sales]])</f>
        <v>11.77237724303299</v>
      </c>
      <c r="P2472">
        <f>LN(dataset[[#This Row],[soda_ppu]])</f>
        <v>-0.26188437963064037</v>
      </c>
      <c r="Q2472">
        <f>IF(dataset[[#This Row],[state]]="VA",1,0)</f>
        <v>0</v>
      </c>
    </row>
    <row r="2473" spans="1:17" x14ac:dyDescent="0.35">
      <c r="A2473">
        <v>202312</v>
      </c>
      <c r="B2473">
        <v>58</v>
      </c>
      <c r="C2473" s="2">
        <v>3280997.5628</v>
      </c>
      <c r="D2473" s="2">
        <v>0.77769999999999995</v>
      </c>
      <c r="E2473" s="3">
        <v>166479</v>
      </c>
      <c r="F2473" s="2">
        <v>129473.6317</v>
      </c>
      <c r="G2473" t="s">
        <v>1587</v>
      </c>
      <c r="H2473" t="s">
        <v>7</v>
      </c>
      <c r="I2473" t="str">
        <f>HLOOKUP(G2473,zip_tiers!$A$1:$EON$2,2,FALSE)</f>
        <v/>
      </c>
      <c r="J2473" t="str">
        <f t="shared" si="38"/>
        <v>No Data</v>
      </c>
      <c r="K2473">
        <f>dataset[[#This Row],[soda_sales]]/dataset[[#This Row],[soda_units_sold]]</f>
        <v>0.77771750010511831</v>
      </c>
      <c r="L2473" s="29">
        <f>dataset[[#This Row],[implied_soda_ppu]]-dataset[[#This Row],[soda_ppu]]</f>
        <v>1.7500105118362086E-5</v>
      </c>
      <c r="M2473">
        <f>dataset[[#This Row],[soda_sales]]/dataset[[#This Row],[total_sales]]</f>
        <v>3.9461666527270241E-2</v>
      </c>
      <c r="N2473">
        <f>LN(dataset[[#This Row],[soda_units_sold]])</f>
        <v>12.02262445432194</v>
      </c>
      <c r="O2473">
        <f>LN(dataset[[#This Row],[soda_sales]])</f>
        <v>11.771232523172918</v>
      </c>
      <c r="P2473">
        <f>LN(dataset[[#This Row],[soda_ppu]])</f>
        <v>-0.25141443328123952</v>
      </c>
      <c r="Q2473">
        <f>IF(dataset[[#This Row],[state]]="VA",1,0)</f>
        <v>0</v>
      </c>
    </row>
    <row r="2474" spans="1:17" x14ac:dyDescent="0.35">
      <c r="A2474">
        <v>202401</v>
      </c>
      <c r="B2474">
        <v>58</v>
      </c>
      <c r="C2474" s="2">
        <v>1897273.1048999999</v>
      </c>
      <c r="D2474" s="2">
        <v>0.78280000000000005</v>
      </c>
      <c r="E2474" s="3">
        <v>120824</v>
      </c>
      <c r="F2474" s="2">
        <v>94585.433399999994</v>
      </c>
      <c r="G2474" t="s">
        <v>1587</v>
      </c>
      <c r="H2474" t="s">
        <v>7</v>
      </c>
      <c r="I2474" t="str">
        <f>HLOOKUP(G2474,zip_tiers!$A$1:$EON$2,2,FALSE)</f>
        <v/>
      </c>
      <c r="J2474" t="str">
        <f t="shared" si="38"/>
        <v>No Data</v>
      </c>
      <c r="K2474">
        <f>dataset[[#This Row],[soda_sales]]/dataset[[#This Row],[soda_units_sold]]</f>
        <v>0.78283646792028072</v>
      </c>
      <c r="L2474" s="29">
        <f>dataset[[#This Row],[implied_soda_ppu]]-dataset[[#This Row],[soda_ppu]]</f>
        <v>3.6467920280669475E-5</v>
      </c>
      <c r="M2474">
        <f>dataset[[#This Row],[soda_sales]]/dataset[[#This Row],[total_sales]]</f>
        <v>4.9853356986782005E-2</v>
      </c>
      <c r="N2474">
        <f>LN(dataset[[#This Row],[soda_units_sold]])</f>
        <v>11.702090220246177</v>
      </c>
      <c r="O2474">
        <f>LN(dataset[[#This Row],[soda_sales]])</f>
        <v>11.457258762211167</v>
      </c>
      <c r="P2474">
        <f>LN(dataset[[#This Row],[soda_ppu]])</f>
        <v>-0.24487804346021583</v>
      </c>
      <c r="Q2474">
        <f>IF(dataset[[#This Row],[state]]="VA",1,0)</f>
        <v>0</v>
      </c>
    </row>
    <row r="2475" spans="1:17" x14ac:dyDescent="0.35">
      <c r="A2475">
        <v>202402</v>
      </c>
      <c r="B2475">
        <v>58</v>
      </c>
      <c r="C2475" s="2">
        <v>2132238.7001999998</v>
      </c>
      <c r="D2475" s="2">
        <v>0.78890000000000005</v>
      </c>
      <c r="E2475" s="3">
        <v>136534</v>
      </c>
      <c r="F2475" s="2">
        <v>107716.8205</v>
      </c>
      <c r="G2475" t="s">
        <v>1587</v>
      </c>
      <c r="H2475" t="s">
        <v>7</v>
      </c>
      <c r="I2475" t="str">
        <f>HLOOKUP(G2475,zip_tiers!$A$1:$EON$2,2,FALSE)</f>
        <v/>
      </c>
      <c r="J2475" t="str">
        <f t="shared" si="38"/>
        <v>No Data</v>
      </c>
      <c r="K2475">
        <f>dataset[[#This Row],[soda_sales]]/dataset[[#This Row],[soda_units_sold]]</f>
        <v>0.78893770416160081</v>
      </c>
      <c r="L2475" s="29">
        <f>dataset[[#This Row],[implied_soda_ppu]]-dataset[[#This Row],[soda_ppu]]</f>
        <v>3.7704161600760067E-5</v>
      </c>
      <c r="M2475">
        <f>dataset[[#This Row],[soda_sales]]/dataset[[#This Row],[total_sales]]</f>
        <v>5.0518180956895857E-2</v>
      </c>
      <c r="N2475">
        <f>LN(dataset[[#This Row],[soda_units_sold]])</f>
        <v>11.824328946839904</v>
      </c>
      <c r="O2475">
        <f>LN(dataset[[#This Row],[soda_sales]])</f>
        <v>11.587261030151264</v>
      </c>
      <c r="P2475">
        <f>LN(dataset[[#This Row],[soda_ppu]])</f>
        <v>-0.23711570888109307</v>
      </c>
      <c r="Q2475">
        <f>IF(dataset[[#This Row],[state]]="VA",1,0)</f>
        <v>0</v>
      </c>
    </row>
    <row r="2476" spans="1:17" x14ac:dyDescent="0.35">
      <c r="A2476">
        <v>202403</v>
      </c>
      <c r="B2476">
        <v>58</v>
      </c>
      <c r="C2476" s="2">
        <v>2451833.4380999999</v>
      </c>
      <c r="D2476" s="2">
        <v>0.78200000000000003</v>
      </c>
      <c r="E2476" s="3">
        <v>167899</v>
      </c>
      <c r="F2476" s="2">
        <v>131290.40169999999</v>
      </c>
      <c r="G2476" t="s">
        <v>1587</v>
      </c>
      <c r="H2476" t="s">
        <v>7</v>
      </c>
      <c r="I2476" t="str">
        <f>HLOOKUP(G2476,zip_tiers!$A$1:$EON$2,2,FALSE)</f>
        <v/>
      </c>
      <c r="J2476" t="str">
        <f t="shared" si="38"/>
        <v>No Data</v>
      </c>
      <c r="K2476">
        <f>dataset[[#This Row],[soda_sales]]/dataset[[#This Row],[soda_units_sold]]</f>
        <v>0.7819605935711349</v>
      </c>
      <c r="L2476" s="29">
        <f>dataset[[#This Row],[implied_soda_ppu]]-dataset[[#This Row],[soda_ppu]]</f>
        <v>-3.9406428865129683E-5</v>
      </c>
      <c r="M2476">
        <f>dataset[[#This Row],[soda_sales]]/dataset[[#This Row],[total_sales]]</f>
        <v>5.3547846953968005E-2</v>
      </c>
      <c r="N2476">
        <f>LN(dataset[[#This Row],[soda_units_sold]])</f>
        <v>12.031117887121749</v>
      </c>
      <c r="O2476">
        <f>LN(dataset[[#This Row],[soda_sales]])</f>
        <v>11.785166955562442</v>
      </c>
      <c r="P2476">
        <f>LN(dataset[[#This Row],[soda_ppu]])</f>
        <v>-0.24590053843682594</v>
      </c>
      <c r="Q2476">
        <f>IF(dataset[[#This Row],[state]]="VA",1,0)</f>
        <v>0</v>
      </c>
    </row>
    <row r="2477" spans="1:17" x14ac:dyDescent="0.35">
      <c r="A2477">
        <v>202404</v>
      </c>
      <c r="B2477">
        <v>58</v>
      </c>
      <c r="C2477" s="2">
        <v>2524418.6507999999</v>
      </c>
      <c r="D2477" s="2">
        <v>0.7913</v>
      </c>
      <c r="E2477" s="3">
        <v>189146</v>
      </c>
      <c r="F2477" s="2">
        <v>149670.02669999999</v>
      </c>
      <c r="G2477" t="s">
        <v>1587</v>
      </c>
      <c r="H2477" t="s">
        <v>7</v>
      </c>
      <c r="I2477" t="str">
        <f>HLOOKUP(G2477,zip_tiers!$A$1:$EON$2,2,FALSE)</f>
        <v/>
      </c>
      <c r="J2477" t="str">
        <f t="shared" si="38"/>
        <v>No Data</v>
      </c>
      <c r="K2477">
        <f>dataset[[#This Row],[soda_sales]]/dataset[[#This Row],[soda_units_sold]]</f>
        <v>0.791293639305087</v>
      </c>
      <c r="L2477" s="29">
        <f>dataset[[#This Row],[implied_soda_ppu]]-dataset[[#This Row],[soda_ppu]]</f>
        <v>-6.3606949129990653E-6</v>
      </c>
      <c r="M2477">
        <f>dataset[[#This Row],[soda_sales]]/dataset[[#This Row],[total_sales]]</f>
        <v>5.9288908617660889E-2</v>
      </c>
      <c r="N2477">
        <f>LN(dataset[[#This Row],[soda_units_sold]])</f>
        <v>12.150274482599928</v>
      </c>
      <c r="O2477">
        <f>LN(dataset[[#This Row],[soda_sales]])</f>
        <v>11.91618832791564</v>
      </c>
      <c r="P2477">
        <f>LN(dataset[[#This Row],[soda_ppu]])</f>
        <v>-0.23407811636698939</v>
      </c>
      <c r="Q2477">
        <f>IF(dataset[[#This Row],[state]]="VA",1,0)</f>
        <v>0</v>
      </c>
    </row>
    <row r="2478" spans="1:17" x14ac:dyDescent="0.35">
      <c r="A2478">
        <v>202405</v>
      </c>
      <c r="B2478">
        <v>58</v>
      </c>
      <c r="C2478" s="2">
        <v>2716738.2946000001</v>
      </c>
      <c r="D2478" s="2">
        <v>0.82010000000000005</v>
      </c>
      <c r="E2478" s="3">
        <v>203937</v>
      </c>
      <c r="F2478" s="2">
        <v>167243.1367</v>
      </c>
      <c r="G2478" t="s">
        <v>1587</v>
      </c>
      <c r="H2478" t="s">
        <v>7</v>
      </c>
      <c r="I2478" t="str">
        <f>HLOOKUP(G2478,zip_tiers!$A$1:$EON$2,2,FALSE)</f>
        <v/>
      </c>
      <c r="J2478" t="str">
        <f t="shared" si="38"/>
        <v>No Data</v>
      </c>
      <c r="K2478">
        <f>dataset[[#This Row],[soda_sales]]/dataset[[#This Row],[soda_units_sold]]</f>
        <v>0.82007255524990563</v>
      </c>
      <c r="L2478" s="29">
        <f>dataset[[#This Row],[implied_soda_ppu]]-dataset[[#This Row],[soda_ppu]]</f>
        <v>-2.7444750094418602E-5</v>
      </c>
      <c r="M2478">
        <f>dataset[[#This Row],[soda_sales]]/dataset[[#This Row],[total_sales]]</f>
        <v>6.1560267704999574E-2</v>
      </c>
      <c r="N2478">
        <f>LN(dataset[[#This Row],[soda_units_sold]])</f>
        <v>12.225566401601135</v>
      </c>
      <c r="O2478">
        <f>LN(dataset[[#This Row],[soda_sales]])</f>
        <v>12.027203940975076</v>
      </c>
      <c r="P2478">
        <f>LN(dataset[[#This Row],[soda_ppu]])</f>
        <v>-0.19832899493977146</v>
      </c>
      <c r="Q2478">
        <f>IF(dataset[[#This Row],[state]]="VA",1,0)</f>
        <v>0</v>
      </c>
    </row>
    <row r="2479" spans="1:17" x14ac:dyDescent="0.35">
      <c r="A2479">
        <v>202406</v>
      </c>
      <c r="B2479">
        <v>58</v>
      </c>
      <c r="C2479" s="2">
        <v>2592760.5531000001</v>
      </c>
      <c r="D2479" s="2">
        <v>0.8054</v>
      </c>
      <c r="E2479" s="3">
        <v>213354</v>
      </c>
      <c r="F2479" s="2">
        <v>171834.58180000001</v>
      </c>
      <c r="G2479" t="s">
        <v>1587</v>
      </c>
      <c r="H2479" t="s">
        <v>7</v>
      </c>
      <c r="I2479" t="str">
        <f>HLOOKUP(G2479,zip_tiers!$A$1:$EON$2,2,FALSE)</f>
        <v/>
      </c>
      <c r="J2479" t="str">
        <f t="shared" si="38"/>
        <v>No Data</v>
      </c>
      <c r="K2479">
        <f>dataset[[#This Row],[soda_sales]]/dataset[[#This Row],[soda_units_sold]]</f>
        <v>0.80539657939387133</v>
      </c>
      <c r="L2479" s="29">
        <f>dataset[[#This Row],[implied_soda_ppu]]-dataset[[#This Row],[soda_ppu]]</f>
        <v>-3.4206061286790046E-6</v>
      </c>
      <c r="M2479">
        <f>dataset[[#This Row],[soda_sales]]/dataset[[#This Row],[total_sales]]</f>
        <v>6.6274759385145793E-2</v>
      </c>
      <c r="N2479">
        <f>LN(dataset[[#This Row],[soda_units_sold]])</f>
        <v>12.270708036975664</v>
      </c>
      <c r="O2479">
        <f>LN(dataset[[#This Row],[soda_sales]])</f>
        <v>12.054287559312058</v>
      </c>
      <c r="P2479">
        <f>LN(dataset[[#This Row],[soda_ppu]])</f>
        <v>-0.21641623056478326</v>
      </c>
      <c r="Q2479">
        <f>IF(dataset[[#This Row],[state]]="VA",1,0)</f>
        <v>0</v>
      </c>
    </row>
    <row r="2480" spans="1:17" x14ac:dyDescent="0.35">
      <c r="A2480">
        <v>202407</v>
      </c>
      <c r="B2480">
        <v>58</v>
      </c>
      <c r="C2480" s="2">
        <v>2414398.6009999998</v>
      </c>
      <c r="D2480" s="2">
        <v>0.80379999999999996</v>
      </c>
      <c r="E2480" s="3">
        <v>217947</v>
      </c>
      <c r="F2480" s="2">
        <v>175175.70619999999</v>
      </c>
      <c r="G2480" t="s">
        <v>1587</v>
      </c>
      <c r="H2480" t="s">
        <v>7</v>
      </c>
      <c r="I2480" t="str">
        <f>HLOOKUP(G2480,zip_tiers!$A$1:$EON$2,2,FALSE)</f>
        <v/>
      </c>
      <c r="J2480" t="str">
        <f t="shared" si="38"/>
        <v>No Data</v>
      </c>
      <c r="K2480">
        <f>dataset[[#This Row],[soda_sales]]/dataset[[#This Row],[soda_units_sold]]</f>
        <v>0.80375369332911206</v>
      </c>
      <c r="L2480" s="29">
        <f>dataset[[#This Row],[implied_soda_ppu]]-dataset[[#This Row],[soda_ppu]]</f>
        <v>-4.630667088789675E-5</v>
      </c>
      <c r="M2480">
        <f>dataset[[#This Row],[soda_sales]]/dataset[[#This Row],[total_sales]]</f>
        <v>7.2554592322678371E-2</v>
      </c>
      <c r="N2480">
        <f>LN(dataset[[#This Row],[soda_units_sold]])</f>
        <v>12.292007192946892</v>
      </c>
      <c r="O2480">
        <f>LN(dataset[[#This Row],[soda_sales]])</f>
        <v>12.073544784627783</v>
      </c>
      <c r="P2480">
        <f>LN(dataset[[#This Row],[soda_ppu]])</f>
        <v>-0.21840479696703638</v>
      </c>
      <c r="Q2480">
        <f>IF(dataset[[#This Row],[state]]="VA",1,0)</f>
        <v>0</v>
      </c>
    </row>
    <row r="2481" spans="1:17" x14ac:dyDescent="0.35">
      <c r="A2481">
        <v>202408</v>
      </c>
      <c r="B2481">
        <v>58</v>
      </c>
      <c r="C2481" s="2">
        <v>2349987.1971</v>
      </c>
      <c r="D2481" s="2">
        <v>0.79179999999999995</v>
      </c>
      <c r="E2481" s="3">
        <v>200057</v>
      </c>
      <c r="F2481" s="2">
        <v>158414.32060000001</v>
      </c>
      <c r="G2481" t="s">
        <v>1587</v>
      </c>
      <c r="H2481" t="s">
        <v>7</v>
      </c>
      <c r="I2481" t="str">
        <f>HLOOKUP(G2481,zip_tiers!$A$1:$EON$2,2,FALSE)</f>
        <v/>
      </c>
      <c r="J2481" t="str">
        <f t="shared" si="38"/>
        <v>No Data</v>
      </c>
      <c r="K2481">
        <f>dataset[[#This Row],[soda_sales]]/dataset[[#This Row],[soda_units_sold]]</f>
        <v>0.79184592691083044</v>
      </c>
      <c r="L2481" s="29">
        <f>dataset[[#This Row],[implied_soda_ppu]]-dataset[[#This Row],[soda_ppu]]</f>
        <v>4.5926910830496048E-5</v>
      </c>
      <c r="M2481">
        <f>dataset[[#This Row],[soda_sales]]/dataset[[#This Row],[total_sales]]</f>
        <v>6.741071644794111E-2</v>
      </c>
      <c r="N2481">
        <f>LN(dataset[[#This Row],[soda_units_sold]])</f>
        <v>12.206357604925389</v>
      </c>
      <c r="O2481">
        <f>LN(dataset[[#This Row],[soda_sales]])</f>
        <v>11.972969162104205</v>
      </c>
      <c r="P2481">
        <f>LN(dataset[[#This Row],[soda_ppu]])</f>
        <v>-0.23344644431010689</v>
      </c>
      <c r="Q2481">
        <f>IF(dataset[[#This Row],[state]]="VA",1,0)</f>
        <v>0</v>
      </c>
    </row>
    <row r="2482" spans="1:17" x14ac:dyDescent="0.35">
      <c r="A2482">
        <v>202409</v>
      </c>
      <c r="B2482">
        <v>58</v>
      </c>
      <c r="C2482" s="2">
        <v>2324066.1682000002</v>
      </c>
      <c r="D2482" s="2">
        <v>0.80059999999999998</v>
      </c>
      <c r="E2482" s="3">
        <v>188772</v>
      </c>
      <c r="F2482" s="2">
        <v>151127.01990000001</v>
      </c>
      <c r="G2482" t="s">
        <v>1587</v>
      </c>
      <c r="H2482" t="s">
        <v>7</v>
      </c>
      <c r="I2482" t="str">
        <f>HLOOKUP(G2482,zip_tiers!$A$1:$EON$2,2,FALSE)</f>
        <v/>
      </c>
      <c r="J2482" t="str">
        <f t="shared" si="38"/>
        <v>No Data</v>
      </c>
      <c r="K2482">
        <f>dataset[[#This Row],[soda_sales]]/dataset[[#This Row],[soda_units_sold]]</f>
        <v>0.8005796405187211</v>
      </c>
      <c r="L2482" s="29">
        <f>dataset[[#This Row],[implied_soda_ppu]]-dataset[[#This Row],[soda_ppu]]</f>
        <v>-2.0359481278875435E-5</v>
      </c>
      <c r="M2482">
        <f>dataset[[#This Row],[soda_sales]]/dataset[[#This Row],[total_sales]]</f>
        <v>6.5026986738957002E-2</v>
      </c>
      <c r="N2482">
        <f>LN(dataset[[#This Row],[soda_units_sold]])</f>
        <v>12.148295216610505</v>
      </c>
      <c r="O2482">
        <f>LN(dataset[[#This Row],[soda_sales]])</f>
        <v>11.925875953584598</v>
      </c>
      <c r="P2482">
        <f>LN(dataset[[#This Row],[soda_ppu]])</f>
        <v>-0.22239383242366384</v>
      </c>
      <c r="Q2482">
        <f>IF(dataset[[#This Row],[state]]="VA",1,0)</f>
        <v>0</v>
      </c>
    </row>
    <row r="2483" spans="1:17" x14ac:dyDescent="0.35">
      <c r="A2483">
        <v>202410</v>
      </c>
      <c r="B2483">
        <v>58</v>
      </c>
      <c r="C2483" s="2">
        <v>2790139.1967000002</v>
      </c>
      <c r="D2483" s="2">
        <v>0.79149999999999998</v>
      </c>
      <c r="E2483" s="3">
        <v>176994</v>
      </c>
      <c r="F2483" s="2">
        <v>140088.2102</v>
      </c>
      <c r="G2483" t="s">
        <v>1587</v>
      </c>
      <c r="H2483" t="s">
        <v>7</v>
      </c>
      <c r="I2483" t="str">
        <f>HLOOKUP(G2483,zip_tiers!$A$1:$EON$2,2,FALSE)</f>
        <v/>
      </c>
      <c r="J2483" t="str">
        <f t="shared" si="38"/>
        <v>No Data</v>
      </c>
      <c r="K2483">
        <f>dataset[[#This Row],[soda_sales]]/dataset[[#This Row],[soda_units_sold]]</f>
        <v>0.79148564471112015</v>
      </c>
      <c r="L2483" s="29">
        <f>dataset[[#This Row],[implied_soda_ppu]]-dataset[[#This Row],[soda_ppu]]</f>
        <v>-1.4355288879830397E-5</v>
      </c>
      <c r="M2483">
        <f>dataset[[#This Row],[soda_sales]]/dataset[[#This Row],[total_sales]]</f>
        <v>5.0208323070650901E-2</v>
      </c>
      <c r="N2483">
        <f>LN(dataset[[#This Row],[soda_units_sold]])</f>
        <v>12.08387111267632</v>
      </c>
      <c r="O2483">
        <f>LN(dataset[[#This Row],[soda_sales]])</f>
        <v>11.85002757603602</v>
      </c>
      <c r="P2483">
        <f>LN(dataset[[#This Row],[soda_ppu]])</f>
        <v>-0.23382539966107024</v>
      </c>
      <c r="Q2483">
        <f>IF(dataset[[#This Row],[state]]="VA",1,0)</f>
        <v>0</v>
      </c>
    </row>
    <row r="2484" spans="1:17" x14ac:dyDescent="0.35">
      <c r="A2484">
        <v>202411</v>
      </c>
      <c r="B2484">
        <v>58</v>
      </c>
      <c r="C2484" s="2">
        <v>3213369.2974999999</v>
      </c>
      <c r="D2484" s="2">
        <v>0.80230000000000001</v>
      </c>
      <c r="E2484" s="3">
        <v>166586</v>
      </c>
      <c r="F2484" s="2">
        <v>133653.5448</v>
      </c>
      <c r="G2484" t="s">
        <v>1587</v>
      </c>
      <c r="H2484" t="s">
        <v>7</v>
      </c>
      <c r="I2484" t="str">
        <f>HLOOKUP(G2484,zip_tiers!$A$1:$EON$2,2,FALSE)</f>
        <v/>
      </c>
      <c r="J2484" t="str">
        <f t="shared" si="38"/>
        <v>No Data</v>
      </c>
      <c r="K2484">
        <f>dataset[[#This Row],[soda_sales]]/dataset[[#This Row],[soda_units_sold]]</f>
        <v>0.80230958663993379</v>
      </c>
      <c r="L2484" s="29">
        <f>dataset[[#This Row],[implied_soda_ppu]]-dataset[[#This Row],[soda_ppu]]</f>
        <v>9.5866399337785069E-6</v>
      </c>
      <c r="M2484">
        <f>dataset[[#This Row],[soda_sales]]/dataset[[#This Row],[total_sales]]</f>
        <v>4.1592961289566813E-2</v>
      </c>
      <c r="N2484">
        <f>LN(dataset[[#This Row],[soda_units_sold]])</f>
        <v>12.023266971570411</v>
      </c>
      <c r="O2484">
        <f>LN(dataset[[#This Row],[soda_sales]])</f>
        <v>11.803006244223193</v>
      </c>
      <c r="P2484">
        <f>LN(dataset[[#This Row],[soda_ppu]])</f>
        <v>-0.22027267622252672</v>
      </c>
      <c r="Q2484">
        <f>IF(dataset[[#This Row],[state]]="VA",1,0)</f>
        <v>0</v>
      </c>
    </row>
    <row r="2485" spans="1:17" x14ac:dyDescent="0.35">
      <c r="A2485">
        <v>202412</v>
      </c>
      <c r="B2485">
        <v>58</v>
      </c>
      <c r="C2485" s="2">
        <v>3385169.3144</v>
      </c>
      <c r="D2485" s="2">
        <v>0.80059999999999998</v>
      </c>
      <c r="E2485" s="3">
        <v>166893</v>
      </c>
      <c r="F2485" s="2">
        <v>133612.8996</v>
      </c>
      <c r="G2485" t="s">
        <v>1587</v>
      </c>
      <c r="H2485" t="s">
        <v>7</v>
      </c>
      <c r="I2485" t="str">
        <f>HLOOKUP(G2485,zip_tiers!$A$1:$EON$2,2,FALSE)</f>
        <v/>
      </c>
      <c r="J2485" t="str">
        <f t="shared" si="38"/>
        <v>No Data</v>
      </c>
      <c r="K2485">
        <f>dataset[[#This Row],[soda_sales]]/dataset[[#This Row],[soda_units_sold]]</f>
        <v>0.80059019611367765</v>
      </c>
      <c r="L2485" s="29">
        <f>dataset[[#This Row],[implied_soda_ppu]]-dataset[[#This Row],[soda_ppu]]</f>
        <v>-9.8038863223237627E-6</v>
      </c>
      <c r="M2485">
        <f>dataset[[#This Row],[soda_sales]]/dataset[[#This Row],[total_sales]]</f>
        <v>3.9470078802744335E-2</v>
      </c>
      <c r="N2485">
        <f>LN(dataset[[#This Row],[soda_units_sold]])</f>
        <v>12.025108167488161</v>
      </c>
      <c r="O2485">
        <f>LN(dataset[[#This Row],[soda_sales]])</f>
        <v>11.80270208931587</v>
      </c>
      <c r="P2485">
        <f>LN(dataset[[#This Row],[soda_ppu]])</f>
        <v>-0.22239383242366384</v>
      </c>
      <c r="Q2485">
        <f>IF(dataset[[#This Row],[state]]="VA",1,0)</f>
        <v>0</v>
      </c>
    </row>
    <row r="2486" spans="1:17" x14ac:dyDescent="0.35">
      <c r="A2486">
        <v>202201</v>
      </c>
      <c r="B2486">
        <v>42</v>
      </c>
      <c r="C2486" s="2">
        <v>1762955.7211</v>
      </c>
      <c r="D2486" s="2">
        <v>0.69630000000000003</v>
      </c>
      <c r="E2486" s="3">
        <v>153673</v>
      </c>
      <c r="F2486" s="2">
        <v>106997.7509</v>
      </c>
      <c r="G2486" t="s">
        <v>1682</v>
      </c>
      <c r="H2486" t="s">
        <v>7</v>
      </c>
      <c r="I2486">
        <f>HLOOKUP(G2486,zip_tiers!$A$1:$EON$2,2,FALSE)</f>
        <v>59053.666666666664</v>
      </c>
      <c r="J2486" t="str">
        <f t="shared" si="38"/>
        <v>Med</v>
      </c>
      <c r="K2486">
        <f>dataset[[#This Row],[soda_sales]]/dataset[[#This Row],[soda_units_sold]]</f>
        <v>0.69626903164511655</v>
      </c>
      <c r="L2486" s="29">
        <f>dataset[[#This Row],[implied_soda_ppu]]-dataset[[#This Row],[soda_ppu]]</f>
        <v>-3.0968354883476046E-5</v>
      </c>
      <c r="M2486">
        <f>dataset[[#This Row],[soda_sales]]/dataset[[#This Row],[total_sales]]</f>
        <v>6.0692250871302957E-2</v>
      </c>
      <c r="N2486">
        <f>LN(dataset[[#This Row],[soda_units_sold]])</f>
        <v>11.942582247211913</v>
      </c>
      <c r="O2486">
        <f>LN(dataset[[#This Row],[soda_sales]])</f>
        <v>11.580563093596959</v>
      </c>
      <c r="P2486">
        <f>LN(dataset[[#This Row],[soda_ppu]])</f>
        <v>-0.36197467703363595</v>
      </c>
      <c r="Q2486">
        <f>IF(dataset[[#This Row],[state]]="VA",1,0)</f>
        <v>0</v>
      </c>
    </row>
    <row r="2487" spans="1:17" x14ac:dyDescent="0.35">
      <c r="A2487">
        <v>202202</v>
      </c>
      <c r="B2487">
        <v>42</v>
      </c>
      <c r="C2487" s="2">
        <v>1982118.6007000001</v>
      </c>
      <c r="D2487" s="2">
        <v>0.71089999999999998</v>
      </c>
      <c r="E2487" s="3">
        <v>168441</v>
      </c>
      <c r="F2487" s="2">
        <v>119738.3079</v>
      </c>
      <c r="G2487" t="s">
        <v>1682</v>
      </c>
      <c r="H2487" t="s">
        <v>7</v>
      </c>
      <c r="I2487">
        <f>HLOOKUP(G2487,zip_tiers!$A$1:$EON$2,2,FALSE)</f>
        <v>59053.666666666664</v>
      </c>
      <c r="J2487" t="str">
        <f t="shared" si="38"/>
        <v>Med</v>
      </c>
      <c r="K2487">
        <f>dataset[[#This Row],[soda_sales]]/dataset[[#This Row],[soda_units_sold]]</f>
        <v>0.7108620104368889</v>
      </c>
      <c r="L2487" s="29">
        <f>dataset[[#This Row],[implied_soda_ppu]]-dataset[[#This Row],[soda_ppu]]</f>
        <v>-3.7989563111073821E-5</v>
      </c>
      <c r="M2487">
        <f>dataset[[#This Row],[soda_sales]]/dataset[[#This Row],[total_sales]]</f>
        <v>6.0409254954629614E-2</v>
      </c>
      <c r="N2487">
        <f>LN(dataset[[#This Row],[soda_units_sold]])</f>
        <v>12.034340819090348</v>
      </c>
      <c r="O2487">
        <f>LN(dataset[[#This Row],[soda_sales]])</f>
        <v>11.693063872928015</v>
      </c>
      <c r="P2487">
        <f>LN(dataset[[#This Row],[soda_ppu]])</f>
        <v>-0.34122350604669965</v>
      </c>
      <c r="Q2487">
        <f>IF(dataset[[#This Row],[state]]="VA",1,0)</f>
        <v>0</v>
      </c>
    </row>
    <row r="2488" spans="1:17" x14ac:dyDescent="0.35">
      <c r="A2488">
        <v>202203</v>
      </c>
      <c r="B2488">
        <v>42</v>
      </c>
      <c r="C2488" s="2">
        <v>2214672.0373</v>
      </c>
      <c r="D2488" s="2">
        <v>0.71789999999999998</v>
      </c>
      <c r="E2488" s="3">
        <v>195820</v>
      </c>
      <c r="F2488" s="2">
        <v>140577.61739999999</v>
      </c>
      <c r="G2488" t="s">
        <v>1682</v>
      </c>
      <c r="H2488" t="s">
        <v>7</v>
      </c>
      <c r="I2488">
        <f>HLOOKUP(G2488,zip_tiers!$A$1:$EON$2,2,FALSE)</f>
        <v>59053.666666666664</v>
      </c>
      <c r="J2488" t="str">
        <f t="shared" si="38"/>
        <v>Med</v>
      </c>
      <c r="K2488">
        <f>dataset[[#This Row],[soda_sales]]/dataset[[#This Row],[soda_units_sold]]</f>
        <v>0.71789203043611471</v>
      </c>
      <c r="L2488" s="29">
        <f>dataset[[#This Row],[implied_soda_ppu]]-dataset[[#This Row],[soda_ppu]]</f>
        <v>-7.9695638852683715E-6</v>
      </c>
      <c r="M2488">
        <f>dataset[[#This Row],[soda_sales]]/dataset[[#This Row],[total_sales]]</f>
        <v>6.3475591434018416E-2</v>
      </c>
      <c r="N2488">
        <f>LN(dataset[[#This Row],[soda_units_sold]])</f>
        <v>12.184951148908063</v>
      </c>
      <c r="O2488">
        <f>LN(dataset[[#This Row],[soda_sales]])</f>
        <v>11.853515052229463</v>
      </c>
      <c r="P2488">
        <f>LN(dataset[[#This Row],[soda_ppu]])</f>
        <v>-0.33142499539969977</v>
      </c>
      <c r="Q2488">
        <f>IF(dataset[[#This Row],[state]]="VA",1,0)</f>
        <v>0</v>
      </c>
    </row>
    <row r="2489" spans="1:17" x14ac:dyDescent="0.35">
      <c r="A2489">
        <v>202204</v>
      </c>
      <c r="B2489">
        <v>42</v>
      </c>
      <c r="C2489" s="2">
        <v>2307524.0762</v>
      </c>
      <c r="D2489" s="2">
        <v>0.71350000000000002</v>
      </c>
      <c r="E2489" s="3">
        <v>227068</v>
      </c>
      <c r="F2489" s="2">
        <v>162018.67120000001</v>
      </c>
      <c r="G2489" t="s">
        <v>1682</v>
      </c>
      <c r="H2489" t="s">
        <v>7</v>
      </c>
      <c r="I2489">
        <f>HLOOKUP(G2489,zip_tiers!$A$1:$EON$2,2,FALSE)</f>
        <v>59053.666666666664</v>
      </c>
      <c r="J2489" t="str">
        <f t="shared" si="38"/>
        <v>Med</v>
      </c>
      <c r="K2489">
        <f>dataset[[#This Row],[soda_sales]]/dataset[[#This Row],[soda_units_sold]]</f>
        <v>0.71352489650677331</v>
      </c>
      <c r="L2489" s="29">
        <f>dataset[[#This Row],[implied_soda_ppu]]-dataset[[#This Row],[soda_ppu]]</f>
        <v>2.4896506773286475E-5</v>
      </c>
      <c r="M2489">
        <f>dataset[[#This Row],[soda_sales]]/dataset[[#This Row],[total_sales]]</f>
        <v>7.0213209418300074E-2</v>
      </c>
      <c r="N2489">
        <f>LN(dataset[[#This Row],[soda_units_sold]])</f>
        <v>12.333004811075925</v>
      </c>
      <c r="O2489">
        <f>LN(dataset[[#This Row],[soda_sales]])</f>
        <v>11.99546686189424</v>
      </c>
      <c r="P2489">
        <f>LN(dataset[[#This Row],[soda_ppu]])</f>
        <v>-0.3375728420652459</v>
      </c>
      <c r="Q2489">
        <f>IF(dataset[[#This Row],[state]]="VA",1,0)</f>
        <v>0</v>
      </c>
    </row>
    <row r="2490" spans="1:17" x14ac:dyDescent="0.35">
      <c r="A2490">
        <v>202205</v>
      </c>
      <c r="B2490">
        <v>42</v>
      </c>
      <c r="C2490" s="2">
        <v>2436471.7496000002</v>
      </c>
      <c r="D2490" s="2">
        <v>0.72119999999999995</v>
      </c>
      <c r="E2490" s="3">
        <v>246282</v>
      </c>
      <c r="F2490" s="2">
        <v>177612.0313</v>
      </c>
      <c r="G2490" t="s">
        <v>1682</v>
      </c>
      <c r="H2490" t="s">
        <v>7</v>
      </c>
      <c r="I2490">
        <f>HLOOKUP(G2490,zip_tiers!$A$1:$EON$2,2,FALSE)</f>
        <v>59053.666666666664</v>
      </c>
      <c r="J2490" t="str">
        <f t="shared" si="38"/>
        <v>Med</v>
      </c>
      <c r="K2490">
        <f>dataset[[#This Row],[soda_sales]]/dataset[[#This Row],[soda_units_sold]]</f>
        <v>0.72117341624641673</v>
      </c>
      <c r="L2490" s="29">
        <f>dataset[[#This Row],[implied_soda_ppu]]-dataset[[#This Row],[soda_ppu]]</f>
        <v>-2.6583753583220293E-5</v>
      </c>
      <c r="M2490">
        <f>dataset[[#This Row],[soda_sales]]/dataset[[#This Row],[total_sales]]</f>
        <v>7.289722580578202E-2</v>
      </c>
      <c r="N2490">
        <f>LN(dataset[[#This Row],[soda_units_sold]])</f>
        <v>12.414232499830243</v>
      </c>
      <c r="O2490">
        <f>LN(dataset[[#This Row],[soda_sales]])</f>
        <v>12.087356851052006</v>
      </c>
      <c r="P2490">
        <f>LN(dataset[[#This Row],[soda_ppu]])</f>
        <v>-0.32683878765297492</v>
      </c>
      <c r="Q2490">
        <f>IF(dataset[[#This Row],[state]]="VA",1,0)</f>
        <v>0</v>
      </c>
    </row>
    <row r="2491" spans="1:17" x14ac:dyDescent="0.35">
      <c r="A2491">
        <v>202206</v>
      </c>
      <c r="B2491">
        <v>42</v>
      </c>
      <c r="C2491" s="2">
        <v>2337852.3371000001</v>
      </c>
      <c r="D2491" s="2">
        <v>0.7359</v>
      </c>
      <c r="E2491" s="3">
        <v>254103</v>
      </c>
      <c r="F2491" s="2">
        <v>186986.23420000001</v>
      </c>
      <c r="G2491" t="s">
        <v>1682</v>
      </c>
      <c r="H2491" t="s">
        <v>7</v>
      </c>
      <c r="I2491">
        <f>HLOOKUP(G2491,zip_tiers!$A$1:$EON$2,2,FALSE)</f>
        <v>59053.666666666664</v>
      </c>
      <c r="J2491" t="str">
        <f t="shared" si="38"/>
        <v>Med</v>
      </c>
      <c r="K2491">
        <f>dataset[[#This Row],[soda_sales]]/dataset[[#This Row],[soda_units_sold]]</f>
        <v>0.73586787326399139</v>
      </c>
      <c r="L2491" s="29">
        <f>dataset[[#This Row],[implied_soda_ppu]]-dataset[[#This Row],[soda_ppu]]</f>
        <v>-3.2126736008608603E-5</v>
      </c>
      <c r="M2491">
        <f>dataset[[#This Row],[soda_sales]]/dataset[[#This Row],[total_sales]]</f>
        <v>7.9982054996659002E-2</v>
      </c>
      <c r="N2491">
        <f>LN(dataset[[#This Row],[soda_units_sold]])</f>
        <v>12.445494975614004</v>
      </c>
      <c r="O2491">
        <f>LN(dataset[[#This Row],[soda_sales]])</f>
        <v>12.138790279223343</v>
      </c>
      <c r="P2491">
        <f>LN(dataset[[#This Row],[soda_ppu]])</f>
        <v>-0.30666103904958375</v>
      </c>
      <c r="Q2491">
        <f>IF(dataset[[#This Row],[state]]="VA",1,0)</f>
        <v>0</v>
      </c>
    </row>
    <row r="2492" spans="1:17" x14ac:dyDescent="0.35">
      <c r="A2492">
        <v>202207</v>
      </c>
      <c r="B2492">
        <v>42</v>
      </c>
      <c r="C2492" s="2">
        <v>2181495.4967</v>
      </c>
      <c r="D2492" s="2">
        <v>0.70720000000000005</v>
      </c>
      <c r="E2492" s="3">
        <v>276774</v>
      </c>
      <c r="F2492" s="2">
        <v>195748.0998</v>
      </c>
      <c r="G2492" t="s">
        <v>1682</v>
      </c>
      <c r="H2492" t="s">
        <v>7</v>
      </c>
      <c r="I2492">
        <f>HLOOKUP(G2492,zip_tiers!$A$1:$EON$2,2,FALSE)</f>
        <v>59053.666666666664</v>
      </c>
      <c r="J2492" t="str">
        <f t="shared" si="38"/>
        <v>Med</v>
      </c>
      <c r="K2492">
        <f>dataset[[#This Row],[soda_sales]]/dataset[[#This Row],[soda_units_sold]]</f>
        <v>0.70724887381040125</v>
      </c>
      <c r="L2492" s="29">
        <f>dataset[[#This Row],[implied_soda_ppu]]-dataset[[#This Row],[soda_ppu]]</f>
        <v>4.8873810401195428E-5</v>
      </c>
      <c r="M2492">
        <f>dataset[[#This Row],[soda_sales]]/dataset[[#This Row],[total_sales]]</f>
        <v>8.9731150073934507E-2</v>
      </c>
      <c r="N2492">
        <f>LN(dataset[[#This Row],[soda_units_sold]])</f>
        <v>12.530956567678055</v>
      </c>
      <c r="O2492">
        <f>LN(dataset[[#This Row],[soda_sales]])</f>
        <v>12.184583906526241</v>
      </c>
      <c r="P2492">
        <f>LN(dataset[[#This Row],[soda_ppu]])</f>
        <v>-0.34644176765870333</v>
      </c>
      <c r="Q2492">
        <f>IF(dataset[[#This Row],[state]]="VA",1,0)</f>
        <v>0</v>
      </c>
    </row>
    <row r="2493" spans="1:17" x14ac:dyDescent="0.35">
      <c r="A2493">
        <v>202208</v>
      </c>
      <c r="B2493">
        <v>42</v>
      </c>
      <c r="C2493" s="2">
        <v>2105670.5715000001</v>
      </c>
      <c r="D2493" s="2">
        <v>0.72330000000000005</v>
      </c>
      <c r="E2493" s="3">
        <v>236779</v>
      </c>
      <c r="F2493" s="2">
        <v>171266.23430000001</v>
      </c>
      <c r="G2493" t="s">
        <v>1682</v>
      </c>
      <c r="H2493" t="s">
        <v>7</v>
      </c>
      <c r="I2493">
        <f>HLOOKUP(G2493,zip_tiers!$A$1:$EON$2,2,FALSE)</f>
        <v>59053.666666666664</v>
      </c>
      <c r="J2493" t="str">
        <f t="shared" si="38"/>
        <v>Med</v>
      </c>
      <c r="K2493">
        <f>dataset[[#This Row],[soda_sales]]/dataset[[#This Row],[soda_units_sold]]</f>
        <v>0.72331682412713971</v>
      </c>
      <c r="L2493" s="29">
        <f>dataset[[#This Row],[implied_soda_ppu]]-dataset[[#This Row],[soda_ppu]]</f>
        <v>1.6824127139658529E-5</v>
      </c>
      <c r="M2493">
        <f>dataset[[#This Row],[soda_sales]]/dataset[[#This Row],[total_sales]]</f>
        <v>8.1335721084802179E-2</v>
      </c>
      <c r="N2493">
        <f>LN(dataset[[#This Row],[soda_units_sold]])</f>
        <v>12.374882495627036</v>
      </c>
      <c r="O2493">
        <f>LN(dataset[[#This Row],[soda_sales]])</f>
        <v>12.050974550463463</v>
      </c>
      <c r="P2493">
        <f>LN(dataset[[#This Row],[soda_ppu]])</f>
        <v>-0.32393120512690193</v>
      </c>
      <c r="Q2493">
        <f>IF(dataset[[#This Row],[state]]="VA",1,0)</f>
        <v>0</v>
      </c>
    </row>
    <row r="2494" spans="1:17" x14ac:dyDescent="0.35">
      <c r="A2494">
        <v>202209</v>
      </c>
      <c r="B2494">
        <v>42</v>
      </c>
      <c r="C2494" s="2">
        <v>2081187.0152</v>
      </c>
      <c r="D2494" s="2">
        <v>0.72189999999999999</v>
      </c>
      <c r="E2494" s="3">
        <v>225835</v>
      </c>
      <c r="F2494" s="2">
        <v>163033.06770000001</v>
      </c>
      <c r="G2494" t="s">
        <v>1682</v>
      </c>
      <c r="H2494" t="s">
        <v>7</v>
      </c>
      <c r="I2494">
        <f>HLOOKUP(G2494,zip_tiers!$A$1:$EON$2,2,FALSE)</f>
        <v>59053.666666666664</v>
      </c>
      <c r="J2494" t="str">
        <f t="shared" si="38"/>
        <v>Med</v>
      </c>
      <c r="K2494">
        <f>dataset[[#This Row],[soda_sales]]/dataset[[#This Row],[soda_units_sold]]</f>
        <v>0.72191231518586585</v>
      </c>
      <c r="L2494" s="29">
        <f>dataset[[#This Row],[implied_soda_ppu]]-dataset[[#This Row],[soda_ppu]]</f>
        <v>1.2315185865863221E-5</v>
      </c>
      <c r="M2494">
        <f>dataset[[#This Row],[soda_sales]]/dataset[[#This Row],[total_sales]]</f>
        <v>7.8336577399956864E-2</v>
      </c>
      <c r="N2494">
        <f>LN(dataset[[#This Row],[soda_units_sold]])</f>
        <v>12.327559923114451</v>
      </c>
      <c r="O2494">
        <f>LN(dataset[[#This Row],[soda_sales]])</f>
        <v>12.001708328538854</v>
      </c>
      <c r="P2494">
        <f>LN(dataset[[#This Row],[soda_ppu]])</f>
        <v>-0.32586865383702174</v>
      </c>
      <c r="Q2494">
        <f>IF(dataset[[#This Row],[state]]="VA",1,0)</f>
        <v>0</v>
      </c>
    </row>
    <row r="2495" spans="1:17" x14ac:dyDescent="0.35">
      <c r="A2495">
        <v>202210</v>
      </c>
      <c r="B2495">
        <v>42</v>
      </c>
      <c r="C2495" s="2">
        <v>2564482.2395000001</v>
      </c>
      <c r="D2495" s="2">
        <v>0.72389999999999999</v>
      </c>
      <c r="E2495" s="3">
        <v>218563</v>
      </c>
      <c r="F2495" s="2">
        <v>158216.20879999999</v>
      </c>
      <c r="G2495" t="s">
        <v>1682</v>
      </c>
      <c r="H2495" t="s">
        <v>7</v>
      </c>
      <c r="I2495">
        <f>HLOOKUP(G2495,zip_tiers!$A$1:$EON$2,2,FALSE)</f>
        <v>59053.666666666664</v>
      </c>
      <c r="J2495" t="str">
        <f t="shared" si="38"/>
        <v>Med</v>
      </c>
      <c r="K2495">
        <f>dataset[[#This Row],[soda_sales]]/dataset[[#This Row],[soda_units_sold]]</f>
        <v>0.72389292240681169</v>
      </c>
      <c r="L2495" s="29">
        <f>dataset[[#This Row],[implied_soda_ppu]]-dataset[[#This Row],[soda_ppu]]</f>
        <v>-7.077593188298259E-6</v>
      </c>
      <c r="M2495">
        <f>dataset[[#This Row],[soda_sales]]/dataset[[#This Row],[total_sales]]</f>
        <v>6.1695186015734538E-2</v>
      </c>
      <c r="N2495">
        <f>LN(dataset[[#This Row],[soda_units_sold]])</f>
        <v>12.294829581478265</v>
      </c>
      <c r="O2495">
        <f>LN(dataset[[#This Row],[soda_sales]])</f>
        <v>11.971717786715811</v>
      </c>
      <c r="P2495">
        <f>LN(dataset[[#This Row],[soda_ppu]])</f>
        <v>-0.32310201768304131</v>
      </c>
      <c r="Q2495">
        <f>IF(dataset[[#This Row],[state]]="VA",1,0)</f>
        <v>0</v>
      </c>
    </row>
    <row r="2496" spans="1:17" x14ac:dyDescent="0.35">
      <c r="A2496">
        <v>202211</v>
      </c>
      <c r="B2496">
        <v>42</v>
      </c>
      <c r="C2496" s="2">
        <v>2884198.1099</v>
      </c>
      <c r="D2496" s="2">
        <v>0.71299999999999997</v>
      </c>
      <c r="E2496" s="3">
        <v>207309</v>
      </c>
      <c r="F2496" s="2">
        <v>147808.63740000001</v>
      </c>
      <c r="G2496" t="s">
        <v>1682</v>
      </c>
      <c r="H2496" t="s">
        <v>7</v>
      </c>
      <c r="I2496">
        <f>HLOOKUP(G2496,zip_tiers!$A$1:$EON$2,2,FALSE)</f>
        <v>59053.666666666664</v>
      </c>
      <c r="J2496" t="str">
        <f t="shared" si="38"/>
        <v>Med</v>
      </c>
      <c r="K2496">
        <f>dataset[[#This Row],[soda_sales]]/dataset[[#This Row],[soda_units_sold]]</f>
        <v>0.71298707436724895</v>
      </c>
      <c r="L2496" s="29">
        <f>dataset[[#This Row],[implied_soda_ppu]]-dataset[[#This Row],[soda_ppu]]</f>
        <v>-1.2925632751015215E-5</v>
      </c>
      <c r="M2496">
        <f>dataset[[#This Row],[soda_sales]]/dataset[[#This Row],[total_sales]]</f>
        <v>5.1247740885984001E-2</v>
      </c>
      <c r="N2496">
        <f>LN(dataset[[#This Row],[soda_units_sold]])</f>
        <v>12.241965712821539</v>
      </c>
      <c r="O2496">
        <f>LN(dataset[[#This Row],[soda_sales]])</f>
        <v>11.903673725572192</v>
      </c>
      <c r="P2496">
        <f>LN(dataset[[#This Row],[soda_ppu]])</f>
        <v>-0.33827385856784115</v>
      </c>
      <c r="Q2496">
        <f>IF(dataset[[#This Row],[state]]="VA",1,0)</f>
        <v>0</v>
      </c>
    </row>
    <row r="2497" spans="1:17" x14ac:dyDescent="0.35">
      <c r="A2497">
        <v>202212</v>
      </c>
      <c r="B2497">
        <v>42</v>
      </c>
      <c r="C2497" s="2">
        <v>3047293.0392999998</v>
      </c>
      <c r="D2497" s="2">
        <v>0.70220000000000005</v>
      </c>
      <c r="E2497" s="3">
        <v>209365</v>
      </c>
      <c r="F2497" s="2">
        <v>147025.22390000001</v>
      </c>
      <c r="G2497" t="s">
        <v>1682</v>
      </c>
      <c r="H2497" t="s">
        <v>7</v>
      </c>
      <c r="I2497">
        <f>HLOOKUP(G2497,zip_tiers!$A$1:$EON$2,2,FALSE)</f>
        <v>59053.666666666664</v>
      </c>
      <c r="J2497" t="str">
        <f t="shared" si="38"/>
        <v>Med</v>
      </c>
      <c r="K2497">
        <f>dataset[[#This Row],[soda_sales]]/dataset[[#This Row],[soda_units_sold]]</f>
        <v>0.70224356458815951</v>
      </c>
      <c r="L2497" s="29">
        <f>dataset[[#This Row],[implied_soda_ppu]]-dataset[[#This Row],[soda_ppu]]</f>
        <v>4.3564588159461515E-5</v>
      </c>
      <c r="M2497">
        <f>dataset[[#This Row],[soda_sales]]/dataset[[#This Row],[total_sales]]</f>
        <v>4.8247812732107147E-2</v>
      </c>
      <c r="N2497">
        <f>LN(dataset[[#This Row],[soda_units_sold]])</f>
        <v>12.251834419226835</v>
      </c>
      <c r="O2497">
        <f>LN(dataset[[#This Row],[soda_sales]])</f>
        <v>11.898359442197258</v>
      </c>
      <c r="P2497">
        <f>LN(dataset[[#This Row],[soda_ppu]])</f>
        <v>-0.35353701524780512</v>
      </c>
      <c r="Q2497">
        <f>IF(dataset[[#This Row],[state]]="VA",1,0)</f>
        <v>0</v>
      </c>
    </row>
    <row r="2498" spans="1:17" x14ac:dyDescent="0.35">
      <c r="A2498">
        <v>202301</v>
      </c>
      <c r="B2498">
        <v>42</v>
      </c>
      <c r="C2498" s="2">
        <v>1742362.79</v>
      </c>
      <c r="D2498" s="2">
        <v>0.73619999999999997</v>
      </c>
      <c r="E2498" s="3">
        <v>144353</v>
      </c>
      <c r="F2498" s="2">
        <v>106272.0573</v>
      </c>
      <c r="G2498" t="s">
        <v>1682</v>
      </c>
      <c r="H2498" t="s">
        <v>7</v>
      </c>
      <c r="I2498">
        <f>HLOOKUP(G2498,zip_tiers!$A$1:$EON$2,2,FALSE)</f>
        <v>59053.666666666664</v>
      </c>
      <c r="J2498" t="str">
        <f t="shared" ref="J2498:J2561" si="39">IF(I2498="","No Data",IF(I2498&gt;=100000,"High",IF(I2498&gt;=40000,"Med","Low")))</f>
        <v>Med</v>
      </c>
      <c r="K2498">
        <f>dataset[[#This Row],[soda_sales]]/dataset[[#This Row],[soda_units_sold]]</f>
        <v>0.7361956959675241</v>
      </c>
      <c r="L2498" s="29">
        <f>dataset[[#This Row],[implied_soda_ppu]]-dataset[[#This Row],[soda_ppu]]</f>
        <v>-4.3040324758658599E-6</v>
      </c>
      <c r="M2498">
        <f>dataset[[#This Row],[soda_sales]]/dataset[[#This Row],[total_sales]]</f>
        <v>6.0993070966580958E-2</v>
      </c>
      <c r="N2498">
        <f>LN(dataset[[#This Row],[soda_units_sold]])</f>
        <v>11.880016967694656</v>
      </c>
      <c r="O2498">
        <f>LN(dataset[[#This Row],[soda_sales]])</f>
        <v>11.573757663358803</v>
      </c>
      <c r="P2498">
        <f>LN(dataset[[#This Row],[soda_ppu]])</f>
        <v>-0.30625345803721632</v>
      </c>
      <c r="Q2498">
        <f>IF(dataset[[#This Row],[state]]="VA",1,0)</f>
        <v>0</v>
      </c>
    </row>
    <row r="2499" spans="1:17" x14ac:dyDescent="0.35">
      <c r="A2499">
        <v>202302</v>
      </c>
      <c r="B2499">
        <v>42</v>
      </c>
      <c r="C2499" s="2">
        <v>1985370.4454000001</v>
      </c>
      <c r="D2499" s="2">
        <v>0.73240000000000005</v>
      </c>
      <c r="E2499" s="3">
        <v>166008</v>
      </c>
      <c r="F2499" s="2">
        <v>121583.9898</v>
      </c>
      <c r="G2499" t="s">
        <v>1682</v>
      </c>
      <c r="H2499" t="s">
        <v>7</v>
      </c>
      <c r="I2499">
        <f>HLOOKUP(G2499,zip_tiers!$A$1:$EON$2,2,FALSE)</f>
        <v>59053.666666666664</v>
      </c>
      <c r="J2499" t="str">
        <f t="shared" si="39"/>
        <v>Med</v>
      </c>
      <c r="K2499">
        <f>dataset[[#This Row],[soda_sales]]/dataset[[#This Row],[soda_units_sold]]</f>
        <v>0.73239837718664158</v>
      </c>
      <c r="L2499" s="29">
        <f>dataset[[#This Row],[implied_soda_ppu]]-dataset[[#This Row],[soda_ppu]]</f>
        <v>-1.6228133584705873E-6</v>
      </c>
      <c r="M2499">
        <f>dataset[[#This Row],[soda_sales]]/dataset[[#This Row],[total_sales]]</f>
        <v>6.1239951507137506E-2</v>
      </c>
      <c r="N2499">
        <f>LN(dataset[[#This Row],[soda_units_sold]])</f>
        <v>12.01979125894853</v>
      </c>
      <c r="O2499">
        <f>LN(dataset[[#This Row],[soda_sales]])</f>
        <v>11.708360577016945</v>
      </c>
      <c r="P2499">
        <f>LN(dataset[[#This Row],[soda_ppu]])</f>
        <v>-0.31142846618178133</v>
      </c>
      <c r="Q2499">
        <f>IF(dataset[[#This Row],[state]]="VA",1,0)</f>
        <v>0</v>
      </c>
    </row>
    <row r="2500" spans="1:17" x14ac:dyDescent="0.35">
      <c r="A2500">
        <v>202303</v>
      </c>
      <c r="B2500">
        <v>42</v>
      </c>
      <c r="C2500" s="2">
        <v>2183984</v>
      </c>
      <c r="D2500" s="2">
        <v>0.75739999999999996</v>
      </c>
      <c r="E2500" s="3">
        <v>183201</v>
      </c>
      <c r="F2500" s="2">
        <v>138764.86550000001</v>
      </c>
      <c r="G2500" t="s">
        <v>1682</v>
      </c>
      <c r="H2500" t="s">
        <v>7</v>
      </c>
      <c r="I2500">
        <f>HLOOKUP(G2500,zip_tiers!$A$1:$EON$2,2,FALSE)</f>
        <v>59053.666666666664</v>
      </c>
      <c r="J2500" t="str">
        <f t="shared" si="39"/>
        <v>Med</v>
      </c>
      <c r="K2500">
        <f>dataset[[#This Row],[soda_sales]]/dataset[[#This Row],[soda_units_sold]]</f>
        <v>0.75744600466154666</v>
      </c>
      <c r="L2500" s="29">
        <f>dataset[[#This Row],[implied_soda_ppu]]-dataset[[#This Row],[soda_ppu]]</f>
        <v>4.6004661546694692E-5</v>
      </c>
      <c r="M2500">
        <f>dataset[[#This Row],[soda_sales]]/dataset[[#This Row],[total_sales]]</f>
        <v>6.3537491803969268E-2</v>
      </c>
      <c r="N2500">
        <f>LN(dataset[[#This Row],[soda_units_sold]])</f>
        <v>12.118339189722553</v>
      </c>
      <c r="O2500">
        <f>LN(dataset[[#This Row],[soda_sales]])</f>
        <v>11.840536164608475</v>
      </c>
      <c r="P2500">
        <f>LN(dataset[[#This Row],[soda_ppu]])</f>
        <v>-0.27786376351444264</v>
      </c>
      <c r="Q2500">
        <f>IF(dataset[[#This Row],[state]]="VA",1,0)</f>
        <v>0</v>
      </c>
    </row>
    <row r="2501" spans="1:17" x14ac:dyDescent="0.35">
      <c r="A2501">
        <v>202304</v>
      </c>
      <c r="B2501">
        <v>42</v>
      </c>
      <c r="C2501" s="2">
        <v>2340093.46</v>
      </c>
      <c r="D2501" s="2">
        <v>0.74309999999999998</v>
      </c>
      <c r="E2501" s="3">
        <v>221632</v>
      </c>
      <c r="F2501" s="2">
        <v>164703.41709999999</v>
      </c>
      <c r="G2501" t="s">
        <v>1682</v>
      </c>
      <c r="H2501" t="s">
        <v>7</v>
      </c>
      <c r="I2501">
        <f>HLOOKUP(G2501,zip_tiers!$A$1:$EON$2,2,FALSE)</f>
        <v>59053.666666666664</v>
      </c>
      <c r="J2501" t="str">
        <f t="shared" si="39"/>
        <v>Med</v>
      </c>
      <c r="K2501">
        <f>dataset[[#This Row],[soda_sales]]/dataset[[#This Row],[soda_units_sold]]</f>
        <v>0.7431391545444701</v>
      </c>
      <c r="L2501" s="29">
        <f>dataset[[#This Row],[implied_soda_ppu]]-dataset[[#This Row],[soda_ppu]]</f>
        <v>3.9154544470121344E-5</v>
      </c>
      <c r="M2501">
        <f>dataset[[#This Row],[soda_sales]]/dataset[[#This Row],[total_sales]]</f>
        <v>7.0383264564142664E-2</v>
      </c>
      <c r="N2501">
        <f>LN(dataset[[#This Row],[soda_units_sold]])</f>
        <v>12.308773627762093</v>
      </c>
      <c r="O2501">
        <f>LN(dataset[[#This Row],[soda_sales]])</f>
        <v>12.011901663370057</v>
      </c>
      <c r="P2501">
        <f>LN(dataset[[#This Row],[soda_ppu]])</f>
        <v>-0.29692465381871352</v>
      </c>
      <c r="Q2501">
        <f>IF(dataset[[#This Row],[state]]="VA",1,0)</f>
        <v>0</v>
      </c>
    </row>
    <row r="2502" spans="1:17" x14ac:dyDescent="0.35">
      <c r="A2502">
        <v>202305</v>
      </c>
      <c r="B2502">
        <v>42</v>
      </c>
      <c r="C2502" s="2">
        <v>2467756.2629999998</v>
      </c>
      <c r="D2502" s="2">
        <v>0.74080000000000001</v>
      </c>
      <c r="E2502" s="3">
        <v>246707</v>
      </c>
      <c r="F2502" s="2">
        <v>182755.6661</v>
      </c>
      <c r="G2502" t="s">
        <v>1682</v>
      </c>
      <c r="H2502" t="s">
        <v>7</v>
      </c>
      <c r="I2502">
        <f>HLOOKUP(G2502,zip_tiers!$A$1:$EON$2,2,FALSE)</f>
        <v>59053.666666666664</v>
      </c>
      <c r="J2502" t="str">
        <f t="shared" si="39"/>
        <v>Med</v>
      </c>
      <c r="K2502">
        <f>dataset[[#This Row],[soda_sales]]/dataset[[#This Row],[soda_units_sold]]</f>
        <v>0.74078022147729894</v>
      </c>
      <c r="L2502" s="29">
        <f>dataset[[#This Row],[implied_soda_ppu]]-dataset[[#This Row],[soda_ppu]]</f>
        <v>-1.9778522701074941E-5</v>
      </c>
      <c r="M2502">
        <f>dataset[[#This Row],[soda_sales]]/dataset[[#This Row],[total_sales]]</f>
        <v>7.4057421650640554E-2</v>
      </c>
      <c r="N2502">
        <f>LN(dataset[[#This Row],[soda_units_sold]])</f>
        <v>12.41595667665888</v>
      </c>
      <c r="O2502">
        <f>LN(dataset[[#This Row],[soda_sales]])</f>
        <v>12.115905381782554</v>
      </c>
      <c r="P2502">
        <f>LN(dataset[[#This Row],[soda_ppu]])</f>
        <v>-0.30002459565016742</v>
      </c>
      <c r="Q2502">
        <f>IF(dataset[[#This Row],[state]]="VA",1,0)</f>
        <v>0</v>
      </c>
    </row>
    <row r="2503" spans="1:17" x14ac:dyDescent="0.35">
      <c r="A2503">
        <v>202306</v>
      </c>
      <c r="B2503">
        <v>42</v>
      </c>
      <c r="C2503" s="2">
        <v>2292414.2362000002</v>
      </c>
      <c r="D2503" s="2">
        <v>0.75149999999999995</v>
      </c>
      <c r="E2503" s="3">
        <v>242014</v>
      </c>
      <c r="F2503" s="2">
        <v>181882.3964</v>
      </c>
      <c r="G2503" t="s">
        <v>1682</v>
      </c>
      <c r="H2503" t="s">
        <v>7</v>
      </c>
      <c r="I2503">
        <f>HLOOKUP(G2503,zip_tiers!$A$1:$EON$2,2,FALSE)</f>
        <v>59053.666666666664</v>
      </c>
      <c r="J2503" t="str">
        <f t="shared" si="39"/>
        <v>Med</v>
      </c>
      <c r="K2503">
        <f>dataset[[#This Row],[soda_sales]]/dataset[[#This Row],[soda_units_sold]]</f>
        <v>0.75153667308502814</v>
      </c>
      <c r="L2503" s="29">
        <f>dataset[[#This Row],[implied_soda_ppu]]-dataset[[#This Row],[soda_ppu]]</f>
        <v>3.6673085028193775E-5</v>
      </c>
      <c r="M2503">
        <f>dataset[[#This Row],[soda_sales]]/dataset[[#This Row],[total_sales]]</f>
        <v>7.9340981890557313E-2</v>
      </c>
      <c r="N2503">
        <f>LN(dataset[[#This Row],[soda_units_sold]])</f>
        <v>12.396750854705175</v>
      </c>
      <c r="O2503">
        <f>LN(dataset[[#This Row],[soda_sales]])</f>
        <v>12.111115583572403</v>
      </c>
      <c r="P2503">
        <f>LN(dataset[[#This Row],[soda_ppu]])</f>
        <v>-0.28568406978910793</v>
      </c>
      <c r="Q2503">
        <f>IF(dataset[[#This Row],[state]]="VA",1,0)</f>
        <v>0</v>
      </c>
    </row>
    <row r="2504" spans="1:17" x14ac:dyDescent="0.35">
      <c r="A2504">
        <v>202307</v>
      </c>
      <c r="B2504">
        <v>42</v>
      </c>
      <c r="C2504" s="2">
        <v>2259678.8048</v>
      </c>
      <c r="D2504" s="2">
        <v>0.76910000000000001</v>
      </c>
      <c r="E2504" s="3">
        <v>254656</v>
      </c>
      <c r="F2504" s="2">
        <v>195853.45310000001</v>
      </c>
      <c r="G2504" t="s">
        <v>1682</v>
      </c>
      <c r="H2504" t="s">
        <v>7</v>
      </c>
      <c r="I2504">
        <f>HLOOKUP(G2504,zip_tiers!$A$1:$EON$2,2,FALSE)</f>
        <v>59053.666666666664</v>
      </c>
      <c r="J2504" t="str">
        <f t="shared" si="39"/>
        <v>Med</v>
      </c>
      <c r="K2504">
        <f>dataset[[#This Row],[soda_sales]]/dataset[[#This Row],[soda_units_sold]]</f>
        <v>0.76909027511623529</v>
      </c>
      <c r="L2504" s="29">
        <f>dataset[[#This Row],[implied_soda_ppu]]-dataset[[#This Row],[soda_ppu]]</f>
        <v>-9.7248837647168074E-6</v>
      </c>
      <c r="M2504">
        <f>dataset[[#This Row],[soda_sales]]/dataset[[#This Row],[total_sales]]</f>
        <v>8.667313809554214E-2</v>
      </c>
      <c r="N2504">
        <f>LN(dataset[[#This Row],[soda_units_sold]])</f>
        <v>12.4476688937866</v>
      </c>
      <c r="O2504">
        <f>LN(dataset[[#This Row],[soda_sales]])</f>
        <v>12.185121970289071</v>
      </c>
      <c r="P2504">
        <f>LN(dataset[[#This Row],[soda_ppu]])</f>
        <v>-0.26253427891912889</v>
      </c>
      <c r="Q2504">
        <f>IF(dataset[[#This Row],[state]]="VA",1,0)</f>
        <v>0</v>
      </c>
    </row>
    <row r="2505" spans="1:17" x14ac:dyDescent="0.35">
      <c r="A2505">
        <v>202308</v>
      </c>
      <c r="B2505">
        <v>42</v>
      </c>
      <c r="C2505" s="2">
        <v>2120511.4789999998</v>
      </c>
      <c r="D2505" s="2">
        <v>0.73250000000000004</v>
      </c>
      <c r="E2505" s="3">
        <v>236846</v>
      </c>
      <c r="F2505" s="2">
        <v>173486.84359999999</v>
      </c>
      <c r="G2505" t="s">
        <v>1682</v>
      </c>
      <c r="H2505" t="s">
        <v>7</v>
      </c>
      <c r="I2505">
        <f>HLOOKUP(G2505,zip_tiers!$A$1:$EON$2,2,FALSE)</f>
        <v>59053.666666666664</v>
      </c>
      <c r="J2505" t="str">
        <f t="shared" si="39"/>
        <v>Med</v>
      </c>
      <c r="K2505">
        <f>dataset[[#This Row],[soda_sales]]/dataset[[#This Row],[soda_units_sold]]</f>
        <v>0.73248796095353097</v>
      </c>
      <c r="L2505" s="29">
        <f>dataset[[#This Row],[implied_soda_ppu]]-dataset[[#This Row],[soda_ppu]]</f>
        <v>-1.2039046469070058E-5</v>
      </c>
      <c r="M2505">
        <f>dataset[[#This Row],[soda_sales]]/dataset[[#This Row],[total_sales]]</f>
        <v>8.1813678123456177E-2</v>
      </c>
      <c r="N2505">
        <f>LN(dataset[[#This Row],[soda_units_sold]])</f>
        <v>12.375165419883343</v>
      </c>
      <c r="O2505">
        <f>LN(dataset[[#This Row],[soda_sales]])</f>
        <v>12.063857046099045</v>
      </c>
      <c r="P2505">
        <f>LN(dataset[[#This Row],[soda_ppu]])</f>
        <v>-0.3112919380909146</v>
      </c>
      <c r="Q2505">
        <f>IF(dataset[[#This Row],[state]]="VA",1,0)</f>
        <v>0</v>
      </c>
    </row>
    <row r="2506" spans="1:17" x14ac:dyDescent="0.35">
      <c r="A2506">
        <v>202309</v>
      </c>
      <c r="B2506">
        <v>42</v>
      </c>
      <c r="C2506" s="2">
        <v>2100993.4328000001</v>
      </c>
      <c r="D2506" s="2">
        <v>0.76680000000000004</v>
      </c>
      <c r="E2506" s="3">
        <v>205522</v>
      </c>
      <c r="F2506" s="2">
        <v>157600.60430000001</v>
      </c>
      <c r="G2506" t="s">
        <v>1682</v>
      </c>
      <c r="H2506" t="s">
        <v>7</v>
      </c>
      <c r="I2506">
        <f>HLOOKUP(G2506,zip_tiers!$A$1:$EON$2,2,FALSE)</f>
        <v>59053.666666666664</v>
      </c>
      <c r="J2506" t="str">
        <f t="shared" si="39"/>
        <v>Med</v>
      </c>
      <c r="K2506">
        <f>dataset[[#This Row],[soda_sales]]/dataset[[#This Row],[soda_units_sold]]</f>
        <v>0.76683082249102286</v>
      </c>
      <c r="L2506" s="29">
        <f>dataset[[#This Row],[implied_soda_ppu]]-dataset[[#This Row],[soda_ppu]]</f>
        <v>3.082249102281942E-5</v>
      </c>
      <c r="M2506">
        <f>dataset[[#This Row],[soda_sales]]/dataset[[#This Row],[total_sales]]</f>
        <v>7.5012421190657999E-2</v>
      </c>
      <c r="N2506">
        <f>LN(dataset[[#This Row],[soda_units_sold]])</f>
        <v>12.233308363149417</v>
      </c>
      <c r="O2506">
        <f>LN(dataset[[#This Row],[soda_sales]])</f>
        <v>11.967819290789427</v>
      </c>
      <c r="P2506">
        <f>LN(dataset[[#This Row],[soda_ppu]])</f>
        <v>-0.26552926781064756</v>
      </c>
      <c r="Q2506">
        <f>IF(dataset[[#This Row],[state]]="VA",1,0)</f>
        <v>0</v>
      </c>
    </row>
    <row r="2507" spans="1:17" x14ac:dyDescent="0.35">
      <c r="A2507">
        <v>202310</v>
      </c>
      <c r="B2507">
        <v>42</v>
      </c>
      <c r="C2507" s="2">
        <v>2619634.8533999999</v>
      </c>
      <c r="D2507" s="2">
        <v>0.75600000000000001</v>
      </c>
      <c r="E2507" s="3">
        <v>208637</v>
      </c>
      <c r="F2507" s="2">
        <v>157723.50949999999</v>
      </c>
      <c r="G2507" t="s">
        <v>1682</v>
      </c>
      <c r="H2507" t="s">
        <v>7</v>
      </c>
      <c r="I2507">
        <f>HLOOKUP(G2507,zip_tiers!$A$1:$EON$2,2,FALSE)</f>
        <v>59053.666666666664</v>
      </c>
      <c r="J2507" t="str">
        <f t="shared" si="39"/>
        <v>Med</v>
      </c>
      <c r="K2507">
        <f>dataset[[#This Row],[soda_sales]]/dataset[[#This Row],[soda_units_sold]]</f>
        <v>0.75597094235442408</v>
      </c>
      <c r="L2507" s="29">
        <f>dataset[[#This Row],[implied_soda_ppu]]-dataset[[#This Row],[soda_ppu]]</f>
        <v>-2.9057645575925051E-5</v>
      </c>
      <c r="M2507">
        <f>dataset[[#This Row],[soda_sales]]/dataset[[#This Row],[total_sales]]</f>
        <v>6.0208203939297912E-2</v>
      </c>
      <c r="N2507">
        <f>LN(dataset[[#This Row],[soda_units_sold]])</f>
        <v>12.248351178782693</v>
      </c>
      <c r="O2507">
        <f>LN(dataset[[#This Row],[soda_sales]])</f>
        <v>11.968598839202285</v>
      </c>
      <c r="P2507">
        <f>LN(dataset[[#This Row],[soda_ppu]])</f>
        <v>-0.27971390280260405</v>
      </c>
      <c r="Q2507">
        <f>IF(dataset[[#This Row],[state]]="VA",1,0)</f>
        <v>0</v>
      </c>
    </row>
    <row r="2508" spans="1:17" x14ac:dyDescent="0.35">
      <c r="A2508">
        <v>202311</v>
      </c>
      <c r="B2508">
        <v>42</v>
      </c>
      <c r="C2508" s="2">
        <v>2987194.3753</v>
      </c>
      <c r="D2508" s="2">
        <v>0.76890000000000003</v>
      </c>
      <c r="E2508" s="3">
        <v>191236</v>
      </c>
      <c r="F2508" s="2">
        <v>147034.4362</v>
      </c>
      <c r="G2508" t="s">
        <v>1682</v>
      </c>
      <c r="H2508" t="s">
        <v>7</v>
      </c>
      <c r="I2508">
        <f>HLOOKUP(G2508,zip_tiers!$A$1:$EON$2,2,FALSE)</f>
        <v>59053.666666666664</v>
      </c>
      <c r="J2508" t="str">
        <f t="shared" si="39"/>
        <v>Med</v>
      </c>
      <c r="K2508">
        <f>dataset[[#This Row],[soda_sales]]/dataset[[#This Row],[soda_units_sold]]</f>
        <v>0.76886379238218738</v>
      </c>
      <c r="L2508" s="29">
        <f>dataset[[#This Row],[implied_soda_ppu]]-dataset[[#This Row],[soda_ppu]]</f>
        <v>-3.6207617812644699E-5</v>
      </c>
      <c r="M2508">
        <f>dataset[[#This Row],[soda_sales]]/dataset[[#This Row],[total_sales]]</f>
        <v>4.9221583106801851E-2</v>
      </c>
      <c r="N2508">
        <f>LN(dataset[[#This Row],[soda_units_sold]])</f>
        <v>12.161263546394961</v>
      </c>
      <c r="O2508">
        <f>LN(dataset[[#This Row],[soda_sales]])</f>
        <v>11.898422098190261</v>
      </c>
      <c r="P2508">
        <f>LN(dataset[[#This Row],[soda_ppu]])</f>
        <v>-0.26279435694400188</v>
      </c>
      <c r="Q2508">
        <f>IF(dataset[[#This Row],[state]]="VA",1,0)</f>
        <v>0</v>
      </c>
    </row>
    <row r="2509" spans="1:17" x14ac:dyDescent="0.35">
      <c r="A2509">
        <v>202312</v>
      </c>
      <c r="B2509">
        <v>42</v>
      </c>
      <c r="C2509" s="2">
        <v>3057097.4249</v>
      </c>
      <c r="D2509" s="2">
        <v>0.7641</v>
      </c>
      <c r="E2509" s="3">
        <v>186951</v>
      </c>
      <c r="F2509" s="2">
        <v>142840.39749999999</v>
      </c>
      <c r="G2509" t="s">
        <v>1682</v>
      </c>
      <c r="H2509" t="s">
        <v>7</v>
      </c>
      <c r="I2509">
        <f>HLOOKUP(G2509,zip_tiers!$A$1:$EON$2,2,FALSE)</f>
        <v>59053.666666666664</v>
      </c>
      <c r="J2509" t="str">
        <f t="shared" si="39"/>
        <v>Med</v>
      </c>
      <c r="K2509">
        <f>dataset[[#This Row],[soda_sales]]/dataset[[#This Row],[soda_units_sold]]</f>
        <v>0.7640525993442131</v>
      </c>
      <c r="L2509" s="29">
        <f>dataset[[#This Row],[implied_soda_ppu]]-dataset[[#This Row],[soda_ppu]]</f>
        <v>-4.7400655786900003E-5</v>
      </c>
      <c r="M2509">
        <f>dataset[[#This Row],[soda_sales]]/dataset[[#This Row],[total_sales]]</f>
        <v>4.6724188878171723E-2</v>
      </c>
      <c r="N2509">
        <f>LN(dataset[[#This Row],[soda_units_sold]])</f>
        <v>12.138601829414757</v>
      </c>
      <c r="O2509">
        <f>LN(dataset[[#This Row],[soda_sales]])</f>
        <v>11.869483184538453</v>
      </c>
      <c r="P2509">
        <f>LN(dataset[[#This Row],[soda_ppu]])</f>
        <v>-0.26905660832861605</v>
      </c>
      <c r="Q2509">
        <f>IF(dataset[[#This Row],[state]]="VA",1,0)</f>
        <v>0</v>
      </c>
    </row>
    <row r="2510" spans="1:17" x14ac:dyDescent="0.35">
      <c r="A2510">
        <v>202401</v>
      </c>
      <c r="B2510">
        <v>42</v>
      </c>
      <c r="C2510" s="2">
        <v>1779328.4447000001</v>
      </c>
      <c r="D2510" s="2">
        <v>0.77759999999999996</v>
      </c>
      <c r="E2510" s="3">
        <v>136818</v>
      </c>
      <c r="F2510" s="2">
        <v>106390.2742</v>
      </c>
      <c r="G2510" t="s">
        <v>1682</v>
      </c>
      <c r="H2510" t="s">
        <v>7</v>
      </c>
      <c r="I2510">
        <f>HLOOKUP(G2510,zip_tiers!$A$1:$EON$2,2,FALSE)</f>
        <v>59053.666666666664</v>
      </c>
      <c r="J2510" t="str">
        <f t="shared" si="39"/>
        <v>Med</v>
      </c>
      <c r="K2510">
        <f>dataset[[#This Row],[soda_sales]]/dataset[[#This Row],[soda_units_sold]]</f>
        <v>0.77760436638454</v>
      </c>
      <c r="L2510" s="29">
        <f>dataset[[#This Row],[implied_soda_ppu]]-dataset[[#This Row],[soda_ppu]]</f>
        <v>4.3663845400443435E-6</v>
      </c>
      <c r="M2510">
        <f>dataset[[#This Row],[soda_sales]]/dataset[[#This Row],[total_sales]]</f>
        <v>5.9792375329523667E-2</v>
      </c>
      <c r="N2510">
        <f>LN(dataset[[#This Row],[soda_units_sold]])</f>
        <v>11.826406854462205</v>
      </c>
      <c r="O2510">
        <f>LN(dataset[[#This Row],[soda_sales]])</f>
        <v>11.574869443816988</v>
      </c>
      <c r="P2510">
        <f>LN(dataset[[#This Row],[soda_ppu]])</f>
        <v>-0.25154302583590776</v>
      </c>
      <c r="Q2510">
        <f>IF(dataset[[#This Row],[state]]="VA",1,0)</f>
        <v>0</v>
      </c>
    </row>
    <row r="2511" spans="1:17" x14ac:dyDescent="0.35">
      <c r="A2511">
        <v>202402</v>
      </c>
      <c r="B2511">
        <v>42</v>
      </c>
      <c r="C2511" s="2">
        <v>2026830.7371</v>
      </c>
      <c r="D2511" s="2">
        <v>0.79569999999999996</v>
      </c>
      <c r="E2511" s="3">
        <v>151764</v>
      </c>
      <c r="F2511" s="2">
        <v>120756.10370000001</v>
      </c>
      <c r="G2511" t="s">
        <v>1682</v>
      </c>
      <c r="H2511" t="s">
        <v>7</v>
      </c>
      <c r="I2511">
        <f>HLOOKUP(G2511,zip_tiers!$A$1:$EON$2,2,FALSE)</f>
        <v>59053.666666666664</v>
      </c>
      <c r="J2511" t="str">
        <f t="shared" si="39"/>
        <v>Med</v>
      </c>
      <c r="K2511">
        <f>dataset[[#This Row],[soda_sales]]/dataset[[#This Row],[soda_units_sold]]</f>
        <v>0.79568345391528961</v>
      </c>
      <c r="L2511" s="29">
        <f>dataset[[#This Row],[implied_soda_ppu]]-dataset[[#This Row],[soda_ppu]]</f>
        <v>-1.6546084710356013E-5</v>
      </c>
      <c r="M2511">
        <f>dataset[[#This Row],[soda_sales]]/dataset[[#This Row],[total_sales]]</f>
        <v>5.95787805511468E-2</v>
      </c>
      <c r="N2511">
        <f>LN(dataset[[#This Row],[soda_units_sold]])</f>
        <v>11.930081961667977</v>
      </c>
      <c r="O2511">
        <f>LN(dataset[[#This Row],[soda_sales]])</f>
        <v>11.701528118477466</v>
      </c>
      <c r="P2511">
        <f>LN(dataset[[#This Row],[soda_ppu]])</f>
        <v>-0.22853304859864795</v>
      </c>
      <c r="Q2511">
        <f>IF(dataset[[#This Row],[state]]="VA",1,0)</f>
        <v>0</v>
      </c>
    </row>
    <row r="2512" spans="1:17" x14ac:dyDescent="0.35">
      <c r="A2512">
        <v>202403</v>
      </c>
      <c r="B2512">
        <v>42</v>
      </c>
      <c r="C2512" s="2">
        <v>2281866.2648999998</v>
      </c>
      <c r="D2512" s="2">
        <v>0.79090000000000005</v>
      </c>
      <c r="E2512" s="3">
        <v>182523</v>
      </c>
      <c r="F2512" s="2">
        <v>144360.41899999999</v>
      </c>
      <c r="G2512" t="s">
        <v>1682</v>
      </c>
      <c r="H2512" t="s">
        <v>7</v>
      </c>
      <c r="I2512">
        <f>HLOOKUP(G2512,zip_tiers!$A$1:$EON$2,2,FALSE)</f>
        <v>59053.666666666664</v>
      </c>
      <c r="J2512" t="str">
        <f t="shared" si="39"/>
        <v>Med</v>
      </c>
      <c r="K2512">
        <f>dataset[[#This Row],[soda_sales]]/dataset[[#This Row],[soda_units_sold]]</f>
        <v>0.79091631739561585</v>
      </c>
      <c r="L2512" s="29">
        <f>dataset[[#This Row],[implied_soda_ppu]]-dataset[[#This Row],[soda_ppu]]</f>
        <v>1.6317395615805808E-5</v>
      </c>
      <c r="M2512">
        <f>dataset[[#This Row],[soda_sales]]/dataset[[#This Row],[total_sales]]</f>
        <v>6.3264189151035294E-2</v>
      </c>
      <c r="N2512">
        <f>LN(dataset[[#This Row],[soda_units_sold]])</f>
        <v>12.114631471461157</v>
      </c>
      <c r="O2512">
        <f>LN(dataset[[#This Row],[soda_sales]])</f>
        <v>11.880068361218569</v>
      </c>
      <c r="P2512">
        <f>LN(dataset[[#This Row],[soda_ppu]])</f>
        <v>-0.23458374145676544</v>
      </c>
      <c r="Q2512">
        <f>IF(dataset[[#This Row],[state]]="VA",1,0)</f>
        <v>0</v>
      </c>
    </row>
    <row r="2513" spans="1:17" x14ac:dyDescent="0.35">
      <c r="A2513">
        <v>202404</v>
      </c>
      <c r="B2513">
        <v>42</v>
      </c>
      <c r="C2513" s="2">
        <v>2418074.9844</v>
      </c>
      <c r="D2513" s="2">
        <v>0.76180000000000003</v>
      </c>
      <c r="E2513" s="3">
        <v>228713</v>
      </c>
      <c r="F2513" s="2">
        <v>174226.617</v>
      </c>
      <c r="G2513" t="s">
        <v>1682</v>
      </c>
      <c r="H2513" t="s">
        <v>7</v>
      </c>
      <c r="I2513">
        <f>HLOOKUP(G2513,zip_tiers!$A$1:$EON$2,2,FALSE)</f>
        <v>59053.666666666664</v>
      </c>
      <c r="J2513" t="str">
        <f t="shared" si="39"/>
        <v>Med</v>
      </c>
      <c r="K2513">
        <f>dataset[[#This Row],[soda_sales]]/dataset[[#This Row],[soda_units_sold]]</f>
        <v>0.76176962831146455</v>
      </c>
      <c r="L2513" s="29">
        <f>dataset[[#This Row],[implied_soda_ppu]]-dataset[[#This Row],[soda_ppu]]</f>
        <v>-3.037168853547989E-5</v>
      </c>
      <c r="M2513">
        <f>dataset[[#This Row],[soda_sales]]/dataset[[#This Row],[total_sales]]</f>
        <v>7.2051784218441467E-2</v>
      </c>
      <c r="N2513">
        <f>LN(dataset[[#This Row],[soda_units_sold]])</f>
        <v>12.340223221421168</v>
      </c>
      <c r="O2513">
        <f>LN(dataset[[#This Row],[soda_sales]])</f>
        <v>12.068112127365673</v>
      </c>
      <c r="P2513">
        <f>LN(dataset[[#This Row],[soda_ppu]])</f>
        <v>-0.27207122493763336</v>
      </c>
      <c r="Q2513">
        <f>IF(dataset[[#This Row],[state]]="VA",1,0)</f>
        <v>0</v>
      </c>
    </row>
    <row r="2514" spans="1:17" x14ac:dyDescent="0.35">
      <c r="A2514">
        <v>202405</v>
      </c>
      <c r="B2514">
        <v>42</v>
      </c>
      <c r="C2514" s="2">
        <v>2554048.1268000002</v>
      </c>
      <c r="D2514" s="2">
        <v>0.79169999999999996</v>
      </c>
      <c r="E2514" s="3">
        <v>231926</v>
      </c>
      <c r="F2514" s="2">
        <v>183606.5533</v>
      </c>
      <c r="G2514" t="s">
        <v>1682</v>
      </c>
      <c r="H2514" t="s">
        <v>7</v>
      </c>
      <c r="I2514">
        <f>HLOOKUP(G2514,zip_tiers!$A$1:$EON$2,2,FALSE)</f>
        <v>59053.666666666664</v>
      </c>
      <c r="J2514" t="str">
        <f t="shared" si="39"/>
        <v>Med</v>
      </c>
      <c r="K2514">
        <f>dataset[[#This Row],[soda_sales]]/dataset[[#This Row],[soda_units_sold]]</f>
        <v>0.79166006959116275</v>
      </c>
      <c r="L2514" s="29">
        <f>dataset[[#This Row],[implied_soda_ppu]]-dataset[[#This Row],[soda_ppu]]</f>
        <v>-3.9930408837207665E-5</v>
      </c>
      <c r="M2514">
        <f>dataset[[#This Row],[soda_sales]]/dataset[[#This Row],[total_sales]]</f>
        <v>7.188844696127282E-2</v>
      </c>
      <c r="N2514">
        <f>LN(dataset[[#This Row],[soda_units_sold]])</f>
        <v>12.354173634250886</v>
      </c>
      <c r="O2514">
        <f>LN(dataset[[#This Row],[soda_sales]])</f>
        <v>12.120550449886654</v>
      </c>
      <c r="P2514">
        <f>LN(dataset[[#This Row],[soda_ppu]])</f>
        <v>-0.23357274680474902</v>
      </c>
      <c r="Q2514">
        <f>IF(dataset[[#This Row],[state]]="VA",1,0)</f>
        <v>0</v>
      </c>
    </row>
    <row r="2515" spans="1:17" x14ac:dyDescent="0.35">
      <c r="A2515">
        <v>202406</v>
      </c>
      <c r="B2515">
        <v>42</v>
      </c>
      <c r="C2515" s="2">
        <v>2347909.7799</v>
      </c>
      <c r="D2515" s="2">
        <v>0.79869999999999997</v>
      </c>
      <c r="E2515" s="3">
        <v>234974</v>
      </c>
      <c r="F2515" s="2">
        <v>187683.13440000001</v>
      </c>
      <c r="G2515" t="s">
        <v>1682</v>
      </c>
      <c r="H2515" t="s">
        <v>7</v>
      </c>
      <c r="I2515">
        <f>HLOOKUP(G2515,zip_tiers!$A$1:$EON$2,2,FALSE)</f>
        <v>59053.666666666664</v>
      </c>
      <c r="J2515" t="str">
        <f t="shared" si="39"/>
        <v>Med</v>
      </c>
      <c r="K2515">
        <f>dataset[[#This Row],[soda_sales]]/dataset[[#This Row],[soda_units_sold]]</f>
        <v>0.79874000697949565</v>
      </c>
      <c r="L2515" s="29">
        <f>dataset[[#This Row],[implied_soda_ppu]]-dataset[[#This Row],[soda_ppu]]</f>
        <v>4.00069794956881E-5</v>
      </c>
      <c r="M2515">
        <f>dataset[[#This Row],[soda_sales]]/dataset[[#This Row],[total_sales]]</f>
        <v>7.9936263312465797E-2</v>
      </c>
      <c r="N2515">
        <f>LN(dataset[[#This Row],[soda_units_sold]])</f>
        <v>12.367230148707556</v>
      </c>
      <c r="O2515">
        <f>LN(dataset[[#This Row],[soda_sales]])</f>
        <v>12.142510364515109</v>
      </c>
      <c r="P2515">
        <f>LN(dataset[[#This Row],[soda_ppu]])</f>
        <v>-0.22476987305879384</v>
      </c>
      <c r="Q2515">
        <f>IF(dataset[[#This Row],[state]]="VA",1,0)</f>
        <v>0</v>
      </c>
    </row>
    <row r="2516" spans="1:17" x14ac:dyDescent="0.35">
      <c r="A2516">
        <v>202407</v>
      </c>
      <c r="B2516">
        <v>42</v>
      </c>
      <c r="C2516" s="2">
        <v>2298275.3827</v>
      </c>
      <c r="D2516" s="2">
        <v>0.77080000000000004</v>
      </c>
      <c r="E2516" s="3">
        <v>257851</v>
      </c>
      <c r="F2516" s="2">
        <v>198748.495</v>
      </c>
      <c r="G2516" t="s">
        <v>1682</v>
      </c>
      <c r="H2516" t="s">
        <v>7</v>
      </c>
      <c r="I2516">
        <f>HLOOKUP(G2516,zip_tiers!$A$1:$EON$2,2,FALSE)</f>
        <v>59053.666666666664</v>
      </c>
      <c r="J2516" t="str">
        <f t="shared" si="39"/>
        <v>Med</v>
      </c>
      <c r="K2516">
        <f>dataset[[#This Row],[soda_sales]]/dataset[[#This Row],[soda_units_sold]]</f>
        <v>0.77078814896975378</v>
      </c>
      <c r="L2516" s="29">
        <f>dataset[[#This Row],[implied_soda_ppu]]-dataset[[#This Row],[soda_ppu]]</f>
        <v>-1.185103024625711E-5</v>
      </c>
      <c r="M2516">
        <f>dataset[[#This Row],[soda_sales]]/dataset[[#This Row],[total_sales]]</f>
        <v>8.6477232665874648E-2</v>
      </c>
      <c r="N2516">
        <f>LN(dataset[[#This Row],[soda_units_sold]])</f>
        <v>12.460137177695358</v>
      </c>
      <c r="O2516">
        <f>LN(dataset[[#This Row],[soda_sales]])</f>
        <v>12.199795460160864</v>
      </c>
      <c r="P2516">
        <f>LN(dataset[[#This Row],[soda_ppu]])</f>
        <v>-0.26032634244192565</v>
      </c>
      <c r="Q2516">
        <f>IF(dataset[[#This Row],[state]]="VA",1,0)</f>
        <v>0</v>
      </c>
    </row>
    <row r="2517" spans="1:17" x14ac:dyDescent="0.35">
      <c r="A2517">
        <v>202408</v>
      </c>
      <c r="B2517">
        <v>42</v>
      </c>
      <c r="C2517" s="2">
        <v>2177571.4929999998</v>
      </c>
      <c r="D2517" s="2">
        <v>0.80630000000000002</v>
      </c>
      <c r="E2517" s="3">
        <v>217522</v>
      </c>
      <c r="F2517" s="2">
        <v>175386.8365</v>
      </c>
      <c r="G2517" t="s">
        <v>1682</v>
      </c>
      <c r="H2517" t="s">
        <v>7</v>
      </c>
      <c r="I2517">
        <f>HLOOKUP(G2517,zip_tiers!$A$1:$EON$2,2,FALSE)</f>
        <v>59053.666666666664</v>
      </c>
      <c r="J2517" t="str">
        <f t="shared" si="39"/>
        <v>Med</v>
      </c>
      <c r="K2517">
        <f>dataset[[#This Row],[soda_sales]]/dataset[[#This Row],[soda_units_sold]]</f>
        <v>0.80629470352424126</v>
      </c>
      <c r="L2517" s="29">
        <f>dataset[[#This Row],[implied_soda_ppu]]-dataset[[#This Row],[soda_ppu]]</f>
        <v>-5.2964757587536937E-6</v>
      </c>
      <c r="M2517">
        <f>dataset[[#This Row],[soda_sales]]/dataset[[#This Row],[total_sales]]</f>
        <v>8.0542401048046788E-2</v>
      </c>
      <c r="N2517">
        <f>LN(dataset[[#This Row],[soda_units_sold]])</f>
        <v>12.290055273820904</v>
      </c>
      <c r="O2517">
        <f>LN(dataset[[#This Row],[soda_sales]])</f>
        <v>12.074749307643282</v>
      </c>
      <c r="P2517">
        <f>LN(dataset[[#This Row],[soda_ppu]])</f>
        <v>-0.21529939729116068</v>
      </c>
      <c r="Q2517">
        <f>IF(dataset[[#This Row],[state]]="VA",1,0)</f>
        <v>0</v>
      </c>
    </row>
    <row r="2518" spans="1:17" x14ac:dyDescent="0.35">
      <c r="A2518">
        <v>202409</v>
      </c>
      <c r="B2518">
        <v>42</v>
      </c>
      <c r="C2518" s="2">
        <v>2153338.2270999998</v>
      </c>
      <c r="D2518" s="2">
        <v>0.82410000000000005</v>
      </c>
      <c r="E2518" s="3">
        <v>198899</v>
      </c>
      <c r="F2518" s="2">
        <v>163916.73130000001</v>
      </c>
      <c r="G2518" t="s">
        <v>1682</v>
      </c>
      <c r="H2518" t="s">
        <v>7</v>
      </c>
      <c r="I2518">
        <f>HLOOKUP(G2518,zip_tiers!$A$1:$EON$2,2,FALSE)</f>
        <v>59053.666666666664</v>
      </c>
      <c r="J2518" t="str">
        <f t="shared" si="39"/>
        <v>Med</v>
      </c>
      <c r="K2518">
        <f>dataset[[#This Row],[soda_sales]]/dataset[[#This Row],[soda_units_sold]]</f>
        <v>0.82412043951955527</v>
      </c>
      <c r="L2518" s="29">
        <f>dataset[[#This Row],[implied_soda_ppu]]-dataset[[#This Row],[soda_ppu]]</f>
        <v>2.0439519555215391E-5</v>
      </c>
      <c r="M2518">
        <f>dataset[[#This Row],[soda_sales]]/dataset[[#This Row],[total_sales]]</f>
        <v>7.6122148038375873E-2</v>
      </c>
      <c r="N2518">
        <f>LN(dataset[[#This Row],[soda_units_sold]])</f>
        <v>12.200552437177338</v>
      </c>
      <c r="O2518">
        <f>LN(dataset[[#This Row],[soda_sales]])</f>
        <v>12.007113841889169</v>
      </c>
      <c r="P2518">
        <f>LN(dataset[[#This Row],[soda_ppu]])</f>
        <v>-0.19346339721279912</v>
      </c>
      <c r="Q2518">
        <f>IF(dataset[[#This Row],[state]]="VA",1,0)</f>
        <v>0</v>
      </c>
    </row>
    <row r="2519" spans="1:17" x14ac:dyDescent="0.35">
      <c r="A2519">
        <v>202410</v>
      </c>
      <c r="B2519">
        <v>42</v>
      </c>
      <c r="C2519" s="2">
        <v>2698731.7927000001</v>
      </c>
      <c r="D2519" s="2">
        <v>0.82869999999999999</v>
      </c>
      <c r="E2519" s="3">
        <v>192500</v>
      </c>
      <c r="F2519" s="2">
        <v>159532.052</v>
      </c>
      <c r="G2519" t="s">
        <v>1682</v>
      </c>
      <c r="H2519" t="s">
        <v>7</v>
      </c>
      <c r="I2519">
        <f>HLOOKUP(G2519,zip_tiers!$A$1:$EON$2,2,FALSE)</f>
        <v>59053.666666666664</v>
      </c>
      <c r="J2519" t="str">
        <f t="shared" si="39"/>
        <v>Med</v>
      </c>
      <c r="K2519">
        <f>dataset[[#This Row],[soda_sales]]/dataset[[#This Row],[soda_units_sold]]</f>
        <v>0.82873793246753247</v>
      </c>
      <c r="L2519" s="29">
        <f>dataset[[#This Row],[implied_soda_ppu]]-dataset[[#This Row],[soda_ppu]]</f>
        <v>3.7932467532475478E-5</v>
      </c>
      <c r="M2519">
        <f>dataset[[#This Row],[soda_sales]]/dataset[[#This Row],[total_sales]]</f>
        <v>5.9113711274136276E-2</v>
      </c>
      <c r="N2519">
        <f>LN(dataset[[#This Row],[soda_units_sold]])</f>
        <v>12.167851432709975</v>
      </c>
      <c r="O2519">
        <f>LN(dataset[[#This Row],[soda_sales]])</f>
        <v>11.980000133996748</v>
      </c>
      <c r="P2519">
        <f>LN(dataset[[#This Row],[soda_ppu]])</f>
        <v>-0.18789707112714027</v>
      </c>
      <c r="Q2519">
        <f>IF(dataset[[#This Row],[state]]="VA",1,0)</f>
        <v>0</v>
      </c>
    </row>
    <row r="2520" spans="1:17" x14ac:dyDescent="0.35">
      <c r="A2520">
        <v>202411</v>
      </c>
      <c r="B2520">
        <v>42</v>
      </c>
      <c r="C2520" s="2">
        <v>3038729.7557999999</v>
      </c>
      <c r="D2520" s="2">
        <v>0.80779999999999996</v>
      </c>
      <c r="E2520" s="3">
        <v>188754</v>
      </c>
      <c r="F2520" s="2">
        <v>152468.23579999999</v>
      </c>
      <c r="G2520" t="s">
        <v>1682</v>
      </c>
      <c r="H2520" t="s">
        <v>7</v>
      </c>
      <c r="I2520">
        <f>HLOOKUP(G2520,zip_tiers!$A$1:$EON$2,2,FALSE)</f>
        <v>59053.666666666664</v>
      </c>
      <c r="J2520" t="str">
        <f t="shared" si="39"/>
        <v>Med</v>
      </c>
      <c r="K2520">
        <f>dataset[[#This Row],[soda_sales]]/dataset[[#This Row],[soda_units_sold]]</f>
        <v>0.80776161458830009</v>
      </c>
      <c r="L2520" s="29">
        <f>dataset[[#This Row],[implied_soda_ppu]]-dataset[[#This Row],[soda_ppu]]</f>
        <v>-3.8385411699870531E-5</v>
      </c>
      <c r="M2520">
        <f>dataset[[#This Row],[soda_sales]]/dataset[[#This Row],[total_sales]]</f>
        <v>5.0174990227079275E-2</v>
      </c>
      <c r="N2520">
        <f>LN(dataset[[#This Row],[soda_units_sold]])</f>
        <v>12.148199858939703</v>
      </c>
      <c r="O2520">
        <f>LN(dataset[[#This Row],[soda_sales]])</f>
        <v>11.934711563498198</v>
      </c>
      <c r="P2520">
        <f>LN(dataset[[#This Row],[soda_ppu]])</f>
        <v>-0.21344077585282462</v>
      </c>
      <c r="Q2520">
        <f>IF(dataset[[#This Row],[state]]="VA",1,0)</f>
        <v>0</v>
      </c>
    </row>
    <row r="2521" spans="1:17" x14ac:dyDescent="0.35">
      <c r="A2521">
        <v>202412</v>
      </c>
      <c r="B2521">
        <v>42</v>
      </c>
      <c r="C2521" s="2">
        <v>3106309.6214999999</v>
      </c>
      <c r="D2521" s="2">
        <v>0.8014</v>
      </c>
      <c r="E2521" s="3">
        <v>181846</v>
      </c>
      <c r="F2521" s="2">
        <v>145731.22760000001</v>
      </c>
      <c r="G2521" t="s">
        <v>1682</v>
      </c>
      <c r="H2521" t="s">
        <v>7</v>
      </c>
      <c r="I2521">
        <f>HLOOKUP(G2521,zip_tiers!$A$1:$EON$2,2,FALSE)</f>
        <v>59053.666666666664</v>
      </c>
      <c r="J2521" t="str">
        <f t="shared" si="39"/>
        <v>Med</v>
      </c>
      <c r="K2521">
        <f>dataset[[#This Row],[soda_sales]]/dataset[[#This Row],[soda_units_sold]]</f>
        <v>0.80139913773192706</v>
      </c>
      <c r="L2521" s="29">
        <f>dataset[[#This Row],[implied_soda_ppu]]-dataset[[#This Row],[soda_ppu]]</f>
        <v>-8.6226807294309538E-7</v>
      </c>
      <c r="M2521">
        <f>dataset[[#This Row],[soda_sales]]/dataset[[#This Row],[total_sales]]</f>
        <v>4.6914585265852585E-2</v>
      </c>
      <c r="N2521">
        <f>LN(dataset[[#This Row],[soda_units_sold]])</f>
        <v>12.110915454022543</v>
      </c>
      <c r="O2521">
        <f>LN(dataset[[#This Row],[soda_sales]])</f>
        <v>11.889519297289697</v>
      </c>
      <c r="P2521">
        <f>LN(dataset[[#This Row],[soda_ppu]])</f>
        <v>-0.22139508078009287</v>
      </c>
      <c r="Q2521">
        <f>IF(dataset[[#This Row],[state]]="VA",1,0)</f>
        <v>0</v>
      </c>
    </row>
    <row r="2522" spans="1:17" x14ac:dyDescent="0.35">
      <c r="A2522">
        <v>202201</v>
      </c>
      <c r="B2522">
        <v>80</v>
      </c>
      <c r="C2522" s="2">
        <v>1542271.9164</v>
      </c>
      <c r="D2522" s="2">
        <v>0.64929999999999999</v>
      </c>
      <c r="E2522" s="3">
        <v>155268</v>
      </c>
      <c r="F2522" s="2">
        <v>100815.4509</v>
      </c>
      <c r="G2522" t="s">
        <v>1691</v>
      </c>
      <c r="H2522" t="s">
        <v>7</v>
      </c>
      <c r="I2522">
        <f>HLOOKUP(G2522,zip_tiers!$A$1:$EON$2,2,FALSE)</f>
        <v>47637.333333333336</v>
      </c>
      <c r="J2522" t="str">
        <f t="shared" si="39"/>
        <v>Med</v>
      </c>
      <c r="K2522">
        <f>dataset[[#This Row],[soda_sales]]/dataset[[#This Row],[soda_units_sold]]</f>
        <v>0.64929960391065766</v>
      </c>
      <c r="L2522" s="29">
        <f>dataset[[#This Row],[implied_soda_ppu]]-dataset[[#This Row],[soda_ppu]]</f>
        <v>-3.9608934232493453E-7</v>
      </c>
      <c r="M2522">
        <f>dataset[[#This Row],[soda_sales]]/dataset[[#This Row],[total_sales]]</f>
        <v>6.536814282096591E-2</v>
      </c>
      <c r="N2522">
        <f>LN(dataset[[#This Row],[soda_units_sold]])</f>
        <v>11.952907935103953</v>
      </c>
      <c r="O2522">
        <f>LN(dataset[[#This Row],[soda_sales]])</f>
        <v>11.521046905610902</v>
      </c>
      <c r="P2522">
        <f>LN(dataset[[#This Row],[soda_ppu]])</f>
        <v>-0.43186041946769599</v>
      </c>
      <c r="Q2522">
        <f>IF(dataset[[#This Row],[state]]="VA",1,0)</f>
        <v>0</v>
      </c>
    </row>
    <row r="2523" spans="1:17" x14ac:dyDescent="0.35">
      <c r="A2523">
        <v>202202</v>
      </c>
      <c r="B2523">
        <v>80</v>
      </c>
      <c r="C2523" s="2">
        <v>1708670.1846</v>
      </c>
      <c r="D2523" s="2">
        <v>0.68520000000000003</v>
      </c>
      <c r="E2523" s="3">
        <v>162543</v>
      </c>
      <c r="F2523" s="2">
        <v>111376.01579999999</v>
      </c>
      <c r="G2523" t="s">
        <v>1691</v>
      </c>
      <c r="H2523" t="s">
        <v>7</v>
      </c>
      <c r="I2523">
        <f>HLOOKUP(G2523,zip_tiers!$A$1:$EON$2,2,FALSE)</f>
        <v>47637.333333333336</v>
      </c>
      <c r="J2523" t="str">
        <f t="shared" si="39"/>
        <v>Med</v>
      </c>
      <c r="K2523">
        <f>dataset[[#This Row],[soda_sales]]/dataset[[#This Row],[soda_units_sold]]</f>
        <v>0.68520954947306245</v>
      </c>
      <c r="L2523" s="29">
        <f>dataset[[#This Row],[implied_soda_ppu]]-dataset[[#This Row],[soda_ppu]]</f>
        <v>9.5494730624201551E-6</v>
      </c>
      <c r="M2523">
        <f>dataset[[#This Row],[soda_sales]]/dataset[[#This Row],[total_sales]]</f>
        <v>6.5182863728656407E-2</v>
      </c>
      <c r="N2523">
        <f>LN(dataset[[#This Row],[soda_units_sold]])</f>
        <v>11.998697861132069</v>
      </c>
      <c r="O2523">
        <f>LN(dataset[[#This Row],[soda_sales]])</f>
        <v>11.620667285270239</v>
      </c>
      <c r="P2523">
        <f>LN(dataset[[#This Row],[soda_ppu]])</f>
        <v>-0.37804451253217214</v>
      </c>
      <c r="Q2523">
        <f>IF(dataset[[#This Row],[state]]="VA",1,0)</f>
        <v>0</v>
      </c>
    </row>
    <row r="2524" spans="1:17" x14ac:dyDescent="0.35">
      <c r="A2524">
        <v>202203</v>
      </c>
      <c r="B2524">
        <v>80</v>
      </c>
      <c r="C2524" s="2">
        <v>1983718.5636</v>
      </c>
      <c r="D2524" s="2">
        <v>0.68569999999999998</v>
      </c>
      <c r="E2524" s="3">
        <v>202043</v>
      </c>
      <c r="F2524" s="2">
        <v>138545.36610000001</v>
      </c>
      <c r="G2524" t="s">
        <v>1691</v>
      </c>
      <c r="H2524" t="s">
        <v>7</v>
      </c>
      <c r="I2524">
        <f>HLOOKUP(G2524,zip_tiers!$A$1:$EON$2,2,FALSE)</f>
        <v>47637.333333333336</v>
      </c>
      <c r="J2524" t="str">
        <f t="shared" si="39"/>
        <v>Med</v>
      </c>
      <c r="K2524">
        <f>dataset[[#This Row],[soda_sales]]/dataset[[#This Row],[soda_units_sold]]</f>
        <v>0.68572217844716232</v>
      </c>
      <c r="L2524" s="29">
        <f>dataset[[#This Row],[implied_soda_ppu]]-dataset[[#This Row],[soda_ppu]]</f>
        <v>2.2178447162346515E-5</v>
      </c>
      <c r="M2524">
        <f>dataset[[#This Row],[soda_sales]]/dataset[[#This Row],[total_sales]]</f>
        <v>6.9841240910994723E-2</v>
      </c>
      <c r="N2524">
        <f>LN(dataset[[#This Row],[soda_units_sold]])</f>
        <v>12.216235825016593</v>
      </c>
      <c r="O2524">
        <f>LN(dataset[[#This Row],[soda_sales]])</f>
        <v>11.838953104044327</v>
      </c>
      <c r="P2524">
        <f>LN(dataset[[#This Row],[soda_ppu]])</f>
        <v>-0.37731506469181836</v>
      </c>
      <c r="Q2524">
        <f>IF(dataset[[#This Row],[state]]="VA",1,0)</f>
        <v>0</v>
      </c>
    </row>
    <row r="2525" spans="1:17" x14ac:dyDescent="0.35">
      <c r="A2525">
        <v>202204</v>
      </c>
      <c r="B2525">
        <v>80</v>
      </c>
      <c r="C2525" s="2">
        <v>2057322.6987000001</v>
      </c>
      <c r="D2525" s="2">
        <v>0.68149999999999999</v>
      </c>
      <c r="E2525" s="3">
        <v>230778</v>
      </c>
      <c r="F2525" s="2">
        <v>157273.83929999999</v>
      </c>
      <c r="G2525" t="s">
        <v>1691</v>
      </c>
      <c r="H2525" t="s">
        <v>7</v>
      </c>
      <c r="I2525">
        <f>HLOOKUP(G2525,zip_tiers!$A$1:$EON$2,2,FALSE)</f>
        <v>47637.333333333336</v>
      </c>
      <c r="J2525" t="str">
        <f t="shared" si="39"/>
        <v>Med</v>
      </c>
      <c r="K2525">
        <f>dataset[[#This Row],[soda_sales]]/dataset[[#This Row],[soda_units_sold]]</f>
        <v>0.68149407352520597</v>
      </c>
      <c r="L2525" s="29">
        <f>dataset[[#This Row],[implied_soda_ppu]]-dataset[[#This Row],[soda_ppu]]</f>
        <v>-5.9264747940268592E-6</v>
      </c>
      <c r="M2525">
        <f>dataset[[#This Row],[soda_sales]]/dataset[[#This Row],[total_sales]]</f>
        <v>7.6445877644464644E-2</v>
      </c>
      <c r="N2525">
        <f>LN(dataset[[#This Row],[soda_units_sold]])</f>
        <v>12.349211488448866</v>
      </c>
      <c r="O2525">
        <f>LN(dataset[[#This Row],[soda_sales]])</f>
        <v>11.965743764344236</v>
      </c>
      <c r="P2525">
        <f>LN(dataset[[#This Row],[soda_ppu]])</f>
        <v>-0.38345902784554975</v>
      </c>
      <c r="Q2525">
        <f>IF(dataset[[#This Row],[state]]="VA",1,0)</f>
        <v>0</v>
      </c>
    </row>
    <row r="2526" spans="1:17" x14ac:dyDescent="0.35">
      <c r="A2526">
        <v>202205</v>
      </c>
      <c r="B2526">
        <v>80</v>
      </c>
      <c r="C2526" s="2">
        <v>2138717.4736000001</v>
      </c>
      <c r="D2526" s="2">
        <v>0.6875</v>
      </c>
      <c r="E2526" s="3">
        <v>248833</v>
      </c>
      <c r="F2526" s="2">
        <v>171062.19519999999</v>
      </c>
      <c r="G2526" t="s">
        <v>1691</v>
      </c>
      <c r="H2526" t="s">
        <v>7</v>
      </c>
      <c r="I2526">
        <f>HLOOKUP(G2526,zip_tiers!$A$1:$EON$2,2,FALSE)</f>
        <v>47637.333333333336</v>
      </c>
      <c r="J2526" t="str">
        <f t="shared" si="39"/>
        <v>Med</v>
      </c>
      <c r="K2526">
        <f>dataset[[#This Row],[soda_sales]]/dataset[[#This Row],[soda_units_sold]]</f>
        <v>0.68745783396896709</v>
      </c>
      <c r="L2526" s="29">
        <f>dataset[[#This Row],[implied_soda_ppu]]-dataset[[#This Row],[soda_ppu]]</f>
        <v>-4.2166031032908613E-5</v>
      </c>
      <c r="M2526">
        <f>dataset[[#This Row],[soda_sales]]/dataset[[#This Row],[total_sales]]</f>
        <v>7.9983540281297297E-2</v>
      </c>
      <c r="N2526">
        <f>LN(dataset[[#This Row],[soda_units_sold]])</f>
        <v>12.424537267707647</v>
      </c>
      <c r="O2526">
        <f>LN(dataset[[#This Row],[soda_sales]])</f>
        <v>12.049782483976552</v>
      </c>
      <c r="P2526">
        <f>LN(dataset[[#This Row],[soda_ppu]])</f>
        <v>-0.3746934494414107</v>
      </c>
      <c r="Q2526">
        <f>IF(dataset[[#This Row],[state]]="VA",1,0)</f>
        <v>0</v>
      </c>
    </row>
    <row r="2527" spans="1:17" x14ac:dyDescent="0.35">
      <c r="A2527">
        <v>202206</v>
      </c>
      <c r="B2527">
        <v>80</v>
      </c>
      <c r="C2527" s="2">
        <v>2076062.2224999999</v>
      </c>
      <c r="D2527" s="2">
        <v>0.67579999999999996</v>
      </c>
      <c r="E2527" s="3">
        <v>271243</v>
      </c>
      <c r="F2527" s="2">
        <v>183303.57920000001</v>
      </c>
      <c r="G2527" t="s">
        <v>1691</v>
      </c>
      <c r="H2527" t="s">
        <v>7</v>
      </c>
      <c r="I2527">
        <f>HLOOKUP(G2527,zip_tiers!$A$1:$EON$2,2,FALSE)</f>
        <v>47637.333333333336</v>
      </c>
      <c r="J2527" t="str">
        <f t="shared" si="39"/>
        <v>Med</v>
      </c>
      <c r="K2527">
        <f>dataset[[#This Row],[soda_sales]]/dataset[[#This Row],[soda_units_sold]]</f>
        <v>0.67579100363880362</v>
      </c>
      <c r="L2527" s="29">
        <f>dataset[[#This Row],[implied_soda_ppu]]-dataset[[#This Row],[soda_ppu]]</f>
        <v>-8.9963611963339574E-6</v>
      </c>
      <c r="M2527">
        <f>dataset[[#This Row],[soda_sales]]/dataset[[#This Row],[total_sales]]</f>
        <v>8.8293875401896829E-2</v>
      </c>
      <c r="N2527">
        <f>LN(dataset[[#This Row],[soda_units_sold]])</f>
        <v>12.510770377052202</v>
      </c>
      <c r="O2527">
        <f>LN(dataset[[#This Row],[soda_sales]])</f>
        <v>12.118898960096514</v>
      </c>
      <c r="P2527">
        <f>LN(dataset[[#This Row],[soda_ppu]])</f>
        <v>-0.39185810470194754</v>
      </c>
      <c r="Q2527">
        <f>IF(dataset[[#This Row],[state]]="VA",1,0)</f>
        <v>0</v>
      </c>
    </row>
    <row r="2528" spans="1:17" x14ac:dyDescent="0.35">
      <c r="A2528">
        <v>202207</v>
      </c>
      <c r="B2528">
        <v>80</v>
      </c>
      <c r="C2528" s="2">
        <v>1965307.1462999999</v>
      </c>
      <c r="D2528" s="2">
        <v>0.67789999999999995</v>
      </c>
      <c r="E2528" s="3">
        <v>274835</v>
      </c>
      <c r="F2528" s="2">
        <v>186303.8487</v>
      </c>
      <c r="G2528" t="s">
        <v>1691</v>
      </c>
      <c r="H2528" t="s">
        <v>7</v>
      </c>
      <c r="I2528">
        <f>HLOOKUP(G2528,zip_tiers!$A$1:$EON$2,2,FALSE)</f>
        <v>47637.333333333336</v>
      </c>
      <c r="J2528" t="str">
        <f t="shared" si="39"/>
        <v>Med</v>
      </c>
      <c r="K2528">
        <f>dataset[[#This Row],[soda_sales]]/dataset[[#This Row],[soda_units_sold]]</f>
        <v>0.6778752658868048</v>
      </c>
      <c r="L2528" s="29">
        <f>dataset[[#This Row],[implied_soda_ppu]]-dataset[[#This Row],[soda_ppu]]</f>
        <v>-2.4734113195146179E-5</v>
      </c>
      <c r="M2528">
        <f>dataset[[#This Row],[soda_sales]]/dataset[[#This Row],[total_sales]]</f>
        <v>9.4796301458907495E-2</v>
      </c>
      <c r="N2528">
        <f>LN(dataset[[#This Row],[soda_units_sold]])</f>
        <v>12.523926196576676</v>
      </c>
      <c r="O2528">
        <f>LN(dataset[[#This Row],[soda_sales]])</f>
        <v>12.13513421499143</v>
      </c>
      <c r="P2528">
        <f>LN(dataset[[#This Row],[soda_ppu]])</f>
        <v>-0.38875549454521718</v>
      </c>
      <c r="Q2528">
        <f>IF(dataset[[#This Row],[state]]="VA",1,0)</f>
        <v>0</v>
      </c>
    </row>
    <row r="2529" spans="1:17" x14ac:dyDescent="0.35">
      <c r="A2529">
        <v>202208</v>
      </c>
      <c r="B2529">
        <v>80</v>
      </c>
      <c r="C2529" s="2">
        <v>1871951.7176000001</v>
      </c>
      <c r="D2529" s="2">
        <v>0.68269999999999997</v>
      </c>
      <c r="E2529" s="3">
        <v>241682</v>
      </c>
      <c r="F2529" s="2">
        <v>164998.9884</v>
      </c>
      <c r="G2529" t="s">
        <v>1691</v>
      </c>
      <c r="H2529" t="s">
        <v>7</v>
      </c>
      <c r="I2529">
        <f>HLOOKUP(G2529,zip_tiers!$A$1:$EON$2,2,FALSE)</f>
        <v>47637.333333333336</v>
      </c>
      <c r="J2529" t="str">
        <f t="shared" si="39"/>
        <v>Med</v>
      </c>
      <c r="K2529">
        <f>dataset[[#This Row],[soda_sales]]/dataset[[#This Row],[soda_units_sold]]</f>
        <v>0.68271111791527705</v>
      </c>
      <c r="L2529" s="29">
        <f>dataset[[#This Row],[implied_soda_ppu]]-dataset[[#This Row],[soda_ppu]]</f>
        <v>1.1117915277081281E-5</v>
      </c>
      <c r="M2529">
        <f>dataset[[#This Row],[soda_sales]]/dataset[[#This Row],[total_sales]]</f>
        <v>8.8142758623893688E-2</v>
      </c>
      <c r="N2529">
        <f>LN(dataset[[#This Row],[soda_units_sold]])</f>
        <v>12.395378091431807</v>
      </c>
      <c r="O2529">
        <f>LN(dataset[[#This Row],[soda_sales]])</f>
        <v>12.013694621954834</v>
      </c>
      <c r="P2529">
        <f>LN(dataset[[#This Row],[soda_ppu]])</f>
        <v>-0.38169975455790245</v>
      </c>
      <c r="Q2529">
        <f>IF(dataset[[#This Row],[state]]="VA",1,0)</f>
        <v>0</v>
      </c>
    </row>
    <row r="2530" spans="1:17" x14ac:dyDescent="0.35">
      <c r="A2530">
        <v>202209</v>
      </c>
      <c r="B2530">
        <v>80</v>
      </c>
      <c r="C2530" s="2">
        <v>1893618.0686000001</v>
      </c>
      <c r="D2530" s="2">
        <v>0.68769999999999998</v>
      </c>
      <c r="E2530" s="3">
        <v>232932</v>
      </c>
      <c r="F2530" s="2">
        <v>160197.58240000001</v>
      </c>
      <c r="G2530" t="s">
        <v>1691</v>
      </c>
      <c r="H2530" t="s">
        <v>7</v>
      </c>
      <c r="I2530">
        <f>HLOOKUP(G2530,zip_tiers!$A$1:$EON$2,2,FALSE)</f>
        <v>47637.333333333336</v>
      </c>
      <c r="J2530" t="str">
        <f t="shared" si="39"/>
        <v>Med</v>
      </c>
      <c r="K2530">
        <f>dataset[[#This Row],[soda_sales]]/dataset[[#This Row],[soda_units_sold]]</f>
        <v>0.68774398708635998</v>
      </c>
      <c r="L2530" s="29">
        <f>dataset[[#This Row],[implied_soda_ppu]]-dataset[[#This Row],[soda_ppu]]</f>
        <v>4.3987086359997818E-5</v>
      </c>
      <c r="M2530">
        <f>dataset[[#This Row],[soda_sales]]/dataset[[#This Row],[total_sales]]</f>
        <v>8.45986764999756E-2</v>
      </c>
      <c r="N2530">
        <f>LN(dataset[[#This Row],[soda_units_sold]])</f>
        <v>12.358501844459092</v>
      </c>
      <c r="O2530">
        <f>LN(dataset[[#This Row],[soda_sales]])</f>
        <v>11.984163222366444</v>
      </c>
      <c r="P2530">
        <f>LN(dataset[[#This Row],[soda_ppu]])</f>
        <v>-0.37440258265634663</v>
      </c>
      <c r="Q2530">
        <f>IF(dataset[[#This Row],[state]]="VA",1,0)</f>
        <v>0</v>
      </c>
    </row>
    <row r="2531" spans="1:17" x14ac:dyDescent="0.35">
      <c r="A2531">
        <v>202210</v>
      </c>
      <c r="B2531">
        <v>80</v>
      </c>
      <c r="C2531" s="2">
        <v>2314612.8258000002</v>
      </c>
      <c r="D2531" s="2">
        <v>0.7</v>
      </c>
      <c r="E2531" s="3">
        <v>221011</v>
      </c>
      <c r="F2531" s="2">
        <v>154707.1617</v>
      </c>
      <c r="G2531" t="s">
        <v>1691</v>
      </c>
      <c r="H2531" t="s">
        <v>7</v>
      </c>
      <c r="I2531">
        <f>HLOOKUP(G2531,zip_tiers!$A$1:$EON$2,2,FALSE)</f>
        <v>47637.333333333336</v>
      </c>
      <c r="J2531" t="str">
        <f t="shared" si="39"/>
        <v>Med</v>
      </c>
      <c r="K2531">
        <f>dataset[[#This Row],[soda_sales]]/dataset[[#This Row],[soda_units_sold]]</f>
        <v>0.6999975643746239</v>
      </c>
      <c r="L2531" s="29">
        <f>dataset[[#This Row],[implied_soda_ppu]]-dataset[[#This Row],[soda_ppu]]</f>
        <v>-2.4356253760515756E-6</v>
      </c>
      <c r="M2531">
        <f>dataset[[#This Row],[soda_sales]]/dataset[[#This Row],[total_sales]]</f>
        <v>6.6839326204169172E-2</v>
      </c>
      <c r="N2531">
        <f>LN(dataset[[#This Row],[soda_units_sold]])</f>
        <v>12.305967753016875</v>
      </c>
      <c r="O2531">
        <f>LN(dataset[[#This Row],[soda_sales]])</f>
        <v>11.949289329607264</v>
      </c>
      <c r="P2531">
        <f>LN(dataset[[#This Row],[soda_ppu]])</f>
        <v>-0.35667494393873245</v>
      </c>
      <c r="Q2531">
        <f>IF(dataset[[#This Row],[state]]="VA",1,0)</f>
        <v>0</v>
      </c>
    </row>
    <row r="2532" spans="1:17" x14ac:dyDescent="0.35">
      <c r="A2532">
        <v>202211</v>
      </c>
      <c r="B2532">
        <v>80</v>
      </c>
      <c r="C2532" s="2">
        <v>2618157.2102000001</v>
      </c>
      <c r="D2532" s="2">
        <v>0.67449999999999999</v>
      </c>
      <c r="E2532" s="3">
        <v>212634</v>
      </c>
      <c r="F2532" s="2">
        <v>143411.8726</v>
      </c>
      <c r="G2532" t="s">
        <v>1691</v>
      </c>
      <c r="H2532" t="s">
        <v>7</v>
      </c>
      <c r="I2532">
        <f>HLOOKUP(G2532,zip_tiers!$A$1:$EON$2,2,FALSE)</f>
        <v>47637.333333333336</v>
      </c>
      <c r="J2532" t="str">
        <f t="shared" si="39"/>
        <v>Med</v>
      </c>
      <c r="K2532">
        <f>dataset[[#This Row],[soda_sales]]/dataset[[#This Row],[soda_units_sold]]</f>
        <v>0.67445409765136344</v>
      </c>
      <c r="L2532" s="29">
        <f>dataset[[#This Row],[implied_soda_ppu]]-dataset[[#This Row],[soda_ppu]]</f>
        <v>-4.5902348636550627E-5</v>
      </c>
      <c r="M2532">
        <f>dataset[[#This Row],[soda_sales]]/dataset[[#This Row],[total_sales]]</f>
        <v>5.4775882839000652E-2</v>
      </c>
      <c r="N2532">
        <f>LN(dataset[[#This Row],[soda_units_sold]])</f>
        <v>12.267327656844685</v>
      </c>
      <c r="O2532">
        <f>LN(dataset[[#This Row],[soda_sales]])</f>
        <v>11.873475997304837</v>
      </c>
      <c r="P2532">
        <f>LN(dataset[[#This Row],[soda_ppu]])</f>
        <v>-0.39378360333432649</v>
      </c>
      <c r="Q2532">
        <f>IF(dataset[[#This Row],[state]]="VA",1,0)</f>
        <v>0</v>
      </c>
    </row>
    <row r="2533" spans="1:17" x14ac:dyDescent="0.35">
      <c r="A2533">
        <v>202212</v>
      </c>
      <c r="B2533">
        <v>80</v>
      </c>
      <c r="C2533" s="2">
        <v>2729254.6411000001</v>
      </c>
      <c r="D2533" s="2">
        <v>0.67859999999999998</v>
      </c>
      <c r="E2533" s="3">
        <v>205572</v>
      </c>
      <c r="F2533" s="2">
        <v>139501.58840000001</v>
      </c>
      <c r="G2533" t="s">
        <v>1691</v>
      </c>
      <c r="H2533" t="s">
        <v>7</v>
      </c>
      <c r="I2533">
        <f>HLOOKUP(G2533,zip_tiers!$A$1:$EON$2,2,FALSE)</f>
        <v>47637.333333333336</v>
      </c>
      <c r="J2533" t="str">
        <f t="shared" si="39"/>
        <v>Med</v>
      </c>
      <c r="K2533">
        <f>dataset[[#This Row],[soda_sales]]/dataset[[#This Row],[soda_units_sold]]</f>
        <v>0.67860208783297338</v>
      </c>
      <c r="L2533" s="29">
        <f>dataset[[#This Row],[implied_soda_ppu]]-dataset[[#This Row],[soda_ppu]]</f>
        <v>2.0878329733964307E-6</v>
      </c>
      <c r="M2533">
        <f>dataset[[#This Row],[soda_sales]]/dataset[[#This Row],[total_sales]]</f>
        <v>5.1113438189034362E-2</v>
      </c>
      <c r="N2533">
        <f>LN(dataset[[#This Row],[soda_units_sold]])</f>
        <v>12.23355161651846</v>
      </c>
      <c r="O2533">
        <f>LN(dataset[[#This Row],[soda_sales]])</f>
        <v>11.845831266558662</v>
      </c>
      <c r="P2533">
        <f>LN(dataset[[#This Row],[soda_ppu]])</f>
        <v>-0.38772342663200732</v>
      </c>
      <c r="Q2533">
        <f>IF(dataset[[#This Row],[state]]="VA",1,0)</f>
        <v>0</v>
      </c>
    </row>
    <row r="2534" spans="1:17" x14ac:dyDescent="0.35">
      <c r="A2534">
        <v>202301</v>
      </c>
      <c r="B2534">
        <v>80</v>
      </c>
      <c r="C2534" s="2">
        <v>1587232.9687000001</v>
      </c>
      <c r="D2534" s="2">
        <v>0.7137</v>
      </c>
      <c r="E2534" s="3">
        <v>144647</v>
      </c>
      <c r="F2534" s="2">
        <v>103229.64479999999</v>
      </c>
      <c r="G2534" t="s">
        <v>1691</v>
      </c>
      <c r="H2534" t="s">
        <v>7</v>
      </c>
      <c r="I2534">
        <f>HLOOKUP(G2534,zip_tiers!$A$1:$EON$2,2,FALSE)</f>
        <v>47637.333333333336</v>
      </c>
      <c r="J2534" t="str">
        <f t="shared" si="39"/>
        <v>Med</v>
      </c>
      <c r="K2534">
        <f>dataset[[#This Row],[soda_sales]]/dataset[[#This Row],[soda_units_sold]]</f>
        <v>0.71366599238145279</v>
      </c>
      <c r="L2534" s="29">
        <f>dataset[[#This Row],[implied_soda_ppu]]-dataset[[#This Row],[soda_ppu]]</f>
        <v>-3.4007618547216012E-5</v>
      </c>
      <c r="M2534">
        <f>dataset[[#This Row],[soda_sales]]/dataset[[#This Row],[total_sales]]</f>
        <v>6.5037487776321026E-2</v>
      </c>
      <c r="N2534">
        <f>LN(dataset[[#This Row],[soda_units_sold]])</f>
        <v>11.882051570472653</v>
      </c>
      <c r="O2534">
        <f>LN(dataset[[#This Row],[soda_sales]])</f>
        <v>11.5447113465935</v>
      </c>
      <c r="P2534">
        <f>LN(dataset[[#This Row],[soda_ppu]])</f>
        <v>-0.33729257300511539</v>
      </c>
      <c r="Q2534">
        <f>IF(dataset[[#This Row],[state]]="VA",1,0)</f>
        <v>0</v>
      </c>
    </row>
    <row r="2535" spans="1:17" x14ac:dyDescent="0.35">
      <c r="A2535">
        <v>202302</v>
      </c>
      <c r="B2535">
        <v>80</v>
      </c>
      <c r="C2535" s="2">
        <v>1793063.4701</v>
      </c>
      <c r="D2535" s="2">
        <v>0.6925</v>
      </c>
      <c r="E2535" s="3">
        <v>168162</v>
      </c>
      <c r="F2535" s="2">
        <v>116457.567</v>
      </c>
      <c r="G2535" t="s">
        <v>1691</v>
      </c>
      <c r="H2535" t="s">
        <v>7</v>
      </c>
      <c r="I2535">
        <f>HLOOKUP(G2535,zip_tiers!$A$1:$EON$2,2,FALSE)</f>
        <v>47637.333333333336</v>
      </c>
      <c r="J2535" t="str">
        <f t="shared" si="39"/>
        <v>Med</v>
      </c>
      <c r="K2535">
        <f>dataset[[#This Row],[soda_sales]]/dataset[[#This Row],[soda_units_sold]]</f>
        <v>0.69253200485246369</v>
      </c>
      <c r="L2535" s="29">
        <f>dataset[[#This Row],[implied_soda_ppu]]-dataset[[#This Row],[soda_ppu]]</f>
        <v>3.2004852463685118E-5</v>
      </c>
      <c r="M2535">
        <f>dataset[[#This Row],[soda_sales]]/dataset[[#This Row],[total_sales]]</f>
        <v>6.4948937358868336E-2</v>
      </c>
      <c r="N2535">
        <f>LN(dataset[[#This Row],[soda_units_sold]])</f>
        <v>12.032683079474875</v>
      </c>
      <c r="O2535">
        <f>LN(dataset[[#This Row],[soda_sales]])</f>
        <v>11.665282253879736</v>
      </c>
      <c r="P2535">
        <f>LN(dataset[[#This Row],[soda_ppu]])</f>
        <v>-0.36744704092064345</v>
      </c>
      <c r="Q2535">
        <f>IF(dataset[[#This Row],[state]]="VA",1,0)</f>
        <v>0</v>
      </c>
    </row>
    <row r="2536" spans="1:17" x14ac:dyDescent="0.35">
      <c r="A2536">
        <v>202303</v>
      </c>
      <c r="B2536">
        <v>80</v>
      </c>
      <c r="C2536" s="2">
        <v>2011282.6994</v>
      </c>
      <c r="D2536" s="2">
        <v>0.69320000000000004</v>
      </c>
      <c r="E2536" s="3">
        <v>203127</v>
      </c>
      <c r="F2536" s="2">
        <v>140809.0031</v>
      </c>
      <c r="G2536" t="s">
        <v>1691</v>
      </c>
      <c r="H2536" t="s">
        <v>7</v>
      </c>
      <c r="I2536">
        <f>HLOOKUP(G2536,zip_tiers!$A$1:$EON$2,2,FALSE)</f>
        <v>47637.333333333336</v>
      </c>
      <c r="J2536" t="str">
        <f t="shared" si="39"/>
        <v>Med</v>
      </c>
      <c r="K2536">
        <f>dataset[[#This Row],[soda_sales]]/dataset[[#This Row],[soda_units_sold]]</f>
        <v>0.69320672830298291</v>
      </c>
      <c r="L2536" s="29">
        <f>dataset[[#This Row],[implied_soda_ppu]]-dataset[[#This Row],[soda_ppu]]</f>
        <v>6.7283029828724139E-6</v>
      </c>
      <c r="M2536">
        <f>dataset[[#This Row],[soda_sales]]/dataset[[#This Row],[total_sales]]</f>
        <v>7.0009553178181139E-2</v>
      </c>
      <c r="N2536">
        <f>LN(dataset[[#This Row],[soda_units_sold]])</f>
        <v>12.221586678171512</v>
      </c>
      <c r="O2536">
        <f>LN(dataset[[#This Row],[soda_sales]])</f>
        <v>11.855159663133437</v>
      </c>
      <c r="P2536">
        <f>LN(dataset[[#This Row],[soda_ppu]])</f>
        <v>-0.36643672114068598</v>
      </c>
      <c r="Q2536">
        <f>IF(dataset[[#This Row],[state]]="VA",1,0)</f>
        <v>0</v>
      </c>
    </row>
    <row r="2537" spans="1:17" x14ac:dyDescent="0.35">
      <c r="A2537">
        <v>202304</v>
      </c>
      <c r="B2537">
        <v>80</v>
      </c>
      <c r="C2537" s="2">
        <v>2067907.2413000001</v>
      </c>
      <c r="D2537" s="2">
        <v>0.70340000000000003</v>
      </c>
      <c r="E2537" s="3">
        <v>222658</v>
      </c>
      <c r="F2537" s="2">
        <v>156625.80910000001</v>
      </c>
      <c r="G2537" t="s">
        <v>1691</v>
      </c>
      <c r="H2537" t="s">
        <v>7</v>
      </c>
      <c r="I2537">
        <f>HLOOKUP(G2537,zip_tiers!$A$1:$EON$2,2,FALSE)</f>
        <v>47637.333333333336</v>
      </c>
      <c r="J2537" t="str">
        <f t="shared" si="39"/>
        <v>Med</v>
      </c>
      <c r="K2537">
        <f>dataset[[#This Row],[soda_sales]]/dataset[[#This Row],[soda_units_sold]]</f>
        <v>0.70343670157820515</v>
      </c>
      <c r="L2537" s="29">
        <f>dataset[[#This Row],[implied_soda_ppu]]-dataset[[#This Row],[soda_ppu]]</f>
        <v>3.6701578205122765E-5</v>
      </c>
      <c r="M2537">
        <f>dataset[[#This Row],[soda_sales]]/dataset[[#This Row],[total_sales]]</f>
        <v>7.5741216033237746E-2</v>
      </c>
      <c r="N2537">
        <f>LN(dataset[[#This Row],[soda_units_sold]])</f>
        <v>12.313392240937498</v>
      </c>
      <c r="O2537">
        <f>LN(dataset[[#This Row],[soda_sales]])</f>
        <v>11.961614858027005</v>
      </c>
      <c r="P2537">
        <f>LN(dataset[[#This Row],[soda_ppu]])</f>
        <v>-0.35182955894225493</v>
      </c>
      <c r="Q2537">
        <f>IF(dataset[[#This Row],[state]]="VA",1,0)</f>
        <v>0</v>
      </c>
    </row>
    <row r="2538" spans="1:17" x14ac:dyDescent="0.35">
      <c r="A2538">
        <v>202305</v>
      </c>
      <c r="B2538">
        <v>80</v>
      </c>
      <c r="C2538" s="2">
        <v>2197568.6222000001</v>
      </c>
      <c r="D2538" s="2">
        <v>0.69269999999999998</v>
      </c>
      <c r="E2538" s="3">
        <v>257679</v>
      </c>
      <c r="F2538" s="2">
        <v>178483.8057</v>
      </c>
      <c r="G2538" t="s">
        <v>1691</v>
      </c>
      <c r="H2538" t="s">
        <v>7</v>
      </c>
      <c r="I2538">
        <f>HLOOKUP(G2538,zip_tiers!$A$1:$EON$2,2,FALSE)</f>
        <v>47637.333333333336</v>
      </c>
      <c r="J2538" t="str">
        <f t="shared" si="39"/>
        <v>Med</v>
      </c>
      <c r="K2538">
        <f>dataset[[#This Row],[soda_sales]]/dataset[[#This Row],[soda_units_sold]]</f>
        <v>0.69265949378878366</v>
      </c>
      <c r="L2538" s="29">
        <f>dataset[[#This Row],[implied_soda_ppu]]-dataset[[#This Row],[soda_ppu]]</f>
        <v>-4.0506211216317922E-5</v>
      </c>
      <c r="M2538">
        <f>dataset[[#This Row],[soda_sales]]/dataset[[#This Row],[total_sales]]</f>
        <v>8.1218763271801137E-2</v>
      </c>
      <c r="N2538">
        <f>LN(dataset[[#This Row],[soda_units_sold]])</f>
        <v>12.459469903215185</v>
      </c>
      <c r="O2538">
        <f>LN(dataset[[#This Row],[soda_sales]])</f>
        <v>12.092253151716378</v>
      </c>
      <c r="P2538">
        <f>LN(dataset[[#This Row],[soda_ppu]])</f>
        <v>-0.3671582739535777</v>
      </c>
      <c r="Q2538">
        <f>IF(dataset[[#This Row],[state]]="VA",1,0)</f>
        <v>0</v>
      </c>
    </row>
    <row r="2539" spans="1:17" x14ac:dyDescent="0.35">
      <c r="A2539">
        <v>202306</v>
      </c>
      <c r="B2539">
        <v>80</v>
      </c>
      <c r="C2539" s="2">
        <v>2058623.4735000001</v>
      </c>
      <c r="D2539" s="2">
        <v>0.71</v>
      </c>
      <c r="E2539" s="3">
        <v>250947</v>
      </c>
      <c r="F2539" s="2">
        <v>178169.81789999999</v>
      </c>
      <c r="G2539" t="s">
        <v>1691</v>
      </c>
      <c r="H2539" t="s">
        <v>7</v>
      </c>
      <c r="I2539">
        <f>HLOOKUP(G2539,zip_tiers!$A$1:$EON$2,2,FALSE)</f>
        <v>47637.333333333336</v>
      </c>
      <c r="J2539" t="str">
        <f t="shared" si="39"/>
        <v>Med</v>
      </c>
      <c r="K2539">
        <f>dataset[[#This Row],[soda_sales]]/dataset[[#This Row],[soda_units_sold]]</f>
        <v>0.70998983012349215</v>
      </c>
      <c r="L2539" s="29">
        <f>dataset[[#This Row],[implied_soda_ppu]]-dataset[[#This Row],[soda_ppu]]</f>
        <v>-1.016987650781509E-5</v>
      </c>
      <c r="M2539">
        <f>dataset[[#This Row],[soda_sales]]/dataset[[#This Row],[total_sales]]</f>
        <v>8.6548035711009288E-2</v>
      </c>
      <c r="N2539">
        <f>LN(dataset[[#This Row],[soda_units_sold]])</f>
        <v>12.432997040439</v>
      </c>
      <c r="O2539">
        <f>LN(dataset[[#This Row],[soda_sales]])</f>
        <v>12.090492407619907</v>
      </c>
      <c r="P2539">
        <f>LN(dataset[[#This Row],[soda_ppu]])</f>
        <v>-0.34249030894677601</v>
      </c>
      <c r="Q2539">
        <f>IF(dataset[[#This Row],[state]]="VA",1,0)</f>
        <v>0</v>
      </c>
    </row>
    <row r="2540" spans="1:17" x14ac:dyDescent="0.35">
      <c r="A2540">
        <v>202307</v>
      </c>
      <c r="B2540">
        <v>80</v>
      </c>
      <c r="C2540" s="2">
        <v>1954569.7001</v>
      </c>
      <c r="D2540" s="2">
        <v>0.7661</v>
      </c>
      <c r="E2540" s="3">
        <v>227044</v>
      </c>
      <c r="F2540" s="2">
        <v>173936.38310000001</v>
      </c>
      <c r="G2540" t="s">
        <v>1691</v>
      </c>
      <c r="H2540" t="s">
        <v>7</v>
      </c>
      <c r="I2540">
        <f>HLOOKUP(G2540,zip_tiers!$A$1:$EON$2,2,FALSE)</f>
        <v>47637.333333333336</v>
      </c>
      <c r="J2540" t="str">
        <f t="shared" si="39"/>
        <v>Med</v>
      </c>
      <c r="K2540">
        <f>dataset[[#This Row],[soda_sales]]/dataset[[#This Row],[soda_units_sold]]</f>
        <v>0.7660910797026127</v>
      </c>
      <c r="L2540" s="29">
        <f>dataset[[#This Row],[implied_soda_ppu]]-dataset[[#This Row],[soda_ppu]]</f>
        <v>-8.9202973873048208E-6</v>
      </c>
      <c r="M2540">
        <f>dataset[[#This Row],[soda_sales]]/dataset[[#This Row],[total_sales]]</f>
        <v>8.8989603743013637E-2</v>
      </c>
      <c r="N2540">
        <f>LN(dataset[[#This Row],[soda_units_sold]])</f>
        <v>12.332899110279548</v>
      </c>
      <c r="O2540">
        <f>LN(dataset[[#This Row],[soda_sales]])</f>
        <v>12.066444896975622</v>
      </c>
      <c r="P2540">
        <f>LN(dataset[[#This Row],[soda_ppu]])</f>
        <v>-0.26644256945936179</v>
      </c>
      <c r="Q2540">
        <f>IF(dataset[[#This Row],[state]]="VA",1,0)</f>
        <v>0</v>
      </c>
    </row>
    <row r="2541" spans="1:17" x14ac:dyDescent="0.35">
      <c r="A2541">
        <v>202308</v>
      </c>
      <c r="B2541">
        <v>80</v>
      </c>
      <c r="C2541" s="2">
        <v>1908412.2482</v>
      </c>
      <c r="D2541" s="2">
        <v>0.72019999999999995</v>
      </c>
      <c r="E2541" s="3">
        <v>228718</v>
      </c>
      <c r="F2541" s="2">
        <v>164727.97839999999</v>
      </c>
      <c r="G2541" t="s">
        <v>1691</v>
      </c>
      <c r="H2541" t="s">
        <v>7</v>
      </c>
      <c r="I2541">
        <f>HLOOKUP(G2541,zip_tiers!$A$1:$EON$2,2,FALSE)</f>
        <v>47637.333333333336</v>
      </c>
      <c r="J2541" t="str">
        <f t="shared" si="39"/>
        <v>Med</v>
      </c>
      <c r="K2541">
        <f>dataset[[#This Row],[soda_sales]]/dataset[[#This Row],[soda_units_sold]]</f>
        <v>0.72022306246119672</v>
      </c>
      <c r="L2541" s="29">
        <f>dataset[[#This Row],[implied_soda_ppu]]-dataset[[#This Row],[soda_ppu]]</f>
        <v>2.3062461196765582E-5</v>
      </c>
      <c r="M2541">
        <f>dataset[[#This Row],[soda_sales]]/dataset[[#This Row],[total_sales]]</f>
        <v>8.6316768588846654E-2</v>
      </c>
      <c r="N2541">
        <f>LN(dataset[[#This Row],[soda_units_sold]])</f>
        <v>12.340245082641767</v>
      </c>
      <c r="O2541">
        <f>LN(dataset[[#This Row],[soda_sales]])</f>
        <v>12.012050776662726</v>
      </c>
      <c r="P2541">
        <f>LN(dataset[[#This Row],[soda_ppu]])</f>
        <v>-0.32822632776736227</v>
      </c>
      <c r="Q2541">
        <f>IF(dataset[[#This Row],[state]]="VA",1,0)</f>
        <v>0</v>
      </c>
    </row>
    <row r="2542" spans="1:17" x14ac:dyDescent="0.35">
      <c r="A2542">
        <v>202309</v>
      </c>
      <c r="B2542">
        <v>80</v>
      </c>
      <c r="C2542" s="2">
        <v>1898668.7444</v>
      </c>
      <c r="D2542" s="2">
        <v>0.72</v>
      </c>
      <c r="E2542" s="3">
        <v>218804</v>
      </c>
      <c r="F2542" s="2">
        <v>157534.55160000001</v>
      </c>
      <c r="G2542" t="s">
        <v>1691</v>
      </c>
      <c r="H2542" t="s">
        <v>7</v>
      </c>
      <c r="I2542">
        <f>HLOOKUP(G2542,zip_tiers!$A$1:$EON$2,2,FALSE)</f>
        <v>47637.333333333336</v>
      </c>
      <c r="J2542" t="str">
        <f t="shared" si="39"/>
        <v>Med</v>
      </c>
      <c r="K2542">
        <f>dataset[[#This Row],[soda_sales]]/dataset[[#This Row],[soda_units_sold]]</f>
        <v>0.71998021791192124</v>
      </c>
      <c r="L2542" s="29">
        <f>dataset[[#This Row],[implied_soda_ppu]]-dataset[[#This Row],[soda_ppu]]</f>
        <v>-1.9782088078734716E-5</v>
      </c>
      <c r="M2542">
        <f>dataset[[#This Row],[soda_sales]]/dataset[[#This Row],[total_sales]]</f>
        <v>8.2971056465030002E-2</v>
      </c>
      <c r="N2542">
        <f>LN(dataset[[#This Row],[soda_units_sold]])</f>
        <v>12.295931630898506</v>
      </c>
      <c r="O2542">
        <f>LN(dataset[[#This Row],[soda_sales]])</f>
        <v>11.967400088426691</v>
      </c>
      <c r="P2542">
        <f>LN(dataset[[#This Row],[soda_ppu]])</f>
        <v>-0.3285040669720361</v>
      </c>
      <c r="Q2542">
        <f>IF(dataset[[#This Row],[state]]="VA",1,0)</f>
        <v>0</v>
      </c>
    </row>
    <row r="2543" spans="1:17" x14ac:dyDescent="0.35">
      <c r="A2543">
        <v>202310</v>
      </c>
      <c r="B2543">
        <v>80</v>
      </c>
      <c r="C2543" s="2">
        <v>2301542.7121000001</v>
      </c>
      <c r="D2543" s="2">
        <v>0.7077</v>
      </c>
      <c r="E2543" s="3">
        <v>207363</v>
      </c>
      <c r="F2543" s="2">
        <v>146745.57029999999</v>
      </c>
      <c r="G2543" t="s">
        <v>1691</v>
      </c>
      <c r="H2543" t="s">
        <v>7</v>
      </c>
      <c r="I2543">
        <f>HLOOKUP(G2543,zip_tiers!$A$1:$EON$2,2,FALSE)</f>
        <v>47637.333333333336</v>
      </c>
      <c r="J2543" t="str">
        <f t="shared" si="39"/>
        <v>Med</v>
      </c>
      <c r="K2543">
        <f>dataset[[#This Row],[soda_sales]]/dataset[[#This Row],[soda_units_sold]]</f>
        <v>0.70767480360527191</v>
      </c>
      <c r="L2543" s="29">
        <f>dataset[[#This Row],[implied_soda_ppu]]-dataset[[#This Row],[soda_ppu]]</f>
        <v>-2.5196394728088656E-5</v>
      </c>
      <c r="M2543">
        <f>dataset[[#This Row],[soda_sales]]/dataset[[#This Row],[total_sales]]</f>
        <v>6.3759655438288487E-2</v>
      </c>
      <c r="N2543">
        <f>LN(dataset[[#This Row],[soda_units_sold]])</f>
        <v>12.242226159633985</v>
      </c>
      <c r="O2543">
        <f>LN(dataset[[#This Row],[soda_sales]])</f>
        <v>11.896455551885522</v>
      </c>
      <c r="P2543">
        <f>LN(dataset[[#This Row],[soda_ppu]])</f>
        <v>-0.34573500390039802</v>
      </c>
      <c r="Q2543">
        <f>IF(dataset[[#This Row],[state]]="VA",1,0)</f>
        <v>0</v>
      </c>
    </row>
    <row r="2544" spans="1:17" x14ac:dyDescent="0.35">
      <c r="A2544">
        <v>202311</v>
      </c>
      <c r="B2544">
        <v>80</v>
      </c>
      <c r="C2544" s="2">
        <v>2643347.1154999998</v>
      </c>
      <c r="D2544" s="2">
        <v>0.72629999999999995</v>
      </c>
      <c r="E2544" s="3">
        <v>192854</v>
      </c>
      <c r="F2544" s="2">
        <v>140067.0497</v>
      </c>
      <c r="G2544" t="s">
        <v>1691</v>
      </c>
      <c r="H2544" t="s">
        <v>7</v>
      </c>
      <c r="I2544">
        <f>HLOOKUP(G2544,zip_tiers!$A$1:$EON$2,2,FALSE)</f>
        <v>47637.333333333336</v>
      </c>
      <c r="J2544" t="str">
        <f t="shared" si="39"/>
        <v>Med</v>
      </c>
      <c r="K2544">
        <f>dataset[[#This Row],[soda_sales]]/dataset[[#This Row],[soda_units_sold]]</f>
        <v>0.72628542679954788</v>
      </c>
      <c r="L2544" s="29">
        <f>dataset[[#This Row],[implied_soda_ppu]]-dataset[[#This Row],[soda_ppu]]</f>
        <v>-1.4573200452061563E-5</v>
      </c>
      <c r="M2544">
        <f>dataset[[#This Row],[soda_sales]]/dataset[[#This Row],[total_sales]]</f>
        <v>5.2988519320326097E-2</v>
      </c>
      <c r="N2544">
        <f>LN(dataset[[#This Row],[soda_units_sold]])</f>
        <v>12.169688704930216</v>
      </c>
      <c r="O2544">
        <f>LN(dataset[[#This Row],[soda_sales]])</f>
        <v>11.849876513371354</v>
      </c>
      <c r="P2544">
        <f>LN(dataset[[#This Row],[soda_ppu]])</f>
        <v>-0.31979212637001464</v>
      </c>
      <c r="Q2544">
        <f>IF(dataset[[#This Row],[state]]="VA",1,0)</f>
        <v>0</v>
      </c>
    </row>
    <row r="2545" spans="1:17" x14ac:dyDescent="0.35">
      <c r="A2545">
        <v>202312</v>
      </c>
      <c r="B2545">
        <v>80</v>
      </c>
      <c r="C2545" s="2">
        <v>2728172.7368000001</v>
      </c>
      <c r="D2545" s="2">
        <v>0.73319999999999996</v>
      </c>
      <c r="E2545" s="3">
        <v>186609</v>
      </c>
      <c r="F2545" s="2">
        <v>136827.76990000001</v>
      </c>
      <c r="G2545" t="s">
        <v>1691</v>
      </c>
      <c r="H2545" t="s">
        <v>7</v>
      </c>
      <c r="I2545">
        <f>HLOOKUP(G2545,zip_tiers!$A$1:$EON$2,2,FALSE)</f>
        <v>47637.333333333336</v>
      </c>
      <c r="J2545" t="str">
        <f t="shared" si="39"/>
        <v>Med</v>
      </c>
      <c r="K2545">
        <f>dataset[[#This Row],[soda_sales]]/dataset[[#This Row],[soda_units_sold]]</f>
        <v>0.73323242662465371</v>
      </c>
      <c r="L2545" s="29">
        <f>dataset[[#This Row],[implied_soda_ppu]]-dataset[[#This Row],[soda_ppu]]</f>
        <v>3.242662465374746E-5</v>
      </c>
      <c r="M2545">
        <f>dataset[[#This Row],[soda_sales]]/dataset[[#This Row],[total_sales]]</f>
        <v>5.0153631423093696E-2</v>
      </c>
      <c r="N2545">
        <f>LN(dataset[[#This Row],[soda_units_sold]])</f>
        <v>12.136770797743532</v>
      </c>
      <c r="O2545">
        <f>LN(dataset[[#This Row],[soda_sales]])</f>
        <v>11.826478259914646</v>
      </c>
      <c r="P2545">
        <f>LN(dataset[[#This Row],[soda_ppu]])</f>
        <v>-0.31033676301658714</v>
      </c>
      <c r="Q2545">
        <f>IF(dataset[[#This Row],[state]]="VA",1,0)</f>
        <v>0</v>
      </c>
    </row>
    <row r="2546" spans="1:17" x14ac:dyDescent="0.35">
      <c r="A2546">
        <v>202401</v>
      </c>
      <c r="B2546">
        <v>80</v>
      </c>
      <c r="C2546" s="2">
        <v>1587453.2504</v>
      </c>
      <c r="D2546" s="2">
        <v>0.75480000000000003</v>
      </c>
      <c r="E2546" s="3">
        <v>131961</v>
      </c>
      <c r="F2546" s="2">
        <v>99600.156400000007</v>
      </c>
      <c r="G2546" t="s">
        <v>1691</v>
      </c>
      <c r="H2546" t="s">
        <v>7</v>
      </c>
      <c r="I2546">
        <f>HLOOKUP(G2546,zip_tiers!$A$1:$EON$2,2,FALSE)</f>
        <v>47637.333333333336</v>
      </c>
      <c r="J2546" t="str">
        <f t="shared" si="39"/>
        <v>Med</v>
      </c>
      <c r="K2546">
        <f>dataset[[#This Row],[soda_sales]]/dataset[[#This Row],[soda_units_sold]]</f>
        <v>0.7547696395147051</v>
      </c>
      <c r="L2546" s="29">
        <f>dataset[[#This Row],[implied_soda_ppu]]-dataset[[#This Row],[soda_ppu]]</f>
        <v>-3.0360485294922412E-5</v>
      </c>
      <c r="M2546">
        <f>dataset[[#This Row],[soda_sales]]/dataset[[#This Row],[total_sales]]</f>
        <v>6.2742103665039059E-2</v>
      </c>
      <c r="N2546">
        <f>LN(dataset[[#This Row],[soda_units_sold]])</f>
        <v>11.79026170336776</v>
      </c>
      <c r="O2546">
        <f>LN(dataset[[#This Row],[soda_sales]])</f>
        <v>11.508919013852582</v>
      </c>
      <c r="P2546">
        <f>LN(dataset[[#This Row],[soda_ppu]])</f>
        <v>-0.28130246548774185</v>
      </c>
      <c r="Q2546">
        <f>IF(dataset[[#This Row],[state]]="VA",1,0)</f>
        <v>0</v>
      </c>
    </row>
    <row r="2547" spans="1:17" x14ac:dyDescent="0.35">
      <c r="A2547">
        <v>202402</v>
      </c>
      <c r="B2547">
        <v>80</v>
      </c>
      <c r="C2547" s="2">
        <v>1780359.409</v>
      </c>
      <c r="D2547" s="2">
        <v>0.75</v>
      </c>
      <c r="E2547" s="3">
        <v>152484</v>
      </c>
      <c r="F2547" s="2">
        <v>114355.44869999999</v>
      </c>
      <c r="G2547" t="s">
        <v>1691</v>
      </c>
      <c r="H2547" t="s">
        <v>7</v>
      </c>
      <c r="I2547">
        <f>HLOOKUP(G2547,zip_tiers!$A$1:$EON$2,2,FALSE)</f>
        <v>47637.333333333336</v>
      </c>
      <c r="J2547" t="str">
        <f t="shared" si="39"/>
        <v>Med</v>
      </c>
      <c r="K2547">
        <f>dataset[[#This Row],[soda_sales]]/dataset[[#This Row],[soda_units_sold]]</f>
        <v>0.74995047808294635</v>
      </c>
      <c r="L2547" s="29">
        <f>dataset[[#This Row],[implied_soda_ppu]]-dataset[[#This Row],[soda_ppu]]</f>
        <v>-4.9521917053652054E-5</v>
      </c>
      <c r="M2547">
        <f>dataset[[#This Row],[soda_sales]]/dataset[[#This Row],[total_sales]]</f>
        <v>6.4231664753709283E-2</v>
      </c>
      <c r="N2547">
        <f>LN(dataset[[#This Row],[soda_units_sold]])</f>
        <v>11.934814951492534</v>
      </c>
      <c r="O2547">
        <f>LN(dataset[[#This Row],[soda_sales]])</f>
        <v>11.647066847637991</v>
      </c>
      <c r="P2547">
        <f>LN(dataset[[#This Row],[soda_ppu]])</f>
        <v>-0.2876820724517809</v>
      </c>
      <c r="Q2547">
        <f>IF(dataset[[#This Row],[state]]="VA",1,0)</f>
        <v>0</v>
      </c>
    </row>
    <row r="2548" spans="1:17" x14ac:dyDescent="0.35">
      <c r="A2548">
        <v>202403</v>
      </c>
      <c r="B2548">
        <v>80</v>
      </c>
      <c r="C2548" s="2">
        <v>2048301.9176</v>
      </c>
      <c r="D2548" s="2">
        <v>0.75139999999999996</v>
      </c>
      <c r="E2548" s="3">
        <v>182361</v>
      </c>
      <c r="F2548" s="2">
        <v>137031.11670000001</v>
      </c>
      <c r="G2548" t="s">
        <v>1691</v>
      </c>
      <c r="H2548" t="s">
        <v>7</v>
      </c>
      <c r="I2548">
        <f>HLOOKUP(G2548,zip_tiers!$A$1:$EON$2,2,FALSE)</f>
        <v>47637.333333333336</v>
      </c>
      <c r="J2548" t="str">
        <f t="shared" si="39"/>
        <v>Med</v>
      </c>
      <c r="K2548">
        <f>dataset[[#This Row],[soda_sales]]/dataset[[#This Row],[soda_units_sold]]</f>
        <v>0.75142775428956854</v>
      </c>
      <c r="L2548" s="29">
        <f>dataset[[#This Row],[implied_soda_ppu]]-dataset[[#This Row],[soda_ppu]]</f>
        <v>2.775428956858228E-5</v>
      </c>
      <c r="M2548">
        <f>dataset[[#This Row],[soda_sales]]/dataset[[#This Row],[total_sales]]</f>
        <v>6.6899862526399276E-2</v>
      </c>
      <c r="N2548">
        <f>LN(dataset[[#This Row],[soda_units_sold]])</f>
        <v>12.11374351797104</v>
      </c>
      <c r="O2548">
        <f>LN(dataset[[#This Row],[soda_sales]])</f>
        <v>11.827963308217411</v>
      </c>
      <c r="P2548">
        <f>LN(dataset[[#This Row],[soda_ppu]])</f>
        <v>-0.28581714584226858</v>
      </c>
      <c r="Q2548">
        <f>IF(dataset[[#This Row],[state]]="VA",1,0)</f>
        <v>0</v>
      </c>
    </row>
    <row r="2549" spans="1:17" x14ac:dyDescent="0.35">
      <c r="A2549">
        <v>202404</v>
      </c>
      <c r="B2549">
        <v>80</v>
      </c>
      <c r="C2549" s="2">
        <v>2162463.7620000001</v>
      </c>
      <c r="D2549" s="2">
        <v>0.74</v>
      </c>
      <c r="E2549" s="3">
        <v>221723</v>
      </c>
      <c r="F2549" s="2">
        <v>164085.72169999999</v>
      </c>
      <c r="G2549" t="s">
        <v>1691</v>
      </c>
      <c r="H2549" t="s">
        <v>7</v>
      </c>
      <c r="I2549">
        <f>HLOOKUP(G2549,zip_tiers!$A$1:$EON$2,2,FALSE)</f>
        <v>47637.333333333336</v>
      </c>
      <c r="J2549" t="str">
        <f t="shared" si="39"/>
        <v>Med</v>
      </c>
      <c r="K2549">
        <f>dataset[[#This Row],[soda_sales]]/dataset[[#This Row],[soda_units_sold]]</f>
        <v>0.74004826607974816</v>
      </c>
      <c r="L2549" s="29">
        <f>dataset[[#This Row],[implied_soda_ppu]]-dataset[[#This Row],[soda_ppu]]</f>
        <v>4.8266079748171542E-5</v>
      </c>
      <c r="M2549">
        <f>dataset[[#This Row],[soda_sales]]/dataset[[#This Row],[total_sales]]</f>
        <v>7.587906192159348E-2</v>
      </c>
      <c r="N2549">
        <f>LN(dataset[[#This Row],[soda_units_sold]])</f>
        <v>12.309184134021312</v>
      </c>
      <c r="O2549">
        <f>LN(dataset[[#This Row],[soda_sales]])</f>
        <v>12.008144263542462</v>
      </c>
      <c r="P2549">
        <f>LN(dataset[[#This Row],[soda_ppu]])</f>
        <v>-0.30110509278392161</v>
      </c>
      <c r="Q2549">
        <f>IF(dataset[[#This Row],[state]]="VA",1,0)</f>
        <v>0</v>
      </c>
    </row>
    <row r="2550" spans="1:17" x14ac:dyDescent="0.35">
      <c r="A2550">
        <v>202405</v>
      </c>
      <c r="B2550">
        <v>80</v>
      </c>
      <c r="C2550" s="2">
        <v>2259851.3506999998</v>
      </c>
      <c r="D2550" s="2">
        <v>0.73480000000000001</v>
      </c>
      <c r="E2550" s="3">
        <v>246865</v>
      </c>
      <c r="F2550" s="2">
        <v>181407.80679999999</v>
      </c>
      <c r="G2550" t="s">
        <v>1691</v>
      </c>
      <c r="H2550" t="s">
        <v>7</v>
      </c>
      <c r="I2550">
        <f>HLOOKUP(G2550,zip_tiers!$A$1:$EON$2,2,FALSE)</f>
        <v>47637.333333333336</v>
      </c>
      <c r="J2550" t="str">
        <f t="shared" si="39"/>
        <v>Med</v>
      </c>
      <c r="K2550">
        <f>dataset[[#This Row],[soda_sales]]/dataset[[#This Row],[soda_units_sold]]</f>
        <v>0.73484619852956068</v>
      </c>
      <c r="L2550" s="29">
        <f>dataset[[#This Row],[implied_soda_ppu]]-dataset[[#This Row],[soda_ppu]]</f>
        <v>4.6198529560670387E-5</v>
      </c>
      <c r="M2550">
        <f>dataset[[#This Row],[soda_sales]]/dataset[[#This Row],[total_sales]]</f>
        <v>8.0274221020691497E-2</v>
      </c>
      <c r="N2550">
        <f>LN(dataset[[#This Row],[soda_units_sold]])</f>
        <v>12.416596907488007</v>
      </c>
      <c r="O2550">
        <f>LN(dataset[[#This Row],[soda_sales]])</f>
        <v>12.108502852120816</v>
      </c>
      <c r="P2550">
        <f>LN(dataset[[#This Row],[soda_ppu]])</f>
        <v>-0.30815692564116648</v>
      </c>
      <c r="Q2550">
        <f>IF(dataset[[#This Row],[state]]="VA",1,0)</f>
        <v>0</v>
      </c>
    </row>
    <row r="2551" spans="1:17" x14ac:dyDescent="0.35">
      <c r="A2551">
        <v>202406</v>
      </c>
      <c r="B2551">
        <v>80</v>
      </c>
      <c r="C2551" s="2">
        <v>2152811.7949000001</v>
      </c>
      <c r="D2551" s="2">
        <v>0.74170000000000003</v>
      </c>
      <c r="E2551" s="3">
        <v>254515</v>
      </c>
      <c r="F2551" s="2">
        <v>188761.34349999999</v>
      </c>
      <c r="G2551" t="s">
        <v>1691</v>
      </c>
      <c r="H2551" t="s">
        <v>7</v>
      </c>
      <c r="I2551">
        <f>HLOOKUP(G2551,zip_tiers!$A$1:$EON$2,2,FALSE)</f>
        <v>47637.333333333336</v>
      </c>
      <c r="J2551" t="str">
        <f t="shared" si="39"/>
        <v>Med</v>
      </c>
      <c r="K2551">
        <f>dataset[[#This Row],[soda_sales]]/dataset[[#This Row],[soda_units_sold]]</f>
        <v>0.74165115415594363</v>
      </c>
      <c r="L2551" s="29">
        <f>dataset[[#This Row],[implied_soda_ppu]]-dataset[[#This Row],[soda_ppu]]</f>
        <v>-4.8845844056399912E-5</v>
      </c>
      <c r="M2551">
        <f>dataset[[#This Row],[soda_sales]]/dataset[[#This Row],[total_sales]]</f>
        <v>8.7681303097267779E-2</v>
      </c>
      <c r="N2551">
        <f>LN(dataset[[#This Row],[soda_units_sold]])</f>
        <v>12.447115052332141</v>
      </c>
      <c r="O2551">
        <f>LN(dataset[[#This Row],[soda_sales]])</f>
        <v>12.148238763318703</v>
      </c>
      <c r="P2551">
        <f>LN(dataset[[#This Row],[soda_ppu]])</f>
        <v>-0.29881043023962461</v>
      </c>
      <c r="Q2551">
        <f>IF(dataset[[#This Row],[state]]="VA",1,0)</f>
        <v>0</v>
      </c>
    </row>
    <row r="2552" spans="1:17" x14ac:dyDescent="0.35">
      <c r="A2552">
        <v>202407</v>
      </c>
      <c r="B2552">
        <v>80</v>
      </c>
      <c r="C2552" s="2">
        <v>2005834.7774</v>
      </c>
      <c r="D2552" s="2">
        <v>0.74219999999999997</v>
      </c>
      <c r="E2552" s="3">
        <v>252497</v>
      </c>
      <c r="F2552" s="2">
        <v>187409.97</v>
      </c>
      <c r="G2552" t="s">
        <v>1691</v>
      </c>
      <c r="H2552" t="s">
        <v>7</v>
      </c>
      <c r="I2552">
        <f>HLOOKUP(G2552,zip_tiers!$A$1:$EON$2,2,FALSE)</f>
        <v>47637.333333333336</v>
      </c>
      <c r="J2552" t="str">
        <f t="shared" si="39"/>
        <v>Med</v>
      </c>
      <c r="K2552">
        <f>dataset[[#This Row],[soda_sales]]/dataset[[#This Row],[soda_units_sold]]</f>
        <v>0.74222652150322577</v>
      </c>
      <c r="L2552" s="29">
        <f>dataset[[#This Row],[implied_soda_ppu]]-dataset[[#This Row],[soda_ppu]]</f>
        <v>2.6521503225795939E-5</v>
      </c>
      <c r="M2552">
        <f>dataset[[#This Row],[soda_sales]]/dataset[[#This Row],[total_sales]]</f>
        <v>9.3432406353490524E-2</v>
      </c>
      <c r="N2552">
        <f>LN(dataset[[#This Row],[soda_units_sold]])</f>
        <v>12.439154646438851</v>
      </c>
      <c r="O2552">
        <f>LN(dataset[[#This Row],[soda_sales]])</f>
        <v>12.141053849078876</v>
      </c>
      <c r="P2552">
        <f>LN(dataset[[#This Row],[soda_ppu]])</f>
        <v>-0.29813653035563986</v>
      </c>
      <c r="Q2552">
        <f>IF(dataset[[#This Row],[state]]="VA",1,0)</f>
        <v>0</v>
      </c>
    </row>
    <row r="2553" spans="1:17" x14ac:dyDescent="0.35">
      <c r="A2553">
        <v>202408</v>
      </c>
      <c r="B2553">
        <v>80</v>
      </c>
      <c r="C2553" s="2">
        <v>1914891.1765999999</v>
      </c>
      <c r="D2553" s="2">
        <v>0.78469999999999995</v>
      </c>
      <c r="E2553" s="3">
        <v>208199</v>
      </c>
      <c r="F2553" s="2">
        <v>163374.8927</v>
      </c>
      <c r="G2553" t="s">
        <v>1691</v>
      </c>
      <c r="H2553" t="s">
        <v>7</v>
      </c>
      <c r="I2553">
        <f>HLOOKUP(G2553,zip_tiers!$A$1:$EON$2,2,FALSE)</f>
        <v>47637.333333333336</v>
      </c>
      <c r="J2553" t="str">
        <f t="shared" si="39"/>
        <v>Med</v>
      </c>
      <c r="K2553">
        <f>dataset[[#This Row],[soda_sales]]/dataset[[#This Row],[soda_units_sold]]</f>
        <v>0.78470546304256983</v>
      </c>
      <c r="L2553" s="29">
        <f>dataset[[#This Row],[implied_soda_ppu]]-dataset[[#This Row],[soda_ppu]]</f>
        <v>5.4630425698753982E-6</v>
      </c>
      <c r="M2553">
        <f>dataset[[#This Row],[soda_sales]]/dataset[[#This Row],[total_sales]]</f>
        <v>8.5318108254110597E-2</v>
      </c>
      <c r="N2553">
        <f>LN(dataset[[#This Row],[soda_units_sold]])</f>
        <v>12.246249632077504</v>
      </c>
      <c r="O2553">
        <f>LN(dataset[[#This Row],[soda_sales]])</f>
        <v>12.003802794155076</v>
      </c>
      <c r="P2553">
        <f>LN(dataset[[#This Row],[soda_ppu]])</f>
        <v>-0.24245379984870957</v>
      </c>
      <c r="Q2553">
        <f>IF(dataset[[#This Row],[state]]="VA",1,0)</f>
        <v>0</v>
      </c>
    </row>
    <row r="2554" spans="1:17" x14ac:dyDescent="0.35">
      <c r="A2554">
        <v>202409</v>
      </c>
      <c r="B2554">
        <v>80</v>
      </c>
      <c r="C2554" s="2">
        <v>1931477.0301999999</v>
      </c>
      <c r="D2554" s="2">
        <v>0.78500000000000003</v>
      </c>
      <c r="E2554" s="3">
        <v>197426</v>
      </c>
      <c r="F2554" s="2">
        <v>154973.11079999999</v>
      </c>
      <c r="G2554" t="s">
        <v>1691</v>
      </c>
      <c r="H2554" t="s">
        <v>7</v>
      </c>
      <c r="I2554">
        <f>HLOOKUP(G2554,zip_tiers!$A$1:$EON$2,2,FALSE)</f>
        <v>47637.333333333336</v>
      </c>
      <c r="J2554" t="str">
        <f t="shared" si="39"/>
        <v>Med</v>
      </c>
      <c r="K2554">
        <f>dataset[[#This Row],[soda_sales]]/dataset[[#This Row],[soda_units_sold]]</f>
        <v>0.78496809336156326</v>
      </c>
      <c r="L2554" s="29">
        <f>dataset[[#This Row],[implied_soda_ppu]]-dataset[[#This Row],[soda_ppu]]</f>
        <v>-3.1906638436773882E-5</v>
      </c>
      <c r="M2554">
        <f>dataset[[#This Row],[soda_sales]]/dataset[[#This Row],[total_sales]]</f>
        <v>8.0235544289104427E-2</v>
      </c>
      <c r="N2554">
        <f>LN(dataset[[#This Row],[soda_units_sold]])</f>
        <v>12.193119109567592</v>
      </c>
      <c r="O2554">
        <f>LN(dataset[[#This Row],[soda_sales]])</f>
        <v>11.951006902142534</v>
      </c>
      <c r="P2554">
        <f>LN(dataset[[#This Row],[soda_ppu]])</f>
        <v>-0.24207156119972859</v>
      </c>
      <c r="Q2554">
        <f>IF(dataset[[#This Row],[state]]="VA",1,0)</f>
        <v>0</v>
      </c>
    </row>
    <row r="2555" spans="1:17" x14ac:dyDescent="0.35">
      <c r="A2555">
        <v>202410</v>
      </c>
      <c r="B2555">
        <v>80</v>
      </c>
      <c r="C2555" s="2">
        <v>2352363.9064000002</v>
      </c>
      <c r="D2555" s="2">
        <v>0.79790000000000005</v>
      </c>
      <c r="E2555" s="3">
        <v>185058</v>
      </c>
      <c r="F2555" s="2">
        <v>147657.31150000001</v>
      </c>
      <c r="G2555" t="s">
        <v>1691</v>
      </c>
      <c r="H2555" t="s">
        <v>7</v>
      </c>
      <c r="I2555">
        <f>HLOOKUP(G2555,zip_tiers!$A$1:$EON$2,2,FALSE)</f>
        <v>47637.333333333336</v>
      </c>
      <c r="J2555" t="str">
        <f t="shared" si="39"/>
        <v>Med</v>
      </c>
      <c r="K2555">
        <f>dataset[[#This Row],[soda_sales]]/dataset[[#This Row],[soda_units_sold]]</f>
        <v>0.79789747808795086</v>
      </c>
      <c r="L2555" s="29">
        <f>dataset[[#This Row],[implied_soda_ppu]]-dataset[[#This Row],[soda_ppu]]</f>
        <v>-2.5219120491914992E-6</v>
      </c>
      <c r="M2555">
        <f>dataset[[#This Row],[soda_sales]]/dataset[[#This Row],[total_sales]]</f>
        <v>6.2769757305948096E-2</v>
      </c>
      <c r="N2555">
        <f>LN(dataset[[#This Row],[soda_units_sold]])</f>
        <v>12.128424568438883</v>
      </c>
      <c r="O2555">
        <f>LN(dataset[[#This Row],[soda_sales]])</f>
        <v>11.902649405079123</v>
      </c>
      <c r="P2555">
        <f>LN(dataset[[#This Row],[soda_ppu]])</f>
        <v>-0.22577200266790173</v>
      </c>
      <c r="Q2555">
        <f>IF(dataset[[#This Row],[state]]="VA",1,0)</f>
        <v>0</v>
      </c>
    </row>
    <row r="2556" spans="1:17" x14ac:dyDescent="0.35">
      <c r="A2556">
        <v>202411</v>
      </c>
      <c r="B2556">
        <v>80</v>
      </c>
      <c r="C2556" s="2">
        <v>2688712.8015000001</v>
      </c>
      <c r="D2556" s="2">
        <v>0.77280000000000004</v>
      </c>
      <c r="E2556" s="3">
        <v>182603</v>
      </c>
      <c r="F2556" s="2">
        <v>141120.00450000001</v>
      </c>
      <c r="G2556" t="s">
        <v>1691</v>
      </c>
      <c r="H2556" t="s">
        <v>7</v>
      </c>
      <c r="I2556">
        <f>HLOOKUP(G2556,zip_tiers!$A$1:$EON$2,2,FALSE)</f>
        <v>47637.333333333336</v>
      </c>
      <c r="J2556" t="str">
        <f t="shared" si="39"/>
        <v>Med</v>
      </c>
      <c r="K2556">
        <f>dataset[[#This Row],[soda_sales]]/dataset[[#This Row],[soda_units_sold]]</f>
        <v>0.77282412939546452</v>
      </c>
      <c r="L2556" s="29">
        <f>dataset[[#This Row],[implied_soda_ppu]]-dataset[[#This Row],[soda_ppu]]</f>
        <v>2.4129395464478343E-5</v>
      </c>
      <c r="M2556">
        <f>dataset[[#This Row],[soda_sales]]/dataset[[#This Row],[total_sales]]</f>
        <v>5.2486083460186184E-2</v>
      </c>
      <c r="N2556">
        <f>LN(dataset[[#This Row],[soda_units_sold]])</f>
        <v>12.115069676361824</v>
      </c>
      <c r="O2556">
        <f>LN(dataset[[#This Row],[soda_sales]])</f>
        <v>11.857365903128374</v>
      </c>
      <c r="P2556">
        <f>LN(dataset[[#This Row],[soda_ppu]])</f>
        <v>-0.25773499608382877</v>
      </c>
      <c r="Q2556">
        <f>IF(dataset[[#This Row],[state]]="VA",1,0)</f>
        <v>0</v>
      </c>
    </row>
    <row r="2557" spans="1:17" x14ac:dyDescent="0.35">
      <c r="A2557">
        <v>202412</v>
      </c>
      <c r="B2557">
        <v>80</v>
      </c>
      <c r="C2557" s="2">
        <v>2807692.5702</v>
      </c>
      <c r="D2557" s="2">
        <v>0.76900000000000002</v>
      </c>
      <c r="E2557" s="3">
        <v>180973</v>
      </c>
      <c r="F2557" s="2">
        <v>139170.06109999999</v>
      </c>
      <c r="G2557" t="s">
        <v>1691</v>
      </c>
      <c r="H2557" t="s">
        <v>7</v>
      </c>
      <c r="I2557">
        <f>HLOOKUP(G2557,zip_tiers!$A$1:$EON$2,2,FALSE)</f>
        <v>47637.333333333336</v>
      </c>
      <c r="J2557" t="str">
        <f t="shared" si="39"/>
        <v>Med</v>
      </c>
      <c r="K2557">
        <f>dataset[[#This Row],[soda_sales]]/dataset[[#This Row],[soda_units_sold]]</f>
        <v>0.76901007940410993</v>
      </c>
      <c r="L2557" s="29">
        <f>dataset[[#This Row],[implied_soda_ppu]]-dataset[[#This Row],[soda_ppu]]</f>
        <v>1.0079404109908374E-5</v>
      </c>
      <c r="M2557">
        <f>dataset[[#This Row],[soda_sales]]/dataset[[#This Row],[total_sales]]</f>
        <v>4.9567414387568259E-2</v>
      </c>
      <c r="N2557">
        <f>LN(dataset[[#This Row],[soda_units_sold]])</f>
        <v>12.106103127850105</v>
      </c>
      <c r="O2557">
        <f>LN(dataset[[#This Row],[soda_sales]])</f>
        <v>11.843451925445203</v>
      </c>
      <c r="P2557">
        <f>LN(dataset[[#This Row],[soda_ppu]])</f>
        <v>-0.26266430947649305</v>
      </c>
      <c r="Q2557">
        <f>IF(dataset[[#This Row],[state]]="VA",1,0)</f>
        <v>0</v>
      </c>
    </row>
    <row r="2558" spans="1:17" x14ac:dyDescent="0.35">
      <c r="A2558">
        <v>202201</v>
      </c>
      <c r="B2558">
        <v>18</v>
      </c>
      <c r="C2558" s="2">
        <v>1727107.2353999999</v>
      </c>
      <c r="D2558" s="2">
        <v>0.72689999999999999</v>
      </c>
      <c r="E2558" s="3">
        <v>142517</v>
      </c>
      <c r="F2558" s="2">
        <v>103595.66190000001</v>
      </c>
      <c r="G2558" t="s">
        <v>1784</v>
      </c>
      <c r="H2558" t="s">
        <v>7</v>
      </c>
      <c r="I2558">
        <f>HLOOKUP(G2558,zip_tiers!$A$1:$EON$2,2,FALSE)</f>
        <v>58152.666666666664</v>
      </c>
      <c r="J2558" t="str">
        <f t="shared" si="39"/>
        <v>Med</v>
      </c>
      <c r="K2558">
        <f>dataset[[#This Row],[soda_sales]]/dataset[[#This Row],[soda_units_sold]]</f>
        <v>0.72690038311219018</v>
      </c>
      <c r="L2558" s="29">
        <f>dataset[[#This Row],[implied_soda_ppu]]-dataset[[#This Row],[soda_ppu]]</f>
        <v>3.8311219019426801E-7</v>
      </c>
      <c r="M2558">
        <f>dataset[[#This Row],[soda_sales]]/dataset[[#This Row],[total_sales]]</f>
        <v>5.9982182794808998E-2</v>
      </c>
      <c r="N2558">
        <f>LN(dataset[[#This Row],[soda_units_sold]])</f>
        <v>11.867216569820986</v>
      </c>
      <c r="O2558">
        <f>LN(dataset[[#This Row],[soda_sales]])</f>
        <v>11.548250734378675</v>
      </c>
      <c r="P2558">
        <f>LN(dataset[[#This Row],[soda_ppu]])</f>
        <v>-0.31896636249154731</v>
      </c>
      <c r="Q2558">
        <f>IF(dataset[[#This Row],[state]]="VA",1,0)</f>
        <v>0</v>
      </c>
    </row>
    <row r="2559" spans="1:17" x14ac:dyDescent="0.35">
      <c r="A2559">
        <v>202202</v>
      </c>
      <c r="B2559">
        <v>18</v>
      </c>
      <c r="C2559" s="2">
        <v>1965476.1862000001</v>
      </c>
      <c r="D2559" s="2">
        <v>0.74480000000000002</v>
      </c>
      <c r="E2559" s="3">
        <v>156286</v>
      </c>
      <c r="F2559" s="2">
        <v>116398.3317</v>
      </c>
      <c r="G2559" t="s">
        <v>1784</v>
      </c>
      <c r="H2559" t="s">
        <v>7</v>
      </c>
      <c r="I2559">
        <f>HLOOKUP(G2559,zip_tiers!$A$1:$EON$2,2,FALSE)</f>
        <v>58152.666666666664</v>
      </c>
      <c r="J2559" t="str">
        <f t="shared" si="39"/>
        <v>Med</v>
      </c>
      <c r="K2559">
        <f>dataset[[#This Row],[soda_sales]]/dataset[[#This Row],[soda_units_sold]]</f>
        <v>0.7447777260919084</v>
      </c>
      <c r="L2559" s="29">
        <f>dataset[[#This Row],[implied_soda_ppu]]-dataset[[#This Row],[soda_ppu]]</f>
        <v>-2.2273908091618999E-5</v>
      </c>
      <c r="M2559">
        <f>dataset[[#This Row],[soda_sales]]/dataset[[#This Row],[total_sales]]</f>
        <v>5.9221440848409086E-2</v>
      </c>
      <c r="N2559">
        <f>LN(dataset[[#This Row],[soda_units_sold]])</f>
        <v>11.959442941060644</v>
      </c>
      <c r="O2559">
        <f>LN(dataset[[#This Row],[soda_sales]])</f>
        <v>11.664773481702536</v>
      </c>
      <c r="P2559">
        <f>LN(dataset[[#This Row],[soda_ppu]])</f>
        <v>-0.29463955301927969</v>
      </c>
      <c r="Q2559">
        <f>IF(dataset[[#This Row],[state]]="VA",1,0)</f>
        <v>0</v>
      </c>
    </row>
    <row r="2560" spans="1:17" x14ac:dyDescent="0.35">
      <c r="A2560">
        <v>202203</v>
      </c>
      <c r="B2560">
        <v>18</v>
      </c>
      <c r="C2560" s="2">
        <v>2198356.3881000001</v>
      </c>
      <c r="D2560" s="2">
        <v>0.74380000000000002</v>
      </c>
      <c r="E2560" s="3">
        <v>184917</v>
      </c>
      <c r="F2560" s="2">
        <v>137536.11249999999</v>
      </c>
      <c r="G2560" t="s">
        <v>1784</v>
      </c>
      <c r="H2560" t="s">
        <v>7</v>
      </c>
      <c r="I2560">
        <f>HLOOKUP(G2560,zip_tiers!$A$1:$EON$2,2,FALSE)</f>
        <v>58152.666666666664</v>
      </c>
      <c r="J2560" t="str">
        <f t="shared" si="39"/>
        <v>Med</v>
      </c>
      <c r="K2560">
        <f>dataset[[#This Row],[soda_sales]]/dataset[[#This Row],[soda_units_sold]]</f>
        <v>0.74377213831070155</v>
      </c>
      <c r="L2560" s="29">
        <f>dataset[[#This Row],[implied_soda_ppu]]-dataset[[#This Row],[soda_ppu]]</f>
        <v>-2.786168929846955E-5</v>
      </c>
      <c r="M2560">
        <f>dataset[[#This Row],[soda_sales]]/dataset[[#This Row],[total_sales]]</f>
        <v>6.2563155475837101E-2</v>
      </c>
      <c r="N2560">
        <f>LN(dataset[[#This Row],[soda_units_sold]])</f>
        <v>12.127662354738895</v>
      </c>
      <c r="O2560">
        <f>LN(dataset[[#This Row],[soda_sales]])</f>
        <v>11.831641797969507</v>
      </c>
      <c r="P2560">
        <f>LN(dataset[[#This Row],[soda_ppu]])</f>
        <v>-0.29598309749116736</v>
      </c>
      <c r="Q2560">
        <f>IF(dataset[[#This Row],[state]]="VA",1,0)</f>
        <v>0</v>
      </c>
    </row>
    <row r="2561" spans="1:17" x14ac:dyDescent="0.35">
      <c r="A2561">
        <v>202204</v>
      </c>
      <c r="B2561">
        <v>18</v>
      </c>
      <c r="C2561" s="2">
        <v>2296150.3969999999</v>
      </c>
      <c r="D2561" s="2">
        <v>0.75249999999999995</v>
      </c>
      <c r="E2561" s="3">
        <v>209888</v>
      </c>
      <c r="F2561" s="2">
        <v>157948.60149999999</v>
      </c>
      <c r="G2561" t="s">
        <v>1784</v>
      </c>
      <c r="H2561" t="s">
        <v>7</v>
      </c>
      <c r="I2561">
        <f>HLOOKUP(G2561,zip_tiers!$A$1:$EON$2,2,FALSE)</f>
        <v>58152.666666666664</v>
      </c>
      <c r="J2561" t="str">
        <f t="shared" si="39"/>
        <v>Med</v>
      </c>
      <c r="K2561">
        <f>dataset[[#This Row],[soda_sales]]/dataset[[#This Row],[soda_units_sold]]</f>
        <v>0.75253755097956998</v>
      </c>
      <c r="L2561" s="29">
        <f>dataset[[#This Row],[implied_soda_ppu]]-dataset[[#This Row],[soda_ppu]]</f>
        <v>3.7550979570033505E-5</v>
      </c>
      <c r="M2561">
        <f>dataset[[#This Row],[soda_sales]]/dataset[[#This Row],[total_sales]]</f>
        <v>6.8788438991786133E-2</v>
      </c>
      <c r="N2561">
        <f>LN(dataset[[#This Row],[soda_units_sold]])</f>
        <v>12.254329334093462</v>
      </c>
      <c r="O2561">
        <f>LN(dataset[[#This Row],[soda_sales]])</f>
        <v>11.970024952123291</v>
      </c>
      <c r="P2561">
        <f>LN(dataset[[#This Row],[soda_ppu]])</f>
        <v>-0.28435428235910631</v>
      </c>
      <c r="Q2561">
        <f>IF(dataset[[#This Row],[state]]="VA",1,0)</f>
        <v>0</v>
      </c>
    </row>
    <row r="2562" spans="1:17" x14ac:dyDescent="0.35">
      <c r="A2562">
        <v>202205</v>
      </c>
      <c r="B2562">
        <v>18</v>
      </c>
      <c r="C2562" s="2">
        <v>2411142.8168000001</v>
      </c>
      <c r="D2562" s="2">
        <v>0.71650000000000003</v>
      </c>
      <c r="E2562" s="3">
        <v>247943</v>
      </c>
      <c r="F2562" s="2">
        <v>177639.93090000001</v>
      </c>
      <c r="G2562" t="s">
        <v>1784</v>
      </c>
      <c r="H2562" t="s">
        <v>7</v>
      </c>
      <c r="I2562">
        <f>HLOOKUP(G2562,zip_tiers!$A$1:$EON$2,2,FALSE)</f>
        <v>58152.666666666664</v>
      </c>
      <c r="J2562" t="str">
        <f t="shared" ref="J2562:J2625" si="40">IF(I2562="","No Data",IF(I2562&gt;=100000,"High",IF(I2562&gt;=40000,"Med","Low")))</f>
        <v>Med</v>
      </c>
      <c r="K2562">
        <f>dataset[[#This Row],[soda_sales]]/dataset[[#This Row],[soda_units_sold]]</f>
        <v>0.71645471297838614</v>
      </c>
      <c r="L2562" s="29">
        <f>dataset[[#This Row],[implied_soda_ppu]]-dataset[[#This Row],[soda_ppu]]</f>
        <v>-4.5287021613882317E-5</v>
      </c>
      <c r="M2562">
        <f>dataset[[#This Row],[soda_sales]]/dataset[[#This Row],[total_sales]]</f>
        <v>7.3674578570073521E-2</v>
      </c>
      <c r="N2562">
        <f>LN(dataset[[#This Row],[soda_units_sold]])</f>
        <v>12.420954160020477</v>
      </c>
      <c r="O2562">
        <f>LN(dataset[[#This Row],[soda_sales]])</f>
        <v>12.087513920416997</v>
      </c>
      <c r="P2562">
        <f>LN(dataset[[#This Row],[soda_ppu]])</f>
        <v>-0.33337703171391048</v>
      </c>
      <c r="Q2562">
        <f>IF(dataset[[#This Row],[state]]="VA",1,0)</f>
        <v>0</v>
      </c>
    </row>
    <row r="2563" spans="1:17" x14ac:dyDescent="0.35">
      <c r="A2563">
        <v>202206</v>
      </c>
      <c r="B2563">
        <v>18</v>
      </c>
      <c r="C2563" s="2">
        <v>2295316.6389000001</v>
      </c>
      <c r="D2563" s="2">
        <v>0.72119999999999995</v>
      </c>
      <c r="E2563" s="3">
        <v>252442</v>
      </c>
      <c r="F2563" s="2">
        <v>182070.77609999999</v>
      </c>
      <c r="G2563" t="s">
        <v>1784</v>
      </c>
      <c r="H2563" t="s">
        <v>7</v>
      </c>
      <c r="I2563">
        <f>HLOOKUP(G2563,zip_tiers!$A$1:$EON$2,2,FALSE)</f>
        <v>58152.666666666664</v>
      </c>
      <c r="J2563" t="str">
        <f t="shared" si="40"/>
        <v>Med</v>
      </c>
      <c r="K2563">
        <f>dataset[[#This Row],[soda_sales]]/dataset[[#This Row],[soda_units_sold]]</f>
        <v>0.72123805111669215</v>
      </c>
      <c r="L2563" s="29">
        <f>dataset[[#This Row],[implied_soda_ppu]]-dataset[[#This Row],[soda_ppu]]</f>
        <v>3.8051116692194853E-5</v>
      </c>
      <c r="M2563">
        <f>dataset[[#This Row],[soda_sales]]/dataset[[#This Row],[total_sales]]</f>
        <v>7.9322727424332606E-2</v>
      </c>
      <c r="N2563">
        <f>LN(dataset[[#This Row],[soda_units_sold]])</f>
        <v>12.438936798341487</v>
      </c>
      <c r="O2563">
        <f>LN(dataset[[#This Row],[soda_sales]])</f>
        <v>12.112150770135161</v>
      </c>
      <c r="P2563">
        <f>LN(dataset[[#This Row],[soda_ppu]])</f>
        <v>-0.32683878765297492</v>
      </c>
      <c r="Q2563">
        <f>IF(dataset[[#This Row],[state]]="VA",1,0)</f>
        <v>0</v>
      </c>
    </row>
    <row r="2564" spans="1:17" x14ac:dyDescent="0.35">
      <c r="A2564">
        <v>202207</v>
      </c>
      <c r="B2564">
        <v>18</v>
      </c>
      <c r="C2564" s="2">
        <v>2184913.9706000001</v>
      </c>
      <c r="D2564" s="2">
        <v>0.72919999999999996</v>
      </c>
      <c r="E2564" s="3">
        <v>256961</v>
      </c>
      <c r="F2564" s="2">
        <v>187388.07</v>
      </c>
      <c r="G2564" t="s">
        <v>1784</v>
      </c>
      <c r="H2564" t="s">
        <v>7</v>
      </c>
      <c r="I2564">
        <f>HLOOKUP(G2564,zip_tiers!$A$1:$EON$2,2,FALSE)</f>
        <v>58152.666666666664</v>
      </c>
      <c r="J2564" t="str">
        <f t="shared" si="40"/>
        <v>Med</v>
      </c>
      <c r="K2564">
        <f>dataset[[#This Row],[soda_sales]]/dataset[[#This Row],[soda_units_sold]]</f>
        <v>0.7292471231042843</v>
      </c>
      <c r="L2564" s="29">
        <f>dataset[[#This Row],[implied_soda_ppu]]-dataset[[#This Row],[soda_ppu]]</f>
        <v>4.7123104284341188E-5</v>
      </c>
      <c r="M2564">
        <f>dataset[[#This Row],[soda_sales]]/dataset[[#This Row],[total_sales]]</f>
        <v>8.5764507216978106E-2</v>
      </c>
      <c r="N2564">
        <f>LN(dataset[[#This Row],[soda_units_sold]])</f>
        <v>12.456679601389251</v>
      </c>
      <c r="O2564">
        <f>LN(dataset[[#This Row],[soda_sales]])</f>
        <v>12.140936986141039</v>
      </c>
      <c r="P2564">
        <f>LN(dataset[[#This Row],[soda_ppu]])</f>
        <v>-0.31580723617762912</v>
      </c>
      <c r="Q2564">
        <f>IF(dataset[[#This Row],[state]]="VA",1,0)</f>
        <v>0</v>
      </c>
    </row>
    <row r="2565" spans="1:17" x14ac:dyDescent="0.35">
      <c r="A2565">
        <v>202208</v>
      </c>
      <c r="B2565">
        <v>18</v>
      </c>
      <c r="C2565" s="2">
        <v>2060157.8348000001</v>
      </c>
      <c r="D2565" s="2">
        <v>0.75529999999999997</v>
      </c>
      <c r="E2565" s="3">
        <v>214826</v>
      </c>
      <c r="F2565" s="2">
        <v>162249.22029999999</v>
      </c>
      <c r="G2565" t="s">
        <v>1784</v>
      </c>
      <c r="H2565" t="s">
        <v>7</v>
      </c>
      <c r="I2565">
        <f>HLOOKUP(G2565,zip_tiers!$A$1:$EON$2,2,FALSE)</f>
        <v>58152.666666666664</v>
      </c>
      <c r="J2565" t="str">
        <f t="shared" si="40"/>
        <v>Med</v>
      </c>
      <c r="K2565">
        <f>dataset[[#This Row],[soda_sales]]/dataset[[#This Row],[soda_units_sold]]</f>
        <v>0.75525876895720256</v>
      </c>
      <c r="L2565" s="29">
        <f>dataset[[#This Row],[implied_soda_ppu]]-dataset[[#This Row],[soda_ppu]]</f>
        <v>-4.1231042797407191E-5</v>
      </c>
      <c r="M2565">
        <f>dataset[[#This Row],[soda_sales]]/dataset[[#This Row],[total_sales]]</f>
        <v>7.8755723255422863E-2</v>
      </c>
      <c r="N2565">
        <f>LN(dataset[[#This Row],[soda_units_sold]])</f>
        <v>12.277583677122294</v>
      </c>
      <c r="O2565">
        <f>LN(dataset[[#This Row],[soda_sales]])</f>
        <v>11.996888829007794</v>
      </c>
      <c r="P2565">
        <f>LN(dataset[[#This Row],[soda_ppu]])</f>
        <v>-0.28064025766273482</v>
      </c>
      <c r="Q2565">
        <f>IF(dataset[[#This Row],[state]]="VA",1,0)</f>
        <v>0</v>
      </c>
    </row>
    <row r="2566" spans="1:17" x14ac:dyDescent="0.35">
      <c r="A2566">
        <v>202209</v>
      </c>
      <c r="B2566">
        <v>18</v>
      </c>
      <c r="C2566" s="2">
        <v>2063560.3119999999</v>
      </c>
      <c r="D2566" s="2">
        <v>0.75349999999999995</v>
      </c>
      <c r="E2566" s="3">
        <v>207638</v>
      </c>
      <c r="F2566" s="2">
        <v>156448.62659999999</v>
      </c>
      <c r="G2566" t="s">
        <v>1784</v>
      </c>
      <c r="H2566" t="s">
        <v>7</v>
      </c>
      <c r="I2566">
        <f>HLOOKUP(G2566,zip_tiers!$A$1:$EON$2,2,FALSE)</f>
        <v>58152.666666666664</v>
      </c>
      <c r="J2566" t="str">
        <f t="shared" si="40"/>
        <v>Med</v>
      </c>
      <c r="K2566">
        <f>dataset[[#This Row],[soda_sales]]/dataset[[#This Row],[soda_units_sold]]</f>
        <v>0.753468183087874</v>
      </c>
      <c r="L2566" s="29">
        <f>dataset[[#This Row],[implied_soda_ppu]]-dataset[[#This Row],[soda_ppu]]</f>
        <v>-3.1816912125948171E-5</v>
      </c>
      <c r="M2566">
        <f>dataset[[#This Row],[soda_sales]]/dataset[[#This Row],[total_sales]]</f>
        <v>7.5814903829183544E-2</v>
      </c>
      <c r="N2566">
        <f>LN(dataset[[#This Row],[soda_units_sold]])</f>
        <v>12.243551457839295</v>
      </c>
      <c r="O2566">
        <f>LN(dataset[[#This Row],[soda_sales]])</f>
        <v>11.960482970535006</v>
      </c>
      <c r="P2566">
        <f>LN(dataset[[#This Row],[soda_ppu]])</f>
        <v>-0.28302626091558697</v>
      </c>
      <c r="Q2566">
        <f>IF(dataset[[#This Row],[state]]="VA",1,0)</f>
        <v>0</v>
      </c>
    </row>
    <row r="2567" spans="1:17" x14ac:dyDescent="0.35">
      <c r="A2567">
        <v>202210</v>
      </c>
      <c r="B2567">
        <v>18</v>
      </c>
      <c r="C2567" s="2">
        <v>2557579.1531000002</v>
      </c>
      <c r="D2567" s="2">
        <v>0.73019999999999996</v>
      </c>
      <c r="E2567" s="3">
        <v>212352</v>
      </c>
      <c r="F2567" s="2">
        <v>155062.11749999999</v>
      </c>
      <c r="G2567" t="s">
        <v>1784</v>
      </c>
      <c r="H2567" t="s">
        <v>7</v>
      </c>
      <c r="I2567">
        <f>HLOOKUP(G2567,zip_tiers!$A$1:$EON$2,2,FALSE)</f>
        <v>58152.666666666664</v>
      </c>
      <c r="J2567" t="str">
        <f t="shared" si="40"/>
        <v>Med</v>
      </c>
      <c r="K2567">
        <f>dataset[[#This Row],[soda_sales]]/dataset[[#This Row],[soda_units_sold]]</f>
        <v>0.73021265398960211</v>
      </c>
      <c r="L2567" s="29">
        <f>dataset[[#This Row],[implied_soda_ppu]]-dataset[[#This Row],[soda_ppu]]</f>
        <v>1.2653989602151583E-5</v>
      </c>
      <c r="M2567">
        <f>dataset[[#This Row],[soda_sales]]/dataset[[#This Row],[total_sales]]</f>
        <v>6.0628472558533215E-2</v>
      </c>
      <c r="N2567">
        <f>LN(dataset[[#This Row],[soda_units_sold]])</f>
        <v>12.266000554110061</v>
      </c>
      <c r="O2567">
        <f>LN(dataset[[#This Row],[soda_sales]])</f>
        <v>11.951581073683835</v>
      </c>
      <c r="P2567">
        <f>LN(dataset[[#This Row],[soda_ppu]])</f>
        <v>-0.31443680976060062</v>
      </c>
      <c r="Q2567">
        <f>IF(dataset[[#This Row],[state]]="VA",1,0)</f>
        <v>0</v>
      </c>
    </row>
    <row r="2568" spans="1:17" x14ac:dyDescent="0.35">
      <c r="A2568">
        <v>202211</v>
      </c>
      <c r="B2568">
        <v>18</v>
      </c>
      <c r="C2568" s="2">
        <v>2928498.9037000001</v>
      </c>
      <c r="D2568" s="2">
        <v>0.73180000000000001</v>
      </c>
      <c r="E2568" s="3">
        <v>198584</v>
      </c>
      <c r="F2568" s="2">
        <v>145330.34849999999</v>
      </c>
      <c r="G2568" t="s">
        <v>1784</v>
      </c>
      <c r="H2568" t="s">
        <v>7</v>
      </c>
      <c r="I2568">
        <f>HLOOKUP(G2568,zip_tiers!$A$1:$EON$2,2,FALSE)</f>
        <v>58152.666666666664</v>
      </c>
      <c r="J2568" t="str">
        <f t="shared" si="40"/>
        <v>Med</v>
      </c>
      <c r="K2568">
        <f>dataset[[#This Row],[soda_sales]]/dataset[[#This Row],[soda_units_sold]]</f>
        <v>0.73183312099665632</v>
      </c>
      <c r="L2568" s="29">
        <f>dataset[[#This Row],[implied_soda_ppu]]-dataset[[#This Row],[soda_ppu]]</f>
        <v>3.3120996656310631E-5</v>
      </c>
      <c r="M2568">
        <f>dataset[[#This Row],[soda_sales]]/dataset[[#This Row],[total_sales]]</f>
        <v>4.962622602193327E-2</v>
      </c>
      <c r="N2568">
        <f>LN(dataset[[#This Row],[soda_units_sold]])</f>
        <v>12.198967463400127</v>
      </c>
      <c r="O2568">
        <f>LN(dataset[[#This Row],[soda_sales]])</f>
        <v>11.88676469560812</v>
      </c>
      <c r="P2568">
        <f>LN(dataset[[#This Row],[soda_ppu]])</f>
        <v>-0.31224802639703059</v>
      </c>
      <c r="Q2568">
        <f>IF(dataset[[#This Row],[state]]="VA",1,0)</f>
        <v>0</v>
      </c>
    </row>
    <row r="2569" spans="1:17" x14ac:dyDescent="0.35">
      <c r="A2569">
        <v>202212</v>
      </c>
      <c r="B2569">
        <v>18</v>
      </c>
      <c r="C2569" s="2">
        <v>3019577.1222000001</v>
      </c>
      <c r="D2569" s="2">
        <v>0.75760000000000005</v>
      </c>
      <c r="E2569" s="3">
        <v>183815</v>
      </c>
      <c r="F2569" s="2">
        <v>139257.783</v>
      </c>
      <c r="G2569" t="s">
        <v>1784</v>
      </c>
      <c r="H2569" t="s">
        <v>7</v>
      </c>
      <c r="I2569">
        <f>HLOOKUP(G2569,zip_tiers!$A$1:$EON$2,2,FALSE)</f>
        <v>58152.666666666664</v>
      </c>
      <c r="J2569" t="str">
        <f t="shared" si="40"/>
        <v>Med</v>
      </c>
      <c r="K2569">
        <f>dataset[[#This Row],[soda_sales]]/dataset[[#This Row],[soda_units_sold]]</f>
        <v>0.7575974920436308</v>
      </c>
      <c r="L2569" s="29">
        <f>dataset[[#This Row],[implied_soda_ppu]]-dataset[[#This Row],[soda_ppu]]</f>
        <v>-2.5079563692465001E-6</v>
      </c>
      <c r="M2569">
        <f>dataset[[#This Row],[soda_sales]]/dataset[[#This Row],[total_sales]]</f>
        <v>4.6118306426477268E-2</v>
      </c>
      <c r="N2569">
        <f>LN(dataset[[#This Row],[soda_units_sold]])</f>
        <v>12.12168509601991</v>
      </c>
      <c r="O2569">
        <f>LN(dataset[[#This Row],[soda_sales]])</f>
        <v>11.844082048507687</v>
      </c>
      <c r="P2569">
        <f>LN(dataset[[#This Row],[soda_ppu]])</f>
        <v>-0.27759973711026847</v>
      </c>
      <c r="Q2569">
        <f>IF(dataset[[#This Row],[state]]="VA",1,0)</f>
        <v>0</v>
      </c>
    </row>
    <row r="2570" spans="1:17" x14ac:dyDescent="0.35">
      <c r="A2570">
        <v>202301</v>
      </c>
      <c r="B2570">
        <v>18</v>
      </c>
      <c r="C2570" s="2">
        <v>1744464.2106999999</v>
      </c>
      <c r="D2570" s="2">
        <v>0.72470000000000001</v>
      </c>
      <c r="E2570" s="3">
        <v>145177</v>
      </c>
      <c r="F2570" s="2">
        <v>105209.8674</v>
      </c>
      <c r="G2570" t="s">
        <v>1784</v>
      </c>
      <c r="H2570" t="s">
        <v>7</v>
      </c>
      <c r="I2570">
        <f>HLOOKUP(G2570,zip_tiers!$A$1:$EON$2,2,FALSE)</f>
        <v>58152.666666666664</v>
      </c>
      <c r="J2570" t="str">
        <f t="shared" si="40"/>
        <v>Med</v>
      </c>
      <c r="K2570">
        <f>dataset[[#This Row],[soda_sales]]/dataset[[#This Row],[soda_units_sold]]</f>
        <v>0.72470065781769843</v>
      </c>
      <c r="L2570" s="29">
        <f>dataset[[#This Row],[implied_soda_ppu]]-dataset[[#This Row],[soda_ppu]]</f>
        <v>6.5781769842399029E-7</v>
      </c>
      <c r="M2570">
        <f>dataset[[#This Row],[soda_sales]]/dataset[[#This Row],[total_sales]]</f>
        <v>6.0310705576345706E-2</v>
      </c>
      <c r="N2570">
        <f>LN(dataset[[#This Row],[soda_units_sold]])</f>
        <v>11.885708966622023</v>
      </c>
      <c r="O2570">
        <f>LN(dataset[[#This Row],[soda_sales]])</f>
        <v>11.563712371465069</v>
      </c>
      <c r="P2570">
        <f>LN(dataset[[#This Row],[soda_ppu]])</f>
        <v>-0.32199750286690132</v>
      </c>
      <c r="Q2570">
        <f>IF(dataset[[#This Row],[state]]="VA",1,0)</f>
        <v>0</v>
      </c>
    </row>
    <row r="2571" spans="1:17" x14ac:dyDescent="0.35">
      <c r="A2571">
        <v>202302</v>
      </c>
      <c r="B2571">
        <v>18</v>
      </c>
      <c r="C2571" s="2">
        <v>1960471.8694</v>
      </c>
      <c r="D2571" s="2">
        <v>0.74099999999999999</v>
      </c>
      <c r="E2571" s="3">
        <v>161586</v>
      </c>
      <c r="F2571" s="2">
        <v>119736.5197</v>
      </c>
      <c r="G2571" t="s">
        <v>1784</v>
      </c>
      <c r="H2571" t="s">
        <v>7</v>
      </c>
      <c r="I2571">
        <f>HLOOKUP(G2571,zip_tiers!$A$1:$EON$2,2,FALSE)</f>
        <v>58152.666666666664</v>
      </c>
      <c r="J2571" t="str">
        <f t="shared" si="40"/>
        <v>Med</v>
      </c>
      <c r="K2571">
        <f>dataset[[#This Row],[soda_sales]]/dataset[[#This Row],[soda_units_sold]]</f>
        <v>0.74100800626291885</v>
      </c>
      <c r="L2571" s="29">
        <f>dataset[[#This Row],[implied_soda_ppu]]-dataset[[#This Row],[soda_ppu]]</f>
        <v>8.006262918858198E-6</v>
      </c>
      <c r="M2571">
        <f>dataset[[#This Row],[soda_sales]]/dataset[[#This Row],[total_sales]]</f>
        <v>6.1075357197879723E-2</v>
      </c>
      <c r="N2571">
        <f>LN(dataset[[#This Row],[soda_units_sold]])</f>
        <v>11.992792787652853</v>
      </c>
      <c r="O2571">
        <f>LN(dataset[[#This Row],[soda_sales]])</f>
        <v>11.693048938581738</v>
      </c>
      <c r="P2571">
        <f>LN(dataset[[#This Row],[soda_ppu]])</f>
        <v>-0.2997546536860502</v>
      </c>
      <c r="Q2571">
        <f>IF(dataset[[#This Row],[state]]="VA",1,0)</f>
        <v>0</v>
      </c>
    </row>
    <row r="2572" spans="1:17" x14ac:dyDescent="0.35">
      <c r="A2572">
        <v>202303</v>
      </c>
      <c r="B2572">
        <v>18</v>
      </c>
      <c r="C2572" s="2">
        <v>2217471.3953999998</v>
      </c>
      <c r="D2572" s="2">
        <v>0.749</v>
      </c>
      <c r="E2572" s="3">
        <v>188965</v>
      </c>
      <c r="F2572" s="2">
        <v>141532.70420000001</v>
      </c>
      <c r="G2572" t="s">
        <v>1784</v>
      </c>
      <c r="H2572" t="s">
        <v>7</v>
      </c>
      <c r="I2572">
        <f>HLOOKUP(G2572,zip_tiers!$A$1:$EON$2,2,FALSE)</f>
        <v>58152.666666666664</v>
      </c>
      <c r="J2572" t="str">
        <f t="shared" si="40"/>
        <v>Med</v>
      </c>
      <c r="K2572">
        <f>dataset[[#This Row],[soda_sales]]/dataset[[#This Row],[soda_units_sold]]</f>
        <v>0.74898898843701223</v>
      </c>
      <c r="L2572" s="29">
        <f>dataset[[#This Row],[implied_soda_ppu]]-dataset[[#This Row],[soda_ppu]]</f>
        <v>-1.1011562987772727E-5</v>
      </c>
      <c r="M2572">
        <f>dataset[[#This Row],[soda_sales]]/dataset[[#This Row],[total_sales]]</f>
        <v>6.382616907419883E-2</v>
      </c>
      <c r="N2572">
        <f>LN(dataset[[#This Row],[soda_units_sold]])</f>
        <v>12.149317091707701</v>
      </c>
      <c r="O2572">
        <f>LN(dataset[[#This Row],[soda_sales]])</f>
        <v>11.86028609444848</v>
      </c>
      <c r="P2572">
        <f>LN(dataset[[#This Row],[soda_ppu]])</f>
        <v>-0.28901629546491758</v>
      </c>
      <c r="Q2572">
        <f>IF(dataset[[#This Row],[state]]="VA",1,0)</f>
        <v>0</v>
      </c>
    </row>
    <row r="2573" spans="1:17" x14ac:dyDescent="0.35">
      <c r="A2573">
        <v>202304</v>
      </c>
      <c r="B2573">
        <v>18</v>
      </c>
      <c r="C2573" s="2">
        <v>2355171.7714</v>
      </c>
      <c r="D2573" s="2">
        <v>0.73409999999999997</v>
      </c>
      <c r="E2573" s="3">
        <v>225085</v>
      </c>
      <c r="F2573" s="2">
        <v>165241.06229999999</v>
      </c>
      <c r="G2573" t="s">
        <v>1784</v>
      </c>
      <c r="H2573" t="s">
        <v>7</v>
      </c>
      <c r="I2573">
        <f>HLOOKUP(G2573,zip_tiers!$A$1:$EON$2,2,FALSE)</f>
        <v>58152.666666666664</v>
      </c>
      <c r="J2573" t="str">
        <f t="shared" si="40"/>
        <v>Med</v>
      </c>
      <c r="K2573">
        <f>dataset[[#This Row],[soda_sales]]/dataset[[#This Row],[soda_units_sold]]</f>
        <v>0.7341273843214785</v>
      </c>
      <c r="L2573" s="29">
        <f>dataset[[#This Row],[implied_soda_ppu]]-dataset[[#This Row],[soda_ppu]]</f>
        <v>2.738432147852965E-5</v>
      </c>
      <c r="M2573">
        <f>dataset[[#This Row],[soda_sales]]/dataset[[#This Row],[total_sales]]</f>
        <v>7.0160938707996945E-2</v>
      </c>
      <c r="N2573">
        <f>LN(dataset[[#This Row],[soda_units_sold]])</f>
        <v>12.324233387624277</v>
      </c>
      <c r="O2573">
        <f>LN(dataset[[#This Row],[soda_sales]])</f>
        <v>12.015160670320828</v>
      </c>
      <c r="P2573">
        <f>LN(dataset[[#This Row],[soda_ppu]])</f>
        <v>-0.30911001986540143</v>
      </c>
      <c r="Q2573">
        <f>IF(dataset[[#This Row],[state]]="VA",1,0)</f>
        <v>0</v>
      </c>
    </row>
    <row r="2574" spans="1:17" x14ac:dyDescent="0.35">
      <c r="A2574">
        <v>202305</v>
      </c>
      <c r="B2574">
        <v>18</v>
      </c>
      <c r="C2574" s="2">
        <v>2416763.0066</v>
      </c>
      <c r="D2574" s="2">
        <v>0.76680000000000004</v>
      </c>
      <c r="E2574" s="3">
        <v>225039</v>
      </c>
      <c r="F2574" s="2">
        <v>172550.2843</v>
      </c>
      <c r="G2574" t="s">
        <v>1784</v>
      </c>
      <c r="H2574" t="s">
        <v>7</v>
      </c>
      <c r="I2574">
        <f>HLOOKUP(G2574,zip_tiers!$A$1:$EON$2,2,FALSE)</f>
        <v>58152.666666666664</v>
      </c>
      <c r="J2574" t="str">
        <f t="shared" si="40"/>
        <v>Med</v>
      </c>
      <c r="K2574">
        <f>dataset[[#This Row],[soda_sales]]/dataset[[#This Row],[soda_units_sold]]</f>
        <v>0.76675724785481625</v>
      </c>
      <c r="L2574" s="29">
        <f>dataset[[#This Row],[implied_soda_ppu]]-dataset[[#This Row],[soda_ppu]]</f>
        <v>-4.275214518378867E-5</v>
      </c>
      <c r="M2574">
        <f>dataset[[#This Row],[soda_sales]]/dataset[[#This Row],[total_sales]]</f>
        <v>7.139727140343427E-2</v>
      </c>
      <c r="N2574">
        <f>LN(dataset[[#This Row],[soda_units_sold]])</f>
        <v>12.324028999499404</v>
      </c>
      <c r="O2574">
        <f>LN(dataset[[#This Row],[soda_sales]])</f>
        <v>12.058443976163158</v>
      </c>
      <c r="P2574">
        <f>LN(dataset[[#This Row],[soda_ppu]])</f>
        <v>-0.26552926781064756</v>
      </c>
      <c r="Q2574">
        <f>IF(dataset[[#This Row],[state]]="VA",1,0)</f>
        <v>0</v>
      </c>
    </row>
    <row r="2575" spans="1:17" x14ac:dyDescent="0.35">
      <c r="A2575">
        <v>202306</v>
      </c>
      <c r="B2575">
        <v>18</v>
      </c>
      <c r="C2575" s="2">
        <v>2305923.9966000002</v>
      </c>
      <c r="D2575" s="2">
        <v>0.73329999999999995</v>
      </c>
      <c r="E2575" s="3">
        <v>248681</v>
      </c>
      <c r="F2575" s="2">
        <v>182363.28690000001</v>
      </c>
      <c r="G2575" t="s">
        <v>1784</v>
      </c>
      <c r="H2575" t="s">
        <v>7</v>
      </c>
      <c r="I2575">
        <f>HLOOKUP(G2575,zip_tiers!$A$1:$EON$2,2,FALSE)</f>
        <v>58152.666666666664</v>
      </c>
      <c r="J2575" t="str">
        <f t="shared" si="40"/>
        <v>Med</v>
      </c>
      <c r="K2575">
        <f>dataset[[#This Row],[soda_sales]]/dataset[[#This Row],[soda_units_sold]]</f>
        <v>0.73332215529131706</v>
      </c>
      <c r="L2575" s="29">
        <f>dataset[[#This Row],[implied_soda_ppu]]-dataset[[#This Row],[soda_ppu]]</f>
        <v>2.2155291317105252E-5</v>
      </c>
      <c r="M2575">
        <f>dataset[[#This Row],[soda_sales]]/dataset[[#This Row],[total_sales]]</f>
        <v>7.9084691069128008E-2</v>
      </c>
      <c r="N2575">
        <f>LN(dataset[[#This Row],[soda_units_sold]])</f>
        <v>12.423926229607295</v>
      </c>
      <c r="O2575">
        <f>LN(dataset[[#This Row],[soda_sales]])</f>
        <v>12.113756058402714</v>
      </c>
      <c r="P2575">
        <f>LN(dataset[[#This Row],[soda_ppu]])</f>
        <v>-0.3102003838823833</v>
      </c>
      <c r="Q2575">
        <f>IF(dataset[[#This Row],[state]]="VA",1,0)</f>
        <v>0</v>
      </c>
    </row>
    <row r="2576" spans="1:17" x14ac:dyDescent="0.35">
      <c r="A2576">
        <v>202307</v>
      </c>
      <c r="B2576">
        <v>18</v>
      </c>
      <c r="C2576" s="2">
        <v>2202746.5937999999</v>
      </c>
      <c r="D2576" s="2">
        <v>0.80249999999999999</v>
      </c>
      <c r="E2576" s="3">
        <v>226984</v>
      </c>
      <c r="F2576" s="2">
        <v>182148.91390000001</v>
      </c>
      <c r="G2576" t="s">
        <v>1784</v>
      </c>
      <c r="H2576" t="s">
        <v>7</v>
      </c>
      <c r="I2576">
        <f>HLOOKUP(G2576,zip_tiers!$A$1:$EON$2,2,FALSE)</f>
        <v>58152.666666666664</v>
      </c>
      <c r="J2576" t="str">
        <f t="shared" si="40"/>
        <v>Med</v>
      </c>
      <c r="K2576">
        <f>dataset[[#This Row],[soda_sales]]/dataset[[#This Row],[soda_units_sold]]</f>
        <v>0.80247468499982388</v>
      </c>
      <c r="L2576" s="29">
        <f>dataset[[#This Row],[implied_soda_ppu]]-dataset[[#This Row],[soda_ppu]]</f>
        <v>-2.5315000176107105E-5</v>
      </c>
      <c r="M2576">
        <f>dataset[[#This Row],[soda_sales]]/dataset[[#This Row],[total_sales]]</f>
        <v>8.2691724237680675E-2</v>
      </c>
      <c r="N2576">
        <f>LN(dataset[[#This Row],[soda_units_sold]])</f>
        <v>12.332634809397888</v>
      </c>
      <c r="O2576">
        <f>LN(dataset[[#This Row],[soda_sales]])</f>
        <v>12.112579839750802</v>
      </c>
      <c r="P2576">
        <f>LN(dataset[[#This Row],[soda_ppu]])</f>
        <v>-0.22002342397796612</v>
      </c>
      <c r="Q2576">
        <f>IF(dataset[[#This Row],[state]]="VA",1,0)</f>
        <v>0</v>
      </c>
    </row>
    <row r="2577" spans="1:17" x14ac:dyDescent="0.35">
      <c r="A2577">
        <v>202308</v>
      </c>
      <c r="B2577">
        <v>18</v>
      </c>
      <c r="C2577" s="2">
        <v>2105173.5970999999</v>
      </c>
      <c r="D2577" s="2">
        <v>0.8014</v>
      </c>
      <c r="E2577" s="3">
        <v>203525</v>
      </c>
      <c r="F2577" s="2">
        <v>163113.67850000001</v>
      </c>
      <c r="G2577" t="s">
        <v>1784</v>
      </c>
      <c r="H2577" t="s">
        <v>7</v>
      </c>
      <c r="I2577">
        <f>HLOOKUP(G2577,zip_tiers!$A$1:$EON$2,2,FALSE)</f>
        <v>58152.666666666664</v>
      </c>
      <c r="J2577" t="str">
        <f t="shared" si="40"/>
        <v>Med</v>
      </c>
      <c r="K2577">
        <f>dataset[[#This Row],[soda_sales]]/dataset[[#This Row],[soda_units_sold]]</f>
        <v>0.80144296032428453</v>
      </c>
      <c r="L2577" s="29">
        <f>dataset[[#This Row],[implied_soda_ppu]]-dataset[[#This Row],[soda_ppu]]</f>
        <v>4.2960324284524454E-5</v>
      </c>
      <c r="M2577">
        <f>dataset[[#This Row],[soda_sales]]/dataset[[#This Row],[total_sales]]</f>
        <v>7.7482293490996973E-2</v>
      </c>
      <c r="N2577">
        <f>LN(dataset[[#This Row],[soda_units_sold]])</f>
        <v>12.223544126442178</v>
      </c>
      <c r="O2577">
        <f>LN(dataset[[#This Row],[soda_sales]])</f>
        <v>12.00220265081912</v>
      </c>
      <c r="P2577">
        <f>LN(dataset[[#This Row],[soda_ppu]])</f>
        <v>-0.22139508078009287</v>
      </c>
      <c r="Q2577">
        <f>IF(dataset[[#This Row],[state]]="VA",1,0)</f>
        <v>0</v>
      </c>
    </row>
    <row r="2578" spans="1:17" x14ac:dyDescent="0.35">
      <c r="A2578">
        <v>202309</v>
      </c>
      <c r="B2578">
        <v>18</v>
      </c>
      <c r="C2578" s="2">
        <v>2101976.5723999999</v>
      </c>
      <c r="D2578" s="2">
        <v>0.76629999999999998</v>
      </c>
      <c r="E2578" s="3">
        <v>207074</v>
      </c>
      <c r="F2578" s="2">
        <v>158682.351</v>
      </c>
      <c r="G2578" t="s">
        <v>1784</v>
      </c>
      <c r="H2578" t="s">
        <v>7</v>
      </c>
      <c r="I2578">
        <f>HLOOKUP(G2578,zip_tiers!$A$1:$EON$2,2,FALSE)</f>
        <v>58152.666666666664</v>
      </c>
      <c r="J2578" t="str">
        <f t="shared" si="40"/>
        <v>Med</v>
      </c>
      <c r="K2578">
        <f>dataset[[#This Row],[soda_sales]]/dataset[[#This Row],[soda_units_sold]]</f>
        <v>0.76630746013502415</v>
      </c>
      <c r="L2578" s="29">
        <f>dataset[[#This Row],[implied_soda_ppu]]-dataset[[#This Row],[soda_ppu]]</f>
        <v>7.4601350241731978E-6</v>
      </c>
      <c r="M2578">
        <f>dataset[[#This Row],[soda_sales]]/dataset[[#This Row],[total_sales]]</f>
        <v>7.5491969360447858E-2</v>
      </c>
      <c r="N2578">
        <f>LN(dataset[[#This Row],[soda_units_sold]])</f>
        <v>12.240831496286628</v>
      </c>
      <c r="O2578">
        <f>LN(dataset[[#This Row],[soda_sales]])</f>
        <v>11.974659690500362</v>
      </c>
      <c r="P2578">
        <f>LN(dataset[[#This Row],[soda_ppu]])</f>
        <v>-0.26618154100577845</v>
      </c>
      <c r="Q2578">
        <f>IF(dataset[[#This Row],[state]]="VA",1,0)</f>
        <v>0</v>
      </c>
    </row>
    <row r="2579" spans="1:17" x14ac:dyDescent="0.35">
      <c r="A2579">
        <v>202310</v>
      </c>
      <c r="B2579">
        <v>18</v>
      </c>
      <c r="C2579" s="2">
        <v>2580622.5860000001</v>
      </c>
      <c r="D2579" s="2">
        <v>0.81910000000000005</v>
      </c>
      <c r="E2579" s="3">
        <v>180022</v>
      </c>
      <c r="F2579" s="2">
        <v>147464.84729999999</v>
      </c>
      <c r="G2579" t="s">
        <v>1784</v>
      </c>
      <c r="H2579" t="s">
        <v>7</v>
      </c>
      <c r="I2579">
        <f>HLOOKUP(G2579,zip_tiers!$A$1:$EON$2,2,FALSE)</f>
        <v>58152.666666666664</v>
      </c>
      <c r="J2579" t="str">
        <f t="shared" si="40"/>
        <v>Med</v>
      </c>
      <c r="K2579">
        <f>dataset[[#This Row],[soda_sales]]/dataset[[#This Row],[soda_units_sold]]</f>
        <v>0.81914903345146706</v>
      </c>
      <c r="L2579" s="29">
        <f>dataset[[#This Row],[implied_soda_ppu]]-dataset[[#This Row],[soda_ppu]]</f>
        <v>4.903345146700655E-5</v>
      </c>
      <c r="M2579">
        <f>dataset[[#This Row],[soda_sales]]/dataset[[#This Row],[total_sales]]</f>
        <v>5.7143128212549861E-2</v>
      </c>
      <c r="N2579">
        <f>LN(dataset[[#This Row],[soda_units_sold]])</f>
        <v>12.100834344626042</v>
      </c>
      <c r="O2579">
        <f>LN(dataset[[#This Row],[soda_sales]])</f>
        <v>11.90134510296865</v>
      </c>
      <c r="P2579">
        <f>LN(dataset[[#This Row],[soda_ppu]])</f>
        <v>-0.19954910246058064</v>
      </c>
      <c r="Q2579">
        <f>IF(dataset[[#This Row],[state]]="VA",1,0)</f>
        <v>0</v>
      </c>
    </row>
    <row r="2580" spans="1:17" x14ac:dyDescent="0.35">
      <c r="A2580">
        <v>202311</v>
      </c>
      <c r="B2580">
        <v>18</v>
      </c>
      <c r="C2580" s="2">
        <v>2949089.2866000002</v>
      </c>
      <c r="D2580" s="2">
        <v>0.77180000000000004</v>
      </c>
      <c r="E2580" s="3">
        <v>188045</v>
      </c>
      <c r="F2580" s="2">
        <v>145129.15830000001</v>
      </c>
      <c r="G2580" t="s">
        <v>1784</v>
      </c>
      <c r="H2580" t="s">
        <v>7</v>
      </c>
      <c r="I2580">
        <f>HLOOKUP(G2580,zip_tiers!$A$1:$EON$2,2,FALSE)</f>
        <v>58152.666666666664</v>
      </c>
      <c r="J2580" t="str">
        <f t="shared" si="40"/>
        <v>Med</v>
      </c>
      <c r="K2580">
        <f>dataset[[#This Row],[soda_sales]]/dataset[[#This Row],[soda_units_sold]]</f>
        <v>0.77177887367385467</v>
      </c>
      <c r="L2580" s="29">
        <f>dataset[[#This Row],[implied_soda_ppu]]-dataset[[#This Row],[soda_ppu]]</f>
        <v>-2.1126326145370911E-5</v>
      </c>
      <c r="M2580">
        <f>dataset[[#This Row],[soda_sales]]/dataset[[#This Row],[total_sales]]</f>
        <v>4.9211517250235294E-2</v>
      </c>
      <c r="N2580">
        <f>LN(dataset[[#This Row],[soda_units_sold]])</f>
        <v>12.144436574871772</v>
      </c>
      <c r="O2580">
        <f>LN(dataset[[#This Row],[soda_sales]])</f>
        <v>11.885379371819671</v>
      </c>
      <c r="P2580">
        <f>LN(dataset[[#This Row],[soda_ppu]])</f>
        <v>-0.25902982987861861</v>
      </c>
      <c r="Q2580">
        <f>IF(dataset[[#This Row],[state]]="VA",1,0)</f>
        <v>0</v>
      </c>
    </row>
    <row r="2581" spans="1:17" x14ac:dyDescent="0.35">
      <c r="A2581">
        <v>202312</v>
      </c>
      <c r="B2581">
        <v>18</v>
      </c>
      <c r="C2581" s="2">
        <v>2991965.267</v>
      </c>
      <c r="D2581" s="2">
        <v>0.80120000000000002</v>
      </c>
      <c r="E2581" s="3">
        <v>167378</v>
      </c>
      <c r="F2581" s="2">
        <v>134098.595</v>
      </c>
      <c r="G2581" t="s">
        <v>1784</v>
      </c>
      <c r="H2581" t="s">
        <v>7</v>
      </c>
      <c r="I2581">
        <f>HLOOKUP(G2581,zip_tiers!$A$1:$EON$2,2,FALSE)</f>
        <v>58152.666666666664</v>
      </c>
      <c r="J2581" t="str">
        <f t="shared" si="40"/>
        <v>Med</v>
      </c>
      <c r="K2581">
        <f>dataset[[#This Row],[soda_sales]]/dataset[[#This Row],[soda_units_sold]]</f>
        <v>0.80117216719043127</v>
      </c>
      <c r="L2581" s="29">
        <f>dataset[[#This Row],[implied_soda_ppu]]-dataset[[#This Row],[soda_ppu]]</f>
        <v>-2.7832809568750783E-5</v>
      </c>
      <c r="M2581">
        <f>dataset[[#This Row],[soda_sales]]/dataset[[#This Row],[total_sales]]</f>
        <v>4.4819569424500272E-2</v>
      </c>
      <c r="N2581">
        <f>LN(dataset[[#This Row],[soda_units_sold]])</f>
        <v>12.028010006656594</v>
      </c>
      <c r="O2581">
        <f>LN(dataset[[#This Row],[soda_sales]])</f>
        <v>11.806330591959103</v>
      </c>
      <c r="P2581">
        <f>LN(dataset[[#This Row],[soda_ppu]])</f>
        <v>-0.22164467519047384</v>
      </c>
      <c r="Q2581">
        <f>IF(dataset[[#This Row],[state]]="VA",1,0)</f>
        <v>0</v>
      </c>
    </row>
    <row r="2582" spans="1:17" x14ac:dyDescent="0.35">
      <c r="A2582">
        <v>202401</v>
      </c>
      <c r="B2582">
        <v>18</v>
      </c>
      <c r="C2582" s="2">
        <v>1752176.8515999999</v>
      </c>
      <c r="D2582" s="2">
        <v>0.81189999999999996</v>
      </c>
      <c r="E2582" s="3">
        <v>125500</v>
      </c>
      <c r="F2582" s="2">
        <v>101887.6502</v>
      </c>
      <c r="G2582" t="s">
        <v>1784</v>
      </c>
      <c r="H2582" t="s">
        <v>7</v>
      </c>
      <c r="I2582">
        <f>HLOOKUP(G2582,zip_tiers!$A$1:$EON$2,2,FALSE)</f>
        <v>58152.666666666664</v>
      </c>
      <c r="J2582" t="str">
        <f t="shared" si="40"/>
        <v>Med</v>
      </c>
      <c r="K2582">
        <f>dataset[[#This Row],[soda_sales]]/dataset[[#This Row],[soda_units_sold]]</f>
        <v>0.81185378645418327</v>
      </c>
      <c r="L2582" s="29">
        <f>dataset[[#This Row],[implied_soda_ppu]]-dataset[[#This Row],[soda_ppu]]</f>
        <v>-4.6213545816686796E-5</v>
      </c>
      <c r="M2582">
        <f>dataset[[#This Row],[soda_sales]]/dataset[[#This Row],[total_sales]]</f>
        <v>5.8149181748954913E-2</v>
      </c>
      <c r="N2582">
        <f>LN(dataset[[#This Row],[soda_units_sold]])</f>
        <v>11.740061037553975</v>
      </c>
      <c r="O2582">
        <f>LN(dataset[[#This Row],[soda_sales]])</f>
        <v>11.531626016576574</v>
      </c>
      <c r="P2582">
        <f>LN(dataset[[#This Row],[soda_ppu]])</f>
        <v>-0.20837809911373634</v>
      </c>
      <c r="Q2582">
        <f>IF(dataset[[#This Row],[state]]="VA",1,0)</f>
        <v>0</v>
      </c>
    </row>
    <row r="2583" spans="1:17" x14ac:dyDescent="0.35">
      <c r="A2583">
        <v>202402</v>
      </c>
      <c r="B2583">
        <v>18</v>
      </c>
      <c r="C2583" s="2">
        <v>1979311.4741</v>
      </c>
      <c r="D2583" s="2">
        <v>0.8034</v>
      </c>
      <c r="E2583" s="3">
        <v>141518</v>
      </c>
      <c r="F2583" s="2">
        <v>113692.4056</v>
      </c>
      <c r="G2583" t="s">
        <v>1784</v>
      </c>
      <c r="H2583" t="s">
        <v>7</v>
      </c>
      <c r="I2583">
        <f>HLOOKUP(G2583,zip_tiers!$A$1:$EON$2,2,FALSE)</f>
        <v>58152.666666666664</v>
      </c>
      <c r="J2583" t="str">
        <f t="shared" si="40"/>
        <v>Med</v>
      </c>
      <c r="K2583">
        <f>dataset[[#This Row],[soda_sales]]/dataset[[#This Row],[soda_units_sold]]</f>
        <v>0.8033777017764524</v>
      </c>
      <c r="L2583" s="29">
        <f>dataset[[#This Row],[implied_soda_ppu]]-dataset[[#This Row],[soda_ppu]]</f>
        <v>-2.2298223547601026E-5</v>
      </c>
      <c r="M2583">
        <f>dataset[[#This Row],[soda_sales]]/dataset[[#This Row],[total_sales]]</f>
        <v>5.7440381207155049E-2</v>
      </c>
      <c r="N2583">
        <f>LN(dataset[[#This Row],[soda_units_sold]])</f>
        <v>11.860182196455682</v>
      </c>
      <c r="O2583">
        <f>LN(dataset[[#This Row],[soda_sales]])</f>
        <v>11.641251884192112</v>
      </c>
      <c r="P2583">
        <f>LN(dataset[[#This Row],[soda_ppu]])</f>
        <v>-0.21890255705695522</v>
      </c>
      <c r="Q2583">
        <f>IF(dataset[[#This Row],[state]]="VA",1,0)</f>
        <v>0</v>
      </c>
    </row>
    <row r="2584" spans="1:17" x14ac:dyDescent="0.35">
      <c r="A2584">
        <v>202403</v>
      </c>
      <c r="B2584">
        <v>18</v>
      </c>
      <c r="C2584" s="2">
        <v>2219312.5751</v>
      </c>
      <c r="D2584" s="2">
        <v>0.83260000000000001</v>
      </c>
      <c r="E2584" s="3">
        <v>161547</v>
      </c>
      <c r="F2584" s="2">
        <v>134499.72459999999</v>
      </c>
      <c r="G2584" t="s">
        <v>1784</v>
      </c>
      <c r="H2584" t="s">
        <v>7</v>
      </c>
      <c r="I2584">
        <f>HLOOKUP(G2584,zip_tiers!$A$1:$EON$2,2,FALSE)</f>
        <v>58152.666666666664</v>
      </c>
      <c r="J2584" t="str">
        <f t="shared" si="40"/>
        <v>Med</v>
      </c>
      <c r="K2584">
        <f>dataset[[#This Row],[soda_sales]]/dataset[[#This Row],[soda_units_sold]]</f>
        <v>0.83257333531418098</v>
      </c>
      <c r="L2584" s="29">
        <f>dataset[[#This Row],[implied_soda_ppu]]-dataset[[#This Row],[soda_ppu]]</f>
        <v>-2.666468581902226E-5</v>
      </c>
      <c r="M2584">
        <f>dataset[[#This Row],[soda_sales]]/dataset[[#This Row],[total_sales]]</f>
        <v>6.0604227682501892E-2</v>
      </c>
      <c r="N2584">
        <f>LN(dataset[[#This Row],[soda_units_sold]])</f>
        <v>11.992551400978082</v>
      </c>
      <c r="O2584">
        <f>LN(dataset[[#This Row],[soda_sales]])</f>
        <v>11.809317430438291</v>
      </c>
      <c r="P2584">
        <f>LN(dataset[[#This Row],[soda_ppu]])</f>
        <v>-0.18320194422126199</v>
      </c>
      <c r="Q2584">
        <f>IF(dataset[[#This Row],[state]]="VA",1,0)</f>
        <v>0</v>
      </c>
    </row>
    <row r="2585" spans="1:17" x14ac:dyDescent="0.35">
      <c r="A2585">
        <v>202404</v>
      </c>
      <c r="B2585">
        <v>18</v>
      </c>
      <c r="C2585" s="2">
        <v>2315809.0438000001</v>
      </c>
      <c r="D2585" s="2">
        <v>0.82530000000000003</v>
      </c>
      <c r="E2585" s="3">
        <v>189343</v>
      </c>
      <c r="F2585" s="2">
        <v>156268.57139999999</v>
      </c>
      <c r="G2585" t="s">
        <v>1784</v>
      </c>
      <c r="H2585" t="s">
        <v>7</v>
      </c>
      <c r="I2585">
        <f>HLOOKUP(G2585,zip_tiers!$A$1:$EON$2,2,FALSE)</f>
        <v>58152.666666666664</v>
      </c>
      <c r="J2585" t="str">
        <f t="shared" si="40"/>
        <v>Med</v>
      </c>
      <c r="K2585">
        <f>dataset[[#This Row],[soda_sales]]/dataset[[#This Row],[soda_units_sold]]</f>
        <v>0.82532003506863194</v>
      </c>
      <c r="L2585" s="29">
        <f>dataset[[#This Row],[implied_soda_ppu]]-dataset[[#This Row],[soda_ppu]]</f>
        <v>2.0035068631907293E-5</v>
      </c>
      <c r="M2585">
        <f>dataset[[#This Row],[soda_sales]]/dataset[[#This Row],[total_sales]]</f>
        <v>6.7479040130001236E-2</v>
      </c>
      <c r="N2585">
        <f>LN(dataset[[#This Row],[soda_units_sold]])</f>
        <v>12.151315464069876</v>
      </c>
      <c r="O2585">
        <f>LN(dataset[[#This Row],[soda_sales]])</f>
        <v>11.959331417495719</v>
      </c>
      <c r="P2585">
        <f>LN(dataset[[#This Row],[soda_ppu]])</f>
        <v>-0.19200832238349846</v>
      </c>
      <c r="Q2585">
        <f>IF(dataset[[#This Row],[state]]="VA",1,0)</f>
        <v>0</v>
      </c>
    </row>
    <row r="2586" spans="1:17" x14ac:dyDescent="0.35">
      <c r="A2586">
        <v>202405</v>
      </c>
      <c r="B2586">
        <v>18</v>
      </c>
      <c r="C2586" s="2">
        <v>2508746.0713999998</v>
      </c>
      <c r="D2586" s="2">
        <v>0.83179999999999998</v>
      </c>
      <c r="E2586" s="3">
        <v>208196</v>
      </c>
      <c r="F2586" s="2">
        <v>173176.3389</v>
      </c>
      <c r="G2586" t="s">
        <v>1784</v>
      </c>
      <c r="H2586" t="s">
        <v>7</v>
      </c>
      <c r="I2586">
        <f>HLOOKUP(G2586,zip_tiers!$A$1:$EON$2,2,FALSE)</f>
        <v>58152.666666666664</v>
      </c>
      <c r="J2586" t="str">
        <f t="shared" si="40"/>
        <v>Med</v>
      </c>
      <c r="K2586">
        <f>dataset[[#This Row],[soda_sales]]/dataset[[#This Row],[soda_units_sold]]</f>
        <v>0.83179474581644219</v>
      </c>
      <c r="L2586" s="29">
        <f>dataset[[#This Row],[implied_soda_ppu]]-dataset[[#This Row],[soda_ppu]]</f>
        <v>-5.2541835577901708E-6</v>
      </c>
      <c r="M2586">
        <f>dataset[[#This Row],[soda_sales]]/dataset[[#This Row],[total_sales]]</f>
        <v>6.9029042386645117E-2</v>
      </c>
      <c r="N2586">
        <f>LN(dataset[[#This Row],[soda_units_sold]])</f>
        <v>12.246235222682577</v>
      </c>
      <c r="O2586">
        <f>LN(dataset[[#This Row],[soda_sales]])</f>
        <v>12.06206565434641</v>
      </c>
      <c r="P2586">
        <f>LN(dataset[[#This Row],[soda_ppu]])</f>
        <v>-0.18416325167332578</v>
      </c>
      <c r="Q2586">
        <f>IF(dataset[[#This Row],[state]]="VA",1,0)</f>
        <v>0</v>
      </c>
    </row>
    <row r="2587" spans="1:17" x14ac:dyDescent="0.35">
      <c r="A2587">
        <v>202406</v>
      </c>
      <c r="B2587">
        <v>18</v>
      </c>
      <c r="C2587" s="2">
        <v>2380315.3678000001</v>
      </c>
      <c r="D2587" s="2">
        <v>0.80700000000000005</v>
      </c>
      <c r="E2587" s="3">
        <v>231036</v>
      </c>
      <c r="F2587" s="2">
        <v>186448.70420000001</v>
      </c>
      <c r="G2587" t="s">
        <v>1784</v>
      </c>
      <c r="H2587" t="s">
        <v>7</v>
      </c>
      <c r="I2587">
        <f>HLOOKUP(G2587,zip_tiers!$A$1:$EON$2,2,FALSE)</f>
        <v>58152.666666666664</v>
      </c>
      <c r="J2587" t="str">
        <f t="shared" si="40"/>
        <v>Med</v>
      </c>
      <c r="K2587">
        <f>dataset[[#This Row],[soda_sales]]/dataset[[#This Row],[soda_units_sold]]</f>
        <v>0.80701147959625341</v>
      </c>
      <c r="L2587" s="29">
        <f>dataset[[#This Row],[implied_soda_ppu]]-dataset[[#This Row],[soda_ppu]]</f>
        <v>1.1479596253360924E-5</v>
      </c>
      <c r="M2587">
        <f>dataset[[#This Row],[soda_sales]]/dataset[[#This Row],[total_sales]]</f>
        <v>7.8329412447697935E-2</v>
      </c>
      <c r="N2587">
        <f>LN(dataset[[#This Row],[soda_units_sold]])</f>
        <v>12.350328821517335</v>
      </c>
      <c r="O2587">
        <f>LN(dataset[[#This Row],[soda_sales]])</f>
        <v>12.135911435730309</v>
      </c>
      <c r="P2587">
        <f>LN(dataset[[#This Row],[soda_ppu]])</f>
        <v>-0.21443161071218819</v>
      </c>
      <c r="Q2587">
        <f>IF(dataset[[#This Row],[state]]="VA",1,0)</f>
        <v>0</v>
      </c>
    </row>
    <row r="2588" spans="1:17" x14ac:dyDescent="0.35">
      <c r="A2588">
        <v>202407</v>
      </c>
      <c r="B2588">
        <v>18</v>
      </c>
      <c r="C2588" s="2">
        <v>2321951.3895999999</v>
      </c>
      <c r="D2588" s="2">
        <v>0.82189999999999996</v>
      </c>
      <c r="E2588" s="3">
        <v>240940</v>
      </c>
      <c r="F2588" s="2">
        <v>198025.98420000001</v>
      </c>
      <c r="G2588" t="s">
        <v>1784</v>
      </c>
      <c r="H2588" t="s">
        <v>7</v>
      </c>
      <c r="I2588">
        <f>HLOOKUP(G2588,zip_tiers!$A$1:$EON$2,2,FALSE)</f>
        <v>58152.666666666664</v>
      </c>
      <c r="J2588" t="str">
        <f t="shared" si="40"/>
        <v>Med</v>
      </c>
      <c r="K2588">
        <f>dataset[[#This Row],[soda_sales]]/dataset[[#This Row],[soda_units_sold]]</f>
        <v>0.82188920146094468</v>
      </c>
      <c r="L2588" s="29">
        <f>dataset[[#This Row],[implied_soda_ppu]]-dataset[[#This Row],[soda_ppu]]</f>
        <v>-1.0798539055278944E-5</v>
      </c>
      <c r="M2588">
        <f>dataset[[#This Row],[soda_sales]]/dataset[[#This Row],[total_sales]]</f>
        <v>8.5284293670813555E-2</v>
      </c>
      <c r="N2588">
        <f>LN(dataset[[#This Row],[soda_units_sold]])</f>
        <v>12.392303218820844</v>
      </c>
      <c r="O2588">
        <f>LN(dataset[[#This Row],[soda_sales]])</f>
        <v>12.196153534399665</v>
      </c>
      <c r="P2588">
        <f>LN(dataset[[#This Row],[soda_ppu]])</f>
        <v>-0.19613654582768278</v>
      </c>
      <c r="Q2588">
        <f>IF(dataset[[#This Row],[state]]="VA",1,0)</f>
        <v>0</v>
      </c>
    </row>
    <row r="2589" spans="1:17" x14ac:dyDescent="0.35">
      <c r="A2589">
        <v>202408</v>
      </c>
      <c r="B2589">
        <v>18</v>
      </c>
      <c r="C2589" s="2">
        <v>2146148.4981999998</v>
      </c>
      <c r="D2589" s="2">
        <v>0.86260000000000003</v>
      </c>
      <c r="E2589" s="3">
        <v>188167</v>
      </c>
      <c r="F2589" s="2">
        <v>162307.64110000001</v>
      </c>
      <c r="G2589" t="s">
        <v>1784</v>
      </c>
      <c r="H2589" t="s">
        <v>7</v>
      </c>
      <c r="I2589">
        <f>HLOOKUP(G2589,zip_tiers!$A$1:$EON$2,2,FALSE)</f>
        <v>58152.666666666664</v>
      </c>
      <c r="J2589" t="str">
        <f t="shared" si="40"/>
        <v>Med</v>
      </c>
      <c r="K2589">
        <f>dataset[[#This Row],[soda_sales]]/dataset[[#This Row],[soda_units_sold]]</f>
        <v>0.8625722953546584</v>
      </c>
      <c r="L2589" s="29">
        <f>dataset[[#This Row],[implied_soda_ppu]]-dataset[[#This Row],[soda_ppu]]</f>
        <v>-2.7704645341630751E-5</v>
      </c>
      <c r="M2589">
        <f>dataset[[#This Row],[soda_sales]]/dataset[[#This Row],[total_sales]]</f>
        <v>7.5627404737430501E-2</v>
      </c>
      <c r="N2589">
        <f>LN(dataset[[#This Row],[soda_units_sold]])</f>
        <v>12.14508514538136</v>
      </c>
      <c r="O2589">
        <f>LN(dataset[[#This Row],[soda_sales]])</f>
        <v>11.997248832493032</v>
      </c>
      <c r="P2589">
        <f>LN(dataset[[#This Row],[soda_ppu]])</f>
        <v>-0.14780419476839426</v>
      </c>
      <c r="Q2589">
        <f>IF(dataset[[#This Row],[state]]="VA",1,0)</f>
        <v>0</v>
      </c>
    </row>
    <row r="2590" spans="1:17" x14ac:dyDescent="0.35">
      <c r="A2590">
        <v>202409</v>
      </c>
      <c r="B2590">
        <v>18</v>
      </c>
      <c r="C2590" s="2">
        <v>2146433.2845000001</v>
      </c>
      <c r="D2590" s="2">
        <v>0.82420000000000004</v>
      </c>
      <c r="E2590" s="3">
        <v>196628</v>
      </c>
      <c r="F2590" s="2">
        <v>162070.44390000001</v>
      </c>
      <c r="G2590" t="s">
        <v>1784</v>
      </c>
      <c r="H2590" t="s">
        <v>7</v>
      </c>
      <c r="I2590">
        <f>HLOOKUP(G2590,zip_tiers!$A$1:$EON$2,2,FALSE)</f>
        <v>58152.666666666664</v>
      </c>
      <c r="J2590" t="str">
        <f t="shared" si="40"/>
        <v>Med</v>
      </c>
      <c r="K2590">
        <f>dataset[[#This Row],[soda_sales]]/dataset[[#This Row],[soda_units_sold]]</f>
        <v>0.82424905862847619</v>
      </c>
      <c r="L2590" s="29">
        <f>dataset[[#This Row],[implied_soda_ppu]]-dataset[[#This Row],[soda_ppu]]</f>
        <v>4.9058628476150723E-5</v>
      </c>
      <c r="M2590">
        <f>dataset[[#This Row],[soda_sales]]/dataset[[#This Row],[total_sales]]</f>
        <v>7.5506862976061906E-2</v>
      </c>
      <c r="N2590">
        <f>LN(dataset[[#This Row],[soda_units_sold]])</f>
        <v>12.189068897713987</v>
      </c>
      <c r="O2590">
        <f>LN(dataset[[#This Row],[soda_sales]])</f>
        <v>11.995786358588379</v>
      </c>
      <c r="P2590">
        <f>LN(dataset[[#This Row],[soda_ppu]])</f>
        <v>-0.19334206007742002</v>
      </c>
      <c r="Q2590">
        <f>IF(dataset[[#This Row],[state]]="VA",1,0)</f>
        <v>0</v>
      </c>
    </row>
    <row r="2591" spans="1:17" x14ac:dyDescent="0.35">
      <c r="A2591">
        <v>202410</v>
      </c>
      <c r="B2591">
        <v>18</v>
      </c>
      <c r="C2591" s="2">
        <v>2665627.3018</v>
      </c>
      <c r="D2591" s="2">
        <v>0.85699999999999998</v>
      </c>
      <c r="E2591" s="3">
        <v>173022</v>
      </c>
      <c r="F2591" s="2">
        <v>148284.26569999999</v>
      </c>
      <c r="G2591" t="s">
        <v>1784</v>
      </c>
      <c r="H2591" t="s">
        <v>7</v>
      </c>
      <c r="I2591">
        <f>HLOOKUP(G2591,zip_tiers!$A$1:$EON$2,2,FALSE)</f>
        <v>58152.666666666664</v>
      </c>
      <c r="J2591" t="str">
        <f t="shared" si="40"/>
        <v>Med</v>
      </c>
      <c r="K2591">
        <f>dataset[[#This Row],[soda_sales]]/dataset[[#This Row],[soda_units_sold]]</f>
        <v>0.85702549791356009</v>
      </c>
      <c r="L2591" s="29">
        <f>dataset[[#This Row],[implied_soda_ppu]]-dataset[[#This Row],[soda_ppu]]</f>
        <v>2.5497913560101892E-5</v>
      </c>
      <c r="M2591">
        <f>dataset[[#This Row],[soda_sales]]/dataset[[#This Row],[total_sales]]</f>
        <v>5.5628281417987084E-2</v>
      </c>
      <c r="N2591">
        <f>LN(dataset[[#This Row],[soda_units_sold]])</f>
        <v>12.061174033024857</v>
      </c>
      <c r="O2591">
        <f>LN(dataset[[#This Row],[soda_sales]])</f>
        <v>11.906886424722476</v>
      </c>
      <c r="P2591">
        <f>LN(dataset[[#This Row],[soda_ppu]])</f>
        <v>-0.15431736038435728</v>
      </c>
      <c r="Q2591">
        <f>IF(dataset[[#This Row],[state]]="VA",1,0)</f>
        <v>0</v>
      </c>
    </row>
    <row r="2592" spans="1:17" x14ac:dyDescent="0.35">
      <c r="A2592">
        <v>202411</v>
      </c>
      <c r="B2592">
        <v>18</v>
      </c>
      <c r="C2592" s="2">
        <v>2975159.2925999998</v>
      </c>
      <c r="D2592" s="2">
        <v>0.84260000000000002</v>
      </c>
      <c r="E2592" s="3">
        <v>168207</v>
      </c>
      <c r="F2592" s="2">
        <v>141734.74429999999</v>
      </c>
      <c r="G2592" t="s">
        <v>1784</v>
      </c>
      <c r="H2592" t="s">
        <v>7</v>
      </c>
      <c r="I2592">
        <f>HLOOKUP(G2592,zip_tiers!$A$1:$EON$2,2,FALSE)</f>
        <v>58152.666666666664</v>
      </c>
      <c r="J2592" t="str">
        <f t="shared" si="40"/>
        <v>Med</v>
      </c>
      <c r="K2592">
        <f>dataset[[#This Row],[soda_sales]]/dataset[[#This Row],[soda_units_sold]]</f>
        <v>0.84262096286123644</v>
      </c>
      <c r="L2592" s="29">
        <f>dataset[[#This Row],[implied_soda_ppu]]-dataset[[#This Row],[soda_ppu]]</f>
        <v>2.0962861236428765E-5</v>
      </c>
      <c r="M2592">
        <f>dataset[[#This Row],[soda_sales]]/dataset[[#This Row],[total_sales]]</f>
        <v>4.763938006698714E-2</v>
      </c>
      <c r="N2592">
        <f>LN(dataset[[#This Row],[soda_units_sold]])</f>
        <v>12.032950642777489</v>
      </c>
      <c r="O2592">
        <f>LN(dataset[[#This Row],[soda_sales]])</f>
        <v>11.861712591812232</v>
      </c>
      <c r="P2592">
        <f>LN(dataset[[#This Row],[soda_ppu]])</f>
        <v>-0.17126292943722088</v>
      </c>
      <c r="Q2592">
        <f>IF(dataset[[#This Row],[state]]="VA",1,0)</f>
        <v>0</v>
      </c>
    </row>
    <row r="2593" spans="1:17" x14ac:dyDescent="0.35">
      <c r="A2593">
        <v>202412</v>
      </c>
      <c r="B2593">
        <v>18</v>
      </c>
      <c r="C2593" s="2">
        <v>3110310.0830000001</v>
      </c>
      <c r="D2593" s="2">
        <v>0.85470000000000002</v>
      </c>
      <c r="E2593" s="3">
        <v>161853</v>
      </c>
      <c r="F2593" s="2">
        <v>138330.27739999999</v>
      </c>
      <c r="G2593" t="s">
        <v>1784</v>
      </c>
      <c r="H2593" t="s">
        <v>7</v>
      </c>
      <c r="I2593">
        <f>HLOOKUP(G2593,zip_tiers!$A$1:$EON$2,2,FALSE)</f>
        <v>58152.666666666664</v>
      </c>
      <c r="J2593" t="str">
        <f t="shared" si="40"/>
        <v>Med</v>
      </c>
      <c r="K2593">
        <f>dataset[[#This Row],[soda_sales]]/dataset[[#This Row],[soda_units_sold]]</f>
        <v>0.854666131613254</v>
      </c>
      <c r="L2593" s="29">
        <f>dataset[[#This Row],[implied_soda_ppu]]-dataset[[#This Row],[soda_ppu]]</f>
        <v>-3.3868386746016554E-5</v>
      </c>
      <c r="M2593">
        <f>dataset[[#This Row],[soda_sales]]/dataset[[#This Row],[total_sales]]</f>
        <v>4.4474754512764114E-2</v>
      </c>
      <c r="N2593">
        <f>LN(dataset[[#This Row],[soda_units_sold]])</f>
        <v>11.994443794863793</v>
      </c>
      <c r="O2593">
        <f>LN(dataset[[#This Row],[soda_sales]])</f>
        <v>11.837399419216377</v>
      </c>
      <c r="P2593">
        <f>LN(dataset[[#This Row],[soda_ppu]])</f>
        <v>-0.15700474881016474</v>
      </c>
      <c r="Q2593">
        <f>IF(dataset[[#This Row],[state]]="VA",1,0)</f>
        <v>0</v>
      </c>
    </row>
    <row r="2594" spans="1:17" x14ac:dyDescent="0.35">
      <c r="A2594">
        <v>202201</v>
      </c>
      <c r="B2594">
        <v>72</v>
      </c>
      <c r="C2594" s="2">
        <v>1724337.6155000001</v>
      </c>
      <c r="D2594" s="2">
        <v>0.72529999999999994</v>
      </c>
      <c r="E2594" s="3">
        <v>144127</v>
      </c>
      <c r="F2594" s="2">
        <v>104539.07859999999</v>
      </c>
      <c r="G2594" t="s">
        <v>1801</v>
      </c>
      <c r="H2594" t="s">
        <v>7</v>
      </c>
      <c r="I2594">
        <f>HLOOKUP(G2594,zip_tiers!$A$1:$EON$2,2,FALSE)</f>
        <v>58817</v>
      </c>
      <c r="J2594" t="str">
        <f t="shared" si="40"/>
        <v>Med</v>
      </c>
      <c r="K2594">
        <f>dataset[[#This Row],[soda_sales]]/dataset[[#This Row],[soda_units_sold]]</f>
        <v>0.72532612626364246</v>
      </c>
      <c r="L2594" s="29">
        <f>dataset[[#This Row],[implied_soda_ppu]]-dataset[[#This Row],[soda_ppu]]</f>
        <v>2.6126263642511915E-5</v>
      </c>
      <c r="M2594">
        <f>dataset[[#This Row],[soda_sales]]/dataset[[#This Row],[total_sales]]</f>
        <v>6.0625644108382552E-2</v>
      </c>
      <c r="N2594">
        <f>LN(dataset[[#This Row],[soda_units_sold]])</f>
        <v>11.878450134318095</v>
      </c>
      <c r="O2594">
        <f>LN(dataset[[#This Row],[soda_sales]])</f>
        <v>11.557316238376913</v>
      </c>
      <c r="P2594">
        <f>LN(dataset[[#This Row],[soda_ppu]])</f>
        <v>-0.32116991661277045</v>
      </c>
      <c r="Q2594">
        <f>IF(dataset[[#This Row],[state]]="VA",1,0)</f>
        <v>0</v>
      </c>
    </row>
    <row r="2595" spans="1:17" x14ac:dyDescent="0.35">
      <c r="A2595">
        <v>202202</v>
      </c>
      <c r="B2595">
        <v>72</v>
      </c>
      <c r="C2595" s="2">
        <v>1911757.2152</v>
      </c>
      <c r="D2595" s="2">
        <v>0.73089999999999999</v>
      </c>
      <c r="E2595" s="3">
        <v>153392</v>
      </c>
      <c r="F2595" s="2">
        <v>112120.3051</v>
      </c>
      <c r="G2595" t="s">
        <v>1801</v>
      </c>
      <c r="H2595" t="s">
        <v>7</v>
      </c>
      <c r="I2595">
        <f>HLOOKUP(G2595,zip_tiers!$A$1:$EON$2,2,FALSE)</f>
        <v>58817</v>
      </c>
      <c r="J2595" t="str">
        <f t="shared" si="40"/>
        <v>Med</v>
      </c>
      <c r="K2595">
        <f>dataset[[#This Row],[soda_sales]]/dataset[[#This Row],[soda_units_sold]]</f>
        <v>0.73093971719516004</v>
      </c>
      <c r="L2595" s="29">
        <f>dataset[[#This Row],[implied_soda_ppu]]-dataset[[#This Row],[soda_ppu]]</f>
        <v>3.9717195160049457E-5</v>
      </c>
      <c r="M2595">
        <f>dataset[[#This Row],[soda_sales]]/dataset[[#This Row],[total_sales]]</f>
        <v>5.8647774000042389E-2</v>
      </c>
      <c r="N2595">
        <f>LN(dataset[[#This Row],[soda_units_sold]])</f>
        <v>11.940752015316777</v>
      </c>
      <c r="O2595">
        <f>LN(dataset[[#This Row],[soda_sales]])</f>
        <v>11.627327726466602</v>
      </c>
      <c r="P2595">
        <f>LN(dataset[[#This Row],[soda_ppu]])</f>
        <v>-0.31347862749579103</v>
      </c>
      <c r="Q2595">
        <f>IF(dataset[[#This Row],[state]]="VA",1,0)</f>
        <v>0</v>
      </c>
    </row>
    <row r="2596" spans="1:17" x14ac:dyDescent="0.35">
      <c r="A2596">
        <v>202203</v>
      </c>
      <c r="B2596">
        <v>72</v>
      </c>
      <c r="C2596" s="2">
        <v>2149472.3221999998</v>
      </c>
      <c r="D2596" s="2">
        <v>0.76019999999999999</v>
      </c>
      <c r="E2596" s="3">
        <v>177517</v>
      </c>
      <c r="F2596" s="2">
        <v>134940.2991</v>
      </c>
      <c r="G2596" t="s">
        <v>1801</v>
      </c>
      <c r="H2596" t="s">
        <v>7</v>
      </c>
      <c r="I2596">
        <f>HLOOKUP(G2596,zip_tiers!$A$1:$EON$2,2,FALSE)</f>
        <v>58817</v>
      </c>
      <c r="J2596" t="str">
        <f t="shared" si="40"/>
        <v>Med</v>
      </c>
      <c r="K2596">
        <f>dataset[[#This Row],[soda_sales]]/dataset[[#This Row],[soda_units_sold]]</f>
        <v>0.7601542336790279</v>
      </c>
      <c r="L2596" s="29">
        <f>dataset[[#This Row],[implied_soda_ppu]]-dataset[[#This Row],[soda_ppu]]</f>
        <v>-4.5766320972084884E-5</v>
      </c>
      <c r="M2596">
        <f>dataset[[#This Row],[soda_sales]]/dataset[[#This Row],[total_sales]]</f>
        <v>6.2778337597707554E-2</v>
      </c>
      <c r="N2596">
        <f>LN(dataset[[#This Row],[soda_units_sold]])</f>
        <v>12.086821657959396</v>
      </c>
      <c r="O2596">
        <f>LN(dataset[[#This Row],[soda_sales]])</f>
        <v>11.812587730719645</v>
      </c>
      <c r="P2596">
        <f>LN(dataset[[#This Row],[soda_ppu]])</f>
        <v>-0.27417372242698868</v>
      </c>
      <c r="Q2596">
        <f>IF(dataset[[#This Row],[state]]="VA",1,0)</f>
        <v>0</v>
      </c>
    </row>
    <row r="2597" spans="1:17" x14ac:dyDescent="0.35">
      <c r="A2597">
        <v>202204</v>
      </c>
      <c r="B2597">
        <v>72</v>
      </c>
      <c r="C2597" s="2">
        <v>2266956.6019000001</v>
      </c>
      <c r="D2597" s="2">
        <v>0.72560000000000002</v>
      </c>
      <c r="E2597" s="3">
        <v>216923</v>
      </c>
      <c r="F2597" s="2">
        <v>157396.41680000001</v>
      </c>
      <c r="G2597" t="s">
        <v>1801</v>
      </c>
      <c r="H2597" t="s">
        <v>7</v>
      </c>
      <c r="I2597">
        <f>HLOOKUP(G2597,zip_tiers!$A$1:$EON$2,2,FALSE)</f>
        <v>58817</v>
      </c>
      <c r="J2597" t="str">
        <f t="shared" si="40"/>
        <v>Med</v>
      </c>
      <c r="K2597">
        <f>dataset[[#This Row],[soda_sales]]/dataset[[#This Row],[soda_units_sold]]</f>
        <v>0.72558657588176456</v>
      </c>
      <c r="L2597" s="29">
        <f>dataset[[#This Row],[implied_soda_ppu]]-dataset[[#This Row],[soda_ppu]]</f>
        <v>-1.342411823546108E-5</v>
      </c>
      <c r="M2597">
        <f>dataset[[#This Row],[soda_sales]]/dataset[[#This Row],[total_sales]]</f>
        <v>6.9430714583632369E-2</v>
      </c>
      <c r="N2597">
        <f>LN(dataset[[#This Row],[soda_units_sold]])</f>
        <v>12.287297730842768</v>
      </c>
      <c r="O2597">
        <f>LN(dataset[[#This Row],[soda_sales]])</f>
        <v>11.966522849776201</v>
      </c>
      <c r="P2597">
        <f>LN(dataset[[#This Row],[soda_ppu]])</f>
        <v>-0.32075638018121017</v>
      </c>
      <c r="Q2597">
        <f>IF(dataset[[#This Row],[state]]="VA",1,0)</f>
        <v>0</v>
      </c>
    </row>
    <row r="2598" spans="1:17" x14ac:dyDescent="0.35">
      <c r="A2598">
        <v>202205</v>
      </c>
      <c r="B2598">
        <v>72</v>
      </c>
      <c r="C2598" s="2">
        <v>2405686.9781999998</v>
      </c>
      <c r="D2598" s="2">
        <v>0.72440000000000004</v>
      </c>
      <c r="E2598" s="3">
        <v>245409</v>
      </c>
      <c r="F2598" s="2">
        <v>177768.92610000001</v>
      </c>
      <c r="G2598" t="s">
        <v>1801</v>
      </c>
      <c r="H2598" t="s">
        <v>7</v>
      </c>
      <c r="I2598">
        <f>HLOOKUP(G2598,zip_tiers!$A$1:$EON$2,2,FALSE)</f>
        <v>58817</v>
      </c>
      <c r="J2598" t="str">
        <f t="shared" si="40"/>
        <v>Med</v>
      </c>
      <c r="K2598">
        <f>dataset[[#This Row],[soda_sales]]/dataset[[#This Row],[soda_units_sold]]</f>
        <v>0.72437818539662369</v>
      </c>
      <c r="L2598" s="29">
        <f>dataset[[#This Row],[implied_soda_ppu]]-dataset[[#This Row],[soda_ppu]]</f>
        <v>-2.1814603376357766E-5</v>
      </c>
      <c r="M2598">
        <f>dataset[[#This Row],[soda_sales]]/dataset[[#This Row],[total_sales]]</f>
        <v>7.3895285509260875E-2</v>
      </c>
      <c r="N2598">
        <f>LN(dataset[[#This Row],[soda_units_sold]])</f>
        <v>12.410681485403069</v>
      </c>
      <c r="O2598">
        <f>LN(dataset[[#This Row],[soda_sales]])</f>
        <v>12.088239817946693</v>
      </c>
      <c r="P2598">
        <f>LN(dataset[[#This Row],[soda_ppu]])</f>
        <v>-0.32241155297287866</v>
      </c>
      <c r="Q2598">
        <f>IF(dataset[[#This Row],[state]]="VA",1,0)</f>
        <v>0</v>
      </c>
    </row>
    <row r="2599" spans="1:17" x14ac:dyDescent="0.35">
      <c r="A2599">
        <v>202206</v>
      </c>
      <c r="B2599">
        <v>72</v>
      </c>
      <c r="C2599" s="2">
        <v>2226152.8879999998</v>
      </c>
      <c r="D2599" s="2">
        <v>0.75190000000000001</v>
      </c>
      <c r="E2599" s="3">
        <v>236349</v>
      </c>
      <c r="F2599" s="2">
        <v>177713.01070000001</v>
      </c>
      <c r="G2599" t="s">
        <v>1801</v>
      </c>
      <c r="H2599" t="s">
        <v>7</v>
      </c>
      <c r="I2599">
        <f>HLOOKUP(G2599,zip_tiers!$A$1:$EON$2,2,FALSE)</f>
        <v>58817</v>
      </c>
      <c r="J2599" t="str">
        <f t="shared" si="40"/>
        <v>Med</v>
      </c>
      <c r="K2599">
        <f>dataset[[#This Row],[soda_sales]]/dataset[[#This Row],[soda_units_sold]]</f>
        <v>0.75190929811422946</v>
      </c>
      <c r="L2599" s="29">
        <f>dataset[[#This Row],[implied_soda_ppu]]-dataset[[#This Row],[soda_ppu]]</f>
        <v>9.2981142294501495E-6</v>
      </c>
      <c r="M2599">
        <f>dataset[[#This Row],[soda_sales]]/dataset[[#This Row],[total_sales]]</f>
        <v>7.9829652158194458E-2</v>
      </c>
      <c r="N2599">
        <f>LN(dataset[[#This Row],[soda_units_sold]])</f>
        <v>12.373064805199103</v>
      </c>
      <c r="O2599">
        <f>LN(dataset[[#This Row],[soda_sales]])</f>
        <v>12.087925228682527</v>
      </c>
      <c r="P2599">
        <f>LN(dataset[[#This Row],[soda_ppu]])</f>
        <v>-0.28515194259815579</v>
      </c>
      <c r="Q2599">
        <f>IF(dataset[[#This Row],[state]]="VA",1,0)</f>
        <v>0</v>
      </c>
    </row>
    <row r="2600" spans="1:17" x14ac:dyDescent="0.35">
      <c r="A2600">
        <v>202207</v>
      </c>
      <c r="B2600">
        <v>72</v>
      </c>
      <c r="C2600" s="2">
        <v>2155074.9879000001</v>
      </c>
      <c r="D2600" s="2">
        <v>0.74890000000000001</v>
      </c>
      <c r="E2600" s="3">
        <v>245228</v>
      </c>
      <c r="F2600" s="2">
        <v>183641.7873</v>
      </c>
      <c r="G2600" t="s">
        <v>1801</v>
      </c>
      <c r="H2600" t="s">
        <v>7</v>
      </c>
      <c r="I2600">
        <f>HLOOKUP(G2600,zip_tiers!$A$1:$EON$2,2,FALSE)</f>
        <v>58817</v>
      </c>
      <c r="J2600" t="str">
        <f t="shared" si="40"/>
        <v>Med</v>
      </c>
      <c r="K2600">
        <f>dataset[[#This Row],[soda_sales]]/dataset[[#This Row],[soda_units_sold]]</f>
        <v>0.74886141590682953</v>
      </c>
      <c r="L2600" s="29">
        <f>dataset[[#This Row],[implied_soda_ppu]]-dataset[[#This Row],[soda_ppu]]</f>
        <v>-3.8584093170479505E-5</v>
      </c>
      <c r="M2600">
        <f>dataset[[#This Row],[soda_sales]]/dataset[[#This Row],[total_sales]]</f>
        <v>8.5213641442216659E-2</v>
      </c>
      <c r="N2600">
        <f>LN(dataset[[#This Row],[soda_units_sold]])</f>
        <v>12.409943669020649</v>
      </c>
      <c r="O2600">
        <f>LN(dataset[[#This Row],[soda_sales]])</f>
        <v>12.120742330944854</v>
      </c>
      <c r="P2600">
        <f>LN(dataset[[#This Row],[soda_ppu]])</f>
        <v>-0.28914981572681564</v>
      </c>
      <c r="Q2600">
        <f>IF(dataset[[#This Row],[state]]="VA",1,0)</f>
        <v>0</v>
      </c>
    </row>
    <row r="2601" spans="1:17" x14ac:dyDescent="0.35">
      <c r="A2601">
        <v>202208</v>
      </c>
      <c r="B2601">
        <v>72</v>
      </c>
      <c r="C2601" s="2">
        <v>2076826.4127</v>
      </c>
      <c r="D2601" s="2">
        <v>0.74280000000000002</v>
      </c>
      <c r="E2601" s="3">
        <v>223318</v>
      </c>
      <c r="F2601" s="2">
        <v>165889.4063</v>
      </c>
      <c r="G2601" t="s">
        <v>1801</v>
      </c>
      <c r="H2601" t="s">
        <v>7</v>
      </c>
      <c r="I2601">
        <f>HLOOKUP(G2601,zip_tiers!$A$1:$EON$2,2,FALSE)</f>
        <v>58817</v>
      </c>
      <c r="J2601" t="str">
        <f t="shared" si="40"/>
        <v>Med</v>
      </c>
      <c r="K2601">
        <f>dataset[[#This Row],[soda_sales]]/dataset[[#This Row],[soda_units_sold]]</f>
        <v>0.74283938733107047</v>
      </c>
      <c r="L2601" s="29">
        <f>dataset[[#This Row],[implied_soda_ppu]]-dataset[[#This Row],[soda_ppu]]</f>
        <v>3.9387331070450671E-5</v>
      </c>
      <c r="M2601">
        <f>dataset[[#This Row],[soda_sales]]/dataset[[#This Row],[total_sales]]</f>
        <v>7.9876394717232888E-2</v>
      </c>
      <c r="N2601">
        <f>LN(dataset[[#This Row],[soda_units_sold]])</f>
        <v>12.31635204362564</v>
      </c>
      <c r="O2601">
        <f>LN(dataset[[#This Row],[soda_sales]])</f>
        <v>12.019076618202346</v>
      </c>
      <c r="P2601">
        <f>LN(dataset[[#This Row],[soda_ppu]])</f>
        <v>-0.29732844950358628</v>
      </c>
      <c r="Q2601">
        <f>IF(dataset[[#This Row],[state]]="VA",1,0)</f>
        <v>0</v>
      </c>
    </row>
    <row r="2602" spans="1:17" x14ac:dyDescent="0.35">
      <c r="A2602">
        <v>202209</v>
      </c>
      <c r="B2602">
        <v>72</v>
      </c>
      <c r="C2602" s="2">
        <v>2009850.8498</v>
      </c>
      <c r="D2602" s="2">
        <v>0.6966</v>
      </c>
      <c r="E2602" s="3">
        <v>223866</v>
      </c>
      <c r="F2602" s="2">
        <v>155954.70699999999</v>
      </c>
      <c r="G2602" t="s">
        <v>1801</v>
      </c>
      <c r="H2602" t="s">
        <v>7</v>
      </c>
      <c r="I2602">
        <f>HLOOKUP(G2602,zip_tiers!$A$1:$EON$2,2,FALSE)</f>
        <v>58817</v>
      </c>
      <c r="J2602" t="str">
        <f t="shared" si="40"/>
        <v>Med</v>
      </c>
      <c r="K2602">
        <f>dataset[[#This Row],[soda_sales]]/dataset[[#This Row],[soda_units_sold]]</f>
        <v>0.69664311239759502</v>
      </c>
      <c r="L2602" s="29">
        <f>dataset[[#This Row],[implied_soda_ppu]]-dataset[[#This Row],[soda_ppu]]</f>
        <v>4.3112397595024277E-5</v>
      </c>
      <c r="M2602">
        <f>dataset[[#This Row],[soda_sales]]/dataset[[#This Row],[total_sales]]</f>
        <v>7.7595164345413511E-2</v>
      </c>
      <c r="N2602">
        <f>LN(dataset[[#This Row],[soda_units_sold]])</f>
        <v>12.318802937549906</v>
      </c>
      <c r="O2602">
        <f>LN(dataset[[#This Row],[soda_sales]])</f>
        <v>11.957320904331342</v>
      </c>
      <c r="P2602">
        <f>LN(dataset[[#This Row],[soda_ppu]])</f>
        <v>-0.36154392105023625</v>
      </c>
      <c r="Q2602">
        <f>IF(dataset[[#This Row],[state]]="VA",1,0)</f>
        <v>0</v>
      </c>
    </row>
    <row r="2603" spans="1:17" x14ac:dyDescent="0.35">
      <c r="A2603">
        <v>202210</v>
      </c>
      <c r="B2603">
        <v>72</v>
      </c>
      <c r="C2603" s="2">
        <v>2509761.0778000001</v>
      </c>
      <c r="D2603" s="2">
        <v>0.78480000000000005</v>
      </c>
      <c r="E2603" s="3">
        <v>187807</v>
      </c>
      <c r="F2603" s="2">
        <v>147395.88010000001</v>
      </c>
      <c r="G2603" t="s">
        <v>1801</v>
      </c>
      <c r="H2603" t="s">
        <v>7</v>
      </c>
      <c r="I2603">
        <f>HLOOKUP(G2603,zip_tiers!$A$1:$EON$2,2,FALSE)</f>
        <v>58817</v>
      </c>
      <c r="J2603" t="str">
        <f t="shared" si="40"/>
        <v>Med</v>
      </c>
      <c r="K2603">
        <f>dataset[[#This Row],[soda_sales]]/dataset[[#This Row],[soda_units_sold]]</f>
        <v>0.78482633820890602</v>
      </c>
      <c r="L2603" s="29">
        <f>dataset[[#This Row],[implied_soda_ppu]]-dataset[[#This Row],[soda_ppu]]</f>
        <v>2.6338208905962723E-5</v>
      </c>
      <c r="M2603">
        <f>dataset[[#This Row],[soda_sales]]/dataset[[#This Row],[total_sales]]</f>
        <v>5.8729048515328765E-2</v>
      </c>
      <c r="N2603">
        <f>LN(dataset[[#This Row],[soda_units_sold]])</f>
        <v>12.143170118757073</v>
      </c>
      <c r="O2603">
        <f>LN(dataset[[#This Row],[soda_sales]])</f>
        <v>11.900877307871854</v>
      </c>
      <c r="P2603">
        <f>LN(dataset[[#This Row],[soda_ppu]])</f>
        <v>-0.24232637073098365</v>
      </c>
      <c r="Q2603">
        <f>IF(dataset[[#This Row],[state]]="VA",1,0)</f>
        <v>0</v>
      </c>
    </row>
    <row r="2604" spans="1:17" x14ac:dyDescent="0.35">
      <c r="A2604">
        <v>202211</v>
      </c>
      <c r="B2604">
        <v>72</v>
      </c>
      <c r="C2604" s="2">
        <v>2904606.4676999999</v>
      </c>
      <c r="D2604" s="2">
        <v>0.73180000000000001</v>
      </c>
      <c r="E2604" s="3">
        <v>198537</v>
      </c>
      <c r="F2604" s="2">
        <v>145279.6709</v>
      </c>
      <c r="G2604" t="s">
        <v>1801</v>
      </c>
      <c r="H2604" t="s">
        <v>7</v>
      </c>
      <c r="I2604">
        <f>HLOOKUP(G2604,zip_tiers!$A$1:$EON$2,2,FALSE)</f>
        <v>58817</v>
      </c>
      <c r="J2604" t="str">
        <f t="shared" si="40"/>
        <v>Med</v>
      </c>
      <c r="K2604">
        <f>dataset[[#This Row],[soda_sales]]/dataset[[#This Row],[soda_units_sold]]</f>
        <v>0.73175111389816505</v>
      </c>
      <c r="L2604" s="29">
        <f>dataset[[#This Row],[implied_soda_ppu]]-dataset[[#This Row],[soda_ppu]]</f>
        <v>-4.888610183495512E-5</v>
      </c>
      <c r="M2604">
        <f>dataset[[#This Row],[soda_sales]]/dataset[[#This Row],[total_sales]]</f>
        <v>5.0016989397892196E-2</v>
      </c>
      <c r="N2604">
        <f>LN(dataset[[#This Row],[soda_units_sold]])</f>
        <v>12.198730759724324</v>
      </c>
      <c r="O2604">
        <f>LN(dataset[[#This Row],[soda_sales]])</f>
        <v>11.886415928551717</v>
      </c>
      <c r="P2604">
        <f>LN(dataset[[#This Row],[soda_ppu]])</f>
        <v>-0.31224802639703059</v>
      </c>
      <c r="Q2604">
        <f>IF(dataset[[#This Row],[state]]="VA",1,0)</f>
        <v>0</v>
      </c>
    </row>
    <row r="2605" spans="1:17" x14ac:dyDescent="0.35">
      <c r="A2605">
        <v>202212</v>
      </c>
      <c r="B2605">
        <v>72</v>
      </c>
      <c r="C2605" s="2">
        <v>2979834.7248</v>
      </c>
      <c r="D2605" s="2">
        <v>0.72950000000000004</v>
      </c>
      <c r="E2605" s="3">
        <v>191809</v>
      </c>
      <c r="F2605" s="2">
        <v>139921.27859999999</v>
      </c>
      <c r="G2605" t="s">
        <v>1801</v>
      </c>
      <c r="H2605" t="s">
        <v>7</v>
      </c>
      <c r="I2605">
        <f>HLOOKUP(G2605,zip_tiers!$A$1:$EON$2,2,FALSE)</f>
        <v>58817</v>
      </c>
      <c r="J2605" t="str">
        <f t="shared" si="40"/>
        <v>Med</v>
      </c>
      <c r="K2605">
        <f>dataset[[#This Row],[soda_sales]]/dataset[[#This Row],[soda_units_sold]]</f>
        <v>0.72948234233013043</v>
      </c>
      <c r="L2605" s="29">
        <f>dataset[[#This Row],[implied_soda_ppu]]-dataset[[#This Row],[soda_ppu]]</f>
        <v>-1.7657669869608483E-5</v>
      </c>
      <c r="M2605">
        <f>dataset[[#This Row],[soda_sales]]/dataset[[#This Row],[total_sales]]</f>
        <v>4.6956053446686109E-2</v>
      </c>
      <c r="N2605">
        <f>LN(dataset[[#This Row],[soda_units_sold]])</f>
        <v>12.164255364209625</v>
      </c>
      <c r="O2605">
        <f>LN(dataset[[#This Row],[soda_sales]])</f>
        <v>11.848835247729633</v>
      </c>
      <c r="P2605">
        <f>LN(dataset[[#This Row],[soda_ppu]])</f>
        <v>-0.31539591101929665</v>
      </c>
      <c r="Q2605">
        <f>IF(dataset[[#This Row],[state]]="VA",1,0)</f>
        <v>0</v>
      </c>
    </row>
    <row r="2606" spans="1:17" x14ac:dyDescent="0.35">
      <c r="A2606">
        <v>202301</v>
      </c>
      <c r="B2606">
        <v>72</v>
      </c>
      <c r="C2606" s="2">
        <v>1724546.6221</v>
      </c>
      <c r="D2606" s="2">
        <v>0.74890000000000001</v>
      </c>
      <c r="E2606" s="3">
        <v>136155</v>
      </c>
      <c r="F2606" s="2">
        <v>101970.0113</v>
      </c>
      <c r="G2606" t="s">
        <v>1801</v>
      </c>
      <c r="H2606" t="s">
        <v>7</v>
      </c>
      <c r="I2606">
        <f>HLOOKUP(G2606,zip_tiers!$A$1:$EON$2,2,FALSE)</f>
        <v>58817</v>
      </c>
      <c r="J2606" t="str">
        <f t="shared" si="40"/>
        <v>Med</v>
      </c>
      <c r="K2606">
        <f>dataset[[#This Row],[soda_sales]]/dataset[[#This Row],[soda_units_sold]]</f>
        <v>0.74892593955418452</v>
      </c>
      <c r="L2606" s="29">
        <f>dataset[[#This Row],[implied_soda_ppu]]-dataset[[#This Row],[soda_ppu]]</f>
        <v>2.5939554184506441E-5</v>
      </c>
      <c r="M2606">
        <f>dataset[[#This Row],[soda_sales]]/dataset[[#This Row],[total_sales]]</f>
        <v>5.9128590664501698E-2</v>
      </c>
      <c r="N2606">
        <f>LN(dataset[[#This Row],[soda_units_sold]])</f>
        <v>11.821549221628837</v>
      </c>
      <c r="O2606">
        <f>LN(dataset[[#This Row],[soda_sales]])</f>
        <v>11.532434042175172</v>
      </c>
      <c r="P2606">
        <f>LN(dataset[[#This Row],[soda_ppu]])</f>
        <v>-0.28914981572681564</v>
      </c>
      <c r="Q2606">
        <f>IF(dataset[[#This Row],[state]]="VA",1,0)</f>
        <v>0</v>
      </c>
    </row>
    <row r="2607" spans="1:17" x14ac:dyDescent="0.35">
      <c r="A2607">
        <v>202302</v>
      </c>
      <c r="B2607">
        <v>72</v>
      </c>
      <c r="C2607" s="2">
        <v>1943677.0859999999</v>
      </c>
      <c r="D2607" s="2">
        <v>0.74419999999999997</v>
      </c>
      <c r="E2607" s="3">
        <v>154135</v>
      </c>
      <c r="F2607" s="2">
        <v>114712.3953</v>
      </c>
      <c r="G2607" t="s">
        <v>1801</v>
      </c>
      <c r="H2607" t="s">
        <v>7</v>
      </c>
      <c r="I2607">
        <f>HLOOKUP(G2607,zip_tiers!$A$1:$EON$2,2,FALSE)</f>
        <v>58817</v>
      </c>
      <c r="J2607" t="str">
        <f t="shared" si="40"/>
        <v>Med</v>
      </c>
      <c r="K2607">
        <f>dataset[[#This Row],[soda_sales]]/dataset[[#This Row],[soda_units_sold]]</f>
        <v>0.74423327148279106</v>
      </c>
      <c r="L2607" s="29">
        <f>dataset[[#This Row],[implied_soda_ppu]]-dataset[[#This Row],[soda_ppu]]</f>
        <v>3.3271482791086271E-5</v>
      </c>
      <c r="M2607">
        <f>dataset[[#This Row],[soda_sales]]/dataset[[#This Row],[total_sales]]</f>
        <v>5.9018237199098211E-2</v>
      </c>
      <c r="N2607">
        <f>LN(dataset[[#This Row],[soda_units_sold]])</f>
        <v>11.945584120762522</v>
      </c>
      <c r="O2607">
        <f>LN(dataset[[#This Row],[soda_sales]])</f>
        <v>11.650183364410278</v>
      </c>
      <c r="P2607">
        <f>LN(dataset[[#This Row],[soda_ppu]])</f>
        <v>-0.29544546306961494</v>
      </c>
      <c r="Q2607">
        <f>IF(dataset[[#This Row],[state]]="VA",1,0)</f>
        <v>0</v>
      </c>
    </row>
    <row r="2608" spans="1:17" x14ac:dyDescent="0.35">
      <c r="A2608">
        <v>202303</v>
      </c>
      <c r="B2608">
        <v>72</v>
      </c>
      <c r="C2608" s="2">
        <v>2174133.4497000002</v>
      </c>
      <c r="D2608" s="2">
        <v>0.75480000000000003</v>
      </c>
      <c r="E2608" s="3">
        <v>183572</v>
      </c>
      <c r="F2608" s="2">
        <v>138555.21179999999</v>
      </c>
      <c r="G2608" t="s">
        <v>1801</v>
      </c>
      <c r="H2608" t="s">
        <v>7</v>
      </c>
      <c r="I2608">
        <f>HLOOKUP(G2608,zip_tiers!$A$1:$EON$2,2,FALSE)</f>
        <v>58817</v>
      </c>
      <c r="J2608" t="str">
        <f t="shared" si="40"/>
        <v>Med</v>
      </c>
      <c r="K2608">
        <f>dataset[[#This Row],[soda_sales]]/dataset[[#This Row],[soda_units_sold]]</f>
        <v>0.75477312335214519</v>
      </c>
      <c r="L2608" s="29">
        <f>dataset[[#This Row],[implied_soda_ppu]]-dataset[[#This Row],[soda_ppu]]</f>
        <v>-2.6876647854834346E-5</v>
      </c>
      <c r="M2608">
        <f>dataset[[#This Row],[soda_sales]]/dataset[[#This Row],[total_sales]]</f>
        <v>6.3728936151145027E-2</v>
      </c>
      <c r="N2608">
        <f>LN(dataset[[#This Row],[soda_units_sold]])</f>
        <v>12.120362240091765</v>
      </c>
      <c r="O2608">
        <f>LN(dataset[[#This Row],[soda_sales]])</f>
        <v>11.839024166328489</v>
      </c>
      <c r="P2608">
        <f>LN(dataset[[#This Row],[soda_ppu]])</f>
        <v>-0.28130246548774185</v>
      </c>
      <c r="Q2608">
        <f>IF(dataset[[#This Row],[state]]="VA",1,0)</f>
        <v>0</v>
      </c>
    </row>
    <row r="2609" spans="1:17" x14ac:dyDescent="0.35">
      <c r="A2609">
        <v>202304</v>
      </c>
      <c r="B2609">
        <v>72</v>
      </c>
      <c r="C2609" s="2">
        <v>2330510.8278999999</v>
      </c>
      <c r="D2609" s="2">
        <v>0.7641</v>
      </c>
      <c r="E2609" s="3">
        <v>211670</v>
      </c>
      <c r="F2609" s="2">
        <v>161727.18179999999</v>
      </c>
      <c r="G2609" t="s">
        <v>1801</v>
      </c>
      <c r="H2609" t="s">
        <v>7</v>
      </c>
      <c r="I2609">
        <f>HLOOKUP(G2609,zip_tiers!$A$1:$EON$2,2,FALSE)</f>
        <v>58817</v>
      </c>
      <c r="J2609" t="str">
        <f t="shared" si="40"/>
        <v>Med</v>
      </c>
      <c r="K2609">
        <f>dataset[[#This Row],[soda_sales]]/dataset[[#This Row],[soda_units_sold]]</f>
        <v>0.76405339348986623</v>
      </c>
      <c r="L2609" s="29">
        <f>dataset[[#This Row],[implied_soda_ppu]]-dataset[[#This Row],[soda_ppu]]</f>
        <v>-4.6606510133773149E-5</v>
      </c>
      <c r="M2609">
        <f>dataset[[#This Row],[soda_sales]]/dataset[[#This Row],[total_sales]]</f>
        <v>6.9395593388309099E-2</v>
      </c>
      <c r="N2609">
        <f>LN(dataset[[#This Row],[soda_units_sold]])</f>
        <v>12.262783737114216</v>
      </c>
      <c r="O2609">
        <f>LN(dataset[[#This Row],[soda_sales]])</f>
        <v>11.993666131623474</v>
      </c>
      <c r="P2609">
        <f>LN(dataset[[#This Row],[soda_ppu]])</f>
        <v>-0.26905660832861605</v>
      </c>
      <c r="Q2609">
        <f>IF(dataset[[#This Row],[state]]="VA",1,0)</f>
        <v>0</v>
      </c>
    </row>
    <row r="2610" spans="1:17" x14ac:dyDescent="0.35">
      <c r="A2610">
        <v>202305</v>
      </c>
      <c r="B2610">
        <v>72</v>
      </c>
      <c r="C2610" s="2">
        <v>2421710.6024000002</v>
      </c>
      <c r="D2610" s="2">
        <v>0.71430000000000005</v>
      </c>
      <c r="E2610" s="3">
        <v>249607</v>
      </c>
      <c r="F2610" s="2">
        <v>178293.90119999999</v>
      </c>
      <c r="G2610" t="s">
        <v>1801</v>
      </c>
      <c r="H2610" t="s">
        <v>7</v>
      </c>
      <c r="I2610">
        <f>HLOOKUP(G2610,zip_tiers!$A$1:$EON$2,2,FALSE)</f>
        <v>58817</v>
      </c>
      <c r="J2610" t="str">
        <f t="shared" si="40"/>
        <v>Med</v>
      </c>
      <c r="K2610">
        <f>dataset[[#This Row],[soda_sales]]/dataset[[#This Row],[soda_units_sold]]</f>
        <v>0.71429848201372559</v>
      </c>
      <c r="L2610" s="29">
        <f>dataset[[#This Row],[implied_soda_ppu]]-dataset[[#This Row],[soda_ppu]]</f>
        <v>-1.517986274457428E-6</v>
      </c>
      <c r="M2610">
        <f>dataset[[#This Row],[soda_sales]]/dataset[[#This Row],[total_sales]]</f>
        <v>7.3623124506827731E-2</v>
      </c>
      <c r="N2610">
        <f>LN(dataset[[#This Row],[soda_units_sold]])</f>
        <v>12.427642959955955</v>
      </c>
      <c r="O2610">
        <f>LN(dataset[[#This Row],[soda_sales]])</f>
        <v>12.091188597994204</v>
      </c>
      <c r="P2610">
        <f>LN(dataset[[#This Row],[soda_ppu]])</f>
        <v>-0.33645223682121023</v>
      </c>
      <c r="Q2610">
        <f>IF(dataset[[#This Row],[state]]="VA",1,0)</f>
        <v>0</v>
      </c>
    </row>
    <row r="2611" spans="1:17" x14ac:dyDescent="0.35">
      <c r="A2611">
        <v>202306</v>
      </c>
      <c r="B2611">
        <v>72</v>
      </c>
      <c r="C2611" s="2">
        <v>2325704.8552999999</v>
      </c>
      <c r="D2611" s="2">
        <v>0.7621</v>
      </c>
      <c r="E2611" s="3">
        <v>240333</v>
      </c>
      <c r="F2611" s="2">
        <v>183163.31709999999</v>
      </c>
      <c r="G2611" t="s">
        <v>1801</v>
      </c>
      <c r="H2611" t="s">
        <v>7</v>
      </c>
      <c r="I2611">
        <f>HLOOKUP(G2611,zip_tiers!$A$1:$EON$2,2,FALSE)</f>
        <v>58817</v>
      </c>
      <c r="J2611" t="str">
        <f t="shared" si="40"/>
        <v>Med</v>
      </c>
      <c r="K2611">
        <f>dataset[[#This Row],[soda_sales]]/dataset[[#This Row],[soda_units_sold]]</f>
        <v>0.76212304219562022</v>
      </c>
      <c r="L2611" s="29">
        <f>dataset[[#This Row],[implied_soda_ppu]]-dataset[[#This Row],[soda_ppu]]</f>
        <v>2.3042195620215367E-5</v>
      </c>
      <c r="M2611">
        <f>dataset[[#This Row],[soda_sales]]/dataset[[#This Row],[total_sales]]</f>
        <v>7.8756045369468508E-2</v>
      </c>
      <c r="N2611">
        <f>LN(dataset[[#This Row],[soda_units_sold]])</f>
        <v>12.389780740635462</v>
      </c>
      <c r="O2611">
        <f>LN(dataset[[#This Row],[soda_sales]])</f>
        <v>12.118133477002324</v>
      </c>
      <c r="P2611">
        <f>LN(dataset[[#This Row],[soda_ppu]])</f>
        <v>-0.27167749831006527</v>
      </c>
      <c r="Q2611">
        <f>IF(dataset[[#This Row],[state]]="VA",1,0)</f>
        <v>0</v>
      </c>
    </row>
    <row r="2612" spans="1:17" x14ac:dyDescent="0.35">
      <c r="A2612">
        <v>202307</v>
      </c>
      <c r="B2612">
        <v>72</v>
      </c>
      <c r="C2612" s="2">
        <v>2210379.0729999999</v>
      </c>
      <c r="D2612" s="2">
        <v>0.80159999999999998</v>
      </c>
      <c r="E2612" s="3">
        <v>226938</v>
      </c>
      <c r="F2612" s="2">
        <v>181903.30309999999</v>
      </c>
      <c r="G2612" t="s">
        <v>1801</v>
      </c>
      <c r="H2612" t="s">
        <v>7</v>
      </c>
      <c r="I2612">
        <f>HLOOKUP(G2612,zip_tiers!$A$1:$EON$2,2,FALSE)</f>
        <v>58817</v>
      </c>
      <c r="J2612" t="str">
        <f t="shared" si="40"/>
        <v>Med</v>
      </c>
      <c r="K2612">
        <f>dataset[[#This Row],[soda_sales]]/dataset[[#This Row],[soda_units_sold]]</f>
        <v>0.80155506393816811</v>
      </c>
      <c r="L2612" s="29">
        <f>dataset[[#This Row],[implied_soda_ppu]]-dataset[[#This Row],[soda_ppu]]</f>
        <v>-4.4936061831868379E-5</v>
      </c>
      <c r="M2612">
        <f>dataset[[#This Row],[soda_sales]]/dataset[[#This Row],[total_sales]]</f>
        <v>8.2295071158593081E-2</v>
      </c>
      <c r="N2612">
        <f>LN(dataset[[#This Row],[soda_units_sold]])</f>
        <v>12.332432131404058</v>
      </c>
      <c r="O2612">
        <f>LN(dataset[[#This Row],[soda_sales]])</f>
        <v>12.111230523219847</v>
      </c>
      <c r="P2612">
        <f>LN(dataset[[#This Row],[soda_ppu]])</f>
        <v>-0.22114554865153674</v>
      </c>
      <c r="Q2612">
        <f>IF(dataset[[#This Row],[state]]="VA",1,0)</f>
        <v>0</v>
      </c>
    </row>
    <row r="2613" spans="1:17" x14ac:dyDescent="0.35">
      <c r="A2613">
        <v>202308</v>
      </c>
      <c r="B2613">
        <v>72</v>
      </c>
      <c r="C2613" s="2">
        <v>2076058.8570999999</v>
      </c>
      <c r="D2613" s="2">
        <v>0.77749999999999997</v>
      </c>
      <c r="E2613" s="3">
        <v>207237</v>
      </c>
      <c r="F2613" s="2">
        <v>161119.36960000001</v>
      </c>
      <c r="G2613" t="s">
        <v>1801</v>
      </c>
      <c r="H2613" t="s">
        <v>7</v>
      </c>
      <c r="I2613">
        <f>HLOOKUP(G2613,zip_tiers!$A$1:$EON$2,2,FALSE)</f>
        <v>58817</v>
      </c>
      <c r="J2613" t="str">
        <f t="shared" si="40"/>
        <v>Med</v>
      </c>
      <c r="K2613">
        <f>dataset[[#This Row],[soda_sales]]/dataset[[#This Row],[soda_units_sold]]</f>
        <v>0.77746430222402374</v>
      </c>
      <c r="L2613" s="29">
        <f>dataset[[#This Row],[implied_soda_ppu]]-dataset[[#This Row],[soda_ppu]]</f>
        <v>-3.5697775976228918E-5</v>
      </c>
      <c r="M2613">
        <f>dataset[[#This Row],[soda_sales]]/dataset[[#This Row],[total_sales]]</f>
        <v>7.7608286031477958E-2</v>
      </c>
      <c r="N2613">
        <f>LN(dataset[[#This Row],[soda_units_sold]])</f>
        <v>12.241618344854057</v>
      </c>
      <c r="O2613">
        <f>LN(dataset[[#This Row],[soda_sales]])</f>
        <v>11.989900795333018</v>
      </c>
      <c r="P2613">
        <f>LN(dataset[[#This Row],[soda_ppu]])</f>
        <v>-0.25167163492874789</v>
      </c>
      <c r="Q2613">
        <f>IF(dataset[[#This Row],[state]]="VA",1,0)</f>
        <v>0</v>
      </c>
    </row>
    <row r="2614" spans="1:17" x14ac:dyDescent="0.35">
      <c r="A2614">
        <v>202309</v>
      </c>
      <c r="B2614">
        <v>72</v>
      </c>
      <c r="C2614" s="2">
        <v>2107729.7577</v>
      </c>
      <c r="D2614" s="2">
        <v>0.80840000000000001</v>
      </c>
      <c r="E2614" s="3">
        <v>188280</v>
      </c>
      <c r="F2614" s="2">
        <v>152212.7237</v>
      </c>
      <c r="G2614" t="s">
        <v>1801</v>
      </c>
      <c r="H2614" t="s">
        <v>7</v>
      </c>
      <c r="I2614">
        <f>HLOOKUP(G2614,zip_tiers!$A$1:$EON$2,2,FALSE)</f>
        <v>58817</v>
      </c>
      <c r="J2614" t="str">
        <f t="shared" si="40"/>
        <v>Med</v>
      </c>
      <c r="K2614">
        <f>dataset[[#This Row],[soda_sales]]/dataset[[#This Row],[soda_units_sold]]</f>
        <v>0.80843809060973015</v>
      </c>
      <c r="L2614" s="29">
        <f>dataset[[#This Row],[implied_soda_ppu]]-dataset[[#This Row],[soda_ppu]]</f>
        <v>3.8090609730145886E-5</v>
      </c>
      <c r="M2614">
        <f>dataset[[#This Row],[soda_sales]]/dataset[[#This Row],[total_sales]]</f>
        <v>7.2216432464329683E-2</v>
      </c>
      <c r="N2614">
        <f>LN(dataset[[#This Row],[soda_units_sold]])</f>
        <v>12.145685495515078</v>
      </c>
      <c r="O2614">
        <f>LN(dataset[[#This Row],[soda_sales]])</f>
        <v>11.933034319470092</v>
      </c>
      <c r="P2614">
        <f>LN(dataset[[#This Row],[soda_ppu]])</f>
        <v>-0.21269829345267111</v>
      </c>
      <c r="Q2614">
        <f>IF(dataset[[#This Row],[state]]="VA",1,0)</f>
        <v>0</v>
      </c>
    </row>
    <row r="2615" spans="1:17" x14ac:dyDescent="0.35">
      <c r="A2615">
        <v>202310</v>
      </c>
      <c r="B2615">
        <v>72</v>
      </c>
      <c r="C2615" s="2">
        <v>2531482.2815999999</v>
      </c>
      <c r="D2615" s="2">
        <v>0.79620000000000002</v>
      </c>
      <c r="E2615" s="3">
        <v>186678</v>
      </c>
      <c r="F2615" s="2">
        <v>148634.74840000001</v>
      </c>
      <c r="G2615" t="s">
        <v>1801</v>
      </c>
      <c r="H2615" t="s">
        <v>7</v>
      </c>
      <c r="I2615">
        <f>HLOOKUP(G2615,zip_tiers!$A$1:$EON$2,2,FALSE)</f>
        <v>58817</v>
      </c>
      <c r="J2615" t="str">
        <f t="shared" si="40"/>
        <v>Med</v>
      </c>
      <c r="K2615">
        <f>dataset[[#This Row],[soda_sales]]/dataset[[#This Row],[soda_units_sold]]</f>
        <v>0.7962092394390341</v>
      </c>
      <c r="L2615" s="29">
        <f>dataset[[#This Row],[implied_soda_ppu]]-dataset[[#This Row],[soda_ppu]]</f>
        <v>9.2394390340810872E-6</v>
      </c>
      <c r="M2615">
        <f>dataset[[#This Row],[soda_sales]]/dataset[[#This Row],[total_sales]]</f>
        <v>5.8714512631728472E-2</v>
      </c>
      <c r="N2615">
        <f>LN(dataset[[#This Row],[soda_units_sold]])</f>
        <v>12.137140486485899</v>
      </c>
      <c r="O2615">
        <f>LN(dataset[[#This Row],[soda_sales]])</f>
        <v>11.909247222422435</v>
      </c>
      <c r="P2615">
        <f>LN(dataset[[#This Row],[soda_ppu]])</f>
        <v>-0.2279048684159202</v>
      </c>
      <c r="Q2615">
        <f>IF(dataset[[#This Row],[state]]="VA",1,0)</f>
        <v>0</v>
      </c>
    </row>
    <row r="2616" spans="1:17" x14ac:dyDescent="0.35">
      <c r="A2616">
        <v>202311</v>
      </c>
      <c r="B2616">
        <v>72</v>
      </c>
      <c r="C2616" s="2">
        <v>2939398.5131999999</v>
      </c>
      <c r="D2616" s="2">
        <v>0.77339999999999998</v>
      </c>
      <c r="E2616" s="3">
        <v>185561</v>
      </c>
      <c r="F2616" s="2">
        <v>143511.81219999999</v>
      </c>
      <c r="G2616" t="s">
        <v>1801</v>
      </c>
      <c r="H2616" t="s">
        <v>7</v>
      </c>
      <c r="I2616">
        <f>HLOOKUP(G2616,zip_tiers!$A$1:$EON$2,2,FALSE)</f>
        <v>58817</v>
      </c>
      <c r="J2616" t="str">
        <f t="shared" si="40"/>
        <v>Med</v>
      </c>
      <c r="K2616">
        <f>dataset[[#This Row],[soda_sales]]/dataset[[#This Row],[soda_units_sold]]</f>
        <v>0.77339425956962937</v>
      </c>
      <c r="L2616" s="29">
        <f>dataset[[#This Row],[implied_soda_ppu]]-dataset[[#This Row],[soda_ppu]]</f>
        <v>-5.7404303706043436E-6</v>
      </c>
      <c r="M2616">
        <f>dataset[[#This Row],[soda_sales]]/dataset[[#This Row],[total_sales]]</f>
        <v>4.8823530241146065E-2</v>
      </c>
      <c r="N2616">
        <f>LN(dataset[[#This Row],[soda_units_sold]])</f>
        <v>12.131138947943636</v>
      </c>
      <c r="O2616">
        <f>LN(dataset[[#This Row],[soda_sales]])</f>
        <v>11.8741726257767</v>
      </c>
      <c r="P2616">
        <f>LN(dataset[[#This Row],[soda_ppu]])</f>
        <v>-0.25695889980894038</v>
      </c>
      <c r="Q2616">
        <f>IF(dataset[[#This Row],[state]]="VA",1,0)</f>
        <v>0</v>
      </c>
    </row>
    <row r="2617" spans="1:17" x14ac:dyDescent="0.35">
      <c r="A2617">
        <v>202312</v>
      </c>
      <c r="B2617">
        <v>72</v>
      </c>
      <c r="C2617" s="2">
        <v>3099488.3201000001</v>
      </c>
      <c r="D2617" s="2">
        <v>0.77590000000000003</v>
      </c>
      <c r="E2617" s="3">
        <v>184500</v>
      </c>
      <c r="F2617" s="2">
        <v>143150.66329999999</v>
      </c>
      <c r="G2617" t="s">
        <v>1801</v>
      </c>
      <c r="H2617" t="s">
        <v>7</v>
      </c>
      <c r="I2617">
        <f>HLOOKUP(G2617,zip_tiers!$A$1:$EON$2,2,FALSE)</f>
        <v>58817</v>
      </c>
      <c r="J2617" t="str">
        <f t="shared" si="40"/>
        <v>Med</v>
      </c>
      <c r="K2617">
        <f>dataset[[#This Row],[soda_sales]]/dataset[[#This Row],[soda_units_sold]]</f>
        <v>0.77588435392953925</v>
      </c>
      <c r="L2617" s="29">
        <f>dataset[[#This Row],[implied_soda_ppu]]-dataset[[#This Row],[soda_ppu]]</f>
        <v>-1.5646070460784145E-5</v>
      </c>
      <c r="M2617">
        <f>dataset[[#This Row],[soda_sales]]/dataset[[#This Row],[total_sales]]</f>
        <v>4.6185256570149442E-2</v>
      </c>
      <c r="N2617">
        <f>LN(dataset[[#This Row],[soda_units_sold]])</f>
        <v>12.125404742462718</v>
      </c>
      <c r="O2617">
        <f>LN(dataset[[#This Row],[soda_sales]])</f>
        <v>11.871652944116644</v>
      </c>
      <c r="P2617">
        <f>LN(dataset[[#This Row],[soda_ppu]])</f>
        <v>-0.2537316330822334</v>
      </c>
      <c r="Q2617">
        <f>IF(dataset[[#This Row],[state]]="VA",1,0)</f>
        <v>0</v>
      </c>
    </row>
    <row r="2618" spans="1:17" x14ac:dyDescent="0.35">
      <c r="A2618">
        <v>202401</v>
      </c>
      <c r="B2618">
        <v>72</v>
      </c>
      <c r="C2618" s="2">
        <v>1768320.9399000001</v>
      </c>
      <c r="D2618" s="2">
        <v>0.80200000000000005</v>
      </c>
      <c r="E2618" s="3">
        <v>130887</v>
      </c>
      <c r="F2618" s="2">
        <v>104972.06449999999</v>
      </c>
      <c r="G2618" t="s">
        <v>1801</v>
      </c>
      <c r="H2618" t="s">
        <v>7</v>
      </c>
      <c r="I2618">
        <f>HLOOKUP(G2618,zip_tiers!$A$1:$EON$2,2,FALSE)</f>
        <v>58817</v>
      </c>
      <c r="J2618" t="str">
        <f t="shared" si="40"/>
        <v>Med</v>
      </c>
      <c r="K2618">
        <f>dataset[[#This Row],[soda_sales]]/dataset[[#This Row],[soda_units_sold]]</f>
        <v>0.80200527554302559</v>
      </c>
      <c r="L2618" s="29">
        <f>dataset[[#This Row],[implied_soda_ppu]]-dataset[[#This Row],[soda_ppu]]</f>
        <v>5.2755430255402302E-6</v>
      </c>
      <c r="M2618">
        <f>dataset[[#This Row],[soda_sales]]/dataset[[#This Row],[total_sales]]</f>
        <v>5.9362563735707523E-2</v>
      </c>
      <c r="N2618">
        <f>LN(dataset[[#This Row],[soda_units_sold]])</f>
        <v>11.78208963451393</v>
      </c>
      <c r="O2618">
        <f>LN(dataset[[#This Row],[soda_sales]])</f>
        <v>11.561449541360494</v>
      </c>
      <c r="P2618">
        <f>LN(dataset[[#This Row],[soda_ppu]])</f>
        <v>-0.2206466711156225</v>
      </c>
      <c r="Q2618">
        <f>IF(dataset[[#This Row],[state]]="VA",1,0)</f>
        <v>0</v>
      </c>
    </row>
    <row r="2619" spans="1:17" x14ac:dyDescent="0.35">
      <c r="A2619">
        <v>202402</v>
      </c>
      <c r="B2619">
        <v>72</v>
      </c>
      <c r="C2619" s="2">
        <v>2021108.5630000001</v>
      </c>
      <c r="D2619" s="2">
        <v>0.81679999999999997</v>
      </c>
      <c r="E2619" s="3">
        <v>142798</v>
      </c>
      <c r="F2619" s="2">
        <v>116642.3082</v>
      </c>
      <c r="G2619" t="s">
        <v>1801</v>
      </c>
      <c r="H2619" t="s">
        <v>7</v>
      </c>
      <c r="I2619">
        <f>HLOOKUP(G2619,zip_tiers!$A$1:$EON$2,2,FALSE)</f>
        <v>58817</v>
      </c>
      <c r="J2619" t="str">
        <f t="shared" si="40"/>
        <v>Med</v>
      </c>
      <c r="K2619">
        <f>dataset[[#This Row],[soda_sales]]/dataset[[#This Row],[soda_units_sold]]</f>
        <v>0.81683432681129986</v>
      </c>
      <c r="L2619" s="29">
        <f>dataset[[#This Row],[implied_soda_ppu]]-dataset[[#This Row],[soda_ppu]]</f>
        <v>3.432681129988957E-5</v>
      </c>
      <c r="M2619">
        <f>dataset[[#This Row],[soda_sales]]/dataset[[#This Row],[total_sales]]</f>
        <v>5.7712044931848616E-2</v>
      </c>
      <c r="N2619">
        <f>LN(dataset[[#This Row],[soda_units_sold]])</f>
        <v>11.8691863231873</v>
      </c>
      <c r="O2619">
        <f>LN(dataset[[#This Row],[soda_sales]])</f>
        <v>11.666867336141333</v>
      </c>
      <c r="P2619">
        <f>LN(dataset[[#This Row],[soda_ppu]])</f>
        <v>-0.20236101213168128</v>
      </c>
      <c r="Q2619">
        <f>IF(dataset[[#This Row],[state]]="VA",1,0)</f>
        <v>0</v>
      </c>
    </row>
    <row r="2620" spans="1:17" x14ac:dyDescent="0.35">
      <c r="A2620">
        <v>202403</v>
      </c>
      <c r="B2620">
        <v>72</v>
      </c>
      <c r="C2620" s="2">
        <v>2254078.3023999999</v>
      </c>
      <c r="D2620" s="2">
        <v>0.82330000000000003</v>
      </c>
      <c r="E2620" s="3">
        <v>167941</v>
      </c>
      <c r="F2620" s="2">
        <v>138267.7463</v>
      </c>
      <c r="G2620" t="s">
        <v>1801</v>
      </c>
      <c r="H2620" t="s">
        <v>7</v>
      </c>
      <c r="I2620">
        <f>HLOOKUP(G2620,zip_tiers!$A$1:$EON$2,2,FALSE)</f>
        <v>58817</v>
      </c>
      <c r="J2620" t="str">
        <f t="shared" si="40"/>
        <v>Med</v>
      </c>
      <c r="K2620">
        <f>dataset[[#This Row],[soda_sales]]/dataset[[#This Row],[soda_units_sold]]</f>
        <v>0.82331143854091615</v>
      </c>
      <c r="L2620" s="29">
        <f>dataset[[#This Row],[implied_soda_ppu]]-dataset[[#This Row],[soda_ppu]]</f>
        <v>1.1438540916119955E-5</v>
      </c>
      <c r="M2620">
        <f>dataset[[#This Row],[soda_sales]]/dataset[[#This Row],[total_sales]]</f>
        <v>6.1341146025309434E-2</v>
      </c>
      <c r="N2620">
        <f>LN(dataset[[#This Row],[soda_units_sold]])</f>
        <v>12.031368006227389</v>
      </c>
      <c r="O2620">
        <f>LN(dataset[[#This Row],[soda_sales]])</f>
        <v>11.836947274980284</v>
      </c>
      <c r="P2620">
        <f>LN(dataset[[#This Row],[soda_ppu]])</f>
        <v>-0.19443462467775668</v>
      </c>
      <c r="Q2620">
        <f>IF(dataset[[#This Row],[state]]="VA",1,0)</f>
        <v>0</v>
      </c>
    </row>
    <row r="2621" spans="1:17" x14ac:dyDescent="0.35">
      <c r="A2621">
        <v>202404</v>
      </c>
      <c r="B2621">
        <v>72</v>
      </c>
      <c r="C2621" s="2">
        <v>2375462.1258999999</v>
      </c>
      <c r="D2621" s="2">
        <v>0.81189999999999996</v>
      </c>
      <c r="E2621" s="3">
        <v>197776</v>
      </c>
      <c r="F2621" s="2">
        <v>160575.128</v>
      </c>
      <c r="G2621" t="s">
        <v>1801</v>
      </c>
      <c r="H2621" t="s">
        <v>7</v>
      </c>
      <c r="I2621">
        <f>HLOOKUP(G2621,zip_tiers!$A$1:$EON$2,2,FALSE)</f>
        <v>58817</v>
      </c>
      <c r="J2621" t="str">
        <f t="shared" si="40"/>
        <v>Med</v>
      </c>
      <c r="K2621">
        <f>dataset[[#This Row],[soda_sales]]/dataset[[#This Row],[soda_units_sold]]</f>
        <v>0.81190401262033818</v>
      </c>
      <c r="L2621" s="29">
        <f>dataset[[#This Row],[implied_soda_ppu]]-dataset[[#This Row],[soda_ppu]]</f>
        <v>4.0126203382229164E-6</v>
      </c>
      <c r="M2621">
        <f>dataset[[#This Row],[soda_sales]]/dataset[[#This Row],[total_sales]]</f>
        <v>6.7597427148691047E-2</v>
      </c>
      <c r="N2621">
        <f>LN(dataset[[#This Row],[soda_units_sold]])</f>
        <v>12.194890356127605</v>
      </c>
      <c r="O2621">
        <f>LN(dataset[[#This Row],[soda_sales]])</f>
        <v>11.986517199260971</v>
      </c>
      <c r="P2621">
        <f>LN(dataset[[#This Row],[soda_ppu]])</f>
        <v>-0.20837809911373634</v>
      </c>
      <c r="Q2621">
        <f>IF(dataset[[#This Row],[state]]="VA",1,0)</f>
        <v>0</v>
      </c>
    </row>
    <row r="2622" spans="1:17" x14ac:dyDescent="0.35">
      <c r="A2622">
        <v>202405</v>
      </c>
      <c r="B2622">
        <v>72</v>
      </c>
      <c r="C2622" s="2">
        <v>2462657.3023000001</v>
      </c>
      <c r="D2622" s="2">
        <v>0.80400000000000005</v>
      </c>
      <c r="E2622" s="3">
        <v>217730</v>
      </c>
      <c r="F2622" s="2">
        <v>175061.82569999999</v>
      </c>
      <c r="G2622" t="s">
        <v>1801</v>
      </c>
      <c r="H2622" t="s">
        <v>7</v>
      </c>
      <c r="I2622">
        <f>HLOOKUP(G2622,zip_tiers!$A$1:$EON$2,2,FALSE)</f>
        <v>58817</v>
      </c>
      <c r="J2622" t="str">
        <f t="shared" si="40"/>
        <v>Med</v>
      </c>
      <c r="K2622">
        <f>dataset[[#This Row],[soda_sales]]/dataset[[#This Row],[soda_units_sold]]</f>
        <v>0.80403171680521746</v>
      </c>
      <c r="L2622" s="29">
        <f>dataset[[#This Row],[implied_soda_ppu]]-dataset[[#This Row],[soda_ppu]]</f>
        <v>3.1716805217407718E-5</v>
      </c>
      <c r="M2622">
        <f>dataset[[#This Row],[soda_sales]]/dataset[[#This Row],[total_sales]]</f>
        <v>7.108655578528969E-2</v>
      </c>
      <c r="N2622">
        <f>LN(dataset[[#This Row],[soda_units_sold]])</f>
        <v>12.291011042046364</v>
      </c>
      <c r="O2622">
        <f>LN(dataset[[#This Row],[soda_sales]])</f>
        <v>12.07289448022782</v>
      </c>
      <c r="P2622">
        <f>LN(dataset[[#This Row],[soda_ppu]])</f>
        <v>-0.21815600980317063</v>
      </c>
      <c r="Q2622">
        <f>IF(dataset[[#This Row],[state]]="VA",1,0)</f>
        <v>0</v>
      </c>
    </row>
    <row r="2623" spans="1:17" x14ac:dyDescent="0.35">
      <c r="A2623">
        <v>202406</v>
      </c>
      <c r="B2623">
        <v>72</v>
      </c>
      <c r="C2623" s="2">
        <v>2314159.8846999998</v>
      </c>
      <c r="D2623" s="2">
        <v>0.8206</v>
      </c>
      <c r="E2623" s="3">
        <v>218252</v>
      </c>
      <c r="F2623" s="2">
        <v>179090.76240000001</v>
      </c>
      <c r="G2623" t="s">
        <v>1801</v>
      </c>
      <c r="H2623" t="s">
        <v>7</v>
      </c>
      <c r="I2623">
        <f>HLOOKUP(G2623,zip_tiers!$A$1:$EON$2,2,FALSE)</f>
        <v>58817</v>
      </c>
      <c r="J2623" t="str">
        <f t="shared" si="40"/>
        <v>Med</v>
      </c>
      <c r="K2623">
        <f>dataset[[#This Row],[soda_sales]]/dataset[[#This Row],[soda_units_sold]]</f>
        <v>0.82056871139783372</v>
      </c>
      <c r="L2623" s="29">
        <f>dataset[[#This Row],[implied_soda_ppu]]-dataset[[#This Row],[soda_ppu]]</f>
        <v>-3.1288602166279489E-5</v>
      </c>
      <c r="M2623">
        <f>dataset[[#This Row],[soda_sales]]/dataset[[#This Row],[total_sales]]</f>
        <v>7.7389105041554537E-2</v>
      </c>
      <c r="N2623">
        <f>LN(dataset[[#This Row],[soda_units_sold]])</f>
        <v>12.29340563746284</v>
      </c>
      <c r="O2623">
        <f>LN(dataset[[#This Row],[soda_sales]])</f>
        <v>12.095648008829171</v>
      </c>
      <c r="P2623">
        <f>LN(dataset[[#This Row],[soda_ppu]])</f>
        <v>-0.19771949897405133</v>
      </c>
      <c r="Q2623">
        <f>IF(dataset[[#This Row],[state]]="VA",1,0)</f>
        <v>0</v>
      </c>
    </row>
    <row r="2624" spans="1:17" x14ac:dyDescent="0.35">
      <c r="A2624">
        <v>202407</v>
      </c>
      <c r="B2624">
        <v>72</v>
      </c>
      <c r="C2624" s="2">
        <v>2287854.4706000001</v>
      </c>
      <c r="D2624" s="2">
        <v>0.80769999999999997</v>
      </c>
      <c r="E2624" s="3">
        <v>236496</v>
      </c>
      <c r="F2624" s="2">
        <v>191010.77069999999</v>
      </c>
      <c r="G2624" t="s">
        <v>1801</v>
      </c>
      <c r="H2624" t="s">
        <v>7</v>
      </c>
      <c r="I2624">
        <f>HLOOKUP(G2624,zip_tiers!$A$1:$EON$2,2,FALSE)</f>
        <v>58817</v>
      </c>
      <c r="J2624" t="str">
        <f t="shared" si="40"/>
        <v>Med</v>
      </c>
      <c r="K2624">
        <f>dataset[[#This Row],[soda_sales]]/dataset[[#This Row],[soda_units_sold]]</f>
        <v>0.80767019611325352</v>
      </c>
      <c r="L2624" s="29">
        <f>dataset[[#This Row],[implied_soda_ppu]]-dataset[[#This Row],[soda_ppu]]</f>
        <v>-2.980388674644896E-5</v>
      </c>
      <c r="M2624">
        <f>dataset[[#This Row],[soda_sales]]/dataset[[#This Row],[total_sales]]</f>
        <v>8.3489038815439412E-2</v>
      </c>
      <c r="N2624">
        <f>LN(dataset[[#This Row],[soda_units_sold]])</f>
        <v>12.373686573451854</v>
      </c>
      <c r="O2624">
        <f>LN(dataset[[#This Row],[soda_sales]])</f>
        <v>12.160085096538324</v>
      </c>
      <c r="P2624">
        <f>LN(dataset[[#This Row],[soda_ppu]])</f>
        <v>-0.21356457653388647</v>
      </c>
      <c r="Q2624">
        <f>IF(dataset[[#This Row],[state]]="VA",1,0)</f>
        <v>0</v>
      </c>
    </row>
    <row r="2625" spans="1:17" x14ac:dyDescent="0.35">
      <c r="A2625">
        <v>202408</v>
      </c>
      <c r="B2625">
        <v>72</v>
      </c>
      <c r="C2625" s="2">
        <v>2155360.7565000001</v>
      </c>
      <c r="D2625" s="2">
        <v>0.80649999999999999</v>
      </c>
      <c r="E2625" s="3">
        <v>211018</v>
      </c>
      <c r="F2625" s="2">
        <v>170184.28</v>
      </c>
      <c r="G2625" t="s">
        <v>1801</v>
      </c>
      <c r="H2625" t="s">
        <v>7</v>
      </c>
      <c r="I2625">
        <f>HLOOKUP(G2625,zip_tiers!$A$1:$EON$2,2,FALSE)</f>
        <v>58817</v>
      </c>
      <c r="J2625" t="str">
        <f t="shared" si="40"/>
        <v>Med</v>
      </c>
      <c r="K2625">
        <f>dataset[[#This Row],[soda_sales]]/dataset[[#This Row],[soda_units_sold]]</f>
        <v>0.80649176847472726</v>
      </c>
      <c r="L2625" s="29">
        <f>dataset[[#This Row],[implied_soda_ppu]]-dataset[[#This Row],[soda_ppu]]</f>
        <v>-8.2315252727394039E-6</v>
      </c>
      <c r="M2625">
        <f>dataset[[#This Row],[soda_sales]]/dataset[[#This Row],[total_sales]]</f>
        <v>7.8958605647230534E-2</v>
      </c>
      <c r="N2625">
        <f>LN(dataset[[#This Row],[soda_units_sold]])</f>
        <v>12.259698716876549</v>
      </c>
      <c r="O2625">
        <f>LN(dataset[[#This Row],[soda_sales]])</f>
        <v>12.04463712892864</v>
      </c>
      <c r="P2625">
        <f>LN(dataset[[#This Row],[soda_ppu]])</f>
        <v>-0.21505138141687349</v>
      </c>
      <c r="Q2625">
        <f>IF(dataset[[#This Row],[state]]="VA",1,0)</f>
        <v>0</v>
      </c>
    </row>
    <row r="2626" spans="1:17" x14ac:dyDescent="0.35">
      <c r="A2626">
        <v>202409</v>
      </c>
      <c r="B2626">
        <v>72</v>
      </c>
      <c r="C2626" s="2">
        <v>2098356.8352999999</v>
      </c>
      <c r="D2626" s="2">
        <v>0.81940000000000002</v>
      </c>
      <c r="E2626" s="3">
        <v>193538</v>
      </c>
      <c r="F2626" s="2">
        <v>158592.69560000001</v>
      </c>
      <c r="G2626" t="s">
        <v>1801</v>
      </c>
      <c r="H2626" t="s">
        <v>7</v>
      </c>
      <c r="I2626">
        <f>HLOOKUP(G2626,zip_tiers!$A$1:$EON$2,2,FALSE)</f>
        <v>58817</v>
      </c>
      <c r="J2626" t="str">
        <f t="shared" ref="J2626:J2689" si="41">IF(I2626="","No Data",IF(I2626&gt;=100000,"High",IF(I2626&gt;=40000,"Med","Low")))</f>
        <v>Med</v>
      </c>
      <c r="K2626">
        <f>dataset[[#This Row],[soda_sales]]/dataset[[#This Row],[soda_units_sold]]</f>
        <v>0.81943957052361815</v>
      </c>
      <c r="L2626" s="29">
        <f>dataset[[#This Row],[implied_soda_ppu]]-dataset[[#This Row],[soda_ppu]]</f>
        <v>3.9570523618137621E-5</v>
      </c>
      <c r="M2626">
        <f>dataset[[#This Row],[soda_sales]]/dataset[[#This Row],[total_sales]]</f>
        <v>7.5579469102702052E-2</v>
      </c>
      <c r="N2626">
        <f>LN(dataset[[#This Row],[soda_units_sold]])</f>
        <v>12.17322915460041</v>
      </c>
      <c r="O2626">
        <f>LN(dataset[[#This Row],[soda_sales]])</f>
        <v>11.974094531636799</v>
      </c>
      <c r="P2626">
        <f>LN(dataset[[#This Row],[soda_ppu]])</f>
        <v>-0.19918291386936632</v>
      </c>
      <c r="Q2626">
        <f>IF(dataset[[#This Row],[state]]="VA",1,0)</f>
        <v>0</v>
      </c>
    </row>
    <row r="2627" spans="1:17" x14ac:dyDescent="0.35">
      <c r="A2627">
        <v>202410</v>
      </c>
      <c r="B2627">
        <v>72</v>
      </c>
      <c r="C2627" s="2">
        <v>2627687.9106000001</v>
      </c>
      <c r="D2627" s="2">
        <v>0.83860000000000001</v>
      </c>
      <c r="E2627" s="3">
        <v>182017</v>
      </c>
      <c r="F2627" s="2">
        <v>152647.6244</v>
      </c>
      <c r="G2627" t="s">
        <v>1801</v>
      </c>
      <c r="H2627" t="s">
        <v>7</v>
      </c>
      <c r="I2627">
        <f>HLOOKUP(G2627,zip_tiers!$A$1:$EON$2,2,FALSE)</f>
        <v>58817</v>
      </c>
      <c r="J2627" t="str">
        <f t="shared" si="41"/>
        <v>Med</v>
      </c>
      <c r="K2627">
        <f>dataset[[#This Row],[soda_sales]]/dataset[[#This Row],[soda_units_sold]]</f>
        <v>0.83864487602806337</v>
      </c>
      <c r="L2627" s="29">
        <f>dataset[[#This Row],[implied_soda_ppu]]-dataset[[#This Row],[soda_ppu]]</f>
        <v>4.4876028063356443E-5</v>
      </c>
      <c r="M2627">
        <f>dataset[[#This Row],[soda_sales]]/dataset[[#This Row],[total_sales]]</f>
        <v>5.809199174080943E-2</v>
      </c>
      <c r="N2627">
        <f>LN(dataset[[#This Row],[soda_units_sold]])</f>
        <v>12.111855368290215</v>
      </c>
      <c r="O2627">
        <f>LN(dataset[[#This Row],[soda_sales]])</f>
        <v>11.935887435644286</v>
      </c>
      <c r="P2627">
        <f>LN(dataset[[#This Row],[soda_ppu]])</f>
        <v>-0.17602144424547475</v>
      </c>
      <c r="Q2627">
        <f>IF(dataset[[#This Row],[state]]="VA",1,0)</f>
        <v>0</v>
      </c>
    </row>
    <row r="2628" spans="1:17" x14ac:dyDescent="0.35">
      <c r="A2628">
        <v>202411</v>
      </c>
      <c r="B2628">
        <v>72</v>
      </c>
      <c r="C2628" s="2">
        <v>2992345.7793999999</v>
      </c>
      <c r="D2628" s="2">
        <v>0.83819999999999995</v>
      </c>
      <c r="E2628" s="3">
        <v>171228</v>
      </c>
      <c r="F2628" s="2">
        <v>143523.95670000001</v>
      </c>
      <c r="G2628" t="s">
        <v>1801</v>
      </c>
      <c r="H2628" t="s">
        <v>7</v>
      </c>
      <c r="I2628">
        <f>HLOOKUP(G2628,zip_tiers!$A$1:$EON$2,2,FALSE)</f>
        <v>58817</v>
      </c>
      <c r="J2628" t="str">
        <f t="shared" si="41"/>
        <v>Med</v>
      </c>
      <c r="K2628">
        <f>dataset[[#This Row],[soda_sales]]/dataset[[#This Row],[soda_units_sold]]</f>
        <v>0.83820377917163091</v>
      </c>
      <c r="L2628" s="29">
        <f>dataset[[#This Row],[implied_soda_ppu]]-dataset[[#This Row],[soda_ppu]]</f>
        <v>3.7791716309687473E-6</v>
      </c>
      <c r="M2628">
        <f>dataset[[#This Row],[soda_sales]]/dataset[[#This Row],[total_sales]]</f>
        <v>4.7963693797706167E-2</v>
      </c>
      <c r="N2628">
        <f>LN(dataset[[#This Row],[soda_units_sold]])</f>
        <v>12.050751280718575</v>
      </c>
      <c r="O2628">
        <f>LN(dataset[[#This Row],[soda_sales]])</f>
        <v>11.874257245892538</v>
      </c>
      <c r="P2628">
        <f>LN(dataset[[#This Row],[soda_ppu]])</f>
        <v>-0.17649854349116598</v>
      </c>
      <c r="Q2628">
        <f>IF(dataset[[#This Row],[state]]="VA",1,0)</f>
        <v>0</v>
      </c>
    </row>
    <row r="2629" spans="1:17" x14ac:dyDescent="0.35">
      <c r="A2629">
        <v>202412</v>
      </c>
      <c r="B2629">
        <v>72</v>
      </c>
      <c r="C2629" s="2">
        <v>3113171.9985000002</v>
      </c>
      <c r="D2629" s="2">
        <v>0.83660000000000001</v>
      </c>
      <c r="E2629" s="3">
        <v>169647</v>
      </c>
      <c r="F2629" s="2">
        <v>141923.67809999999</v>
      </c>
      <c r="G2629" t="s">
        <v>1801</v>
      </c>
      <c r="H2629" t="s">
        <v>7</v>
      </c>
      <c r="I2629">
        <f>HLOOKUP(G2629,zip_tiers!$A$1:$EON$2,2,FALSE)</f>
        <v>58817</v>
      </c>
      <c r="J2629" t="str">
        <f t="shared" si="41"/>
        <v>Med</v>
      </c>
      <c r="K2629">
        <f>dataset[[#This Row],[soda_sales]]/dataset[[#This Row],[soda_units_sold]]</f>
        <v>0.83658230384268506</v>
      </c>
      <c r="L2629" s="29">
        <f>dataset[[#This Row],[implied_soda_ppu]]-dataset[[#This Row],[soda_ppu]]</f>
        <v>-1.7696157314950334E-5</v>
      </c>
      <c r="M2629">
        <f>dataset[[#This Row],[soda_sales]]/dataset[[#This Row],[total_sales]]</f>
        <v>4.5588126248206705E-2</v>
      </c>
      <c r="N2629">
        <f>LN(dataset[[#This Row],[soda_units_sold]])</f>
        <v>12.041475086590063</v>
      </c>
      <c r="O2629">
        <f>LN(dataset[[#This Row],[soda_sales]])</f>
        <v>11.863044713921216</v>
      </c>
      <c r="P2629">
        <f>LN(dataset[[#This Row],[soda_ppu]])</f>
        <v>-0.178409219974039</v>
      </c>
      <c r="Q2629">
        <f>IF(dataset[[#This Row],[state]]="VA",1,0)</f>
        <v>0</v>
      </c>
    </row>
    <row r="2630" spans="1:17" x14ac:dyDescent="0.35">
      <c r="A2630">
        <v>202201</v>
      </c>
      <c r="B2630">
        <v>65</v>
      </c>
      <c r="C2630" s="2">
        <v>1919092.9495999999</v>
      </c>
      <c r="D2630" s="2">
        <v>0.68379999999999996</v>
      </c>
      <c r="E2630" s="3">
        <v>154695</v>
      </c>
      <c r="F2630" s="2">
        <v>105779.639</v>
      </c>
      <c r="G2630" t="s">
        <v>1882</v>
      </c>
      <c r="H2630" t="s">
        <v>7</v>
      </c>
      <c r="I2630" t="str">
        <f>HLOOKUP(G2630,zip_tiers!$A$1:$EON$2,2,FALSE)</f>
        <v/>
      </c>
      <c r="J2630" t="str">
        <f t="shared" si="41"/>
        <v>No Data</v>
      </c>
      <c r="K2630">
        <f>dataset[[#This Row],[soda_sales]]/dataset[[#This Row],[soda_units_sold]]</f>
        <v>0.68379481560489996</v>
      </c>
      <c r="L2630" s="29">
        <f>dataset[[#This Row],[implied_soda_ppu]]-dataset[[#This Row],[soda_ppu]]</f>
        <v>-5.1843950999996835E-6</v>
      </c>
      <c r="M2630">
        <f>dataset[[#This Row],[soda_sales]]/dataset[[#This Row],[total_sales]]</f>
        <v>5.5119601696232506E-2</v>
      </c>
      <c r="N2630">
        <f>LN(dataset[[#This Row],[soda_units_sold]])</f>
        <v>11.949210715418278</v>
      </c>
      <c r="O2630">
        <f>LN(dataset[[#This Row],[soda_sales]])</f>
        <v>11.569113331870717</v>
      </c>
      <c r="P2630">
        <f>LN(dataset[[#This Row],[soda_ppu]])</f>
        <v>-0.38008980177693619</v>
      </c>
      <c r="Q2630">
        <f>IF(dataset[[#This Row],[state]]="VA",1,0)</f>
        <v>0</v>
      </c>
    </row>
    <row r="2631" spans="1:17" x14ac:dyDescent="0.35">
      <c r="A2631">
        <v>202202</v>
      </c>
      <c r="B2631">
        <v>65</v>
      </c>
      <c r="C2631" s="2">
        <v>2147694.2156000002</v>
      </c>
      <c r="D2631" s="2">
        <v>0.65920000000000001</v>
      </c>
      <c r="E2631" s="3">
        <v>176386</v>
      </c>
      <c r="F2631" s="2">
        <v>116268.36289999999</v>
      </c>
      <c r="G2631" t="s">
        <v>1882</v>
      </c>
      <c r="H2631" t="s">
        <v>7</v>
      </c>
      <c r="I2631" t="str">
        <f>HLOOKUP(G2631,zip_tiers!$A$1:$EON$2,2,FALSE)</f>
        <v/>
      </c>
      <c r="J2631" t="str">
        <f t="shared" si="41"/>
        <v>No Data</v>
      </c>
      <c r="K2631">
        <f>dataset[[#This Row],[soda_sales]]/dataset[[#This Row],[soda_units_sold]]</f>
        <v>0.65917001859558011</v>
      </c>
      <c r="L2631" s="29">
        <f>dataset[[#This Row],[implied_soda_ppu]]-dataset[[#This Row],[soda_ppu]]</f>
        <v>-2.9981404419898716E-5</v>
      </c>
      <c r="M2631">
        <f>dataset[[#This Row],[soda_sales]]/dataset[[#This Row],[total_sales]]</f>
        <v>5.4136367298227399E-2</v>
      </c>
      <c r="N2631">
        <f>LN(dataset[[#This Row],[soda_units_sold]])</f>
        <v>12.080430054325888</v>
      </c>
      <c r="O2631">
        <f>LN(dataset[[#This Row],[soda_sales]])</f>
        <v>11.663656271405275</v>
      </c>
      <c r="P2631">
        <f>LN(dataset[[#This Row],[soda_ppu]])</f>
        <v>-0.41672830038687508</v>
      </c>
      <c r="Q2631">
        <f>IF(dataset[[#This Row],[state]]="VA",1,0)</f>
        <v>0</v>
      </c>
    </row>
    <row r="2632" spans="1:17" x14ac:dyDescent="0.35">
      <c r="A2632">
        <v>202203</v>
      </c>
      <c r="B2632">
        <v>65</v>
      </c>
      <c r="C2632" s="2">
        <v>2416129.9325999999</v>
      </c>
      <c r="D2632" s="2">
        <v>0.67920000000000003</v>
      </c>
      <c r="E2632" s="3">
        <v>207113</v>
      </c>
      <c r="F2632" s="2">
        <v>140679.50760000001</v>
      </c>
      <c r="G2632" t="s">
        <v>1882</v>
      </c>
      <c r="H2632" t="s">
        <v>7</v>
      </c>
      <c r="I2632" t="str">
        <f>HLOOKUP(G2632,zip_tiers!$A$1:$EON$2,2,FALSE)</f>
        <v/>
      </c>
      <c r="J2632" t="str">
        <f t="shared" si="41"/>
        <v>No Data</v>
      </c>
      <c r="K2632">
        <f>dataset[[#This Row],[soda_sales]]/dataset[[#This Row],[soda_units_sold]]</f>
        <v>0.67924035478217215</v>
      </c>
      <c r="L2632" s="29">
        <f>dataset[[#This Row],[implied_soda_ppu]]-dataset[[#This Row],[soda_ppu]]</f>
        <v>4.035478217212507E-5</v>
      </c>
      <c r="M2632">
        <f>dataset[[#This Row],[soda_sales]]/dataset[[#This Row],[total_sales]]</f>
        <v>5.822514166223447E-2</v>
      </c>
      <c r="N2632">
        <f>LN(dataset[[#This Row],[soda_units_sold]])</f>
        <v>12.24101981702154</v>
      </c>
      <c r="O2632">
        <f>LN(dataset[[#This Row],[soda_sales]])</f>
        <v>11.854239586439627</v>
      </c>
      <c r="P2632">
        <f>LN(dataset[[#This Row],[soda_ppu]])</f>
        <v>-0.38683964398499943</v>
      </c>
      <c r="Q2632">
        <f>IF(dataset[[#This Row],[state]]="VA",1,0)</f>
        <v>0</v>
      </c>
    </row>
    <row r="2633" spans="1:17" x14ac:dyDescent="0.35">
      <c r="A2633">
        <v>202204</v>
      </c>
      <c r="B2633">
        <v>65</v>
      </c>
      <c r="C2633" s="2">
        <v>2534011.5849000001</v>
      </c>
      <c r="D2633" s="2">
        <v>0.66790000000000005</v>
      </c>
      <c r="E2633" s="3">
        <v>244837</v>
      </c>
      <c r="F2633" s="2">
        <v>163537.30559999999</v>
      </c>
      <c r="G2633" t="s">
        <v>1882</v>
      </c>
      <c r="H2633" t="s">
        <v>7</v>
      </c>
      <c r="I2633" t="str">
        <f>HLOOKUP(G2633,zip_tiers!$A$1:$EON$2,2,FALSE)</f>
        <v/>
      </c>
      <c r="J2633" t="str">
        <f t="shared" si="41"/>
        <v>No Data</v>
      </c>
      <c r="K2633">
        <f>dataset[[#This Row],[soda_sales]]/dataset[[#This Row],[soda_units_sold]]</f>
        <v>0.66794359349281351</v>
      </c>
      <c r="L2633" s="29">
        <f>dataset[[#This Row],[implied_soda_ppu]]-dataset[[#This Row],[soda_ppu]]</f>
        <v>4.359349281346514E-5</v>
      </c>
      <c r="M2633">
        <f>dataset[[#This Row],[soda_sales]]/dataset[[#This Row],[total_sales]]</f>
        <v>6.4536921052179674E-2</v>
      </c>
      <c r="N2633">
        <f>LN(dataset[[#This Row],[soda_units_sold]])</f>
        <v>12.408347961990085</v>
      </c>
      <c r="O2633">
        <f>LN(dataset[[#This Row],[soda_sales]])</f>
        <v>12.004796412100241</v>
      </c>
      <c r="P2633">
        <f>LN(dataset[[#This Row],[soda_ppu]])</f>
        <v>-0.40361681725054671</v>
      </c>
      <c r="Q2633">
        <f>IF(dataset[[#This Row],[state]]="VA",1,0)</f>
        <v>0</v>
      </c>
    </row>
    <row r="2634" spans="1:17" x14ac:dyDescent="0.35">
      <c r="A2634">
        <v>202205</v>
      </c>
      <c r="B2634">
        <v>65</v>
      </c>
      <c r="C2634" s="2">
        <v>2635503.4635000001</v>
      </c>
      <c r="D2634" s="2">
        <v>0.68389999999999995</v>
      </c>
      <c r="E2634" s="3">
        <v>255028</v>
      </c>
      <c r="F2634" s="2">
        <v>174422.32279999999</v>
      </c>
      <c r="G2634" t="s">
        <v>1882</v>
      </c>
      <c r="H2634" t="s">
        <v>7</v>
      </c>
      <c r="I2634" t="str">
        <f>HLOOKUP(G2634,zip_tiers!$A$1:$EON$2,2,FALSE)</f>
        <v/>
      </c>
      <c r="J2634" t="str">
        <f t="shared" si="41"/>
        <v>No Data</v>
      </c>
      <c r="K2634">
        <f>dataset[[#This Row],[soda_sales]]/dataset[[#This Row],[soda_units_sold]]</f>
        <v>0.68393401038317359</v>
      </c>
      <c r="L2634" s="29">
        <f>dataset[[#This Row],[implied_soda_ppu]]-dataset[[#This Row],[soda_ppu]]</f>
        <v>3.4010383173632697E-5</v>
      </c>
      <c r="M2634">
        <f>dataset[[#This Row],[soda_sales]]/dataset[[#This Row],[total_sales]]</f>
        <v>6.6181784700963267E-2</v>
      </c>
      <c r="N2634">
        <f>LN(dataset[[#This Row],[soda_units_sold]])</f>
        <v>12.449128622034122</v>
      </c>
      <c r="O2634">
        <f>LN(dataset[[#This Row],[soda_sales]])</f>
        <v>12.069234779972431</v>
      </c>
      <c r="P2634">
        <f>LN(dataset[[#This Row],[soda_ppu]])</f>
        <v>-0.37994357087808678</v>
      </c>
      <c r="Q2634">
        <f>IF(dataset[[#This Row],[state]]="VA",1,0)</f>
        <v>0</v>
      </c>
    </row>
    <row r="2635" spans="1:17" x14ac:dyDescent="0.35">
      <c r="A2635">
        <v>202206</v>
      </c>
      <c r="B2635">
        <v>65</v>
      </c>
      <c r="C2635" s="2">
        <v>2524696.8081</v>
      </c>
      <c r="D2635" s="2">
        <v>0.6885</v>
      </c>
      <c r="E2635" s="3">
        <v>265647</v>
      </c>
      <c r="F2635" s="2">
        <v>182895.68840000001</v>
      </c>
      <c r="G2635" t="s">
        <v>1882</v>
      </c>
      <c r="H2635" t="s">
        <v>7</v>
      </c>
      <c r="I2635" t="str">
        <f>HLOOKUP(G2635,zip_tiers!$A$1:$EON$2,2,FALSE)</f>
        <v/>
      </c>
      <c r="J2635" t="str">
        <f t="shared" si="41"/>
        <v>No Data</v>
      </c>
      <c r="K2635">
        <f>dataset[[#This Row],[soda_sales]]/dataset[[#This Row],[soda_units_sold]]</f>
        <v>0.68849145068455508</v>
      </c>
      <c r="L2635" s="29">
        <f>dataset[[#This Row],[implied_soda_ppu]]-dataset[[#This Row],[soda_ppu]]</f>
        <v>-8.5493154449167719E-6</v>
      </c>
      <c r="M2635">
        <f>dataset[[#This Row],[soda_sales]]/dataset[[#This Row],[total_sales]]</f>
        <v>7.2442634621794857E-2</v>
      </c>
      <c r="N2635">
        <f>LN(dataset[[#This Row],[soda_units_sold]])</f>
        <v>12.489923638760551</v>
      </c>
      <c r="O2635">
        <f>LN(dataset[[#This Row],[soda_sales]])</f>
        <v>12.116671260563646</v>
      </c>
      <c r="P2635">
        <f>LN(dataset[[#This Row],[soda_ppu]])</f>
        <v>-0.37323996081342753</v>
      </c>
      <c r="Q2635">
        <f>IF(dataset[[#This Row],[state]]="VA",1,0)</f>
        <v>0</v>
      </c>
    </row>
    <row r="2636" spans="1:17" x14ac:dyDescent="0.35">
      <c r="A2636">
        <v>202207</v>
      </c>
      <c r="B2636">
        <v>65</v>
      </c>
      <c r="C2636" s="2">
        <v>2392398.3857999998</v>
      </c>
      <c r="D2636" s="2">
        <v>0.67779999999999996</v>
      </c>
      <c r="E2636" s="3">
        <v>276091</v>
      </c>
      <c r="F2636" s="2">
        <v>187133.8101</v>
      </c>
      <c r="G2636" t="s">
        <v>1882</v>
      </c>
      <c r="H2636" t="s">
        <v>7</v>
      </c>
      <c r="I2636" t="str">
        <f>HLOOKUP(G2636,zip_tiers!$A$1:$EON$2,2,FALSE)</f>
        <v/>
      </c>
      <c r="J2636" t="str">
        <f t="shared" si="41"/>
        <v>No Data</v>
      </c>
      <c r="K2636">
        <f>dataset[[#This Row],[soda_sales]]/dataset[[#This Row],[soda_units_sold]]</f>
        <v>0.67779757435048593</v>
      </c>
      <c r="L2636" s="29">
        <f>dataset[[#This Row],[implied_soda_ppu]]-dataset[[#This Row],[soda_ppu]]</f>
        <v>-2.4256495140262402E-6</v>
      </c>
      <c r="M2636">
        <f>dataset[[#This Row],[soda_sales]]/dataset[[#This Row],[total_sales]]</f>
        <v>7.8220170691773755E-2</v>
      </c>
      <c r="N2636">
        <f>LN(dataset[[#This Row],[soda_units_sold]])</f>
        <v>12.52848580050177</v>
      </c>
      <c r="O2636">
        <f>LN(dataset[[#This Row],[soda_sales]])</f>
        <v>12.139579201976362</v>
      </c>
      <c r="P2636">
        <f>LN(dataset[[#This Row],[soda_ppu]])</f>
        <v>-0.38890301980918618</v>
      </c>
      <c r="Q2636">
        <f>IF(dataset[[#This Row],[state]]="VA",1,0)</f>
        <v>0</v>
      </c>
    </row>
    <row r="2637" spans="1:17" x14ac:dyDescent="0.35">
      <c r="A2637">
        <v>202208</v>
      </c>
      <c r="B2637">
        <v>65</v>
      </c>
      <c r="C2637" s="2">
        <v>2275644.6938</v>
      </c>
      <c r="D2637" s="2">
        <v>0.68010000000000004</v>
      </c>
      <c r="E2637" s="3">
        <v>242371</v>
      </c>
      <c r="F2637" s="2">
        <v>164837.21660000001</v>
      </c>
      <c r="G2637" t="s">
        <v>1882</v>
      </c>
      <c r="H2637" t="s">
        <v>7</v>
      </c>
      <c r="I2637" t="str">
        <f>HLOOKUP(G2637,zip_tiers!$A$1:$EON$2,2,FALSE)</f>
        <v/>
      </c>
      <c r="J2637" t="str">
        <f t="shared" si="41"/>
        <v>No Data</v>
      </c>
      <c r="K2637">
        <f>dataset[[#This Row],[soda_sales]]/dataset[[#This Row],[soda_units_sold]]</f>
        <v>0.6801028860713535</v>
      </c>
      <c r="L2637" s="29">
        <f>dataset[[#This Row],[implied_soda_ppu]]-dataset[[#This Row],[soda_ppu]]</f>
        <v>2.8860713534584193E-6</v>
      </c>
      <c r="M2637">
        <f>dataset[[#This Row],[soda_sales]]/dataset[[#This Row],[total_sales]]</f>
        <v>7.2435392506176144E-2</v>
      </c>
      <c r="N2637">
        <f>LN(dataset[[#This Row],[soda_units_sold]])</f>
        <v>12.398224889056527</v>
      </c>
      <c r="O2637">
        <f>LN(dataset[[#This Row],[soda_sales]])</f>
        <v>12.0127136998455</v>
      </c>
      <c r="P2637">
        <f>LN(dataset[[#This Row],[soda_ppu]])</f>
        <v>-0.38551543280054401</v>
      </c>
      <c r="Q2637">
        <f>IF(dataset[[#This Row],[state]]="VA",1,0)</f>
        <v>0</v>
      </c>
    </row>
    <row r="2638" spans="1:17" x14ac:dyDescent="0.35">
      <c r="A2638">
        <v>202209</v>
      </c>
      <c r="B2638">
        <v>65</v>
      </c>
      <c r="C2638" s="2">
        <v>2291855.4997</v>
      </c>
      <c r="D2638" s="2">
        <v>0.68920000000000003</v>
      </c>
      <c r="E2638" s="3">
        <v>225785</v>
      </c>
      <c r="F2638" s="2">
        <v>155615.7739</v>
      </c>
      <c r="G2638" t="s">
        <v>1882</v>
      </c>
      <c r="H2638" t="s">
        <v>7</v>
      </c>
      <c r="I2638" t="str">
        <f>HLOOKUP(G2638,zip_tiers!$A$1:$EON$2,2,FALSE)</f>
        <v/>
      </c>
      <c r="J2638" t="str">
        <f t="shared" si="41"/>
        <v>No Data</v>
      </c>
      <c r="K2638">
        <f>dataset[[#This Row],[soda_sales]]/dataset[[#This Row],[soda_units_sold]]</f>
        <v>0.68922104612795354</v>
      </c>
      <c r="L2638" s="29">
        <f>dataset[[#This Row],[implied_soda_ppu]]-dataset[[#This Row],[soda_ppu]]</f>
        <v>2.1046127953505689E-5</v>
      </c>
      <c r="M2638">
        <f>dataset[[#This Row],[soda_sales]]/dataset[[#This Row],[total_sales]]</f>
        <v>6.7899470067100579E-2</v>
      </c>
      <c r="N2638">
        <f>LN(dataset[[#This Row],[soda_units_sold]])</f>
        <v>12.327338498021655</v>
      </c>
      <c r="O2638">
        <f>LN(dataset[[#This Row],[soda_sales]])</f>
        <v>11.955145260267026</v>
      </c>
      <c r="P2638">
        <f>LN(dataset[[#This Row],[soda_ppu]])</f>
        <v>-0.37222377432836246</v>
      </c>
      <c r="Q2638">
        <f>IF(dataset[[#This Row],[state]]="VA",1,0)</f>
        <v>0</v>
      </c>
    </row>
    <row r="2639" spans="1:17" x14ac:dyDescent="0.35">
      <c r="A2639">
        <v>202210</v>
      </c>
      <c r="B2639">
        <v>65</v>
      </c>
      <c r="C2639" s="2">
        <v>2776172.2842000001</v>
      </c>
      <c r="D2639" s="2">
        <v>0.67259999999999998</v>
      </c>
      <c r="E2639" s="3">
        <v>224019</v>
      </c>
      <c r="F2639" s="2">
        <v>150679.2745</v>
      </c>
      <c r="G2639" t="s">
        <v>1882</v>
      </c>
      <c r="H2639" t="s">
        <v>7</v>
      </c>
      <c r="I2639" t="str">
        <f>HLOOKUP(G2639,zip_tiers!$A$1:$EON$2,2,FALSE)</f>
        <v/>
      </c>
      <c r="J2639" t="str">
        <f t="shared" si="41"/>
        <v>No Data</v>
      </c>
      <c r="K2639">
        <f>dataset[[#This Row],[soda_sales]]/dataset[[#This Row],[soda_units_sold]]</f>
        <v>0.67261828014588043</v>
      </c>
      <c r="L2639" s="29">
        <f>dataset[[#This Row],[implied_soda_ppu]]-dataset[[#This Row],[soda_ppu]]</f>
        <v>1.8280145880456011E-5</v>
      </c>
      <c r="M2639">
        <f>dataset[[#This Row],[soda_sales]]/dataset[[#This Row],[total_sales]]</f>
        <v>5.4275909084446725E-2</v>
      </c>
      <c r="N2639">
        <f>LN(dataset[[#This Row],[soda_units_sold]])</f>
        <v>12.319486148668615</v>
      </c>
      <c r="O2639">
        <f>LN(dataset[[#This Row],[soda_sales]])</f>
        <v>11.922908846954991</v>
      </c>
      <c r="P2639">
        <f>LN(dataset[[#This Row],[soda_ppu]])</f>
        <v>-0.39660447967596785</v>
      </c>
      <c r="Q2639">
        <f>IF(dataset[[#This Row],[state]]="VA",1,0)</f>
        <v>0</v>
      </c>
    </row>
    <row r="2640" spans="1:17" x14ac:dyDescent="0.35">
      <c r="A2640">
        <v>202211</v>
      </c>
      <c r="B2640">
        <v>65</v>
      </c>
      <c r="C2640" s="2">
        <v>3238461.0422</v>
      </c>
      <c r="D2640" s="2">
        <v>0.67490000000000006</v>
      </c>
      <c r="E2640" s="3">
        <v>220670</v>
      </c>
      <c r="F2640" s="2">
        <v>148926.1287</v>
      </c>
      <c r="G2640" t="s">
        <v>1882</v>
      </c>
      <c r="H2640" t="s">
        <v>7</v>
      </c>
      <c r="I2640" t="str">
        <f>HLOOKUP(G2640,zip_tiers!$A$1:$EON$2,2,FALSE)</f>
        <v/>
      </c>
      <c r="J2640" t="str">
        <f t="shared" si="41"/>
        <v>No Data</v>
      </c>
      <c r="K2640">
        <f>dataset[[#This Row],[soda_sales]]/dataset[[#This Row],[soda_units_sold]]</f>
        <v>0.6748816273168079</v>
      </c>
      <c r="L2640" s="29">
        <f>dataset[[#This Row],[implied_soda_ppu]]-dataset[[#This Row],[soda_ppu]]</f>
        <v>-1.8372683192158235E-5</v>
      </c>
      <c r="M2640">
        <f>dataset[[#This Row],[soda_sales]]/dataset[[#This Row],[total_sales]]</f>
        <v>4.5986697619443732E-2</v>
      </c>
      <c r="N2640">
        <f>LN(dataset[[#This Row],[soda_units_sold]])</f>
        <v>12.304423651877126</v>
      </c>
      <c r="O2640">
        <f>LN(dataset[[#This Row],[soda_sales]])</f>
        <v>11.911205681450877</v>
      </c>
      <c r="P2640">
        <f>LN(dataset[[#This Row],[soda_ppu]])</f>
        <v>-0.39319074723277614</v>
      </c>
      <c r="Q2640">
        <f>IF(dataset[[#This Row],[state]]="VA",1,0)</f>
        <v>0</v>
      </c>
    </row>
    <row r="2641" spans="1:17" x14ac:dyDescent="0.35">
      <c r="A2641">
        <v>202212</v>
      </c>
      <c r="B2641">
        <v>65</v>
      </c>
      <c r="C2641" s="2">
        <v>3316002.9660999998</v>
      </c>
      <c r="D2641" s="2">
        <v>0.67930000000000001</v>
      </c>
      <c r="E2641" s="3">
        <v>205648</v>
      </c>
      <c r="F2641" s="2">
        <v>139706.552</v>
      </c>
      <c r="G2641" t="s">
        <v>1882</v>
      </c>
      <c r="H2641" t="s">
        <v>7</v>
      </c>
      <c r="I2641" t="str">
        <f>HLOOKUP(G2641,zip_tiers!$A$1:$EON$2,2,FALSE)</f>
        <v/>
      </c>
      <c r="J2641" t="str">
        <f t="shared" si="41"/>
        <v>No Data</v>
      </c>
      <c r="K2641">
        <f>dataset[[#This Row],[soda_sales]]/dataset[[#This Row],[soda_units_sold]]</f>
        <v>0.67934797323582041</v>
      </c>
      <c r="L2641" s="29">
        <f>dataset[[#This Row],[implied_soda_ppu]]-dataset[[#This Row],[soda_ppu]]</f>
        <v>4.7973235820397697E-5</v>
      </c>
      <c r="M2641">
        <f>dataset[[#This Row],[soda_sales]]/dataset[[#This Row],[total_sales]]</f>
        <v>4.2131009359231947E-2</v>
      </c>
      <c r="N2641">
        <f>LN(dataset[[#This Row],[soda_units_sold]])</f>
        <v>12.233921248349914</v>
      </c>
      <c r="O2641">
        <f>LN(dataset[[#This Row],[soda_sales]])</f>
        <v>11.847299444646334</v>
      </c>
      <c r="P2641">
        <f>LN(dataset[[#This Row],[soda_ppu]])</f>
        <v>-0.38669242278488081</v>
      </c>
      <c r="Q2641">
        <f>IF(dataset[[#This Row],[state]]="VA",1,0)</f>
        <v>0</v>
      </c>
    </row>
    <row r="2642" spans="1:17" x14ac:dyDescent="0.35">
      <c r="A2642">
        <v>202301</v>
      </c>
      <c r="B2642">
        <v>65</v>
      </c>
      <c r="C2642" s="2">
        <v>1906789.8887</v>
      </c>
      <c r="D2642" s="2">
        <v>0.69299999999999995</v>
      </c>
      <c r="E2642" s="3">
        <v>150843</v>
      </c>
      <c r="F2642" s="2">
        <v>104533.78350000001</v>
      </c>
      <c r="G2642" t="s">
        <v>1882</v>
      </c>
      <c r="H2642" t="s">
        <v>7</v>
      </c>
      <c r="I2642" t="str">
        <f>HLOOKUP(G2642,zip_tiers!$A$1:$EON$2,2,FALSE)</f>
        <v/>
      </c>
      <c r="J2642" t="str">
        <f t="shared" si="41"/>
        <v>No Data</v>
      </c>
      <c r="K2642">
        <f>dataset[[#This Row],[soda_sales]]/dataset[[#This Row],[soda_units_sold]]</f>
        <v>0.6929972454804002</v>
      </c>
      <c r="L2642" s="29">
        <f>dataset[[#This Row],[implied_soda_ppu]]-dataset[[#This Row],[soda_ppu]]</f>
        <v>-2.7545195997458194E-6</v>
      </c>
      <c r="M2642">
        <f>dataset[[#This Row],[soda_sales]]/dataset[[#This Row],[total_sales]]</f>
        <v>5.4821867956971616E-2</v>
      </c>
      <c r="N2642">
        <f>LN(dataset[[#This Row],[soda_units_sold]])</f>
        <v>11.923994839798224</v>
      </c>
      <c r="O2642">
        <f>LN(dataset[[#This Row],[soda_sales]])</f>
        <v>11.557265585222334</v>
      </c>
      <c r="P2642">
        <f>LN(dataset[[#This Row],[soda_ppu]])</f>
        <v>-0.3667252797922339</v>
      </c>
      <c r="Q2642">
        <f>IF(dataset[[#This Row],[state]]="VA",1,0)</f>
        <v>0</v>
      </c>
    </row>
    <row r="2643" spans="1:17" x14ac:dyDescent="0.35">
      <c r="A2643">
        <v>202302</v>
      </c>
      <c r="B2643">
        <v>65</v>
      </c>
      <c r="C2643" s="2">
        <v>2172718.3654999998</v>
      </c>
      <c r="D2643" s="2">
        <v>0.69230000000000003</v>
      </c>
      <c r="E2643" s="3">
        <v>173429</v>
      </c>
      <c r="F2643" s="2">
        <v>120059.1848</v>
      </c>
      <c r="G2643" t="s">
        <v>1882</v>
      </c>
      <c r="H2643" t="s">
        <v>7</v>
      </c>
      <c r="I2643" t="str">
        <f>HLOOKUP(G2643,zip_tiers!$A$1:$EON$2,2,FALSE)</f>
        <v/>
      </c>
      <c r="J2643" t="str">
        <f t="shared" si="41"/>
        <v>No Data</v>
      </c>
      <c r="K2643">
        <f>dataset[[#This Row],[soda_sales]]/dataset[[#This Row],[soda_units_sold]]</f>
        <v>0.69226706490840628</v>
      </c>
      <c r="L2643" s="29">
        <f>dataset[[#This Row],[implied_soda_ppu]]-dataset[[#This Row],[soda_ppu]]</f>
        <v>-3.2935091593744303E-5</v>
      </c>
      <c r="M2643">
        <f>dataset[[#This Row],[soda_sales]]/dataset[[#This Row],[total_sales]]</f>
        <v>5.525759192097187E-2</v>
      </c>
      <c r="N2643">
        <f>LN(dataset[[#This Row],[soda_units_sold]])</f>
        <v>12.063523572712901</v>
      </c>
      <c r="O2643">
        <f>LN(dataset[[#This Row],[soda_sales]])</f>
        <v>11.695740106844418</v>
      </c>
      <c r="P2643">
        <f>LN(dataset[[#This Row],[soda_ppu]])</f>
        <v>-0.36773589129815726</v>
      </c>
      <c r="Q2643">
        <f>IF(dataset[[#This Row],[state]]="VA",1,0)</f>
        <v>0</v>
      </c>
    </row>
    <row r="2644" spans="1:17" x14ac:dyDescent="0.35">
      <c r="A2644">
        <v>202303</v>
      </c>
      <c r="B2644">
        <v>65</v>
      </c>
      <c r="C2644" s="2">
        <v>2432531.4619</v>
      </c>
      <c r="D2644" s="2">
        <v>0.69320000000000004</v>
      </c>
      <c r="E2644" s="3">
        <v>197738</v>
      </c>
      <c r="F2644" s="2">
        <v>137075.49290000001</v>
      </c>
      <c r="G2644" t="s">
        <v>1882</v>
      </c>
      <c r="H2644" t="s">
        <v>7</v>
      </c>
      <c r="I2644" t="str">
        <f>HLOOKUP(G2644,zip_tiers!$A$1:$EON$2,2,FALSE)</f>
        <v/>
      </c>
      <c r="J2644" t="str">
        <f t="shared" si="41"/>
        <v>No Data</v>
      </c>
      <c r="K2644">
        <f>dataset[[#This Row],[soda_sales]]/dataset[[#This Row],[soda_units_sold]]</f>
        <v>0.6932177573354642</v>
      </c>
      <c r="L2644" s="29">
        <f>dataset[[#This Row],[implied_soda_ppu]]-dataset[[#This Row],[soda_ppu]]</f>
        <v>1.7757335464163582E-5</v>
      </c>
      <c r="M2644">
        <f>dataset[[#This Row],[soda_sales]]/dataset[[#This Row],[total_sales]]</f>
        <v>5.6350964025325773E-2</v>
      </c>
      <c r="N2644">
        <f>LN(dataset[[#This Row],[soda_units_sold]])</f>
        <v>12.19469820110848</v>
      </c>
      <c r="O2644">
        <f>LN(dataset[[#This Row],[soda_sales]])</f>
        <v>11.828287096107477</v>
      </c>
      <c r="P2644">
        <f>LN(dataset[[#This Row],[soda_ppu]])</f>
        <v>-0.36643672114068598</v>
      </c>
      <c r="Q2644">
        <f>IF(dataset[[#This Row],[state]]="VA",1,0)</f>
        <v>0</v>
      </c>
    </row>
    <row r="2645" spans="1:17" x14ac:dyDescent="0.35">
      <c r="A2645">
        <v>202304</v>
      </c>
      <c r="B2645">
        <v>65</v>
      </c>
      <c r="C2645" s="2">
        <v>2552798.5592999998</v>
      </c>
      <c r="D2645" s="2">
        <v>0.70940000000000003</v>
      </c>
      <c r="E2645" s="3">
        <v>228730</v>
      </c>
      <c r="F2645" s="2">
        <v>162251.54449999999</v>
      </c>
      <c r="G2645" t="s">
        <v>1882</v>
      </c>
      <c r="H2645" t="s">
        <v>7</v>
      </c>
      <c r="I2645" t="str">
        <f>HLOOKUP(G2645,zip_tiers!$A$1:$EON$2,2,FALSE)</f>
        <v/>
      </c>
      <c r="J2645" t="str">
        <f t="shared" si="41"/>
        <v>No Data</v>
      </c>
      <c r="K2645">
        <f>dataset[[#This Row],[soda_sales]]/dataset[[#This Row],[soda_units_sold]]</f>
        <v>0.709358389804573</v>
      </c>
      <c r="L2645" s="29">
        <f>dataset[[#This Row],[implied_soda_ppu]]-dataset[[#This Row],[soda_ppu]]</f>
        <v>-4.1610195427033148E-5</v>
      </c>
      <c r="M2645">
        <f>dataset[[#This Row],[soda_sales]]/dataset[[#This Row],[total_sales]]</f>
        <v>6.3558303066612046E-2</v>
      </c>
      <c r="N2645">
        <f>LN(dataset[[#This Row],[soda_units_sold]])</f>
        <v>12.340297547621406</v>
      </c>
      <c r="O2645">
        <f>LN(dataset[[#This Row],[soda_sales]])</f>
        <v>11.99690315378143</v>
      </c>
      <c r="P2645">
        <f>LN(dataset[[#This Row],[soda_ppu]])</f>
        <v>-0.34333573664261557</v>
      </c>
      <c r="Q2645">
        <f>IF(dataset[[#This Row],[state]]="VA",1,0)</f>
        <v>0</v>
      </c>
    </row>
    <row r="2646" spans="1:17" x14ac:dyDescent="0.35">
      <c r="A2646">
        <v>202305</v>
      </c>
      <c r="B2646">
        <v>65</v>
      </c>
      <c r="C2646" s="2">
        <v>2622192.6168</v>
      </c>
      <c r="D2646" s="2">
        <v>0.67020000000000002</v>
      </c>
      <c r="E2646" s="3">
        <v>260884</v>
      </c>
      <c r="F2646" s="2">
        <v>174837.1017</v>
      </c>
      <c r="G2646" t="s">
        <v>1882</v>
      </c>
      <c r="H2646" t="s">
        <v>7</v>
      </c>
      <c r="I2646" t="str">
        <f>HLOOKUP(G2646,zip_tiers!$A$1:$EON$2,2,FALSE)</f>
        <v/>
      </c>
      <c r="J2646" t="str">
        <f t="shared" si="41"/>
        <v>No Data</v>
      </c>
      <c r="K2646">
        <f>dataset[[#This Row],[soda_sales]]/dataset[[#This Row],[soda_units_sold]]</f>
        <v>0.67017180701001211</v>
      </c>
      <c r="L2646" s="29">
        <f>dataset[[#This Row],[implied_soda_ppu]]-dataset[[#This Row],[soda_ppu]]</f>
        <v>-2.8192989987907424E-5</v>
      </c>
      <c r="M2646">
        <f>dataset[[#This Row],[soda_sales]]/dataset[[#This Row],[total_sales]]</f>
        <v>6.6675918687225555E-2</v>
      </c>
      <c r="N2646">
        <f>LN(dataset[[#This Row],[soda_units_sold]])</f>
        <v>12.47183114306568</v>
      </c>
      <c r="O2646">
        <f>LN(dataset[[#This Row],[soda_sales]])</f>
        <v>12.071609971969572</v>
      </c>
      <c r="P2646">
        <f>LN(dataset[[#This Row],[soda_ppu]])</f>
        <v>-0.40017910367892701</v>
      </c>
      <c r="Q2646">
        <f>IF(dataset[[#This Row],[state]]="VA",1,0)</f>
        <v>0</v>
      </c>
    </row>
    <row r="2647" spans="1:17" x14ac:dyDescent="0.35">
      <c r="A2647">
        <v>202306</v>
      </c>
      <c r="B2647">
        <v>65</v>
      </c>
      <c r="C2647" s="2">
        <v>2549222.1945000002</v>
      </c>
      <c r="D2647" s="2">
        <v>0.69510000000000005</v>
      </c>
      <c r="E2647" s="3">
        <v>266040</v>
      </c>
      <c r="F2647" s="2">
        <v>184921.4711</v>
      </c>
      <c r="G2647" t="s">
        <v>1882</v>
      </c>
      <c r="H2647" t="s">
        <v>7</v>
      </c>
      <c r="I2647" t="str">
        <f>HLOOKUP(G2647,zip_tiers!$A$1:$EON$2,2,FALSE)</f>
        <v/>
      </c>
      <c r="J2647" t="str">
        <f t="shared" si="41"/>
        <v>No Data</v>
      </c>
      <c r="K2647">
        <f>dataset[[#This Row],[soda_sales]]/dataset[[#This Row],[soda_units_sold]]</f>
        <v>0.69508897571793715</v>
      </c>
      <c r="L2647" s="29">
        <f>dataset[[#This Row],[implied_soda_ppu]]-dataset[[#This Row],[soda_ppu]]</f>
        <v>-1.1024282062899182E-5</v>
      </c>
      <c r="M2647">
        <f>dataset[[#This Row],[soda_sales]]/dataset[[#This Row],[total_sales]]</f>
        <v>7.2540350346459365E-2</v>
      </c>
      <c r="N2647">
        <f>LN(dataset[[#This Row],[soda_units_sold]])</f>
        <v>12.491401952398357</v>
      </c>
      <c r="O2647">
        <f>LN(dataset[[#This Row],[soda_sales]])</f>
        <v>12.127686533402553</v>
      </c>
      <c r="P2647">
        <f>LN(dataset[[#This Row],[soda_ppu]])</f>
        <v>-0.36369955887569677</v>
      </c>
      <c r="Q2647">
        <f>IF(dataset[[#This Row],[state]]="VA",1,0)</f>
        <v>0</v>
      </c>
    </row>
    <row r="2648" spans="1:17" x14ac:dyDescent="0.35">
      <c r="A2648">
        <v>202307</v>
      </c>
      <c r="B2648">
        <v>65</v>
      </c>
      <c r="C2648" s="2">
        <v>2452280.8174999999</v>
      </c>
      <c r="D2648" s="2">
        <v>0.71940000000000004</v>
      </c>
      <c r="E2648" s="3">
        <v>271043</v>
      </c>
      <c r="F2648" s="2">
        <v>194985.46950000001</v>
      </c>
      <c r="G2648" t="s">
        <v>1882</v>
      </c>
      <c r="H2648" t="s">
        <v>7</v>
      </c>
      <c r="I2648" t="str">
        <f>HLOOKUP(G2648,zip_tiers!$A$1:$EON$2,2,FALSE)</f>
        <v/>
      </c>
      <c r="J2648" t="str">
        <f t="shared" si="41"/>
        <v>No Data</v>
      </c>
      <c r="K2648">
        <f>dataset[[#This Row],[soda_sales]]/dataset[[#This Row],[soda_units_sold]]</f>
        <v>0.71938943082831874</v>
      </c>
      <c r="L2648" s="29">
        <f>dataset[[#This Row],[implied_soda_ppu]]-dataset[[#This Row],[soda_ppu]]</f>
        <v>-1.0569171681296119E-5</v>
      </c>
      <c r="M2648">
        <f>dataset[[#This Row],[soda_sales]]/dataset[[#This Row],[total_sales]]</f>
        <v>7.9511884653887116E-2</v>
      </c>
      <c r="N2648">
        <f>LN(dataset[[#This Row],[soda_units_sold]])</f>
        <v>12.510032758861549</v>
      </c>
      <c r="O2648">
        <f>LN(dataset[[#This Row],[soda_sales]])</f>
        <v>12.180680319384859</v>
      </c>
      <c r="P2648">
        <f>LN(dataset[[#This Row],[soda_ppu]])</f>
        <v>-0.32933774772061342</v>
      </c>
      <c r="Q2648">
        <f>IF(dataset[[#This Row],[state]]="VA",1,0)</f>
        <v>0</v>
      </c>
    </row>
    <row r="2649" spans="1:17" x14ac:dyDescent="0.35">
      <c r="A2649">
        <v>202308</v>
      </c>
      <c r="B2649">
        <v>65</v>
      </c>
      <c r="C2649" s="2">
        <v>2298522.4005</v>
      </c>
      <c r="D2649" s="2">
        <v>0.73499999999999999</v>
      </c>
      <c r="E2649" s="3">
        <v>227225</v>
      </c>
      <c r="F2649" s="2">
        <v>166999.61809999999</v>
      </c>
      <c r="G2649" t="s">
        <v>1882</v>
      </c>
      <c r="H2649" t="s">
        <v>7</v>
      </c>
      <c r="I2649" t="str">
        <f>HLOOKUP(G2649,zip_tiers!$A$1:$EON$2,2,FALSE)</f>
        <v/>
      </c>
      <c r="J2649" t="str">
        <f t="shared" si="41"/>
        <v>No Data</v>
      </c>
      <c r="K2649">
        <f>dataset[[#This Row],[soda_sales]]/dataset[[#This Row],[soda_units_sold]]</f>
        <v>0.73495265969853663</v>
      </c>
      <c r="L2649" s="29">
        <f>dataset[[#This Row],[implied_soda_ppu]]-dataset[[#This Row],[soda_ppu]]</f>
        <v>-4.7340301463361101E-5</v>
      </c>
      <c r="M2649">
        <f>dataset[[#This Row],[soda_sales]]/dataset[[#This Row],[total_sales]]</f>
        <v>7.2655205824260133E-2</v>
      </c>
      <c r="N2649">
        <f>LN(dataset[[#This Row],[soda_units_sold]])</f>
        <v>12.333695994986972</v>
      </c>
      <c r="O2649">
        <f>LN(dataset[[#This Row],[soda_sales]])</f>
        <v>12.025746804569931</v>
      </c>
      <c r="P2649">
        <f>LN(dataset[[#This Row],[soda_ppu]])</f>
        <v>-0.3078847797693004</v>
      </c>
      <c r="Q2649">
        <f>IF(dataset[[#This Row],[state]]="VA",1,0)</f>
        <v>0</v>
      </c>
    </row>
    <row r="2650" spans="1:17" x14ac:dyDescent="0.35">
      <c r="A2650">
        <v>202309</v>
      </c>
      <c r="B2650">
        <v>65</v>
      </c>
      <c r="C2650" s="2">
        <v>2291053.7932000002</v>
      </c>
      <c r="D2650" s="2">
        <v>0.72160000000000002</v>
      </c>
      <c r="E2650" s="3">
        <v>221464</v>
      </c>
      <c r="F2650" s="2">
        <v>159811.69870000001</v>
      </c>
      <c r="G2650" t="s">
        <v>1882</v>
      </c>
      <c r="H2650" t="s">
        <v>7</v>
      </c>
      <c r="I2650" t="str">
        <f>HLOOKUP(G2650,zip_tiers!$A$1:$EON$2,2,FALSE)</f>
        <v/>
      </c>
      <c r="J2650" t="str">
        <f t="shared" si="41"/>
        <v>No Data</v>
      </c>
      <c r="K2650">
        <f>dataset[[#This Row],[soda_sales]]/dataset[[#This Row],[soda_units_sold]]</f>
        <v>0.72161479382653615</v>
      </c>
      <c r="L2650" s="29">
        <f>dataset[[#This Row],[implied_soda_ppu]]-dataset[[#This Row],[soda_ppu]]</f>
        <v>1.4793826536130261E-5</v>
      </c>
      <c r="M2650">
        <f>dataset[[#This Row],[soda_sales]]/dataset[[#This Row],[total_sales]]</f>
        <v>6.9754668866497921E-2</v>
      </c>
      <c r="N2650">
        <f>LN(dataset[[#This Row],[soda_units_sold]])</f>
        <v>12.308015327041481</v>
      </c>
      <c r="O2650">
        <f>LN(dataset[[#This Row],[soda_sales]])</f>
        <v>11.981751518020189</v>
      </c>
      <c r="P2650">
        <f>LN(dataset[[#This Row],[soda_ppu]])</f>
        <v>-0.32628431023372312</v>
      </c>
      <c r="Q2650">
        <f>IF(dataset[[#This Row],[state]]="VA",1,0)</f>
        <v>0</v>
      </c>
    </row>
    <row r="2651" spans="1:17" x14ac:dyDescent="0.35">
      <c r="A2651">
        <v>202310</v>
      </c>
      <c r="B2651">
        <v>65</v>
      </c>
      <c r="C2651" s="2">
        <v>2829733.9974000002</v>
      </c>
      <c r="D2651" s="2">
        <v>0.73909999999999998</v>
      </c>
      <c r="E2651" s="3">
        <v>210598</v>
      </c>
      <c r="F2651" s="2">
        <v>155660.3922</v>
      </c>
      <c r="G2651" t="s">
        <v>1882</v>
      </c>
      <c r="H2651" t="s">
        <v>7</v>
      </c>
      <c r="I2651" t="str">
        <f>HLOOKUP(G2651,zip_tiers!$A$1:$EON$2,2,FALSE)</f>
        <v/>
      </c>
      <c r="J2651" t="str">
        <f t="shared" si="41"/>
        <v>No Data</v>
      </c>
      <c r="K2651">
        <f>dataset[[#This Row],[soda_sales]]/dataset[[#This Row],[soda_units_sold]]</f>
        <v>0.739135187418684</v>
      </c>
      <c r="L2651" s="29">
        <f>dataset[[#This Row],[implied_soda_ppu]]-dataset[[#This Row],[soda_ppu]]</f>
        <v>3.5187418684023974E-5</v>
      </c>
      <c r="M2651">
        <f>dataset[[#This Row],[soda_sales]]/dataset[[#This Row],[total_sales]]</f>
        <v>5.5008842648469072E-2</v>
      </c>
      <c r="N2651">
        <f>LN(dataset[[#This Row],[soda_units_sold]])</f>
        <v>12.257706381960755</v>
      </c>
      <c r="O2651">
        <f>LN(dataset[[#This Row],[soda_sales]])</f>
        <v>11.955431940104193</v>
      </c>
      <c r="P2651">
        <f>LN(dataset[[#This Row],[soda_ppu]])</f>
        <v>-0.30232204919129602</v>
      </c>
      <c r="Q2651">
        <f>IF(dataset[[#This Row],[state]]="VA",1,0)</f>
        <v>0</v>
      </c>
    </row>
    <row r="2652" spans="1:17" x14ac:dyDescent="0.35">
      <c r="A2652">
        <v>202311</v>
      </c>
      <c r="B2652">
        <v>65</v>
      </c>
      <c r="C2652" s="2">
        <v>3243821.6197000002</v>
      </c>
      <c r="D2652" s="2">
        <v>0.73699999999999999</v>
      </c>
      <c r="E2652" s="3">
        <v>200484</v>
      </c>
      <c r="F2652" s="2">
        <v>147764.8302</v>
      </c>
      <c r="G2652" t="s">
        <v>1882</v>
      </c>
      <c r="H2652" t="s">
        <v>7</v>
      </c>
      <c r="I2652" t="str">
        <f>HLOOKUP(G2652,zip_tiers!$A$1:$EON$2,2,FALSE)</f>
        <v/>
      </c>
      <c r="J2652" t="str">
        <f t="shared" si="41"/>
        <v>No Data</v>
      </c>
      <c r="K2652">
        <f>dataset[[#This Row],[soda_sales]]/dataset[[#This Row],[soda_units_sold]]</f>
        <v>0.73704051295864004</v>
      </c>
      <c r="L2652" s="29">
        <f>dataset[[#This Row],[implied_soda_ppu]]-dataset[[#This Row],[soda_ppu]]</f>
        <v>4.051295864004878E-5</v>
      </c>
      <c r="M2652">
        <f>dataset[[#This Row],[soda_sales]]/dataset[[#This Row],[total_sales]]</f>
        <v>4.5552699107315832E-2</v>
      </c>
      <c r="N2652">
        <f>LN(dataset[[#This Row],[soda_units_sold]])</f>
        <v>12.208489722045778</v>
      </c>
      <c r="O2652">
        <f>LN(dataset[[#This Row],[soda_sales]])</f>
        <v>11.903377303835313</v>
      </c>
      <c r="P2652">
        <f>LN(dataset[[#This Row],[soda_ppu]])</f>
        <v>-0.30516738679280048</v>
      </c>
      <c r="Q2652">
        <f>IF(dataset[[#This Row],[state]]="VA",1,0)</f>
        <v>0</v>
      </c>
    </row>
    <row r="2653" spans="1:17" x14ac:dyDescent="0.35">
      <c r="A2653">
        <v>202312</v>
      </c>
      <c r="B2653">
        <v>65</v>
      </c>
      <c r="C2653" s="2">
        <v>3395061.1708</v>
      </c>
      <c r="D2653" s="2">
        <v>0.71440000000000003</v>
      </c>
      <c r="E2653" s="3">
        <v>204886</v>
      </c>
      <c r="F2653" s="2">
        <v>146364.93609999999</v>
      </c>
      <c r="G2653" t="s">
        <v>1882</v>
      </c>
      <c r="H2653" t="s">
        <v>7</v>
      </c>
      <c r="I2653" t="str">
        <f>HLOOKUP(G2653,zip_tiers!$A$1:$EON$2,2,FALSE)</f>
        <v/>
      </c>
      <c r="J2653" t="str">
        <f t="shared" si="41"/>
        <v>No Data</v>
      </c>
      <c r="K2653">
        <f>dataset[[#This Row],[soda_sales]]/dataset[[#This Row],[soda_units_sold]]</f>
        <v>0.71437255888640505</v>
      </c>
      <c r="L2653" s="29">
        <f>dataset[[#This Row],[implied_soda_ppu]]-dataset[[#This Row],[soda_ppu]]</f>
        <v>-2.744111359498369E-5</v>
      </c>
      <c r="M2653">
        <f>dataset[[#This Row],[soda_sales]]/dataset[[#This Row],[total_sales]]</f>
        <v>4.3111133713538093E-2</v>
      </c>
      <c r="N2653">
        <f>LN(dataset[[#This Row],[soda_units_sold]])</f>
        <v>12.230209005879974</v>
      </c>
      <c r="O2653">
        <f>LN(dataset[[#This Row],[soda_sales]])</f>
        <v>11.893858344309182</v>
      </c>
      <c r="P2653">
        <f>LN(dataset[[#This Row],[soda_ppu]])</f>
        <v>-0.33631224941984772</v>
      </c>
      <c r="Q2653">
        <f>IF(dataset[[#This Row],[state]]="VA",1,0)</f>
        <v>0</v>
      </c>
    </row>
    <row r="2654" spans="1:17" x14ac:dyDescent="0.35">
      <c r="A2654">
        <v>202401</v>
      </c>
      <c r="B2654">
        <v>65</v>
      </c>
      <c r="C2654" s="2">
        <v>1970202.8813</v>
      </c>
      <c r="D2654" s="2">
        <v>0.76880000000000004</v>
      </c>
      <c r="E2654" s="3">
        <v>139616</v>
      </c>
      <c r="F2654" s="2">
        <v>107331.34729999999</v>
      </c>
      <c r="G2654" t="s">
        <v>1882</v>
      </c>
      <c r="H2654" t="s">
        <v>7</v>
      </c>
      <c r="I2654" t="str">
        <f>HLOOKUP(G2654,zip_tiers!$A$1:$EON$2,2,FALSE)</f>
        <v/>
      </c>
      <c r="J2654" t="str">
        <f t="shared" si="41"/>
        <v>No Data</v>
      </c>
      <c r="K2654">
        <f>dataset[[#This Row],[soda_sales]]/dataset[[#This Row],[soda_units_sold]]</f>
        <v>0.76876108254068298</v>
      </c>
      <c r="L2654" s="29">
        <f>dataset[[#This Row],[implied_soda_ppu]]-dataset[[#This Row],[soda_ppu]]</f>
        <v>-3.8917459317056036E-5</v>
      </c>
      <c r="M2654">
        <f>dataset[[#This Row],[soda_sales]]/dataset[[#This Row],[total_sales]]</f>
        <v>5.4477307042196332E-2</v>
      </c>
      <c r="N2654">
        <f>LN(dataset[[#This Row],[soda_units_sold]])</f>
        <v>11.846651075923337</v>
      </c>
      <c r="O2654">
        <f>LN(dataset[[#This Row],[soda_sales]])</f>
        <v>11.583676032271097</v>
      </c>
      <c r="P2654">
        <f>LN(dataset[[#This Row],[soda_ppu]])</f>
        <v>-0.26292442132605426</v>
      </c>
      <c r="Q2654">
        <f>IF(dataset[[#This Row],[state]]="VA",1,0)</f>
        <v>0</v>
      </c>
    </row>
    <row r="2655" spans="1:17" x14ac:dyDescent="0.35">
      <c r="A2655">
        <v>202402</v>
      </c>
      <c r="B2655">
        <v>65</v>
      </c>
      <c r="C2655" s="2">
        <v>2179649.9287999999</v>
      </c>
      <c r="D2655" s="2">
        <v>0.75480000000000003</v>
      </c>
      <c r="E2655" s="3">
        <v>155666</v>
      </c>
      <c r="F2655" s="2">
        <v>117490.98050000001</v>
      </c>
      <c r="G2655" t="s">
        <v>1882</v>
      </c>
      <c r="H2655" t="s">
        <v>7</v>
      </c>
      <c r="I2655" t="str">
        <f>HLOOKUP(G2655,zip_tiers!$A$1:$EON$2,2,FALSE)</f>
        <v/>
      </c>
      <c r="J2655" t="str">
        <f t="shared" si="41"/>
        <v>No Data</v>
      </c>
      <c r="K2655">
        <f>dataset[[#This Row],[soda_sales]]/dataset[[#This Row],[soda_units_sold]]</f>
        <v>0.75476327842945801</v>
      </c>
      <c r="L2655" s="29">
        <f>dataset[[#This Row],[implied_soda_ppu]]-dataset[[#This Row],[soda_ppu]]</f>
        <v>-3.6721570542019855E-5</v>
      </c>
      <c r="M2655">
        <f>dataset[[#This Row],[soda_sales]]/dataset[[#This Row],[total_sales]]</f>
        <v>5.3903601191905313E-2</v>
      </c>
      <c r="N2655">
        <f>LN(dataset[[#This Row],[soda_units_sold]])</f>
        <v>11.955467965318508</v>
      </c>
      <c r="O2655">
        <f>LN(dataset[[#This Row],[soda_sales]])</f>
        <v>11.674116847917892</v>
      </c>
      <c r="P2655">
        <f>LN(dataset[[#This Row],[soda_ppu]])</f>
        <v>-0.28130246548774185</v>
      </c>
      <c r="Q2655">
        <f>IF(dataset[[#This Row],[state]]="VA",1,0)</f>
        <v>0</v>
      </c>
    </row>
    <row r="2656" spans="1:17" x14ac:dyDescent="0.35">
      <c r="A2656">
        <v>202403</v>
      </c>
      <c r="B2656">
        <v>65</v>
      </c>
      <c r="C2656" s="2">
        <v>2469609.1107000001</v>
      </c>
      <c r="D2656" s="2">
        <v>0.73829999999999996</v>
      </c>
      <c r="E2656" s="3">
        <v>195105</v>
      </c>
      <c r="F2656" s="2">
        <v>144043.12549999999</v>
      </c>
      <c r="G2656" t="s">
        <v>1882</v>
      </c>
      <c r="H2656" t="s">
        <v>7</v>
      </c>
      <c r="I2656" t="str">
        <f>HLOOKUP(G2656,zip_tiers!$A$1:$EON$2,2,FALSE)</f>
        <v/>
      </c>
      <c r="J2656" t="str">
        <f t="shared" si="41"/>
        <v>No Data</v>
      </c>
      <c r="K2656">
        <f>dataset[[#This Row],[soda_sales]]/dataset[[#This Row],[soda_units_sold]]</f>
        <v>0.73828515671048922</v>
      </c>
      <c r="L2656" s="29">
        <f>dataset[[#This Row],[implied_soda_ppu]]-dataset[[#This Row],[soda_ppu]]</f>
        <v>-1.4843289510735325E-5</v>
      </c>
      <c r="M2656">
        <f>dataset[[#This Row],[soda_sales]]/dataset[[#This Row],[total_sales]]</f>
        <v>5.8326285271587612E-2</v>
      </c>
      <c r="N2656">
        <f>LN(dataset[[#This Row],[soda_units_sold]])</f>
        <v>12.181293154165951</v>
      </c>
      <c r="O2656">
        <f>LN(dataset[[#This Row],[soda_sales]])</f>
        <v>11.877868016361052</v>
      </c>
      <c r="P2656">
        <f>LN(dataset[[#This Row],[soda_ppu]])</f>
        <v>-0.30340503291701726</v>
      </c>
      <c r="Q2656">
        <f>IF(dataset[[#This Row],[state]]="VA",1,0)</f>
        <v>0</v>
      </c>
    </row>
    <row r="2657" spans="1:17" x14ac:dyDescent="0.35">
      <c r="A2657">
        <v>202404</v>
      </c>
      <c r="B2657">
        <v>65</v>
      </c>
      <c r="C2657" s="2">
        <v>2619676.7198000001</v>
      </c>
      <c r="D2657" s="2">
        <v>0.76129999999999998</v>
      </c>
      <c r="E2657" s="3">
        <v>220503</v>
      </c>
      <c r="F2657" s="2">
        <v>167874.24950000001</v>
      </c>
      <c r="G2657" t="s">
        <v>1882</v>
      </c>
      <c r="H2657" t="s">
        <v>7</v>
      </c>
      <c r="I2657" t="str">
        <f>HLOOKUP(G2657,zip_tiers!$A$1:$EON$2,2,FALSE)</f>
        <v/>
      </c>
      <c r="J2657" t="str">
        <f t="shared" si="41"/>
        <v>No Data</v>
      </c>
      <c r="K2657">
        <f>dataset[[#This Row],[soda_sales]]/dataset[[#This Row],[soda_units_sold]]</f>
        <v>0.76132410670149619</v>
      </c>
      <c r="L2657" s="29">
        <f>dataset[[#This Row],[implied_soda_ppu]]-dataset[[#This Row],[soda_ppu]]</f>
        <v>2.4106701496218186E-5</v>
      </c>
      <c r="M2657">
        <f>dataset[[#This Row],[soda_sales]]/dataset[[#This Row],[total_sales]]</f>
        <v>6.4082048075312287E-2</v>
      </c>
      <c r="N2657">
        <f>LN(dataset[[#This Row],[soda_units_sold]])</f>
        <v>12.303666579218662</v>
      </c>
      <c r="O2657">
        <f>LN(dataset[[#This Row],[soda_sales]])</f>
        <v>12.030970463227311</v>
      </c>
      <c r="P2657">
        <f>LN(dataset[[#This Row],[soda_ppu]])</f>
        <v>-0.27272778066997017</v>
      </c>
      <c r="Q2657">
        <f>IF(dataset[[#This Row],[state]]="VA",1,0)</f>
        <v>0</v>
      </c>
    </row>
    <row r="2658" spans="1:17" x14ac:dyDescent="0.35">
      <c r="A2658">
        <v>202405</v>
      </c>
      <c r="B2658">
        <v>65</v>
      </c>
      <c r="C2658" s="2">
        <v>2776005.2311999998</v>
      </c>
      <c r="D2658" s="2">
        <v>0.76890000000000003</v>
      </c>
      <c r="E2658" s="3">
        <v>241181</v>
      </c>
      <c r="F2658" s="2">
        <v>185446.10329999999</v>
      </c>
      <c r="G2658" t="s">
        <v>1882</v>
      </c>
      <c r="H2658" t="s">
        <v>7</v>
      </c>
      <c r="I2658" t="str">
        <f>HLOOKUP(G2658,zip_tiers!$A$1:$EON$2,2,FALSE)</f>
        <v/>
      </c>
      <c r="J2658" t="str">
        <f t="shared" si="41"/>
        <v>No Data</v>
      </c>
      <c r="K2658">
        <f>dataset[[#This Row],[soda_sales]]/dataset[[#This Row],[soda_units_sold]]</f>
        <v>0.76890842686612959</v>
      </c>
      <c r="L2658" s="29">
        <f>dataset[[#This Row],[implied_soda_ppu]]-dataset[[#This Row],[soda_ppu]]</f>
        <v>8.4268661295627822E-6</v>
      </c>
      <c r="M2658">
        <f>dataset[[#This Row],[soda_sales]]/dataset[[#This Row],[total_sales]]</f>
        <v>6.6803225446313771E-2</v>
      </c>
      <c r="N2658">
        <f>LN(dataset[[#This Row],[soda_units_sold]])</f>
        <v>12.393302967929774</v>
      </c>
      <c r="O2658">
        <f>LN(dataset[[#This Row],[soda_sales]])</f>
        <v>12.130519570564328</v>
      </c>
      <c r="P2658">
        <f>LN(dataset[[#This Row],[soda_ppu]])</f>
        <v>-0.26279435694400188</v>
      </c>
      <c r="Q2658">
        <f>IF(dataset[[#This Row],[state]]="VA",1,0)</f>
        <v>0</v>
      </c>
    </row>
    <row r="2659" spans="1:17" x14ac:dyDescent="0.35">
      <c r="A2659">
        <v>202406</v>
      </c>
      <c r="B2659">
        <v>65</v>
      </c>
      <c r="C2659" s="2">
        <v>2619945.3446999998</v>
      </c>
      <c r="D2659" s="2">
        <v>0.75849999999999995</v>
      </c>
      <c r="E2659" s="3">
        <v>251085</v>
      </c>
      <c r="F2659" s="2">
        <v>190439.0595</v>
      </c>
      <c r="G2659" t="s">
        <v>1882</v>
      </c>
      <c r="H2659" t="s">
        <v>7</v>
      </c>
      <c r="I2659" t="str">
        <f>HLOOKUP(G2659,zip_tiers!$A$1:$EON$2,2,FALSE)</f>
        <v/>
      </c>
      <c r="J2659" t="str">
        <f t="shared" si="41"/>
        <v>No Data</v>
      </c>
      <c r="K2659">
        <f>dataset[[#This Row],[soda_sales]]/dataset[[#This Row],[soda_units_sold]]</f>
        <v>0.75846450206105498</v>
      </c>
      <c r="L2659" s="29">
        <f>dataset[[#This Row],[implied_soda_ppu]]-dataset[[#This Row],[soda_ppu]]</f>
        <v>-3.5497938944972773E-5</v>
      </c>
      <c r="M2659">
        <f>dataset[[#This Row],[soda_sales]]/dataset[[#This Row],[total_sales]]</f>
        <v>7.2688180264999569E-2</v>
      </c>
      <c r="N2659">
        <f>LN(dataset[[#This Row],[soda_units_sold]])</f>
        <v>12.433546806204831</v>
      </c>
      <c r="O2659">
        <f>LN(dataset[[#This Row],[soda_sales]])</f>
        <v>12.157087524732933</v>
      </c>
      <c r="P2659">
        <f>LN(dataset[[#This Row],[soda_ppu]])</f>
        <v>-0.27641248019355019</v>
      </c>
      <c r="Q2659">
        <f>IF(dataset[[#This Row],[state]]="VA",1,0)</f>
        <v>0</v>
      </c>
    </row>
    <row r="2660" spans="1:17" x14ac:dyDescent="0.35">
      <c r="A2660">
        <v>202407</v>
      </c>
      <c r="B2660">
        <v>65</v>
      </c>
      <c r="C2660" s="2">
        <v>2489576.8840999999</v>
      </c>
      <c r="D2660" s="2">
        <v>0.75900000000000001</v>
      </c>
      <c r="E2660" s="3">
        <v>260346</v>
      </c>
      <c r="F2660" s="2">
        <v>197601.07509999999</v>
      </c>
      <c r="G2660" t="s">
        <v>1882</v>
      </c>
      <c r="H2660" t="s">
        <v>7</v>
      </c>
      <c r="I2660" t="str">
        <f>HLOOKUP(G2660,zip_tiers!$A$1:$EON$2,2,FALSE)</f>
        <v/>
      </c>
      <c r="J2660" t="str">
        <f t="shared" si="41"/>
        <v>No Data</v>
      </c>
      <c r="K2660">
        <f>dataset[[#This Row],[soda_sales]]/dataset[[#This Row],[soda_units_sold]]</f>
        <v>0.75899408901999643</v>
      </c>
      <c r="L2660" s="29">
        <f>dataset[[#This Row],[implied_soda_ppu]]-dataset[[#This Row],[soda_ppu]]</f>
        <v>-5.9109800035761495E-6</v>
      </c>
      <c r="M2660">
        <f>dataset[[#This Row],[soda_sales]]/dataset[[#This Row],[total_sales]]</f>
        <v>7.9371348746851103E-2</v>
      </c>
      <c r="N2660">
        <f>LN(dataset[[#This Row],[soda_units_sold]])</f>
        <v>12.469766794539852</v>
      </c>
      <c r="O2660">
        <f>LN(dataset[[#This Row],[soda_sales]])</f>
        <v>12.194005505070576</v>
      </c>
      <c r="P2660">
        <f>LN(dataset[[#This Row],[soda_ppu]])</f>
        <v>-0.27575350158650713</v>
      </c>
      <c r="Q2660">
        <f>IF(dataset[[#This Row],[state]]="VA",1,0)</f>
        <v>0</v>
      </c>
    </row>
    <row r="2661" spans="1:17" x14ac:dyDescent="0.35">
      <c r="A2661">
        <v>202408</v>
      </c>
      <c r="B2661">
        <v>65</v>
      </c>
      <c r="C2661" s="2">
        <v>2363520.1584999999</v>
      </c>
      <c r="D2661" s="2">
        <v>0.74280000000000002</v>
      </c>
      <c r="E2661" s="3">
        <v>234851</v>
      </c>
      <c r="F2661" s="2">
        <v>174453.69940000001</v>
      </c>
      <c r="G2661" t="s">
        <v>1882</v>
      </c>
      <c r="H2661" t="s">
        <v>7</v>
      </c>
      <c r="I2661" t="str">
        <f>HLOOKUP(G2661,zip_tiers!$A$1:$EON$2,2,FALSE)</f>
        <v/>
      </c>
      <c r="J2661" t="str">
        <f t="shared" si="41"/>
        <v>No Data</v>
      </c>
      <c r="K2661">
        <f>dataset[[#This Row],[soda_sales]]/dataset[[#This Row],[soda_units_sold]]</f>
        <v>0.74282715168340785</v>
      </c>
      <c r="L2661" s="29">
        <f>dataset[[#This Row],[implied_soda_ppu]]-dataset[[#This Row],[soda_ppu]]</f>
        <v>2.715168340783336E-5</v>
      </c>
      <c r="M2661">
        <f>dataset[[#This Row],[soda_sales]]/dataset[[#This Row],[total_sales]]</f>
        <v>7.381096318244075E-2</v>
      </c>
      <c r="N2661">
        <f>LN(dataset[[#This Row],[soda_units_sold]])</f>
        <v>12.366706549483121</v>
      </c>
      <c r="O2661">
        <f>LN(dataset[[#This Row],[soda_sales]])</f>
        <v>12.069414652466314</v>
      </c>
      <c r="P2661">
        <f>LN(dataset[[#This Row],[soda_ppu]])</f>
        <v>-0.29732844950358628</v>
      </c>
      <c r="Q2661">
        <f>IF(dataset[[#This Row],[state]]="VA",1,0)</f>
        <v>0</v>
      </c>
    </row>
    <row r="2662" spans="1:17" x14ac:dyDescent="0.35">
      <c r="A2662">
        <v>202409</v>
      </c>
      <c r="B2662">
        <v>65</v>
      </c>
      <c r="C2662" s="2">
        <v>2383097.8465</v>
      </c>
      <c r="D2662" s="2">
        <v>0.76229999999999998</v>
      </c>
      <c r="E2662" s="3">
        <v>221183</v>
      </c>
      <c r="F2662" s="2">
        <v>168597.4903</v>
      </c>
      <c r="G2662" t="s">
        <v>1882</v>
      </c>
      <c r="H2662" t="s">
        <v>7</v>
      </c>
      <c r="I2662" t="str">
        <f>HLOOKUP(G2662,zip_tiers!$A$1:$EON$2,2,FALSE)</f>
        <v/>
      </c>
      <c r="J2662" t="str">
        <f t="shared" si="41"/>
        <v>No Data</v>
      </c>
      <c r="K2662">
        <f>dataset[[#This Row],[soda_sales]]/dataset[[#This Row],[soda_units_sold]]</f>
        <v>0.76225338430168688</v>
      </c>
      <c r="L2662" s="29">
        <f>dataset[[#This Row],[implied_soda_ppu]]-dataset[[#This Row],[soda_ppu]]</f>
        <v>-4.6615698313101639E-5</v>
      </c>
      <c r="M2662">
        <f>dataset[[#This Row],[soda_sales]]/dataset[[#This Row],[total_sales]]</f>
        <v>7.0747195943974855E-2</v>
      </c>
      <c r="N2662">
        <f>LN(dataset[[#This Row],[soda_units_sold]])</f>
        <v>12.306745692150713</v>
      </c>
      <c r="O2662">
        <f>LN(dataset[[#This Row],[soda_sales]])</f>
        <v>12.035269438911225</v>
      </c>
      <c r="P2662">
        <f>LN(dataset[[#This Row],[soda_ppu]])</f>
        <v>-0.27141509998790897</v>
      </c>
      <c r="Q2662">
        <f>IF(dataset[[#This Row],[state]]="VA",1,0)</f>
        <v>0</v>
      </c>
    </row>
    <row r="2663" spans="1:17" x14ac:dyDescent="0.35">
      <c r="A2663">
        <v>202410</v>
      </c>
      <c r="B2663">
        <v>65</v>
      </c>
      <c r="C2663" s="2">
        <v>2881538.2919000001</v>
      </c>
      <c r="D2663" s="2">
        <v>0.78249999999999997</v>
      </c>
      <c r="E2663" s="3">
        <v>200339</v>
      </c>
      <c r="F2663" s="2">
        <v>156757.75399999999</v>
      </c>
      <c r="G2663" t="s">
        <v>1882</v>
      </c>
      <c r="H2663" t="s">
        <v>7</v>
      </c>
      <c r="I2663" t="str">
        <f>HLOOKUP(G2663,zip_tiers!$A$1:$EON$2,2,FALSE)</f>
        <v/>
      </c>
      <c r="J2663" t="str">
        <f t="shared" si="41"/>
        <v>No Data</v>
      </c>
      <c r="K2663">
        <f>dataset[[#This Row],[soda_sales]]/dataset[[#This Row],[soda_units_sold]]</f>
        <v>0.78246249606916274</v>
      </c>
      <c r="L2663" s="29">
        <f>dataset[[#This Row],[implied_soda_ppu]]-dataset[[#This Row],[soda_ppu]]</f>
        <v>-3.7503930837234911E-5</v>
      </c>
      <c r="M2663">
        <f>dataset[[#This Row],[soda_sales]]/dataset[[#This Row],[total_sales]]</f>
        <v>5.4400718685795643E-2</v>
      </c>
      <c r="N2663">
        <f>LN(dataset[[#This Row],[soda_units_sold]])</f>
        <v>12.207766210638873</v>
      </c>
      <c r="O2663">
        <f>LN(dataset[[#This Row],[soda_sales]])</f>
        <v>11.962456924576326</v>
      </c>
      <c r="P2663">
        <f>LN(dataset[[#This Row],[soda_ppu]])</f>
        <v>-0.2452613565678288</v>
      </c>
      <c r="Q2663">
        <f>IF(dataset[[#This Row],[state]]="VA",1,0)</f>
        <v>0</v>
      </c>
    </row>
    <row r="2664" spans="1:17" x14ac:dyDescent="0.35">
      <c r="A2664">
        <v>202411</v>
      </c>
      <c r="B2664">
        <v>65</v>
      </c>
      <c r="C2664" s="2">
        <v>3309466.2182</v>
      </c>
      <c r="D2664" s="2">
        <v>0.78749999999999998</v>
      </c>
      <c r="E2664" s="3">
        <v>192941</v>
      </c>
      <c r="F2664" s="2">
        <v>151940.8708</v>
      </c>
      <c r="G2664" t="s">
        <v>1882</v>
      </c>
      <c r="H2664" t="s">
        <v>7</v>
      </c>
      <c r="I2664" t="str">
        <f>HLOOKUP(G2664,zip_tiers!$A$1:$EON$2,2,FALSE)</f>
        <v/>
      </c>
      <c r="J2664" t="str">
        <f t="shared" si="41"/>
        <v>No Data</v>
      </c>
      <c r="K2664">
        <f>dataset[[#This Row],[soda_sales]]/dataset[[#This Row],[soda_units_sold]]</f>
        <v>0.7874991360053073</v>
      </c>
      <c r="L2664" s="29">
        <f>dataset[[#This Row],[implied_soda_ppu]]-dataset[[#This Row],[soda_ppu]]</f>
        <v>-8.6399469267917084E-7</v>
      </c>
      <c r="M2664">
        <f>dataset[[#This Row],[soda_sales]]/dataset[[#This Row],[total_sales]]</f>
        <v>4.5910990106023737E-2</v>
      </c>
      <c r="N2664">
        <f>LN(dataset[[#This Row],[soda_units_sold]])</f>
        <v>12.170139721669546</v>
      </c>
      <c r="O2664">
        <f>LN(dataset[[#This Row],[soda_sales]])</f>
        <v>11.931246716250477</v>
      </c>
      <c r="P2664">
        <f>LN(dataset[[#This Row],[soda_ppu]])</f>
        <v>-0.23889190828234896</v>
      </c>
      <c r="Q2664">
        <f>IF(dataset[[#This Row],[state]]="VA",1,0)</f>
        <v>0</v>
      </c>
    </row>
    <row r="2665" spans="1:17" x14ac:dyDescent="0.35">
      <c r="A2665">
        <v>202412</v>
      </c>
      <c r="B2665">
        <v>65</v>
      </c>
      <c r="C2665" s="2">
        <v>3493753.8824</v>
      </c>
      <c r="D2665" s="2">
        <v>0.77190000000000003</v>
      </c>
      <c r="E2665" s="3">
        <v>192787</v>
      </c>
      <c r="F2665" s="2">
        <v>148817.95480000001</v>
      </c>
      <c r="G2665" t="s">
        <v>1882</v>
      </c>
      <c r="H2665" t="s">
        <v>7</v>
      </c>
      <c r="I2665" t="str">
        <f>HLOOKUP(G2665,zip_tiers!$A$1:$EON$2,2,FALSE)</f>
        <v/>
      </c>
      <c r="J2665" t="str">
        <f t="shared" si="41"/>
        <v>No Data</v>
      </c>
      <c r="K2665">
        <f>dataset[[#This Row],[soda_sales]]/dataset[[#This Row],[soda_units_sold]]</f>
        <v>0.77192940810324351</v>
      </c>
      <c r="L2665" s="29">
        <f>dataset[[#This Row],[implied_soda_ppu]]-dataset[[#This Row],[soda_ppu]]</f>
        <v>2.9408103243477868E-5</v>
      </c>
      <c r="M2665">
        <f>dataset[[#This Row],[soda_sales]]/dataset[[#This Row],[total_sales]]</f>
        <v>4.2595431678710854E-2</v>
      </c>
      <c r="N2665">
        <f>LN(dataset[[#This Row],[soda_units_sold]])</f>
        <v>12.169341231499361</v>
      </c>
      <c r="O2665">
        <f>LN(dataset[[#This Row],[soda_sales]])</f>
        <v>11.910479058080311</v>
      </c>
      <c r="P2665">
        <f>LN(dataset[[#This Row],[soda_ppu]])</f>
        <v>-0.25890027102632884</v>
      </c>
      <c r="Q2665">
        <f>IF(dataset[[#This Row],[state]]="VA",1,0)</f>
        <v>0</v>
      </c>
    </row>
    <row r="2666" spans="1:17" x14ac:dyDescent="0.35">
      <c r="A2666">
        <v>202201</v>
      </c>
      <c r="B2666">
        <v>44</v>
      </c>
      <c r="C2666" s="2">
        <v>1440151.6322999999</v>
      </c>
      <c r="D2666" s="2">
        <v>0.67290000000000005</v>
      </c>
      <c r="E2666" s="3">
        <v>159412</v>
      </c>
      <c r="F2666" s="2">
        <v>107275.72990000001</v>
      </c>
      <c r="G2666" t="s">
        <v>1954</v>
      </c>
      <c r="H2666" t="s">
        <v>7</v>
      </c>
      <c r="I2666">
        <f>HLOOKUP(G2666,zip_tiers!$A$1:$EON$2,2,FALSE)</f>
        <v>35528.333333333336</v>
      </c>
      <c r="J2666" t="str">
        <f t="shared" si="41"/>
        <v>Low</v>
      </c>
      <c r="K2666">
        <f>dataset[[#This Row],[soda_sales]]/dataset[[#This Row],[soda_units_sold]]</f>
        <v>0.67294638985772715</v>
      </c>
      <c r="L2666" s="29">
        <f>dataset[[#This Row],[implied_soda_ppu]]-dataset[[#This Row],[soda_ppu]]</f>
        <v>4.6389857727091588E-5</v>
      </c>
      <c r="M2666">
        <f>dataset[[#This Row],[soda_sales]]/dataset[[#This Row],[total_sales]]</f>
        <v>7.4489190925454751E-2</v>
      </c>
      <c r="N2666">
        <f>LN(dataset[[#This Row],[soda_units_sold]])</f>
        <v>11.979247324813338</v>
      </c>
      <c r="O2666">
        <f>LN(dataset[[#This Row],[soda_sales]])</f>
        <v>11.583157713844969</v>
      </c>
      <c r="P2666">
        <f>LN(dataset[[#This Row],[soda_ppu]])</f>
        <v>-0.39615854878786466</v>
      </c>
      <c r="Q2666">
        <f>IF(dataset[[#This Row],[state]]="VA",1,0)</f>
        <v>0</v>
      </c>
    </row>
    <row r="2667" spans="1:17" x14ac:dyDescent="0.35">
      <c r="A2667">
        <v>202202</v>
      </c>
      <c r="B2667">
        <v>44</v>
      </c>
      <c r="C2667" s="2">
        <v>1608490.3067000001</v>
      </c>
      <c r="D2667" s="2">
        <v>0.67849999999999999</v>
      </c>
      <c r="E2667" s="3">
        <v>181350</v>
      </c>
      <c r="F2667" s="2">
        <v>123044.54859999999</v>
      </c>
      <c r="G2667" t="s">
        <v>1954</v>
      </c>
      <c r="H2667" t="s">
        <v>7</v>
      </c>
      <c r="I2667">
        <f>HLOOKUP(G2667,zip_tiers!$A$1:$EON$2,2,FALSE)</f>
        <v>35528.333333333336</v>
      </c>
      <c r="J2667" t="str">
        <f t="shared" si="41"/>
        <v>Low</v>
      </c>
      <c r="K2667">
        <f>dataset[[#This Row],[soda_sales]]/dataset[[#This Row],[soda_units_sold]]</f>
        <v>0.67849213454645707</v>
      </c>
      <c r="L2667" s="29">
        <f>dataset[[#This Row],[implied_soda_ppu]]-dataset[[#This Row],[soda_ppu]]</f>
        <v>-7.8654535429212302E-6</v>
      </c>
      <c r="M2667">
        <f>dataset[[#This Row],[soda_sales]]/dataset[[#This Row],[total_sales]]</f>
        <v>7.6496916448591981E-2</v>
      </c>
      <c r="N2667">
        <f>LN(dataset[[#This Row],[soda_units_sold]])</f>
        <v>12.108184144711048</v>
      </c>
      <c r="O2667">
        <f>LN(dataset[[#This Row],[soda_sales]])</f>
        <v>11.720301752521694</v>
      </c>
      <c r="P2667">
        <f>LN(dataset[[#This Row],[soda_ppu]])</f>
        <v>-0.38787079970721322</v>
      </c>
      <c r="Q2667">
        <f>IF(dataset[[#This Row],[state]]="VA",1,0)</f>
        <v>0</v>
      </c>
    </row>
    <row r="2668" spans="1:17" x14ac:dyDescent="0.35">
      <c r="A2668">
        <v>202203</v>
      </c>
      <c r="B2668">
        <v>44</v>
      </c>
      <c r="C2668" s="2">
        <v>1779864.9691000001</v>
      </c>
      <c r="D2668" s="2">
        <v>0.68930000000000002</v>
      </c>
      <c r="E2668" s="3">
        <v>201235</v>
      </c>
      <c r="F2668" s="2">
        <v>138720.66949999999</v>
      </c>
      <c r="G2668" t="s">
        <v>1954</v>
      </c>
      <c r="H2668" t="s">
        <v>7</v>
      </c>
      <c r="I2668">
        <f>HLOOKUP(G2668,zip_tiers!$A$1:$EON$2,2,FALSE)</f>
        <v>35528.333333333336</v>
      </c>
      <c r="J2668" t="str">
        <f t="shared" si="41"/>
        <v>Low</v>
      </c>
      <c r="K2668">
        <f>dataset[[#This Row],[soda_sales]]/dataset[[#This Row],[soda_units_sold]]</f>
        <v>0.689346632047109</v>
      </c>
      <c r="L2668" s="29">
        <f>dataset[[#This Row],[implied_soda_ppu]]-dataset[[#This Row],[soda_ppu]]</f>
        <v>4.6632047108974284E-5</v>
      </c>
      <c r="M2668">
        <f>dataset[[#This Row],[soda_sales]]/dataset[[#This Row],[total_sales]]</f>
        <v>7.7938872840530693E-2</v>
      </c>
      <c r="N2668">
        <f>LN(dataset[[#This Row],[soda_units_sold]])</f>
        <v>12.212228658341511</v>
      </c>
      <c r="O2668">
        <f>LN(dataset[[#This Row],[soda_sales]])</f>
        <v>11.840217618271465</v>
      </c>
      <c r="P2668">
        <f>LN(dataset[[#This Row],[soda_ppu]])</f>
        <v>-0.37207868909053088</v>
      </c>
      <c r="Q2668">
        <f>IF(dataset[[#This Row],[state]]="VA",1,0)</f>
        <v>0</v>
      </c>
    </row>
    <row r="2669" spans="1:17" x14ac:dyDescent="0.35">
      <c r="A2669">
        <v>202204</v>
      </c>
      <c r="B2669">
        <v>44</v>
      </c>
      <c r="C2669" s="2">
        <v>1883654.5174</v>
      </c>
      <c r="D2669" s="2">
        <v>0.68830000000000002</v>
      </c>
      <c r="E2669" s="3">
        <v>233663</v>
      </c>
      <c r="F2669" s="2">
        <v>160830.6869</v>
      </c>
      <c r="G2669" t="s">
        <v>1954</v>
      </c>
      <c r="H2669" t="s">
        <v>7</v>
      </c>
      <c r="I2669">
        <f>HLOOKUP(G2669,zip_tiers!$A$1:$EON$2,2,FALSE)</f>
        <v>35528.333333333336</v>
      </c>
      <c r="J2669" t="str">
        <f t="shared" si="41"/>
        <v>Low</v>
      </c>
      <c r="K2669">
        <f>dataset[[#This Row],[soda_sales]]/dataset[[#This Row],[soda_units_sold]]</f>
        <v>0.68830190017247062</v>
      </c>
      <c r="L2669" s="29">
        <f>dataset[[#This Row],[implied_soda_ppu]]-dataset[[#This Row],[soda_ppu]]</f>
        <v>1.9001724705924872E-6</v>
      </c>
      <c r="M2669">
        <f>dataset[[#This Row],[soda_sales]]/dataset[[#This Row],[total_sales]]</f>
        <v>8.5382263793253282E-2</v>
      </c>
      <c r="N2669">
        <f>LN(dataset[[#This Row],[soda_units_sold]])</f>
        <v>12.361635185356739</v>
      </c>
      <c r="O2669">
        <f>LN(dataset[[#This Row],[soda_sales]])</f>
        <v>11.988107456449919</v>
      </c>
      <c r="P2669">
        <f>LN(dataset[[#This Row],[soda_ppu]])</f>
        <v>-0.37353048957781854</v>
      </c>
      <c r="Q2669">
        <f>IF(dataset[[#This Row],[state]]="VA",1,0)</f>
        <v>0</v>
      </c>
    </row>
    <row r="2670" spans="1:17" x14ac:dyDescent="0.35">
      <c r="A2670">
        <v>202205</v>
      </c>
      <c r="B2670">
        <v>44</v>
      </c>
      <c r="C2670" s="2">
        <v>1961041.6906000001</v>
      </c>
      <c r="D2670" s="2">
        <v>0.71489999999999998</v>
      </c>
      <c r="E2670" s="3">
        <v>239237</v>
      </c>
      <c r="F2670" s="2">
        <v>171021.99849999999</v>
      </c>
      <c r="G2670" t="s">
        <v>1954</v>
      </c>
      <c r="H2670" t="s">
        <v>7</v>
      </c>
      <c r="I2670">
        <f>HLOOKUP(G2670,zip_tiers!$A$1:$EON$2,2,FALSE)</f>
        <v>35528.333333333336</v>
      </c>
      <c r="J2670" t="str">
        <f t="shared" si="41"/>
        <v>Low</v>
      </c>
      <c r="K2670">
        <f>dataset[[#This Row],[soda_sales]]/dataset[[#This Row],[soda_units_sold]]</f>
        <v>0.71486433327620724</v>
      </c>
      <c r="L2670" s="29">
        <f>dataset[[#This Row],[implied_soda_ppu]]-dataset[[#This Row],[soda_ppu]]</f>
        <v>-3.566672379273772E-5</v>
      </c>
      <c r="M2670">
        <f>dataset[[#This Row],[soda_sales]]/dataset[[#This Row],[total_sales]]</f>
        <v>8.7209771887957213E-2</v>
      </c>
      <c r="N2670">
        <f>LN(dataset[[#This Row],[soda_units_sold]])</f>
        <v>12.385209971370791</v>
      </c>
      <c r="O2670">
        <f>LN(dataset[[#This Row],[soda_sales]])</f>
        <v>12.049547473409415</v>
      </c>
      <c r="P2670">
        <f>LN(dataset[[#This Row],[soda_ppu]])</f>
        <v>-0.33561260620933098</v>
      </c>
      <c r="Q2670">
        <f>IF(dataset[[#This Row],[state]]="VA",1,0)</f>
        <v>0</v>
      </c>
    </row>
    <row r="2671" spans="1:17" x14ac:dyDescent="0.35">
      <c r="A2671">
        <v>202206</v>
      </c>
      <c r="B2671">
        <v>44</v>
      </c>
      <c r="C2671" s="2">
        <v>1861041.5027000001</v>
      </c>
      <c r="D2671" s="2">
        <v>0.6946</v>
      </c>
      <c r="E2671" s="3">
        <v>262378</v>
      </c>
      <c r="F2671" s="2">
        <v>182235.0638</v>
      </c>
      <c r="G2671" t="s">
        <v>1954</v>
      </c>
      <c r="H2671" t="s">
        <v>7</v>
      </c>
      <c r="I2671">
        <f>HLOOKUP(G2671,zip_tiers!$A$1:$EON$2,2,FALSE)</f>
        <v>35528.333333333336</v>
      </c>
      <c r="J2671" t="str">
        <f t="shared" si="41"/>
        <v>Low</v>
      </c>
      <c r="K2671">
        <f>dataset[[#This Row],[soda_sales]]/dataset[[#This Row],[soda_units_sold]]</f>
        <v>0.69455161560801593</v>
      </c>
      <c r="L2671" s="29">
        <f>dataset[[#This Row],[implied_soda_ppu]]-dataset[[#This Row],[soda_ppu]]</f>
        <v>-4.8384391984068742E-5</v>
      </c>
      <c r="M2671">
        <f>dataset[[#This Row],[soda_sales]]/dataset[[#This Row],[total_sales]]</f>
        <v>9.7921010109453907E-2</v>
      </c>
      <c r="N2671">
        <f>LN(dataset[[#This Row],[soda_units_sold]])</f>
        <v>12.477541491073765</v>
      </c>
      <c r="O2671">
        <f>LN(dataset[[#This Row],[soda_sales]])</f>
        <v>12.113052692054293</v>
      </c>
      <c r="P2671">
        <f>LN(dataset[[#This Row],[soda_ppu]])</f>
        <v>-0.36441913867216341</v>
      </c>
      <c r="Q2671">
        <f>IF(dataset[[#This Row],[state]]="VA",1,0)</f>
        <v>0</v>
      </c>
    </row>
    <row r="2672" spans="1:17" x14ac:dyDescent="0.35">
      <c r="A2672">
        <v>202207</v>
      </c>
      <c r="B2672">
        <v>44</v>
      </c>
      <c r="C2672" s="2">
        <v>1764716.9811</v>
      </c>
      <c r="D2672" s="2">
        <v>0.70150000000000001</v>
      </c>
      <c r="E2672" s="3">
        <v>265458</v>
      </c>
      <c r="F2672" s="2">
        <v>186229.63250000001</v>
      </c>
      <c r="G2672" t="s">
        <v>1954</v>
      </c>
      <c r="H2672" t="s">
        <v>7</v>
      </c>
      <c r="I2672">
        <f>HLOOKUP(G2672,zip_tiers!$A$1:$EON$2,2,FALSE)</f>
        <v>35528.333333333336</v>
      </c>
      <c r="J2672" t="str">
        <f t="shared" si="41"/>
        <v>Low</v>
      </c>
      <c r="K2672">
        <f>dataset[[#This Row],[soda_sales]]/dataset[[#This Row],[soda_units_sold]]</f>
        <v>0.70154085580393133</v>
      </c>
      <c r="L2672" s="29">
        <f>dataset[[#This Row],[implied_soda_ppu]]-dataset[[#This Row],[soda_ppu]]</f>
        <v>4.0855803931316714E-5</v>
      </c>
      <c r="M2672">
        <f>dataset[[#This Row],[soda_sales]]/dataset[[#This Row],[total_sales]]</f>
        <v>0.10552946137794719</v>
      </c>
      <c r="N2672">
        <f>LN(dataset[[#This Row],[soda_units_sold]])</f>
        <v>12.489211915060046</v>
      </c>
      <c r="O2672">
        <f>LN(dataset[[#This Row],[soda_sales]])</f>
        <v>12.134735774557337</v>
      </c>
      <c r="P2672">
        <f>LN(dataset[[#This Row],[soda_ppu]])</f>
        <v>-0.35453437943962141</v>
      </c>
      <c r="Q2672">
        <f>IF(dataset[[#This Row],[state]]="VA",1,0)</f>
        <v>0</v>
      </c>
    </row>
    <row r="2673" spans="1:17" x14ac:dyDescent="0.35">
      <c r="A2673">
        <v>202208</v>
      </c>
      <c r="B2673">
        <v>44</v>
      </c>
      <c r="C2673" s="2">
        <v>1699103.9828999999</v>
      </c>
      <c r="D2673" s="2">
        <v>0.68810000000000004</v>
      </c>
      <c r="E2673" s="3">
        <v>247379</v>
      </c>
      <c r="F2673" s="2">
        <v>170230.7752</v>
      </c>
      <c r="G2673" t="s">
        <v>1954</v>
      </c>
      <c r="H2673" t="s">
        <v>7</v>
      </c>
      <c r="I2673">
        <f>HLOOKUP(G2673,zip_tiers!$A$1:$EON$2,2,FALSE)</f>
        <v>35528.333333333336</v>
      </c>
      <c r="J2673" t="str">
        <f t="shared" si="41"/>
        <v>Low</v>
      </c>
      <c r="K2673">
        <f>dataset[[#This Row],[soda_sales]]/dataset[[#This Row],[soda_units_sold]]</f>
        <v>0.68813753471394101</v>
      </c>
      <c r="L2673" s="29">
        <f>dataset[[#This Row],[implied_soda_ppu]]-dataset[[#This Row],[soda_ppu]]</f>
        <v>3.7534713940967634E-5</v>
      </c>
      <c r="M2673">
        <f>dataset[[#This Row],[soda_sales]]/dataset[[#This Row],[total_sales]]</f>
        <v>0.10018855638808709</v>
      </c>
      <c r="N2673">
        <f>LN(dataset[[#This Row],[soda_units_sold]])</f>
        <v>12.418676852556857</v>
      </c>
      <c r="O2673">
        <f>LN(dataset[[#This Row],[soda_sales]])</f>
        <v>12.044910296637171</v>
      </c>
      <c r="P2673">
        <f>LN(dataset[[#This Row],[soda_ppu]])</f>
        <v>-0.37382110277370284</v>
      </c>
      <c r="Q2673">
        <f>IF(dataset[[#This Row],[state]]="VA",1,0)</f>
        <v>0</v>
      </c>
    </row>
    <row r="2674" spans="1:17" x14ac:dyDescent="0.35">
      <c r="A2674">
        <v>202209</v>
      </c>
      <c r="B2674">
        <v>44</v>
      </c>
      <c r="C2674" s="2">
        <v>1691431.3160999999</v>
      </c>
      <c r="D2674" s="2">
        <v>0.67110000000000003</v>
      </c>
      <c r="E2674" s="3">
        <v>243285</v>
      </c>
      <c r="F2674" s="2">
        <v>163266.56229999999</v>
      </c>
      <c r="G2674" t="s">
        <v>1954</v>
      </c>
      <c r="H2674" t="s">
        <v>7</v>
      </c>
      <c r="I2674">
        <f>HLOOKUP(G2674,zip_tiers!$A$1:$EON$2,2,FALSE)</f>
        <v>35528.333333333336</v>
      </c>
      <c r="J2674" t="str">
        <f t="shared" si="41"/>
        <v>Low</v>
      </c>
      <c r="K2674">
        <f>dataset[[#This Row],[soda_sales]]/dataset[[#This Row],[soda_units_sold]]</f>
        <v>0.67109177425653033</v>
      </c>
      <c r="L2674" s="29">
        <f>dataset[[#This Row],[implied_soda_ppu]]-dataset[[#This Row],[soda_ppu]]</f>
        <v>-8.2257434697030618E-6</v>
      </c>
      <c r="M2674">
        <f>dataset[[#This Row],[soda_sales]]/dataset[[#This Row],[total_sales]]</f>
        <v>9.6525682565964402E-2</v>
      </c>
      <c r="N2674">
        <f>LN(dataset[[#This Row],[soda_units_sold]])</f>
        <v>12.4019888745899</v>
      </c>
      <c r="O2674">
        <f>LN(dataset[[#This Row],[soda_sales]])</f>
        <v>12.003139495591384</v>
      </c>
      <c r="P2674">
        <f>LN(dataset[[#This Row],[soda_ppu]])</f>
        <v>-0.3988371218179434</v>
      </c>
      <c r="Q2674">
        <f>IF(dataset[[#This Row],[state]]="VA",1,0)</f>
        <v>0</v>
      </c>
    </row>
    <row r="2675" spans="1:17" x14ac:dyDescent="0.35">
      <c r="A2675">
        <v>202210</v>
      </c>
      <c r="B2675">
        <v>44</v>
      </c>
      <c r="C2675" s="2">
        <v>2069416.0898</v>
      </c>
      <c r="D2675" s="2">
        <v>0.70489999999999997</v>
      </c>
      <c r="E2675" s="3">
        <v>216279</v>
      </c>
      <c r="F2675" s="2">
        <v>152460.89180000001</v>
      </c>
      <c r="G2675" t="s">
        <v>1954</v>
      </c>
      <c r="H2675" t="s">
        <v>7</v>
      </c>
      <c r="I2675">
        <f>HLOOKUP(G2675,zip_tiers!$A$1:$EON$2,2,FALSE)</f>
        <v>35528.333333333336</v>
      </c>
      <c r="J2675" t="str">
        <f t="shared" si="41"/>
        <v>Low</v>
      </c>
      <c r="K2675">
        <f>dataset[[#This Row],[soda_sales]]/dataset[[#This Row],[soda_units_sold]]</f>
        <v>0.70492693141728979</v>
      </c>
      <c r="L2675" s="29">
        <f>dataset[[#This Row],[implied_soda_ppu]]-dataset[[#This Row],[soda_ppu]]</f>
        <v>2.6931417289821624E-5</v>
      </c>
      <c r="M2675">
        <f>dataset[[#This Row],[soda_sales]]/dataset[[#This Row],[total_sales]]</f>
        <v>7.3673386686934808E-2</v>
      </c>
      <c r="N2675">
        <f>LN(dataset[[#This Row],[soda_units_sold]])</f>
        <v>12.284324519849225</v>
      </c>
      <c r="O2675">
        <f>LN(dataset[[#This Row],[soda_sales]])</f>
        <v>11.934663394928279</v>
      </c>
      <c r="P2675">
        <f>LN(dataset[[#This Row],[soda_ppu]])</f>
        <v>-0.3496993302023072</v>
      </c>
      <c r="Q2675">
        <f>IF(dataset[[#This Row],[state]]="VA",1,0)</f>
        <v>0</v>
      </c>
    </row>
    <row r="2676" spans="1:17" x14ac:dyDescent="0.35">
      <c r="A2676">
        <v>202211</v>
      </c>
      <c r="B2676">
        <v>44</v>
      </c>
      <c r="C2676" s="2">
        <v>2354538.5126999998</v>
      </c>
      <c r="D2676" s="2">
        <v>0.6754</v>
      </c>
      <c r="E2676" s="3">
        <v>220496</v>
      </c>
      <c r="F2676" s="2">
        <v>148914.34539999999</v>
      </c>
      <c r="G2676" t="s">
        <v>1954</v>
      </c>
      <c r="H2676" t="s">
        <v>7</v>
      </c>
      <c r="I2676">
        <f>HLOOKUP(G2676,zip_tiers!$A$1:$EON$2,2,FALSE)</f>
        <v>35528.333333333336</v>
      </c>
      <c r="J2676" t="str">
        <f t="shared" si="41"/>
        <v>Low</v>
      </c>
      <c r="K2676">
        <f>dataset[[#This Row],[soda_sales]]/dataset[[#This Row],[soda_units_sold]]</f>
        <v>0.67536075665771711</v>
      </c>
      <c r="L2676" s="29">
        <f>dataset[[#This Row],[implied_soda_ppu]]-dataset[[#This Row],[soda_ppu]]</f>
        <v>-3.9243342282890836E-5</v>
      </c>
      <c r="M2676">
        <f>dataset[[#This Row],[soda_sales]]/dataset[[#This Row],[total_sales]]</f>
        <v>6.3245661345856144E-2</v>
      </c>
      <c r="N2676">
        <f>LN(dataset[[#This Row],[soda_units_sold]])</f>
        <v>12.303634833114925</v>
      </c>
      <c r="O2676">
        <f>LN(dataset[[#This Row],[soda_sales]])</f>
        <v>11.911126556543211</v>
      </c>
      <c r="P2676">
        <f>LN(dataset[[#This Row],[soda_ppu]])</f>
        <v>-0.3924501710306697</v>
      </c>
      <c r="Q2676">
        <f>IF(dataset[[#This Row],[state]]="VA",1,0)</f>
        <v>0</v>
      </c>
    </row>
    <row r="2677" spans="1:17" x14ac:dyDescent="0.35">
      <c r="A2677">
        <v>202212</v>
      </c>
      <c r="B2677">
        <v>44</v>
      </c>
      <c r="C2677" s="2">
        <v>2459765.5696999999</v>
      </c>
      <c r="D2677" s="2">
        <v>0.68730000000000002</v>
      </c>
      <c r="E2677" s="3">
        <v>207185</v>
      </c>
      <c r="F2677" s="2">
        <v>142390.37469999999</v>
      </c>
      <c r="G2677" t="s">
        <v>1954</v>
      </c>
      <c r="H2677" t="s">
        <v>7</v>
      </c>
      <c r="I2677">
        <f>HLOOKUP(G2677,zip_tiers!$A$1:$EON$2,2,FALSE)</f>
        <v>35528.333333333336</v>
      </c>
      <c r="J2677" t="str">
        <f t="shared" si="41"/>
        <v>Low</v>
      </c>
      <c r="K2677">
        <f>dataset[[#This Row],[soda_sales]]/dataset[[#This Row],[soda_units_sold]]</f>
        <v>0.68726198663030613</v>
      </c>
      <c r="L2677" s="29">
        <f>dataset[[#This Row],[implied_soda_ppu]]-dataset[[#This Row],[soda_ppu]]</f>
        <v>-3.801336969389002E-5</v>
      </c>
      <c r="M2677">
        <f>dataset[[#This Row],[soda_sales]]/dataset[[#This Row],[total_sales]]</f>
        <v>5.7887782662705667E-2</v>
      </c>
      <c r="N2677">
        <f>LN(dataset[[#This Row],[soda_units_sold]])</f>
        <v>12.241367392924513</v>
      </c>
      <c r="O2677">
        <f>LN(dataset[[#This Row],[soda_sales]])</f>
        <v>11.8663276822766</v>
      </c>
      <c r="P2677">
        <f>LN(dataset[[#This Row],[soda_ppu]])</f>
        <v>-0.37498440085457752</v>
      </c>
      <c r="Q2677">
        <f>IF(dataset[[#This Row],[state]]="VA",1,0)</f>
        <v>0</v>
      </c>
    </row>
    <row r="2678" spans="1:17" x14ac:dyDescent="0.35">
      <c r="A2678">
        <v>202301</v>
      </c>
      <c r="B2678">
        <v>44</v>
      </c>
      <c r="C2678" s="2">
        <v>1419496.6181999999</v>
      </c>
      <c r="D2678" s="2">
        <v>0.71440000000000003</v>
      </c>
      <c r="E2678" s="3">
        <v>144694</v>
      </c>
      <c r="F2678" s="2">
        <v>103363.9583</v>
      </c>
      <c r="G2678" t="s">
        <v>1954</v>
      </c>
      <c r="H2678" t="s">
        <v>7</v>
      </c>
      <c r="I2678">
        <f>HLOOKUP(G2678,zip_tiers!$A$1:$EON$2,2,FALSE)</f>
        <v>35528.333333333336</v>
      </c>
      <c r="J2678" t="str">
        <f t="shared" si="41"/>
        <v>Low</v>
      </c>
      <c r="K2678">
        <f>dataset[[#This Row],[soda_sales]]/dataset[[#This Row],[soda_units_sold]]</f>
        <v>0.714362435899208</v>
      </c>
      <c r="L2678" s="29">
        <f>dataset[[#This Row],[implied_soda_ppu]]-dataset[[#This Row],[soda_ppu]]</f>
        <v>-3.7564100792031319E-5</v>
      </c>
      <c r="M2678">
        <f>dataset[[#This Row],[soda_sales]]/dataset[[#This Row],[total_sales]]</f>
        <v>7.2817333253721458E-2</v>
      </c>
      <c r="N2678">
        <f>LN(dataset[[#This Row],[soda_units_sold]])</f>
        <v>11.882376446659666</v>
      </c>
      <c r="O2678">
        <f>LN(dataset[[#This Row],[soda_sales]])</f>
        <v>11.546011614529275</v>
      </c>
      <c r="P2678">
        <f>LN(dataset[[#This Row],[soda_ppu]])</f>
        <v>-0.33631224941984772</v>
      </c>
      <c r="Q2678">
        <f>IF(dataset[[#This Row],[state]]="VA",1,0)</f>
        <v>0</v>
      </c>
    </row>
    <row r="2679" spans="1:17" x14ac:dyDescent="0.35">
      <c r="A2679">
        <v>202302</v>
      </c>
      <c r="B2679">
        <v>44</v>
      </c>
      <c r="C2679" s="2">
        <v>1626536.7620000001</v>
      </c>
      <c r="D2679" s="2">
        <v>0.69940000000000002</v>
      </c>
      <c r="E2679" s="3">
        <v>174318</v>
      </c>
      <c r="F2679" s="2">
        <v>121915.70510000001</v>
      </c>
      <c r="G2679" t="s">
        <v>1954</v>
      </c>
      <c r="H2679" t="s">
        <v>7</v>
      </c>
      <c r="I2679">
        <f>HLOOKUP(G2679,zip_tiers!$A$1:$EON$2,2,FALSE)</f>
        <v>35528.333333333336</v>
      </c>
      <c r="J2679" t="str">
        <f t="shared" si="41"/>
        <v>Low</v>
      </c>
      <c r="K2679">
        <f>dataset[[#This Row],[soda_sales]]/dataset[[#This Row],[soda_units_sold]]</f>
        <v>0.69938678220264117</v>
      </c>
      <c r="L2679" s="29">
        <f>dataset[[#This Row],[implied_soda_ppu]]-dataset[[#This Row],[soda_ppu]]</f>
        <v>-1.3217797358855421E-5</v>
      </c>
      <c r="M2679">
        <f>dataset[[#This Row],[soda_sales]]/dataset[[#This Row],[total_sales]]</f>
        <v>7.4954165161377401E-2</v>
      </c>
      <c r="N2679">
        <f>LN(dataset[[#This Row],[soda_units_sold]])</f>
        <v>12.068636496399861</v>
      </c>
      <c r="O2679">
        <f>LN(dataset[[#This Row],[soda_sales]])</f>
        <v>11.711085143101819</v>
      </c>
      <c r="P2679">
        <f>LN(dataset[[#This Row],[soda_ppu]])</f>
        <v>-0.35753245435286157</v>
      </c>
      <c r="Q2679">
        <f>IF(dataset[[#This Row],[state]]="VA",1,0)</f>
        <v>0</v>
      </c>
    </row>
    <row r="2680" spans="1:17" x14ac:dyDescent="0.35">
      <c r="A2680">
        <v>202303</v>
      </c>
      <c r="B2680">
        <v>44</v>
      </c>
      <c r="C2680" s="2">
        <v>1788491.2298000001</v>
      </c>
      <c r="D2680" s="2">
        <v>0.69230000000000003</v>
      </c>
      <c r="E2680" s="3">
        <v>205751</v>
      </c>
      <c r="F2680" s="2">
        <v>142435.85639999999</v>
      </c>
      <c r="G2680" t="s">
        <v>1954</v>
      </c>
      <c r="H2680" t="s">
        <v>7</v>
      </c>
      <c r="I2680">
        <f>HLOOKUP(G2680,zip_tiers!$A$1:$EON$2,2,FALSE)</f>
        <v>35528.333333333336</v>
      </c>
      <c r="J2680" t="str">
        <f t="shared" si="41"/>
        <v>Low</v>
      </c>
      <c r="K2680">
        <f>dataset[[#This Row],[soda_sales]]/dataset[[#This Row],[soda_units_sold]]</f>
        <v>0.69227297267084964</v>
      </c>
      <c r="L2680" s="29">
        <f>dataset[[#This Row],[implied_soda_ppu]]-dataset[[#This Row],[soda_ppu]]</f>
        <v>-2.7027329150386414E-5</v>
      </c>
      <c r="M2680">
        <f>dataset[[#This Row],[soda_sales]]/dataset[[#This Row],[total_sales]]</f>
        <v>7.9640231960169033E-2</v>
      </c>
      <c r="N2680">
        <f>LN(dataset[[#This Row],[soda_units_sold]])</f>
        <v>12.234421978794821</v>
      </c>
      <c r="O2680">
        <f>LN(dataset[[#This Row],[soda_sales]])</f>
        <v>11.866647046825369</v>
      </c>
      <c r="P2680">
        <f>LN(dataset[[#This Row],[soda_ppu]])</f>
        <v>-0.36773589129815726</v>
      </c>
      <c r="Q2680">
        <f>IF(dataset[[#This Row],[state]]="VA",1,0)</f>
        <v>0</v>
      </c>
    </row>
    <row r="2681" spans="1:17" x14ac:dyDescent="0.35">
      <c r="A2681">
        <v>202304</v>
      </c>
      <c r="B2681">
        <v>44</v>
      </c>
      <c r="C2681" s="2">
        <v>1924596.088</v>
      </c>
      <c r="D2681" s="2">
        <v>0.71460000000000001</v>
      </c>
      <c r="E2681" s="3">
        <v>228822</v>
      </c>
      <c r="F2681" s="2">
        <v>163514.45559999999</v>
      </c>
      <c r="G2681" t="s">
        <v>1954</v>
      </c>
      <c r="H2681" t="s">
        <v>7</v>
      </c>
      <c r="I2681">
        <f>HLOOKUP(G2681,zip_tiers!$A$1:$EON$2,2,FALSE)</f>
        <v>35528.333333333336</v>
      </c>
      <c r="J2681" t="str">
        <f t="shared" si="41"/>
        <v>Low</v>
      </c>
      <c r="K2681">
        <f>dataset[[#This Row],[soda_sales]]/dataset[[#This Row],[soda_units_sold]]</f>
        <v>0.71459237136289333</v>
      </c>
      <c r="L2681" s="29">
        <f>dataset[[#This Row],[implied_soda_ppu]]-dataset[[#This Row],[soda_ppu]]</f>
        <v>-7.6286371066824898E-6</v>
      </c>
      <c r="M2681">
        <f>dataset[[#This Row],[soda_sales]]/dataset[[#This Row],[total_sales]]</f>
        <v>8.4960401104171829E-2</v>
      </c>
      <c r="N2681">
        <f>LN(dataset[[#This Row],[soda_units_sold]])</f>
        <v>12.340699687711449</v>
      </c>
      <c r="O2681">
        <f>LN(dataset[[#This Row],[soda_sales]])</f>
        <v>12.004656678866864</v>
      </c>
      <c r="P2681">
        <f>LN(dataset[[#This Row],[soda_ppu]])</f>
        <v>-0.33603233339282762</v>
      </c>
      <c r="Q2681">
        <f>IF(dataset[[#This Row],[state]]="VA",1,0)</f>
        <v>0</v>
      </c>
    </row>
    <row r="2682" spans="1:17" x14ac:dyDescent="0.35">
      <c r="A2682">
        <v>202305</v>
      </c>
      <c r="B2682">
        <v>44</v>
      </c>
      <c r="C2682" s="2">
        <v>1987203.5625</v>
      </c>
      <c r="D2682" s="2">
        <v>0.6875</v>
      </c>
      <c r="E2682" s="3">
        <v>267309</v>
      </c>
      <c r="F2682" s="2">
        <v>183775.5575</v>
      </c>
      <c r="G2682" t="s">
        <v>1954</v>
      </c>
      <c r="H2682" t="s">
        <v>7</v>
      </c>
      <c r="I2682">
        <f>HLOOKUP(G2682,zip_tiers!$A$1:$EON$2,2,FALSE)</f>
        <v>35528.333333333336</v>
      </c>
      <c r="J2682" t="str">
        <f t="shared" si="41"/>
        <v>Low</v>
      </c>
      <c r="K2682">
        <f>dataset[[#This Row],[soda_sales]]/dataset[[#This Row],[soda_units_sold]]</f>
        <v>0.68750231941311368</v>
      </c>
      <c r="L2682" s="29">
        <f>dataset[[#This Row],[implied_soda_ppu]]-dataset[[#This Row],[soda_ppu]]</f>
        <v>2.3194131136827778E-6</v>
      </c>
      <c r="M2682">
        <f>dataset[[#This Row],[soda_sales]]/dataset[[#This Row],[total_sales]]</f>
        <v>9.2479482710267125E-2</v>
      </c>
      <c r="N2682">
        <f>LN(dataset[[#This Row],[soda_units_sold]])</f>
        <v>12.496160571593858</v>
      </c>
      <c r="O2682">
        <f>LN(dataset[[#This Row],[soda_sales]])</f>
        <v>12.121470495838558</v>
      </c>
      <c r="P2682">
        <f>LN(dataset[[#This Row],[soda_ppu]])</f>
        <v>-0.3746934494414107</v>
      </c>
      <c r="Q2682">
        <f>IF(dataset[[#This Row],[state]]="VA",1,0)</f>
        <v>0</v>
      </c>
    </row>
    <row r="2683" spans="1:17" x14ac:dyDescent="0.35">
      <c r="A2683">
        <v>202306</v>
      </c>
      <c r="B2683">
        <v>44</v>
      </c>
      <c r="C2683" s="2">
        <v>1927378.341</v>
      </c>
      <c r="D2683" s="2">
        <v>0.68520000000000003</v>
      </c>
      <c r="E2683" s="3">
        <v>284475</v>
      </c>
      <c r="F2683" s="2">
        <v>194922.3414</v>
      </c>
      <c r="G2683" t="s">
        <v>1954</v>
      </c>
      <c r="H2683" t="s">
        <v>7</v>
      </c>
      <c r="I2683">
        <f>HLOOKUP(G2683,zip_tiers!$A$1:$EON$2,2,FALSE)</f>
        <v>35528.333333333336</v>
      </c>
      <c r="J2683" t="str">
        <f t="shared" si="41"/>
        <v>Low</v>
      </c>
      <c r="K2683">
        <f>dataset[[#This Row],[soda_sales]]/dataset[[#This Row],[soda_units_sold]]</f>
        <v>0.68520025098866333</v>
      </c>
      <c r="L2683" s="29">
        <f>dataset[[#This Row],[implied_soda_ppu]]-dataset[[#This Row],[soda_ppu]]</f>
        <v>2.5098866329731351E-7</v>
      </c>
      <c r="M2683">
        <f>dataset[[#This Row],[soda_sales]]/dataset[[#This Row],[total_sales]]</f>
        <v>0.10113340865855461</v>
      </c>
      <c r="N2683">
        <f>LN(dataset[[#This Row],[soda_units_sold]])</f>
        <v>12.55840065522521</v>
      </c>
      <c r="O2683">
        <f>LN(dataset[[#This Row],[soda_sales]])</f>
        <v>12.18035650899283</v>
      </c>
      <c r="P2683">
        <f>LN(dataset[[#This Row],[soda_ppu]])</f>
        <v>-0.37804451253217214</v>
      </c>
      <c r="Q2683">
        <f>IF(dataset[[#This Row],[state]]="VA",1,0)</f>
        <v>0</v>
      </c>
    </row>
    <row r="2684" spans="1:17" x14ac:dyDescent="0.35">
      <c r="A2684">
        <v>202307</v>
      </c>
      <c r="B2684">
        <v>44</v>
      </c>
      <c r="C2684" s="2">
        <v>1775964.5615999999</v>
      </c>
      <c r="D2684" s="2">
        <v>0.72860000000000003</v>
      </c>
      <c r="E2684" s="3">
        <v>250714</v>
      </c>
      <c r="F2684" s="2">
        <v>182677.0013</v>
      </c>
      <c r="G2684" t="s">
        <v>1954</v>
      </c>
      <c r="H2684" t="s">
        <v>7</v>
      </c>
      <c r="I2684">
        <f>HLOOKUP(G2684,zip_tiers!$A$1:$EON$2,2,FALSE)</f>
        <v>35528.333333333336</v>
      </c>
      <c r="J2684" t="str">
        <f t="shared" si="41"/>
        <v>Low</v>
      </c>
      <c r="K2684">
        <f>dataset[[#This Row],[soda_sales]]/dataset[[#This Row],[soda_units_sold]]</f>
        <v>0.72862704635560838</v>
      </c>
      <c r="L2684" s="29">
        <f>dataset[[#This Row],[implied_soda_ppu]]-dataset[[#This Row],[soda_ppu]]</f>
        <v>2.7046355608351114E-5</v>
      </c>
      <c r="M2684">
        <f>dataset[[#This Row],[soda_sales]]/dataset[[#This Row],[total_sales]]</f>
        <v>0.10286072439160771</v>
      </c>
      <c r="N2684">
        <f>LN(dataset[[#This Row],[soda_units_sold]])</f>
        <v>12.432068126225001</v>
      </c>
      <c r="O2684">
        <f>LN(dataset[[#This Row],[soda_sales]])</f>
        <v>12.11547485212151</v>
      </c>
      <c r="P2684">
        <f>LN(dataset[[#This Row],[soda_ppu]])</f>
        <v>-0.3166303944076736</v>
      </c>
      <c r="Q2684">
        <f>IF(dataset[[#This Row],[state]]="VA",1,0)</f>
        <v>0</v>
      </c>
    </row>
    <row r="2685" spans="1:17" x14ac:dyDescent="0.35">
      <c r="A2685">
        <v>202308</v>
      </c>
      <c r="B2685">
        <v>44</v>
      </c>
      <c r="C2685" s="2">
        <v>1714591.4886</v>
      </c>
      <c r="D2685" s="2">
        <v>0.72860000000000003</v>
      </c>
      <c r="E2685" s="3">
        <v>225891</v>
      </c>
      <c r="F2685" s="2">
        <v>164590.46539999999</v>
      </c>
      <c r="G2685" t="s">
        <v>1954</v>
      </c>
      <c r="H2685" t="s">
        <v>7</v>
      </c>
      <c r="I2685">
        <f>HLOOKUP(G2685,zip_tiers!$A$1:$EON$2,2,FALSE)</f>
        <v>35528.333333333336</v>
      </c>
      <c r="J2685" t="str">
        <f t="shared" si="41"/>
        <v>Low</v>
      </c>
      <c r="K2685">
        <f>dataset[[#This Row],[soda_sales]]/dataset[[#This Row],[soda_units_sold]]</f>
        <v>0.72862781341443439</v>
      </c>
      <c r="L2685" s="29">
        <f>dataset[[#This Row],[implied_soda_ppu]]-dataset[[#This Row],[soda_ppu]]</f>
        <v>2.7813414434363359E-5</v>
      </c>
      <c r="M2685">
        <f>dataset[[#This Row],[soda_sales]]/dataset[[#This Row],[total_sales]]</f>
        <v>9.599398252839314E-2</v>
      </c>
      <c r="N2685">
        <f>LN(dataset[[#This Row],[soda_units_sold]])</f>
        <v>12.327807861024985</v>
      </c>
      <c r="O2685">
        <f>LN(dataset[[#This Row],[soda_sales]])</f>
        <v>12.011215639666414</v>
      </c>
      <c r="P2685">
        <f>LN(dataset[[#This Row],[soda_ppu]])</f>
        <v>-0.3166303944076736</v>
      </c>
      <c r="Q2685">
        <f>IF(dataset[[#This Row],[state]]="VA",1,0)</f>
        <v>0</v>
      </c>
    </row>
    <row r="2686" spans="1:17" x14ac:dyDescent="0.35">
      <c r="A2686">
        <v>202309</v>
      </c>
      <c r="B2686">
        <v>44</v>
      </c>
      <c r="C2686" s="2">
        <v>1712003.4</v>
      </c>
      <c r="D2686" s="2">
        <v>0.74629999999999996</v>
      </c>
      <c r="E2686" s="3">
        <v>202334</v>
      </c>
      <c r="F2686" s="2">
        <v>150992.34909999999</v>
      </c>
      <c r="G2686" t="s">
        <v>1954</v>
      </c>
      <c r="H2686" t="s">
        <v>7</v>
      </c>
      <c r="I2686">
        <f>HLOOKUP(G2686,zip_tiers!$A$1:$EON$2,2,FALSE)</f>
        <v>35528.333333333336</v>
      </c>
      <c r="J2686" t="str">
        <f t="shared" si="41"/>
        <v>Low</v>
      </c>
      <c r="K2686">
        <f>dataset[[#This Row],[soda_sales]]/dataset[[#This Row],[soda_units_sold]]</f>
        <v>0.74625297330157059</v>
      </c>
      <c r="L2686" s="29">
        <f>dataset[[#This Row],[implied_soda_ppu]]-dataset[[#This Row],[soda_ppu]]</f>
        <v>-4.7026698429375458E-5</v>
      </c>
      <c r="M2686">
        <f>dataset[[#This Row],[soda_sales]]/dataset[[#This Row],[total_sales]]</f>
        <v>8.8196290439610109E-2</v>
      </c>
      <c r="N2686">
        <f>LN(dataset[[#This Row],[soda_units_sold]])</f>
        <v>12.217675076261013</v>
      </c>
      <c r="O2686">
        <f>LN(dataset[[#This Row],[soda_sales]])</f>
        <v>11.924984446301464</v>
      </c>
      <c r="P2686">
        <f>LN(dataset[[#This Row],[soda_ppu]])</f>
        <v>-0.29262761484479538</v>
      </c>
      <c r="Q2686">
        <f>IF(dataset[[#This Row],[state]]="VA",1,0)</f>
        <v>0</v>
      </c>
    </row>
    <row r="2687" spans="1:17" x14ac:dyDescent="0.35">
      <c r="A2687">
        <v>202310</v>
      </c>
      <c r="B2687">
        <v>44</v>
      </c>
      <c r="C2687" s="2">
        <v>2135869.0430000001</v>
      </c>
      <c r="D2687" s="2">
        <v>0.73070000000000002</v>
      </c>
      <c r="E2687" s="3">
        <v>206028</v>
      </c>
      <c r="F2687" s="2">
        <v>150539.50520000001</v>
      </c>
      <c r="G2687" t="s">
        <v>1954</v>
      </c>
      <c r="H2687" t="s">
        <v>7</v>
      </c>
      <c r="I2687">
        <f>HLOOKUP(G2687,zip_tiers!$A$1:$EON$2,2,FALSE)</f>
        <v>35528.333333333336</v>
      </c>
      <c r="J2687" t="str">
        <f t="shared" si="41"/>
        <v>Low</v>
      </c>
      <c r="K2687">
        <f>dataset[[#This Row],[soda_sales]]/dataset[[#This Row],[soda_units_sold]]</f>
        <v>0.73067498204127601</v>
      </c>
      <c r="L2687" s="29">
        <f>dataset[[#This Row],[implied_soda_ppu]]-dataset[[#This Row],[soda_ppu]]</f>
        <v>-2.501795872400514E-5</v>
      </c>
      <c r="M2687">
        <f>dataset[[#This Row],[soda_sales]]/dataset[[#This Row],[total_sales]]</f>
        <v>7.0481617631648036E-2</v>
      </c>
      <c r="N2687">
        <f>LN(dataset[[#This Row],[soda_units_sold]])</f>
        <v>12.235767360865212</v>
      </c>
      <c r="O2687">
        <f>LN(dataset[[#This Row],[soda_sales]])</f>
        <v>11.921980821749058</v>
      </c>
      <c r="P2687">
        <f>LN(dataset[[#This Row],[soda_ppu]])</f>
        <v>-0.31375230018496492</v>
      </c>
      <c r="Q2687">
        <f>IF(dataset[[#This Row],[state]]="VA",1,0)</f>
        <v>0</v>
      </c>
    </row>
    <row r="2688" spans="1:17" x14ac:dyDescent="0.35">
      <c r="A2688">
        <v>202311</v>
      </c>
      <c r="B2688">
        <v>44</v>
      </c>
      <c r="C2688" s="2">
        <v>2376333.3746000002</v>
      </c>
      <c r="D2688" s="2">
        <v>0.74690000000000001</v>
      </c>
      <c r="E2688" s="3">
        <v>185283</v>
      </c>
      <c r="F2688" s="2">
        <v>138385.06640000001</v>
      </c>
      <c r="G2688" t="s">
        <v>1954</v>
      </c>
      <c r="H2688" t="s">
        <v>7</v>
      </c>
      <c r="I2688">
        <f>HLOOKUP(G2688,zip_tiers!$A$1:$EON$2,2,FALSE)</f>
        <v>35528.333333333336</v>
      </c>
      <c r="J2688" t="str">
        <f t="shared" si="41"/>
        <v>Low</v>
      </c>
      <c r="K2688">
        <f>dataset[[#This Row],[soda_sales]]/dataset[[#This Row],[soda_units_sold]]</f>
        <v>0.74688485398012772</v>
      </c>
      <c r="L2688" s="29">
        <f>dataset[[#This Row],[implied_soda_ppu]]-dataset[[#This Row],[soda_ppu]]</f>
        <v>-1.5146019872291916E-5</v>
      </c>
      <c r="M2688">
        <f>dataset[[#This Row],[soda_sales]]/dataset[[#This Row],[total_sales]]</f>
        <v>5.8234702200945974E-2</v>
      </c>
      <c r="N2688">
        <f>LN(dataset[[#This Row],[soda_units_sold]])</f>
        <v>12.129639664945527</v>
      </c>
      <c r="O2688">
        <f>LN(dataset[[#This Row],[soda_sales]])</f>
        <v>11.837795414609792</v>
      </c>
      <c r="P2688">
        <f>LN(dataset[[#This Row],[soda_ppu]])</f>
        <v>-0.29182397161911605</v>
      </c>
      <c r="Q2688">
        <f>IF(dataset[[#This Row],[state]]="VA",1,0)</f>
        <v>0</v>
      </c>
    </row>
    <row r="2689" spans="1:17" x14ac:dyDescent="0.35">
      <c r="A2689">
        <v>202312</v>
      </c>
      <c r="B2689">
        <v>44</v>
      </c>
      <c r="C2689" s="2">
        <v>2459653.2433000002</v>
      </c>
      <c r="D2689" s="2">
        <v>0.74250000000000005</v>
      </c>
      <c r="E2689" s="3">
        <v>182277</v>
      </c>
      <c r="F2689" s="2">
        <v>135335.9308</v>
      </c>
      <c r="G2689" t="s">
        <v>1954</v>
      </c>
      <c r="H2689" t="s">
        <v>7</v>
      </c>
      <c r="I2689">
        <f>HLOOKUP(G2689,zip_tiers!$A$1:$EON$2,2,FALSE)</f>
        <v>35528.333333333336</v>
      </c>
      <c r="J2689" t="str">
        <f t="shared" si="41"/>
        <v>Low</v>
      </c>
      <c r="K2689">
        <f>dataset[[#This Row],[soda_sales]]/dataset[[#This Row],[soda_units_sold]]</f>
        <v>0.74247398629558314</v>
      </c>
      <c r="L2689" s="29">
        <f>dataset[[#This Row],[implied_soda_ppu]]-dataset[[#This Row],[soda_ppu]]</f>
        <v>-2.6013704416905092E-5</v>
      </c>
      <c r="M2689">
        <f>dataset[[#This Row],[soda_sales]]/dataset[[#This Row],[total_sales]]</f>
        <v>5.5022361858790385E-2</v>
      </c>
      <c r="N2689">
        <f>LN(dataset[[#This Row],[soda_units_sold]])</f>
        <v>12.113282787046199</v>
      </c>
      <c r="O2689">
        <f>LN(dataset[[#This Row],[soda_sales]])</f>
        <v>11.815515342835024</v>
      </c>
      <c r="P2689">
        <f>LN(dataset[[#This Row],[soda_ppu]])</f>
        <v>-0.2977324083052823</v>
      </c>
      <c r="Q2689">
        <f>IF(dataset[[#This Row],[state]]="VA",1,0)</f>
        <v>0</v>
      </c>
    </row>
    <row r="2690" spans="1:17" x14ac:dyDescent="0.35">
      <c r="A2690">
        <v>202401</v>
      </c>
      <c r="B2690">
        <v>44</v>
      </c>
      <c r="C2690" s="2">
        <v>1410828.8755999999</v>
      </c>
      <c r="D2690" s="2">
        <v>0.76139999999999997</v>
      </c>
      <c r="E2690" s="3">
        <v>130210</v>
      </c>
      <c r="F2690" s="2">
        <v>99144.447100000005</v>
      </c>
      <c r="G2690" t="s">
        <v>1954</v>
      </c>
      <c r="H2690" t="s">
        <v>7</v>
      </c>
      <c r="I2690">
        <f>HLOOKUP(G2690,zip_tiers!$A$1:$EON$2,2,FALSE)</f>
        <v>35528.333333333336</v>
      </c>
      <c r="J2690" t="str">
        <f t="shared" ref="J2690:J2753" si="42">IF(I2690="","No Data",IF(I2690&gt;=100000,"High",IF(I2690&gt;=40000,"Med","Low")))</f>
        <v>Low</v>
      </c>
      <c r="K2690">
        <f>dataset[[#This Row],[soda_sales]]/dataset[[#This Row],[soda_units_sold]]</f>
        <v>0.76141960755702331</v>
      </c>
      <c r="L2690" s="29">
        <f>dataset[[#This Row],[implied_soda_ppu]]-dataset[[#This Row],[soda_ppu]]</f>
        <v>1.9607557023348932E-5</v>
      </c>
      <c r="M2690">
        <f>dataset[[#This Row],[soda_sales]]/dataset[[#This Row],[total_sales]]</f>
        <v>7.0273899843335486E-2</v>
      </c>
      <c r="N2690">
        <f>LN(dataset[[#This Row],[soda_units_sold]])</f>
        <v>11.776903810722773</v>
      </c>
      <c r="O2690">
        <f>LN(dataset[[#This Row],[soda_sales]])</f>
        <v>11.504333127336738</v>
      </c>
      <c r="P2690">
        <f>LN(dataset[[#This Row],[soda_ppu]])</f>
        <v>-0.27259643503374009</v>
      </c>
      <c r="Q2690">
        <f>IF(dataset[[#This Row],[state]]="VA",1,0)</f>
        <v>0</v>
      </c>
    </row>
    <row r="2691" spans="1:17" x14ac:dyDescent="0.35">
      <c r="A2691">
        <v>202402</v>
      </c>
      <c r="B2691">
        <v>44</v>
      </c>
      <c r="C2691" s="2">
        <v>1649524.8639</v>
      </c>
      <c r="D2691" s="2">
        <v>0.76439999999999997</v>
      </c>
      <c r="E2691" s="3">
        <v>151213</v>
      </c>
      <c r="F2691" s="2">
        <v>115589.0751</v>
      </c>
      <c r="G2691" t="s">
        <v>1954</v>
      </c>
      <c r="H2691" t="s">
        <v>7</v>
      </c>
      <c r="I2691">
        <f>HLOOKUP(G2691,zip_tiers!$A$1:$EON$2,2,FALSE)</f>
        <v>35528.333333333336</v>
      </c>
      <c r="J2691" t="str">
        <f t="shared" si="42"/>
        <v>Low</v>
      </c>
      <c r="K2691">
        <f>dataset[[#This Row],[soda_sales]]/dataset[[#This Row],[soda_units_sold]]</f>
        <v>0.76441228664202154</v>
      </c>
      <c r="L2691" s="29">
        <f>dataset[[#This Row],[implied_soda_ppu]]-dataset[[#This Row],[soda_ppu]]</f>
        <v>1.2286642021575034E-5</v>
      </c>
      <c r="M2691">
        <f>dataset[[#This Row],[soda_sales]]/dataset[[#This Row],[total_sales]]</f>
        <v>7.0074163554413343E-2</v>
      </c>
      <c r="N2691">
        <f>LN(dataset[[#This Row],[soda_units_sold]])</f>
        <v>11.926444717867581</v>
      </c>
      <c r="O2691">
        <f>LN(dataset[[#This Row],[soda_sales]])</f>
        <v>11.657796724699072</v>
      </c>
      <c r="P2691">
        <f>LN(dataset[[#This Row],[soda_ppu]])</f>
        <v>-0.2686640666160191</v>
      </c>
      <c r="Q2691">
        <f>IF(dataset[[#This Row],[state]]="VA",1,0)</f>
        <v>0</v>
      </c>
    </row>
    <row r="2692" spans="1:17" x14ac:dyDescent="0.35">
      <c r="A2692">
        <v>202403</v>
      </c>
      <c r="B2692">
        <v>44</v>
      </c>
      <c r="C2692" s="2">
        <v>1810753.0911999999</v>
      </c>
      <c r="D2692" s="2">
        <v>0.74719999999999998</v>
      </c>
      <c r="E2692" s="3">
        <v>188430</v>
      </c>
      <c r="F2692" s="2">
        <v>140791.0159</v>
      </c>
      <c r="G2692" t="s">
        <v>1954</v>
      </c>
      <c r="H2692" t="s">
        <v>7</v>
      </c>
      <c r="I2692">
        <f>HLOOKUP(G2692,zip_tiers!$A$1:$EON$2,2,FALSE)</f>
        <v>35528.333333333336</v>
      </c>
      <c r="J2692" t="str">
        <f t="shared" si="42"/>
        <v>Low</v>
      </c>
      <c r="K2692">
        <f>dataset[[#This Row],[soda_sales]]/dataset[[#This Row],[soda_units_sold]]</f>
        <v>0.74717940826832241</v>
      </c>
      <c r="L2692" s="29">
        <f>dataset[[#This Row],[implied_soda_ppu]]-dataset[[#This Row],[soda_ppu]]</f>
        <v>-2.0591731677566116E-5</v>
      </c>
      <c r="M2692">
        <f>dataset[[#This Row],[soda_sales]]/dataset[[#This Row],[total_sales]]</f>
        <v>7.7752740881252183E-2</v>
      </c>
      <c r="N2692">
        <f>LN(dataset[[#This Row],[soda_units_sold]])</f>
        <v>12.146481864116536</v>
      </c>
      <c r="O2692">
        <f>LN(dataset[[#This Row],[soda_sales]])</f>
        <v>11.855031913141882</v>
      </c>
      <c r="P2692">
        <f>LN(dataset[[#This Row],[soda_ppu]])</f>
        <v>-0.2914223920675042</v>
      </c>
      <c r="Q2692">
        <f>IF(dataset[[#This Row],[state]]="VA",1,0)</f>
        <v>0</v>
      </c>
    </row>
    <row r="2693" spans="1:17" x14ac:dyDescent="0.35">
      <c r="A2693">
        <v>202404</v>
      </c>
      <c r="B2693">
        <v>44</v>
      </c>
      <c r="C2693" s="2">
        <v>1929650.308</v>
      </c>
      <c r="D2693" s="2">
        <v>0.78110000000000002</v>
      </c>
      <c r="E2693" s="3">
        <v>201152</v>
      </c>
      <c r="F2693" s="2">
        <v>157118.21580000001</v>
      </c>
      <c r="G2693" t="s">
        <v>1954</v>
      </c>
      <c r="H2693" t="s">
        <v>7</v>
      </c>
      <c r="I2693">
        <f>HLOOKUP(G2693,zip_tiers!$A$1:$EON$2,2,FALSE)</f>
        <v>35528.333333333336</v>
      </c>
      <c r="J2693" t="str">
        <f t="shared" si="42"/>
        <v>Low</v>
      </c>
      <c r="K2693">
        <f>dataset[[#This Row],[soda_sales]]/dataset[[#This Row],[soda_units_sold]]</f>
        <v>0.78109198914253897</v>
      </c>
      <c r="L2693" s="29">
        <f>dataset[[#This Row],[implied_soda_ppu]]-dataset[[#This Row],[soda_ppu]]</f>
        <v>-8.0108574610493477E-6</v>
      </c>
      <c r="M2693">
        <f>dataset[[#This Row],[soda_sales]]/dataset[[#This Row],[total_sales]]</f>
        <v>8.1423154832051578E-2</v>
      </c>
      <c r="N2693">
        <f>LN(dataset[[#This Row],[soda_units_sold]])</f>
        <v>12.211816120157239</v>
      </c>
      <c r="O2693">
        <f>LN(dataset[[#This Row],[soda_sales]])</f>
        <v>11.964753767872086</v>
      </c>
      <c r="P2693">
        <f>LN(dataset[[#This Row],[soda_ppu]])</f>
        <v>-0.2470520963658854</v>
      </c>
      <c r="Q2693">
        <f>IF(dataset[[#This Row],[state]]="VA",1,0)</f>
        <v>0</v>
      </c>
    </row>
    <row r="2694" spans="1:17" x14ac:dyDescent="0.35">
      <c r="A2694">
        <v>202405</v>
      </c>
      <c r="B2694">
        <v>44</v>
      </c>
      <c r="C2694" s="2">
        <v>2067613.5837999999</v>
      </c>
      <c r="D2694" s="2">
        <v>0.76549999999999996</v>
      </c>
      <c r="E2694" s="3">
        <v>233768</v>
      </c>
      <c r="F2694" s="2">
        <v>178950.432</v>
      </c>
      <c r="G2694" t="s">
        <v>1954</v>
      </c>
      <c r="H2694" t="s">
        <v>7</v>
      </c>
      <c r="I2694">
        <f>HLOOKUP(G2694,zip_tiers!$A$1:$EON$2,2,FALSE)</f>
        <v>35528.333333333336</v>
      </c>
      <c r="J2694" t="str">
        <f t="shared" si="42"/>
        <v>Low</v>
      </c>
      <c r="K2694">
        <f>dataset[[#This Row],[soda_sales]]/dataset[[#This Row],[soda_units_sold]]</f>
        <v>0.76550439752232979</v>
      </c>
      <c r="L2694" s="29">
        <f>dataset[[#This Row],[implied_soda_ppu]]-dataset[[#This Row],[soda_ppu]]</f>
        <v>4.3975223298353683E-6</v>
      </c>
      <c r="M2694">
        <f>dataset[[#This Row],[soda_sales]]/dataset[[#This Row],[total_sales]]</f>
        <v>8.654926307415374E-2</v>
      </c>
      <c r="N2694">
        <f>LN(dataset[[#This Row],[soda_units_sold]])</f>
        <v>12.362084449533768</v>
      </c>
      <c r="O2694">
        <f>LN(dataset[[#This Row],[soda_sales]])</f>
        <v>12.094864130273404</v>
      </c>
      <c r="P2694">
        <f>LN(dataset[[#This Row],[soda_ppu]])</f>
        <v>-0.26722606388439868</v>
      </c>
      <c r="Q2694">
        <f>IF(dataset[[#This Row],[state]]="VA",1,0)</f>
        <v>0</v>
      </c>
    </row>
    <row r="2695" spans="1:17" x14ac:dyDescent="0.35">
      <c r="A2695">
        <v>202406</v>
      </c>
      <c r="B2695">
        <v>44</v>
      </c>
      <c r="C2695" s="2">
        <v>1938878.5692</v>
      </c>
      <c r="D2695" s="2">
        <v>0.78800000000000003</v>
      </c>
      <c r="E2695" s="3">
        <v>222321</v>
      </c>
      <c r="F2695" s="2">
        <v>175194.48730000001</v>
      </c>
      <c r="G2695" t="s">
        <v>1954</v>
      </c>
      <c r="H2695" t="s">
        <v>7</v>
      </c>
      <c r="I2695">
        <f>HLOOKUP(G2695,zip_tiers!$A$1:$EON$2,2,FALSE)</f>
        <v>35528.333333333336</v>
      </c>
      <c r="J2695" t="str">
        <f t="shared" si="42"/>
        <v>Low</v>
      </c>
      <c r="K2695">
        <f>dataset[[#This Row],[soda_sales]]/dataset[[#This Row],[soda_units_sold]]</f>
        <v>0.78802491577493805</v>
      </c>
      <c r="L2695" s="29">
        <f>dataset[[#This Row],[implied_soda_ppu]]-dataset[[#This Row],[soda_ppu]]</f>
        <v>2.4915774938016888E-5</v>
      </c>
      <c r="M2695">
        <f>dataset[[#This Row],[soda_sales]]/dataset[[#This Row],[total_sales]]</f>
        <v>9.0358669224079841E-2</v>
      </c>
      <c r="N2695">
        <f>LN(dataset[[#This Row],[soda_units_sold]])</f>
        <v>12.31187756242714</v>
      </c>
      <c r="O2695">
        <f>LN(dataset[[#This Row],[soda_sales]])</f>
        <v>12.07365199180674</v>
      </c>
      <c r="P2695">
        <f>LN(dataset[[#This Row],[soda_ppu]])</f>
        <v>-0.23825718912425789</v>
      </c>
      <c r="Q2695">
        <f>IF(dataset[[#This Row],[state]]="VA",1,0)</f>
        <v>0</v>
      </c>
    </row>
    <row r="2696" spans="1:17" x14ac:dyDescent="0.35">
      <c r="A2696">
        <v>202407</v>
      </c>
      <c r="B2696">
        <v>44</v>
      </c>
      <c r="C2696" s="2">
        <v>1842353.0458</v>
      </c>
      <c r="D2696" s="2">
        <v>0.77170000000000005</v>
      </c>
      <c r="E2696" s="3">
        <v>241807</v>
      </c>
      <c r="F2696" s="2">
        <v>186613.8216</v>
      </c>
      <c r="G2696" t="s">
        <v>1954</v>
      </c>
      <c r="H2696" t="s">
        <v>7</v>
      </c>
      <c r="I2696">
        <f>HLOOKUP(G2696,zip_tiers!$A$1:$EON$2,2,FALSE)</f>
        <v>35528.333333333336</v>
      </c>
      <c r="J2696" t="str">
        <f t="shared" si="42"/>
        <v>Low</v>
      </c>
      <c r="K2696">
        <f>dataset[[#This Row],[soda_sales]]/dataset[[#This Row],[soda_units_sold]]</f>
        <v>0.77174697837531581</v>
      </c>
      <c r="L2696" s="29">
        <f>dataset[[#This Row],[implied_soda_ppu]]-dataset[[#This Row],[soda_ppu]]</f>
        <v>4.6978375315753773E-5</v>
      </c>
      <c r="M2696">
        <f>dataset[[#This Row],[soda_sales]]/dataset[[#This Row],[total_sales]]</f>
        <v>0.10129102129769443</v>
      </c>
      <c r="N2696">
        <f>LN(dataset[[#This Row],[soda_units_sold]])</f>
        <v>12.395895166288877</v>
      </c>
      <c r="O2696">
        <f>LN(dataset[[#This Row],[soda_sales]])</f>
        <v>12.136796635391828</v>
      </c>
      <c r="P2696">
        <f>LN(dataset[[#This Row],[soda_ppu]])</f>
        <v>-0.25915940551857963</v>
      </c>
      <c r="Q2696">
        <f>IF(dataset[[#This Row],[state]]="VA",1,0)</f>
        <v>0</v>
      </c>
    </row>
    <row r="2697" spans="1:17" x14ac:dyDescent="0.35">
      <c r="A2697">
        <v>202408</v>
      </c>
      <c r="B2697">
        <v>44</v>
      </c>
      <c r="C2697" s="2">
        <v>1787009.1091</v>
      </c>
      <c r="D2697" s="2">
        <v>0.78839999999999999</v>
      </c>
      <c r="E2697" s="3">
        <v>206753</v>
      </c>
      <c r="F2697" s="2">
        <v>162993.91690000001</v>
      </c>
      <c r="G2697" t="s">
        <v>1954</v>
      </c>
      <c r="H2697" t="s">
        <v>7</v>
      </c>
      <c r="I2697">
        <f>HLOOKUP(G2697,zip_tiers!$A$1:$EON$2,2,FALSE)</f>
        <v>35528.333333333336</v>
      </c>
      <c r="J2697" t="str">
        <f t="shared" si="42"/>
        <v>Low</v>
      </c>
      <c r="K2697">
        <f>dataset[[#This Row],[soda_sales]]/dataset[[#This Row],[soda_units_sold]]</f>
        <v>0.78835091582709804</v>
      </c>
      <c r="L2697" s="29">
        <f>dataset[[#This Row],[implied_soda_ppu]]-dataset[[#This Row],[soda_ppu]]</f>
        <v>-4.9084172901947554E-5</v>
      </c>
      <c r="M2697">
        <f>dataset[[#This Row],[soda_sales]]/dataset[[#This Row],[total_sales]]</f>
        <v>9.1210456661907802E-2</v>
      </c>
      <c r="N2697">
        <f>LN(dataset[[#This Row],[soda_units_sold]])</f>
        <v>12.239280123058778</v>
      </c>
      <c r="O2697">
        <f>LN(dataset[[#This Row],[soda_sales]])</f>
        <v>12.001468159460602</v>
      </c>
      <c r="P2697">
        <f>LN(dataset[[#This Row],[soda_ppu]])</f>
        <v>-0.23774970370357193</v>
      </c>
      <c r="Q2697">
        <f>IF(dataset[[#This Row],[state]]="VA",1,0)</f>
        <v>0</v>
      </c>
    </row>
    <row r="2698" spans="1:17" x14ac:dyDescent="0.35">
      <c r="A2698">
        <v>202409</v>
      </c>
      <c r="B2698">
        <v>44</v>
      </c>
      <c r="C2698" s="2">
        <v>1754646.8265</v>
      </c>
      <c r="D2698" s="2">
        <v>0.78959999999999997</v>
      </c>
      <c r="E2698" s="3">
        <v>193865</v>
      </c>
      <c r="F2698" s="2">
        <v>153081.9179</v>
      </c>
      <c r="G2698" t="s">
        <v>1954</v>
      </c>
      <c r="H2698" t="s">
        <v>7</v>
      </c>
      <c r="I2698">
        <f>HLOOKUP(G2698,zip_tiers!$A$1:$EON$2,2,FALSE)</f>
        <v>35528.333333333336</v>
      </c>
      <c r="J2698" t="str">
        <f t="shared" si="42"/>
        <v>Low</v>
      </c>
      <c r="K2698">
        <f>dataset[[#This Row],[soda_sales]]/dataset[[#This Row],[soda_units_sold]]</f>
        <v>0.78963153689423049</v>
      </c>
      <c r="L2698" s="29">
        <f>dataset[[#This Row],[implied_soda_ppu]]-dataset[[#This Row],[soda_ppu]]</f>
        <v>3.1536894230521639E-5</v>
      </c>
      <c r="M2698">
        <f>dataset[[#This Row],[soda_sales]]/dataset[[#This Row],[total_sales]]</f>
        <v>8.7243720837744329E-2</v>
      </c>
      <c r="N2698">
        <f>LN(dataset[[#This Row],[soda_units_sold]])</f>
        <v>12.174917319522518</v>
      </c>
      <c r="O2698">
        <f>LN(dataset[[#This Row],[soda_sales]])</f>
        <v>11.938728468204296</v>
      </c>
      <c r="P2698">
        <f>LN(dataset[[#This Row],[soda_ppu]])</f>
        <v>-0.23622879086286527</v>
      </c>
      <c r="Q2698">
        <f>IF(dataset[[#This Row],[state]]="VA",1,0)</f>
        <v>0</v>
      </c>
    </row>
    <row r="2699" spans="1:17" x14ac:dyDescent="0.35">
      <c r="A2699">
        <v>202410</v>
      </c>
      <c r="B2699">
        <v>44</v>
      </c>
      <c r="C2699" s="2">
        <v>2167587.2097999998</v>
      </c>
      <c r="D2699" s="2">
        <v>0.75960000000000005</v>
      </c>
      <c r="E2699" s="3">
        <v>205675</v>
      </c>
      <c r="F2699" s="2">
        <v>156229.71059999999</v>
      </c>
      <c r="G2699" t="s">
        <v>1954</v>
      </c>
      <c r="H2699" t="s">
        <v>7</v>
      </c>
      <c r="I2699">
        <f>HLOOKUP(G2699,zip_tiers!$A$1:$EON$2,2,FALSE)</f>
        <v>35528.333333333336</v>
      </c>
      <c r="J2699" t="str">
        <f t="shared" si="42"/>
        <v>Low</v>
      </c>
      <c r="K2699">
        <f>dataset[[#This Row],[soda_sales]]/dataset[[#This Row],[soda_units_sold]]</f>
        <v>0.75959504363680563</v>
      </c>
      <c r="L2699" s="29">
        <f>dataset[[#This Row],[implied_soda_ppu]]-dataset[[#This Row],[soda_ppu]]</f>
        <v>-4.9563631944193887E-6</v>
      </c>
      <c r="M2699">
        <f>dataset[[#This Row],[soda_sales]]/dataset[[#This Row],[total_sales]]</f>
        <v>7.2075397886489229E-2</v>
      </c>
      <c r="N2699">
        <f>LN(dataset[[#This Row],[soda_units_sold]])</f>
        <v>12.234052532037131</v>
      </c>
      <c r="O2699">
        <f>LN(dataset[[#This Row],[soda_sales]])</f>
        <v>11.959082707007127</v>
      </c>
      <c r="P2699">
        <f>LN(dataset[[#This Row],[soda_ppu]])</f>
        <v>-0.27496330004400615</v>
      </c>
      <c r="Q2699">
        <f>IF(dataset[[#This Row],[state]]="VA",1,0)</f>
        <v>0</v>
      </c>
    </row>
    <row r="2700" spans="1:17" x14ac:dyDescent="0.35">
      <c r="A2700">
        <v>202411</v>
      </c>
      <c r="B2700">
        <v>44</v>
      </c>
      <c r="C2700" s="2">
        <v>2459124.5024000001</v>
      </c>
      <c r="D2700" s="2">
        <v>0.78849999999999998</v>
      </c>
      <c r="E2700" s="3">
        <v>179078</v>
      </c>
      <c r="F2700" s="2">
        <v>141209.32980000001</v>
      </c>
      <c r="G2700" t="s">
        <v>1954</v>
      </c>
      <c r="H2700" t="s">
        <v>7</v>
      </c>
      <c r="I2700">
        <f>HLOOKUP(G2700,zip_tiers!$A$1:$EON$2,2,FALSE)</f>
        <v>35528.333333333336</v>
      </c>
      <c r="J2700" t="str">
        <f t="shared" si="42"/>
        <v>Low</v>
      </c>
      <c r="K2700">
        <f>dataset[[#This Row],[soda_sales]]/dataset[[#This Row],[soda_units_sold]]</f>
        <v>0.78853532985626373</v>
      </c>
      <c r="L2700" s="29">
        <f>dataset[[#This Row],[implied_soda_ppu]]-dataset[[#This Row],[soda_ppu]]</f>
        <v>3.5329856263754955E-5</v>
      </c>
      <c r="M2700">
        <f>dataset[[#This Row],[soda_sales]]/dataset[[#This Row],[total_sales]]</f>
        <v>5.7422602906923075E-2</v>
      </c>
      <c r="N2700">
        <f>LN(dataset[[#This Row],[soda_units_sold]])</f>
        <v>12.095576744099551</v>
      </c>
      <c r="O2700">
        <f>LN(dataset[[#This Row],[soda_sales]])</f>
        <v>11.857998676929238</v>
      </c>
      <c r="P2700">
        <f>LN(dataset[[#This Row],[soda_ppu]])</f>
        <v>-0.23762287257904399</v>
      </c>
      <c r="Q2700">
        <f>IF(dataset[[#This Row],[state]]="VA",1,0)</f>
        <v>0</v>
      </c>
    </row>
    <row r="2701" spans="1:17" x14ac:dyDescent="0.35">
      <c r="A2701">
        <v>202412</v>
      </c>
      <c r="B2701">
        <v>44</v>
      </c>
      <c r="C2701" s="2">
        <v>2589719.7919999999</v>
      </c>
      <c r="D2701" s="2">
        <v>0.75580000000000003</v>
      </c>
      <c r="E2701" s="3">
        <v>191149</v>
      </c>
      <c r="F2701" s="2">
        <v>144466.829</v>
      </c>
      <c r="G2701" t="s">
        <v>1954</v>
      </c>
      <c r="H2701" t="s">
        <v>7</v>
      </c>
      <c r="I2701">
        <f>HLOOKUP(G2701,zip_tiers!$A$1:$EON$2,2,FALSE)</f>
        <v>35528.333333333336</v>
      </c>
      <c r="J2701" t="str">
        <f t="shared" si="42"/>
        <v>Low</v>
      </c>
      <c r="K2701">
        <f>dataset[[#This Row],[soda_sales]]/dataset[[#This Row],[soda_units_sold]]</f>
        <v>0.75578124395105384</v>
      </c>
      <c r="L2701" s="29">
        <f>dataset[[#This Row],[implied_soda_ppu]]-dataset[[#This Row],[soda_ppu]]</f>
        <v>-1.8756048946189097E-5</v>
      </c>
      <c r="M2701">
        <f>dataset[[#This Row],[soda_sales]]/dataset[[#This Row],[total_sales]]</f>
        <v>5.5784733717631485E-2</v>
      </c>
      <c r="N2701">
        <f>LN(dataset[[#This Row],[soda_units_sold]])</f>
        <v>12.160808507617283</v>
      </c>
      <c r="O2701">
        <f>LN(dataset[[#This Row],[soda_sales]])</f>
        <v>11.880805203088936</v>
      </c>
      <c r="P2701">
        <f>LN(dataset[[#This Row],[soda_ppu]])</f>
        <v>-0.27997848806674841</v>
      </c>
      <c r="Q2701">
        <f>IF(dataset[[#This Row],[state]]="VA",1,0)</f>
        <v>0</v>
      </c>
    </row>
    <row r="2702" spans="1:17" x14ac:dyDescent="0.35">
      <c r="A2702">
        <v>202201</v>
      </c>
      <c r="B2702">
        <v>23</v>
      </c>
      <c r="C2702" s="2">
        <v>1561739.328</v>
      </c>
      <c r="D2702" s="2">
        <v>0.73599999999999999</v>
      </c>
      <c r="E2702" s="3">
        <v>127237</v>
      </c>
      <c r="F2702" s="2">
        <v>93648.255099999995</v>
      </c>
      <c r="G2702" t="s">
        <v>2016</v>
      </c>
      <c r="H2702" t="s">
        <v>7</v>
      </c>
      <c r="I2702">
        <f>HLOOKUP(G2702,zip_tiers!$A$1:$EON$2,2,FALSE)</f>
        <v>50799.666666666664</v>
      </c>
      <c r="J2702" t="str">
        <f t="shared" si="42"/>
        <v>Med</v>
      </c>
      <c r="K2702">
        <f>dataset[[#This Row],[soda_sales]]/dataset[[#This Row],[soda_units_sold]]</f>
        <v>0.73601432837932357</v>
      </c>
      <c r="L2702" s="29">
        <f>dataset[[#This Row],[implied_soda_ppu]]-dataset[[#This Row],[soda_ppu]]</f>
        <v>1.4328379323580442E-5</v>
      </c>
      <c r="M2702">
        <f>dataset[[#This Row],[soda_sales]]/dataset[[#This Row],[total_sales]]</f>
        <v>5.9964075579711597E-2</v>
      </c>
      <c r="N2702">
        <f>LN(dataset[[#This Row],[soda_units_sold]])</f>
        <v>11.753806768093773</v>
      </c>
      <c r="O2702">
        <f>LN(dataset[[#This Row],[soda_sales]])</f>
        <v>11.447301075557704</v>
      </c>
      <c r="P2702">
        <f>LN(dataset[[#This Row],[soda_ppu]])</f>
        <v>-0.30652516025326082</v>
      </c>
      <c r="Q2702">
        <f>IF(dataset[[#This Row],[state]]="VA",1,0)</f>
        <v>0</v>
      </c>
    </row>
    <row r="2703" spans="1:17" x14ac:dyDescent="0.35">
      <c r="A2703">
        <v>202202</v>
      </c>
      <c r="B2703">
        <v>23</v>
      </c>
      <c r="C2703" s="2">
        <v>1780467.3488</v>
      </c>
      <c r="D2703" s="2">
        <v>0.73070000000000002</v>
      </c>
      <c r="E2703" s="3">
        <v>143200</v>
      </c>
      <c r="F2703" s="2">
        <v>104637.14</v>
      </c>
      <c r="G2703" t="s">
        <v>2016</v>
      </c>
      <c r="H2703" t="s">
        <v>7</v>
      </c>
      <c r="I2703">
        <f>HLOOKUP(G2703,zip_tiers!$A$1:$EON$2,2,FALSE)</f>
        <v>50799.666666666664</v>
      </c>
      <c r="J2703" t="str">
        <f t="shared" si="42"/>
        <v>Med</v>
      </c>
      <c r="K2703">
        <f>dataset[[#This Row],[soda_sales]]/dataset[[#This Row],[soda_units_sold]]</f>
        <v>0.73070628491620115</v>
      </c>
      <c r="L2703" s="29">
        <f>dataset[[#This Row],[implied_soda_ppu]]-dataset[[#This Row],[soda_ppu]]</f>
        <v>6.2849162011380244E-6</v>
      </c>
      <c r="M2703">
        <f>dataset[[#This Row],[soda_sales]]/dataset[[#This Row],[total_sales]]</f>
        <v>5.8769479861859514E-2</v>
      </c>
      <c r="N2703">
        <f>LN(dataset[[#This Row],[soda_units_sold]])</f>
        <v>11.871997533508683</v>
      </c>
      <c r="O2703">
        <f>LN(dataset[[#This Row],[soda_sales]])</f>
        <v>11.558253834513224</v>
      </c>
      <c r="P2703">
        <f>LN(dataset[[#This Row],[soda_ppu]])</f>
        <v>-0.31375230018496492</v>
      </c>
      <c r="Q2703">
        <f>IF(dataset[[#This Row],[state]]="VA",1,0)</f>
        <v>0</v>
      </c>
    </row>
    <row r="2704" spans="1:17" x14ac:dyDescent="0.35">
      <c r="A2704">
        <v>202203</v>
      </c>
      <c r="B2704">
        <v>23</v>
      </c>
      <c r="C2704" s="2">
        <v>1920981.0793000001</v>
      </c>
      <c r="D2704" s="2">
        <v>0.72540000000000004</v>
      </c>
      <c r="E2704" s="3">
        <v>166137</v>
      </c>
      <c r="F2704" s="2">
        <v>120509.8664</v>
      </c>
      <c r="G2704" t="s">
        <v>2016</v>
      </c>
      <c r="H2704" t="s">
        <v>7</v>
      </c>
      <c r="I2704">
        <f>HLOOKUP(G2704,zip_tiers!$A$1:$EON$2,2,FALSE)</f>
        <v>50799.666666666664</v>
      </c>
      <c r="J2704" t="str">
        <f t="shared" si="42"/>
        <v>Med</v>
      </c>
      <c r="K2704">
        <f>dataset[[#This Row],[soda_sales]]/dataset[[#This Row],[soda_units_sold]]</f>
        <v>0.72536440648380551</v>
      </c>
      <c r="L2704" s="29">
        <f>dataset[[#This Row],[implied_soda_ppu]]-dataset[[#This Row],[soda_ppu]]</f>
        <v>-3.5593516194531993E-5</v>
      </c>
      <c r="M2704">
        <f>dataset[[#This Row],[soda_sales]]/dataset[[#This Row],[total_sales]]</f>
        <v>6.2733499928022948E-2</v>
      </c>
      <c r="N2704">
        <f>LN(dataset[[#This Row],[soda_units_sold]])</f>
        <v>12.020568028169722</v>
      </c>
      <c r="O2704">
        <f>LN(dataset[[#This Row],[soda_sales]])</f>
        <v>11.699486907399132</v>
      </c>
      <c r="P2704">
        <f>LN(dataset[[#This Row],[soda_ppu]])</f>
        <v>-0.32103205213333502</v>
      </c>
      <c r="Q2704">
        <f>IF(dataset[[#This Row],[state]]="VA",1,0)</f>
        <v>0</v>
      </c>
    </row>
    <row r="2705" spans="1:17" x14ac:dyDescent="0.35">
      <c r="A2705">
        <v>202204</v>
      </c>
      <c r="B2705">
        <v>23</v>
      </c>
      <c r="C2705" s="2">
        <v>2074847.5412999999</v>
      </c>
      <c r="D2705" s="2">
        <v>0.76</v>
      </c>
      <c r="E2705" s="3">
        <v>183520</v>
      </c>
      <c r="F2705" s="2">
        <v>139467.4057</v>
      </c>
      <c r="G2705" t="s">
        <v>2016</v>
      </c>
      <c r="H2705" t="s">
        <v>7</v>
      </c>
      <c r="I2705">
        <f>HLOOKUP(G2705,zip_tiers!$A$1:$EON$2,2,FALSE)</f>
        <v>50799.666666666664</v>
      </c>
      <c r="J2705" t="str">
        <f t="shared" si="42"/>
        <v>Med</v>
      </c>
      <c r="K2705">
        <f>dataset[[#This Row],[soda_sales]]/dataset[[#This Row],[soda_units_sold]]</f>
        <v>0.75995752887968615</v>
      </c>
      <c r="L2705" s="29">
        <f>dataset[[#This Row],[implied_soda_ppu]]-dataset[[#This Row],[soda_ppu]]</f>
        <v>-4.2471120313858357E-5</v>
      </c>
      <c r="M2705">
        <f>dataset[[#This Row],[soda_sales]]/dataset[[#This Row],[total_sales]]</f>
        <v>6.7218146357209657E-2</v>
      </c>
      <c r="N2705">
        <f>LN(dataset[[#This Row],[soda_units_sold]])</f>
        <v>12.120078932363198</v>
      </c>
      <c r="O2705">
        <f>LN(dataset[[#This Row],[soda_sales]])</f>
        <v>11.845586202046876</v>
      </c>
      <c r="P2705">
        <f>LN(dataset[[#This Row],[soda_ppu]])</f>
        <v>-0.2744368457017603</v>
      </c>
      <c r="Q2705">
        <f>IF(dataset[[#This Row],[state]]="VA",1,0)</f>
        <v>0</v>
      </c>
    </row>
    <row r="2706" spans="1:17" x14ac:dyDescent="0.35">
      <c r="A2706">
        <v>202205</v>
      </c>
      <c r="B2706">
        <v>23</v>
      </c>
      <c r="C2706" s="2">
        <v>2101667.2793000001</v>
      </c>
      <c r="D2706" s="2">
        <v>0.69340000000000002</v>
      </c>
      <c r="E2706" s="3">
        <v>228605</v>
      </c>
      <c r="F2706" s="2">
        <v>158505.24160000001</v>
      </c>
      <c r="G2706" t="s">
        <v>2016</v>
      </c>
      <c r="H2706" t="s">
        <v>7</v>
      </c>
      <c r="I2706">
        <f>HLOOKUP(G2706,zip_tiers!$A$1:$EON$2,2,FALSE)</f>
        <v>50799.666666666664</v>
      </c>
      <c r="J2706" t="str">
        <f t="shared" si="42"/>
        <v>Med</v>
      </c>
      <c r="K2706">
        <f>dataset[[#This Row],[soda_sales]]/dataset[[#This Row],[soda_units_sold]]</f>
        <v>0.69335859495636587</v>
      </c>
      <c r="L2706" s="29">
        <f>dataset[[#This Row],[implied_soda_ppu]]-dataset[[#This Row],[soda_ppu]]</f>
        <v>-4.140504363414621E-5</v>
      </c>
      <c r="M2706">
        <f>dataset[[#This Row],[soda_sales]]/dataset[[#This Row],[total_sales]]</f>
        <v>7.5418808277204166E-2</v>
      </c>
      <c r="N2706">
        <f>LN(dataset[[#This Row],[soda_units_sold]])</f>
        <v>12.339750902369619</v>
      </c>
      <c r="O2706">
        <f>LN(dataset[[#This Row],[soda_sales]])</f>
        <v>11.973542941784217</v>
      </c>
      <c r="P2706">
        <f>LN(dataset[[#This Row],[soda_ppu]])</f>
        <v>-0.36614824573121396</v>
      </c>
      <c r="Q2706">
        <f>IF(dataset[[#This Row],[state]]="VA",1,0)</f>
        <v>0</v>
      </c>
    </row>
    <row r="2707" spans="1:17" x14ac:dyDescent="0.35">
      <c r="A2707">
        <v>202206</v>
      </c>
      <c r="B2707">
        <v>23</v>
      </c>
      <c r="C2707" s="2">
        <v>2024853.1845</v>
      </c>
      <c r="D2707" s="2">
        <v>0.71309999999999996</v>
      </c>
      <c r="E2707" s="3">
        <v>233007</v>
      </c>
      <c r="F2707" s="2">
        <v>166150.52110000001</v>
      </c>
      <c r="G2707" t="s">
        <v>2016</v>
      </c>
      <c r="H2707" t="s">
        <v>7</v>
      </c>
      <c r="I2707">
        <f>HLOOKUP(G2707,zip_tiers!$A$1:$EON$2,2,FALSE)</f>
        <v>50799.666666666664</v>
      </c>
      <c r="J2707" t="str">
        <f t="shared" si="42"/>
        <v>Med</v>
      </c>
      <c r="K2707">
        <f>dataset[[#This Row],[soda_sales]]/dataset[[#This Row],[soda_units_sold]]</f>
        <v>0.71307094250387337</v>
      </c>
      <c r="L2707" s="29">
        <f>dataset[[#This Row],[implied_soda_ppu]]-dataset[[#This Row],[soda_ppu]]</f>
        <v>-2.905749612658326E-5</v>
      </c>
      <c r="M2707">
        <f>dataset[[#This Row],[soda_sales]]/dataset[[#This Row],[total_sales]]</f>
        <v>8.205558920116364E-2</v>
      </c>
      <c r="N2707">
        <f>LN(dataset[[#This Row],[soda_units_sold]])</f>
        <v>12.358823775015013</v>
      </c>
      <c r="O2707">
        <f>LN(dataset[[#This Row],[soda_sales]])</f>
        <v>12.020649410100422</v>
      </c>
      <c r="P2707">
        <f>LN(dataset[[#This Row],[soda_ppu]])</f>
        <v>-0.33813361594787916</v>
      </c>
      <c r="Q2707">
        <f>IF(dataset[[#This Row],[state]]="VA",1,0)</f>
        <v>0</v>
      </c>
    </row>
    <row r="2708" spans="1:17" x14ac:dyDescent="0.35">
      <c r="A2708">
        <v>202207</v>
      </c>
      <c r="B2708">
        <v>23</v>
      </c>
      <c r="C2708" s="2">
        <v>1973462.8001999999</v>
      </c>
      <c r="D2708" s="2">
        <v>0.72340000000000004</v>
      </c>
      <c r="E2708" s="3">
        <v>236014</v>
      </c>
      <c r="F2708" s="2">
        <v>170736.39379999999</v>
      </c>
      <c r="G2708" t="s">
        <v>2016</v>
      </c>
      <c r="H2708" t="s">
        <v>7</v>
      </c>
      <c r="I2708">
        <f>HLOOKUP(G2708,zip_tiers!$A$1:$EON$2,2,FALSE)</f>
        <v>50799.666666666664</v>
      </c>
      <c r="J2708" t="str">
        <f t="shared" si="42"/>
        <v>Med</v>
      </c>
      <c r="K2708">
        <f>dataset[[#This Row],[soda_sales]]/dataset[[#This Row],[soda_units_sold]]</f>
        <v>0.72341638123162177</v>
      </c>
      <c r="L2708" s="29">
        <f>dataset[[#This Row],[implied_soda_ppu]]-dataset[[#This Row],[soda_ppu]]</f>
        <v>1.6381231621731551E-5</v>
      </c>
      <c r="M2708">
        <f>dataset[[#This Row],[soda_sales]]/dataset[[#This Row],[total_sales]]</f>
        <v>8.6516145013068785E-2</v>
      </c>
      <c r="N2708">
        <f>LN(dataset[[#This Row],[soda_units_sold]])</f>
        <v>12.371646404282163</v>
      </c>
      <c r="O2708">
        <f>LN(dataset[[#This Row],[soda_sales]])</f>
        <v>12.047876089338551</v>
      </c>
      <c r="P2708">
        <f>LN(dataset[[#This Row],[soda_ppu]])</f>
        <v>-0.32379295946413944</v>
      </c>
      <c r="Q2708">
        <f>IF(dataset[[#This Row],[state]]="VA",1,0)</f>
        <v>0</v>
      </c>
    </row>
    <row r="2709" spans="1:17" x14ac:dyDescent="0.35">
      <c r="A2709">
        <v>202208</v>
      </c>
      <c r="B2709">
        <v>23</v>
      </c>
      <c r="C2709" s="2">
        <v>1877223.0390999999</v>
      </c>
      <c r="D2709" s="2">
        <v>0.71719999999999995</v>
      </c>
      <c r="E2709" s="3">
        <v>211616</v>
      </c>
      <c r="F2709" s="2">
        <v>151777.26790000001</v>
      </c>
      <c r="G2709" t="s">
        <v>2016</v>
      </c>
      <c r="H2709" t="s">
        <v>7</v>
      </c>
      <c r="I2709">
        <f>HLOOKUP(G2709,zip_tiers!$A$1:$EON$2,2,FALSE)</f>
        <v>50799.666666666664</v>
      </c>
      <c r="J2709" t="str">
        <f t="shared" si="42"/>
        <v>Med</v>
      </c>
      <c r="K2709">
        <f>dataset[[#This Row],[soda_sales]]/dataset[[#This Row],[soda_units_sold]]</f>
        <v>0.71722964189853322</v>
      </c>
      <c r="L2709" s="29">
        <f>dataset[[#This Row],[implied_soda_ppu]]-dataset[[#This Row],[soda_ppu]]</f>
        <v>2.9641898533272482E-5</v>
      </c>
      <c r="M2709">
        <f>dataset[[#This Row],[soda_sales]]/dataset[[#This Row],[total_sales]]</f>
        <v>8.08520163766831E-2</v>
      </c>
      <c r="N2709">
        <f>LN(dataset[[#This Row],[soda_units_sold]])</f>
        <v>12.262528590474389</v>
      </c>
      <c r="O2709">
        <f>LN(dataset[[#This Row],[soda_sales]])</f>
        <v>11.930169382400585</v>
      </c>
      <c r="P2709">
        <f>LN(dataset[[#This Row],[soda_ppu]])</f>
        <v>-0.33240053725115931</v>
      </c>
      <c r="Q2709">
        <f>IF(dataset[[#This Row],[state]]="VA",1,0)</f>
        <v>0</v>
      </c>
    </row>
    <row r="2710" spans="1:17" x14ac:dyDescent="0.35">
      <c r="A2710">
        <v>202209</v>
      </c>
      <c r="B2710">
        <v>23</v>
      </c>
      <c r="C2710" s="2">
        <v>1825637.6451000001</v>
      </c>
      <c r="D2710" s="2">
        <v>0.70099999999999996</v>
      </c>
      <c r="E2710" s="3">
        <v>203874</v>
      </c>
      <c r="F2710" s="2">
        <v>142908.44750000001</v>
      </c>
      <c r="G2710" t="s">
        <v>2016</v>
      </c>
      <c r="H2710" t="s">
        <v>7</v>
      </c>
      <c r="I2710">
        <f>HLOOKUP(G2710,zip_tiers!$A$1:$EON$2,2,FALSE)</f>
        <v>50799.666666666664</v>
      </c>
      <c r="J2710" t="str">
        <f t="shared" si="42"/>
        <v>Med</v>
      </c>
      <c r="K2710">
        <f>dataset[[#This Row],[soda_sales]]/dataset[[#This Row],[soda_units_sold]]</f>
        <v>0.7009645540873285</v>
      </c>
      <c r="L2710" s="29">
        <f>dataset[[#This Row],[implied_soda_ppu]]-dataset[[#This Row],[soda_ppu]]</f>
        <v>-3.5445912671461244E-5</v>
      </c>
      <c r="M2710">
        <f>dataset[[#This Row],[soda_sales]]/dataset[[#This Row],[total_sales]]</f>
        <v>7.8278648494987696E-2</v>
      </c>
      <c r="N2710">
        <f>LN(dataset[[#This Row],[soda_units_sold]])</f>
        <v>12.225257434945007</v>
      </c>
      <c r="O2710">
        <f>LN(dataset[[#This Row],[soda_sales]])</f>
        <v>11.869959476936319</v>
      </c>
      <c r="P2710">
        <f>LN(dataset[[#This Row],[soda_ppu]])</f>
        <v>-0.35524739194754701</v>
      </c>
      <c r="Q2710">
        <f>IF(dataset[[#This Row],[state]]="VA",1,0)</f>
        <v>0</v>
      </c>
    </row>
    <row r="2711" spans="1:17" x14ac:dyDescent="0.35">
      <c r="A2711">
        <v>202210</v>
      </c>
      <c r="B2711">
        <v>23</v>
      </c>
      <c r="C2711" s="2">
        <v>2273653.0811999999</v>
      </c>
      <c r="D2711" s="2">
        <v>0.70520000000000005</v>
      </c>
      <c r="E2711" s="3">
        <v>198946</v>
      </c>
      <c r="F2711" s="2">
        <v>140302.92480000001</v>
      </c>
      <c r="G2711" t="s">
        <v>2016</v>
      </c>
      <c r="H2711" t="s">
        <v>7</v>
      </c>
      <c r="I2711">
        <f>HLOOKUP(G2711,zip_tiers!$A$1:$EON$2,2,FALSE)</f>
        <v>50799.666666666664</v>
      </c>
      <c r="J2711" t="str">
        <f t="shared" si="42"/>
        <v>Med</v>
      </c>
      <c r="K2711">
        <f>dataset[[#This Row],[soda_sales]]/dataset[[#This Row],[soda_units_sold]]</f>
        <v>0.705231192383863</v>
      </c>
      <c r="L2711" s="29">
        <f>dataset[[#This Row],[implied_soda_ppu]]-dataset[[#This Row],[soda_ppu]]</f>
        <v>3.1192383862954642E-5</v>
      </c>
      <c r="M2711">
        <f>dataset[[#This Row],[soda_sales]]/dataset[[#This Row],[total_sales]]</f>
        <v>6.170814974373761E-2</v>
      </c>
      <c r="N2711">
        <f>LN(dataset[[#This Row],[soda_units_sold]])</f>
        <v>12.200788710098797</v>
      </c>
      <c r="O2711">
        <f>LN(dataset[[#This Row],[soda_sales]])</f>
        <v>11.851559112630211</v>
      </c>
      <c r="P2711">
        <f>LN(dataset[[#This Row],[soda_ppu]])</f>
        <v>-0.34927382845842181</v>
      </c>
      <c r="Q2711">
        <f>IF(dataset[[#This Row],[state]]="VA",1,0)</f>
        <v>0</v>
      </c>
    </row>
    <row r="2712" spans="1:17" x14ac:dyDescent="0.35">
      <c r="A2712">
        <v>202211</v>
      </c>
      <c r="B2712">
        <v>23</v>
      </c>
      <c r="C2712" s="2">
        <v>2567036.5186000001</v>
      </c>
      <c r="D2712" s="2">
        <v>0.74229999999999996</v>
      </c>
      <c r="E2712" s="3">
        <v>170177</v>
      </c>
      <c r="F2712" s="2">
        <v>126320.2601</v>
      </c>
      <c r="G2712" t="s">
        <v>2016</v>
      </c>
      <c r="H2712" t="s">
        <v>7</v>
      </c>
      <c r="I2712">
        <f>HLOOKUP(G2712,zip_tiers!$A$1:$EON$2,2,FALSE)</f>
        <v>50799.666666666664</v>
      </c>
      <c r="J2712" t="str">
        <f t="shared" si="42"/>
        <v>Med</v>
      </c>
      <c r="K2712">
        <f>dataset[[#This Row],[soda_sales]]/dataset[[#This Row],[soda_units_sold]]</f>
        <v>0.74228750124869991</v>
      </c>
      <c r="L2712" s="29">
        <f>dataset[[#This Row],[implied_soda_ppu]]-dataset[[#This Row],[soda_ppu]]</f>
        <v>-1.2498751300049626E-5</v>
      </c>
      <c r="M2712">
        <f>dataset[[#This Row],[soda_sales]]/dataset[[#This Row],[total_sales]]</f>
        <v>4.9208594885472072E-2</v>
      </c>
      <c r="N2712">
        <f>LN(dataset[[#This Row],[soda_units_sold]])</f>
        <v>12.0445943508547</v>
      </c>
      <c r="O2712">
        <f>LN(dataset[[#This Row],[soda_sales]])</f>
        <v>11.746575707983769</v>
      </c>
      <c r="P2712">
        <f>LN(dataset[[#This Row],[soda_ppu]])</f>
        <v>-0.29800180485863581</v>
      </c>
      <c r="Q2712">
        <f>IF(dataset[[#This Row],[state]]="VA",1,0)</f>
        <v>0</v>
      </c>
    </row>
    <row r="2713" spans="1:17" x14ac:dyDescent="0.35">
      <c r="A2713">
        <v>202212</v>
      </c>
      <c r="B2713">
        <v>23</v>
      </c>
      <c r="C2713" s="2">
        <v>2672906.5268000001</v>
      </c>
      <c r="D2713" s="2">
        <v>0.73839999999999995</v>
      </c>
      <c r="E2713" s="3">
        <v>167404</v>
      </c>
      <c r="F2713" s="2">
        <v>123608.8124</v>
      </c>
      <c r="G2713" t="s">
        <v>2016</v>
      </c>
      <c r="H2713" t="s">
        <v>7</v>
      </c>
      <c r="I2713">
        <f>HLOOKUP(G2713,zip_tiers!$A$1:$EON$2,2,FALSE)</f>
        <v>50799.666666666664</v>
      </c>
      <c r="J2713" t="str">
        <f t="shared" si="42"/>
        <v>Med</v>
      </c>
      <c r="K2713">
        <f>dataset[[#This Row],[soda_sales]]/dataset[[#This Row],[soda_units_sold]]</f>
        <v>0.73838625361401156</v>
      </c>
      <c r="L2713" s="29">
        <f>dataset[[#This Row],[implied_soda_ppu]]-dataset[[#This Row],[soda_ppu]]</f>
        <v>-1.3746385988389065E-5</v>
      </c>
      <c r="M2713">
        <f>dataset[[#This Row],[soda_sales]]/dataset[[#This Row],[total_sales]]</f>
        <v>4.624509355663263E-2</v>
      </c>
      <c r="N2713">
        <f>LN(dataset[[#This Row],[soda_units_sold]])</f>
        <v>12.028165331614639</v>
      </c>
      <c r="O2713">
        <f>LN(dataset[[#This Row],[soda_sales]])</f>
        <v>11.724877119198792</v>
      </c>
      <c r="P2713">
        <f>LN(dataset[[#This Row],[soda_ppu]])</f>
        <v>-0.30326959579349472</v>
      </c>
      <c r="Q2713">
        <f>IF(dataset[[#This Row],[state]]="VA",1,0)</f>
        <v>0</v>
      </c>
    </row>
    <row r="2714" spans="1:17" x14ac:dyDescent="0.35">
      <c r="A2714">
        <v>202301</v>
      </c>
      <c r="B2714">
        <v>23</v>
      </c>
      <c r="C2714" s="2">
        <v>1545955.1433999999</v>
      </c>
      <c r="D2714" s="2">
        <v>0.74509999999999998</v>
      </c>
      <c r="E2714" s="3">
        <v>124136</v>
      </c>
      <c r="F2714" s="2">
        <v>92499.41</v>
      </c>
      <c r="G2714" t="s">
        <v>2016</v>
      </c>
      <c r="H2714" t="s">
        <v>7</v>
      </c>
      <c r="I2714">
        <f>HLOOKUP(G2714,zip_tiers!$A$1:$EON$2,2,FALSE)</f>
        <v>50799.666666666664</v>
      </c>
      <c r="J2714" t="str">
        <f t="shared" si="42"/>
        <v>Med</v>
      </c>
      <c r="K2714">
        <f>dataset[[#This Row],[soda_sales]]/dataset[[#This Row],[soda_units_sold]]</f>
        <v>0.74514572726686867</v>
      </c>
      <c r="L2714" s="29">
        <f>dataset[[#This Row],[implied_soda_ppu]]-dataset[[#This Row],[soda_ppu]]</f>
        <v>4.572726686868922E-5</v>
      </c>
      <c r="M2714">
        <f>dataset[[#This Row],[soda_sales]]/dataset[[#This Row],[total_sales]]</f>
        <v>5.9833178468921937E-2</v>
      </c>
      <c r="N2714">
        <f>LN(dataset[[#This Row],[soda_units_sold]])</f>
        <v>11.729133017763321</v>
      </c>
      <c r="O2714">
        <f>LN(dataset[[#This Row],[soda_sales]])</f>
        <v>11.434957545101796</v>
      </c>
      <c r="P2714">
        <f>LN(dataset[[#This Row],[soda_ppu]])</f>
        <v>-0.29423684142245526</v>
      </c>
      <c r="Q2714">
        <f>IF(dataset[[#This Row],[state]]="VA",1,0)</f>
        <v>0</v>
      </c>
    </row>
    <row r="2715" spans="1:17" x14ac:dyDescent="0.35">
      <c r="A2715">
        <v>202302</v>
      </c>
      <c r="B2715">
        <v>23</v>
      </c>
      <c r="C2715" s="2">
        <v>1745950.6044000001</v>
      </c>
      <c r="D2715" s="2">
        <v>0.75429999999999997</v>
      </c>
      <c r="E2715" s="3">
        <v>136651</v>
      </c>
      <c r="F2715" s="2">
        <v>103071.917</v>
      </c>
      <c r="G2715" t="s">
        <v>2016</v>
      </c>
      <c r="H2715" t="s">
        <v>7</v>
      </c>
      <c r="I2715">
        <f>HLOOKUP(G2715,zip_tiers!$A$1:$EON$2,2,FALSE)</f>
        <v>50799.666666666664</v>
      </c>
      <c r="J2715" t="str">
        <f t="shared" si="42"/>
        <v>Med</v>
      </c>
      <c r="K2715">
        <f>dataset[[#This Row],[soda_sales]]/dataset[[#This Row],[soda_units_sold]]</f>
        <v>0.75427122377443268</v>
      </c>
      <c r="L2715" s="29">
        <f>dataset[[#This Row],[implied_soda_ppu]]-dataset[[#This Row],[soda_ppu]]</f>
        <v>-2.8776225567295199E-5</v>
      </c>
      <c r="M2715">
        <f>dataset[[#This Row],[soda_sales]]/dataset[[#This Row],[total_sales]]</f>
        <v>5.9034841386833452E-2</v>
      </c>
      <c r="N2715">
        <f>LN(dataset[[#This Row],[soda_units_sold]])</f>
        <v>11.825185509295043</v>
      </c>
      <c r="O2715">
        <f>LN(dataset[[#This Row],[soda_sales]])</f>
        <v>11.543182246868261</v>
      </c>
      <c r="P2715">
        <f>LN(dataset[[#This Row],[soda_ppu]])</f>
        <v>-0.28196511212255188</v>
      </c>
      <c r="Q2715">
        <f>IF(dataset[[#This Row],[state]]="VA",1,0)</f>
        <v>0</v>
      </c>
    </row>
    <row r="2716" spans="1:17" x14ac:dyDescent="0.35">
      <c r="A2716">
        <v>202303</v>
      </c>
      <c r="B2716">
        <v>23</v>
      </c>
      <c r="C2716" s="2">
        <v>1965339.8284</v>
      </c>
      <c r="D2716" s="2">
        <v>0.74299999999999999</v>
      </c>
      <c r="E2716" s="3">
        <v>165636</v>
      </c>
      <c r="F2716" s="2">
        <v>123070.6265</v>
      </c>
      <c r="G2716" t="s">
        <v>2016</v>
      </c>
      <c r="H2716" t="s">
        <v>7</v>
      </c>
      <c r="I2716">
        <f>HLOOKUP(G2716,zip_tiers!$A$1:$EON$2,2,FALSE)</f>
        <v>50799.666666666664</v>
      </c>
      <c r="J2716" t="str">
        <f t="shared" si="42"/>
        <v>Med</v>
      </c>
      <c r="K2716">
        <f>dataset[[#This Row],[soda_sales]]/dataset[[#This Row],[soda_units_sold]]</f>
        <v>0.74301858593542469</v>
      </c>
      <c r="L2716" s="29">
        <f>dataset[[#This Row],[implied_soda_ppu]]-dataset[[#This Row],[soda_ppu]]</f>
        <v>1.8585935424697553E-5</v>
      </c>
      <c r="M2716">
        <f>dataset[[#This Row],[soda_sales]]/dataset[[#This Row],[total_sales]]</f>
        <v>6.2620532450203714E-2</v>
      </c>
      <c r="N2716">
        <f>LN(dataset[[#This Row],[soda_units_sold]])</f>
        <v>12.017547888611579</v>
      </c>
      <c r="O2716">
        <f>LN(dataset[[#This Row],[soda_sales]])</f>
        <v>11.720513668752272</v>
      </c>
      <c r="P2716">
        <f>LN(dataset[[#This Row],[soda_ppu]])</f>
        <v>-0.29705923426437791</v>
      </c>
      <c r="Q2716">
        <f>IF(dataset[[#This Row],[state]]="VA",1,0)</f>
        <v>0</v>
      </c>
    </row>
    <row r="2717" spans="1:17" x14ac:dyDescent="0.35">
      <c r="A2717">
        <v>202304</v>
      </c>
      <c r="B2717">
        <v>23</v>
      </c>
      <c r="C2717" s="2">
        <v>2100897.1044000001</v>
      </c>
      <c r="D2717" s="2">
        <v>0.72589999999999999</v>
      </c>
      <c r="E2717" s="3">
        <v>205842</v>
      </c>
      <c r="F2717" s="2">
        <v>149420.82370000001</v>
      </c>
      <c r="G2717" t="s">
        <v>2016</v>
      </c>
      <c r="H2717" t="s">
        <v>7</v>
      </c>
      <c r="I2717">
        <f>HLOOKUP(G2717,zip_tiers!$A$1:$EON$2,2,FALSE)</f>
        <v>50799.666666666664</v>
      </c>
      <c r="J2717" t="str">
        <f t="shared" si="42"/>
        <v>Med</v>
      </c>
      <c r="K2717">
        <f>dataset[[#This Row],[soda_sales]]/dataset[[#This Row],[soda_units_sold]]</f>
        <v>0.7259005630532156</v>
      </c>
      <c r="L2717" s="29">
        <f>dataset[[#This Row],[implied_soda_ppu]]-dataset[[#This Row],[soda_ppu]]</f>
        <v>5.6305321560756738E-7</v>
      </c>
      <c r="M2717">
        <f>dataset[[#This Row],[soda_sales]]/dataset[[#This Row],[total_sales]]</f>
        <v>7.1122390233706104E-2</v>
      </c>
      <c r="N2717">
        <f>LN(dataset[[#This Row],[soda_units_sold]])</f>
        <v>12.234864163192915</v>
      </c>
      <c r="O2717">
        <f>LN(dataset[[#This Row],[soda_sales]])</f>
        <v>11.914521924163507</v>
      </c>
      <c r="P2717">
        <f>LN(dataset[[#This Row],[soda_ppu]])</f>
        <v>-0.32034301469134213</v>
      </c>
      <c r="Q2717">
        <f>IF(dataset[[#This Row],[state]]="VA",1,0)</f>
        <v>0</v>
      </c>
    </row>
    <row r="2718" spans="1:17" x14ac:dyDescent="0.35">
      <c r="A2718">
        <v>202305</v>
      </c>
      <c r="B2718">
        <v>23</v>
      </c>
      <c r="C2718" s="2">
        <v>2182783.5937000001</v>
      </c>
      <c r="D2718" s="2">
        <v>0.71589999999999998</v>
      </c>
      <c r="E2718" s="3">
        <v>222744</v>
      </c>
      <c r="F2718" s="2">
        <v>159460.29939999999</v>
      </c>
      <c r="G2718" t="s">
        <v>2016</v>
      </c>
      <c r="H2718" t="s">
        <v>7</v>
      </c>
      <c r="I2718">
        <f>HLOOKUP(G2718,zip_tiers!$A$1:$EON$2,2,FALSE)</f>
        <v>50799.666666666664</v>
      </c>
      <c r="J2718" t="str">
        <f t="shared" si="42"/>
        <v>Med</v>
      </c>
      <c r="K2718">
        <f>dataset[[#This Row],[soda_sales]]/dataset[[#This Row],[soda_units_sold]]</f>
        <v>0.71589043655496887</v>
      </c>
      <c r="L2718" s="29">
        <f>dataset[[#This Row],[implied_soda_ppu]]-dataset[[#This Row],[soda_ppu]]</f>
        <v>-9.5634450311132824E-6</v>
      </c>
      <c r="M2718">
        <f>dataset[[#This Row],[soda_sales]]/dataset[[#This Row],[total_sales]]</f>
        <v>7.3053645748592744E-2</v>
      </c>
      <c r="N2718">
        <f>LN(dataset[[#This Row],[soda_units_sold]])</f>
        <v>12.313778408943339</v>
      </c>
      <c r="O2718">
        <f>LN(dataset[[#This Row],[soda_sales]])</f>
        <v>11.979550263641579</v>
      </c>
      <c r="P2718">
        <f>LN(dataset[[#This Row],[soda_ppu]])</f>
        <v>-0.33421478657999776</v>
      </c>
      <c r="Q2718">
        <f>IF(dataset[[#This Row],[state]]="VA",1,0)</f>
        <v>0</v>
      </c>
    </row>
    <row r="2719" spans="1:17" x14ac:dyDescent="0.35">
      <c r="A2719">
        <v>202306</v>
      </c>
      <c r="B2719">
        <v>23</v>
      </c>
      <c r="C2719" s="2">
        <v>2055668.2087000001</v>
      </c>
      <c r="D2719" s="2">
        <v>0.72799999999999998</v>
      </c>
      <c r="E2719" s="3">
        <v>226712</v>
      </c>
      <c r="F2719" s="2">
        <v>165055.68340000001</v>
      </c>
      <c r="G2719" t="s">
        <v>2016</v>
      </c>
      <c r="H2719" t="s">
        <v>7</v>
      </c>
      <c r="I2719">
        <f>HLOOKUP(G2719,zip_tiers!$A$1:$EON$2,2,FALSE)</f>
        <v>50799.666666666664</v>
      </c>
      <c r="J2719" t="str">
        <f t="shared" si="42"/>
        <v>Med</v>
      </c>
      <c r="K2719">
        <f>dataset[[#This Row],[soda_sales]]/dataset[[#This Row],[soda_units_sold]]</f>
        <v>0.7280412302833551</v>
      </c>
      <c r="L2719" s="29">
        <f>dataset[[#This Row],[implied_soda_ppu]]-dataset[[#This Row],[soda_ppu]]</f>
        <v>4.1230283355120356E-5</v>
      </c>
      <c r="M2719">
        <f>dataset[[#This Row],[soda_sales]]/dataset[[#This Row],[total_sales]]</f>
        <v>8.0292959097898811E-2</v>
      </c>
      <c r="N2719">
        <f>LN(dataset[[#This Row],[soda_units_sold]])</f>
        <v>12.331435768486847</v>
      </c>
      <c r="O2719">
        <f>LN(dataset[[#This Row],[soda_sales]])</f>
        <v>12.014038171102301</v>
      </c>
      <c r="P2719">
        <f>LN(dataset[[#This Row],[soda_ppu]])</f>
        <v>-0.3174542307854511</v>
      </c>
      <c r="Q2719">
        <f>IF(dataset[[#This Row],[state]]="VA",1,0)</f>
        <v>0</v>
      </c>
    </row>
    <row r="2720" spans="1:17" x14ac:dyDescent="0.35">
      <c r="A2720">
        <v>202307</v>
      </c>
      <c r="B2720">
        <v>23</v>
      </c>
      <c r="C2720" s="2">
        <v>1997821.3407000001</v>
      </c>
      <c r="D2720" s="2">
        <v>0.77959999999999996</v>
      </c>
      <c r="E2720" s="3">
        <v>214579</v>
      </c>
      <c r="F2720" s="2">
        <v>167275.2647</v>
      </c>
      <c r="G2720" t="s">
        <v>2016</v>
      </c>
      <c r="H2720" t="s">
        <v>7</v>
      </c>
      <c r="I2720">
        <f>HLOOKUP(G2720,zip_tiers!$A$1:$EON$2,2,FALSE)</f>
        <v>50799.666666666664</v>
      </c>
      <c r="J2720" t="str">
        <f t="shared" si="42"/>
        <v>Med</v>
      </c>
      <c r="K2720">
        <f>dataset[[#This Row],[soda_sales]]/dataset[[#This Row],[soda_units_sold]]</f>
        <v>0.77955095652417061</v>
      </c>
      <c r="L2720" s="29">
        <f>dataset[[#This Row],[implied_soda_ppu]]-dataset[[#This Row],[soda_ppu]]</f>
        <v>-4.9043475829346761E-5</v>
      </c>
      <c r="M2720">
        <f>dataset[[#This Row],[soda_sales]]/dataset[[#This Row],[total_sales]]</f>
        <v>8.3728840658689629E-2</v>
      </c>
      <c r="N2720">
        <f>LN(dataset[[#This Row],[soda_units_sold]])</f>
        <v>12.27643324791331</v>
      </c>
      <c r="O2720">
        <f>LN(dataset[[#This Row],[soda_sales]])</f>
        <v>12.027396026073918</v>
      </c>
      <c r="P2720">
        <f>LN(dataset[[#This Row],[soda_ppu]])</f>
        <v>-0.24897431134873135</v>
      </c>
      <c r="Q2720">
        <f>IF(dataset[[#This Row],[state]]="VA",1,0)</f>
        <v>0</v>
      </c>
    </row>
    <row r="2721" spans="1:17" x14ac:dyDescent="0.35">
      <c r="A2721">
        <v>202308</v>
      </c>
      <c r="B2721">
        <v>23</v>
      </c>
      <c r="C2721" s="2">
        <v>1875989.3547</v>
      </c>
      <c r="D2721" s="2">
        <v>0.75619999999999998</v>
      </c>
      <c r="E2721" s="3">
        <v>199082</v>
      </c>
      <c r="F2721" s="2">
        <v>150546.21770000001</v>
      </c>
      <c r="G2721" t="s">
        <v>2016</v>
      </c>
      <c r="H2721" t="s">
        <v>7</v>
      </c>
      <c r="I2721">
        <f>HLOOKUP(G2721,zip_tiers!$A$1:$EON$2,2,FALSE)</f>
        <v>50799.666666666664</v>
      </c>
      <c r="J2721" t="str">
        <f t="shared" si="42"/>
        <v>Med</v>
      </c>
      <c r="K2721">
        <f>dataset[[#This Row],[soda_sales]]/dataset[[#This Row],[soda_units_sold]]</f>
        <v>0.75620205593674972</v>
      </c>
      <c r="L2721" s="29">
        <f>dataset[[#This Row],[implied_soda_ppu]]-dataset[[#This Row],[soda_ppu]]</f>
        <v>2.0559367497341441E-6</v>
      </c>
      <c r="M2721">
        <f>dataset[[#This Row],[soda_sales]]/dataset[[#This Row],[total_sales]]</f>
        <v>8.0248972267795565E-2</v>
      </c>
      <c r="N2721">
        <f>LN(dataset[[#This Row],[soda_units_sold]])</f>
        <v>12.201472079134605</v>
      </c>
      <c r="O2721">
        <f>LN(dataset[[#This Row],[soda_sales]])</f>
        <v>11.922025410379408</v>
      </c>
      <c r="P2721">
        <f>LN(dataset[[#This Row],[soda_ppu]])</f>
        <v>-0.27944938752530457</v>
      </c>
      <c r="Q2721">
        <f>IF(dataset[[#This Row],[state]]="VA",1,0)</f>
        <v>0</v>
      </c>
    </row>
    <row r="2722" spans="1:17" x14ac:dyDescent="0.35">
      <c r="A2722">
        <v>202309</v>
      </c>
      <c r="B2722">
        <v>23</v>
      </c>
      <c r="C2722" s="2">
        <v>1876262.6098</v>
      </c>
      <c r="D2722" s="2">
        <v>0.79790000000000005</v>
      </c>
      <c r="E2722" s="3">
        <v>168766</v>
      </c>
      <c r="F2722" s="2">
        <v>134656.38190000001</v>
      </c>
      <c r="G2722" t="s">
        <v>2016</v>
      </c>
      <c r="H2722" t="s">
        <v>7</v>
      </c>
      <c r="I2722">
        <f>HLOOKUP(G2722,zip_tiers!$A$1:$EON$2,2,FALSE)</f>
        <v>50799.666666666664</v>
      </c>
      <c r="J2722" t="str">
        <f t="shared" si="42"/>
        <v>Med</v>
      </c>
      <c r="K2722">
        <f>dataset[[#This Row],[soda_sales]]/dataset[[#This Row],[soda_units_sold]]</f>
        <v>0.79788809298081376</v>
      </c>
      <c r="L2722" s="29">
        <f>dataset[[#This Row],[implied_soda_ppu]]-dataset[[#This Row],[soda_ppu]]</f>
        <v>-1.1907019186296885E-5</v>
      </c>
      <c r="M2722">
        <f>dataset[[#This Row],[soda_sales]]/dataset[[#This Row],[total_sales]]</f>
        <v>7.1768408748684537E-2</v>
      </c>
      <c r="N2722">
        <f>LN(dataset[[#This Row],[soda_units_sold]])</f>
        <v>12.03626841905495</v>
      </c>
      <c r="O2722">
        <f>LN(dataset[[#This Row],[soda_sales]])</f>
        <v>11.810481493328982</v>
      </c>
      <c r="P2722">
        <f>LN(dataset[[#This Row],[soda_ppu]])</f>
        <v>-0.22577200266790173</v>
      </c>
      <c r="Q2722">
        <f>IF(dataset[[#This Row],[state]]="VA",1,0)</f>
        <v>0</v>
      </c>
    </row>
    <row r="2723" spans="1:17" x14ac:dyDescent="0.35">
      <c r="A2723">
        <v>202310</v>
      </c>
      <c r="B2723">
        <v>23</v>
      </c>
      <c r="C2723" s="2">
        <v>2311906.8259000001</v>
      </c>
      <c r="D2723" s="2">
        <v>0.80110000000000003</v>
      </c>
      <c r="E2723" s="3">
        <v>162202</v>
      </c>
      <c r="F2723" s="2">
        <v>129941.3539</v>
      </c>
      <c r="G2723" t="s">
        <v>2016</v>
      </c>
      <c r="H2723" t="s">
        <v>7</v>
      </c>
      <c r="I2723">
        <f>HLOOKUP(G2723,zip_tiers!$A$1:$EON$2,2,FALSE)</f>
        <v>50799.666666666664</v>
      </c>
      <c r="J2723" t="str">
        <f t="shared" si="42"/>
        <v>Med</v>
      </c>
      <c r="K2723">
        <f>dataset[[#This Row],[soda_sales]]/dataset[[#This Row],[soda_units_sold]]</f>
        <v>0.80110821013304401</v>
      </c>
      <c r="L2723" s="29">
        <f>dataset[[#This Row],[implied_soda_ppu]]-dataset[[#This Row],[soda_ppu]]</f>
        <v>8.2101330439732223E-6</v>
      </c>
      <c r="M2723">
        <f>dataset[[#This Row],[soda_sales]]/dataset[[#This Row],[total_sales]]</f>
        <v>5.6205272826864577E-2</v>
      </c>
      <c r="N2723">
        <f>LN(dataset[[#This Row],[soda_units_sold]])</f>
        <v>11.996597751043657</v>
      </c>
      <c r="O2723">
        <f>LN(dataset[[#This Row],[soda_sales]])</f>
        <v>11.77483850380459</v>
      </c>
      <c r="P2723">
        <f>LN(dataset[[#This Row],[soda_ppu]])</f>
        <v>-0.22176949576106589</v>
      </c>
      <c r="Q2723">
        <f>IF(dataset[[#This Row],[state]]="VA",1,0)</f>
        <v>0</v>
      </c>
    </row>
    <row r="2724" spans="1:17" x14ac:dyDescent="0.35">
      <c r="A2724">
        <v>202311</v>
      </c>
      <c r="B2724">
        <v>23</v>
      </c>
      <c r="C2724" s="2">
        <v>2663982.5937999999</v>
      </c>
      <c r="D2724" s="2">
        <v>0.77580000000000005</v>
      </c>
      <c r="E2724" s="3">
        <v>170840</v>
      </c>
      <c r="F2724" s="2">
        <v>132530.6801</v>
      </c>
      <c r="G2724" t="s">
        <v>2016</v>
      </c>
      <c r="H2724" t="s">
        <v>7</v>
      </c>
      <c r="I2724">
        <f>HLOOKUP(G2724,zip_tiers!$A$1:$EON$2,2,FALSE)</f>
        <v>50799.666666666664</v>
      </c>
      <c r="J2724" t="str">
        <f t="shared" si="42"/>
        <v>Med</v>
      </c>
      <c r="K2724">
        <f>dataset[[#This Row],[soda_sales]]/dataset[[#This Row],[soda_units_sold]]</f>
        <v>0.77575907340201355</v>
      </c>
      <c r="L2724" s="29">
        <f>dataset[[#This Row],[implied_soda_ppu]]-dataset[[#This Row],[soda_ppu]]</f>
        <v>-4.0926597986490343E-5</v>
      </c>
      <c r="M2724">
        <f>dataset[[#This Row],[soda_sales]]/dataset[[#This Row],[total_sales]]</f>
        <v>4.974907884475082E-2</v>
      </c>
      <c r="N2724">
        <f>LN(dataset[[#This Row],[soda_units_sold]])</f>
        <v>12.048482724955402</v>
      </c>
      <c r="O2724">
        <f>LN(dataset[[#This Row],[soda_sales]])</f>
        <v>11.794569445529859</v>
      </c>
      <c r="P2724">
        <f>LN(dataset[[#This Row],[soda_ppu]])</f>
        <v>-0.25386052397627018</v>
      </c>
      <c r="Q2724">
        <f>IF(dataset[[#This Row],[state]]="VA",1,0)</f>
        <v>0</v>
      </c>
    </row>
    <row r="2725" spans="1:17" x14ac:dyDescent="0.35">
      <c r="A2725">
        <v>202312</v>
      </c>
      <c r="B2725">
        <v>23</v>
      </c>
      <c r="C2725" s="2">
        <v>2714552.4015000002</v>
      </c>
      <c r="D2725" s="2">
        <v>0.76529999999999998</v>
      </c>
      <c r="E2725" s="3">
        <v>164433</v>
      </c>
      <c r="F2725" s="2">
        <v>125834.276</v>
      </c>
      <c r="G2725" t="s">
        <v>2016</v>
      </c>
      <c r="H2725" t="s">
        <v>7</v>
      </c>
      <c r="I2725">
        <f>HLOOKUP(G2725,zip_tiers!$A$1:$EON$2,2,FALSE)</f>
        <v>50799.666666666664</v>
      </c>
      <c r="J2725" t="str">
        <f t="shared" si="42"/>
        <v>Med</v>
      </c>
      <c r="K2725">
        <f>dataset[[#This Row],[soda_sales]]/dataset[[#This Row],[soda_units_sold]]</f>
        <v>0.76526169321243298</v>
      </c>
      <c r="L2725" s="29">
        <f>dataset[[#This Row],[implied_soda_ppu]]-dataset[[#This Row],[soda_ppu]]</f>
        <v>-3.8306787566999567E-5</v>
      </c>
      <c r="M2725">
        <f>dataset[[#This Row],[soda_sales]]/dataset[[#This Row],[total_sales]]</f>
        <v>4.6355441851285255E-2</v>
      </c>
      <c r="N2725">
        <f>LN(dataset[[#This Row],[soda_units_sold]])</f>
        <v>12.010258471387667</v>
      </c>
      <c r="O2725">
        <f>LN(dataset[[#This Row],[soda_sales]])</f>
        <v>11.742721050365775</v>
      </c>
      <c r="P2725">
        <f>LN(dataset[[#This Row],[soda_ppu]])</f>
        <v>-0.26748736516626165</v>
      </c>
      <c r="Q2725">
        <f>IF(dataset[[#This Row],[state]]="VA",1,0)</f>
        <v>0</v>
      </c>
    </row>
    <row r="2726" spans="1:17" x14ac:dyDescent="0.35">
      <c r="A2726">
        <v>202401</v>
      </c>
      <c r="B2726">
        <v>23</v>
      </c>
      <c r="C2726" s="2">
        <v>1598225.9395000001</v>
      </c>
      <c r="D2726" s="2">
        <v>0.78510000000000002</v>
      </c>
      <c r="E2726" s="3">
        <v>117156</v>
      </c>
      <c r="F2726" s="2">
        <v>91973.996899999998</v>
      </c>
      <c r="G2726" t="s">
        <v>2016</v>
      </c>
      <c r="H2726" t="s">
        <v>7</v>
      </c>
      <c r="I2726">
        <f>HLOOKUP(G2726,zip_tiers!$A$1:$EON$2,2,FALSE)</f>
        <v>50799.666666666664</v>
      </c>
      <c r="J2726" t="str">
        <f t="shared" si="42"/>
        <v>Med</v>
      </c>
      <c r="K2726">
        <f>dataset[[#This Row],[soda_sales]]/dataset[[#This Row],[soda_units_sold]]</f>
        <v>0.78505579654477786</v>
      </c>
      <c r="L2726" s="29">
        <f>dataset[[#This Row],[implied_soda_ppu]]-dataset[[#This Row],[soda_ppu]]</f>
        <v>-4.4203455222158183E-5</v>
      </c>
      <c r="M2726">
        <f>dataset[[#This Row],[soda_sales]]/dataset[[#This Row],[total_sales]]</f>
        <v>5.7547556091333225E-2</v>
      </c>
      <c r="N2726">
        <f>LN(dataset[[#This Row],[soda_units_sold]])</f>
        <v>11.671261659013672</v>
      </c>
      <c r="O2726">
        <f>LN(dataset[[#This Row],[soda_sales]])</f>
        <v>11.429261173688984</v>
      </c>
      <c r="P2726">
        <f>LN(dataset[[#This Row],[soda_ppu]])</f>
        <v>-0.24194418077792715</v>
      </c>
      <c r="Q2726">
        <f>IF(dataset[[#This Row],[state]]="VA",1,0)</f>
        <v>0</v>
      </c>
    </row>
    <row r="2727" spans="1:17" x14ac:dyDescent="0.35">
      <c r="A2727">
        <v>202402</v>
      </c>
      <c r="B2727">
        <v>23</v>
      </c>
      <c r="C2727" s="2">
        <v>1782167.9950999999</v>
      </c>
      <c r="D2727" s="2">
        <v>0.80010000000000003</v>
      </c>
      <c r="E2727" s="3">
        <v>126701</v>
      </c>
      <c r="F2727" s="2">
        <v>101373.24860000001</v>
      </c>
      <c r="G2727" t="s">
        <v>2016</v>
      </c>
      <c r="H2727" t="s">
        <v>7</v>
      </c>
      <c r="I2727">
        <f>HLOOKUP(G2727,zip_tiers!$A$1:$EON$2,2,FALSE)</f>
        <v>50799.666666666664</v>
      </c>
      <c r="J2727" t="str">
        <f t="shared" si="42"/>
        <v>Med</v>
      </c>
      <c r="K2727">
        <f>dataset[[#This Row],[soda_sales]]/dataset[[#This Row],[soda_units_sold]]</f>
        <v>0.80009825178964655</v>
      </c>
      <c r="L2727" s="29">
        <f>dataset[[#This Row],[implied_soda_ppu]]-dataset[[#This Row],[soda_ppu]]</f>
        <v>-1.7482103534804949E-6</v>
      </c>
      <c r="M2727">
        <f>dataset[[#This Row],[soda_sales]]/dataset[[#This Row],[total_sales]]</f>
        <v>5.6881982438648726E-2</v>
      </c>
      <c r="N2727">
        <f>LN(dataset[[#This Row],[soda_units_sold]])</f>
        <v>11.749585258937909</v>
      </c>
      <c r="O2727">
        <f>LN(dataset[[#This Row],[soda_sales]])</f>
        <v>11.526564514819645</v>
      </c>
      <c r="P2727">
        <f>LN(dataset[[#This Row],[soda_ppu]])</f>
        <v>-0.22301855912605872</v>
      </c>
      <c r="Q2727">
        <f>IF(dataset[[#This Row],[state]]="VA",1,0)</f>
        <v>0</v>
      </c>
    </row>
    <row r="2728" spans="1:17" x14ac:dyDescent="0.35">
      <c r="A2728">
        <v>202403</v>
      </c>
      <c r="B2728">
        <v>23</v>
      </c>
      <c r="C2728" s="2">
        <v>2004205.7490999999</v>
      </c>
      <c r="D2728" s="2">
        <v>0.80079999999999996</v>
      </c>
      <c r="E2728" s="3">
        <v>153051</v>
      </c>
      <c r="F2728" s="2">
        <v>122569.8541</v>
      </c>
      <c r="G2728" t="s">
        <v>2016</v>
      </c>
      <c r="H2728" t="s">
        <v>7</v>
      </c>
      <c r="I2728">
        <f>HLOOKUP(G2728,zip_tiers!$A$1:$EON$2,2,FALSE)</f>
        <v>50799.666666666664</v>
      </c>
      <c r="J2728" t="str">
        <f t="shared" si="42"/>
        <v>Med</v>
      </c>
      <c r="K2728">
        <f>dataset[[#This Row],[soda_sales]]/dataset[[#This Row],[soda_units_sold]]</f>
        <v>0.80084320977974655</v>
      </c>
      <c r="L2728" s="29">
        <f>dataset[[#This Row],[implied_soda_ppu]]-dataset[[#This Row],[soda_ppu]]</f>
        <v>4.3209779746589128E-5</v>
      </c>
      <c r="M2728">
        <f>dataset[[#This Row],[soda_sales]]/dataset[[#This Row],[total_sales]]</f>
        <v>6.1156322974844621E-2</v>
      </c>
      <c r="N2728">
        <f>LN(dataset[[#This Row],[soda_units_sold]])</f>
        <v>11.938526478164693</v>
      </c>
      <c r="O2728">
        <f>LN(dataset[[#This Row],[soda_sales]])</f>
        <v>11.716436383994289</v>
      </c>
      <c r="P2728">
        <f>LN(dataset[[#This Row],[soda_ppu]])</f>
        <v>-0.22214405098112627</v>
      </c>
      <c r="Q2728">
        <f>IF(dataset[[#This Row],[state]]="VA",1,0)</f>
        <v>0</v>
      </c>
    </row>
    <row r="2729" spans="1:17" x14ac:dyDescent="0.35">
      <c r="A2729">
        <v>202404</v>
      </c>
      <c r="B2729">
        <v>23</v>
      </c>
      <c r="C2729" s="2">
        <v>2131950.1055000001</v>
      </c>
      <c r="D2729" s="2">
        <v>0.77890000000000004</v>
      </c>
      <c r="E2729" s="3">
        <v>189077</v>
      </c>
      <c r="F2729" s="2">
        <v>147273.29699999999</v>
      </c>
      <c r="G2729" t="s">
        <v>2016</v>
      </c>
      <c r="H2729" t="s">
        <v>7</v>
      </c>
      <c r="I2729">
        <f>HLOOKUP(G2729,zip_tiers!$A$1:$EON$2,2,FALSE)</f>
        <v>50799.666666666664</v>
      </c>
      <c r="J2729" t="str">
        <f t="shared" si="42"/>
        <v>Med</v>
      </c>
      <c r="K2729">
        <f>dataset[[#This Row],[soda_sales]]/dataset[[#This Row],[soda_units_sold]]</f>
        <v>0.77890646138874631</v>
      </c>
      <c r="L2729" s="29">
        <f>dataset[[#This Row],[implied_soda_ppu]]-dataset[[#This Row],[soda_ppu]]</f>
        <v>6.4613887462705577E-6</v>
      </c>
      <c r="M2729">
        <f>dataset[[#This Row],[soda_sales]]/dataset[[#This Row],[total_sales]]</f>
        <v>6.9079148062642121E-2</v>
      </c>
      <c r="N2729">
        <f>LN(dataset[[#This Row],[soda_units_sold]])</f>
        <v>12.149909618481322</v>
      </c>
      <c r="O2729">
        <f>LN(dataset[[#This Row],[soda_sales]])</f>
        <v>11.900045302921232</v>
      </c>
      <c r="P2729">
        <f>LN(dataset[[#This Row],[soda_ppu]])</f>
        <v>-0.24987261105623415</v>
      </c>
      <c r="Q2729">
        <f>IF(dataset[[#This Row],[state]]="VA",1,0)</f>
        <v>0</v>
      </c>
    </row>
    <row r="2730" spans="1:17" x14ac:dyDescent="0.35">
      <c r="A2730">
        <v>202405</v>
      </c>
      <c r="B2730">
        <v>23</v>
      </c>
      <c r="C2730" s="2">
        <v>2246587.0502999998</v>
      </c>
      <c r="D2730" s="2">
        <v>0.79979999999999996</v>
      </c>
      <c r="E2730" s="3">
        <v>198013</v>
      </c>
      <c r="F2730" s="2">
        <v>158376.27359999999</v>
      </c>
      <c r="G2730" t="s">
        <v>2016</v>
      </c>
      <c r="H2730" t="s">
        <v>7</v>
      </c>
      <c r="I2730">
        <f>HLOOKUP(G2730,zip_tiers!$A$1:$EON$2,2,FALSE)</f>
        <v>50799.666666666664</v>
      </c>
      <c r="J2730" t="str">
        <f t="shared" si="42"/>
        <v>Med</v>
      </c>
      <c r="K2730">
        <f>dataset[[#This Row],[soda_sales]]/dataset[[#This Row],[soda_units_sold]]</f>
        <v>0.79982765575997528</v>
      </c>
      <c r="L2730" s="29">
        <f>dataset[[#This Row],[implied_soda_ppu]]-dataset[[#This Row],[soda_ppu]]</f>
        <v>2.7655759975320215E-5</v>
      </c>
      <c r="M2730">
        <f>dataset[[#This Row],[soda_sales]]/dataset[[#This Row],[total_sales]]</f>
        <v>7.0496388545839381E-2</v>
      </c>
      <c r="N2730">
        <f>LN(dataset[[#This Row],[soda_units_sold]])</f>
        <v>12.196087964087031</v>
      </c>
      <c r="O2730">
        <f>LN(dataset[[#This Row],[soda_sales]])</f>
        <v>11.97272895926435</v>
      </c>
      <c r="P2730">
        <f>LN(dataset[[#This Row],[soda_ppu]])</f>
        <v>-0.22339358256941913</v>
      </c>
      <c r="Q2730">
        <f>IF(dataset[[#This Row],[state]]="VA",1,0)</f>
        <v>0</v>
      </c>
    </row>
    <row r="2731" spans="1:17" x14ac:dyDescent="0.35">
      <c r="A2731">
        <v>202406</v>
      </c>
      <c r="B2731">
        <v>23</v>
      </c>
      <c r="C2731" s="2">
        <v>2146048.7012</v>
      </c>
      <c r="D2731" s="2">
        <v>0.77070000000000005</v>
      </c>
      <c r="E2731" s="3">
        <v>223503</v>
      </c>
      <c r="F2731" s="2">
        <v>172253.81340000001</v>
      </c>
      <c r="G2731" t="s">
        <v>2016</v>
      </c>
      <c r="H2731" t="s">
        <v>7</v>
      </c>
      <c r="I2731">
        <f>HLOOKUP(G2731,zip_tiers!$A$1:$EON$2,2,FALSE)</f>
        <v>50799.666666666664</v>
      </c>
      <c r="J2731" t="str">
        <f t="shared" si="42"/>
        <v>Med</v>
      </c>
      <c r="K2731">
        <f>dataset[[#This Row],[soda_sales]]/dataset[[#This Row],[soda_units_sold]]</f>
        <v>0.77070022952712047</v>
      </c>
      <c r="L2731" s="29">
        <f>dataset[[#This Row],[implied_soda_ppu]]-dataset[[#This Row],[soda_ppu]]</f>
        <v>2.2952712042112466E-7</v>
      </c>
      <c r="M2731">
        <f>dataset[[#This Row],[soda_sales]]/dataset[[#This Row],[total_sales]]</f>
        <v>8.0265565876338846E-2</v>
      </c>
      <c r="N2731">
        <f>LN(dataset[[#This Row],[soda_units_sold]])</f>
        <v>12.317180115764467</v>
      </c>
      <c r="O2731">
        <f>LN(dataset[[#This Row],[soda_sales]])</f>
        <v>12.056724327382661</v>
      </c>
      <c r="P2731">
        <f>LN(dataset[[#This Row],[soda_ppu]])</f>
        <v>-0.26045608619818938</v>
      </c>
      <c r="Q2731">
        <f>IF(dataset[[#This Row],[state]]="VA",1,0)</f>
        <v>0</v>
      </c>
    </row>
    <row r="2732" spans="1:17" x14ac:dyDescent="0.35">
      <c r="A2732">
        <v>202407</v>
      </c>
      <c r="B2732">
        <v>23</v>
      </c>
      <c r="C2732" s="2">
        <v>1981195.8666000001</v>
      </c>
      <c r="D2732" s="2">
        <v>0.79210000000000003</v>
      </c>
      <c r="E2732" s="3">
        <v>211104</v>
      </c>
      <c r="F2732" s="2">
        <v>167212.7513</v>
      </c>
      <c r="G2732" t="s">
        <v>2016</v>
      </c>
      <c r="H2732" t="s">
        <v>7</v>
      </c>
      <c r="I2732">
        <f>HLOOKUP(G2732,zip_tiers!$A$1:$EON$2,2,FALSE)</f>
        <v>50799.666666666664</v>
      </c>
      <c r="J2732" t="str">
        <f t="shared" si="42"/>
        <v>Med</v>
      </c>
      <c r="K2732">
        <f>dataset[[#This Row],[soda_sales]]/dataset[[#This Row],[soda_units_sold]]</f>
        <v>0.79208708172275277</v>
      </c>
      <c r="L2732" s="29">
        <f>dataset[[#This Row],[implied_soda_ppu]]-dataset[[#This Row],[soda_ppu]]</f>
        <v>-1.2918277247253585E-5</v>
      </c>
      <c r="M2732">
        <f>dataset[[#This Row],[soda_sales]]/dataset[[#This Row],[total_sales]]</f>
        <v>8.439990922601695E-2</v>
      </c>
      <c r="N2732">
        <f>LN(dataset[[#This Row],[soda_units_sold]])</f>
        <v>12.260106182022598</v>
      </c>
      <c r="O2732">
        <f>LN(dataset[[#This Row],[soda_sales]])</f>
        <v>12.027022240480786</v>
      </c>
      <c r="P2732">
        <f>LN(dataset[[#This Row],[soda_ppu]])</f>
        <v>-0.23306763251190302</v>
      </c>
      <c r="Q2732">
        <f>IF(dataset[[#This Row],[state]]="VA",1,0)</f>
        <v>0</v>
      </c>
    </row>
    <row r="2733" spans="1:17" x14ac:dyDescent="0.35">
      <c r="A2733">
        <v>202408</v>
      </c>
      <c r="B2733">
        <v>23</v>
      </c>
      <c r="C2733" s="2">
        <v>1931368.956</v>
      </c>
      <c r="D2733" s="2">
        <v>0.80310000000000004</v>
      </c>
      <c r="E2733" s="3">
        <v>186966</v>
      </c>
      <c r="F2733" s="2">
        <v>150158.14379999999</v>
      </c>
      <c r="G2733" t="s">
        <v>2016</v>
      </c>
      <c r="H2733" t="s">
        <v>7</v>
      </c>
      <c r="I2733">
        <f>HLOOKUP(G2733,zip_tiers!$A$1:$EON$2,2,FALSE)</f>
        <v>50799.666666666664</v>
      </c>
      <c r="J2733" t="str">
        <f t="shared" si="42"/>
        <v>Med</v>
      </c>
      <c r="K2733">
        <f>dataset[[#This Row],[soda_sales]]/dataset[[#This Row],[soda_units_sold]]</f>
        <v>0.80313074997593137</v>
      </c>
      <c r="L2733" s="29">
        <f>dataset[[#This Row],[implied_soda_ppu]]-dataset[[#This Row],[soda_ppu]]</f>
        <v>3.074997593133233E-5</v>
      </c>
      <c r="M2733">
        <f>dataset[[#This Row],[soda_sales]]/dataset[[#This Row],[total_sales]]</f>
        <v>7.7747000816968698E-2</v>
      </c>
      <c r="N2733">
        <f>LN(dataset[[#This Row],[soda_units_sold]])</f>
        <v>12.138682061123976</v>
      </c>
      <c r="O2733">
        <f>LN(dataset[[#This Row],[soda_sales]])</f>
        <v>11.9194443097029</v>
      </c>
      <c r="P2733">
        <f>LN(dataset[[#This Row],[soda_ppu]])</f>
        <v>-0.21927603978772048</v>
      </c>
      <c r="Q2733">
        <f>IF(dataset[[#This Row],[state]]="VA",1,0)</f>
        <v>0</v>
      </c>
    </row>
    <row r="2734" spans="1:17" x14ac:dyDescent="0.35">
      <c r="A2734">
        <v>202409</v>
      </c>
      <c r="B2734">
        <v>23</v>
      </c>
      <c r="C2734" s="2">
        <v>1962173.3768</v>
      </c>
      <c r="D2734" s="2">
        <v>0.80649999999999999</v>
      </c>
      <c r="E2734" s="3">
        <v>176626</v>
      </c>
      <c r="F2734" s="2">
        <v>142451.86610000001</v>
      </c>
      <c r="G2734" t="s">
        <v>2016</v>
      </c>
      <c r="H2734" t="s">
        <v>7</v>
      </c>
      <c r="I2734">
        <f>HLOOKUP(G2734,zip_tiers!$A$1:$EON$2,2,FALSE)</f>
        <v>50799.666666666664</v>
      </c>
      <c r="J2734" t="str">
        <f t="shared" si="42"/>
        <v>Med</v>
      </c>
      <c r="K2734">
        <f>dataset[[#This Row],[soda_sales]]/dataset[[#This Row],[soda_units_sold]]</f>
        <v>0.80651696862296607</v>
      </c>
      <c r="L2734" s="29">
        <f>dataset[[#This Row],[implied_soda_ppu]]-dataset[[#This Row],[soda_ppu]]</f>
        <v>1.696862296607371E-5</v>
      </c>
      <c r="M2734">
        <f>dataset[[#This Row],[soda_sales]]/dataset[[#This Row],[total_sales]]</f>
        <v>7.2599020955180268E-2</v>
      </c>
      <c r="N2734">
        <f>LN(dataset[[#This Row],[soda_units_sold]])</f>
        <v>12.081789781683469</v>
      </c>
      <c r="O2734">
        <f>LN(dataset[[#This Row],[soda_sales]])</f>
        <v>11.86675943987535</v>
      </c>
      <c r="P2734">
        <f>LN(dataset[[#This Row],[soda_ppu]])</f>
        <v>-0.21505138141687349</v>
      </c>
      <c r="Q2734">
        <f>IF(dataset[[#This Row],[state]]="VA",1,0)</f>
        <v>0</v>
      </c>
    </row>
    <row r="2735" spans="1:17" x14ac:dyDescent="0.35">
      <c r="A2735">
        <v>202410</v>
      </c>
      <c r="B2735">
        <v>23</v>
      </c>
      <c r="C2735" s="2">
        <v>2375646.6011000001</v>
      </c>
      <c r="D2735" s="2">
        <v>0.79400000000000004</v>
      </c>
      <c r="E2735" s="3">
        <v>181395</v>
      </c>
      <c r="F2735" s="2">
        <v>144029.7959</v>
      </c>
      <c r="G2735" t="s">
        <v>2016</v>
      </c>
      <c r="H2735" t="s">
        <v>7</v>
      </c>
      <c r="I2735">
        <f>HLOOKUP(G2735,zip_tiers!$A$1:$EON$2,2,FALSE)</f>
        <v>50799.666666666664</v>
      </c>
      <c r="J2735" t="str">
        <f t="shared" si="42"/>
        <v>Med</v>
      </c>
      <c r="K2735">
        <f>dataset[[#This Row],[soda_sales]]/dataset[[#This Row],[soda_units_sold]]</f>
        <v>0.79401194024091071</v>
      </c>
      <c r="L2735" s="29">
        <f>dataset[[#This Row],[implied_soda_ppu]]-dataset[[#This Row],[soda_ppu]]</f>
        <v>1.1940240910668365E-5</v>
      </c>
      <c r="M2735">
        <f>dataset[[#This Row],[soda_sales]]/dataset[[#This Row],[total_sales]]</f>
        <v>6.0627618532701627E-2</v>
      </c>
      <c r="N2735">
        <f>LN(dataset[[#This Row],[soda_units_sold]])</f>
        <v>12.108432252887486</v>
      </c>
      <c r="O2735">
        <f>LN(dataset[[#This Row],[soda_sales]])</f>
        <v>11.877775473126203</v>
      </c>
      <c r="P2735">
        <f>LN(dataset[[#This Row],[soda_ppu]])</f>
        <v>-0.23067181773500128</v>
      </c>
      <c r="Q2735">
        <f>IF(dataset[[#This Row],[state]]="VA",1,0)</f>
        <v>0</v>
      </c>
    </row>
    <row r="2736" spans="1:17" x14ac:dyDescent="0.35">
      <c r="A2736">
        <v>202411</v>
      </c>
      <c r="B2736">
        <v>23</v>
      </c>
      <c r="C2736" s="2">
        <v>2663551.6526000001</v>
      </c>
      <c r="D2736" s="2">
        <v>0.80900000000000005</v>
      </c>
      <c r="E2736" s="3">
        <v>158585</v>
      </c>
      <c r="F2736" s="2">
        <v>128288.8578</v>
      </c>
      <c r="G2736" t="s">
        <v>2016</v>
      </c>
      <c r="H2736" t="s">
        <v>7</v>
      </c>
      <c r="I2736">
        <f>HLOOKUP(G2736,zip_tiers!$A$1:$EON$2,2,FALSE)</f>
        <v>50799.666666666664</v>
      </c>
      <c r="J2736" t="str">
        <f t="shared" si="42"/>
        <v>Med</v>
      </c>
      <c r="K2736">
        <f>dataset[[#This Row],[soda_sales]]/dataset[[#This Row],[soda_units_sold]]</f>
        <v>0.80895959769208936</v>
      </c>
      <c r="L2736" s="29">
        <f>dataset[[#This Row],[implied_soda_ppu]]-dataset[[#This Row],[soda_ppu]]</f>
        <v>-4.0402307910691881E-5</v>
      </c>
      <c r="M2736">
        <f>dataset[[#This Row],[soda_sales]]/dataset[[#This Row],[total_sales]]</f>
        <v>4.8164584183968073E-2</v>
      </c>
      <c r="N2736">
        <f>LN(dataset[[#This Row],[soda_units_sold]])</f>
        <v>11.974046006156552</v>
      </c>
      <c r="O2736">
        <f>LN(dataset[[#This Row],[soda_sales]])</f>
        <v>11.762039701937713</v>
      </c>
      <c r="P2736">
        <f>LN(dataset[[#This Row],[soda_ppu]])</f>
        <v>-0.21195636192364531</v>
      </c>
      <c r="Q2736">
        <f>IF(dataset[[#This Row],[state]]="VA",1,0)</f>
        <v>0</v>
      </c>
    </row>
    <row r="2737" spans="1:17" x14ac:dyDescent="0.35">
      <c r="A2737">
        <v>202412</v>
      </c>
      <c r="B2737">
        <v>23</v>
      </c>
      <c r="C2737" s="2">
        <v>2815616.56</v>
      </c>
      <c r="D2737" s="2">
        <v>0.82379999999999998</v>
      </c>
      <c r="E2737" s="3">
        <v>152554</v>
      </c>
      <c r="F2737" s="2">
        <v>125669.916</v>
      </c>
      <c r="G2737" t="s">
        <v>2016</v>
      </c>
      <c r="H2737" t="s">
        <v>7</v>
      </c>
      <c r="I2737">
        <f>HLOOKUP(G2737,zip_tiers!$A$1:$EON$2,2,FALSE)</f>
        <v>50799.666666666664</v>
      </c>
      <c r="J2737" t="str">
        <f t="shared" si="42"/>
        <v>Med</v>
      </c>
      <c r="K2737">
        <f>dataset[[#This Row],[soda_sales]]/dataset[[#This Row],[soda_units_sold]]</f>
        <v>0.82377332616647214</v>
      </c>
      <c r="L2737" s="29">
        <f>dataset[[#This Row],[implied_soda_ppu]]-dataset[[#This Row],[soda_ppu]]</f>
        <v>-2.6673833527834923E-5</v>
      </c>
      <c r="M2737">
        <f>dataset[[#This Row],[soda_sales]]/dataset[[#This Row],[total_sales]]</f>
        <v>4.4633178318854605E-2</v>
      </c>
      <c r="N2737">
        <f>LN(dataset[[#This Row],[soda_units_sold]])</f>
        <v>11.93527391071223</v>
      </c>
      <c r="O2737">
        <f>LN(dataset[[#This Row],[soda_sales]])</f>
        <v>11.741414034191683</v>
      </c>
      <c r="P2737">
        <f>LN(dataset[[#This Row],[soda_ppu]])</f>
        <v>-0.19382749698015672</v>
      </c>
      <c r="Q2737">
        <f>IF(dataset[[#This Row],[state]]="VA",1,0)</f>
        <v>0</v>
      </c>
    </row>
    <row r="2738" spans="1:17" x14ac:dyDescent="0.35">
      <c r="A2738">
        <v>202201</v>
      </c>
      <c r="B2738">
        <v>15</v>
      </c>
      <c r="C2738" s="2">
        <v>1714478.1889</v>
      </c>
      <c r="D2738" s="2">
        <v>0.7</v>
      </c>
      <c r="E2738" s="3">
        <v>155074</v>
      </c>
      <c r="F2738" s="2">
        <v>108551.4737</v>
      </c>
      <c r="G2738" t="s">
        <v>2036</v>
      </c>
      <c r="H2738" t="s">
        <v>7</v>
      </c>
      <c r="I2738">
        <f>HLOOKUP(G2738,zip_tiers!$A$1:$EON$2,2,FALSE)</f>
        <v>60623.333333333336</v>
      </c>
      <c r="J2738" t="str">
        <f t="shared" si="42"/>
        <v>Med</v>
      </c>
      <c r="K2738">
        <f>dataset[[#This Row],[soda_sales]]/dataset[[#This Row],[soda_units_sold]]</f>
        <v>0.69999789584327488</v>
      </c>
      <c r="L2738" s="29">
        <f>dataset[[#This Row],[implied_soda_ppu]]-dataset[[#This Row],[soda_ppu]]</f>
        <v>-2.1041567250801307E-6</v>
      </c>
      <c r="M2738">
        <f>dataset[[#This Row],[soda_sales]]/dataset[[#This Row],[total_sales]]</f>
        <v>6.3314584229062748E-2</v>
      </c>
      <c r="N2738">
        <f>LN(dataset[[#This Row],[soda_units_sold]])</f>
        <v>11.951657701327862</v>
      </c>
      <c r="O2738">
        <f>LN(dataset[[#This Row],[soda_sales]])</f>
        <v>11.594979751446433</v>
      </c>
      <c r="P2738">
        <f>LN(dataset[[#This Row],[soda_ppu]])</f>
        <v>-0.35667494393873245</v>
      </c>
      <c r="Q2738">
        <f>IF(dataset[[#This Row],[state]]="VA",1,0)</f>
        <v>0</v>
      </c>
    </row>
    <row r="2739" spans="1:17" x14ac:dyDescent="0.35">
      <c r="A2739">
        <v>202202</v>
      </c>
      <c r="B2739">
        <v>15</v>
      </c>
      <c r="C2739" s="2">
        <v>1938706.6728000001</v>
      </c>
      <c r="D2739" s="2">
        <v>0.70609999999999995</v>
      </c>
      <c r="E2739" s="3">
        <v>177200</v>
      </c>
      <c r="F2739" s="2">
        <v>125116.91710000001</v>
      </c>
      <c r="G2739" t="s">
        <v>2036</v>
      </c>
      <c r="H2739" t="s">
        <v>7</v>
      </c>
      <c r="I2739">
        <f>HLOOKUP(G2739,zip_tiers!$A$1:$EON$2,2,FALSE)</f>
        <v>60623.333333333336</v>
      </c>
      <c r="J2739" t="str">
        <f t="shared" si="42"/>
        <v>Med</v>
      </c>
      <c r="K2739">
        <f>dataset[[#This Row],[soda_sales]]/dataset[[#This Row],[soda_units_sold]]</f>
        <v>0.70607741027088045</v>
      </c>
      <c r="L2739" s="29">
        <f>dataset[[#This Row],[implied_soda_ppu]]-dataset[[#This Row],[soda_ppu]]</f>
        <v>-2.2589729119504298E-5</v>
      </c>
      <c r="M2739">
        <f>dataset[[#This Row],[soda_sales]]/dataset[[#This Row],[total_sales]]</f>
        <v>6.4536280219894437E-2</v>
      </c>
      <c r="N2739">
        <f>LN(dataset[[#This Row],[soda_units_sold]])</f>
        <v>12.085034317153118</v>
      </c>
      <c r="O2739">
        <f>LN(dataset[[#This Row],[soda_sales]])</f>
        <v>11.737003915929543</v>
      </c>
      <c r="P2739">
        <f>LN(dataset[[#This Row],[soda_ppu]])</f>
        <v>-0.34799840845983598</v>
      </c>
      <c r="Q2739">
        <f>IF(dataset[[#This Row],[state]]="VA",1,0)</f>
        <v>0</v>
      </c>
    </row>
    <row r="2740" spans="1:17" x14ac:dyDescent="0.35">
      <c r="A2740">
        <v>202203</v>
      </c>
      <c r="B2740">
        <v>15</v>
      </c>
      <c r="C2740" s="2">
        <v>2186011.3303999999</v>
      </c>
      <c r="D2740" s="2">
        <v>0.70340000000000003</v>
      </c>
      <c r="E2740" s="3">
        <v>209296</v>
      </c>
      <c r="F2740" s="2">
        <v>147224.1586</v>
      </c>
      <c r="G2740" t="s">
        <v>2036</v>
      </c>
      <c r="H2740" t="s">
        <v>7</v>
      </c>
      <c r="I2740">
        <f>HLOOKUP(G2740,zip_tiers!$A$1:$EON$2,2,FALSE)</f>
        <v>60623.333333333336</v>
      </c>
      <c r="J2740" t="str">
        <f t="shared" si="42"/>
        <v>Med</v>
      </c>
      <c r="K2740">
        <f>dataset[[#This Row],[soda_sales]]/dataset[[#This Row],[soda_units_sold]]</f>
        <v>0.70342557239507686</v>
      </c>
      <c r="L2740" s="29">
        <f>dataset[[#This Row],[implied_soda_ppu]]-dataset[[#This Row],[soda_ppu]]</f>
        <v>2.5572395076833843E-5</v>
      </c>
      <c r="M2740">
        <f>dataset[[#This Row],[soda_sales]]/dataset[[#This Row],[total_sales]]</f>
        <v>6.7348305359908947E-2</v>
      </c>
      <c r="N2740">
        <f>LN(dataset[[#This Row],[soda_units_sold]])</f>
        <v>12.251504796928009</v>
      </c>
      <c r="O2740">
        <f>LN(dataset[[#This Row],[soda_sales]])</f>
        <v>11.899711592734461</v>
      </c>
      <c r="P2740">
        <f>LN(dataset[[#This Row],[soda_ppu]])</f>
        <v>-0.35182955894225493</v>
      </c>
      <c r="Q2740">
        <f>IF(dataset[[#This Row],[state]]="VA",1,0)</f>
        <v>0</v>
      </c>
    </row>
    <row r="2741" spans="1:17" x14ac:dyDescent="0.35">
      <c r="A2741">
        <v>202204</v>
      </c>
      <c r="B2741">
        <v>15</v>
      </c>
      <c r="C2741" s="2">
        <v>2273348.8361</v>
      </c>
      <c r="D2741" s="2">
        <v>0.7107</v>
      </c>
      <c r="E2741" s="3">
        <v>236418</v>
      </c>
      <c r="F2741" s="2">
        <v>168015.12539999999</v>
      </c>
      <c r="G2741" t="s">
        <v>2036</v>
      </c>
      <c r="H2741" t="s">
        <v>7</v>
      </c>
      <c r="I2741">
        <f>HLOOKUP(G2741,zip_tiers!$A$1:$EON$2,2,FALSE)</f>
        <v>60623.333333333336</v>
      </c>
      <c r="J2741" t="str">
        <f t="shared" si="42"/>
        <v>Med</v>
      </c>
      <c r="K2741">
        <f>dataset[[#This Row],[soda_sales]]/dataset[[#This Row],[soda_units_sold]]</f>
        <v>0.71066976879932997</v>
      </c>
      <c r="L2741" s="29">
        <f>dataset[[#This Row],[implied_soda_ppu]]-dataset[[#This Row],[soda_ppu]]</f>
        <v>-3.0231200670027825E-5</v>
      </c>
      <c r="M2741">
        <f>dataset[[#This Row],[soda_sales]]/dataset[[#This Row],[total_sales]]</f>
        <v>7.390644265938312E-2</v>
      </c>
      <c r="N2741">
        <f>LN(dataset[[#This Row],[soda_units_sold]])</f>
        <v>12.373356703747396</v>
      </c>
      <c r="O2741">
        <f>LN(dataset[[#This Row],[soda_sales]])</f>
        <v>12.031809286475603</v>
      </c>
      <c r="P2741">
        <f>LN(dataset[[#This Row],[soda_ppu]])</f>
        <v>-0.34150487914928757</v>
      </c>
      <c r="Q2741">
        <f>IF(dataset[[#This Row],[state]]="VA",1,0)</f>
        <v>0</v>
      </c>
    </row>
    <row r="2742" spans="1:17" x14ac:dyDescent="0.35">
      <c r="A2742">
        <v>202205</v>
      </c>
      <c r="B2742">
        <v>15</v>
      </c>
      <c r="C2742" s="2">
        <v>2387957.5030999999</v>
      </c>
      <c r="D2742" s="2">
        <v>0.7278</v>
      </c>
      <c r="E2742" s="3">
        <v>255452</v>
      </c>
      <c r="F2742" s="2">
        <v>185918.81409999999</v>
      </c>
      <c r="G2742" t="s">
        <v>2036</v>
      </c>
      <c r="H2742" t="s">
        <v>7</v>
      </c>
      <c r="I2742">
        <f>HLOOKUP(G2742,zip_tiers!$A$1:$EON$2,2,FALSE)</f>
        <v>60623.333333333336</v>
      </c>
      <c r="J2742" t="str">
        <f t="shared" si="42"/>
        <v>Med</v>
      </c>
      <c r="K2742">
        <f>dataset[[#This Row],[soda_sales]]/dataset[[#This Row],[soda_units_sold]]</f>
        <v>0.72780332156334648</v>
      </c>
      <c r="L2742" s="29">
        <f>dataset[[#This Row],[implied_soda_ppu]]-dataset[[#This Row],[soda_ppu]]</f>
        <v>3.3215633464811489E-6</v>
      </c>
      <c r="M2742">
        <f>dataset[[#This Row],[soda_sales]]/dataset[[#This Row],[total_sales]]</f>
        <v>7.7856835332556718E-2</v>
      </c>
      <c r="N2742">
        <f>LN(dataset[[#This Row],[soda_units_sold]])</f>
        <v>12.450789804049101</v>
      </c>
      <c r="O2742">
        <f>LN(dataset[[#This Row],[soda_sales]])</f>
        <v>12.133065374075427</v>
      </c>
      <c r="P2742">
        <f>LN(dataset[[#This Row],[soda_ppu]])</f>
        <v>-0.3177289938040776</v>
      </c>
      <c r="Q2742">
        <f>IF(dataset[[#This Row],[state]]="VA",1,0)</f>
        <v>0</v>
      </c>
    </row>
    <row r="2743" spans="1:17" x14ac:dyDescent="0.35">
      <c r="A2743">
        <v>202206</v>
      </c>
      <c r="B2743">
        <v>15</v>
      </c>
      <c r="C2743" s="2">
        <v>2274842.8292</v>
      </c>
      <c r="D2743" s="2">
        <v>0.70830000000000004</v>
      </c>
      <c r="E2743" s="3">
        <v>271219</v>
      </c>
      <c r="F2743" s="2">
        <v>192094.68609999999</v>
      </c>
      <c r="G2743" t="s">
        <v>2036</v>
      </c>
      <c r="H2743" t="s">
        <v>7</v>
      </c>
      <c r="I2743">
        <f>HLOOKUP(G2743,zip_tiers!$A$1:$EON$2,2,FALSE)</f>
        <v>60623.333333333336</v>
      </c>
      <c r="J2743" t="str">
        <f t="shared" si="42"/>
        <v>Med</v>
      </c>
      <c r="K2743">
        <f>dataset[[#This Row],[soda_sales]]/dataset[[#This Row],[soda_units_sold]]</f>
        <v>0.70826411903295861</v>
      </c>
      <c r="L2743" s="29">
        <f>dataset[[#This Row],[implied_soda_ppu]]-dataset[[#This Row],[soda_ppu]]</f>
        <v>-3.5880967041435063E-5</v>
      </c>
      <c r="M2743">
        <f>dataset[[#This Row],[soda_sales]]/dataset[[#This Row],[total_sales]]</f>
        <v>8.4443058498047729E-2</v>
      </c>
      <c r="N2743">
        <f>LN(dataset[[#This Row],[soda_units_sold]])</f>
        <v>12.51068189159141</v>
      </c>
      <c r="O2743">
        <f>LN(dataset[[#This Row],[soda_sales]])</f>
        <v>12.165743686218915</v>
      </c>
      <c r="P2743">
        <f>LN(dataset[[#This Row],[soda_ppu]])</f>
        <v>-0.34488754622256007</v>
      </c>
      <c r="Q2743">
        <f>IF(dataset[[#This Row],[state]]="VA",1,0)</f>
        <v>0</v>
      </c>
    </row>
    <row r="2744" spans="1:17" x14ac:dyDescent="0.35">
      <c r="A2744">
        <v>202207</v>
      </c>
      <c r="B2744">
        <v>15</v>
      </c>
      <c r="C2744" s="2">
        <v>2200755.1655999999</v>
      </c>
      <c r="D2744" s="2">
        <v>0.72219999999999995</v>
      </c>
      <c r="E2744" s="3">
        <v>276232</v>
      </c>
      <c r="F2744" s="2">
        <v>199482.89980000001</v>
      </c>
      <c r="G2744" t="s">
        <v>2036</v>
      </c>
      <c r="H2744" t="s">
        <v>7</v>
      </c>
      <c r="I2744">
        <f>HLOOKUP(G2744,zip_tiers!$A$1:$EON$2,2,FALSE)</f>
        <v>60623.333333333336</v>
      </c>
      <c r="J2744" t="str">
        <f t="shared" si="42"/>
        <v>Med</v>
      </c>
      <c r="K2744">
        <f>dataset[[#This Row],[soda_sales]]/dataset[[#This Row],[soda_units_sold]]</f>
        <v>0.72215709910510006</v>
      </c>
      <c r="L2744" s="29">
        <f>dataset[[#This Row],[implied_soda_ppu]]-dataset[[#This Row],[soda_ppu]]</f>
        <v>-4.2900894899888797E-5</v>
      </c>
      <c r="M2744">
        <f>dataset[[#This Row],[soda_sales]]/dataset[[#This Row],[total_sales]]</f>
        <v>9.0642931534646323E-2</v>
      </c>
      <c r="N2744">
        <f>LN(dataset[[#This Row],[soda_units_sold]])</f>
        <v>12.52899637132016</v>
      </c>
      <c r="O2744">
        <f>LN(dataset[[#This Row],[soda_sales]])</f>
        <v>12.203483796350069</v>
      </c>
      <c r="P2744">
        <f>LN(dataset[[#This Row],[soda_ppu]])</f>
        <v>-0.32545317013877972</v>
      </c>
      <c r="Q2744">
        <f>IF(dataset[[#This Row],[state]]="VA",1,0)</f>
        <v>0</v>
      </c>
    </row>
    <row r="2745" spans="1:17" x14ac:dyDescent="0.35">
      <c r="A2745">
        <v>202208</v>
      </c>
      <c r="B2745">
        <v>15</v>
      </c>
      <c r="C2745" s="2">
        <v>2064029.4472000001</v>
      </c>
      <c r="D2745" s="2">
        <v>0.69230000000000003</v>
      </c>
      <c r="E2745" s="3">
        <v>253225</v>
      </c>
      <c r="F2745" s="2">
        <v>175302.16459999999</v>
      </c>
      <c r="G2745" t="s">
        <v>2036</v>
      </c>
      <c r="H2745" t="s">
        <v>7</v>
      </c>
      <c r="I2745">
        <f>HLOOKUP(G2745,zip_tiers!$A$1:$EON$2,2,FALSE)</f>
        <v>60623.333333333336</v>
      </c>
      <c r="J2745" t="str">
        <f t="shared" si="42"/>
        <v>Med</v>
      </c>
      <c r="K2745">
        <f>dataset[[#This Row],[soda_sales]]/dataset[[#This Row],[soda_units_sold]]</f>
        <v>0.69227826873333986</v>
      </c>
      <c r="L2745" s="29">
        <f>dataset[[#This Row],[implied_soda_ppu]]-dataset[[#This Row],[soda_ppu]]</f>
        <v>-2.1731266660163229E-5</v>
      </c>
      <c r="M2745">
        <f>dataset[[#This Row],[soda_sales]]/dataset[[#This Row],[total_sales]]</f>
        <v>8.4932007553385258E-2</v>
      </c>
      <c r="N2745">
        <f>LN(dataset[[#This Row],[soda_units_sold]])</f>
        <v>12.442033700554997</v>
      </c>
      <c r="O2745">
        <f>LN(dataset[[#This Row],[soda_sales]])</f>
        <v>12.074266418807991</v>
      </c>
      <c r="P2745">
        <f>LN(dataset[[#This Row],[soda_ppu]])</f>
        <v>-0.36773589129815726</v>
      </c>
      <c r="Q2745">
        <f>IF(dataset[[#This Row],[state]]="VA",1,0)</f>
        <v>0</v>
      </c>
    </row>
    <row r="2746" spans="1:17" x14ac:dyDescent="0.35">
      <c r="A2746">
        <v>202209</v>
      </c>
      <c r="B2746">
        <v>15</v>
      </c>
      <c r="C2746" s="2">
        <v>2105598.8934999998</v>
      </c>
      <c r="D2746" s="2">
        <v>0.71179999999999999</v>
      </c>
      <c r="E2746" s="3">
        <v>241123</v>
      </c>
      <c r="F2746" s="2">
        <v>171634.39189999999</v>
      </c>
      <c r="G2746" t="s">
        <v>2036</v>
      </c>
      <c r="H2746" t="s">
        <v>7</v>
      </c>
      <c r="I2746">
        <f>HLOOKUP(G2746,zip_tiers!$A$1:$EON$2,2,FALSE)</f>
        <v>60623.333333333336</v>
      </c>
      <c r="J2746" t="str">
        <f t="shared" si="42"/>
        <v>Med</v>
      </c>
      <c r="K2746">
        <f>dataset[[#This Row],[soda_sales]]/dataset[[#This Row],[soda_units_sold]]</f>
        <v>0.71181260974689264</v>
      </c>
      <c r="L2746" s="29">
        <f>dataset[[#This Row],[implied_soda_ppu]]-dataset[[#This Row],[soda_ppu]]</f>
        <v>1.2609746892655593E-5</v>
      </c>
      <c r="M2746">
        <f>dataset[[#This Row],[soda_sales]]/dataset[[#This Row],[total_sales]]</f>
        <v>8.1513336860993185E-2</v>
      </c>
      <c r="N2746">
        <f>LN(dataset[[#This Row],[soda_units_sold]])</f>
        <v>12.393062455720546</v>
      </c>
      <c r="O2746">
        <f>LN(dataset[[#This Row],[soda_sales]])</f>
        <v>12.053121864952464</v>
      </c>
      <c r="P2746">
        <f>LN(dataset[[#This Row],[soda_ppu]])</f>
        <v>-0.33995830590604476</v>
      </c>
      <c r="Q2746">
        <f>IF(dataset[[#This Row],[state]]="VA",1,0)</f>
        <v>0</v>
      </c>
    </row>
    <row r="2747" spans="1:17" x14ac:dyDescent="0.35">
      <c r="A2747">
        <v>202210</v>
      </c>
      <c r="B2747">
        <v>15</v>
      </c>
      <c r="C2747" s="2">
        <v>2576277.6759000001</v>
      </c>
      <c r="D2747" s="2">
        <v>0.70989999999999998</v>
      </c>
      <c r="E2747" s="3">
        <v>229890</v>
      </c>
      <c r="F2747" s="2">
        <v>163199.5202</v>
      </c>
      <c r="G2747" t="s">
        <v>2036</v>
      </c>
      <c r="H2747" t="s">
        <v>7</v>
      </c>
      <c r="I2747">
        <f>HLOOKUP(G2747,zip_tiers!$A$1:$EON$2,2,FALSE)</f>
        <v>60623.333333333336</v>
      </c>
      <c r="J2747" t="str">
        <f t="shared" si="42"/>
        <v>Med</v>
      </c>
      <c r="K2747">
        <f>dataset[[#This Row],[soda_sales]]/dataset[[#This Row],[soda_units_sold]]</f>
        <v>0.70990264996302577</v>
      </c>
      <c r="L2747" s="29">
        <f>dataset[[#This Row],[implied_soda_ppu]]-dataset[[#This Row],[soda_ppu]]</f>
        <v>2.6499630257914575E-6</v>
      </c>
      <c r="M2747">
        <f>dataset[[#This Row],[soda_sales]]/dataset[[#This Row],[total_sales]]</f>
        <v>6.3347022615870649E-2</v>
      </c>
      <c r="N2747">
        <f>LN(dataset[[#This Row],[soda_units_sold]])</f>
        <v>12.345356212632559</v>
      </c>
      <c r="O2747">
        <f>LN(dataset[[#This Row],[soda_sales]])</f>
        <v>12.002728781556842</v>
      </c>
      <c r="P2747">
        <f>LN(dataset[[#This Row],[soda_ppu]])</f>
        <v>-0.34263116393679688</v>
      </c>
      <c r="Q2747">
        <f>IF(dataset[[#This Row],[state]]="VA",1,0)</f>
        <v>0</v>
      </c>
    </row>
    <row r="2748" spans="1:17" x14ac:dyDescent="0.35">
      <c r="A2748">
        <v>202211</v>
      </c>
      <c r="B2748">
        <v>15</v>
      </c>
      <c r="C2748" s="2">
        <v>2932821.3728</v>
      </c>
      <c r="D2748" s="2">
        <v>0.69279999999999997</v>
      </c>
      <c r="E2748" s="3">
        <v>225116</v>
      </c>
      <c r="F2748" s="2">
        <v>155968.67540000001</v>
      </c>
      <c r="G2748" t="s">
        <v>2036</v>
      </c>
      <c r="H2748" t="s">
        <v>7</v>
      </c>
      <c r="I2748">
        <f>HLOOKUP(G2748,zip_tiers!$A$1:$EON$2,2,FALSE)</f>
        <v>60623.333333333336</v>
      </c>
      <c r="J2748" t="str">
        <f t="shared" si="42"/>
        <v>Med</v>
      </c>
      <c r="K2748">
        <f>dataset[[#This Row],[soda_sales]]/dataset[[#This Row],[soda_units_sold]]</f>
        <v>0.69283691696725247</v>
      </c>
      <c r="L2748" s="29">
        <f>dataset[[#This Row],[implied_soda_ppu]]-dataset[[#This Row],[soda_ppu]]</f>
        <v>3.6916967252498267E-5</v>
      </c>
      <c r="M2748">
        <f>dataset[[#This Row],[soda_sales]]/dataset[[#This Row],[total_sales]]</f>
        <v>5.3180421026151628E-2</v>
      </c>
      <c r="N2748">
        <f>LN(dataset[[#This Row],[soda_units_sold]])</f>
        <v>12.324371103889007</v>
      </c>
      <c r="O2748">
        <f>LN(dataset[[#This Row],[soda_sales]])</f>
        <v>11.957410467350964</v>
      </c>
      <c r="P2748">
        <f>LN(dataset[[#This Row],[soda_ppu]])</f>
        <v>-0.36701392173391167</v>
      </c>
      <c r="Q2748">
        <f>IF(dataset[[#This Row],[state]]="VA",1,0)</f>
        <v>0</v>
      </c>
    </row>
    <row r="2749" spans="1:17" x14ac:dyDescent="0.35">
      <c r="A2749">
        <v>202212</v>
      </c>
      <c r="B2749">
        <v>15</v>
      </c>
      <c r="C2749" s="2">
        <v>3013677.818</v>
      </c>
      <c r="D2749" s="2">
        <v>0.70879999999999999</v>
      </c>
      <c r="E2749" s="3">
        <v>209787</v>
      </c>
      <c r="F2749" s="2">
        <v>148693.98439999999</v>
      </c>
      <c r="G2749" t="s">
        <v>2036</v>
      </c>
      <c r="H2749" t="s">
        <v>7</v>
      </c>
      <c r="I2749">
        <f>HLOOKUP(G2749,zip_tiers!$A$1:$EON$2,2,FALSE)</f>
        <v>60623.333333333336</v>
      </c>
      <c r="J2749" t="str">
        <f t="shared" si="42"/>
        <v>Med</v>
      </c>
      <c r="K2749">
        <f>dataset[[#This Row],[soda_sales]]/dataset[[#This Row],[soda_units_sold]]</f>
        <v>0.70878550339153512</v>
      </c>
      <c r="L2749" s="29">
        <f>dataset[[#This Row],[implied_soda_ppu]]-dataset[[#This Row],[soda_ppu]]</f>
        <v>-1.4496608464864558E-5</v>
      </c>
      <c r="M2749">
        <f>dataset[[#This Row],[soda_sales]]/dataset[[#This Row],[total_sales]]</f>
        <v>4.9339708283309261E-2</v>
      </c>
      <c r="N2749">
        <f>LN(dataset[[#This Row],[soda_units_sold]])</f>
        <v>12.253848009249475</v>
      </c>
      <c r="O2749">
        <f>LN(dataset[[#This Row],[soda_sales]])</f>
        <v>11.909645677023347</v>
      </c>
      <c r="P2749">
        <f>LN(dataset[[#This Row],[soda_ppu]])</f>
        <v>-0.3441818796912659</v>
      </c>
      <c r="Q2749">
        <f>IF(dataset[[#This Row],[state]]="VA",1,0)</f>
        <v>0</v>
      </c>
    </row>
    <row r="2750" spans="1:17" x14ac:dyDescent="0.35">
      <c r="A2750">
        <v>202301</v>
      </c>
      <c r="B2750">
        <v>15</v>
      </c>
      <c r="C2750" s="2">
        <v>1758112.1229000001</v>
      </c>
      <c r="D2750" s="2">
        <v>0.71699999999999997</v>
      </c>
      <c r="E2750" s="3">
        <v>156812</v>
      </c>
      <c r="F2750" s="2">
        <v>112439.7203</v>
      </c>
      <c r="G2750" t="s">
        <v>2036</v>
      </c>
      <c r="H2750" t="s">
        <v>7</v>
      </c>
      <c r="I2750">
        <f>HLOOKUP(G2750,zip_tiers!$A$1:$EON$2,2,FALSE)</f>
        <v>60623.333333333336</v>
      </c>
      <c r="J2750" t="str">
        <f t="shared" si="42"/>
        <v>Med</v>
      </c>
      <c r="K2750">
        <f>dataset[[#This Row],[soda_sales]]/dataset[[#This Row],[soda_units_sold]]</f>
        <v>0.71703517779251591</v>
      </c>
      <c r="L2750" s="29">
        <f>dataset[[#This Row],[implied_soda_ppu]]-dataset[[#This Row],[soda_ppu]]</f>
        <v>3.517779251593911E-5</v>
      </c>
      <c r="M2750">
        <f>dataset[[#This Row],[soda_sales]]/dataset[[#This Row],[total_sales]]</f>
        <v>6.3954806314930043E-2</v>
      </c>
      <c r="N2750">
        <f>LN(dataset[[#This Row],[soda_units_sold]])</f>
        <v>11.962802914582371</v>
      </c>
      <c r="O2750">
        <f>LN(dataset[[#This Row],[soda_sales]])</f>
        <v>11.630172537468459</v>
      </c>
      <c r="P2750">
        <f>LN(dataset[[#This Row],[soda_ppu]])</f>
        <v>-0.33267943838251673</v>
      </c>
      <c r="Q2750">
        <f>IF(dataset[[#This Row],[state]]="VA",1,0)</f>
        <v>0</v>
      </c>
    </row>
    <row r="2751" spans="1:17" x14ac:dyDescent="0.35">
      <c r="A2751">
        <v>202302</v>
      </c>
      <c r="B2751">
        <v>15</v>
      </c>
      <c r="C2751" s="2">
        <v>2005750.1998999999</v>
      </c>
      <c r="D2751" s="2">
        <v>0.74550000000000005</v>
      </c>
      <c r="E2751" s="3">
        <v>171135</v>
      </c>
      <c r="F2751" s="2">
        <v>127586.34729999999</v>
      </c>
      <c r="G2751" t="s">
        <v>2036</v>
      </c>
      <c r="H2751" t="s">
        <v>7</v>
      </c>
      <c r="I2751">
        <f>HLOOKUP(G2751,zip_tiers!$A$1:$EON$2,2,FALSE)</f>
        <v>60623.333333333336</v>
      </c>
      <c r="J2751" t="str">
        <f t="shared" si="42"/>
        <v>Med</v>
      </c>
      <c r="K2751">
        <f>dataset[[#This Row],[soda_sales]]/dataset[[#This Row],[soda_units_sold]]</f>
        <v>0.74553041341630877</v>
      </c>
      <c r="L2751" s="29">
        <f>dataset[[#This Row],[implied_soda_ppu]]-dataset[[#This Row],[soda_ppu]]</f>
        <v>3.0413416308716634E-5</v>
      </c>
      <c r="M2751">
        <f>dataset[[#This Row],[soda_sales]]/dataset[[#This Row],[total_sales]]</f>
        <v>6.3610287714971195E-2</v>
      </c>
      <c r="N2751">
        <f>LN(dataset[[#This Row],[soda_units_sold]])</f>
        <v>12.05020799769858</v>
      </c>
      <c r="O2751">
        <f>LN(dataset[[#This Row],[soda_sales]])</f>
        <v>11.756548648086833</v>
      </c>
      <c r="P2751">
        <f>LN(dataset[[#This Row],[soda_ppu]])</f>
        <v>-0.29370014477734385</v>
      </c>
      <c r="Q2751">
        <f>IF(dataset[[#This Row],[state]]="VA",1,0)</f>
        <v>0</v>
      </c>
    </row>
    <row r="2752" spans="1:17" x14ac:dyDescent="0.35">
      <c r="A2752">
        <v>202303</v>
      </c>
      <c r="B2752">
        <v>15</v>
      </c>
      <c r="C2752" s="2">
        <v>2178491.2138999999</v>
      </c>
      <c r="D2752" s="2">
        <v>0.72829999999999995</v>
      </c>
      <c r="E2752" s="3">
        <v>198562</v>
      </c>
      <c r="F2752" s="2">
        <v>144606.99160000001</v>
      </c>
      <c r="G2752" t="s">
        <v>2036</v>
      </c>
      <c r="H2752" t="s">
        <v>7</v>
      </c>
      <c r="I2752">
        <f>HLOOKUP(G2752,zip_tiers!$A$1:$EON$2,2,FALSE)</f>
        <v>60623.333333333336</v>
      </c>
      <c r="J2752" t="str">
        <f t="shared" si="42"/>
        <v>Med</v>
      </c>
      <c r="K2752">
        <f>dataset[[#This Row],[soda_sales]]/dataset[[#This Row],[soda_units_sold]]</f>
        <v>0.72827122813025658</v>
      </c>
      <c r="L2752" s="29">
        <f>dataset[[#This Row],[implied_soda_ppu]]-dataset[[#This Row],[soda_ppu]]</f>
        <v>-2.8771869743371425E-5</v>
      </c>
      <c r="M2752">
        <f>dataset[[#This Row],[soda_sales]]/dataset[[#This Row],[total_sales]]</f>
        <v>6.6379423831193815E-2</v>
      </c>
      <c r="N2752">
        <f>LN(dataset[[#This Row],[soda_units_sold]])</f>
        <v>12.198856672909866</v>
      </c>
      <c r="O2752">
        <f>LN(dataset[[#This Row],[soda_sales]])</f>
        <v>11.881774938851883</v>
      </c>
      <c r="P2752">
        <f>LN(dataset[[#This Row],[soda_ppu]])</f>
        <v>-0.31704222775826768</v>
      </c>
      <c r="Q2752">
        <f>IF(dataset[[#This Row],[state]]="VA",1,0)</f>
        <v>0</v>
      </c>
    </row>
    <row r="2753" spans="1:17" x14ac:dyDescent="0.35">
      <c r="A2753">
        <v>202304</v>
      </c>
      <c r="B2753">
        <v>15</v>
      </c>
      <c r="C2753" s="2">
        <v>2346717.2908000001</v>
      </c>
      <c r="D2753" s="2">
        <v>0.74070000000000003</v>
      </c>
      <c r="E2753" s="3">
        <v>232198</v>
      </c>
      <c r="F2753" s="2">
        <v>172000.14869999999</v>
      </c>
      <c r="G2753" t="s">
        <v>2036</v>
      </c>
      <c r="H2753" t="s">
        <v>7</v>
      </c>
      <c r="I2753">
        <f>HLOOKUP(G2753,zip_tiers!$A$1:$EON$2,2,FALSE)</f>
        <v>60623.333333333336</v>
      </c>
      <c r="J2753" t="str">
        <f t="shared" si="42"/>
        <v>Med</v>
      </c>
      <c r="K2753">
        <f>dataset[[#This Row],[soda_sales]]/dataset[[#This Row],[soda_units_sold]]</f>
        <v>0.74074776139329357</v>
      </c>
      <c r="L2753" s="29">
        <f>dataset[[#This Row],[implied_soda_ppu]]-dataset[[#This Row],[soda_ppu]]</f>
        <v>4.7761393293543897E-5</v>
      </c>
      <c r="M2753">
        <f>dataset[[#This Row],[soda_sales]]/dataset[[#This Row],[total_sales]]</f>
        <v>7.3293936757658967E-2</v>
      </c>
      <c r="N2753">
        <f>LN(dataset[[#This Row],[soda_units_sold]])</f>
        <v>12.355345734944407</v>
      </c>
      <c r="O2753">
        <f>LN(dataset[[#This Row],[soda_sales]])</f>
        <v>12.055250620330099</v>
      </c>
      <c r="P2753">
        <f>LN(dataset[[#This Row],[soda_ppu]])</f>
        <v>-0.30015959396289349</v>
      </c>
      <c r="Q2753">
        <f>IF(dataset[[#This Row],[state]]="VA",1,0)</f>
        <v>0</v>
      </c>
    </row>
    <row r="2754" spans="1:17" x14ac:dyDescent="0.35">
      <c r="A2754">
        <v>202305</v>
      </c>
      <c r="B2754">
        <v>15</v>
      </c>
      <c r="C2754" s="2">
        <v>2433981.8037</v>
      </c>
      <c r="D2754" s="2">
        <v>0.69879999999999998</v>
      </c>
      <c r="E2754" s="3">
        <v>272182</v>
      </c>
      <c r="F2754" s="2">
        <v>190189.31589999999</v>
      </c>
      <c r="G2754" t="s">
        <v>2036</v>
      </c>
      <c r="H2754" t="s">
        <v>7</v>
      </c>
      <c r="I2754">
        <f>HLOOKUP(G2754,zip_tiers!$A$1:$EON$2,2,FALSE)</f>
        <v>60623.333333333336</v>
      </c>
      <c r="J2754" t="str">
        <f t="shared" ref="J2754:J2817" si="43">IF(I2754="","No Data",IF(I2754&gt;=100000,"High",IF(I2754&gt;=40000,"Med","Low")))</f>
        <v>Med</v>
      </c>
      <c r="K2754">
        <f>dataset[[#This Row],[soda_sales]]/dataset[[#This Row],[soda_units_sold]]</f>
        <v>0.69875787487783902</v>
      </c>
      <c r="L2754" s="29">
        <f>dataset[[#This Row],[implied_soda_ppu]]-dataset[[#This Row],[soda_ppu]]</f>
        <v>-4.2125122160951989E-5</v>
      </c>
      <c r="M2754">
        <f>dataset[[#This Row],[soda_sales]]/dataset[[#This Row],[total_sales]]</f>
        <v>7.8139169163419814E-2</v>
      </c>
      <c r="N2754">
        <f>LN(dataset[[#This Row],[soda_units_sold]])</f>
        <v>12.514226239165788</v>
      </c>
      <c r="O2754">
        <f>LN(dataset[[#This Row],[soda_sales]])</f>
        <v>12.155775254539851</v>
      </c>
      <c r="P2754">
        <f>LN(dataset[[#This Row],[soda_ppu]])</f>
        <v>-0.35839070072223561</v>
      </c>
      <c r="Q2754">
        <f>IF(dataset[[#This Row],[state]]="VA",1,0)</f>
        <v>0</v>
      </c>
    </row>
    <row r="2755" spans="1:17" x14ac:dyDescent="0.35">
      <c r="A2755">
        <v>202306</v>
      </c>
      <c r="B2755">
        <v>15</v>
      </c>
      <c r="C2755" s="2">
        <v>2298496.6661</v>
      </c>
      <c r="D2755" s="2">
        <v>0.71589999999999998</v>
      </c>
      <c r="E2755" s="3">
        <v>271345</v>
      </c>
      <c r="F2755" s="2">
        <v>194252.55929999999</v>
      </c>
      <c r="G2755" t="s">
        <v>2036</v>
      </c>
      <c r="H2755" t="s">
        <v>7</v>
      </c>
      <c r="I2755">
        <f>HLOOKUP(G2755,zip_tiers!$A$1:$EON$2,2,FALSE)</f>
        <v>60623.333333333336</v>
      </c>
      <c r="J2755" t="str">
        <f t="shared" si="43"/>
        <v>Med</v>
      </c>
      <c r="K2755">
        <f>dataset[[#This Row],[soda_sales]]/dataset[[#This Row],[soda_units_sold]]</f>
        <v>0.71588774180471348</v>
      </c>
      <c r="L2755" s="29">
        <f>dataset[[#This Row],[implied_soda_ppu]]-dataset[[#This Row],[soda_ppu]]</f>
        <v>-1.2258195286496409E-5</v>
      </c>
      <c r="M2755">
        <f>dataset[[#This Row],[soda_sales]]/dataset[[#This Row],[total_sales]]</f>
        <v>8.451287407329601E-2</v>
      </c>
      <c r="N2755">
        <f>LN(dataset[[#This Row],[soda_units_sold]])</f>
        <v>12.511146352935198</v>
      </c>
      <c r="O2755">
        <f>LN(dataset[[#This Row],[soda_sales]])</f>
        <v>12.176914443432675</v>
      </c>
      <c r="P2755">
        <f>LN(dataset[[#This Row],[soda_ppu]])</f>
        <v>-0.33421478657999776</v>
      </c>
      <c r="Q2755">
        <f>IF(dataset[[#This Row],[state]]="VA",1,0)</f>
        <v>0</v>
      </c>
    </row>
    <row r="2756" spans="1:17" x14ac:dyDescent="0.35">
      <c r="A2756">
        <v>202307</v>
      </c>
      <c r="B2756">
        <v>15</v>
      </c>
      <c r="C2756" s="2">
        <v>2221074.1842999998</v>
      </c>
      <c r="D2756" s="2">
        <v>0.78239999999999998</v>
      </c>
      <c r="E2756" s="3">
        <v>252500</v>
      </c>
      <c r="F2756" s="2">
        <v>197561.07949999999</v>
      </c>
      <c r="G2756" t="s">
        <v>2036</v>
      </c>
      <c r="H2756" t="s">
        <v>7</v>
      </c>
      <c r="I2756">
        <f>HLOOKUP(G2756,zip_tiers!$A$1:$EON$2,2,FALSE)</f>
        <v>60623.333333333336</v>
      </c>
      <c r="J2756" t="str">
        <f t="shared" si="43"/>
        <v>Med</v>
      </c>
      <c r="K2756">
        <f>dataset[[#This Row],[soda_sales]]/dataset[[#This Row],[soda_units_sold]]</f>
        <v>0.78242011683168311</v>
      </c>
      <c r="L2756" s="29">
        <f>dataset[[#This Row],[implied_soda_ppu]]-dataset[[#This Row],[soda_ppu]]</f>
        <v>2.0116831683125724E-5</v>
      </c>
      <c r="M2756">
        <f>dataset[[#This Row],[soda_sales]]/dataset[[#This Row],[total_sales]]</f>
        <v>8.894843805600483E-2</v>
      </c>
      <c r="N2756">
        <f>LN(dataset[[#This Row],[soda_units_sold]])</f>
        <v>12.439166527697552</v>
      </c>
      <c r="O2756">
        <f>LN(dataset[[#This Row],[soda_sales]])</f>
        <v>12.193803078802418</v>
      </c>
      <c r="P2756">
        <f>LN(dataset[[#This Row],[soda_ppu]])</f>
        <v>-0.24538916026152949</v>
      </c>
      <c r="Q2756">
        <f>IF(dataset[[#This Row],[state]]="VA",1,0)</f>
        <v>0</v>
      </c>
    </row>
    <row r="2757" spans="1:17" x14ac:dyDescent="0.35">
      <c r="A2757">
        <v>202308</v>
      </c>
      <c r="B2757">
        <v>15</v>
      </c>
      <c r="C2757" s="2">
        <v>2107927.8703999999</v>
      </c>
      <c r="D2757" s="2">
        <v>0.78129999999999999</v>
      </c>
      <c r="E2757" s="3">
        <v>223499</v>
      </c>
      <c r="F2757" s="2">
        <v>174610.96290000001</v>
      </c>
      <c r="G2757" t="s">
        <v>2036</v>
      </c>
      <c r="H2757" t="s">
        <v>7</v>
      </c>
      <c r="I2757">
        <f>HLOOKUP(G2757,zip_tiers!$A$1:$EON$2,2,FALSE)</f>
        <v>60623.333333333336</v>
      </c>
      <c r="J2757" t="str">
        <f t="shared" si="43"/>
        <v>Med</v>
      </c>
      <c r="K2757">
        <f>dataset[[#This Row],[soda_sales]]/dataset[[#This Row],[soda_units_sold]]</f>
        <v>0.78126060027114219</v>
      </c>
      <c r="L2757" s="29">
        <f>dataset[[#This Row],[implied_soda_ppu]]-dataset[[#This Row],[soda_ppu]]</f>
        <v>-3.9399728857802963E-5</v>
      </c>
      <c r="M2757">
        <f>dataset[[#This Row],[soda_sales]]/dataset[[#This Row],[total_sales]]</f>
        <v>8.2835359478816456E-2</v>
      </c>
      <c r="N2757">
        <f>LN(dataset[[#This Row],[soda_units_sold]])</f>
        <v>12.31716221875282</v>
      </c>
      <c r="O2757">
        <f>LN(dataset[[#This Row],[soda_sales]])</f>
        <v>12.070315709076308</v>
      </c>
      <c r="P2757">
        <f>LN(dataset[[#This Row],[soda_ppu]])</f>
        <v>-0.24679607997943842</v>
      </c>
      <c r="Q2757">
        <f>IF(dataset[[#This Row],[state]]="VA",1,0)</f>
        <v>0</v>
      </c>
    </row>
    <row r="2758" spans="1:17" x14ac:dyDescent="0.35">
      <c r="A2758">
        <v>202309</v>
      </c>
      <c r="B2758">
        <v>15</v>
      </c>
      <c r="C2758" s="2">
        <v>2113839.5334999999</v>
      </c>
      <c r="D2758" s="2">
        <v>0.73880000000000001</v>
      </c>
      <c r="E2758" s="3">
        <v>230414</v>
      </c>
      <c r="F2758" s="2">
        <v>170222.69279999999</v>
      </c>
      <c r="G2758" t="s">
        <v>2036</v>
      </c>
      <c r="H2758" t="s">
        <v>7</v>
      </c>
      <c r="I2758">
        <f>HLOOKUP(G2758,zip_tiers!$A$1:$EON$2,2,FALSE)</f>
        <v>60623.333333333336</v>
      </c>
      <c r="J2758" t="str">
        <f t="shared" si="43"/>
        <v>Med</v>
      </c>
      <c r="K2758">
        <f>dataset[[#This Row],[soda_sales]]/dataset[[#This Row],[soda_units_sold]]</f>
        <v>0.73876888036317234</v>
      </c>
      <c r="L2758" s="29">
        <f>dataset[[#This Row],[implied_soda_ppu]]-dataset[[#This Row],[soda_ppu]]</f>
        <v>-3.111963682767005E-5</v>
      </c>
      <c r="M2758">
        <f>dataset[[#This Row],[soda_sales]]/dataset[[#This Row],[total_sales]]</f>
        <v>8.0527726964285201E-2</v>
      </c>
      <c r="N2758">
        <f>LN(dataset[[#This Row],[soda_units_sold]])</f>
        <v>12.347632969846712</v>
      </c>
      <c r="O2758">
        <f>LN(dataset[[#This Row],[soda_sales]])</f>
        <v>12.044862816433495</v>
      </c>
      <c r="P2758">
        <f>LN(dataset[[#This Row],[soda_ppu]])</f>
        <v>-0.30272803065705212</v>
      </c>
      <c r="Q2758">
        <f>IF(dataset[[#This Row],[state]]="VA",1,0)</f>
        <v>0</v>
      </c>
    </row>
    <row r="2759" spans="1:17" x14ac:dyDescent="0.35">
      <c r="A2759">
        <v>202310</v>
      </c>
      <c r="B2759">
        <v>15</v>
      </c>
      <c r="C2759" s="2">
        <v>2572706.7094999999</v>
      </c>
      <c r="D2759" s="2">
        <v>0.77180000000000004</v>
      </c>
      <c r="E2759" s="3">
        <v>209543</v>
      </c>
      <c r="F2759" s="2">
        <v>161720.1507</v>
      </c>
      <c r="G2759" t="s">
        <v>2036</v>
      </c>
      <c r="H2759" t="s">
        <v>7</v>
      </c>
      <c r="I2759">
        <f>HLOOKUP(G2759,zip_tiers!$A$1:$EON$2,2,FALSE)</f>
        <v>60623.333333333336</v>
      </c>
      <c r="J2759" t="str">
        <f t="shared" si="43"/>
        <v>Med</v>
      </c>
      <c r="K2759">
        <f>dataset[[#This Row],[soda_sales]]/dataset[[#This Row],[soda_units_sold]]</f>
        <v>0.77177548617706149</v>
      </c>
      <c r="L2759" s="29">
        <f>dataset[[#This Row],[implied_soda_ppu]]-dataset[[#This Row],[soda_ppu]]</f>
        <v>-2.4513822938554419E-5</v>
      </c>
      <c r="M2759">
        <f>dataset[[#This Row],[soda_sales]]/dataset[[#This Row],[total_sales]]</f>
        <v>6.2859924958733424E-2</v>
      </c>
      <c r="N2759">
        <f>LN(dataset[[#This Row],[soda_units_sold]])</f>
        <v>12.252684247879966</v>
      </c>
      <c r="O2759">
        <f>LN(dataset[[#This Row],[soda_sales]])</f>
        <v>11.993622655611805</v>
      </c>
      <c r="P2759">
        <f>LN(dataset[[#This Row],[soda_ppu]])</f>
        <v>-0.25902982987861861</v>
      </c>
      <c r="Q2759">
        <f>IF(dataset[[#This Row],[state]]="VA",1,0)</f>
        <v>0</v>
      </c>
    </row>
    <row r="2760" spans="1:17" x14ac:dyDescent="0.35">
      <c r="A2760">
        <v>202311</v>
      </c>
      <c r="B2760">
        <v>15</v>
      </c>
      <c r="C2760" s="2">
        <v>3017939.3212000001</v>
      </c>
      <c r="D2760" s="2">
        <v>0.76329999999999998</v>
      </c>
      <c r="E2760" s="3">
        <v>207415</v>
      </c>
      <c r="F2760" s="2">
        <v>158313.9682</v>
      </c>
      <c r="G2760" t="s">
        <v>2036</v>
      </c>
      <c r="H2760" t="s">
        <v>7</v>
      </c>
      <c r="I2760">
        <f>HLOOKUP(G2760,zip_tiers!$A$1:$EON$2,2,FALSE)</f>
        <v>60623.333333333336</v>
      </c>
      <c r="J2760" t="str">
        <f t="shared" si="43"/>
        <v>Med</v>
      </c>
      <c r="K2760">
        <f>dataset[[#This Row],[soda_sales]]/dataset[[#This Row],[soda_units_sold]]</f>
        <v>0.76327154834510524</v>
      </c>
      <c r="L2760" s="29">
        <f>dataset[[#This Row],[implied_soda_ppu]]-dataset[[#This Row],[soda_ppu]]</f>
        <v>-2.8451654894734446E-5</v>
      </c>
      <c r="M2760">
        <f>dataset[[#This Row],[soda_sales]]/dataset[[#This Row],[total_sales]]</f>
        <v>5.245763792793913E-2</v>
      </c>
      <c r="N2760">
        <f>LN(dataset[[#This Row],[soda_units_sold]])</f>
        <v>12.24247689617388</v>
      </c>
      <c r="O2760">
        <f>LN(dataset[[#This Row],[soda_sales]])</f>
        <v>11.972335480763403</v>
      </c>
      <c r="P2760">
        <f>LN(dataset[[#This Row],[soda_ppu]])</f>
        <v>-0.27010414017771239</v>
      </c>
      <c r="Q2760">
        <f>IF(dataset[[#This Row],[state]]="VA",1,0)</f>
        <v>0</v>
      </c>
    </row>
    <row r="2761" spans="1:17" x14ac:dyDescent="0.35">
      <c r="A2761">
        <v>202312</v>
      </c>
      <c r="B2761">
        <v>15</v>
      </c>
      <c r="C2761" s="2">
        <v>3126584.8865</v>
      </c>
      <c r="D2761" s="2">
        <v>0.75449999999999995</v>
      </c>
      <c r="E2761" s="3">
        <v>202963</v>
      </c>
      <c r="F2761" s="2">
        <v>153143.7691</v>
      </c>
      <c r="G2761" t="s">
        <v>2036</v>
      </c>
      <c r="H2761" t="s">
        <v>7</v>
      </c>
      <c r="I2761">
        <f>HLOOKUP(G2761,zip_tiers!$A$1:$EON$2,2,FALSE)</f>
        <v>60623.333333333336</v>
      </c>
      <c r="J2761" t="str">
        <f t="shared" si="43"/>
        <v>Med</v>
      </c>
      <c r="K2761">
        <f>dataset[[#This Row],[soda_sales]]/dataset[[#This Row],[soda_units_sold]]</f>
        <v>0.75454033050358937</v>
      </c>
      <c r="L2761" s="29">
        <f>dataset[[#This Row],[implied_soda_ppu]]-dataset[[#This Row],[soda_ppu]]</f>
        <v>4.0330503589425248E-5</v>
      </c>
      <c r="M2761">
        <f>dataset[[#This Row],[soda_sales]]/dataset[[#This Row],[total_sales]]</f>
        <v>4.8981164644288318E-2</v>
      </c>
      <c r="N2761">
        <f>LN(dataset[[#This Row],[soda_units_sold]])</f>
        <v>12.220778975401604</v>
      </c>
      <c r="O2761">
        <f>LN(dataset[[#This Row],[soda_sales]])</f>
        <v>11.939132426483871</v>
      </c>
      <c r="P2761">
        <f>LN(dataset[[#This Row],[soda_ppu]])</f>
        <v>-0.28170000077423352</v>
      </c>
      <c r="Q2761">
        <f>IF(dataset[[#This Row],[state]]="VA",1,0)</f>
        <v>0</v>
      </c>
    </row>
    <row r="2762" spans="1:17" x14ac:dyDescent="0.35">
      <c r="A2762">
        <v>202401</v>
      </c>
      <c r="B2762">
        <v>15</v>
      </c>
      <c r="C2762" s="2">
        <v>1766057.1361</v>
      </c>
      <c r="D2762" s="2">
        <v>0.78810000000000002</v>
      </c>
      <c r="E2762" s="3">
        <v>138645</v>
      </c>
      <c r="F2762" s="2">
        <v>109269.86320000001</v>
      </c>
      <c r="G2762" t="s">
        <v>2036</v>
      </c>
      <c r="H2762" t="s">
        <v>7</v>
      </c>
      <c r="I2762">
        <f>HLOOKUP(G2762,zip_tiers!$A$1:$EON$2,2,FALSE)</f>
        <v>60623.333333333336</v>
      </c>
      <c r="J2762" t="str">
        <f t="shared" si="43"/>
        <v>Med</v>
      </c>
      <c r="K2762">
        <f>dataset[[#This Row],[soda_sales]]/dataset[[#This Row],[soda_units_sold]]</f>
        <v>0.78812696599228249</v>
      </c>
      <c r="L2762" s="29">
        <f>dataset[[#This Row],[implied_soda_ppu]]-dataset[[#This Row],[soda_ppu]]</f>
        <v>2.6965992282468321E-5</v>
      </c>
      <c r="M2762">
        <f>dataset[[#This Row],[soda_sales]]/dataset[[#This Row],[total_sales]]</f>
        <v>6.1872212946236634E-2</v>
      </c>
      <c r="N2762">
        <f>LN(dataset[[#This Row],[soda_units_sold]])</f>
        <v>11.839671988366987</v>
      </c>
      <c r="O2762">
        <f>LN(dataset[[#This Row],[soda_sales]])</f>
        <v>11.601575910619284</v>
      </c>
      <c r="P2762">
        <f>LN(dataset[[#This Row],[soda_ppu]])</f>
        <v>-0.23813029362253316</v>
      </c>
      <c r="Q2762">
        <f>IF(dataset[[#This Row],[state]]="VA",1,0)</f>
        <v>0</v>
      </c>
    </row>
    <row r="2763" spans="1:17" x14ac:dyDescent="0.35">
      <c r="A2763">
        <v>202402</v>
      </c>
      <c r="B2763">
        <v>15</v>
      </c>
      <c r="C2763" s="2">
        <v>2039552.5471999999</v>
      </c>
      <c r="D2763" s="2">
        <v>0.78080000000000005</v>
      </c>
      <c r="E2763" s="3">
        <v>162805</v>
      </c>
      <c r="F2763" s="2">
        <v>127112.1694</v>
      </c>
      <c r="G2763" t="s">
        <v>2036</v>
      </c>
      <c r="H2763" t="s">
        <v>7</v>
      </c>
      <c r="I2763">
        <f>HLOOKUP(G2763,zip_tiers!$A$1:$EON$2,2,FALSE)</f>
        <v>60623.333333333336</v>
      </c>
      <c r="J2763" t="str">
        <f t="shared" si="43"/>
        <v>Med</v>
      </c>
      <c r="K2763">
        <f>dataset[[#This Row],[soda_sales]]/dataset[[#This Row],[soda_units_sold]]</f>
        <v>0.78076330210988609</v>
      </c>
      <c r="L2763" s="29">
        <f>dataset[[#This Row],[implied_soda_ppu]]-dataset[[#This Row],[soda_ppu]]</f>
        <v>-3.6697890113956966E-5</v>
      </c>
      <c r="M2763">
        <f>dataset[[#This Row],[soda_sales]]/dataset[[#This Row],[total_sales]]</f>
        <v>6.2323556985332866E-2</v>
      </c>
      <c r="N2763">
        <f>LN(dataset[[#This Row],[soda_units_sold]])</f>
        <v>12.000308444609669</v>
      </c>
      <c r="O2763">
        <f>LN(dataset[[#This Row],[soda_sales]])</f>
        <v>11.752825199250303</v>
      </c>
      <c r="P2763">
        <f>LN(dataset[[#This Row],[soda_ppu]])</f>
        <v>-0.24743624388325425</v>
      </c>
      <c r="Q2763">
        <f>IF(dataset[[#This Row],[state]]="VA",1,0)</f>
        <v>0</v>
      </c>
    </row>
    <row r="2764" spans="1:17" x14ac:dyDescent="0.35">
      <c r="A2764">
        <v>202403</v>
      </c>
      <c r="B2764">
        <v>15</v>
      </c>
      <c r="C2764" s="2">
        <v>2291257.3108000001</v>
      </c>
      <c r="D2764" s="2">
        <v>0.80879999999999996</v>
      </c>
      <c r="E2764" s="3">
        <v>185547</v>
      </c>
      <c r="F2764" s="2">
        <v>150074.64720000001</v>
      </c>
      <c r="G2764" t="s">
        <v>2036</v>
      </c>
      <c r="H2764" t="s">
        <v>7</v>
      </c>
      <c r="I2764">
        <f>HLOOKUP(G2764,zip_tiers!$A$1:$EON$2,2,FALSE)</f>
        <v>60623.333333333336</v>
      </c>
      <c r="J2764" t="str">
        <f t="shared" si="43"/>
        <v>Med</v>
      </c>
      <c r="K2764">
        <f>dataset[[#This Row],[soda_sales]]/dataset[[#This Row],[soda_units_sold]]</f>
        <v>0.80882281686041813</v>
      </c>
      <c r="L2764" s="29">
        <f>dataset[[#This Row],[implied_soda_ppu]]-dataset[[#This Row],[soda_ppu]]</f>
        <v>2.2816860418162221E-5</v>
      </c>
      <c r="M2764">
        <f>dataset[[#This Row],[soda_sales]]/dataset[[#This Row],[total_sales]]</f>
        <v>6.5498818702121653E-2</v>
      </c>
      <c r="N2764">
        <f>LN(dataset[[#This Row],[soda_units_sold]])</f>
        <v>12.13106349820929</v>
      </c>
      <c r="O2764">
        <f>LN(dataset[[#This Row],[soda_sales]])</f>
        <v>11.918888097292694</v>
      </c>
      <c r="P2764">
        <f>LN(dataset[[#This Row],[soda_ppu]])</f>
        <v>-0.21220361127587545</v>
      </c>
      <c r="Q2764">
        <f>IF(dataset[[#This Row],[state]]="VA",1,0)</f>
        <v>0</v>
      </c>
    </row>
    <row r="2765" spans="1:17" x14ac:dyDescent="0.35">
      <c r="A2765">
        <v>202404</v>
      </c>
      <c r="B2765">
        <v>15</v>
      </c>
      <c r="C2765" s="2">
        <v>2364827.4528999999</v>
      </c>
      <c r="D2765" s="2">
        <v>0.80869999999999997</v>
      </c>
      <c r="E2765" s="3">
        <v>205255</v>
      </c>
      <c r="F2765" s="2">
        <v>165980.1017</v>
      </c>
      <c r="G2765" t="s">
        <v>2036</v>
      </c>
      <c r="H2765" t="s">
        <v>7</v>
      </c>
      <c r="I2765">
        <f>HLOOKUP(G2765,zip_tiers!$A$1:$EON$2,2,FALSE)</f>
        <v>60623.333333333336</v>
      </c>
      <c r="J2765" t="str">
        <f t="shared" si="43"/>
        <v>Med</v>
      </c>
      <c r="K2765">
        <f>dataset[[#This Row],[soda_sales]]/dataset[[#This Row],[soda_units_sold]]</f>
        <v>0.80865314706097291</v>
      </c>
      <c r="L2765" s="29">
        <f>dataset[[#This Row],[implied_soda_ppu]]-dataset[[#This Row],[soda_ppu]]</f>
        <v>-4.6852939027064444E-5</v>
      </c>
      <c r="M2765">
        <f>dataset[[#This Row],[soda_sales]]/dataset[[#This Row],[total_sales]]</f>
        <v>7.0186981928198514E-2</v>
      </c>
      <c r="N2765">
        <f>LN(dataset[[#This Row],[soda_units_sold]])</f>
        <v>12.232008387553893</v>
      </c>
      <c r="O2765">
        <f>LN(dataset[[#This Row],[soda_sales]])</f>
        <v>12.019623190876676</v>
      </c>
      <c r="P2765">
        <f>LN(dataset[[#This Row],[soda_ppu]])</f>
        <v>-0.21232725888036064</v>
      </c>
      <c r="Q2765">
        <f>IF(dataset[[#This Row],[state]]="VA",1,0)</f>
        <v>0</v>
      </c>
    </row>
    <row r="2766" spans="1:17" x14ac:dyDescent="0.35">
      <c r="A2766">
        <v>202405</v>
      </c>
      <c r="B2766">
        <v>15</v>
      </c>
      <c r="C2766" s="2">
        <v>2496038.5909000002</v>
      </c>
      <c r="D2766" s="2">
        <v>0.78290000000000004</v>
      </c>
      <c r="E2766" s="3">
        <v>243673</v>
      </c>
      <c r="F2766" s="2">
        <v>190762.9228</v>
      </c>
      <c r="G2766" t="s">
        <v>2036</v>
      </c>
      <c r="H2766" t="s">
        <v>7</v>
      </c>
      <c r="I2766">
        <f>HLOOKUP(G2766,zip_tiers!$A$1:$EON$2,2,FALSE)</f>
        <v>60623.333333333336</v>
      </c>
      <c r="J2766" t="str">
        <f t="shared" si="43"/>
        <v>Med</v>
      </c>
      <c r="K2766">
        <f>dataset[[#This Row],[soda_sales]]/dataset[[#This Row],[soda_units_sold]]</f>
        <v>0.78286442404369794</v>
      </c>
      <c r="L2766" s="29">
        <f>dataset[[#This Row],[implied_soda_ppu]]-dataset[[#This Row],[soda_ppu]]</f>
        <v>-3.5575956302102973E-5</v>
      </c>
      <c r="M2766">
        <f>dataset[[#This Row],[soda_sales]]/dataset[[#This Row],[total_sales]]</f>
        <v>7.6426271410818356E-2</v>
      </c>
      <c r="N2766">
        <f>LN(dataset[[#This Row],[soda_units_sold]])</f>
        <v>12.403582441518092</v>
      </c>
      <c r="O2766">
        <f>LN(dataset[[#This Row],[soda_sales]])</f>
        <v>12.158786694165196</v>
      </c>
      <c r="P2766">
        <f>LN(dataset[[#This Row],[soda_ppu]])</f>
        <v>-0.2447503050682685</v>
      </c>
      <c r="Q2766">
        <f>IF(dataset[[#This Row],[state]]="VA",1,0)</f>
        <v>0</v>
      </c>
    </row>
    <row r="2767" spans="1:17" x14ac:dyDescent="0.35">
      <c r="A2767">
        <v>202406</v>
      </c>
      <c r="B2767">
        <v>15</v>
      </c>
      <c r="C2767" s="2">
        <v>2409921.8303</v>
      </c>
      <c r="D2767" s="2">
        <v>0.80500000000000005</v>
      </c>
      <c r="E2767" s="3">
        <v>244570</v>
      </c>
      <c r="F2767" s="2">
        <v>196878.3345</v>
      </c>
      <c r="G2767" t="s">
        <v>2036</v>
      </c>
      <c r="H2767" t="s">
        <v>7</v>
      </c>
      <c r="I2767">
        <f>HLOOKUP(G2767,zip_tiers!$A$1:$EON$2,2,FALSE)</f>
        <v>60623.333333333336</v>
      </c>
      <c r="J2767" t="str">
        <f t="shared" si="43"/>
        <v>Med</v>
      </c>
      <c r="K2767">
        <f>dataset[[#This Row],[soda_sales]]/dataset[[#This Row],[soda_units_sold]]</f>
        <v>0.80499789221899665</v>
      </c>
      <c r="L2767" s="29">
        <f>dataset[[#This Row],[implied_soda_ppu]]-dataset[[#This Row],[soda_ppu]]</f>
        <v>-2.1077810034020317E-6</v>
      </c>
      <c r="M2767">
        <f>dataset[[#This Row],[soda_sales]]/dataset[[#This Row],[total_sales]]</f>
        <v>8.1694904799252982E-2</v>
      </c>
      <c r="N2767">
        <f>LN(dataset[[#This Row],[soda_units_sold]])</f>
        <v>12.407256845489956</v>
      </c>
      <c r="O2767">
        <f>LN(dataset[[#This Row],[soda_sales]])</f>
        <v>12.190341225561459</v>
      </c>
      <c r="P2767">
        <f>LN(dataset[[#This Row],[soda_ppu]])</f>
        <v>-0.21691300156357363</v>
      </c>
      <c r="Q2767">
        <f>IF(dataset[[#This Row],[state]]="VA",1,0)</f>
        <v>0</v>
      </c>
    </row>
    <row r="2768" spans="1:17" x14ac:dyDescent="0.35">
      <c r="A2768">
        <v>202407</v>
      </c>
      <c r="B2768">
        <v>15</v>
      </c>
      <c r="C2768" s="2">
        <v>2268081.7577999998</v>
      </c>
      <c r="D2768" s="2">
        <v>0.78639999999999999</v>
      </c>
      <c r="E2768" s="3">
        <v>256081</v>
      </c>
      <c r="F2768" s="2">
        <v>201381.75520000001</v>
      </c>
      <c r="G2768" t="s">
        <v>2036</v>
      </c>
      <c r="H2768" t="s">
        <v>7</v>
      </c>
      <c r="I2768">
        <f>HLOOKUP(G2768,zip_tiers!$A$1:$EON$2,2,FALSE)</f>
        <v>60623.333333333336</v>
      </c>
      <c r="J2768" t="str">
        <f t="shared" si="43"/>
        <v>Med</v>
      </c>
      <c r="K2768">
        <f>dataset[[#This Row],[soda_sales]]/dataset[[#This Row],[soda_units_sold]]</f>
        <v>0.78639865979904799</v>
      </c>
      <c r="L2768" s="29">
        <f>dataset[[#This Row],[implied_soda_ppu]]-dataset[[#This Row],[soda_ppu]]</f>
        <v>-1.3402009519936087E-6</v>
      </c>
      <c r="M2768">
        <f>dataset[[#This Row],[soda_sales]]/dataset[[#This Row],[total_sales]]</f>
        <v>8.8789460303819401E-2</v>
      </c>
      <c r="N2768">
        <f>LN(dataset[[#This Row],[soda_units_sold]])</f>
        <v>12.453249079665799</v>
      </c>
      <c r="O2768">
        <f>LN(dataset[[#This Row],[soda_sales]])</f>
        <v>12.212957665292185</v>
      </c>
      <c r="P2768">
        <f>LN(dataset[[#This Row],[soda_ppu]])</f>
        <v>-0.24028971014918027</v>
      </c>
      <c r="Q2768">
        <f>IF(dataset[[#This Row],[state]]="VA",1,0)</f>
        <v>0</v>
      </c>
    </row>
    <row r="2769" spans="1:17" x14ac:dyDescent="0.35">
      <c r="A2769">
        <v>202408</v>
      </c>
      <c r="B2769">
        <v>15</v>
      </c>
      <c r="C2769" s="2">
        <v>2151856.1189000001</v>
      </c>
      <c r="D2769" s="2">
        <v>0.77710000000000001</v>
      </c>
      <c r="E2769" s="3">
        <v>232898</v>
      </c>
      <c r="F2769" s="2">
        <v>180984.11900000001</v>
      </c>
      <c r="G2769" t="s">
        <v>2036</v>
      </c>
      <c r="H2769" t="s">
        <v>7</v>
      </c>
      <c r="I2769">
        <f>HLOOKUP(G2769,zip_tiers!$A$1:$EON$2,2,FALSE)</f>
        <v>60623.333333333336</v>
      </c>
      <c r="J2769" t="str">
        <f t="shared" si="43"/>
        <v>Med</v>
      </c>
      <c r="K2769">
        <f>dataset[[#This Row],[soda_sales]]/dataset[[#This Row],[soda_units_sold]]</f>
        <v>0.77709606351278249</v>
      </c>
      <c r="L2769" s="29">
        <f>dataset[[#This Row],[implied_soda_ppu]]-dataset[[#This Row],[soda_ppu]]</f>
        <v>-3.9364872175262633E-6</v>
      </c>
      <c r="M2769">
        <f>dataset[[#This Row],[soda_sales]]/dataset[[#This Row],[total_sales]]</f>
        <v>8.4106050311819475E-2</v>
      </c>
      <c r="N2769">
        <f>LN(dataset[[#This Row],[soda_units_sold]])</f>
        <v>12.358355868459004</v>
      </c>
      <c r="O2769">
        <f>LN(dataset[[#This Row],[soda_sales]])</f>
        <v>12.106164566067063</v>
      </c>
      <c r="P2769">
        <f>LN(dataset[[#This Row],[soda_ppu]])</f>
        <v>-0.25218623676694052</v>
      </c>
      <c r="Q2769">
        <f>IF(dataset[[#This Row],[state]]="VA",1,0)</f>
        <v>0</v>
      </c>
    </row>
    <row r="2770" spans="1:17" x14ac:dyDescent="0.35">
      <c r="A2770">
        <v>202409</v>
      </c>
      <c r="B2770">
        <v>15</v>
      </c>
      <c r="C2770" s="2">
        <v>2168954.3933000001</v>
      </c>
      <c r="D2770" s="2">
        <v>0.82540000000000002</v>
      </c>
      <c r="E2770" s="3">
        <v>205800</v>
      </c>
      <c r="F2770" s="2">
        <v>169875.77350000001</v>
      </c>
      <c r="G2770" t="s">
        <v>2036</v>
      </c>
      <c r="H2770" t="s">
        <v>7</v>
      </c>
      <c r="I2770">
        <f>HLOOKUP(G2770,zip_tiers!$A$1:$EON$2,2,FALSE)</f>
        <v>60623.333333333336</v>
      </c>
      <c r="J2770" t="str">
        <f t="shared" si="43"/>
        <v>Med</v>
      </c>
      <c r="K2770">
        <f>dataset[[#This Row],[soda_sales]]/dataset[[#This Row],[soda_units_sold]]</f>
        <v>0.82544107628765795</v>
      </c>
      <c r="L2770" s="29">
        <f>dataset[[#This Row],[implied_soda_ppu]]-dataset[[#This Row],[soda_ppu]]</f>
        <v>4.1076287657926258E-5</v>
      </c>
      <c r="M2770">
        <f>dataset[[#This Row],[soda_sales]]/dataset[[#This Row],[total_sales]]</f>
        <v>7.8321505525775034E-2</v>
      </c>
      <c r="N2770">
        <f>LN(dataset[[#This Row],[soda_units_sold]])</f>
        <v>12.234660102382087</v>
      </c>
      <c r="O2770">
        <f>LN(dataset[[#This Row],[soda_sales]])</f>
        <v>12.042822704791128</v>
      </c>
      <c r="P2770">
        <f>LN(dataset[[#This Row],[soda_ppu]])</f>
        <v>-0.19188716166365558</v>
      </c>
      <c r="Q2770">
        <f>IF(dataset[[#This Row],[state]]="VA",1,0)</f>
        <v>0</v>
      </c>
    </row>
    <row r="2771" spans="1:17" x14ac:dyDescent="0.35">
      <c r="A2771">
        <v>202410</v>
      </c>
      <c r="B2771">
        <v>15</v>
      </c>
      <c r="C2771" s="2">
        <v>2635003.6164000002</v>
      </c>
      <c r="D2771" s="2">
        <v>0.81259999999999999</v>
      </c>
      <c r="E2771" s="3">
        <v>201358</v>
      </c>
      <c r="F2771" s="2">
        <v>163615.1447</v>
      </c>
      <c r="G2771" t="s">
        <v>2036</v>
      </c>
      <c r="H2771" t="s">
        <v>7</v>
      </c>
      <c r="I2771">
        <f>HLOOKUP(G2771,zip_tiers!$A$1:$EON$2,2,FALSE)</f>
        <v>60623.333333333336</v>
      </c>
      <c r="J2771" t="str">
        <f t="shared" si="43"/>
        <v>Med</v>
      </c>
      <c r="K2771">
        <f>dataset[[#This Row],[soda_sales]]/dataset[[#This Row],[soda_units_sold]]</f>
        <v>0.81255845161354401</v>
      </c>
      <c r="L2771" s="29">
        <f>dataset[[#This Row],[implied_soda_ppu]]-dataset[[#This Row],[soda_ppu]]</f>
        <v>-4.154838645598069E-5</v>
      </c>
      <c r="M2771">
        <f>dataset[[#This Row],[soda_sales]]/dataset[[#This Row],[total_sales]]</f>
        <v>6.2092948822413611E-2</v>
      </c>
      <c r="N2771">
        <f>LN(dataset[[#This Row],[soda_units_sold]])</f>
        <v>12.212839697300593</v>
      </c>
      <c r="O2771">
        <f>LN(dataset[[#This Row],[soda_sales]])</f>
        <v>12.005272270382198</v>
      </c>
      <c r="P2771">
        <f>LN(dataset[[#This Row],[soda_ppu]])</f>
        <v>-0.20751629542851069</v>
      </c>
      <c r="Q2771">
        <f>IF(dataset[[#This Row],[state]]="VA",1,0)</f>
        <v>0</v>
      </c>
    </row>
    <row r="2772" spans="1:17" x14ac:dyDescent="0.35">
      <c r="A2772">
        <v>202411</v>
      </c>
      <c r="B2772">
        <v>15</v>
      </c>
      <c r="C2772" s="2">
        <v>2938992.1338</v>
      </c>
      <c r="D2772" s="2">
        <v>0.80289999999999995</v>
      </c>
      <c r="E2772" s="3">
        <v>188598</v>
      </c>
      <c r="F2772" s="2">
        <v>151423.76120000001</v>
      </c>
      <c r="G2772" t="s">
        <v>2036</v>
      </c>
      <c r="H2772" t="s">
        <v>7</v>
      </c>
      <c r="I2772">
        <f>HLOOKUP(G2772,zip_tiers!$A$1:$EON$2,2,FALSE)</f>
        <v>60623.333333333336</v>
      </c>
      <c r="J2772" t="str">
        <f t="shared" si="43"/>
        <v>Med</v>
      </c>
      <c r="K2772">
        <f>dataset[[#This Row],[soda_sales]]/dataset[[#This Row],[soda_units_sold]]</f>
        <v>0.80289165950858443</v>
      </c>
      <c r="L2772" s="29">
        <f>dataset[[#This Row],[implied_soda_ppu]]-dataset[[#This Row],[soda_ppu]]</f>
        <v>-8.3404914155149612E-6</v>
      </c>
      <c r="M2772">
        <f>dataset[[#This Row],[soda_sales]]/dataset[[#This Row],[total_sales]]</f>
        <v>5.1522343138841652E-2</v>
      </c>
      <c r="N2772">
        <f>LN(dataset[[#This Row],[soda_units_sold]])</f>
        <v>12.147373044671395</v>
      </c>
      <c r="O2772">
        <f>LN(dataset[[#This Row],[soda_sales]])</f>
        <v>11.92783755086802</v>
      </c>
      <c r="P2772">
        <f>LN(dataset[[#This Row],[soda_ppu]])</f>
        <v>-0.21952510579149881</v>
      </c>
      <c r="Q2772">
        <f>IF(dataset[[#This Row],[state]]="VA",1,0)</f>
        <v>0</v>
      </c>
    </row>
    <row r="2773" spans="1:17" x14ac:dyDescent="0.35">
      <c r="A2773">
        <v>202412</v>
      </c>
      <c r="B2773">
        <v>15</v>
      </c>
      <c r="C2773" s="2">
        <v>3050632.5093999999</v>
      </c>
      <c r="D2773" s="2">
        <v>0.79330000000000001</v>
      </c>
      <c r="E2773" s="3">
        <v>188006</v>
      </c>
      <c r="F2773" s="2">
        <v>149152.6807</v>
      </c>
      <c r="G2773" t="s">
        <v>2036</v>
      </c>
      <c r="H2773" t="s">
        <v>7</v>
      </c>
      <c r="I2773">
        <f>HLOOKUP(G2773,zip_tiers!$A$1:$EON$2,2,FALSE)</f>
        <v>60623.333333333336</v>
      </c>
      <c r="J2773" t="str">
        <f t="shared" si="43"/>
        <v>Med</v>
      </c>
      <c r="K2773">
        <f>dataset[[#This Row],[soda_sales]]/dataset[[#This Row],[soda_units_sold]]</f>
        <v>0.79334000351052625</v>
      </c>
      <c r="L2773" s="29">
        <f>dataset[[#This Row],[implied_soda_ppu]]-dataset[[#This Row],[soda_ppu]]</f>
        <v>4.0003510526243069E-5</v>
      </c>
      <c r="M2773">
        <f>dataset[[#This Row],[soda_sales]]/dataset[[#This Row],[total_sales]]</f>
        <v>4.8892378954335416E-2</v>
      </c>
      <c r="N2773">
        <f>LN(dataset[[#This Row],[soda_units_sold]])</f>
        <v>12.144229156196435</v>
      </c>
      <c r="O2773">
        <f>LN(dataset[[#This Row],[soda_sales]])</f>
        <v>11.91272576296274</v>
      </c>
      <c r="P2773">
        <f>LN(dataset[[#This Row],[soda_ppu]])</f>
        <v>-0.23155381867417979</v>
      </c>
      <c r="Q2773">
        <f>IF(dataset[[#This Row],[state]]="VA",1,0)</f>
        <v>0</v>
      </c>
    </row>
    <row r="2774" spans="1:17" x14ac:dyDescent="0.35">
      <c r="A2774">
        <v>202201</v>
      </c>
      <c r="B2774">
        <v>70</v>
      </c>
      <c r="C2774" s="2">
        <v>1926310.3600999999</v>
      </c>
      <c r="D2774" s="2">
        <v>0.76029999999999998</v>
      </c>
      <c r="E2774" s="3">
        <v>137043</v>
      </c>
      <c r="F2774" s="2">
        <v>104195.19680000001</v>
      </c>
      <c r="G2774" t="s">
        <v>2069</v>
      </c>
      <c r="H2774" t="s">
        <v>7</v>
      </c>
      <c r="I2774">
        <f>HLOOKUP(G2774,zip_tiers!$A$1:$EON$2,2,FALSE)</f>
        <v>74214</v>
      </c>
      <c r="J2774" t="str">
        <f t="shared" si="43"/>
        <v>Med</v>
      </c>
      <c r="K2774">
        <f>dataset[[#This Row],[soda_sales]]/dataset[[#This Row],[soda_units_sold]]</f>
        <v>0.76031024422991322</v>
      </c>
      <c r="L2774" s="29">
        <f>dataset[[#This Row],[implied_soda_ppu]]-dataset[[#This Row],[soda_ppu]]</f>
        <v>1.0244229913247693E-5</v>
      </c>
      <c r="M2774">
        <f>dataset[[#This Row],[soda_sales]]/dataset[[#This Row],[total_sales]]</f>
        <v>5.409055516609014E-2</v>
      </c>
      <c r="N2774">
        <f>LN(dataset[[#This Row],[soda_units_sold]])</f>
        <v>11.828050024176951</v>
      </c>
      <c r="O2774">
        <f>LN(dataset[[#This Row],[soda_sales]])</f>
        <v>11.554021311269661</v>
      </c>
      <c r="P2774">
        <f>LN(dataset[[#This Row],[soda_ppu]])</f>
        <v>-0.27404218674774611</v>
      </c>
      <c r="Q2774">
        <f>IF(dataset[[#This Row],[state]]="VA",1,0)</f>
        <v>0</v>
      </c>
    </row>
    <row r="2775" spans="1:17" x14ac:dyDescent="0.35">
      <c r="A2775">
        <v>202202</v>
      </c>
      <c r="B2775">
        <v>70</v>
      </c>
      <c r="C2775" s="2">
        <v>2195155.7982999999</v>
      </c>
      <c r="D2775" s="2">
        <v>0.75929999999999997</v>
      </c>
      <c r="E2775" s="3">
        <v>158100</v>
      </c>
      <c r="F2775" s="2">
        <v>120045.94409999999</v>
      </c>
      <c r="G2775" t="s">
        <v>2069</v>
      </c>
      <c r="H2775" t="s">
        <v>7</v>
      </c>
      <c r="I2775">
        <f>HLOOKUP(G2775,zip_tiers!$A$1:$EON$2,2,FALSE)</f>
        <v>74214</v>
      </c>
      <c r="J2775" t="str">
        <f t="shared" si="43"/>
        <v>Med</v>
      </c>
      <c r="K2775">
        <f>dataset[[#This Row],[soda_sales]]/dataset[[#This Row],[soda_units_sold]]</f>
        <v>0.75930388425047435</v>
      </c>
      <c r="L2775" s="29">
        <f>dataset[[#This Row],[implied_soda_ppu]]-dataset[[#This Row],[soda_ppu]]</f>
        <v>3.8842504743730188E-6</v>
      </c>
      <c r="M2775">
        <f>dataset[[#This Row],[soda_sales]]/dataset[[#This Row],[total_sales]]</f>
        <v>5.4686753529279097E-2</v>
      </c>
      <c r="N2775">
        <f>LN(dataset[[#This Row],[soda_units_sold]])</f>
        <v>11.970983023197563</v>
      </c>
      <c r="O2775">
        <f>LN(dataset[[#This Row],[soda_sales]])</f>
        <v>11.695629815989124</v>
      </c>
      <c r="P2775">
        <f>LN(dataset[[#This Row],[soda_ppu]])</f>
        <v>-0.27535832276294903</v>
      </c>
      <c r="Q2775">
        <f>IF(dataset[[#This Row],[state]]="VA",1,0)</f>
        <v>0</v>
      </c>
    </row>
    <row r="2776" spans="1:17" x14ac:dyDescent="0.35">
      <c r="A2776">
        <v>202203</v>
      </c>
      <c r="B2776">
        <v>70</v>
      </c>
      <c r="C2776" s="2">
        <v>2462174.6570000001</v>
      </c>
      <c r="D2776" s="2">
        <v>0.72760000000000002</v>
      </c>
      <c r="E2776" s="3">
        <v>193118</v>
      </c>
      <c r="F2776" s="2">
        <v>140505.45129999999</v>
      </c>
      <c r="G2776" t="s">
        <v>2069</v>
      </c>
      <c r="H2776" t="s">
        <v>7</v>
      </c>
      <c r="I2776">
        <f>HLOOKUP(G2776,zip_tiers!$A$1:$EON$2,2,FALSE)</f>
        <v>74214</v>
      </c>
      <c r="J2776" t="str">
        <f t="shared" si="43"/>
        <v>Med</v>
      </c>
      <c r="K2776">
        <f>dataset[[#This Row],[soda_sales]]/dataset[[#This Row],[soda_units_sold]]</f>
        <v>0.72756268861525075</v>
      </c>
      <c r="L2776" s="29">
        <f>dataset[[#This Row],[implied_soda_ppu]]-dataset[[#This Row],[soda_ppu]]</f>
        <v>-3.7311384749272314E-5</v>
      </c>
      <c r="M2776">
        <f>dataset[[#This Row],[soda_sales]]/dataset[[#This Row],[total_sales]]</f>
        <v>5.7065590737253688E-2</v>
      </c>
      <c r="N2776">
        <f>LN(dataset[[#This Row],[soda_units_sold]])</f>
        <v>12.171056680022554</v>
      </c>
      <c r="O2776">
        <f>LN(dataset[[#This Row],[soda_sales]])</f>
        <v>11.853001566291521</v>
      </c>
      <c r="P2776">
        <f>LN(dataset[[#This Row],[soda_ppu]])</f>
        <v>-0.31800383233816981</v>
      </c>
      <c r="Q2776">
        <f>IF(dataset[[#This Row],[state]]="VA",1,0)</f>
        <v>0</v>
      </c>
    </row>
    <row r="2777" spans="1:17" x14ac:dyDescent="0.35">
      <c r="A2777">
        <v>202204</v>
      </c>
      <c r="B2777">
        <v>70</v>
      </c>
      <c r="C2777" s="2">
        <v>2596668.1065000002</v>
      </c>
      <c r="D2777" s="2">
        <v>0.74860000000000004</v>
      </c>
      <c r="E2777" s="3">
        <v>218437</v>
      </c>
      <c r="F2777" s="2">
        <v>163523.7096</v>
      </c>
      <c r="G2777" t="s">
        <v>2069</v>
      </c>
      <c r="H2777" t="s">
        <v>7</v>
      </c>
      <c r="I2777">
        <f>HLOOKUP(G2777,zip_tiers!$A$1:$EON$2,2,FALSE)</f>
        <v>74214</v>
      </c>
      <c r="J2777" t="str">
        <f t="shared" si="43"/>
        <v>Med</v>
      </c>
      <c r="K2777">
        <f>dataset[[#This Row],[soda_sales]]/dataset[[#This Row],[soda_units_sold]]</f>
        <v>0.74860810943201017</v>
      </c>
      <c r="L2777" s="29">
        <f>dataset[[#This Row],[implied_soda_ppu]]-dataset[[#This Row],[soda_ppu]]</f>
        <v>8.1094320101282591E-6</v>
      </c>
      <c r="M2777">
        <f>dataset[[#This Row],[soda_sales]]/dataset[[#This Row],[total_sales]]</f>
        <v>6.297443604389262E-2</v>
      </c>
      <c r="N2777">
        <f>LN(dataset[[#This Row],[soda_units_sold]])</f>
        <v>12.294252922423384</v>
      </c>
      <c r="O2777">
        <f>LN(dataset[[#This Row],[soda_sales]])</f>
        <v>12.004713271650136</v>
      </c>
      <c r="P2777">
        <f>LN(dataset[[#This Row],[soda_ppu]])</f>
        <v>-0.2895504835118084</v>
      </c>
      <c r="Q2777">
        <f>IF(dataset[[#This Row],[state]]="VA",1,0)</f>
        <v>0</v>
      </c>
    </row>
    <row r="2778" spans="1:17" x14ac:dyDescent="0.35">
      <c r="A2778">
        <v>202205</v>
      </c>
      <c r="B2778">
        <v>70</v>
      </c>
      <c r="C2778" s="2">
        <v>2733127.7664999999</v>
      </c>
      <c r="D2778" s="2">
        <v>0.75029999999999997</v>
      </c>
      <c r="E2778" s="3">
        <v>241790</v>
      </c>
      <c r="F2778" s="2">
        <v>181418.24230000001</v>
      </c>
      <c r="G2778" t="s">
        <v>2069</v>
      </c>
      <c r="H2778" t="s">
        <v>7</v>
      </c>
      <c r="I2778">
        <f>HLOOKUP(G2778,zip_tiers!$A$1:$EON$2,2,FALSE)</f>
        <v>74214</v>
      </c>
      <c r="J2778" t="str">
        <f t="shared" si="43"/>
        <v>Med</v>
      </c>
      <c r="K2778">
        <f>dataset[[#This Row],[soda_sales]]/dataset[[#This Row],[soda_units_sold]]</f>
        <v>0.75031325654493575</v>
      </c>
      <c r="L2778" s="29">
        <f>dataset[[#This Row],[implied_soda_ppu]]-dataset[[#This Row],[soda_ppu]]</f>
        <v>1.3256544935780212E-5</v>
      </c>
      <c r="M2778">
        <f>dataset[[#This Row],[soda_sales]]/dataset[[#This Row],[total_sales]]</f>
        <v>6.6377519749953484E-2</v>
      </c>
      <c r="N2778">
        <f>LN(dataset[[#This Row],[soda_units_sold]])</f>
        <v>12.395824859814656</v>
      </c>
      <c r="O2778">
        <f>LN(dataset[[#This Row],[soda_sales]])</f>
        <v>12.108560375554037</v>
      </c>
      <c r="P2778">
        <f>LN(dataset[[#This Row],[soda_ppu]])</f>
        <v>-0.28728215243045402</v>
      </c>
      <c r="Q2778">
        <f>IF(dataset[[#This Row],[state]]="VA",1,0)</f>
        <v>0</v>
      </c>
    </row>
    <row r="2779" spans="1:17" x14ac:dyDescent="0.35">
      <c r="A2779">
        <v>202206</v>
      </c>
      <c r="B2779">
        <v>70</v>
      </c>
      <c r="C2779" s="2">
        <v>2567994.7866000002</v>
      </c>
      <c r="D2779" s="2">
        <v>0.74829999999999997</v>
      </c>
      <c r="E2779" s="3">
        <v>248379</v>
      </c>
      <c r="F2779" s="2">
        <v>185862.59789999999</v>
      </c>
      <c r="G2779" t="s">
        <v>2069</v>
      </c>
      <c r="H2779" t="s">
        <v>7</v>
      </c>
      <c r="I2779">
        <f>HLOOKUP(G2779,zip_tiers!$A$1:$EON$2,2,FALSE)</f>
        <v>74214</v>
      </c>
      <c r="J2779" t="str">
        <f t="shared" si="43"/>
        <v>Med</v>
      </c>
      <c r="K2779">
        <f>dataset[[#This Row],[soda_sales]]/dataset[[#This Row],[soda_units_sold]]</f>
        <v>0.74830238425953888</v>
      </c>
      <c r="L2779" s="29">
        <f>dataset[[#This Row],[implied_soda_ppu]]-dataset[[#This Row],[soda_ppu]]</f>
        <v>2.3842595389123034E-6</v>
      </c>
      <c r="M2779">
        <f>dataset[[#This Row],[soda_sales]]/dataset[[#This Row],[total_sales]]</f>
        <v>7.2376547985940523E-2</v>
      </c>
      <c r="N2779">
        <f>LN(dataset[[#This Row],[soda_units_sold]])</f>
        <v>12.422711084404861</v>
      </c>
      <c r="O2779">
        <f>LN(dataset[[#This Row],[soda_sales]])</f>
        <v>12.132762958738812</v>
      </c>
      <c r="P2779">
        <f>LN(dataset[[#This Row],[soda_ppu]])</f>
        <v>-0.28995131189582424</v>
      </c>
      <c r="Q2779">
        <f>IF(dataset[[#This Row],[state]]="VA",1,0)</f>
        <v>0</v>
      </c>
    </row>
    <row r="2780" spans="1:17" x14ac:dyDescent="0.35">
      <c r="A2780">
        <v>202207</v>
      </c>
      <c r="B2780">
        <v>70</v>
      </c>
      <c r="C2780" s="2">
        <v>2481928.4981</v>
      </c>
      <c r="D2780" s="2">
        <v>0.77210000000000001</v>
      </c>
      <c r="E2780" s="3">
        <v>246332</v>
      </c>
      <c r="F2780" s="2">
        <v>190180.80590000001</v>
      </c>
      <c r="G2780" t="s">
        <v>2069</v>
      </c>
      <c r="H2780" t="s">
        <v>7</v>
      </c>
      <c r="I2780">
        <f>HLOOKUP(G2780,zip_tiers!$A$1:$EON$2,2,FALSE)</f>
        <v>74214</v>
      </c>
      <c r="J2780" t="str">
        <f t="shared" si="43"/>
        <v>Med</v>
      </c>
      <c r="K2780">
        <f>dataset[[#This Row],[soda_sales]]/dataset[[#This Row],[soda_units_sold]]</f>
        <v>0.77205075223681863</v>
      </c>
      <c r="L2780" s="29">
        <f>dataset[[#This Row],[implied_soda_ppu]]-dataset[[#This Row],[soda_ppu]]</f>
        <v>-4.9247763181381465E-5</v>
      </c>
      <c r="M2780">
        <f>dataset[[#This Row],[soda_sales]]/dataset[[#This Row],[total_sales]]</f>
        <v>7.6626222731875568E-2</v>
      </c>
      <c r="N2780">
        <f>LN(dataset[[#This Row],[soda_units_sold]])</f>
        <v>12.414435498527688</v>
      </c>
      <c r="O2780">
        <f>LN(dataset[[#This Row],[soda_sales]])</f>
        <v>12.155730508648869</v>
      </c>
      <c r="P2780">
        <f>LN(dataset[[#This Row],[soda_ppu]])</f>
        <v>-0.25864120366736693</v>
      </c>
      <c r="Q2780">
        <f>IF(dataset[[#This Row],[state]]="VA",1,0)</f>
        <v>0</v>
      </c>
    </row>
    <row r="2781" spans="1:17" x14ac:dyDescent="0.35">
      <c r="A2781">
        <v>202208</v>
      </c>
      <c r="B2781">
        <v>70</v>
      </c>
      <c r="C2781" s="2">
        <v>2339227.0605000001</v>
      </c>
      <c r="D2781" s="2">
        <v>0.76400000000000001</v>
      </c>
      <c r="E2781" s="3">
        <v>218542</v>
      </c>
      <c r="F2781" s="2">
        <v>166974.44680000001</v>
      </c>
      <c r="G2781" t="s">
        <v>2069</v>
      </c>
      <c r="H2781" t="s">
        <v>7</v>
      </c>
      <c r="I2781">
        <f>HLOOKUP(G2781,zip_tiers!$A$1:$EON$2,2,FALSE)</f>
        <v>74214</v>
      </c>
      <c r="J2781" t="str">
        <f t="shared" si="43"/>
        <v>Med</v>
      </c>
      <c r="K2781">
        <f>dataset[[#This Row],[soda_sales]]/dataset[[#This Row],[soda_units_sold]]</f>
        <v>0.7640382480255512</v>
      </c>
      <c r="L2781" s="29">
        <f>dataset[[#This Row],[implied_soda_ppu]]-dataset[[#This Row],[soda_ppu]]</f>
        <v>3.8248025551190779E-5</v>
      </c>
      <c r="M2781">
        <f>dataset[[#This Row],[soda_sales]]/dataset[[#This Row],[total_sales]]</f>
        <v>7.138017921368861E-2</v>
      </c>
      <c r="N2781">
        <f>LN(dataset[[#This Row],[soda_units_sold]])</f>
        <v>12.29473349472558</v>
      </c>
      <c r="O2781">
        <f>LN(dataset[[#This Row],[soda_sales]])</f>
        <v>12.025596066517529</v>
      </c>
      <c r="P2781">
        <f>LN(dataset[[#This Row],[soda_ppu]])</f>
        <v>-0.26918748981561652</v>
      </c>
      <c r="Q2781">
        <f>IF(dataset[[#This Row],[state]]="VA",1,0)</f>
        <v>0</v>
      </c>
    </row>
    <row r="2782" spans="1:17" x14ac:dyDescent="0.35">
      <c r="A2782">
        <v>202209</v>
      </c>
      <c r="B2782">
        <v>70</v>
      </c>
      <c r="C2782" s="2">
        <v>2324424.2741</v>
      </c>
      <c r="D2782" s="2">
        <v>0.7379</v>
      </c>
      <c r="E2782" s="3">
        <v>220240</v>
      </c>
      <c r="F2782" s="2">
        <v>162509.61470000001</v>
      </c>
      <c r="G2782" t="s">
        <v>2069</v>
      </c>
      <c r="H2782" t="s">
        <v>7</v>
      </c>
      <c r="I2782">
        <f>HLOOKUP(G2782,zip_tiers!$A$1:$EON$2,2,FALSE)</f>
        <v>74214</v>
      </c>
      <c r="J2782" t="str">
        <f t="shared" si="43"/>
        <v>Med</v>
      </c>
      <c r="K2782">
        <f>dataset[[#This Row],[soda_sales]]/dataset[[#This Row],[soda_units_sold]]</f>
        <v>0.73787511215038137</v>
      </c>
      <c r="L2782" s="29">
        <f>dataset[[#This Row],[implied_soda_ppu]]-dataset[[#This Row],[soda_ppu]]</f>
        <v>-2.4887849618626667E-5</v>
      </c>
      <c r="M2782">
        <f>dataset[[#This Row],[soda_sales]]/dataset[[#This Row],[total_sales]]</f>
        <v>6.9913920840859622E-2</v>
      </c>
      <c r="N2782">
        <f>LN(dataset[[#This Row],[soda_units_sold]])</f>
        <v>12.302473139816488</v>
      </c>
      <c r="O2782">
        <f>LN(dataset[[#This Row],[soda_sales]])</f>
        <v>11.998492446386225</v>
      </c>
      <c r="P2782">
        <f>LN(dataset[[#This Row],[soda_ppu]])</f>
        <v>-0.30394696491781609</v>
      </c>
      <c r="Q2782">
        <f>IF(dataset[[#This Row],[state]]="VA",1,0)</f>
        <v>0</v>
      </c>
    </row>
    <row r="2783" spans="1:17" x14ac:dyDescent="0.35">
      <c r="A2783">
        <v>202210</v>
      </c>
      <c r="B2783">
        <v>70</v>
      </c>
      <c r="C2783" s="2">
        <v>2845494.3747</v>
      </c>
      <c r="D2783" s="2">
        <v>0.73809999999999998</v>
      </c>
      <c r="E2783" s="3">
        <v>207411</v>
      </c>
      <c r="F2783" s="2">
        <v>153082.23869999999</v>
      </c>
      <c r="G2783" t="s">
        <v>2069</v>
      </c>
      <c r="H2783" t="s">
        <v>7</v>
      </c>
      <c r="I2783">
        <f>HLOOKUP(G2783,zip_tiers!$A$1:$EON$2,2,FALSE)</f>
        <v>74214</v>
      </c>
      <c r="J2783" t="str">
        <f t="shared" si="43"/>
        <v>Med</v>
      </c>
      <c r="K2783">
        <f>dataset[[#This Row],[soda_sales]]/dataset[[#This Row],[soda_units_sold]]</f>
        <v>0.73806229515310173</v>
      </c>
      <c r="L2783" s="29">
        <f>dataset[[#This Row],[implied_soda_ppu]]-dataset[[#This Row],[soda_ppu]]</f>
        <v>-3.7704846898245492E-5</v>
      </c>
      <c r="M2783">
        <f>dataset[[#This Row],[soda_sales]]/dataset[[#This Row],[total_sales]]</f>
        <v>5.379811679161707E-2</v>
      </c>
      <c r="N2783">
        <f>LN(dataset[[#This Row],[soda_units_sold]])</f>
        <v>12.242457610979606</v>
      </c>
      <c r="O2783">
        <f>LN(dataset[[#This Row],[soda_sales]])</f>
        <v>11.938730563812113</v>
      </c>
      <c r="P2783">
        <f>LN(dataset[[#This Row],[soda_ppu]])</f>
        <v>-0.30367596220613041</v>
      </c>
      <c r="Q2783">
        <f>IF(dataset[[#This Row],[state]]="VA",1,0)</f>
        <v>0</v>
      </c>
    </row>
    <row r="2784" spans="1:17" x14ac:dyDescent="0.35">
      <c r="A2784">
        <v>202211</v>
      </c>
      <c r="B2784">
        <v>70</v>
      </c>
      <c r="C2784" s="2">
        <v>3292182.4463</v>
      </c>
      <c r="D2784" s="2">
        <v>0.73580000000000001</v>
      </c>
      <c r="E2784" s="3">
        <v>199965</v>
      </c>
      <c r="F2784" s="2">
        <v>147135.13769999999</v>
      </c>
      <c r="G2784" t="s">
        <v>2069</v>
      </c>
      <c r="H2784" t="s">
        <v>7</v>
      </c>
      <c r="I2784">
        <f>HLOOKUP(G2784,zip_tiers!$A$1:$EON$2,2,FALSE)</f>
        <v>74214</v>
      </c>
      <c r="J2784" t="str">
        <f t="shared" si="43"/>
        <v>Med</v>
      </c>
      <c r="K2784">
        <f>dataset[[#This Row],[soda_sales]]/dataset[[#This Row],[soda_units_sold]]</f>
        <v>0.73580445427949892</v>
      </c>
      <c r="L2784" s="29">
        <f>dataset[[#This Row],[implied_soda_ppu]]-dataset[[#This Row],[soda_ppu]]</f>
        <v>4.4542794989110845E-6</v>
      </c>
      <c r="M2784">
        <f>dataset[[#This Row],[soda_sales]]/dataset[[#This Row],[total_sales]]</f>
        <v>4.4692279392158668E-2</v>
      </c>
      <c r="N2784">
        <f>LN(dataset[[#This Row],[soda_units_sold]])</f>
        <v>12.205897630215887</v>
      </c>
      <c r="O2784">
        <f>LN(dataset[[#This Row],[soda_sales]])</f>
        <v>11.899106747541305</v>
      </c>
      <c r="P2784">
        <f>LN(dataset[[#This Row],[soda_ppu]])</f>
        <v>-0.30679693631146304</v>
      </c>
      <c r="Q2784">
        <f>IF(dataset[[#This Row],[state]]="VA",1,0)</f>
        <v>0</v>
      </c>
    </row>
    <row r="2785" spans="1:17" x14ac:dyDescent="0.35">
      <c r="A2785">
        <v>202212</v>
      </c>
      <c r="B2785">
        <v>70</v>
      </c>
      <c r="C2785" s="2">
        <v>3413961.3681999999</v>
      </c>
      <c r="D2785" s="2">
        <v>0.75660000000000005</v>
      </c>
      <c r="E2785" s="3">
        <v>189372</v>
      </c>
      <c r="F2785" s="2">
        <v>143282.08679999999</v>
      </c>
      <c r="G2785" t="s">
        <v>2069</v>
      </c>
      <c r="H2785" t="s">
        <v>7</v>
      </c>
      <c r="I2785">
        <f>HLOOKUP(G2785,zip_tiers!$A$1:$EON$2,2,FALSE)</f>
        <v>74214</v>
      </c>
      <c r="J2785" t="str">
        <f t="shared" si="43"/>
        <v>Med</v>
      </c>
      <c r="K2785">
        <f>dataset[[#This Row],[soda_sales]]/dataset[[#This Row],[soda_units_sold]]</f>
        <v>0.7566170648247893</v>
      </c>
      <c r="L2785" s="29">
        <f>dataset[[#This Row],[implied_soda_ppu]]-dataset[[#This Row],[soda_ppu]]</f>
        <v>1.7064824789247979E-5</v>
      </c>
      <c r="M2785">
        <f>dataset[[#This Row],[soda_sales]]/dataset[[#This Row],[total_sales]]</f>
        <v>4.1969451715133207E-2</v>
      </c>
      <c r="N2785">
        <f>LN(dataset[[#This Row],[soda_units_sold]])</f>
        <v>12.151468613536133</v>
      </c>
      <c r="O2785">
        <f>LN(dataset[[#This Row],[soda_sales]])</f>
        <v>11.872570601117644</v>
      </c>
      <c r="P2785">
        <f>LN(dataset[[#This Row],[soda_ppu]])</f>
        <v>-0.27892056678320809</v>
      </c>
      <c r="Q2785">
        <f>IF(dataset[[#This Row],[state]]="VA",1,0)</f>
        <v>0</v>
      </c>
    </row>
    <row r="2786" spans="1:17" x14ac:dyDescent="0.35">
      <c r="A2786">
        <v>202301</v>
      </c>
      <c r="B2786">
        <v>70</v>
      </c>
      <c r="C2786" s="2">
        <v>1967489.6991000001</v>
      </c>
      <c r="D2786" s="2">
        <v>0.74260000000000004</v>
      </c>
      <c r="E2786" s="3">
        <v>143095</v>
      </c>
      <c r="F2786" s="2">
        <v>106267.406</v>
      </c>
      <c r="G2786" t="s">
        <v>2069</v>
      </c>
      <c r="H2786" t="s">
        <v>7</v>
      </c>
      <c r="I2786">
        <f>HLOOKUP(G2786,zip_tiers!$A$1:$EON$2,2,FALSE)</f>
        <v>74214</v>
      </c>
      <c r="J2786" t="str">
        <f t="shared" si="43"/>
        <v>Med</v>
      </c>
      <c r="K2786">
        <f>dataset[[#This Row],[soda_sales]]/dataset[[#This Row],[soda_units_sold]]</f>
        <v>0.74263535413536463</v>
      </c>
      <c r="L2786" s="29">
        <f>dataset[[#This Row],[implied_soda_ppu]]-dataset[[#This Row],[soda_ppu]]</f>
        <v>3.5354135364595862E-5</v>
      </c>
      <c r="M2786">
        <f>dataset[[#This Row],[soda_sales]]/dataset[[#This Row],[total_sales]]</f>
        <v>5.4011670835486712E-2</v>
      </c>
      <c r="N2786">
        <f>LN(dataset[[#This Row],[soda_units_sold]])</f>
        <v>11.871264024333128</v>
      </c>
      <c r="O2786">
        <f>LN(dataset[[#This Row],[soda_sales]])</f>
        <v>11.573713894545911</v>
      </c>
      <c r="P2786">
        <f>LN(dataset[[#This Row],[soda_ppu]])</f>
        <v>-0.29759773723915728</v>
      </c>
      <c r="Q2786">
        <f>IF(dataset[[#This Row],[state]]="VA",1,0)</f>
        <v>0</v>
      </c>
    </row>
    <row r="2787" spans="1:17" x14ac:dyDescent="0.35">
      <c r="A2787">
        <v>202302</v>
      </c>
      <c r="B2787">
        <v>70</v>
      </c>
      <c r="C2787" s="2">
        <v>2235123.9756999998</v>
      </c>
      <c r="D2787" s="2">
        <v>0.77470000000000006</v>
      </c>
      <c r="E2787" s="3">
        <v>154615</v>
      </c>
      <c r="F2787" s="2">
        <v>119772.8002</v>
      </c>
      <c r="G2787" t="s">
        <v>2069</v>
      </c>
      <c r="H2787" t="s">
        <v>7</v>
      </c>
      <c r="I2787">
        <f>HLOOKUP(G2787,zip_tiers!$A$1:$EON$2,2,FALSE)</f>
        <v>74214</v>
      </c>
      <c r="J2787" t="str">
        <f t="shared" si="43"/>
        <v>Med</v>
      </c>
      <c r="K2787">
        <f>dataset[[#This Row],[soda_sales]]/dataset[[#This Row],[soda_units_sold]]</f>
        <v>0.77465187853701123</v>
      </c>
      <c r="L2787" s="29">
        <f>dataset[[#This Row],[implied_soda_ppu]]-dataset[[#This Row],[soda_ppu]]</f>
        <v>-4.8121462988826025E-5</v>
      </c>
      <c r="M2787">
        <f>dataset[[#This Row],[soda_sales]]/dataset[[#This Row],[total_sales]]</f>
        <v>5.3586647318965543E-2</v>
      </c>
      <c r="N2787">
        <f>LN(dataset[[#This Row],[soda_units_sold]])</f>
        <v>11.948693435008439</v>
      </c>
      <c r="O2787">
        <f>LN(dataset[[#This Row],[soda_sales]])</f>
        <v>11.693351895479553</v>
      </c>
      <c r="P2787">
        <f>LN(dataset[[#This Row],[soda_ppu]])</f>
        <v>-0.25527942134428017</v>
      </c>
      <c r="Q2787">
        <f>IF(dataset[[#This Row],[state]]="VA",1,0)</f>
        <v>0</v>
      </c>
    </row>
    <row r="2788" spans="1:17" x14ac:dyDescent="0.35">
      <c r="A2788">
        <v>202303</v>
      </c>
      <c r="B2788">
        <v>70</v>
      </c>
      <c r="C2788" s="2">
        <v>2488060.6968</v>
      </c>
      <c r="D2788" s="2">
        <v>0.75090000000000001</v>
      </c>
      <c r="E2788" s="3">
        <v>190494</v>
      </c>
      <c r="F2788" s="2">
        <v>143036.56340000001</v>
      </c>
      <c r="G2788" t="s">
        <v>2069</v>
      </c>
      <c r="H2788" t="s">
        <v>7</v>
      </c>
      <c r="I2788">
        <f>HLOOKUP(G2788,zip_tiers!$A$1:$EON$2,2,FALSE)</f>
        <v>74214</v>
      </c>
      <c r="J2788" t="str">
        <f t="shared" si="43"/>
        <v>Med</v>
      </c>
      <c r="K2788">
        <f>dataset[[#This Row],[soda_sales]]/dataset[[#This Row],[soda_units_sold]]</f>
        <v>0.75087175134124962</v>
      </c>
      <c r="L2788" s="29">
        <f>dataset[[#This Row],[implied_soda_ppu]]-dataset[[#This Row],[soda_ppu]]</f>
        <v>-2.8248658750396061E-5</v>
      </c>
      <c r="M2788">
        <f>dataset[[#This Row],[soda_sales]]/dataset[[#This Row],[total_sales]]</f>
        <v>5.7489177649068364E-2</v>
      </c>
      <c r="N2788">
        <f>LN(dataset[[#This Row],[soda_units_sold]])</f>
        <v>12.15737597698989</v>
      </c>
      <c r="O2788">
        <f>LN(dataset[[#This Row],[soda_sales]])</f>
        <v>11.870855564671299</v>
      </c>
      <c r="P2788">
        <f>LN(dataset[[#This Row],[soda_ppu]])</f>
        <v>-0.28648279187629883</v>
      </c>
      <c r="Q2788">
        <f>IF(dataset[[#This Row],[state]]="VA",1,0)</f>
        <v>0</v>
      </c>
    </row>
    <row r="2789" spans="1:17" x14ac:dyDescent="0.35">
      <c r="A2789">
        <v>202304</v>
      </c>
      <c r="B2789">
        <v>70</v>
      </c>
      <c r="C2789" s="2">
        <v>2564753.2234999998</v>
      </c>
      <c r="D2789" s="2">
        <v>0.75849999999999995</v>
      </c>
      <c r="E2789" s="3">
        <v>215587</v>
      </c>
      <c r="F2789" s="2">
        <v>163531.5466</v>
      </c>
      <c r="G2789" t="s">
        <v>2069</v>
      </c>
      <c r="H2789" t="s">
        <v>7</v>
      </c>
      <c r="I2789">
        <f>HLOOKUP(G2789,zip_tiers!$A$1:$EON$2,2,FALSE)</f>
        <v>74214</v>
      </c>
      <c r="J2789" t="str">
        <f t="shared" si="43"/>
        <v>Med</v>
      </c>
      <c r="K2789">
        <f>dataset[[#This Row],[soda_sales]]/dataset[[#This Row],[soda_units_sold]]</f>
        <v>0.75854085172111496</v>
      </c>
      <c r="L2789" s="29">
        <f>dataset[[#This Row],[implied_soda_ppu]]-dataset[[#This Row],[soda_ppu]]</f>
        <v>4.0851721115009454E-5</v>
      </c>
      <c r="M2789">
        <f>dataset[[#This Row],[soda_sales]]/dataset[[#This Row],[total_sales]]</f>
        <v>6.376112333210604E-2</v>
      </c>
      <c r="N2789">
        <f>LN(dataset[[#This Row],[soda_units_sold]])</f>
        <v>12.281119819353041</v>
      </c>
      <c r="O2789">
        <f>LN(dataset[[#This Row],[soda_sales]])</f>
        <v>12.004761196273593</v>
      </c>
      <c r="P2789">
        <f>LN(dataset[[#This Row],[soda_ppu]])</f>
        <v>-0.27641248019355019</v>
      </c>
      <c r="Q2789">
        <f>IF(dataset[[#This Row],[state]]="VA",1,0)</f>
        <v>0</v>
      </c>
    </row>
    <row r="2790" spans="1:17" x14ac:dyDescent="0.35">
      <c r="A2790">
        <v>202305</v>
      </c>
      <c r="B2790">
        <v>70</v>
      </c>
      <c r="C2790" s="2">
        <v>2666159.4882</v>
      </c>
      <c r="D2790" s="2">
        <v>0.77239999999999998</v>
      </c>
      <c r="E2790" s="3">
        <v>230179</v>
      </c>
      <c r="F2790" s="2">
        <v>177789.7162</v>
      </c>
      <c r="G2790" t="s">
        <v>2069</v>
      </c>
      <c r="H2790" t="s">
        <v>7</v>
      </c>
      <c r="I2790">
        <f>HLOOKUP(G2790,zip_tiers!$A$1:$EON$2,2,FALSE)</f>
        <v>74214</v>
      </c>
      <c r="J2790" t="str">
        <f t="shared" si="43"/>
        <v>Med</v>
      </c>
      <c r="K2790">
        <f>dataset[[#This Row],[soda_sales]]/dataset[[#This Row],[soda_units_sold]]</f>
        <v>0.77239763922860027</v>
      </c>
      <c r="L2790" s="29">
        <f>dataset[[#This Row],[implied_soda_ppu]]-dataset[[#This Row],[soda_ppu]]</f>
        <v>-2.3607713997009228E-6</v>
      </c>
      <c r="M2790">
        <f>dataset[[#This Row],[soda_sales]]/dataset[[#This Row],[total_sales]]</f>
        <v>6.6683826300290419E-2</v>
      </c>
      <c r="N2790">
        <f>LN(dataset[[#This Row],[soda_units_sold]])</f>
        <v>12.346612546086943</v>
      </c>
      <c r="O2790">
        <f>LN(dataset[[#This Row],[soda_sales]])</f>
        <v>12.088356761244086</v>
      </c>
      <c r="P2790">
        <f>LN(dataset[[#This Row],[soda_ppu]])</f>
        <v>-0.25825272842777769</v>
      </c>
      <c r="Q2790">
        <f>IF(dataset[[#This Row],[state]]="VA",1,0)</f>
        <v>0</v>
      </c>
    </row>
    <row r="2791" spans="1:17" x14ac:dyDescent="0.35">
      <c r="A2791">
        <v>202306</v>
      </c>
      <c r="B2791">
        <v>70</v>
      </c>
      <c r="C2791" s="2">
        <v>2611059.4966000002</v>
      </c>
      <c r="D2791" s="2">
        <v>0.7631</v>
      </c>
      <c r="E2791" s="3">
        <v>246800</v>
      </c>
      <c r="F2791" s="2">
        <v>188334.57810000001</v>
      </c>
      <c r="G2791" t="s">
        <v>2069</v>
      </c>
      <c r="H2791" t="s">
        <v>7</v>
      </c>
      <c r="I2791">
        <f>HLOOKUP(G2791,zip_tiers!$A$1:$EON$2,2,FALSE)</f>
        <v>74214</v>
      </c>
      <c r="J2791" t="str">
        <f t="shared" si="43"/>
        <v>Med</v>
      </c>
      <c r="K2791">
        <f>dataset[[#This Row],[soda_sales]]/dataset[[#This Row],[soda_units_sold]]</f>
        <v>0.76310607009724474</v>
      </c>
      <c r="L2791" s="29">
        <f>dataset[[#This Row],[implied_soda_ppu]]-dataset[[#This Row],[soda_ppu]]</f>
        <v>6.0700972447369494E-6</v>
      </c>
      <c r="M2791">
        <f>dataset[[#This Row],[soda_sales]]/dataset[[#This Row],[total_sales]]</f>
        <v>7.212956209739399E-2</v>
      </c>
      <c r="N2791">
        <f>LN(dataset[[#This Row],[soda_units_sold]])</f>
        <v>12.41633357101337</v>
      </c>
      <c r="O2791">
        <f>LN(dataset[[#This Row],[soda_sales]])</f>
        <v>12.145975330819157</v>
      </c>
      <c r="P2791">
        <f>LN(dataset[[#This Row],[soda_ppu]])</f>
        <v>-0.27036619468654954</v>
      </c>
      <c r="Q2791">
        <f>IF(dataset[[#This Row],[state]]="VA",1,0)</f>
        <v>0</v>
      </c>
    </row>
    <row r="2792" spans="1:17" x14ac:dyDescent="0.35">
      <c r="A2792">
        <v>202307</v>
      </c>
      <c r="B2792">
        <v>70</v>
      </c>
      <c r="C2792" s="2">
        <v>2507954.2859999998</v>
      </c>
      <c r="D2792" s="2">
        <v>0.80730000000000002</v>
      </c>
      <c r="E2792" s="3">
        <v>234776</v>
      </c>
      <c r="F2792" s="2">
        <v>189532.63579999999</v>
      </c>
      <c r="G2792" t="s">
        <v>2069</v>
      </c>
      <c r="H2792" t="s">
        <v>7</v>
      </c>
      <c r="I2792">
        <f>HLOOKUP(G2792,zip_tiers!$A$1:$EON$2,2,FALSE)</f>
        <v>74214</v>
      </c>
      <c r="J2792" t="str">
        <f t="shared" si="43"/>
        <v>Med</v>
      </c>
      <c r="K2792">
        <f>dataset[[#This Row],[soda_sales]]/dataset[[#This Row],[soda_units_sold]]</f>
        <v>0.80729135771969873</v>
      </c>
      <c r="L2792" s="29">
        <f>dataset[[#This Row],[implied_soda_ppu]]-dataset[[#This Row],[soda_ppu]]</f>
        <v>-8.6422803012853322E-6</v>
      </c>
      <c r="M2792">
        <f>dataset[[#This Row],[soda_sales]]/dataset[[#This Row],[total_sales]]</f>
        <v>7.5572603877995886E-2</v>
      </c>
      <c r="N2792">
        <f>LN(dataset[[#This Row],[soda_units_sold]])</f>
        <v>12.366387147061038</v>
      </c>
      <c r="O2792">
        <f>LN(dataset[[#This Row],[soda_sales]])</f>
        <v>12.152316509256831</v>
      </c>
      <c r="P2792">
        <f>LN(dataset[[#This Row],[soda_ppu]])</f>
        <v>-0.21405993258116721</v>
      </c>
      <c r="Q2792">
        <f>IF(dataset[[#This Row],[state]]="VA",1,0)</f>
        <v>0</v>
      </c>
    </row>
    <row r="2793" spans="1:17" x14ac:dyDescent="0.35">
      <c r="A2793">
        <v>202308</v>
      </c>
      <c r="B2793">
        <v>70</v>
      </c>
      <c r="C2793" s="2">
        <v>2404180.5101000001</v>
      </c>
      <c r="D2793" s="2">
        <v>0.78269999999999995</v>
      </c>
      <c r="E2793" s="3">
        <v>223449</v>
      </c>
      <c r="F2793" s="2">
        <v>174890.64079999999</v>
      </c>
      <c r="G2793" t="s">
        <v>2069</v>
      </c>
      <c r="H2793" t="s">
        <v>7</v>
      </c>
      <c r="I2793">
        <f>HLOOKUP(G2793,zip_tiers!$A$1:$EON$2,2,FALSE)</f>
        <v>74214</v>
      </c>
      <c r="J2793" t="str">
        <f t="shared" si="43"/>
        <v>Med</v>
      </c>
      <c r="K2793">
        <f>dataset[[#This Row],[soda_sales]]/dataset[[#This Row],[soda_units_sold]]</f>
        <v>0.78268705968699792</v>
      </c>
      <c r="L2793" s="29">
        <f>dataset[[#This Row],[implied_soda_ppu]]-dataset[[#This Row],[soda_ppu]]</f>
        <v>-1.2940313002030024E-5</v>
      </c>
      <c r="M2793">
        <f>dataset[[#This Row],[soda_sales]]/dataset[[#This Row],[total_sales]]</f>
        <v>7.2744388395663995E-2</v>
      </c>
      <c r="N2793">
        <f>LN(dataset[[#This Row],[soda_units_sold]])</f>
        <v>12.316938479077473</v>
      </c>
      <c r="O2793">
        <f>LN(dataset[[#This Row],[soda_sales]])</f>
        <v>12.071916147853907</v>
      </c>
      <c r="P2793">
        <f>LN(dataset[[#This Row],[soda_ppu]])</f>
        <v>-0.24500579817134469</v>
      </c>
      <c r="Q2793">
        <f>IF(dataset[[#This Row],[state]]="VA",1,0)</f>
        <v>0</v>
      </c>
    </row>
    <row r="2794" spans="1:17" x14ac:dyDescent="0.35">
      <c r="A2794">
        <v>202309</v>
      </c>
      <c r="B2794">
        <v>70</v>
      </c>
      <c r="C2794" s="2">
        <v>2376705.9331999999</v>
      </c>
      <c r="D2794" s="2">
        <v>0.80459999999999998</v>
      </c>
      <c r="E2794" s="3">
        <v>200865</v>
      </c>
      <c r="F2794" s="2">
        <v>161614.43640000001</v>
      </c>
      <c r="G2794" t="s">
        <v>2069</v>
      </c>
      <c r="H2794" t="s">
        <v>7</v>
      </c>
      <c r="I2794">
        <f>HLOOKUP(G2794,zip_tiers!$A$1:$EON$2,2,FALSE)</f>
        <v>74214</v>
      </c>
      <c r="J2794" t="str">
        <f t="shared" si="43"/>
        <v>Med</v>
      </c>
      <c r="K2794">
        <f>dataset[[#This Row],[soda_sales]]/dataset[[#This Row],[soda_units_sold]]</f>
        <v>0.80459232021506988</v>
      </c>
      <c r="L2794" s="29">
        <f>dataset[[#This Row],[implied_soda_ppu]]-dataset[[#This Row],[soda_ppu]]</f>
        <v>-7.6797849301035725E-6</v>
      </c>
      <c r="M2794">
        <f>dataset[[#This Row],[soda_sales]]/dataset[[#This Row],[total_sales]]</f>
        <v>6.7999340659869567E-2</v>
      </c>
      <c r="N2794">
        <f>LN(dataset[[#This Row],[soda_units_sold]])</f>
        <v>12.210388319597776</v>
      </c>
      <c r="O2794">
        <f>LN(dataset[[#This Row],[soda_sales]])</f>
        <v>11.99296875523749</v>
      </c>
      <c r="P2794">
        <f>LN(dataset[[#This Row],[soda_ppu]])</f>
        <v>-0.21741001946644922</v>
      </c>
      <c r="Q2794">
        <f>IF(dataset[[#This Row],[state]]="VA",1,0)</f>
        <v>0</v>
      </c>
    </row>
    <row r="2795" spans="1:17" x14ac:dyDescent="0.35">
      <c r="A2795">
        <v>202310</v>
      </c>
      <c r="B2795">
        <v>70</v>
      </c>
      <c r="C2795" s="2">
        <v>2868247.0381999998</v>
      </c>
      <c r="D2795" s="2">
        <v>0.80100000000000005</v>
      </c>
      <c r="E2795" s="3">
        <v>192104</v>
      </c>
      <c r="F2795" s="2">
        <v>153869.06899999999</v>
      </c>
      <c r="G2795" t="s">
        <v>2069</v>
      </c>
      <c r="H2795" t="s">
        <v>7</v>
      </c>
      <c r="I2795">
        <f>HLOOKUP(G2795,zip_tiers!$A$1:$EON$2,2,FALSE)</f>
        <v>74214</v>
      </c>
      <c r="J2795" t="str">
        <f t="shared" si="43"/>
        <v>Med</v>
      </c>
      <c r="K2795">
        <f>dataset[[#This Row],[soda_sales]]/dataset[[#This Row],[soda_units_sold]]</f>
        <v>0.80096754362220457</v>
      </c>
      <c r="L2795" s="29">
        <f>dataset[[#This Row],[implied_soda_ppu]]-dataset[[#This Row],[soda_ppu]]</f>
        <v>-3.2456377795475611E-5</v>
      </c>
      <c r="M2795">
        <f>dataset[[#This Row],[soda_sales]]/dataset[[#This Row],[total_sales]]</f>
        <v>5.3645682171282648E-2</v>
      </c>
      <c r="N2795">
        <f>LN(dataset[[#This Row],[soda_units_sold]])</f>
        <v>12.16579217102815</v>
      </c>
      <c r="O2795">
        <f>LN(dataset[[#This Row],[soda_sales]])</f>
        <v>11.943857318470956</v>
      </c>
      <c r="P2795">
        <f>LN(dataset[[#This Row],[soda_ppu]])</f>
        <v>-0.22189433191377778</v>
      </c>
      <c r="Q2795">
        <f>IF(dataset[[#This Row],[state]]="VA",1,0)</f>
        <v>0</v>
      </c>
    </row>
    <row r="2796" spans="1:17" x14ac:dyDescent="0.35">
      <c r="A2796">
        <v>202311</v>
      </c>
      <c r="B2796">
        <v>70</v>
      </c>
      <c r="C2796" s="2">
        <v>3281973.9898000001</v>
      </c>
      <c r="D2796" s="2">
        <v>0.77639999999999998</v>
      </c>
      <c r="E2796" s="3">
        <v>189641</v>
      </c>
      <c r="F2796" s="2">
        <v>147228.07930000001</v>
      </c>
      <c r="G2796" t="s">
        <v>2069</v>
      </c>
      <c r="H2796" t="s">
        <v>7</v>
      </c>
      <c r="I2796">
        <f>HLOOKUP(G2796,zip_tiers!$A$1:$EON$2,2,FALSE)</f>
        <v>74214</v>
      </c>
      <c r="J2796" t="str">
        <f t="shared" si="43"/>
        <v>Med</v>
      </c>
      <c r="K2796">
        <f>dataset[[#This Row],[soda_sales]]/dataset[[#This Row],[soda_units_sold]]</f>
        <v>0.7763515236684051</v>
      </c>
      <c r="L2796" s="29">
        <f>dataset[[#This Row],[implied_soda_ppu]]-dataset[[#This Row],[soda_ppu]]</f>
        <v>-4.8476331594882183E-5</v>
      </c>
      <c r="M2796">
        <f>dataset[[#This Row],[soda_sales]]/dataset[[#This Row],[total_sales]]</f>
        <v>4.4859611854806906E-2</v>
      </c>
      <c r="N2796">
        <f>LN(dataset[[#This Row],[soda_units_sold]])</f>
        <v>12.152888090151276</v>
      </c>
      <c r="O2796">
        <f>LN(dataset[[#This Row],[soda_sales]])</f>
        <v>11.899738223199408</v>
      </c>
      <c r="P2796">
        <f>LN(dataset[[#This Row],[soda_ppu]])</f>
        <v>-0.25308742768728187</v>
      </c>
      <c r="Q2796">
        <f>IF(dataset[[#This Row],[state]]="VA",1,0)</f>
        <v>0</v>
      </c>
    </row>
    <row r="2797" spans="1:17" x14ac:dyDescent="0.35">
      <c r="A2797">
        <v>202312</v>
      </c>
      <c r="B2797">
        <v>70</v>
      </c>
      <c r="C2797" s="2">
        <v>3413393.0353000001</v>
      </c>
      <c r="D2797" s="2">
        <v>0.82709999999999995</v>
      </c>
      <c r="E2797" s="3">
        <v>171162</v>
      </c>
      <c r="F2797" s="2">
        <v>141568.7188</v>
      </c>
      <c r="G2797" t="s">
        <v>2069</v>
      </c>
      <c r="H2797" t="s">
        <v>7</v>
      </c>
      <c r="I2797">
        <f>HLOOKUP(G2797,zip_tiers!$A$1:$EON$2,2,FALSE)</f>
        <v>74214</v>
      </c>
      <c r="J2797" t="str">
        <f t="shared" si="43"/>
        <v>Med</v>
      </c>
      <c r="K2797">
        <f>dataset[[#This Row],[soda_sales]]/dataset[[#This Row],[soda_units_sold]]</f>
        <v>0.82710367254413952</v>
      </c>
      <c r="L2797" s="29">
        <f>dataset[[#This Row],[implied_soda_ppu]]-dataset[[#This Row],[soda_ppu]]</f>
        <v>3.6725441395768499E-6</v>
      </c>
      <c r="M2797">
        <f>dataset[[#This Row],[soda_sales]]/dataset[[#This Row],[total_sales]]</f>
        <v>4.1474485163574971E-2</v>
      </c>
      <c r="N2797">
        <f>LN(dataset[[#This Row],[soda_units_sold]])</f>
        <v>12.050365755435609</v>
      </c>
      <c r="O2797">
        <f>LN(dataset[[#This Row],[soda_sales]])</f>
        <v>11.860540523407632</v>
      </c>
      <c r="P2797">
        <f>LN(dataset[[#This Row],[soda_ppu]])</f>
        <v>-0.18982967228427636</v>
      </c>
      <c r="Q2797">
        <f>IF(dataset[[#This Row],[state]]="VA",1,0)</f>
        <v>0</v>
      </c>
    </row>
    <row r="2798" spans="1:17" x14ac:dyDescent="0.35">
      <c r="A2798">
        <v>202401</v>
      </c>
      <c r="B2798">
        <v>70</v>
      </c>
      <c r="C2798" s="2">
        <v>1944910.1464</v>
      </c>
      <c r="D2798" s="2">
        <v>0.82430000000000003</v>
      </c>
      <c r="E2798" s="3">
        <v>125847</v>
      </c>
      <c r="F2798" s="2">
        <v>103734.7058</v>
      </c>
      <c r="G2798" t="s">
        <v>2069</v>
      </c>
      <c r="H2798" t="s">
        <v>7</v>
      </c>
      <c r="I2798">
        <f>HLOOKUP(G2798,zip_tiers!$A$1:$EON$2,2,FALSE)</f>
        <v>74214</v>
      </c>
      <c r="J2798" t="str">
        <f t="shared" si="43"/>
        <v>Med</v>
      </c>
      <c r="K2798">
        <f>dataset[[#This Row],[soda_sales]]/dataset[[#This Row],[soda_units_sold]]</f>
        <v>0.82429224216707586</v>
      </c>
      <c r="L2798" s="29">
        <f>dataset[[#This Row],[implied_soda_ppu]]-dataset[[#This Row],[soda_ppu]]</f>
        <v>-7.7578329241712041E-6</v>
      </c>
      <c r="M2798">
        <f>dataset[[#This Row],[soda_sales]]/dataset[[#This Row],[total_sales]]</f>
        <v>5.3336502970078803E-2</v>
      </c>
      <c r="N2798">
        <f>LN(dataset[[#This Row],[soda_units_sold]])</f>
        <v>11.74282216237707</v>
      </c>
      <c r="O2798">
        <f>LN(dataset[[#This Row],[soda_sales]])</f>
        <v>11.549592013250534</v>
      </c>
      <c r="P2798">
        <f>LN(dataset[[#This Row],[soda_ppu]])</f>
        <v>-0.19322073766295517</v>
      </c>
      <c r="Q2798">
        <f>IF(dataset[[#This Row],[state]]="VA",1,0)</f>
        <v>0</v>
      </c>
    </row>
    <row r="2799" spans="1:17" x14ac:dyDescent="0.35">
      <c r="A2799">
        <v>202402</v>
      </c>
      <c r="B2799">
        <v>70</v>
      </c>
      <c r="C2799" s="2">
        <v>2257789.7510000002</v>
      </c>
      <c r="D2799" s="2">
        <v>0.81640000000000001</v>
      </c>
      <c r="E2799" s="3">
        <v>146849</v>
      </c>
      <c r="F2799" s="2">
        <v>119889.3352</v>
      </c>
      <c r="G2799" t="s">
        <v>2069</v>
      </c>
      <c r="H2799" t="s">
        <v>7</v>
      </c>
      <c r="I2799">
        <f>HLOOKUP(G2799,zip_tiers!$A$1:$EON$2,2,FALSE)</f>
        <v>74214</v>
      </c>
      <c r="J2799" t="str">
        <f t="shared" si="43"/>
        <v>Med</v>
      </c>
      <c r="K2799">
        <f>dataset[[#This Row],[soda_sales]]/dataset[[#This Row],[soda_units_sold]]</f>
        <v>0.81641233648169209</v>
      </c>
      <c r="L2799" s="29">
        <f>dataset[[#This Row],[implied_soda_ppu]]-dataset[[#This Row],[soda_ppu]]</f>
        <v>1.2336481692076795E-5</v>
      </c>
      <c r="M2799">
        <f>dataset[[#This Row],[soda_sales]]/dataset[[#This Row],[total_sales]]</f>
        <v>5.3100309781679046E-2</v>
      </c>
      <c r="N2799">
        <f>LN(dataset[[#This Row],[soda_units_sold]])</f>
        <v>11.89716012693385</v>
      </c>
      <c r="O2799">
        <f>LN(dataset[[#This Row],[soda_sales]])</f>
        <v>11.694324389603333</v>
      </c>
      <c r="P2799">
        <f>LN(dataset[[#This Row],[soda_ppu]])</f>
        <v>-0.20285084804644732</v>
      </c>
      <c r="Q2799">
        <f>IF(dataset[[#This Row],[state]]="VA",1,0)</f>
        <v>0</v>
      </c>
    </row>
    <row r="2800" spans="1:17" x14ac:dyDescent="0.35">
      <c r="A2800">
        <v>202403</v>
      </c>
      <c r="B2800">
        <v>70</v>
      </c>
      <c r="C2800" s="2">
        <v>2518680.4366000001</v>
      </c>
      <c r="D2800" s="2">
        <v>0.82020000000000004</v>
      </c>
      <c r="E2800" s="3">
        <v>170652</v>
      </c>
      <c r="F2800" s="2">
        <v>139971.73939999999</v>
      </c>
      <c r="G2800" t="s">
        <v>2069</v>
      </c>
      <c r="H2800" t="s">
        <v>7</v>
      </c>
      <c r="I2800">
        <f>HLOOKUP(G2800,zip_tiers!$A$1:$EON$2,2,FALSE)</f>
        <v>74214</v>
      </c>
      <c r="J2800" t="str">
        <f t="shared" si="43"/>
        <v>Med</v>
      </c>
      <c r="K2800">
        <f>dataset[[#This Row],[soda_sales]]/dataset[[#This Row],[soda_units_sold]]</f>
        <v>0.82021739797951376</v>
      </c>
      <c r="L2800" s="29">
        <f>dataset[[#This Row],[implied_soda_ppu]]-dataset[[#This Row],[soda_ppu]]</f>
        <v>1.7397979513722461E-5</v>
      </c>
      <c r="M2800">
        <f>dataset[[#This Row],[soda_sales]]/dataset[[#This Row],[total_sales]]</f>
        <v>5.5573441301251254E-2</v>
      </c>
      <c r="N2800">
        <f>LN(dataset[[#This Row],[soda_units_sold]])</f>
        <v>12.047381674160697</v>
      </c>
      <c r="O2800">
        <f>LN(dataset[[#This Row],[soda_sales]])</f>
        <v>11.849195819786109</v>
      </c>
      <c r="P2800">
        <f>LN(dataset[[#This Row],[soda_ppu]])</f>
        <v>-0.19820706602417812</v>
      </c>
      <c r="Q2800">
        <f>IF(dataset[[#This Row],[state]]="VA",1,0)</f>
        <v>0</v>
      </c>
    </row>
    <row r="2801" spans="1:17" x14ac:dyDescent="0.35">
      <c r="A2801">
        <v>202404</v>
      </c>
      <c r="B2801">
        <v>70</v>
      </c>
      <c r="C2801" s="2">
        <v>2665607.9520999999</v>
      </c>
      <c r="D2801" s="2">
        <v>0.80589999999999995</v>
      </c>
      <c r="E2801" s="3">
        <v>208756</v>
      </c>
      <c r="F2801" s="2">
        <v>168244.4443</v>
      </c>
      <c r="G2801" t="s">
        <v>2069</v>
      </c>
      <c r="H2801" t="s">
        <v>7</v>
      </c>
      <c r="I2801">
        <f>HLOOKUP(G2801,zip_tiers!$A$1:$EON$2,2,FALSE)</f>
        <v>74214</v>
      </c>
      <c r="J2801" t="str">
        <f t="shared" si="43"/>
        <v>Med</v>
      </c>
      <c r="K2801">
        <f>dataset[[#This Row],[soda_sales]]/dataset[[#This Row],[soda_units_sold]]</f>
        <v>0.80593824512828371</v>
      </c>
      <c r="L2801" s="29">
        <f>dataset[[#This Row],[implied_soda_ppu]]-dataset[[#This Row],[soda_ppu]]</f>
        <v>3.8245128283764807E-5</v>
      </c>
      <c r="M2801">
        <f>dataset[[#This Row],[soda_sales]]/dataset[[#This Row],[total_sales]]</f>
        <v>6.3116725086093353E-2</v>
      </c>
      <c r="N2801">
        <f>LN(dataset[[#This Row],[soda_units_sold]])</f>
        <v>12.248921384815015</v>
      </c>
      <c r="O2801">
        <f>LN(dataset[[#This Row],[soda_sales]])</f>
        <v>12.033173226456585</v>
      </c>
      <c r="P2801">
        <f>LN(dataset[[#This Row],[soda_ppu]])</f>
        <v>-0.21579561365167149</v>
      </c>
      <c r="Q2801">
        <f>IF(dataset[[#This Row],[state]]="VA",1,0)</f>
        <v>0</v>
      </c>
    </row>
    <row r="2802" spans="1:17" x14ac:dyDescent="0.35">
      <c r="A2802">
        <v>202405</v>
      </c>
      <c r="B2802">
        <v>70</v>
      </c>
      <c r="C2802" s="2">
        <v>2801563.3297999999</v>
      </c>
      <c r="D2802" s="2">
        <v>0.83169999999999999</v>
      </c>
      <c r="E2802" s="3">
        <v>219453</v>
      </c>
      <c r="F2802" s="2">
        <v>182523.21780000001</v>
      </c>
      <c r="G2802" t="s">
        <v>2069</v>
      </c>
      <c r="H2802" t="s">
        <v>7</v>
      </c>
      <c r="I2802">
        <f>HLOOKUP(G2802,zip_tiers!$A$1:$EON$2,2,FALSE)</f>
        <v>74214</v>
      </c>
      <c r="J2802" t="str">
        <f t="shared" si="43"/>
        <v>Med</v>
      </c>
      <c r="K2802">
        <f>dataset[[#This Row],[soda_sales]]/dataset[[#This Row],[soda_units_sold]]</f>
        <v>0.8317189457423686</v>
      </c>
      <c r="L2802" s="29">
        <f>dataset[[#This Row],[implied_soda_ppu]]-dataset[[#This Row],[soda_ppu]]</f>
        <v>1.8945742368603469E-5</v>
      </c>
      <c r="M2802">
        <f>dataset[[#This Row],[soda_sales]]/dataset[[#This Row],[total_sales]]</f>
        <v>6.5150487893140041E-2</v>
      </c>
      <c r="N2802">
        <f>LN(dataset[[#This Row],[soda_units_sold]])</f>
        <v>12.298893365562925</v>
      </c>
      <c r="O2802">
        <f>LN(dataset[[#This Row],[soda_sales]])</f>
        <v>12.114632664734719</v>
      </c>
      <c r="P2802">
        <f>LN(dataset[[#This Row],[soda_ppu]])</f>
        <v>-0.18428348010749523</v>
      </c>
      <c r="Q2802">
        <f>IF(dataset[[#This Row],[state]]="VA",1,0)</f>
        <v>0</v>
      </c>
    </row>
    <row r="2803" spans="1:17" x14ac:dyDescent="0.35">
      <c r="A2803">
        <v>202406</v>
      </c>
      <c r="B2803">
        <v>70</v>
      </c>
      <c r="C2803" s="2">
        <v>2652687.6197000002</v>
      </c>
      <c r="D2803" s="2">
        <v>0.79530000000000001</v>
      </c>
      <c r="E2803" s="3">
        <v>242660</v>
      </c>
      <c r="F2803" s="2">
        <v>192997.87090000001</v>
      </c>
      <c r="G2803" t="s">
        <v>2069</v>
      </c>
      <c r="H2803" t="s">
        <v>7</v>
      </c>
      <c r="I2803">
        <f>HLOOKUP(G2803,zip_tiers!$A$1:$EON$2,2,FALSE)</f>
        <v>74214</v>
      </c>
      <c r="J2803" t="str">
        <f t="shared" si="43"/>
        <v>Med</v>
      </c>
      <c r="K2803">
        <f>dataset[[#This Row],[soda_sales]]/dataset[[#This Row],[soda_units_sold]]</f>
        <v>0.79534274664139126</v>
      </c>
      <c r="L2803" s="29">
        <f>dataset[[#This Row],[implied_soda_ppu]]-dataset[[#This Row],[soda_ppu]]</f>
        <v>4.2746641391255835E-5</v>
      </c>
      <c r="M2803">
        <f>dataset[[#This Row],[soda_sales]]/dataset[[#This Row],[total_sales]]</f>
        <v>7.2755596801792541E-2</v>
      </c>
      <c r="N2803">
        <f>LN(dataset[[#This Row],[soda_units_sold]])</f>
        <v>12.399416565605865</v>
      </c>
      <c r="O2803">
        <f>LN(dataset[[#This Row],[soda_sales]])</f>
        <v>12.170434436219956</v>
      </c>
      <c r="P2803">
        <f>LN(dataset[[#This Row],[soda_ppu]])</f>
        <v>-0.22903587701904748</v>
      </c>
      <c r="Q2803">
        <f>IF(dataset[[#This Row],[state]]="VA",1,0)</f>
        <v>0</v>
      </c>
    </row>
    <row r="2804" spans="1:17" x14ac:dyDescent="0.35">
      <c r="A2804">
        <v>202407</v>
      </c>
      <c r="B2804">
        <v>70</v>
      </c>
      <c r="C2804" s="2">
        <v>2545552.2751000002</v>
      </c>
      <c r="D2804" s="2">
        <v>0.8417</v>
      </c>
      <c r="E2804" s="3">
        <v>230116</v>
      </c>
      <c r="F2804" s="2">
        <v>193697.1299</v>
      </c>
      <c r="G2804" t="s">
        <v>2069</v>
      </c>
      <c r="H2804" t="s">
        <v>7</v>
      </c>
      <c r="I2804">
        <f>HLOOKUP(G2804,zip_tiers!$A$1:$EON$2,2,FALSE)</f>
        <v>74214</v>
      </c>
      <c r="J2804" t="str">
        <f t="shared" si="43"/>
        <v>Med</v>
      </c>
      <c r="K2804">
        <f>dataset[[#This Row],[soda_sales]]/dataset[[#This Row],[soda_units_sold]]</f>
        <v>0.8417369061690626</v>
      </c>
      <c r="L2804" s="29">
        <f>dataset[[#This Row],[implied_soda_ppu]]-dataset[[#This Row],[soda_ppu]]</f>
        <v>3.6906169062600469E-5</v>
      </c>
      <c r="M2804">
        <f>dataset[[#This Row],[soda_sales]]/dataset[[#This Row],[total_sales]]</f>
        <v>7.6092379557355871E-2</v>
      </c>
      <c r="N2804">
        <f>LN(dataset[[#This Row],[soda_units_sold]])</f>
        <v>12.346338808590801</v>
      </c>
      <c r="O2804">
        <f>LN(dataset[[#This Row],[soda_sales]])</f>
        <v>12.174051032042151</v>
      </c>
      <c r="P2804">
        <f>LN(dataset[[#This Row],[soda_ppu]])</f>
        <v>-0.17233162276460665</v>
      </c>
      <c r="Q2804">
        <f>IF(dataset[[#This Row],[state]]="VA",1,0)</f>
        <v>0</v>
      </c>
    </row>
    <row r="2805" spans="1:17" x14ac:dyDescent="0.35">
      <c r="A2805">
        <v>202408</v>
      </c>
      <c r="B2805">
        <v>70</v>
      </c>
      <c r="C2805" s="2">
        <v>2445301.2072999999</v>
      </c>
      <c r="D2805" s="2">
        <v>0.81030000000000002</v>
      </c>
      <c r="E2805" s="3">
        <v>215909</v>
      </c>
      <c r="F2805" s="2">
        <v>174960.9987</v>
      </c>
      <c r="G2805" t="s">
        <v>2069</v>
      </c>
      <c r="H2805" t="s">
        <v>7</v>
      </c>
      <c r="I2805">
        <f>HLOOKUP(G2805,zip_tiers!$A$1:$EON$2,2,FALSE)</f>
        <v>74214</v>
      </c>
      <c r="J2805" t="str">
        <f t="shared" si="43"/>
        <v>Med</v>
      </c>
      <c r="K2805">
        <f>dataset[[#This Row],[soda_sales]]/dataset[[#This Row],[soda_units_sold]]</f>
        <v>0.8103460193877976</v>
      </c>
      <c r="L2805" s="29">
        <f>dataset[[#This Row],[implied_soda_ppu]]-dataset[[#This Row],[soda_ppu]]</f>
        <v>4.601938779758008E-5</v>
      </c>
      <c r="M2805">
        <f>dataset[[#This Row],[soda_sales]]/dataset[[#This Row],[total_sales]]</f>
        <v>7.1549876218801142E-2</v>
      </c>
      <c r="N2805">
        <f>LN(dataset[[#This Row],[soda_units_sold]])</f>
        <v>12.282612301599787</v>
      </c>
      <c r="O2805">
        <f>LN(dataset[[#This Row],[soda_sales]])</f>
        <v>12.072318363496224</v>
      </c>
      <c r="P2805">
        <f>LN(dataset[[#This Row],[soda_ppu]])</f>
        <v>-0.21035072951545744</v>
      </c>
      <c r="Q2805">
        <f>IF(dataset[[#This Row],[state]]="VA",1,0)</f>
        <v>0</v>
      </c>
    </row>
    <row r="2806" spans="1:17" x14ac:dyDescent="0.35">
      <c r="A2806">
        <v>202409</v>
      </c>
      <c r="B2806">
        <v>70</v>
      </c>
      <c r="C2806" s="2">
        <v>2415206.9275000002</v>
      </c>
      <c r="D2806" s="2">
        <v>0.83089999999999997</v>
      </c>
      <c r="E2806" s="3">
        <v>197854</v>
      </c>
      <c r="F2806" s="2">
        <v>164399.54240000001</v>
      </c>
      <c r="G2806" t="s">
        <v>2069</v>
      </c>
      <c r="H2806" t="s">
        <v>7</v>
      </c>
      <c r="I2806">
        <f>HLOOKUP(G2806,zip_tiers!$A$1:$EON$2,2,FALSE)</f>
        <v>74214</v>
      </c>
      <c r="J2806" t="str">
        <f t="shared" si="43"/>
        <v>Med</v>
      </c>
      <c r="K2806">
        <f>dataset[[#This Row],[soda_sales]]/dataset[[#This Row],[soda_units_sold]]</f>
        <v>0.83091341292063847</v>
      </c>
      <c r="L2806" s="29">
        <f>dataset[[#This Row],[implied_soda_ppu]]-dataset[[#This Row],[soda_ppu]]</f>
        <v>1.3412920638500303E-5</v>
      </c>
      <c r="M2806">
        <f>dataset[[#This Row],[soda_sales]]/dataset[[#This Row],[total_sales]]</f>
        <v>6.8068512278644078E-2</v>
      </c>
      <c r="N2806">
        <f>LN(dataset[[#This Row],[soda_units_sold]])</f>
        <v>12.195284663945568</v>
      </c>
      <c r="O2806">
        <f>LN(dataset[[#This Row],[soda_sales]])</f>
        <v>12.010054978145355</v>
      </c>
      <c r="P2806">
        <f>LN(dataset[[#This Row],[soda_ppu]])</f>
        <v>-0.18524582831120143</v>
      </c>
      <c r="Q2806">
        <f>IF(dataset[[#This Row],[state]]="VA",1,0)</f>
        <v>0</v>
      </c>
    </row>
    <row r="2807" spans="1:17" x14ac:dyDescent="0.35">
      <c r="A2807">
        <v>202410</v>
      </c>
      <c r="B2807">
        <v>70</v>
      </c>
      <c r="C2807" s="2">
        <v>2936371.9589</v>
      </c>
      <c r="D2807" s="2">
        <v>0.81140000000000001</v>
      </c>
      <c r="E2807" s="3">
        <v>197536</v>
      </c>
      <c r="F2807" s="2">
        <v>160289.07430000001</v>
      </c>
      <c r="G2807" t="s">
        <v>2069</v>
      </c>
      <c r="H2807" t="s">
        <v>7</v>
      </c>
      <c r="I2807">
        <f>HLOOKUP(G2807,zip_tiers!$A$1:$EON$2,2,FALSE)</f>
        <v>74214</v>
      </c>
      <c r="J2807" t="str">
        <f t="shared" si="43"/>
        <v>Med</v>
      </c>
      <c r="K2807">
        <f>dataset[[#This Row],[soda_sales]]/dataset[[#This Row],[soda_units_sold]]</f>
        <v>0.81144234114288027</v>
      </c>
      <c r="L2807" s="29">
        <f>dataset[[#This Row],[implied_soda_ppu]]-dataset[[#This Row],[soda_ppu]]</f>
        <v>4.2341142880264471E-5</v>
      </c>
      <c r="M2807">
        <f>dataset[[#This Row],[soda_sales]]/dataset[[#This Row],[total_sales]]</f>
        <v>5.45874557254818E-2</v>
      </c>
      <c r="N2807">
        <f>LN(dataset[[#This Row],[soda_units_sold]])</f>
        <v>12.193676125193623</v>
      </c>
      <c r="O2807">
        <f>LN(dataset[[#This Row],[soda_sales]])</f>
        <v>11.984734178445724</v>
      </c>
      <c r="P2807">
        <f>LN(dataset[[#This Row],[soda_ppu]])</f>
        <v>-0.20899412820979019</v>
      </c>
      <c r="Q2807">
        <f>IF(dataset[[#This Row],[state]]="VA",1,0)</f>
        <v>0</v>
      </c>
    </row>
    <row r="2808" spans="1:17" x14ac:dyDescent="0.35">
      <c r="A2808">
        <v>202411</v>
      </c>
      <c r="B2808">
        <v>70</v>
      </c>
      <c r="C2808" s="2">
        <v>3471726.5633999999</v>
      </c>
      <c r="D2808" s="2">
        <v>0.84099999999999997</v>
      </c>
      <c r="E2808" s="3">
        <v>184866</v>
      </c>
      <c r="F2808" s="2">
        <v>155465.6415</v>
      </c>
      <c r="G2808" t="s">
        <v>2069</v>
      </c>
      <c r="H2808" t="s">
        <v>7</v>
      </c>
      <c r="I2808">
        <f>HLOOKUP(G2808,zip_tiers!$A$1:$EON$2,2,FALSE)</f>
        <v>74214</v>
      </c>
      <c r="J2808" t="str">
        <f t="shared" si="43"/>
        <v>Med</v>
      </c>
      <c r="K2808">
        <f>dataset[[#This Row],[soda_sales]]/dataset[[#This Row],[soda_units_sold]]</f>
        <v>0.84096394956346754</v>
      </c>
      <c r="L2808" s="29">
        <f>dataset[[#This Row],[implied_soda_ppu]]-dataset[[#This Row],[soda_ppu]]</f>
        <v>-3.6050436532431007E-5</v>
      </c>
      <c r="M2808">
        <f>dataset[[#This Row],[soda_sales]]/dataset[[#This Row],[total_sales]]</f>
        <v>4.4780497156361967E-2</v>
      </c>
      <c r="N2808">
        <f>LN(dataset[[#This Row],[soda_units_sold]])</f>
        <v>12.127386517286535</v>
      </c>
      <c r="O2808">
        <f>LN(dataset[[#This Row],[soda_sales]])</f>
        <v>11.954180031203354</v>
      </c>
      <c r="P2808">
        <f>LN(dataset[[#This Row],[soda_ppu]])</f>
        <v>-0.17316361900918903</v>
      </c>
      <c r="Q2808">
        <f>IF(dataset[[#This Row],[state]]="VA",1,0)</f>
        <v>0</v>
      </c>
    </row>
    <row r="2809" spans="1:17" x14ac:dyDescent="0.35">
      <c r="A2809">
        <v>202412</v>
      </c>
      <c r="B2809">
        <v>70</v>
      </c>
      <c r="C2809" s="2">
        <v>3507047.5940999999</v>
      </c>
      <c r="D2809" s="2">
        <v>0.79410000000000003</v>
      </c>
      <c r="E2809" s="3">
        <v>186591</v>
      </c>
      <c r="F2809" s="2">
        <v>148174.7953</v>
      </c>
      <c r="G2809" t="s">
        <v>2069</v>
      </c>
      <c r="H2809" t="s">
        <v>7</v>
      </c>
      <c r="I2809">
        <f>HLOOKUP(G2809,zip_tiers!$A$1:$EON$2,2,FALSE)</f>
        <v>74214</v>
      </c>
      <c r="J2809" t="str">
        <f t="shared" si="43"/>
        <v>Med</v>
      </c>
      <c r="K2809">
        <f>dataset[[#This Row],[soda_sales]]/dataset[[#This Row],[soda_units_sold]]</f>
        <v>0.79411544661854006</v>
      </c>
      <c r="L2809" s="29">
        <f>dataset[[#This Row],[implied_soda_ppu]]-dataset[[#This Row],[soda_ppu]]</f>
        <v>1.5446618540027046E-5</v>
      </c>
      <c r="M2809">
        <f>dataset[[#This Row],[soda_sales]]/dataset[[#This Row],[total_sales]]</f>
        <v>4.2250580103126753E-2</v>
      </c>
      <c r="N2809">
        <f>LN(dataset[[#This Row],[soda_units_sold]])</f>
        <v>12.136674334720949</v>
      </c>
      <c r="O2809">
        <f>LN(dataset[[#This Row],[soda_sales]])</f>
        <v>11.906147905180477</v>
      </c>
      <c r="P2809">
        <f>LN(dataset[[#This Row],[soda_ppu]])</f>
        <v>-0.23054588108097174</v>
      </c>
      <c r="Q2809">
        <f>IF(dataset[[#This Row],[state]]="VA",1,0)</f>
        <v>0</v>
      </c>
    </row>
    <row r="2810" spans="1:17" x14ac:dyDescent="0.35">
      <c r="A2810">
        <v>202201</v>
      </c>
      <c r="B2810">
        <v>11</v>
      </c>
      <c r="C2810" s="2">
        <v>1391497.0045</v>
      </c>
      <c r="D2810" s="2">
        <v>0.73129999999999995</v>
      </c>
      <c r="E2810" s="3">
        <v>129125</v>
      </c>
      <c r="F2810" s="2">
        <v>94427.349000000002</v>
      </c>
      <c r="G2810" t="s">
        <v>2085</v>
      </c>
      <c r="H2810" t="s">
        <v>7</v>
      </c>
      <c r="I2810">
        <f>HLOOKUP(G2810,zip_tiers!$A$1:$EON$2,2,FALSE)</f>
        <v>32777.666666666664</v>
      </c>
      <c r="J2810" t="str">
        <f t="shared" si="43"/>
        <v>Low</v>
      </c>
      <c r="K2810">
        <f>dataset[[#This Row],[soda_sales]]/dataset[[#This Row],[soda_units_sold]]</f>
        <v>0.73128634269119075</v>
      </c>
      <c r="L2810" s="29">
        <f>dataset[[#This Row],[implied_soda_ppu]]-dataset[[#This Row],[soda_ppu]]</f>
        <v>-1.3657308809200686E-5</v>
      </c>
      <c r="M2810">
        <f>dataset[[#This Row],[soda_sales]]/dataset[[#This Row],[total_sales]]</f>
        <v>6.7860260348839296E-2</v>
      </c>
      <c r="N2810">
        <f>LN(dataset[[#This Row],[soda_units_sold]])</f>
        <v>11.76853620642194</v>
      </c>
      <c r="O2810">
        <f>LN(dataset[[#This Row],[soda_sales]])</f>
        <v>11.45558602415765</v>
      </c>
      <c r="P2810">
        <f>LN(dataset[[#This Row],[soda_ppu]])</f>
        <v>-0.31293150670523162</v>
      </c>
      <c r="Q2810">
        <f>IF(dataset[[#This Row],[state]]="VA",1,0)</f>
        <v>0</v>
      </c>
    </row>
    <row r="2811" spans="1:17" x14ac:dyDescent="0.35">
      <c r="A2811">
        <v>202202</v>
      </c>
      <c r="B2811">
        <v>11</v>
      </c>
      <c r="C2811" s="2">
        <v>1574979.0915000001</v>
      </c>
      <c r="D2811" s="2">
        <v>0.73750000000000004</v>
      </c>
      <c r="E2811" s="3">
        <v>144838</v>
      </c>
      <c r="F2811" s="2">
        <v>106815.2871</v>
      </c>
      <c r="G2811" t="s">
        <v>2085</v>
      </c>
      <c r="H2811" t="s">
        <v>7</v>
      </c>
      <c r="I2811">
        <f>HLOOKUP(G2811,zip_tiers!$A$1:$EON$2,2,FALSE)</f>
        <v>32777.666666666664</v>
      </c>
      <c r="J2811" t="str">
        <f t="shared" si="43"/>
        <v>Low</v>
      </c>
      <c r="K2811">
        <f>dataset[[#This Row],[soda_sales]]/dataset[[#This Row],[soda_units_sold]]</f>
        <v>0.73748109681161023</v>
      </c>
      <c r="L2811" s="29">
        <f>dataset[[#This Row],[implied_soda_ppu]]-dataset[[#This Row],[soda_ppu]]</f>
        <v>-1.8903188389818304E-5</v>
      </c>
      <c r="M2811">
        <f>dataset[[#This Row],[soda_sales]]/dataset[[#This Row],[total_sales]]</f>
        <v>6.782013023313839E-2</v>
      </c>
      <c r="N2811">
        <f>LN(dataset[[#This Row],[soda_units_sold]])</f>
        <v>11.883371155444005</v>
      </c>
      <c r="O2811">
        <f>LN(dataset[[#This Row],[soda_sales]])</f>
        <v>11.578856332905467</v>
      </c>
      <c r="P2811">
        <f>LN(dataset[[#This Row],[soda_ppu]])</f>
        <v>-0.30448919076816211</v>
      </c>
      <c r="Q2811">
        <f>IF(dataset[[#This Row],[state]]="VA",1,0)</f>
        <v>0</v>
      </c>
    </row>
    <row r="2812" spans="1:17" x14ac:dyDescent="0.35">
      <c r="A2812">
        <v>202203</v>
      </c>
      <c r="B2812">
        <v>11</v>
      </c>
      <c r="C2812" s="2">
        <v>1762023.9521000001</v>
      </c>
      <c r="D2812" s="2">
        <v>0.73370000000000002</v>
      </c>
      <c r="E2812" s="3">
        <v>176325</v>
      </c>
      <c r="F2812" s="2">
        <v>129375.027</v>
      </c>
      <c r="G2812" t="s">
        <v>2085</v>
      </c>
      <c r="H2812" t="s">
        <v>7</v>
      </c>
      <c r="I2812">
        <f>HLOOKUP(G2812,zip_tiers!$A$1:$EON$2,2,FALSE)</f>
        <v>32777.666666666664</v>
      </c>
      <c r="J2812" t="str">
        <f t="shared" si="43"/>
        <v>Low</v>
      </c>
      <c r="K2812">
        <f>dataset[[#This Row],[soda_sales]]/dataset[[#This Row],[soda_units_sold]]</f>
        <v>0.73373048064653346</v>
      </c>
      <c r="L2812" s="29">
        <f>dataset[[#This Row],[implied_soda_ppu]]-dataset[[#This Row],[soda_ppu]]</f>
        <v>3.0480646533437294E-5</v>
      </c>
      <c r="M2812">
        <f>dataset[[#This Row],[soda_sales]]/dataset[[#This Row],[total_sales]]</f>
        <v>7.3424102348784409E-2</v>
      </c>
      <c r="N2812">
        <f>LN(dataset[[#This Row],[soda_units_sold]])</f>
        <v>12.08008416207638</v>
      </c>
      <c r="O2812">
        <f>LN(dataset[[#This Row],[soda_sales]])</f>
        <v>11.770470651697401</v>
      </c>
      <c r="P2812">
        <f>LN(dataset[[#This Row],[soda_ppu]])</f>
        <v>-0.30965505326218845</v>
      </c>
      <c r="Q2812">
        <f>IF(dataset[[#This Row],[state]]="VA",1,0)</f>
        <v>0</v>
      </c>
    </row>
    <row r="2813" spans="1:17" x14ac:dyDescent="0.35">
      <c r="A2813">
        <v>202204</v>
      </c>
      <c r="B2813">
        <v>11</v>
      </c>
      <c r="C2813" s="2">
        <v>1807414.9605</v>
      </c>
      <c r="D2813" s="2">
        <v>0.74019999999999997</v>
      </c>
      <c r="E2813" s="3">
        <v>193349</v>
      </c>
      <c r="F2813" s="2">
        <v>143118.80979999999</v>
      </c>
      <c r="G2813" t="s">
        <v>2085</v>
      </c>
      <c r="H2813" t="s">
        <v>7</v>
      </c>
      <c r="I2813">
        <f>HLOOKUP(G2813,zip_tiers!$A$1:$EON$2,2,FALSE)</f>
        <v>32777.666666666664</v>
      </c>
      <c r="J2813" t="str">
        <f t="shared" si="43"/>
        <v>Low</v>
      </c>
      <c r="K2813">
        <f>dataset[[#This Row],[soda_sales]]/dataset[[#This Row],[soda_units_sold]]</f>
        <v>0.74020972335000434</v>
      </c>
      <c r="L2813" s="29">
        <f>dataset[[#This Row],[implied_soda_ppu]]-dataset[[#This Row],[soda_ppu]]</f>
        <v>9.7233500043758525E-6</v>
      </c>
      <c r="M2813">
        <f>dataset[[#This Row],[soda_sales]]/dataset[[#This Row],[total_sales]]</f>
        <v>7.9184256481094881E-2</v>
      </c>
      <c r="N2813">
        <f>LN(dataset[[#This Row],[soda_units_sold]])</f>
        <v>12.172252125054134</v>
      </c>
      <c r="O2813">
        <f>LN(dataset[[#This Row],[soda_sales]])</f>
        <v>11.871430402049644</v>
      </c>
      <c r="P2813">
        <f>LN(dataset[[#This Row],[soda_ppu]])</f>
        <v>-0.3008348590300815</v>
      </c>
      <c r="Q2813">
        <f>IF(dataset[[#This Row],[state]]="VA",1,0)</f>
        <v>0</v>
      </c>
    </row>
    <row r="2814" spans="1:17" x14ac:dyDescent="0.35">
      <c r="A2814">
        <v>202205</v>
      </c>
      <c r="B2814">
        <v>11</v>
      </c>
      <c r="C2814" s="2">
        <v>1957391.2285</v>
      </c>
      <c r="D2814" s="2">
        <v>0.72550000000000003</v>
      </c>
      <c r="E2814" s="3">
        <v>226991</v>
      </c>
      <c r="F2814" s="2">
        <v>164684.6637</v>
      </c>
      <c r="G2814" t="s">
        <v>2085</v>
      </c>
      <c r="H2814" t="s">
        <v>7</v>
      </c>
      <c r="I2814">
        <f>HLOOKUP(G2814,zip_tiers!$A$1:$EON$2,2,FALSE)</f>
        <v>32777.666666666664</v>
      </c>
      <c r="J2814" t="str">
        <f t="shared" si="43"/>
        <v>Low</v>
      </c>
      <c r="K2814">
        <f>dataset[[#This Row],[soda_sales]]/dataset[[#This Row],[soda_units_sold]]</f>
        <v>0.72551186478759067</v>
      </c>
      <c r="L2814" s="29">
        <f>dataset[[#This Row],[implied_soda_ppu]]-dataset[[#This Row],[soda_ppu]]</f>
        <v>1.186478759063192E-5</v>
      </c>
      <c r="M2814">
        <f>dataset[[#This Row],[soda_sales]]/dataset[[#This Row],[total_sales]]</f>
        <v>8.413477147652397E-2</v>
      </c>
      <c r="N2814">
        <f>LN(dataset[[#This Row],[soda_units_sold]])</f>
        <v>12.332665648100461</v>
      </c>
      <c r="O2814">
        <f>LN(dataset[[#This Row],[soda_sales]])</f>
        <v>12.011787795254522</v>
      </c>
      <c r="P2814">
        <f>LN(dataset[[#This Row],[soda_ppu]])</f>
        <v>-0.32089420665789448</v>
      </c>
      <c r="Q2814">
        <f>IF(dataset[[#This Row],[state]]="VA",1,0)</f>
        <v>0</v>
      </c>
    </row>
    <row r="2815" spans="1:17" x14ac:dyDescent="0.35">
      <c r="A2815">
        <v>202206</v>
      </c>
      <c r="B2815">
        <v>11</v>
      </c>
      <c r="C2815" s="2">
        <v>1820591.5082</v>
      </c>
      <c r="D2815" s="2">
        <v>0.75109999999999999</v>
      </c>
      <c r="E2815" s="3">
        <v>216718</v>
      </c>
      <c r="F2815" s="2">
        <v>162778.8155</v>
      </c>
      <c r="G2815" t="s">
        <v>2085</v>
      </c>
      <c r="H2815" t="s">
        <v>7</v>
      </c>
      <c r="I2815">
        <f>HLOOKUP(G2815,zip_tiers!$A$1:$EON$2,2,FALSE)</f>
        <v>32777.666666666664</v>
      </c>
      <c r="J2815" t="str">
        <f t="shared" si="43"/>
        <v>Low</v>
      </c>
      <c r="K2815">
        <f>dataset[[#This Row],[soda_sales]]/dataset[[#This Row],[soda_units_sold]]</f>
        <v>0.75110888574091672</v>
      </c>
      <c r="L2815" s="29">
        <f>dataset[[#This Row],[implied_soda_ppu]]-dataset[[#This Row],[soda_ppu]]</f>
        <v>8.8857409167308887E-6</v>
      </c>
      <c r="M2815">
        <f>dataset[[#This Row],[soda_sales]]/dataset[[#This Row],[total_sales]]</f>
        <v>8.9409851010970459E-2</v>
      </c>
      <c r="N2815">
        <f>LN(dataset[[#This Row],[soda_units_sold]])</f>
        <v>12.286352248218794</v>
      </c>
      <c r="O2815">
        <f>LN(dataset[[#This Row],[soda_sales]])</f>
        <v>12.000147598162089</v>
      </c>
      <c r="P2815">
        <f>LN(dataset[[#This Row],[soda_ppu]])</f>
        <v>-0.28621648029017099</v>
      </c>
      <c r="Q2815">
        <f>IF(dataset[[#This Row],[state]]="VA",1,0)</f>
        <v>0</v>
      </c>
    </row>
    <row r="2816" spans="1:17" x14ac:dyDescent="0.35">
      <c r="A2816">
        <v>202207</v>
      </c>
      <c r="B2816">
        <v>11</v>
      </c>
      <c r="C2816" s="2">
        <v>1771786.3101999999</v>
      </c>
      <c r="D2816" s="2">
        <v>0.74239999999999995</v>
      </c>
      <c r="E2816" s="3">
        <v>234073</v>
      </c>
      <c r="F2816" s="2">
        <v>173783.68489999999</v>
      </c>
      <c r="G2816" t="s">
        <v>2085</v>
      </c>
      <c r="H2816" t="s">
        <v>7</v>
      </c>
      <c r="I2816">
        <f>HLOOKUP(G2816,zip_tiers!$A$1:$EON$2,2,FALSE)</f>
        <v>32777.666666666664</v>
      </c>
      <c r="J2816" t="str">
        <f t="shared" si="43"/>
        <v>Low</v>
      </c>
      <c r="K2816">
        <f>dataset[[#This Row],[soda_sales]]/dataset[[#This Row],[soda_units_sold]]</f>
        <v>0.74243370615149973</v>
      </c>
      <c r="L2816" s="29">
        <f>dataset[[#This Row],[implied_soda_ppu]]-dataset[[#This Row],[soda_ppu]]</f>
        <v>3.3706151499779402E-5</v>
      </c>
      <c r="M2816">
        <f>dataset[[#This Row],[soda_sales]]/dataset[[#This Row],[total_sales]]</f>
        <v>9.8083885116136388E-2</v>
      </c>
      <c r="N2816">
        <f>LN(dataset[[#This Row],[soda_units_sold]])</f>
        <v>12.363388311500588</v>
      </c>
      <c r="O2816">
        <f>LN(dataset[[#This Row],[soda_sales]])</f>
        <v>12.06556661456475</v>
      </c>
      <c r="P2816">
        <f>LN(dataset[[#This Row],[soda_ppu]])</f>
        <v>-0.29786709751014628</v>
      </c>
      <c r="Q2816">
        <f>IF(dataset[[#This Row],[state]]="VA",1,0)</f>
        <v>0</v>
      </c>
    </row>
    <row r="2817" spans="1:17" x14ac:dyDescent="0.35">
      <c r="A2817">
        <v>202208</v>
      </c>
      <c r="B2817">
        <v>11</v>
      </c>
      <c r="C2817" s="2">
        <v>1668998.9853999999</v>
      </c>
      <c r="D2817" s="2">
        <v>0.7419</v>
      </c>
      <c r="E2817" s="3">
        <v>205732</v>
      </c>
      <c r="F2817" s="2">
        <v>152630.5117</v>
      </c>
      <c r="G2817" t="s">
        <v>2085</v>
      </c>
      <c r="H2817" t="s">
        <v>7</v>
      </c>
      <c r="I2817">
        <f>HLOOKUP(G2817,zip_tiers!$A$1:$EON$2,2,FALSE)</f>
        <v>32777.666666666664</v>
      </c>
      <c r="J2817" t="str">
        <f t="shared" si="43"/>
        <v>Low</v>
      </c>
      <c r="K2817">
        <f>dataset[[#This Row],[soda_sales]]/dataset[[#This Row],[soda_units_sold]]</f>
        <v>0.74188999134796729</v>
      </c>
      <c r="L2817" s="29">
        <f>dataset[[#This Row],[implied_soda_ppu]]-dataset[[#This Row],[soda_ppu]]</f>
        <v>-1.0008652032711396E-5</v>
      </c>
      <c r="M2817">
        <f>dataset[[#This Row],[soda_sales]]/dataset[[#This Row],[total_sales]]</f>
        <v>9.1450332226187592E-2</v>
      </c>
      <c r="N2817">
        <f>LN(dataset[[#This Row],[soda_units_sold]])</f>
        <v>12.234329629900632</v>
      </c>
      <c r="O2817">
        <f>LN(dataset[[#This Row],[soda_sales]])</f>
        <v>11.93577532345547</v>
      </c>
      <c r="P2817">
        <f>LN(dataset[[#This Row],[soda_ppu]])</f>
        <v>-0.29854081578665681</v>
      </c>
      <c r="Q2817">
        <f>IF(dataset[[#This Row],[state]]="VA",1,0)</f>
        <v>0</v>
      </c>
    </row>
    <row r="2818" spans="1:17" x14ac:dyDescent="0.35">
      <c r="A2818">
        <v>202209</v>
      </c>
      <c r="B2818">
        <v>11</v>
      </c>
      <c r="C2818" s="2">
        <v>1624442.6207999999</v>
      </c>
      <c r="D2818" s="2">
        <v>0.74409999999999998</v>
      </c>
      <c r="E2818" s="3">
        <v>188781</v>
      </c>
      <c r="F2818" s="2">
        <v>140474.31390000001</v>
      </c>
      <c r="G2818" t="s">
        <v>2085</v>
      </c>
      <c r="H2818" t="s">
        <v>7</v>
      </c>
      <c r="I2818">
        <f>HLOOKUP(G2818,zip_tiers!$A$1:$EON$2,2,FALSE)</f>
        <v>32777.666666666664</v>
      </c>
      <c r="J2818" t="str">
        <f t="shared" ref="J2818:J2881" si="44">IF(I2818="","No Data",IF(I2818&gt;=100000,"High",IF(I2818&gt;=40000,"Med","Low")))</f>
        <v>Low</v>
      </c>
      <c r="K2818">
        <f>dataset[[#This Row],[soda_sales]]/dataset[[#This Row],[soda_units_sold]]</f>
        <v>0.74411256376436197</v>
      </c>
      <c r="L2818" s="29">
        <f>dataset[[#This Row],[implied_soda_ppu]]-dataset[[#This Row],[soda_ppu]]</f>
        <v>1.2563764361983587E-5</v>
      </c>
      <c r="M2818">
        <f>dataset[[#This Row],[soda_sales]]/dataset[[#This Row],[total_sales]]</f>
        <v>8.6475392914044394E-2</v>
      </c>
      <c r="N2818">
        <f>LN(dataset[[#This Row],[soda_units_sold]])</f>
        <v>12.148342892036215</v>
      </c>
      <c r="O2818">
        <f>LN(dataset[[#This Row],[soda_sales]])</f>
        <v>11.852779931825385</v>
      </c>
      <c r="P2818">
        <f>LN(dataset[[#This Row],[soda_ppu]])</f>
        <v>-0.2955798445789215</v>
      </c>
      <c r="Q2818">
        <f>IF(dataset[[#This Row],[state]]="VA",1,0)</f>
        <v>0</v>
      </c>
    </row>
    <row r="2819" spans="1:17" x14ac:dyDescent="0.35">
      <c r="A2819">
        <v>202210</v>
      </c>
      <c r="B2819">
        <v>11</v>
      </c>
      <c r="C2819" s="2">
        <v>2065648.7082</v>
      </c>
      <c r="D2819" s="2">
        <v>0.71379999999999999</v>
      </c>
      <c r="E2819" s="3">
        <v>209694</v>
      </c>
      <c r="F2819" s="2">
        <v>149685.14069999999</v>
      </c>
      <c r="G2819" t="s">
        <v>2085</v>
      </c>
      <c r="H2819" t="s">
        <v>7</v>
      </c>
      <c r="I2819">
        <f>HLOOKUP(G2819,zip_tiers!$A$1:$EON$2,2,FALSE)</f>
        <v>32777.666666666664</v>
      </c>
      <c r="J2819" t="str">
        <f t="shared" si="44"/>
        <v>Low</v>
      </c>
      <c r="K2819">
        <f>dataset[[#This Row],[soda_sales]]/dataset[[#This Row],[soda_units_sold]]</f>
        <v>0.71382653151735376</v>
      </c>
      <c r="L2819" s="29">
        <f>dataset[[#This Row],[implied_soda_ppu]]-dataset[[#This Row],[soda_ppu]]</f>
        <v>2.6531517353767242E-5</v>
      </c>
      <c r="M2819">
        <f>dataset[[#This Row],[soda_sales]]/dataset[[#This Row],[total_sales]]</f>
        <v>7.246398678816747E-2</v>
      </c>
      <c r="N2819">
        <f>LN(dataset[[#This Row],[soda_units_sold]])</f>
        <v>12.253404604177382</v>
      </c>
      <c r="O2819">
        <f>LN(dataset[[#This Row],[soda_sales]])</f>
        <v>11.916289304960026</v>
      </c>
      <c r="P2819">
        <f>LN(dataset[[#This Row],[soda_ppu]])</f>
        <v>-0.33715246792607712</v>
      </c>
      <c r="Q2819">
        <f>IF(dataset[[#This Row],[state]]="VA",1,0)</f>
        <v>0</v>
      </c>
    </row>
    <row r="2820" spans="1:17" x14ac:dyDescent="0.35">
      <c r="A2820">
        <v>202211</v>
      </c>
      <c r="B2820">
        <v>11</v>
      </c>
      <c r="C2820" s="2">
        <v>2313978.1217</v>
      </c>
      <c r="D2820" s="2">
        <v>0.75790000000000002</v>
      </c>
      <c r="E2820" s="3">
        <v>167785</v>
      </c>
      <c r="F2820" s="2">
        <v>127165.5301</v>
      </c>
      <c r="G2820" t="s">
        <v>2085</v>
      </c>
      <c r="H2820" t="s">
        <v>7</v>
      </c>
      <c r="I2820">
        <f>HLOOKUP(G2820,zip_tiers!$A$1:$EON$2,2,FALSE)</f>
        <v>32777.666666666664</v>
      </c>
      <c r="J2820" t="str">
        <f t="shared" si="44"/>
        <v>Low</v>
      </c>
      <c r="K2820">
        <f>dataset[[#This Row],[soda_sales]]/dataset[[#This Row],[soda_units_sold]]</f>
        <v>0.75790762046666871</v>
      </c>
      <c r="L2820" s="29">
        <f>dataset[[#This Row],[implied_soda_ppu]]-dataset[[#This Row],[soda_ppu]]</f>
        <v>7.6204666686896516E-6</v>
      </c>
      <c r="M2820">
        <f>dataset[[#This Row],[soda_sales]]/dataset[[#This Row],[total_sales]]</f>
        <v>5.4955372701007157E-2</v>
      </c>
      <c r="N2820">
        <f>LN(dataset[[#This Row],[soda_units_sold]])</f>
        <v>12.030438676886035</v>
      </c>
      <c r="O2820">
        <f>LN(dataset[[#This Row],[soda_sales]])</f>
        <v>11.753244903383919</v>
      </c>
      <c r="P2820">
        <f>LN(dataset[[#This Row],[soda_ppu]])</f>
        <v>-0.27720382816415362</v>
      </c>
      <c r="Q2820">
        <f>IF(dataset[[#This Row],[state]]="VA",1,0)</f>
        <v>0</v>
      </c>
    </row>
    <row r="2821" spans="1:17" x14ac:dyDescent="0.35">
      <c r="A2821">
        <v>202212</v>
      </c>
      <c r="B2821">
        <v>11</v>
      </c>
      <c r="C2821" s="2">
        <v>2388800.1606000001</v>
      </c>
      <c r="D2821" s="2">
        <v>0.74360000000000004</v>
      </c>
      <c r="E2821" s="3">
        <v>170816</v>
      </c>
      <c r="F2821" s="2">
        <v>127020.0612</v>
      </c>
      <c r="G2821" t="s">
        <v>2085</v>
      </c>
      <c r="H2821" t="s">
        <v>7</v>
      </c>
      <c r="I2821">
        <f>HLOOKUP(G2821,zip_tiers!$A$1:$EON$2,2,FALSE)</f>
        <v>32777.666666666664</v>
      </c>
      <c r="J2821" t="str">
        <f t="shared" si="44"/>
        <v>Low</v>
      </c>
      <c r="K2821">
        <f>dataset[[#This Row],[soda_sales]]/dataset[[#This Row],[soda_units_sold]]</f>
        <v>0.74360751451854623</v>
      </c>
      <c r="L2821" s="29">
        <f>dataset[[#This Row],[implied_soda_ppu]]-dataset[[#This Row],[soda_ppu]]</f>
        <v>7.5145185461922281E-6</v>
      </c>
      <c r="M2821">
        <f>dataset[[#This Row],[soda_sales]]/dataset[[#This Row],[total_sales]]</f>
        <v>5.3173163370893319E-2</v>
      </c>
      <c r="N2821">
        <f>LN(dataset[[#This Row],[soda_units_sold]])</f>
        <v>12.048342232764195</v>
      </c>
      <c r="O2821">
        <f>LN(dataset[[#This Row],[soda_sales]])</f>
        <v>11.752100315170738</v>
      </c>
      <c r="P2821">
        <f>LN(dataset[[#This Row],[soda_ppu]])</f>
        <v>-0.29625202313484805</v>
      </c>
      <c r="Q2821">
        <f>IF(dataset[[#This Row],[state]]="VA",1,0)</f>
        <v>0</v>
      </c>
    </row>
    <row r="2822" spans="1:17" x14ac:dyDescent="0.35">
      <c r="A2822">
        <v>202301</v>
      </c>
      <c r="B2822">
        <v>11</v>
      </c>
      <c r="C2822" s="2">
        <v>1395392.3541999999</v>
      </c>
      <c r="D2822" s="2">
        <v>0.76219999999999999</v>
      </c>
      <c r="E2822" s="3">
        <v>124166</v>
      </c>
      <c r="F2822" s="2">
        <v>94639.114400000006</v>
      </c>
      <c r="G2822" t="s">
        <v>2085</v>
      </c>
      <c r="H2822" t="s">
        <v>7</v>
      </c>
      <c r="I2822">
        <f>HLOOKUP(G2822,zip_tiers!$A$1:$EON$2,2,FALSE)</f>
        <v>32777.666666666664</v>
      </c>
      <c r="J2822" t="str">
        <f t="shared" si="44"/>
        <v>Low</v>
      </c>
      <c r="K2822">
        <f>dataset[[#This Row],[soda_sales]]/dataset[[#This Row],[soda_units_sold]]</f>
        <v>0.76219830227276397</v>
      </c>
      <c r="L2822" s="29">
        <f>dataset[[#This Row],[implied_soda_ppu]]-dataset[[#This Row],[soda_ppu]]</f>
        <v>-1.6977272360163553E-6</v>
      </c>
      <c r="M2822">
        <f>dataset[[#This Row],[soda_sales]]/dataset[[#This Row],[total_sales]]</f>
        <v>6.7822583458441027E-2</v>
      </c>
      <c r="N2822">
        <f>LN(dataset[[#This Row],[soda_units_sold]])</f>
        <v>11.729374658991711</v>
      </c>
      <c r="O2822">
        <f>LN(dataset[[#This Row],[soda_sales]])</f>
        <v>11.457826141042975</v>
      </c>
      <c r="P2822">
        <f>LN(dataset[[#This Row],[soda_ppu]])</f>
        <v>-0.27154629054237722</v>
      </c>
      <c r="Q2822">
        <f>IF(dataset[[#This Row],[state]]="VA",1,0)</f>
        <v>0</v>
      </c>
    </row>
    <row r="2823" spans="1:17" x14ac:dyDescent="0.35">
      <c r="A2823">
        <v>202302</v>
      </c>
      <c r="B2823">
        <v>11</v>
      </c>
      <c r="C2823" s="2">
        <v>1597214.0556000001</v>
      </c>
      <c r="D2823" s="2">
        <v>0.76349999999999996</v>
      </c>
      <c r="E2823" s="3">
        <v>141197</v>
      </c>
      <c r="F2823" s="2">
        <v>107802.0304</v>
      </c>
      <c r="G2823" t="s">
        <v>2085</v>
      </c>
      <c r="H2823" t="s">
        <v>7</v>
      </c>
      <c r="I2823">
        <f>HLOOKUP(G2823,zip_tiers!$A$1:$EON$2,2,FALSE)</f>
        <v>32777.666666666664</v>
      </c>
      <c r="J2823" t="str">
        <f t="shared" si="44"/>
        <v>Low</v>
      </c>
      <c r="K2823">
        <f>dataset[[#This Row],[soda_sales]]/dataset[[#This Row],[soda_units_sold]]</f>
        <v>0.76348669164359018</v>
      </c>
      <c r="L2823" s="29">
        <f>dataset[[#This Row],[implied_soda_ppu]]-dataset[[#This Row],[soda_ppu]]</f>
        <v>-1.3308356409780231E-5</v>
      </c>
      <c r="M2823">
        <f>dataset[[#This Row],[soda_sales]]/dataset[[#This Row],[total_sales]]</f>
        <v>6.7493790216805807E-2</v>
      </c>
      <c r="N2823">
        <f>LN(dataset[[#This Row],[soda_units_sold]])</f>
        <v>11.857911357356645</v>
      </c>
      <c r="O2823">
        <f>LN(dataset[[#This Row],[soda_sales]])</f>
        <v>11.588051772159066</v>
      </c>
      <c r="P2823">
        <f>LN(dataset[[#This Row],[soda_ppu]])</f>
        <v>-0.26984215432344999</v>
      </c>
      <c r="Q2823">
        <f>IF(dataset[[#This Row],[state]]="VA",1,0)</f>
        <v>0</v>
      </c>
    </row>
    <row r="2824" spans="1:17" x14ac:dyDescent="0.35">
      <c r="A2824">
        <v>202303</v>
      </c>
      <c r="B2824">
        <v>11</v>
      </c>
      <c r="C2824" s="2">
        <v>1812644.425</v>
      </c>
      <c r="D2824" s="2">
        <v>0.76300000000000001</v>
      </c>
      <c r="E2824" s="3">
        <v>172575</v>
      </c>
      <c r="F2824" s="2">
        <v>131682.84099999999</v>
      </c>
      <c r="G2824" t="s">
        <v>2085</v>
      </c>
      <c r="H2824" t="s">
        <v>7</v>
      </c>
      <c r="I2824">
        <f>HLOOKUP(G2824,zip_tiers!$A$1:$EON$2,2,FALSE)</f>
        <v>32777.666666666664</v>
      </c>
      <c r="J2824" t="str">
        <f t="shared" si="44"/>
        <v>Low</v>
      </c>
      <c r="K2824">
        <f>dataset[[#This Row],[soda_sales]]/dataset[[#This Row],[soda_units_sold]]</f>
        <v>0.76304702882804565</v>
      </c>
      <c r="L2824" s="29">
        <f>dataset[[#This Row],[implied_soda_ppu]]-dataset[[#This Row],[soda_ppu]]</f>
        <v>4.7028828045636573E-5</v>
      </c>
      <c r="M2824">
        <f>dataset[[#This Row],[soda_sales]]/dataset[[#This Row],[total_sales]]</f>
        <v>7.2646813232551108E-2</v>
      </c>
      <c r="N2824">
        <f>LN(dataset[[#This Row],[soda_units_sold]])</f>
        <v>12.058587203571676</v>
      </c>
      <c r="O2824">
        <f>LN(dataset[[#This Row],[soda_sales]])</f>
        <v>11.788151590708535</v>
      </c>
      <c r="P2824">
        <f>LN(dataset[[#This Row],[soda_ppu]])</f>
        <v>-0.27049724769768002</v>
      </c>
      <c r="Q2824">
        <f>IF(dataset[[#This Row],[state]]="VA",1,0)</f>
        <v>0</v>
      </c>
    </row>
    <row r="2825" spans="1:17" x14ac:dyDescent="0.35">
      <c r="A2825">
        <v>202304</v>
      </c>
      <c r="B2825">
        <v>11</v>
      </c>
      <c r="C2825" s="2">
        <v>1885082.5421</v>
      </c>
      <c r="D2825" s="2">
        <v>0.75990000000000002</v>
      </c>
      <c r="E2825" s="3">
        <v>196781</v>
      </c>
      <c r="F2825" s="2">
        <v>149538.88879999999</v>
      </c>
      <c r="G2825" t="s">
        <v>2085</v>
      </c>
      <c r="H2825" t="s">
        <v>7</v>
      </c>
      <c r="I2825">
        <f>HLOOKUP(G2825,zip_tiers!$A$1:$EON$2,2,FALSE)</f>
        <v>32777.666666666664</v>
      </c>
      <c r="J2825" t="str">
        <f t="shared" si="44"/>
        <v>Low</v>
      </c>
      <c r="K2825">
        <f>dataset[[#This Row],[soda_sales]]/dataset[[#This Row],[soda_units_sold]]</f>
        <v>0.7599254440215264</v>
      </c>
      <c r="L2825" s="29">
        <f>dataset[[#This Row],[implied_soda_ppu]]-dataset[[#This Row],[soda_ppu]]</f>
        <v>2.5444021526377369E-5</v>
      </c>
      <c r="M2825">
        <f>dataset[[#This Row],[soda_sales]]/dataset[[#This Row],[total_sales]]</f>
        <v>7.9327501825682517E-2</v>
      </c>
      <c r="N2825">
        <f>LN(dataset[[#This Row],[soda_units_sold]])</f>
        <v>12.189846714224101</v>
      </c>
      <c r="O2825">
        <f>LN(dataset[[#This Row],[soda_sales]])</f>
        <v>11.915311763738549</v>
      </c>
      <c r="P2825">
        <f>LN(dataset[[#This Row],[soda_ppu]])</f>
        <v>-0.2745684333063978</v>
      </c>
      <c r="Q2825">
        <f>IF(dataset[[#This Row],[state]]="VA",1,0)</f>
        <v>0</v>
      </c>
    </row>
    <row r="2826" spans="1:17" x14ac:dyDescent="0.35">
      <c r="A2826">
        <v>202305</v>
      </c>
      <c r="B2826">
        <v>11</v>
      </c>
      <c r="C2826" s="2">
        <v>1933616.9724000001</v>
      </c>
      <c r="D2826" s="2">
        <v>0.76419999999999999</v>
      </c>
      <c r="E2826" s="3">
        <v>204053</v>
      </c>
      <c r="F2826" s="2">
        <v>155946.57180000001</v>
      </c>
      <c r="G2826" t="s">
        <v>2085</v>
      </c>
      <c r="H2826" t="s">
        <v>7</v>
      </c>
      <c r="I2826">
        <f>HLOOKUP(G2826,zip_tiers!$A$1:$EON$2,2,FALSE)</f>
        <v>32777.666666666664</v>
      </c>
      <c r="J2826" t="str">
        <f t="shared" si="44"/>
        <v>Low</v>
      </c>
      <c r="K2826">
        <f>dataset[[#This Row],[soda_sales]]/dataset[[#This Row],[soda_units_sold]]</f>
        <v>0.76424542545319107</v>
      </c>
      <c r="L2826" s="29">
        <f>dataset[[#This Row],[implied_soda_ppu]]-dataset[[#This Row],[soda_ppu]]</f>
        <v>4.5425453191083598E-5</v>
      </c>
      <c r="M2826">
        <f>dataset[[#This Row],[soda_sales]]/dataset[[#This Row],[total_sales]]</f>
        <v>8.0650187718635691E-2</v>
      </c>
      <c r="N2826">
        <f>LN(dataset[[#This Row],[soda_units_sold]])</f>
        <v>12.226135043004728</v>
      </c>
      <c r="O2826">
        <f>LN(dataset[[#This Row],[soda_sales]])</f>
        <v>11.957268739107567</v>
      </c>
      <c r="P2826">
        <f>LN(dataset[[#This Row],[soda_ppu]])</f>
        <v>-0.26892574396933749</v>
      </c>
      <c r="Q2826">
        <f>IF(dataset[[#This Row],[state]]="VA",1,0)</f>
        <v>0</v>
      </c>
    </row>
    <row r="2827" spans="1:17" x14ac:dyDescent="0.35">
      <c r="A2827">
        <v>202306</v>
      </c>
      <c r="B2827">
        <v>11</v>
      </c>
      <c r="C2827" s="2">
        <v>1859505.1176</v>
      </c>
      <c r="D2827" s="2">
        <v>0.76039999999999996</v>
      </c>
      <c r="E2827" s="3">
        <v>219532</v>
      </c>
      <c r="F2827" s="2">
        <v>166934.9037</v>
      </c>
      <c r="G2827" t="s">
        <v>2085</v>
      </c>
      <c r="H2827" t="s">
        <v>7</v>
      </c>
      <c r="I2827">
        <f>HLOOKUP(G2827,zip_tiers!$A$1:$EON$2,2,FALSE)</f>
        <v>32777.666666666664</v>
      </c>
      <c r="J2827" t="str">
        <f t="shared" si="44"/>
        <v>Low</v>
      </c>
      <c r="K2827">
        <f>dataset[[#This Row],[soda_sales]]/dataset[[#This Row],[soda_units_sold]]</f>
        <v>0.76041262185011749</v>
      </c>
      <c r="L2827" s="29">
        <f>dataset[[#This Row],[implied_soda_ppu]]-dataset[[#This Row],[soda_ppu]]</f>
        <v>1.2621850117522371E-5</v>
      </c>
      <c r="M2827">
        <f>dataset[[#This Row],[soda_sales]]/dataset[[#This Row],[total_sales]]</f>
        <v>8.9773833973340822E-2</v>
      </c>
      <c r="N2827">
        <f>LN(dataset[[#This Row],[soda_units_sold]])</f>
        <v>12.299253286748629</v>
      </c>
      <c r="O2827">
        <f>LN(dataset[[#This Row],[soda_sales]])</f>
        <v>12.025359217204231</v>
      </c>
      <c r="P2827">
        <f>LN(dataset[[#This Row],[soda_ppu]])</f>
        <v>-0.27391066836786299</v>
      </c>
      <c r="Q2827">
        <f>IF(dataset[[#This Row],[state]]="VA",1,0)</f>
        <v>0</v>
      </c>
    </row>
    <row r="2828" spans="1:17" x14ac:dyDescent="0.35">
      <c r="A2828">
        <v>202307</v>
      </c>
      <c r="B2828">
        <v>11</v>
      </c>
      <c r="C2828" s="2">
        <v>1800435.0848999999</v>
      </c>
      <c r="D2828" s="2">
        <v>0.78810000000000002</v>
      </c>
      <c r="E2828" s="3">
        <v>210160</v>
      </c>
      <c r="F2828" s="2">
        <v>165637.06450000001</v>
      </c>
      <c r="G2828" t="s">
        <v>2085</v>
      </c>
      <c r="H2828" t="s">
        <v>7</v>
      </c>
      <c r="I2828">
        <f>HLOOKUP(G2828,zip_tiers!$A$1:$EON$2,2,FALSE)</f>
        <v>32777.666666666664</v>
      </c>
      <c r="J2828" t="str">
        <f t="shared" si="44"/>
        <v>Low</v>
      </c>
      <c r="K2828">
        <f>dataset[[#This Row],[soda_sales]]/dataset[[#This Row],[soda_units_sold]]</f>
        <v>0.78814743290826039</v>
      </c>
      <c r="L2828" s="29">
        <f>dataset[[#This Row],[implied_soda_ppu]]-dataset[[#This Row],[soda_ppu]]</f>
        <v>4.7432908260369722E-5</v>
      </c>
      <c r="M2828">
        <f>dataset[[#This Row],[soda_sales]]/dataset[[#This Row],[total_sales]]</f>
        <v>9.199835411405563E-2</v>
      </c>
      <c r="N2828">
        <f>LN(dataset[[#This Row],[soda_units_sold]])</f>
        <v>12.255624424359421</v>
      </c>
      <c r="O2828">
        <f>LN(dataset[[#This Row],[soda_sales]])</f>
        <v>12.017554315333905</v>
      </c>
      <c r="P2828">
        <f>LN(dataset[[#This Row],[soda_ppu]])</f>
        <v>-0.23813029362253316</v>
      </c>
      <c r="Q2828">
        <f>IF(dataset[[#This Row],[state]]="VA",1,0)</f>
        <v>0</v>
      </c>
    </row>
    <row r="2829" spans="1:17" x14ac:dyDescent="0.35">
      <c r="A2829">
        <v>202308</v>
      </c>
      <c r="B2829">
        <v>11</v>
      </c>
      <c r="C2829" s="2">
        <v>1677304.6872</v>
      </c>
      <c r="D2829" s="2">
        <v>0.7954</v>
      </c>
      <c r="E2829" s="3">
        <v>173383</v>
      </c>
      <c r="F2829" s="2">
        <v>137905.40830000001</v>
      </c>
      <c r="G2829" t="s">
        <v>2085</v>
      </c>
      <c r="H2829" t="s">
        <v>7</v>
      </c>
      <c r="I2829">
        <f>HLOOKUP(G2829,zip_tiers!$A$1:$EON$2,2,FALSE)</f>
        <v>32777.666666666664</v>
      </c>
      <c r="J2829" t="str">
        <f t="shared" si="44"/>
        <v>Low</v>
      </c>
      <c r="K2829">
        <f>dataset[[#This Row],[soda_sales]]/dataset[[#This Row],[soda_units_sold]]</f>
        <v>0.79538021778375045</v>
      </c>
      <c r="L2829" s="29">
        <f>dataset[[#This Row],[implied_soda_ppu]]-dataset[[#This Row],[soda_ppu]]</f>
        <v>-1.9782216249542017E-5</v>
      </c>
      <c r="M2829">
        <f>dataset[[#This Row],[soda_sales]]/dataset[[#This Row],[total_sales]]</f>
        <v>8.2218459980703734E-2</v>
      </c>
      <c r="N2829">
        <f>LN(dataset[[#This Row],[soda_units_sold]])</f>
        <v>12.063258299306733</v>
      </c>
      <c r="O2829">
        <f>LN(dataset[[#This Row],[soda_sales]])</f>
        <v>11.834323282011622</v>
      </c>
      <c r="P2829">
        <f>LN(dataset[[#This Row],[soda_ppu]])</f>
        <v>-0.2289101462085468</v>
      </c>
      <c r="Q2829">
        <f>IF(dataset[[#This Row],[state]]="VA",1,0)</f>
        <v>0</v>
      </c>
    </row>
    <row r="2830" spans="1:17" x14ac:dyDescent="0.35">
      <c r="A2830">
        <v>202309</v>
      </c>
      <c r="B2830">
        <v>11</v>
      </c>
      <c r="C2830" s="2">
        <v>1719396.4389</v>
      </c>
      <c r="D2830" s="2">
        <v>0.78510000000000002</v>
      </c>
      <c r="E2830" s="3">
        <v>179710</v>
      </c>
      <c r="F2830" s="2">
        <v>141095.084</v>
      </c>
      <c r="G2830" t="s">
        <v>2085</v>
      </c>
      <c r="H2830" t="s">
        <v>7</v>
      </c>
      <c r="I2830">
        <f>HLOOKUP(G2830,zip_tiers!$A$1:$EON$2,2,FALSE)</f>
        <v>32777.666666666664</v>
      </c>
      <c r="J2830" t="str">
        <f t="shared" si="44"/>
        <v>Low</v>
      </c>
      <c r="K2830">
        <f>dataset[[#This Row],[soda_sales]]/dataset[[#This Row],[soda_units_sold]]</f>
        <v>0.78512650381169669</v>
      </c>
      <c r="L2830" s="29">
        <f>dataset[[#This Row],[implied_soda_ppu]]-dataset[[#This Row],[soda_ppu]]</f>
        <v>2.650381169666538E-5</v>
      </c>
      <c r="M2830">
        <f>dataset[[#This Row],[soda_sales]]/dataset[[#This Row],[total_sales]]</f>
        <v>8.2060821348604693E-2</v>
      </c>
      <c r="N2830">
        <f>LN(dataset[[#This Row],[soda_units_sold]])</f>
        <v>12.099099719526068</v>
      </c>
      <c r="O2830">
        <f>LN(dataset[[#This Row],[soda_sales]])</f>
        <v>11.857189296695335</v>
      </c>
      <c r="P2830">
        <f>LN(dataset[[#This Row],[soda_ppu]])</f>
        <v>-0.24194418077792715</v>
      </c>
      <c r="Q2830">
        <f>IF(dataset[[#This Row],[state]]="VA",1,0)</f>
        <v>0</v>
      </c>
    </row>
    <row r="2831" spans="1:17" x14ac:dyDescent="0.35">
      <c r="A2831">
        <v>202310</v>
      </c>
      <c r="B2831">
        <v>11</v>
      </c>
      <c r="C2831" s="2">
        <v>2097339.6908999998</v>
      </c>
      <c r="D2831" s="2">
        <v>0.79369999999999996</v>
      </c>
      <c r="E2831" s="3">
        <v>163499</v>
      </c>
      <c r="F2831" s="2">
        <v>129761.497</v>
      </c>
      <c r="G2831" t="s">
        <v>2085</v>
      </c>
      <c r="H2831" t="s">
        <v>7</v>
      </c>
      <c r="I2831">
        <f>HLOOKUP(G2831,zip_tiers!$A$1:$EON$2,2,FALSE)</f>
        <v>32777.666666666664</v>
      </c>
      <c r="J2831" t="str">
        <f t="shared" si="44"/>
        <v>Low</v>
      </c>
      <c r="K2831">
        <f>dataset[[#This Row],[soda_sales]]/dataset[[#This Row],[soda_units_sold]]</f>
        <v>0.79365315384191959</v>
      </c>
      <c r="L2831" s="29">
        <f>dataset[[#This Row],[implied_soda_ppu]]-dataset[[#This Row],[soda_ppu]]</f>
        <v>-4.6846158080371403E-5</v>
      </c>
      <c r="M2831">
        <f>dataset[[#This Row],[soda_sales]]/dataset[[#This Row],[total_sales]]</f>
        <v>6.186956627150722E-2</v>
      </c>
      <c r="N2831">
        <f>LN(dataset[[#This Row],[soda_units_sold]])</f>
        <v>12.00456215309279</v>
      </c>
      <c r="O2831">
        <f>LN(dataset[[#This Row],[soda_sales]])</f>
        <v>11.7734534059658</v>
      </c>
      <c r="P2831">
        <f>LN(dataset[[#This Row],[soda_ppu]])</f>
        <v>-0.23104972288530723</v>
      </c>
      <c r="Q2831">
        <f>IF(dataset[[#This Row],[state]]="VA",1,0)</f>
        <v>0</v>
      </c>
    </row>
    <row r="2832" spans="1:17" x14ac:dyDescent="0.35">
      <c r="A2832">
        <v>202311</v>
      </c>
      <c r="B2832">
        <v>11</v>
      </c>
      <c r="C2832" s="2">
        <v>2374952.3968000002</v>
      </c>
      <c r="D2832" s="2">
        <v>0.77800000000000002</v>
      </c>
      <c r="E2832" s="3">
        <v>170095</v>
      </c>
      <c r="F2832" s="2">
        <v>132332.6678</v>
      </c>
      <c r="G2832" t="s">
        <v>2085</v>
      </c>
      <c r="H2832" t="s">
        <v>7</v>
      </c>
      <c r="I2832">
        <f>HLOOKUP(G2832,zip_tiers!$A$1:$EON$2,2,FALSE)</f>
        <v>32777.666666666664</v>
      </c>
      <c r="J2832" t="str">
        <f t="shared" si="44"/>
        <v>Low</v>
      </c>
      <c r="K2832">
        <f>dataset[[#This Row],[soda_sales]]/dataset[[#This Row],[soda_units_sold]]</f>
        <v>0.77799269702225227</v>
      </c>
      <c r="L2832" s="29">
        <f>dataset[[#This Row],[implied_soda_ppu]]-dataset[[#This Row],[soda_ppu]]</f>
        <v>-7.3029777477584545E-6</v>
      </c>
      <c r="M2832">
        <f>dataset[[#This Row],[soda_sales]]/dataset[[#This Row],[total_sales]]</f>
        <v>5.5720134844936015E-2</v>
      </c>
      <c r="N2832">
        <f>LN(dataset[[#This Row],[soda_units_sold]])</f>
        <v>12.044112383478089</v>
      </c>
      <c r="O2832">
        <f>LN(dataset[[#This Row],[soda_sales]])</f>
        <v>11.793074241769428</v>
      </c>
      <c r="P2832">
        <f>LN(dataset[[#This Row],[soda_ppu]])</f>
        <v>-0.25102875480374542</v>
      </c>
      <c r="Q2832">
        <f>IF(dataset[[#This Row],[state]]="VA",1,0)</f>
        <v>0</v>
      </c>
    </row>
    <row r="2833" spans="1:17" x14ac:dyDescent="0.35">
      <c r="A2833">
        <v>202312</v>
      </c>
      <c r="B2833">
        <v>11</v>
      </c>
      <c r="C2833" s="2">
        <v>2480296.7546000001</v>
      </c>
      <c r="D2833" s="2">
        <v>0.77690000000000003</v>
      </c>
      <c r="E2833" s="3">
        <v>162344</v>
      </c>
      <c r="F2833" s="2">
        <v>126122.1675</v>
      </c>
      <c r="G2833" t="s">
        <v>2085</v>
      </c>
      <c r="H2833" t="s">
        <v>7</v>
      </c>
      <c r="I2833">
        <f>HLOOKUP(G2833,zip_tiers!$A$1:$EON$2,2,FALSE)</f>
        <v>32777.666666666664</v>
      </c>
      <c r="J2833" t="str">
        <f t="shared" si="44"/>
        <v>Low</v>
      </c>
      <c r="K2833">
        <f>dataset[[#This Row],[soda_sales]]/dataset[[#This Row],[soda_units_sold]]</f>
        <v>0.77688222231804072</v>
      </c>
      <c r="L2833" s="29">
        <f>dataset[[#This Row],[implied_soda_ppu]]-dataset[[#This Row],[soda_ppu]]</f>
        <v>-1.7777681959318947E-5</v>
      </c>
      <c r="M2833">
        <f>dataset[[#This Row],[soda_sales]]/dataset[[#This Row],[total_sales]]</f>
        <v>5.0849628080225362E-2</v>
      </c>
      <c r="N2833">
        <f>LN(dataset[[#This Row],[soda_units_sold]])</f>
        <v>11.997472819656805</v>
      </c>
      <c r="O2833">
        <f>LN(dataset[[#This Row],[soda_sales]])</f>
        <v>11.74500629952464</v>
      </c>
      <c r="P2833">
        <f>LN(dataset[[#This Row],[soda_ppu]])</f>
        <v>-0.25244363702576189</v>
      </c>
      <c r="Q2833">
        <f>IF(dataset[[#This Row],[state]]="VA",1,0)</f>
        <v>0</v>
      </c>
    </row>
    <row r="2834" spans="1:17" x14ac:dyDescent="0.35">
      <c r="A2834">
        <v>202401</v>
      </c>
      <c r="B2834">
        <v>11</v>
      </c>
      <c r="C2834" s="2">
        <v>1426014.4209</v>
      </c>
      <c r="D2834" s="2">
        <v>0.8155</v>
      </c>
      <c r="E2834" s="3">
        <v>108859</v>
      </c>
      <c r="F2834" s="2">
        <v>88777.346300000005</v>
      </c>
      <c r="G2834" t="s">
        <v>2085</v>
      </c>
      <c r="H2834" t="s">
        <v>7</v>
      </c>
      <c r="I2834">
        <f>HLOOKUP(G2834,zip_tiers!$A$1:$EON$2,2,FALSE)</f>
        <v>32777.666666666664</v>
      </c>
      <c r="J2834" t="str">
        <f t="shared" si="44"/>
        <v>Low</v>
      </c>
      <c r="K2834">
        <f>dataset[[#This Row],[soda_sales]]/dataset[[#This Row],[soda_units_sold]]</f>
        <v>0.81552601346696185</v>
      </c>
      <c r="L2834" s="29">
        <f>dataset[[#This Row],[implied_soda_ppu]]-dataset[[#This Row],[soda_ppu]]</f>
        <v>2.6013466961849474E-5</v>
      </c>
      <c r="M2834">
        <f>dataset[[#This Row],[soda_sales]]/dataset[[#This Row],[total_sales]]</f>
        <v>6.2255573996208249E-2</v>
      </c>
      <c r="N2834">
        <f>LN(dataset[[#This Row],[soda_units_sold]])</f>
        <v>11.597808745835398</v>
      </c>
      <c r="O2834">
        <f>LN(dataset[[#This Row],[soda_sales]])</f>
        <v>11.393886787200131</v>
      </c>
      <c r="P2834">
        <f>LN(dataset[[#This Row],[soda_ppu]])</f>
        <v>-0.20395385692106849</v>
      </c>
      <c r="Q2834">
        <f>IF(dataset[[#This Row],[state]]="VA",1,0)</f>
        <v>0</v>
      </c>
    </row>
    <row r="2835" spans="1:17" x14ac:dyDescent="0.35">
      <c r="A2835">
        <v>202402</v>
      </c>
      <c r="B2835">
        <v>11</v>
      </c>
      <c r="C2835" s="2">
        <v>1600194.8119000001</v>
      </c>
      <c r="D2835" s="2">
        <v>0.80320000000000003</v>
      </c>
      <c r="E2835" s="3">
        <v>128797</v>
      </c>
      <c r="F2835" s="2">
        <v>103454.91650000001</v>
      </c>
      <c r="G2835" t="s">
        <v>2085</v>
      </c>
      <c r="H2835" t="s">
        <v>7</v>
      </c>
      <c r="I2835">
        <f>HLOOKUP(G2835,zip_tiers!$A$1:$EON$2,2,FALSE)</f>
        <v>32777.666666666664</v>
      </c>
      <c r="J2835" t="str">
        <f t="shared" si="44"/>
        <v>Low</v>
      </c>
      <c r="K2835">
        <f>dataset[[#This Row],[soda_sales]]/dataset[[#This Row],[soda_units_sold]]</f>
        <v>0.80324011040629828</v>
      </c>
      <c r="L2835" s="29">
        <f>dataset[[#This Row],[implied_soda_ppu]]-dataset[[#This Row],[soda_ppu]]</f>
        <v>4.0110406298254908E-5</v>
      </c>
      <c r="M2835">
        <f>dataset[[#This Row],[soda_sales]]/dataset[[#This Row],[total_sales]]</f>
        <v>6.465145101749345E-2</v>
      </c>
      <c r="N2835">
        <f>LN(dataset[[#This Row],[soda_units_sold]])</f>
        <v>11.765992800455663</v>
      </c>
      <c r="O2835">
        <f>LN(dataset[[#This Row],[soda_sales]])</f>
        <v>11.546891207418971</v>
      </c>
      <c r="P2835">
        <f>LN(dataset[[#This Row],[soda_ppu]])</f>
        <v>-0.21915153004467228</v>
      </c>
      <c r="Q2835">
        <f>IF(dataset[[#This Row],[state]]="VA",1,0)</f>
        <v>0</v>
      </c>
    </row>
    <row r="2836" spans="1:17" x14ac:dyDescent="0.35">
      <c r="A2836">
        <v>202403</v>
      </c>
      <c r="B2836">
        <v>11</v>
      </c>
      <c r="C2836" s="2">
        <v>1789009.2951</v>
      </c>
      <c r="D2836" s="2">
        <v>0.81930000000000003</v>
      </c>
      <c r="E2836" s="3">
        <v>143253</v>
      </c>
      <c r="F2836" s="2">
        <v>117362.8455</v>
      </c>
      <c r="G2836" t="s">
        <v>2085</v>
      </c>
      <c r="H2836" t="s">
        <v>7</v>
      </c>
      <c r="I2836">
        <f>HLOOKUP(G2836,zip_tiers!$A$1:$EON$2,2,FALSE)</f>
        <v>32777.666666666664</v>
      </c>
      <c r="J2836" t="str">
        <f t="shared" si="44"/>
        <v>Low</v>
      </c>
      <c r="K2836">
        <f>dataset[[#This Row],[soda_sales]]/dataset[[#This Row],[soda_units_sold]]</f>
        <v>0.81926972210006066</v>
      </c>
      <c r="L2836" s="29">
        <f>dataset[[#This Row],[implied_soda_ppu]]-dataset[[#This Row],[soda_ppu]]</f>
        <v>-3.0277899939368247E-5</v>
      </c>
      <c r="M2836">
        <f>dataset[[#This Row],[soda_sales]]/dataset[[#This Row],[total_sales]]</f>
        <v>6.5602144058977505E-2</v>
      </c>
      <c r="N2836">
        <f>LN(dataset[[#This Row],[soda_units_sold]])</f>
        <v>11.872367576766074</v>
      </c>
      <c r="O2836">
        <f>LN(dataset[[#This Row],[soda_sales]])</f>
        <v>11.673025658432957</v>
      </c>
      <c r="P2836">
        <f>LN(dataset[[#This Row],[soda_ppu]])</f>
        <v>-0.19930496183436799</v>
      </c>
      <c r="Q2836">
        <f>IF(dataset[[#This Row],[state]]="VA",1,0)</f>
        <v>0</v>
      </c>
    </row>
    <row r="2837" spans="1:17" x14ac:dyDescent="0.35">
      <c r="A2837">
        <v>202404</v>
      </c>
      <c r="B2837">
        <v>11</v>
      </c>
      <c r="C2837" s="2">
        <v>1879875.1666999999</v>
      </c>
      <c r="D2837" s="2">
        <v>0.82089999999999996</v>
      </c>
      <c r="E2837" s="3">
        <v>169767</v>
      </c>
      <c r="F2837" s="2">
        <v>139370.1697</v>
      </c>
      <c r="G2837" t="s">
        <v>2085</v>
      </c>
      <c r="H2837" t="s">
        <v>7</v>
      </c>
      <c r="I2837">
        <f>HLOOKUP(G2837,zip_tiers!$A$1:$EON$2,2,FALSE)</f>
        <v>32777.666666666664</v>
      </c>
      <c r="J2837" t="str">
        <f t="shared" si="44"/>
        <v>Low</v>
      </c>
      <c r="K2837">
        <f>dataset[[#This Row],[soda_sales]]/dataset[[#This Row],[soda_units_sold]]</f>
        <v>0.82094971166363306</v>
      </c>
      <c r="L2837" s="29">
        <f>dataset[[#This Row],[implied_soda_ppu]]-dataset[[#This Row],[soda_ppu]]</f>
        <v>4.9711663633100756E-5</v>
      </c>
      <c r="M2837">
        <f>dataset[[#This Row],[soda_sales]]/dataset[[#This Row],[total_sales]]</f>
        <v>7.4137991803283079E-2</v>
      </c>
      <c r="N2837">
        <f>LN(dataset[[#This Row],[soda_units_sold]])</f>
        <v>12.042182187681943</v>
      </c>
      <c r="O2837">
        <f>LN(dataset[[#This Row],[soda_sales]])</f>
        <v>11.844888763734971</v>
      </c>
      <c r="P2837">
        <f>LN(dataset[[#This Row],[soda_ppu]])</f>
        <v>-0.19735397962791662</v>
      </c>
      <c r="Q2837">
        <f>IF(dataset[[#This Row],[state]]="VA",1,0)</f>
        <v>0</v>
      </c>
    </row>
    <row r="2838" spans="1:17" x14ac:dyDescent="0.35">
      <c r="A2838">
        <v>202405</v>
      </c>
      <c r="B2838">
        <v>11</v>
      </c>
      <c r="C2838" s="2">
        <v>2006188.2416000001</v>
      </c>
      <c r="D2838" s="2">
        <v>0.81140000000000001</v>
      </c>
      <c r="E2838" s="3">
        <v>191781</v>
      </c>
      <c r="F2838" s="2">
        <v>155611.2623</v>
      </c>
      <c r="G2838" t="s">
        <v>2085</v>
      </c>
      <c r="H2838" t="s">
        <v>7</v>
      </c>
      <c r="I2838">
        <f>HLOOKUP(G2838,zip_tiers!$A$1:$EON$2,2,FALSE)</f>
        <v>32777.666666666664</v>
      </c>
      <c r="J2838" t="str">
        <f t="shared" si="44"/>
        <v>Low</v>
      </c>
      <c r="K2838">
        <f>dataset[[#This Row],[soda_sales]]/dataset[[#This Row],[soda_units_sold]]</f>
        <v>0.81140082854923068</v>
      </c>
      <c r="L2838" s="29">
        <f>dataset[[#This Row],[implied_soda_ppu]]-dataset[[#This Row],[soda_ppu]]</f>
        <v>8.2854923066921771E-7</v>
      </c>
      <c r="M2838">
        <f>dataset[[#This Row],[soda_sales]]/dataset[[#This Row],[total_sales]]</f>
        <v>7.7565633709374637E-2</v>
      </c>
      <c r="N2838">
        <f>LN(dataset[[#This Row],[soda_units_sold]])</f>
        <v>12.164109375002139</v>
      </c>
      <c r="O2838">
        <f>LN(dataset[[#This Row],[soda_sales]])</f>
        <v>11.955116267927187</v>
      </c>
      <c r="P2838">
        <f>LN(dataset[[#This Row],[soda_ppu]])</f>
        <v>-0.20899412820979019</v>
      </c>
      <c r="Q2838">
        <f>IF(dataset[[#This Row],[state]]="VA",1,0)</f>
        <v>0</v>
      </c>
    </row>
    <row r="2839" spans="1:17" x14ac:dyDescent="0.35">
      <c r="A2839">
        <v>202406</v>
      </c>
      <c r="B2839">
        <v>11</v>
      </c>
      <c r="C2839" s="2">
        <v>1891374.7518</v>
      </c>
      <c r="D2839" s="2">
        <v>0.8145</v>
      </c>
      <c r="E2839" s="3">
        <v>196520</v>
      </c>
      <c r="F2839" s="2">
        <v>160071.15270000001</v>
      </c>
      <c r="G2839" t="s">
        <v>2085</v>
      </c>
      <c r="H2839" t="s">
        <v>7</v>
      </c>
      <c r="I2839">
        <f>HLOOKUP(G2839,zip_tiers!$A$1:$EON$2,2,FALSE)</f>
        <v>32777.666666666664</v>
      </c>
      <c r="J2839" t="str">
        <f t="shared" si="44"/>
        <v>Low</v>
      </c>
      <c r="K2839">
        <f>dataset[[#This Row],[soda_sales]]/dataset[[#This Row],[soda_units_sold]]</f>
        <v>0.81452856045186239</v>
      </c>
      <c r="L2839" s="29">
        <f>dataset[[#This Row],[implied_soda_ppu]]-dataset[[#This Row],[soda_ppu]]</f>
        <v>2.8560451862391645E-5</v>
      </c>
      <c r="M2839">
        <f>dataset[[#This Row],[soda_sales]]/dataset[[#This Row],[total_sales]]</f>
        <v>8.4632171677062995E-2</v>
      </c>
      <c r="N2839">
        <f>LN(dataset[[#This Row],[soda_units_sold]])</f>
        <v>12.188519486282585</v>
      </c>
      <c r="O2839">
        <f>LN(dataset[[#This Row],[soda_sales]])</f>
        <v>11.983373699739278</v>
      </c>
      <c r="P2839">
        <f>LN(dataset[[#This Row],[soda_ppu]])</f>
        <v>-0.20518085094003724</v>
      </c>
      <c r="Q2839">
        <f>IF(dataset[[#This Row],[state]]="VA",1,0)</f>
        <v>0</v>
      </c>
    </row>
    <row r="2840" spans="1:17" x14ac:dyDescent="0.35">
      <c r="A2840">
        <v>202407</v>
      </c>
      <c r="B2840">
        <v>11</v>
      </c>
      <c r="C2840" s="2">
        <v>1816368.4861999999</v>
      </c>
      <c r="D2840" s="2">
        <v>0.83260000000000001</v>
      </c>
      <c r="E2840" s="3">
        <v>191399</v>
      </c>
      <c r="F2840" s="2">
        <v>159360.7187</v>
      </c>
      <c r="G2840" t="s">
        <v>2085</v>
      </c>
      <c r="H2840" t="s">
        <v>7</v>
      </c>
      <c r="I2840">
        <f>HLOOKUP(G2840,zip_tiers!$A$1:$EON$2,2,FALSE)</f>
        <v>32777.666666666664</v>
      </c>
      <c r="J2840" t="str">
        <f t="shared" si="44"/>
        <v>Low</v>
      </c>
      <c r="K2840">
        <f>dataset[[#This Row],[soda_sales]]/dataset[[#This Row],[soda_units_sold]]</f>
        <v>0.8326099859455901</v>
      </c>
      <c r="L2840" s="29">
        <f>dataset[[#This Row],[implied_soda_ppu]]-dataset[[#This Row],[soda_ppu]]</f>
        <v>9.9859455900963567E-6</v>
      </c>
      <c r="M2840">
        <f>dataset[[#This Row],[soda_sales]]/dataset[[#This Row],[total_sales]]</f>
        <v>8.773589715454512E-2</v>
      </c>
      <c r="N2840">
        <f>LN(dataset[[#This Row],[soda_units_sold]])</f>
        <v>12.162115533326945</v>
      </c>
      <c r="O2840">
        <f>LN(dataset[[#This Row],[soda_sales]])</f>
        <v>11.978925582722914</v>
      </c>
      <c r="P2840">
        <f>LN(dataset[[#This Row],[soda_ppu]])</f>
        <v>-0.18320194422126199</v>
      </c>
      <c r="Q2840">
        <f>IF(dataset[[#This Row],[state]]="VA",1,0)</f>
        <v>0</v>
      </c>
    </row>
    <row r="2841" spans="1:17" x14ac:dyDescent="0.35">
      <c r="A2841">
        <v>202408</v>
      </c>
      <c r="B2841">
        <v>11</v>
      </c>
      <c r="C2841" s="2">
        <v>1711605.1904</v>
      </c>
      <c r="D2841" s="2">
        <v>0.82050000000000001</v>
      </c>
      <c r="E2841" s="3">
        <v>176984</v>
      </c>
      <c r="F2841" s="2">
        <v>145206.7959</v>
      </c>
      <c r="G2841" t="s">
        <v>2085</v>
      </c>
      <c r="H2841" t="s">
        <v>7</v>
      </c>
      <c r="I2841">
        <f>HLOOKUP(G2841,zip_tiers!$A$1:$EON$2,2,FALSE)</f>
        <v>32777.666666666664</v>
      </c>
      <c r="J2841" t="str">
        <f t="shared" si="44"/>
        <v>Low</v>
      </c>
      <c r="K2841">
        <f>dataset[[#This Row],[soda_sales]]/dataset[[#This Row],[soda_units_sold]]</f>
        <v>0.82045154307734036</v>
      </c>
      <c r="L2841" s="29">
        <f>dataset[[#This Row],[implied_soda_ppu]]-dataset[[#This Row],[soda_ppu]]</f>
        <v>-4.8456922659645407E-5</v>
      </c>
      <c r="M2841">
        <f>dataset[[#This Row],[soda_sales]]/dataset[[#This Row],[total_sales]]</f>
        <v>8.4836618114055476E-2</v>
      </c>
      <c r="N2841">
        <f>LN(dataset[[#This Row],[soda_units_sold]])</f>
        <v>12.083814611989823</v>
      </c>
      <c r="O2841">
        <f>LN(dataset[[#This Row],[soda_sales]])</f>
        <v>11.885914183996581</v>
      </c>
      <c r="P2841">
        <f>LN(dataset[[#This Row],[soda_ppu]])</f>
        <v>-0.19784136845199146</v>
      </c>
      <c r="Q2841">
        <f>IF(dataset[[#This Row],[state]]="VA",1,0)</f>
        <v>0</v>
      </c>
    </row>
    <row r="2842" spans="1:17" x14ac:dyDescent="0.35">
      <c r="A2842">
        <v>202409</v>
      </c>
      <c r="B2842">
        <v>11</v>
      </c>
      <c r="C2842" s="2">
        <v>1763286.1385999999</v>
      </c>
      <c r="D2842" s="2">
        <v>0.82430000000000003</v>
      </c>
      <c r="E2842" s="3">
        <v>173304</v>
      </c>
      <c r="F2842" s="2">
        <v>142845.83989999999</v>
      </c>
      <c r="G2842" t="s">
        <v>2085</v>
      </c>
      <c r="H2842" t="s">
        <v>7</v>
      </c>
      <c r="I2842">
        <f>HLOOKUP(G2842,zip_tiers!$A$1:$EON$2,2,FALSE)</f>
        <v>32777.666666666664</v>
      </c>
      <c r="J2842" t="str">
        <f t="shared" si="44"/>
        <v>Low</v>
      </c>
      <c r="K2842">
        <f>dataset[[#This Row],[soda_sales]]/dataset[[#This Row],[soda_units_sold]]</f>
        <v>0.82425010328671</v>
      </c>
      <c r="L2842" s="29">
        <f>dataset[[#This Row],[implied_soda_ppu]]-dataset[[#This Row],[soda_ppu]]</f>
        <v>-4.9896713290031869E-5</v>
      </c>
      <c r="M2842">
        <f>dataset[[#This Row],[soda_sales]]/dataset[[#This Row],[total_sales]]</f>
        <v>8.1011151152935168E-2</v>
      </c>
      <c r="N2842">
        <f>LN(dataset[[#This Row],[soda_units_sold]])</f>
        <v>12.062802556799127</v>
      </c>
      <c r="O2842">
        <f>LN(dataset[[#This Row],[soda_sales]])</f>
        <v>11.869521285078752</v>
      </c>
      <c r="P2842">
        <f>LN(dataset[[#This Row],[soda_ppu]])</f>
        <v>-0.19322073766295517</v>
      </c>
      <c r="Q2842">
        <f>IF(dataset[[#This Row],[state]]="VA",1,0)</f>
        <v>0</v>
      </c>
    </row>
    <row r="2843" spans="1:17" x14ac:dyDescent="0.35">
      <c r="A2843">
        <v>202410</v>
      </c>
      <c r="B2843">
        <v>11</v>
      </c>
      <c r="C2843" s="2">
        <v>2104030.406</v>
      </c>
      <c r="D2843" s="2">
        <v>0.80900000000000005</v>
      </c>
      <c r="E2843" s="3">
        <v>172601</v>
      </c>
      <c r="F2843" s="2">
        <v>139633.64170000001</v>
      </c>
      <c r="G2843" t="s">
        <v>2085</v>
      </c>
      <c r="H2843" t="s">
        <v>7</v>
      </c>
      <c r="I2843">
        <f>HLOOKUP(G2843,zip_tiers!$A$1:$EON$2,2,FALSE)</f>
        <v>32777.666666666664</v>
      </c>
      <c r="J2843" t="str">
        <f t="shared" si="44"/>
        <v>Low</v>
      </c>
      <c r="K2843">
        <f>dataset[[#This Row],[soda_sales]]/dataset[[#This Row],[soda_units_sold]]</f>
        <v>0.8089967132287762</v>
      </c>
      <c r="L2843" s="29">
        <f>dataset[[#This Row],[implied_soda_ppu]]-dataset[[#This Row],[soda_ppu]]</f>
        <v>-3.2867712238537905E-6</v>
      </c>
      <c r="M2843">
        <f>dataset[[#This Row],[soda_sales]]/dataset[[#This Row],[total_sales]]</f>
        <v>6.636484021419603E-2</v>
      </c>
      <c r="N2843">
        <f>LN(dataset[[#This Row],[soda_units_sold]])</f>
        <v>12.058737851357439</v>
      </c>
      <c r="O2843">
        <f>LN(dataset[[#This Row],[soda_sales]])</f>
        <v>11.846777426667538</v>
      </c>
      <c r="P2843">
        <f>LN(dataset[[#This Row],[soda_ppu]])</f>
        <v>-0.21195636192364531</v>
      </c>
      <c r="Q2843">
        <f>IF(dataset[[#This Row],[state]]="VA",1,0)</f>
        <v>0</v>
      </c>
    </row>
    <row r="2844" spans="1:17" x14ac:dyDescent="0.35">
      <c r="A2844">
        <v>202411</v>
      </c>
      <c r="B2844">
        <v>11</v>
      </c>
      <c r="C2844" s="2">
        <v>2433661.6275999998</v>
      </c>
      <c r="D2844" s="2">
        <v>0.80869999999999997</v>
      </c>
      <c r="E2844" s="3">
        <v>166780</v>
      </c>
      <c r="F2844" s="2">
        <v>134875.13699999999</v>
      </c>
      <c r="G2844" t="s">
        <v>2085</v>
      </c>
      <c r="H2844" t="s">
        <v>7</v>
      </c>
      <c r="I2844">
        <f>HLOOKUP(G2844,zip_tiers!$A$1:$EON$2,2,FALSE)</f>
        <v>32777.666666666664</v>
      </c>
      <c r="J2844" t="str">
        <f t="shared" si="44"/>
        <v>Low</v>
      </c>
      <c r="K2844">
        <f>dataset[[#This Row],[soda_sales]]/dataset[[#This Row],[soda_units_sold]]</f>
        <v>0.80870090538433859</v>
      </c>
      <c r="L2844" s="29">
        <f>dataset[[#This Row],[implied_soda_ppu]]-dataset[[#This Row],[soda_ppu]]</f>
        <v>9.0538433861198087E-7</v>
      </c>
      <c r="M2844">
        <f>dataset[[#This Row],[soda_sales]]/dataset[[#This Row],[total_sales]]</f>
        <v>5.5420661389566139E-2</v>
      </c>
      <c r="N2844">
        <f>LN(dataset[[#This Row],[soda_units_sold]])</f>
        <v>12.024430857640976</v>
      </c>
      <c r="O2844">
        <f>LN(dataset[[#This Row],[soda_sales]])</f>
        <v>11.812104718315249</v>
      </c>
      <c r="P2844">
        <f>LN(dataset[[#This Row],[soda_ppu]])</f>
        <v>-0.21232725888036064</v>
      </c>
      <c r="Q2844">
        <f>IF(dataset[[#This Row],[state]]="VA",1,0)</f>
        <v>0</v>
      </c>
    </row>
    <row r="2845" spans="1:17" x14ac:dyDescent="0.35">
      <c r="A2845">
        <v>202412</v>
      </c>
      <c r="B2845">
        <v>11</v>
      </c>
      <c r="C2845" s="2">
        <v>2549145.3637999999</v>
      </c>
      <c r="D2845" s="2">
        <v>0.83789999999999998</v>
      </c>
      <c r="E2845" s="3">
        <v>148080</v>
      </c>
      <c r="F2845" s="2">
        <v>124071.5919</v>
      </c>
      <c r="G2845" t="s">
        <v>2085</v>
      </c>
      <c r="H2845" t="s">
        <v>7</v>
      </c>
      <c r="I2845">
        <f>HLOOKUP(G2845,zip_tiers!$A$1:$EON$2,2,FALSE)</f>
        <v>32777.666666666664</v>
      </c>
      <c r="J2845" t="str">
        <f t="shared" si="44"/>
        <v>Low</v>
      </c>
      <c r="K2845">
        <f>dataset[[#This Row],[soda_sales]]/dataset[[#This Row],[soda_units_sold]]</f>
        <v>0.83786866491085898</v>
      </c>
      <c r="L2845" s="29">
        <f>dataset[[#This Row],[implied_soda_ppu]]-dataset[[#This Row],[soda_ppu]]</f>
        <v>-3.1335089140993588E-5</v>
      </c>
      <c r="M2845">
        <f>dataset[[#This Row],[soda_sales]]/dataset[[#This Row],[total_sales]]</f>
        <v>4.8671838672647141E-2</v>
      </c>
      <c r="N2845">
        <f>LN(dataset[[#This Row],[soda_units_sold]])</f>
        <v>11.905507947247379</v>
      </c>
      <c r="O2845">
        <f>LN(dataset[[#This Row],[soda_sales]])</f>
        <v>11.728614032014717</v>
      </c>
      <c r="P2845">
        <f>LN(dataset[[#This Row],[soda_ppu]])</f>
        <v>-0.17685651736289631</v>
      </c>
      <c r="Q2845">
        <f>IF(dataset[[#This Row],[state]]="VA",1,0)</f>
        <v>0</v>
      </c>
    </row>
    <row r="2846" spans="1:17" x14ac:dyDescent="0.35">
      <c r="A2846">
        <v>202201</v>
      </c>
      <c r="B2846">
        <v>28</v>
      </c>
      <c r="C2846" s="2">
        <v>1911686.8330999999</v>
      </c>
      <c r="D2846" s="2">
        <v>0.71989999999999998</v>
      </c>
      <c r="E2846" s="3">
        <v>142591</v>
      </c>
      <c r="F2846" s="2">
        <v>102650.72900000001</v>
      </c>
      <c r="G2846" t="s">
        <v>2199</v>
      </c>
      <c r="H2846" t="s">
        <v>7</v>
      </c>
      <c r="I2846">
        <f>HLOOKUP(G2846,zip_tiers!$A$1:$EON$2,2,FALSE)</f>
        <v>70973</v>
      </c>
      <c r="J2846" t="str">
        <f t="shared" si="44"/>
        <v>Med</v>
      </c>
      <c r="K2846">
        <f>dataset[[#This Row],[soda_sales]]/dataset[[#This Row],[soda_units_sold]]</f>
        <v>0.71989626975054533</v>
      </c>
      <c r="L2846" s="29">
        <f>dataset[[#This Row],[implied_soda_ppu]]-dataset[[#This Row],[soda_ppu]]</f>
        <v>-3.7302494546587184E-6</v>
      </c>
      <c r="M2846">
        <f>dataset[[#This Row],[soda_sales]]/dataset[[#This Row],[total_sales]]</f>
        <v>5.3696414717436289E-2</v>
      </c>
      <c r="N2846">
        <f>LN(dataset[[#This Row],[soda_units_sold]])</f>
        <v>11.867735671366097</v>
      </c>
      <c r="O2846">
        <f>LN(dataset[[#This Row],[soda_sales]])</f>
        <v>11.539087524224103</v>
      </c>
      <c r="P2846">
        <f>LN(dataset[[#This Row],[soda_ppu]])</f>
        <v>-0.32864296550687983</v>
      </c>
      <c r="Q2846">
        <f>IF(dataset[[#This Row],[state]]="VA",1,0)</f>
        <v>0</v>
      </c>
    </row>
    <row r="2847" spans="1:17" x14ac:dyDescent="0.35">
      <c r="A2847">
        <v>202202</v>
      </c>
      <c r="B2847">
        <v>28</v>
      </c>
      <c r="C2847" s="2">
        <v>2105531.8983999998</v>
      </c>
      <c r="D2847" s="2">
        <v>0.70320000000000005</v>
      </c>
      <c r="E2847" s="3">
        <v>166319</v>
      </c>
      <c r="F2847" s="2">
        <v>116948.0312</v>
      </c>
      <c r="G2847" t="s">
        <v>2199</v>
      </c>
      <c r="H2847" t="s">
        <v>7</v>
      </c>
      <c r="I2847">
        <f>HLOOKUP(G2847,zip_tiers!$A$1:$EON$2,2,FALSE)</f>
        <v>70973</v>
      </c>
      <c r="J2847" t="str">
        <f t="shared" si="44"/>
        <v>Med</v>
      </c>
      <c r="K2847">
        <f>dataset[[#This Row],[soda_sales]]/dataset[[#This Row],[soda_units_sold]]</f>
        <v>0.70315496846421632</v>
      </c>
      <c r="L2847" s="29">
        <f>dataset[[#This Row],[implied_soda_ppu]]-dataset[[#This Row],[soda_ppu]]</f>
        <v>-4.5031535783723875E-5</v>
      </c>
      <c r="M2847">
        <f>dataset[[#This Row],[soda_sales]]/dataset[[#This Row],[total_sales]]</f>
        <v>5.5543224630730678E-2</v>
      </c>
      <c r="N2847">
        <f>LN(dataset[[#This Row],[soda_units_sold]])</f>
        <v>12.021662910007807</v>
      </c>
      <c r="O2847">
        <f>LN(dataset[[#This Row],[soda_sales]])</f>
        <v>11.669484937325945</v>
      </c>
      <c r="P2847">
        <f>LN(dataset[[#This Row],[soda_ppu]])</f>
        <v>-0.35211393261116974</v>
      </c>
      <c r="Q2847">
        <f>IF(dataset[[#This Row],[state]]="VA",1,0)</f>
        <v>0</v>
      </c>
    </row>
    <row r="2848" spans="1:17" x14ac:dyDescent="0.35">
      <c r="A2848">
        <v>202203</v>
      </c>
      <c r="B2848">
        <v>28</v>
      </c>
      <c r="C2848" s="2">
        <v>2347111.3464000002</v>
      </c>
      <c r="D2848" s="2">
        <v>0.72870000000000001</v>
      </c>
      <c r="E2848" s="3">
        <v>182548</v>
      </c>
      <c r="F2848" s="2">
        <v>133015.15460000001</v>
      </c>
      <c r="G2848" t="s">
        <v>2199</v>
      </c>
      <c r="H2848" t="s">
        <v>7</v>
      </c>
      <c r="I2848">
        <f>HLOOKUP(G2848,zip_tiers!$A$1:$EON$2,2,FALSE)</f>
        <v>70973</v>
      </c>
      <c r="J2848" t="str">
        <f t="shared" si="44"/>
        <v>Med</v>
      </c>
      <c r="K2848">
        <f>dataset[[#This Row],[soda_sales]]/dataset[[#This Row],[soda_units_sold]]</f>
        <v>0.72865851502070689</v>
      </c>
      <c r="L2848" s="29">
        <f>dataset[[#This Row],[implied_soda_ppu]]-dataset[[#This Row],[soda_ppu]]</f>
        <v>-4.1484979293127111E-5</v>
      </c>
      <c r="M2848">
        <f>dataset[[#This Row],[soda_sales]]/dataset[[#This Row],[total_sales]]</f>
        <v>5.6671855301632226E-2</v>
      </c>
      <c r="N2848">
        <f>LN(dataset[[#This Row],[soda_units_sold]])</f>
        <v>12.114768431121274</v>
      </c>
      <c r="O2848">
        <f>LN(dataset[[#This Row],[soda_sales]])</f>
        <v>11.798218345073627</v>
      </c>
      <c r="P2848">
        <f>LN(dataset[[#This Row],[soda_ppu]])</f>
        <v>-0.31649315430590053</v>
      </c>
      <c r="Q2848">
        <f>IF(dataset[[#This Row],[state]]="VA",1,0)</f>
        <v>0</v>
      </c>
    </row>
    <row r="2849" spans="1:17" x14ac:dyDescent="0.35">
      <c r="A2849">
        <v>202204</v>
      </c>
      <c r="B2849">
        <v>28</v>
      </c>
      <c r="C2849" s="2">
        <v>2494943.5323999999</v>
      </c>
      <c r="D2849" s="2">
        <v>0.71079999999999999</v>
      </c>
      <c r="E2849" s="3">
        <v>222271</v>
      </c>
      <c r="F2849" s="2">
        <v>157984.0448</v>
      </c>
      <c r="G2849" t="s">
        <v>2199</v>
      </c>
      <c r="H2849" t="s">
        <v>7</v>
      </c>
      <c r="I2849">
        <f>HLOOKUP(G2849,zip_tiers!$A$1:$EON$2,2,FALSE)</f>
        <v>70973</v>
      </c>
      <c r="J2849" t="str">
        <f t="shared" si="44"/>
        <v>Med</v>
      </c>
      <c r="K2849">
        <f>dataset[[#This Row],[soda_sales]]/dataset[[#This Row],[soda_units_sold]]</f>
        <v>0.71077218710493051</v>
      </c>
      <c r="L2849" s="29">
        <f>dataset[[#This Row],[implied_soda_ppu]]-dataset[[#This Row],[soda_ppu]]</f>
        <v>-2.7812895069478927E-5</v>
      </c>
      <c r="M2849">
        <f>dataset[[#This Row],[soda_sales]]/dataset[[#This Row],[total_sales]]</f>
        <v>6.3321691552685341E-2</v>
      </c>
      <c r="N2849">
        <f>LN(dataset[[#This Row],[soda_units_sold]])</f>
        <v>12.3116526371014</v>
      </c>
      <c r="O2849">
        <f>LN(dataset[[#This Row],[soda_sales]])</f>
        <v>11.970249324631569</v>
      </c>
      <c r="P2849">
        <f>LN(dataset[[#This Row],[soda_ppu]])</f>
        <v>-0.34136418270164082</v>
      </c>
      <c r="Q2849">
        <f>IF(dataset[[#This Row],[state]]="VA",1,0)</f>
        <v>0</v>
      </c>
    </row>
    <row r="2850" spans="1:17" x14ac:dyDescent="0.35">
      <c r="A2850">
        <v>202205</v>
      </c>
      <c r="B2850">
        <v>28</v>
      </c>
      <c r="C2850" s="2">
        <v>2597653.4267000002</v>
      </c>
      <c r="D2850" s="2">
        <v>0.74480000000000002</v>
      </c>
      <c r="E2850" s="3">
        <v>229865</v>
      </c>
      <c r="F2850" s="2">
        <v>171206.2078</v>
      </c>
      <c r="G2850" t="s">
        <v>2199</v>
      </c>
      <c r="H2850" t="s">
        <v>7</v>
      </c>
      <c r="I2850">
        <f>HLOOKUP(G2850,zip_tiers!$A$1:$EON$2,2,FALSE)</f>
        <v>70973</v>
      </c>
      <c r="J2850" t="str">
        <f t="shared" si="44"/>
        <v>Med</v>
      </c>
      <c r="K2850">
        <f>dataset[[#This Row],[soda_sales]]/dataset[[#This Row],[soda_units_sold]]</f>
        <v>0.74481198877602073</v>
      </c>
      <c r="L2850" s="29">
        <f>dataset[[#This Row],[implied_soda_ppu]]-dataset[[#This Row],[soda_ppu]]</f>
        <v>1.1988776020710468E-5</v>
      </c>
      <c r="M2850">
        <f>dataset[[#This Row],[soda_sales]]/dataset[[#This Row],[total_sales]]</f>
        <v>6.5908025312482299E-2</v>
      </c>
      <c r="N2850">
        <f>LN(dataset[[#This Row],[soda_units_sold]])</f>
        <v>12.345247459057179</v>
      </c>
      <c r="O2850">
        <f>LN(dataset[[#This Row],[soda_sales]])</f>
        <v>12.050624002546401</v>
      </c>
      <c r="P2850">
        <f>LN(dataset[[#This Row],[soda_ppu]])</f>
        <v>-0.29463955301927969</v>
      </c>
      <c r="Q2850">
        <f>IF(dataset[[#This Row],[state]]="VA",1,0)</f>
        <v>0</v>
      </c>
    </row>
    <row r="2851" spans="1:17" x14ac:dyDescent="0.35">
      <c r="A2851">
        <v>202206</v>
      </c>
      <c r="B2851">
        <v>28</v>
      </c>
      <c r="C2851" s="2">
        <v>2471230.1768</v>
      </c>
      <c r="D2851" s="2">
        <v>0.74939999999999996</v>
      </c>
      <c r="E2851" s="3">
        <v>236101</v>
      </c>
      <c r="F2851" s="2">
        <v>176938.69529999999</v>
      </c>
      <c r="G2851" t="s">
        <v>2199</v>
      </c>
      <c r="H2851" t="s">
        <v>7</v>
      </c>
      <c r="I2851">
        <f>HLOOKUP(G2851,zip_tiers!$A$1:$EON$2,2,FALSE)</f>
        <v>70973</v>
      </c>
      <c r="J2851" t="str">
        <f t="shared" si="44"/>
        <v>Med</v>
      </c>
      <c r="K2851">
        <f>dataset[[#This Row],[soda_sales]]/dataset[[#This Row],[soda_units_sold]]</f>
        <v>0.74941950817658542</v>
      </c>
      <c r="L2851" s="29">
        <f>dataset[[#This Row],[implied_soda_ppu]]-dataset[[#This Row],[soda_ppu]]</f>
        <v>1.9508176585469883E-5</v>
      </c>
      <c r="M2851">
        <f>dataset[[#This Row],[soda_sales]]/dataset[[#This Row],[total_sales]]</f>
        <v>7.1599439405162252E-2</v>
      </c>
      <c r="N2851">
        <f>LN(dataset[[#This Row],[soda_units_sold]])</f>
        <v>12.37201495855807</v>
      </c>
      <c r="O2851">
        <f>LN(dataset[[#This Row],[soda_sales]])</f>
        <v>12.083558597324195</v>
      </c>
      <c r="P2851">
        <f>LN(dataset[[#This Row],[soda_ppu]])</f>
        <v>-0.2884823926225501</v>
      </c>
      <c r="Q2851">
        <f>IF(dataset[[#This Row],[state]]="VA",1,0)</f>
        <v>0</v>
      </c>
    </row>
    <row r="2852" spans="1:17" x14ac:dyDescent="0.35">
      <c r="A2852">
        <v>202207</v>
      </c>
      <c r="B2852">
        <v>28</v>
      </c>
      <c r="C2852" s="2">
        <v>2369180.3598000002</v>
      </c>
      <c r="D2852" s="2">
        <v>0.73399999999999999</v>
      </c>
      <c r="E2852" s="3">
        <v>253129</v>
      </c>
      <c r="F2852" s="2">
        <v>185786.48019999999</v>
      </c>
      <c r="G2852" t="s">
        <v>2199</v>
      </c>
      <c r="H2852" t="s">
        <v>7</v>
      </c>
      <c r="I2852">
        <f>HLOOKUP(G2852,zip_tiers!$A$1:$EON$2,2,FALSE)</f>
        <v>70973</v>
      </c>
      <c r="J2852" t="str">
        <f t="shared" si="44"/>
        <v>Med</v>
      </c>
      <c r="K2852">
        <f>dataset[[#This Row],[soda_sales]]/dataset[[#This Row],[soda_units_sold]]</f>
        <v>0.73395968142725643</v>
      </c>
      <c r="L2852" s="29">
        <f>dataset[[#This Row],[implied_soda_ppu]]-dataset[[#This Row],[soda_ppu]]</f>
        <v>-4.0318572743558434E-5</v>
      </c>
      <c r="M2852">
        <f>dataset[[#This Row],[soda_sales]]/dataset[[#This Row],[total_sales]]</f>
        <v>7.8418039990709523E-2</v>
      </c>
      <c r="N2852">
        <f>LN(dataset[[#This Row],[soda_units_sold]])</f>
        <v>12.441654519187219</v>
      </c>
      <c r="O2852">
        <f>LN(dataset[[#This Row],[soda_sales]])</f>
        <v>12.132353337375275</v>
      </c>
      <c r="P2852">
        <f>LN(dataset[[#This Row],[soda_ppu]])</f>
        <v>-0.30924625036762149</v>
      </c>
      <c r="Q2852">
        <f>IF(dataset[[#This Row],[state]]="VA",1,0)</f>
        <v>0</v>
      </c>
    </row>
    <row r="2853" spans="1:17" x14ac:dyDescent="0.35">
      <c r="A2853">
        <v>202208</v>
      </c>
      <c r="B2853">
        <v>28</v>
      </c>
      <c r="C2853" s="2">
        <v>2277536.7513000001</v>
      </c>
      <c r="D2853" s="2">
        <v>0.72130000000000005</v>
      </c>
      <c r="E2853" s="3">
        <v>228744</v>
      </c>
      <c r="F2853" s="2">
        <v>164986.08840000001</v>
      </c>
      <c r="G2853" t="s">
        <v>2199</v>
      </c>
      <c r="H2853" t="s">
        <v>7</v>
      </c>
      <c r="I2853">
        <f>HLOOKUP(G2853,zip_tiers!$A$1:$EON$2,2,FALSE)</f>
        <v>70973</v>
      </c>
      <c r="J2853" t="str">
        <f t="shared" si="44"/>
        <v>Med</v>
      </c>
      <c r="K2853">
        <f>dataset[[#This Row],[soda_sales]]/dataset[[#This Row],[soda_units_sold]]</f>
        <v>0.72126957821844506</v>
      </c>
      <c r="L2853" s="29">
        <f>dataset[[#This Row],[implied_soda_ppu]]-dataset[[#This Row],[soda_ppu]]</f>
        <v>-3.0421781554990091E-5</v>
      </c>
      <c r="M2853">
        <f>dataset[[#This Row],[soda_sales]]/dataset[[#This Row],[total_sales]]</f>
        <v>7.2440582267586789E-2</v>
      </c>
      <c r="N2853">
        <f>LN(dataset[[#This Row],[soda_units_sold]])</f>
        <v>12.340358753285571</v>
      </c>
      <c r="O2853">
        <f>LN(dataset[[#This Row],[soda_sales]])</f>
        <v>12.013616436600927</v>
      </c>
      <c r="P2853">
        <f>LN(dataset[[#This Row],[soda_ppu]])</f>
        <v>-0.32670013947251003</v>
      </c>
      <c r="Q2853">
        <f>IF(dataset[[#This Row],[state]]="VA",1,0)</f>
        <v>0</v>
      </c>
    </row>
    <row r="2854" spans="1:17" x14ac:dyDescent="0.35">
      <c r="A2854">
        <v>202209</v>
      </c>
      <c r="B2854">
        <v>28</v>
      </c>
      <c r="C2854" s="2">
        <v>2249313.4774000002</v>
      </c>
      <c r="D2854" s="2">
        <v>0.71819999999999995</v>
      </c>
      <c r="E2854" s="3">
        <v>214684</v>
      </c>
      <c r="F2854" s="2">
        <v>154182.32139999999</v>
      </c>
      <c r="G2854" t="s">
        <v>2199</v>
      </c>
      <c r="H2854" t="s">
        <v>7</v>
      </c>
      <c r="I2854">
        <f>HLOOKUP(G2854,zip_tiers!$A$1:$EON$2,2,FALSE)</f>
        <v>70973</v>
      </c>
      <c r="J2854" t="str">
        <f t="shared" si="44"/>
        <v>Med</v>
      </c>
      <c r="K2854">
        <f>dataset[[#This Row],[soda_sales]]/dataset[[#This Row],[soda_units_sold]]</f>
        <v>0.71818263773732549</v>
      </c>
      <c r="L2854" s="29">
        <f>dataset[[#This Row],[implied_soda_ppu]]-dataset[[#This Row],[soda_ppu]]</f>
        <v>-1.7362262674458506E-5</v>
      </c>
      <c r="M2854">
        <f>dataset[[#This Row],[soda_sales]]/dataset[[#This Row],[total_sales]]</f>
        <v>6.8546391131849072E-2</v>
      </c>
      <c r="N2854">
        <f>LN(dataset[[#This Row],[soda_units_sold]])</f>
        <v>12.276922458500266</v>
      </c>
      <c r="O2854">
        <f>LN(dataset[[#This Row],[soda_sales]])</f>
        <v>11.945891086327459</v>
      </c>
      <c r="P2854">
        <f>LN(dataset[[#This Row],[soda_ppu]])</f>
        <v>-0.33100719719015465</v>
      </c>
      <c r="Q2854">
        <f>IF(dataset[[#This Row],[state]]="VA",1,0)</f>
        <v>0</v>
      </c>
    </row>
    <row r="2855" spans="1:17" x14ac:dyDescent="0.35">
      <c r="A2855">
        <v>202210</v>
      </c>
      <c r="B2855">
        <v>28</v>
      </c>
      <c r="C2855" s="2">
        <v>2735397.0436999998</v>
      </c>
      <c r="D2855" s="2">
        <v>0.73240000000000005</v>
      </c>
      <c r="E2855" s="3">
        <v>204267</v>
      </c>
      <c r="F2855" s="2">
        <v>149601.0423</v>
      </c>
      <c r="G2855" t="s">
        <v>2199</v>
      </c>
      <c r="H2855" t="s">
        <v>7</v>
      </c>
      <c r="I2855">
        <f>HLOOKUP(G2855,zip_tiers!$A$1:$EON$2,2,FALSE)</f>
        <v>70973</v>
      </c>
      <c r="J2855" t="str">
        <f t="shared" si="44"/>
        <v>Med</v>
      </c>
      <c r="K2855">
        <f>dataset[[#This Row],[soda_sales]]/dataset[[#This Row],[soda_units_sold]]</f>
        <v>0.73237988661898401</v>
      </c>
      <c r="L2855" s="29">
        <f>dataset[[#This Row],[implied_soda_ppu]]-dataset[[#This Row],[soda_ppu]]</f>
        <v>-2.0113381016040321E-5</v>
      </c>
      <c r="M2855">
        <f>dataset[[#This Row],[soda_sales]]/dataset[[#This Row],[total_sales]]</f>
        <v>5.4690796220808975E-2</v>
      </c>
      <c r="N2855">
        <f>LN(dataset[[#This Row],[soda_units_sold]])</f>
        <v>12.227183240592863</v>
      </c>
      <c r="O2855">
        <f>LN(dataset[[#This Row],[soda_sales]])</f>
        <v>11.915727311744233</v>
      </c>
      <c r="P2855">
        <f>LN(dataset[[#This Row],[soda_ppu]])</f>
        <v>-0.31142846618178133</v>
      </c>
      <c r="Q2855">
        <f>IF(dataset[[#This Row],[state]]="VA",1,0)</f>
        <v>0</v>
      </c>
    </row>
    <row r="2856" spans="1:17" x14ac:dyDescent="0.35">
      <c r="A2856">
        <v>202211</v>
      </c>
      <c r="B2856">
        <v>28</v>
      </c>
      <c r="C2856" s="2">
        <v>3089711.2607</v>
      </c>
      <c r="D2856" s="2">
        <v>0.71960000000000002</v>
      </c>
      <c r="E2856" s="3">
        <v>193001</v>
      </c>
      <c r="F2856" s="2">
        <v>138879.17139999999</v>
      </c>
      <c r="G2856" t="s">
        <v>2199</v>
      </c>
      <c r="H2856" t="s">
        <v>7</v>
      </c>
      <c r="I2856">
        <f>HLOOKUP(G2856,zip_tiers!$A$1:$EON$2,2,FALSE)</f>
        <v>70973</v>
      </c>
      <c r="J2856" t="str">
        <f t="shared" si="44"/>
        <v>Med</v>
      </c>
      <c r="K2856">
        <f>dataset[[#This Row],[soda_sales]]/dataset[[#This Row],[soda_units_sold]]</f>
        <v>0.71957747058305388</v>
      </c>
      <c r="L2856" s="29">
        <f>dataset[[#This Row],[implied_soda_ppu]]-dataset[[#This Row],[soda_ppu]]</f>
        <v>-2.2529416946137637E-5</v>
      </c>
      <c r="M2856">
        <f>dataset[[#This Row],[soda_sales]]/dataset[[#This Row],[total_sales]]</f>
        <v>4.4948915831227461E-2</v>
      </c>
      <c r="N2856">
        <f>LN(dataset[[#This Row],[soda_units_sold]])</f>
        <v>12.170450649220749</v>
      </c>
      <c r="O2856">
        <f>LN(dataset[[#This Row],[soda_sales]])</f>
        <v>11.841359563574535</v>
      </c>
      <c r="P2856">
        <f>LN(dataset[[#This Row],[soda_ppu]])</f>
        <v>-0.32905977690575899</v>
      </c>
      <c r="Q2856">
        <f>IF(dataset[[#This Row],[state]]="VA",1,0)</f>
        <v>0</v>
      </c>
    </row>
    <row r="2857" spans="1:17" x14ac:dyDescent="0.35">
      <c r="A2857">
        <v>202212</v>
      </c>
      <c r="B2857">
        <v>28</v>
      </c>
      <c r="C2857" s="2">
        <v>3261815.6392000001</v>
      </c>
      <c r="D2857" s="2">
        <v>0.70720000000000005</v>
      </c>
      <c r="E2857" s="3">
        <v>193932</v>
      </c>
      <c r="F2857" s="2">
        <v>137145.0656</v>
      </c>
      <c r="G2857" t="s">
        <v>2199</v>
      </c>
      <c r="H2857" t="s">
        <v>7</v>
      </c>
      <c r="I2857">
        <f>HLOOKUP(G2857,zip_tiers!$A$1:$EON$2,2,FALSE)</f>
        <v>70973</v>
      </c>
      <c r="J2857" t="str">
        <f t="shared" si="44"/>
        <v>Med</v>
      </c>
      <c r="K2857">
        <f>dataset[[#This Row],[soda_sales]]/dataset[[#This Row],[soda_units_sold]]</f>
        <v>0.70718120578347055</v>
      </c>
      <c r="L2857" s="29">
        <f>dataset[[#This Row],[implied_soda_ppu]]-dataset[[#This Row],[soda_ppu]]</f>
        <v>-1.8794216529505192E-5</v>
      </c>
      <c r="M2857">
        <f>dataset[[#This Row],[soda_sales]]/dataset[[#This Row],[total_sales]]</f>
        <v>4.2045621448315973E-2</v>
      </c>
      <c r="N2857">
        <f>LN(dataset[[#This Row],[soda_units_sold]])</f>
        <v>12.175262861136643</v>
      </c>
      <c r="O2857">
        <f>LN(dataset[[#This Row],[soda_sales]])</f>
        <v>11.828794517592382</v>
      </c>
      <c r="P2857">
        <f>LN(dataset[[#This Row],[soda_ppu]])</f>
        <v>-0.34644176765870333</v>
      </c>
      <c r="Q2857">
        <f>IF(dataset[[#This Row],[state]]="VA",1,0)</f>
        <v>0</v>
      </c>
    </row>
    <row r="2858" spans="1:17" x14ac:dyDescent="0.35">
      <c r="A2858">
        <v>202301</v>
      </c>
      <c r="B2858">
        <v>28</v>
      </c>
      <c r="C2858" s="2">
        <v>1849252.6993</v>
      </c>
      <c r="D2858" s="2">
        <v>0.73780000000000001</v>
      </c>
      <c r="E2858" s="3">
        <v>137012</v>
      </c>
      <c r="F2858" s="2">
        <v>101092.1002</v>
      </c>
      <c r="G2858" t="s">
        <v>2199</v>
      </c>
      <c r="H2858" t="s">
        <v>7</v>
      </c>
      <c r="I2858">
        <f>HLOOKUP(G2858,zip_tiers!$A$1:$EON$2,2,FALSE)</f>
        <v>70973</v>
      </c>
      <c r="J2858" t="str">
        <f t="shared" si="44"/>
        <v>Med</v>
      </c>
      <c r="K2858">
        <f>dataset[[#This Row],[soda_sales]]/dataset[[#This Row],[soda_units_sold]]</f>
        <v>0.73783391381776775</v>
      </c>
      <c r="L2858" s="29">
        <f>dataset[[#This Row],[implied_soda_ppu]]-dataset[[#This Row],[soda_ppu]]</f>
        <v>3.3913817767738941E-5</v>
      </c>
      <c r="M2858">
        <f>dataset[[#This Row],[soda_sales]]/dataset[[#This Row],[total_sales]]</f>
        <v>5.4666460802391431E-2</v>
      </c>
      <c r="N2858">
        <f>LN(dataset[[#This Row],[soda_units_sold]])</f>
        <v>11.827823792215248</v>
      </c>
      <c r="O2858">
        <f>LN(dataset[[#This Row],[soda_sales]])</f>
        <v>11.523787263478837</v>
      </c>
      <c r="P2858">
        <f>LN(dataset[[#This Row],[soda_ppu]])</f>
        <v>-0.30408249381956176</v>
      </c>
      <c r="Q2858">
        <f>IF(dataset[[#This Row],[state]]="VA",1,0)</f>
        <v>0</v>
      </c>
    </row>
    <row r="2859" spans="1:17" x14ac:dyDescent="0.35">
      <c r="A2859">
        <v>202302</v>
      </c>
      <c r="B2859">
        <v>28</v>
      </c>
      <c r="C2859" s="2">
        <v>2157528.4508000002</v>
      </c>
      <c r="D2859" s="2">
        <v>0.74529999999999996</v>
      </c>
      <c r="E2859" s="3">
        <v>159386</v>
      </c>
      <c r="F2859" s="2">
        <v>118788.88</v>
      </c>
      <c r="G2859" t="s">
        <v>2199</v>
      </c>
      <c r="H2859" t="s">
        <v>7</v>
      </c>
      <c r="I2859">
        <f>HLOOKUP(G2859,zip_tiers!$A$1:$EON$2,2,FALSE)</f>
        <v>70973</v>
      </c>
      <c r="J2859" t="str">
        <f t="shared" si="44"/>
        <v>Med</v>
      </c>
      <c r="K2859">
        <f>dataset[[#This Row],[soda_sales]]/dataset[[#This Row],[soda_units_sold]]</f>
        <v>0.74529055249520038</v>
      </c>
      <c r="L2859" s="29">
        <f>dataset[[#This Row],[implied_soda_ppu]]-dataset[[#This Row],[soda_ppu]]</f>
        <v>-9.4475047995867811E-6</v>
      </c>
      <c r="M2859">
        <f>dataset[[#This Row],[soda_sales]]/dataset[[#This Row],[total_sales]]</f>
        <v>5.5057851012789059E-2</v>
      </c>
      <c r="N2859">
        <f>LN(dataset[[#This Row],[soda_units_sold]])</f>
        <v>11.979084212120927</v>
      </c>
      <c r="O2859">
        <f>LN(dataset[[#This Row],[soda_sales]])</f>
        <v>11.685103078836073</v>
      </c>
      <c r="P2859">
        <f>LN(dataset[[#This Row],[soda_ppu]])</f>
        <v>-0.29396845709448899</v>
      </c>
      <c r="Q2859">
        <f>IF(dataset[[#This Row],[state]]="VA",1,0)</f>
        <v>0</v>
      </c>
    </row>
    <row r="2860" spans="1:17" x14ac:dyDescent="0.35">
      <c r="A2860">
        <v>202303</v>
      </c>
      <c r="B2860">
        <v>28</v>
      </c>
      <c r="C2860" s="2">
        <v>2356217.4674</v>
      </c>
      <c r="D2860" s="2">
        <v>0.76270000000000004</v>
      </c>
      <c r="E2860" s="3">
        <v>177900</v>
      </c>
      <c r="F2860" s="2">
        <v>135682.41519999999</v>
      </c>
      <c r="G2860" t="s">
        <v>2199</v>
      </c>
      <c r="H2860" t="s">
        <v>7</v>
      </c>
      <c r="I2860">
        <f>HLOOKUP(G2860,zip_tiers!$A$1:$EON$2,2,FALSE)</f>
        <v>70973</v>
      </c>
      <c r="J2860" t="str">
        <f t="shared" si="44"/>
        <v>Med</v>
      </c>
      <c r="K2860">
        <f>dataset[[#This Row],[soda_sales]]/dataset[[#This Row],[soda_units_sold]]</f>
        <v>0.76268923664980315</v>
      </c>
      <c r="L2860" s="29">
        <f>dataset[[#This Row],[implied_soda_ppu]]-dataset[[#This Row],[soda_ppu]]</f>
        <v>-1.0763350196896226E-5</v>
      </c>
      <c r="M2860">
        <f>dataset[[#This Row],[soda_sales]]/dataset[[#This Row],[total_sales]]</f>
        <v>5.7584843961674126E-2</v>
      </c>
      <c r="N2860">
        <f>LN(dataset[[#This Row],[soda_units_sold]])</f>
        <v>12.088976873653927</v>
      </c>
      <c r="O2860">
        <f>LN(dataset[[#This Row],[soda_sales]])</f>
        <v>11.818072251574847</v>
      </c>
      <c r="P2860">
        <f>LN(dataset[[#This Row],[soda_ppu]])</f>
        <v>-0.27089050981194412</v>
      </c>
      <c r="Q2860">
        <f>IF(dataset[[#This Row],[state]]="VA",1,0)</f>
        <v>0</v>
      </c>
    </row>
    <row r="2861" spans="1:17" x14ac:dyDescent="0.35">
      <c r="A2861">
        <v>202304</v>
      </c>
      <c r="B2861">
        <v>28</v>
      </c>
      <c r="C2861" s="2">
        <v>2475672.9128999999</v>
      </c>
      <c r="D2861" s="2">
        <v>0.74519999999999997</v>
      </c>
      <c r="E2861" s="3">
        <v>212012</v>
      </c>
      <c r="F2861" s="2">
        <v>157984.99609999999</v>
      </c>
      <c r="G2861" t="s">
        <v>2199</v>
      </c>
      <c r="H2861" t="s">
        <v>7</v>
      </c>
      <c r="I2861">
        <f>HLOOKUP(G2861,zip_tiers!$A$1:$EON$2,2,FALSE)</f>
        <v>70973</v>
      </c>
      <c r="J2861" t="str">
        <f t="shared" si="44"/>
        <v>Med</v>
      </c>
      <c r="K2861">
        <f>dataset[[#This Row],[soda_sales]]/dataset[[#This Row],[soda_units_sold]]</f>
        <v>0.74517006631700089</v>
      </c>
      <c r="L2861" s="29">
        <f>dataset[[#This Row],[implied_soda_ppu]]-dataset[[#This Row],[soda_ppu]]</f>
        <v>-2.9933682999083722E-5</v>
      </c>
      <c r="M2861">
        <f>dataset[[#This Row],[soda_sales]]/dataset[[#This Row],[total_sales]]</f>
        <v>6.3814971386885105E-2</v>
      </c>
      <c r="N2861">
        <f>LN(dataset[[#This Row],[soda_units_sold]])</f>
        <v>12.264398155825802</v>
      </c>
      <c r="O2861">
        <f>LN(dataset[[#This Row],[soda_sales]])</f>
        <v>11.97025534610758</v>
      </c>
      <c r="P2861">
        <f>LN(dataset[[#This Row],[soda_ppu]])</f>
        <v>-0.29410264025470367</v>
      </c>
      <c r="Q2861">
        <f>IF(dataset[[#This Row],[state]]="VA",1,0)</f>
        <v>0</v>
      </c>
    </row>
    <row r="2862" spans="1:17" x14ac:dyDescent="0.35">
      <c r="A2862">
        <v>202305</v>
      </c>
      <c r="B2862">
        <v>28</v>
      </c>
      <c r="C2862" s="2">
        <v>2616695.7012999998</v>
      </c>
      <c r="D2862" s="2">
        <v>0.72840000000000005</v>
      </c>
      <c r="E2862" s="3">
        <v>239008</v>
      </c>
      <c r="F2862" s="2">
        <v>174092.7659</v>
      </c>
      <c r="G2862" t="s">
        <v>2199</v>
      </c>
      <c r="H2862" t="s">
        <v>7</v>
      </c>
      <c r="I2862">
        <f>HLOOKUP(G2862,zip_tiers!$A$1:$EON$2,2,FALSE)</f>
        <v>70973</v>
      </c>
      <c r="J2862" t="str">
        <f t="shared" si="44"/>
        <v>Med</v>
      </c>
      <c r="K2862">
        <f>dataset[[#This Row],[soda_sales]]/dataset[[#This Row],[soda_units_sold]]</f>
        <v>0.72839723314700766</v>
      </c>
      <c r="L2862" s="29">
        <f>dataset[[#This Row],[implied_soda_ppu]]-dataset[[#This Row],[soda_ppu]]</f>
        <v>-2.7668529923863261E-6</v>
      </c>
      <c r="M2862">
        <f>dataset[[#This Row],[soda_sales]]/dataset[[#This Row],[total_sales]]</f>
        <v>6.6531528986541702E-2</v>
      </c>
      <c r="N2862">
        <f>LN(dataset[[#This Row],[soda_units_sold]])</f>
        <v>12.384252303156794</v>
      </c>
      <c r="O2862">
        <f>LN(dataset[[#This Row],[soda_sales]])</f>
        <v>12.067343573485759</v>
      </c>
      <c r="P2862">
        <f>LN(dataset[[#This Row],[soda_ppu]])</f>
        <v>-0.31690493112868412</v>
      </c>
      <c r="Q2862">
        <f>IF(dataset[[#This Row],[state]]="VA",1,0)</f>
        <v>0</v>
      </c>
    </row>
    <row r="2863" spans="1:17" x14ac:dyDescent="0.35">
      <c r="A2863">
        <v>202306</v>
      </c>
      <c r="B2863">
        <v>28</v>
      </c>
      <c r="C2863" s="2">
        <v>2511813.5962999999</v>
      </c>
      <c r="D2863" s="2">
        <v>0.71489999999999998</v>
      </c>
      <c r="E2863" s="3">
        <v>256718</v>
      </c>
      <c r="F2863" s="2">
        <v>183530.89129999999</v>
      </c>
      <c r="G2863" t="s">
        <v>2199</v>
      </c>
      <c r="H2863" t="s">
        <v>7</v>
      </c>
      <c r="I2863">
        <f>HLOOKUP(G2863,zip_tiers!$A$1:$EON$2,2,FALSE)</f>
        <v>70973</v>
      </c>
      <c r="J2863" t="str">
        <f t="shared" si="44"/>
        <v>Med</v>
      </c>
      <c r="K2863">
        <f>dataset[[#This Row],[soda_sales]]/dataset[[#This Row],[soda_units_sold]]</f>
        <v>0.71491243816171823</v>
      </c>
      <c r="L2863" s="29">
        <f>dataset[[#This Row],[implied_soda_ppu]]-dataset[[#This Row],[soda_ppu]]</f>
        <v>1.2438161718253404E-5</v>
      </c>
      <c r="M2863">
        <f>dataset[[#This Row],[soda_sales]]/dataset[[#This Row],[total_sales]]</f>
        <v>7.3067082513745524E-2</v>
      </c>
      <c r="N2863">
        <f>LN(dataset[[#This Row],[soda_units_sold]])</f>
        <v>12.455733485164423</v>
      </c>
      <c r="O2863">
        <f>LN(dataset[[#This Row],[soda_sales]])</f>
        <v>12.120138277267467</v>
      </c>
      <c r="P2863">
        <f>LN(dataset[[#This Row],[soda_ppu]])</f>
        <v>-0.33561260620933098</v>
      </c>
      <c r="Q2863">
        <f>IF(dataset[[#This Row],[state]]="VA",1,0)</f>
        <v>0</v>
      </c>
    </row>
    <row r="2864" spans="1:17" x14ac:dyDescent="0.35">
      <c r="A2864">
        <v>202307</v>
      </c>
      <c r="B2864">
        <v>28</v>
      </c>
      <c r="C2864" s="2">
        <v>2404260.9350999999</v>
      </c>
      <c r="D2864" s="2">
        <v>0.76390000000000002</v>
      </c>
      <c r="E2864" s="3">
        <v>247905</v>
      </c>
      <c r="F2864" s="2">
        <v>189364.41140000001</v>
      </c>
      <c r="G2864" t="s">
        <v>2199</v>
      </c>
      <c r="H2864" t="s">
        <v>7</v>
      </c>
      <c r="I2864">
        <f>HLOOKUP(G2864,zip_tiers!$A$1:$EON$2,2,FALSE)</f>
        <v>70973</v>
      </c>
      <c r="J2864" t="str">
        <f t="shared" si="44"/>
        <v>Med</v>
      </c>
      <c r="K2864">
        <f>dataset[[#This Row],[soda_sales]]/dataset[[#This Row],[soda_units_sold]]</f>
        <v>0.76385878219479242</v>
      </c>
      <c r="L2864" s="29">
        <f>dataset[[#This Row],[implied_soda_ppu]]-dataset[[#This Row],[soda_ppu]]</f>
        <v>-4.1217805207605096E-5</v>
      </c>
      <c r="M2864">
        <f>dataset[[#This Row],[soda_sales]]/dataset[[#This Row],[total_sales]]</f>
        <v>7.8762004837101357E-2</v>
      </c>
      <c r="N2864">
        <f>LN(dataset[[#This Row],[soda_units_sold]])</f>
        <v>12.420800887243036</v>
      </c>
      <c r="O2864">
        <f>LN(dataset[[#This Row],[soda_sales]])</f>
        <v>12.151428540283218</v>
      </c>
      <c r="P2864">
        <f>LN(dataset[[#This Row],[soda_ppu]])</f>
        <v>-0.26931838843482303</v>
      </c>
      <c r="Q2864">
        <f>IF(dataset[[#This Row],[state]]="VA",1,0)</f>
        <v>0</v>
      </c>
    </row>
    <row r="2865" spans="1:17" x14ac:dyDescent="0.35">
      <c r="A2865">
        <v>202308</v>
      </c>
      <c r="B2865">
        <v>28</v>
      </c>
      <c r="C2865" s="2">
        <v>2283655.2606000002</v>
      </c>
      <c r="D2865" s="2">
        <v>0.77510000000000001</v>
      </c>
      <c r="E2865" s="3">
        <v>211927</v>
      </c>
      <c r="F2865" s="2">
        <v>164271.05910000001</v>
      </c>
      <c r="G2865" t="s">
        <v>2199</v>
      </c>
      <c r="H2865" t="s">
        <v>7</v>
      </c>
      <c r="I2865">
        <f>HLOOKUP(G2865,zip_tiers!$A$1:$EON$2,2,FALSE)</f>
        <v>70973</v>
      </c>
      <c r="J2865" t="str">
        <f t="shared" si="44"/>
        <v>Med</v>
      </c>
      <c r="K2865">
        <f>dataset[[#This Row],[soda_sales]]/dataset[[#This Row],[soda_units_sold]]</f>
        <v>0.77513039442827014</v>
      </c>
      <c r="L2865" s="29">
        <f>dataset[[#This Row],[implied_soda_ppu]]-dataset[[#This Row],[soda_ppu]]</f>
        <v>3.0394428270130724E-5</v>
      </c>
      <c r="M2865">
        <f>dataset[[#This Row],[soda_sales]]/dataset[[#This Row],[total_sales]]</f>
        <v>7.193338764137279E-2</v>
      </c>
      <c r="N2865">
        <f>LN(dataset[[#This Row],[soda_units_sold]])</f>
        <v>12.263997154733007</v>
      </c>
      <c r="O2865">
        <f>LN(dataset[[#This Row],[soda_sales]])</f>
        <v>12.009273141826814</v>
      </c>
      <c r="P2865">
        <f>LN(dataset[[#This Row],[soda_ppu]])</f>
        <v>-0.2547632256946713</v>
      </c>
      <c r="Q2865">
        <f>IF(dataset[[#This Row],[state]]="VA",1,0)</f>
        <v>0</v>
      </c>
    </row>
    <row r="2866" spans="1:17" x14ac:dyDescent="0.35">
      <c r="A2866">
        <v>202309</v>
      </c>
      <c r="B2866">
        <v>28</v>
      </c>
      <c r="C2866" s="2">
        <v>2295773.6019000001</v>
      </c>
      <c r="D2866" s="2">
        <v>0.78010000000000002</v>
      </c>
      <c r="E2866" s="3">
        <v>202890</v>
      </c>
      <c r="F2866" s="2">
        <v>158278.5514</v>
      </c>
      <c r="G2866" t="s">
        <v>2199</v>
      </c>
      <c r="H2866" t="s">
        <v>7</v>
      </c>
      <c r="I2866">
        <f>HLOOKUP(G2866,zip_tiers!$A$1:$EON$2,2,FALSE)</f>
        <v>70973</v>
      </c>
      <c r="J2866" t="str">
        <f t="shared" si="44"/>
        <v>Med</v>
      </c>
      <c r="K2866">
        <f>dataset[[#This Row],[soda_sales]]/dataset[[#This Row],[soda_units_sold]]</f>
        <v>0.78012002267238401</v>
      </c>
      <c r="L2866" s="29">
        <f>dataset[[#This Row],[implied_soda_ppu]]-dataset[[#This Row],[soda_ppu]]</f>
        <v>2.0022672383990248E-5</v>
      </c>
      <c r="M2866">
        <f>dataset[[#This Row],[soda_sales]]/dataset[[#This Row],[total_sales]]</f>
        <v>6.894344950608694E-2</v>
      </c>
      <c r="N2866">
        <f>LN(dataset[[#This Row],[soda_units_sold]])</f>
        <v>12.220419239237096</v>
      </c>
      <c r="O2866">
        <f>LN(dataset[[#This Row],[soda_sales]])</f>
        <v>11.972111743322023</v>
      </c>
      <c r="P2866">
        <f>LN(dataset[[#This Row],[soda_ppu]])</f>
        <v>-0.24833316238786959</v>
      </c>
      <c r="Q2866">
        <f>IF(dataset[[#This Row],[state]]="VA",1,0)</f>
        <v>0</v>
      </c>
    </row>
    <row r="2867" spans="1:17" x14ac:dyDescent="0.35">
      <c r="A2867">
        <v>202310</v>
      </c>
      <c r="B2867">
        <v>28</v>
      </c>
      <c r="C2867" s="2">
        <v>2752527.6789000002</v>
      </c>
      <c r="D2867" s="2">
        <v>0.81830000000000003</v>
      </c>
      <c r="E2867" s="3">
        <v>175474</v>
      </c>
      <c r="F2867" s="2">
        <v>143585.61919999999</v>
      </c>
      <c r="G2867" t="s">
        <v>2199</v>
      </c>
      <c r="H2867" t="s">
        <v>7</v>
      </c>
      <c r="I2867">
        <f>HLOOKUP(G2867,zip_tiers!$A$1:$EON$2,2,FALSE)</f>
        <v>70973</v>
      </c>
      <c r="J2867" t="str">
        <f t="shared" si="44"/>
        <v>Med</v>
      </c>
      <c r="K2867">
        <f>dataset[[#This Row],[soda_sales]]/dataset[[#This Row],[soda_units_sold]]</f>
        <v>0.81827290196838265</v>
      </c>
      <c r="L2867" s="29">
        <f>dataset[[#This Row],[implied_soda_ppu]]-dataset[[#This Row],[soda_ppu]]</f>
        <v>-2.709803161737856E-5</v>
      </c>
      <c r="M2867">
        <f>dataset[[#This Row],[soda_sales]]/dataset[[#This Row],[total_sales]]</f>
        <v>5.2165004661236136E-2</v>
      </c>
      <c r="N2867">
        <f>LN(dataset[[#This Row],[soda_units_sold]])</f>
        <v>12.075246162764888</v>
      </c>
      <c r="O2867">
        <f>LN(dataset[[#This Row],[soda_sales]])</f>
        <v>11.874686785734633</v>
      </c>
      <c r="P2867">
        <f>LN(dataset[[#This Row],[soda_ppu]])</f>
        <v>-0.20052626144880098</v>
      </c>
      <c r="Q2867">
        <f>IF(dataset[[#This Row],[state]]="VA",1,0)</f>
        <v>0</v>
      </c>
    </row>
    <row r="2868" spans="1:17" x14ac:dyDescent="0.35">
      <c r="A2868">
        <v>202311</v>
      </c>
      <c r="B2868">
        <v>28</v>
      </c>
      <c r="C2868" s="2">
        <v>3140888.5476000002</v>
      </c>
      <c r="D2868" s="2">
        <v>0.77429999999999999</v>
      </c>
      <c r="E2868" s="3">
        <v>184086</v>
      </c>
      <c r="F2868" s="2">
        <v>142529.2585</v>
      </c>
      <c r="G2868" t="s">
        <v>2199</v>
      </c>
      <c r="H2868" t="s">
        <v>7</v>
      </c>
      <c r="I2868">
        <f>HLOOKUP(G2868,zip_tiers!$A$1:$EON$2,2,FALSE)</f>
        <v>70973</v>
      </c>
      <c r="J2868" t="str">
        <f t="shared" si="44"/>
        <v>Med</v>
      </c>
      <c r="K2868">
        <f>dataset[[#This Row],[soda_sales]]/dataset[[#This Row],[soda_units_sold]]</f>
        <v>0.77425365589995976</v>
      </c>
      <c r="L2868" s="29">
        <f>dataset[[#This Row],[implied_soda_ppu]]-dataset[[#This Row],[soda_ppu]]</f>
        <v>-4.6344100040229819E-5</v>
      </c>
      <c r="M2868">
        <f>dataset[[#This Row],[soda_sales]]/dataset[[#This Row],[total_sales]]</f>
        <v>4.5378642489211765E-2</v>
      </c>
      <c r="N2868">
        <f>LN(dataset[[#This Row],[soda_units_sold]])</f>
        <v>12.123158318702178</v>
      </c>
      <c r="O2868">
        <f>LN(dataset[[#This Row],[soda_sales]])</f>
        <v>11.867302580422017</v>
      </c>
      <c r="P2868">
        <f>LN(dataset[[#This Row],[soda_ppu]])</f>
        <v>-0.25579588358945921</v>
      </c>
      <c r="Q2868">
        <f>IF(dataset[[#This Row],[state]]="VA",1,0)</f>
        <v>0</v>
      </c>
    </row>
    <row r="2869" spans="1:17" x14ac:dyDescent="0.35">
      <c r="A2869">
        <v>202312</v>
      </c>
      <c r="B2869">
        <v>28</v>
      </c>
      <c r="C2869" s="2">
        <v>3301496.8157000002</v>
      </c>
      <c r="D2869" s="2">
        <v>0.74350000000000005</v>
      </c>
      <c r="E2869" s="3">
        <v>187688</v>
      </c>
      <c r="F2869" s="2">
        <v>139537.23879999999</v>
      </c>
      <c r="G2869" t="s">
        <v>2199</v>
      </c>
      <c r="H2869" t="s">
        <v>7</v>
      </c>
      <c r="I2869">
        <f>HLOOKUP(G2869,zip_tiers!$A$1:$EON$2,2,FALSE)</f>
        <v>70973</v>
      </c>
      <c r="J2869" t="str">
        <f t="shared" si="44"/>
        <v>Med</v>
      </c>
      <c r="K2869">
        <f>dataset[[#This Row],[soda_sales]]/dataset[[#This Row],[soda_units_sold]]</f>
        <v>0.74345317122032306</v>
      </c>
      <c r="L2869" s="29">
        <f>dataset[[#This Row],[implied_soda_ppu]]-dataset[[#This Row],[soda_ppu]]</f>
        <v>-4.6828779676988397E-5</v>
      </c>
      <c r="M2869">
        <f>dataset[[#This Row],[soda_sales]]/dataset[[#This Row],[total_sales]]</f>
        <v>4.2264841249109182E-2</v>
      </c>
      <c r="N2869">
        <f>LN(dataset[[#This Row],[soda_units_sold]])</f>
        <v>12.142536288724802</v>
      </c>
      <c r="O2869">
        <f>LN(dataset[[#This Row],[soda_sales]])</f>
        <v>11.846086789423</v>
      </c>
      <c r="P2869">
        <f>LN(dataset[[#This Row],[soda_ppu]])</f>
        <v>-0.29638651308192721</v>
      </c>
      <c r="Q2869">
        <f>IF(dataset[[#This Row],[state]]="VA",1,0)</f>
        <v>0</v>
      </c>
    </row>
    <row r="2870" spans="1:17" x14ac:dyDescent="0.35">
      <c r="A2870">
        <v>202401</v>
      </c>
      <c r="B2870">
        <v>28</v>
      </c>
      <c r="C2870" s="2">
        <v>1908451.1479</v>
      </c>
      <c r="D2870" s="2">
        <v>0.80120000000000002</v>
      </c>
      <c r="E2870" s="3">
        <v>130000</v>
      </c>
      <c r="F2870" s="2">
        <v>104151.43</v>
      </c>
      <c r="G2870" t="s">
        <v>2199</v>
      </c>
      <c r="H2870" t="s">
        <v>7</v>
      </c>
      <c r="I2870">
        <f>HLOOKUP(G2870,zip_tiers!$A$1:$EON$2,2,FALSE)</f>
        <v>70973</v>
      </c>
      <c r="J2870" t="str">
        <f t="shared" si="44"/>
        <v>Med</v>
      </c>
      <c r="K2870">
        <f>dataset[[#This Row],[soda_sales]]/dataset[[#This Row],[soda_units_sold]]</f>
        <v>0.80116484615384609</v>
      </c>
      <c r="L2870" s="29">
        <f>dataset[[#This Row],[implied_soda_ppu]]-dataset[[#This Row],[soda_ppu]]</f>
        <v>-3.5153846153934687E-5</v>
      </c>
      <c r="M2870">
        <f>dataset[[#This Row],[soda_sales]]/dataset[[#This Row],[total_sales]]</f>
        <v>5.457379934225981E-2</v>
      </c>
      <c r="N2870">
        <f>LN(dataset[[#This Row],[soda_units_sold]])</f>
        <v>11.77528972943772</v>
      </c>
      <c r="O2870">
        <f>LN(dataset[[#This Row],[soda_sales]])</f>
        <v>11.553601176791691</v>
      </c>
      <c r="P2870">
        <f>LN(dataset[[#This Row],[soda_ppu]])</f>
        <v>-0.22164467519047384</v>
      </c>
      <c r="Q2870">
        <f>IF(dataset[[#This Row],[state]]="VA",1,0)</f>
        <v>0</v>
      </c>
    </row>
    <row r="2871" spans="1:17" x14ac:dyDescent="0.35">
      <c r="A2871">
        <v>202402</v>
      </c>
      <c r="B2871">
        <v>28</v>
      </c>
      <c r="C2871" s="2">
        <v>2146059.9649999999</v>
      </c>
      <c r="D2871" s="2">
        <v>0.78490000000000004</v>
      </c>
      <c r="E2871" s="3">
        <v>147327</v>
      </c>
      <c r="F2871" s="2">
        <v>115642.8707</v>
      </c>
      <c r="G2871" t="s">
        <v>2199</v>
      </c>
      <c r="H2871" t="s">
        <v>7</v>
      </c>
      <c r="I2871">
        <f>HLOOKUP(G2871,zip_tiers!$A$1:$EON$2,2,FALSE)</f>
        <v>70973</v>
      </c>
      <c r="J2871" t="str">
        <f t="shared" si="44"/>
        <v>Med</v>
      </c>
      <c r="K2871">
        <f>dataset[[#This Row],[soda_sales]]/dataset[[#This Row],[soda_units_sold]]</f>
        <v>0.78494010398637049</v>
      </c>
      <c r="L2871" s="29">
        <f>dataset[[#This Row],[implied_soda_ppu]]-dataset[[#This Row],[soda_ppu]]</f>
        <v>4.0103986370443323E-5</v>
      </c>
      <c r="M2871">
        <f>dataset[[#This Row],[soda_sales]]/dataset[[#This Row],[total_sales]]</f>
        <v>5.3886132068075743E-2</v>
      </c>
      <c r="N2871">
        <f>LN(dataset[[#This Row],[soda_units_sold]])</f>
        <v>11.900409885042443</v>
      </c>
      <c r="O2871">
        <f>LN(dataset[[#This Row],[soda_sales]])</f>
        <v>11.658262020277366</v>
      </c>
      <c r="P2871">
        <f>LN(dataset[[#This Row],[soda_ppu]])</f>
        <v>-0.24219895784936898</v>
      </c>
      <c r="Q2871">
        <f>IF(dataset[[#This Row],[state]]="VA",1,0)</f>
        <v>0</v>
      </c>
    </row>
    <row r="2872" spans="1:17" x14ac:dyDescent="0.35">
      <c r="A2872">
        <v>202403</v>
      </c>
      <c r="B2872">
        <v>28</v>
      </c>
      <c r="C2872" s="2">
        <v>2465363.2615</v>
      </c>
      <c r="D2872" s="2">
        <v>0.81630000000000003</v>
      </c>
      <c r="E2872" s="3">
        <v>170886</v>
      </c>
      <c r="F2872" s="2">
        <v>139497.9694</v>
      </c>
      <c r="G2872" t="s">
        <v>2199</v>
      </c>
      <c r="H2872" t="s">
        <v>7</v>
      </c>
      <c r="I2872">
        <f>HLOOKUP(G2872,zip_tiers!$A$1:$EON$2,2,FALSE)</f>
        <v>70973</v>
      </c>
      <c r="J2872" t="str">
        <f t="shared" si="44"/>
        <v>Med</v>
      </c>
      <c r="K2872">
        <f>dataset[[#This Row],[soda_sales]]/dataset[[#This Row],[soda_units_sold]]</f>
        <v>0.81632181337265786</v>
      </c>
      <c r="L2872" s="29">
        <f>dataset[[#This Row],[implied_soda_ppu]]-dataset[[#This Row],[soda_ppu]]</f>
        <v>2.1813372657830676E-5</v>
      </c>
      <c r="M2872">
        <f>dataset[[#This Row],[soda_sales]]/dataset[[#This Row],[total_sales]]</f>
        <v>5.6583129787991286E-2</v>
      </c>
      <c r="N2872">
        <f>LN(dataset[[#This Row],[soda_units_sold]])</f>
        <v>12.048751946497093</v>
      </c>
      <c r="O2872">
        <f>LN(dataset[[#This Row],[soda_sales]])</f>
        <v>11.845805323865212</v>
      </c>
      <c r="P2872">
        <f>LN(dataset[[#This Row],[soda_ppu]])</f>
        <v>-0.20297334452482671</v>
      </c>
      <c r="Q2872">
        <f>IF(dataset[[#This Row],[state]]="VA",1,0)</f>
        <v>0</v>
      </c>
    </row>
    <row r="2873" spans="1:17" x14ac:dyDescent="0.35">
      <c r="A2873">
        <v>202404</v>
      </c>
      <c r="B2873">
        <v>28</v>
      </c>
      <c r="C2873" s="2">
        <v>2540732.5057999999</v>
      </c>
      <c r="D2873" s="2">
        <v>0.81340000000000001</v>
      </c>
      <c r="E2873" s="3">
        <v>196633</v>
      </c>
      <c r="F2873" s="2">
        <v>159947.35219999999</v>
      </c>
      <c r="G2873" t="s">
        <v>2199</v>
      </c>
      <c r="H2873" t="s">
        <v>7</v>
      </c>
      <c r="I2873">
        <f>HLOOKUP(G2873,zip_tiers!$A$1:$EON$2,2,FALSE)</f>
        <v>70973</v>
      </c>
      <c r="J2873" t="str">
        <f t="shared" si="44"/>
        <v>Med</v>
      </c>
      <c r="K2873">
        <f>dataset[[#This Row],[soda_sales]]/dataset[[#This Row],[soda_units_sold]]</f>
        <v>0.81343086969125222</v>
      </c>
      <c r="L2873" s="29">
        <f>dataset[[#This Row],[implied_soda_ppu]]-dataset[[#This Row],[soda_ppu]]</f>
        <v>3.0869691252211062E-5</v>
      </c>
      <c r="M2873">
        <f>dataset[[#This Row],[soda_sales]]/dataset[[#This Row],[total_sales]]</f>
        <v>6.2953243537000131E-2</v>
      </c>
      <c r="N2873">
        <f>LN(dataset[[#This Row],[soda_units_sold]])</f>
        <v>12.189094326119044</v>
      </c>
      <c r="O2873">
        <f>LN(dataset[[#This Row],[soda_sales]])</f>
        <v>11.982599991317546</v>
      </c>
      <c r="P2873">
        <f>LN(dataset[[#This Row],[soda_ppu]])</f>
        <v>-0.20653228550901287</v>
      </c>
      <c r="Q2873">
        <f>IF(dataset[[#This Row],[state]]="VA",1,0)</f>
        <v>0</v>
      </c>
    </row>
    <row r="2874" spans="1:17" x14ac:dyDescent="0.35">
      <c r="A2874">
        <v>202405</v>
      </c>
      <c r="B2874">
        <v>28</v>
      </c>
      <c r="C2874" s="2">
        <v>2654095.8719000001</v>
      </c>
      <c r="D2874" s="2">
        <v>0.78410000000000002</v>
      </c>
      <c r="E2874" s="3">
        <v>225897</v>
      </c>
      <c r="F2874" s="2">
        <v>177135.2978</v>
      </c>
      <c r="G2874" t="s">
        <v>2199</v>
      </c>
      <c r="H2874" t="s">
        <v>7</v>
      </c>
      <c r="I2874">
        <f>HLOOKUP(G2874,zip_tiers!$A$1:$EON$2,2,FALSE)</f>
        <v>70973</v>
      </c>
      <c r="J2874" t="str">
        <f t="shared" si="44"/>
        <v>Med</v>
      </c>
      <c r="K2874">
        <f>dataset[[#This Row],[soda_sales]]/dataset[[#This Row],[soda_units_sold]]</f>
        <v>0.78414187793551926</v>
      </c>
      <c r="L2874" s="29">
        <f>dataset[[#This Row],[implied_soda_ppu]]-dataset[[#This Row],[soda_ppu]]</f>
        <v>4.1877935519241127E-5</v>
      </c>
      <c r="M2874">
        <f>dataset[[#This Row],[soda_sales]]/dataset[[#This Row],[total_sales]]</f>
        <v>6.6740353909368513E-2</v>
      </c>
      <c r="N2874">
        <f>LN(dataset[[#This Row],[soda_units_sold]])</f>
        <v>12.327834422155428</v>
      </c>
      <c r="O2874">
        <f>LN(dataset[[#This Row],[soda_sales]])</f>
        <v>12.084669113905679</v>
      </c>
      <c r="P2874">
        <f>LN(dataset[[#This Row],[soda_ppu]])</f>
        <v>-0.24321871574526077</v>
      </c>
      <c r="Q2874">
        <f>IF(dataset[[#This Row],[state]]="VA",1,0)</f>
        <v>0</v>
      </c>
    </row>
    <row r="2875" spans="1:17" x14ac:dyDescent="0.35">
      <c r="A2875">
        <v>202406</v>
      </c>
      <c r="B2875">
        <v>28</v>
      </c>
      <c r="C2875" s="2">
        <v>2557271.4449</v>
      </c>
      <c r="D2875" s="2">
        <v>0.79600000000000004</v>
      </c>
      <c r="E2875" s="3">
        <v>231775</v>
      </c>
      <c r="F2875" s="2">
        <v>184503.2133</v>
      </c>
      <c r="G2875" t="s">
        <v>2199</v>
      </c>
      <c r="H2875" t="s">
        <v>7</v>
      </c>
      <c r="I2875">
        <f>HLOOKUP(G2875,zip_tiers!$A$1:$EON$2,2,FALSE)</f>
        <v>70973</v>
      </c>
      <c r="J2875" t="str">
        <f t="shared" si="44"/>
        <v>Med</v>
      </c>
      <c r="K2875">
        <f>dataset[[#This Row],[soda_sales]]/dataset[[#This Row],[soda_units_sold]]</f>
        <v>0.79604449703376123</v>
      </c>
      <c r="L2875" s="29">
        <f>dataset[[#This Row],[implied_soda_ppu]]-dataset[[#This Row],[soda_ppu]]</f>
        <v>4.4497033761192739E-5</v>
      </c>
      <c r="M2875">
        <f>dataset[[#This Row],[soda_sales]]/dataset[[#This Row],[total_sales]]</f>
        <v>7.2148466549359552E-2</v>
      </c>
      <c r="N2875">
        <f>LN(dataset[[#This Row],[soda_units_sold]])</f>
        <v>12.353522352475183</v>
      </c>
      <c r="O2875">
        <f>LN(dataset[[#This Row],[soda_sales]])</f>
        <v>12.125422158571221</v>
      </c>
      <c r="P2875">
        <f>LN(dataset[[#This Row],[soda_ppu]])</f>
        <v>-0.22815609313775398</v>
      </c>
      <c r="Q2875">
        <f>IF(dataset[[#This Row],[state]]="VA",1,0)</f>
        <v>0</v>
      </c>
    </row>
    <row r="2876" spans="1:17" x14ac:dyDescent="0.35">
      <c r="A2876">
        <v>202407</v>
      </c>
      <c r="B2876">
        <v>28</v>
      </c>
      <c r="C2876" s="2">
        <v>2472346.0092000002</v>
      </c>
      <c r="D2876" s="2">
        <v>0.77880000000000005</v>
      </c>
      <c r="E2876" s="3">
        <v>250585</v>
      </c>
      <c r="F2876" s="2">
        <v>195147.30379999999</v>
      </c>
      <c r="G2876" t="s">
        <v>2199</v>
      </c>
      <c r="H2876" t="s">
        <v>7</v>
      </c>
      <c r="I2876">
        <f>HLOOKUP(G2876,zip_tiers!$A$1:$EON$2,2,FALSE)</f>
        <v>70973</v>
      </c>
      <c r="J2876" t="str">
        <f t="shared" si="44"/>
        <v>Med</v>
      </c>
      <c r="K2876">
        <f>dataset[[#This Row],[soda_sales]]/dataset[[#This Row],[soda_units_sold]]</f>
        <v>0.77876690065247323</v>
      </c>
      <c r="L2876" s="29">
        <f>dataset[[#This Row],[implied_soda_ppu]]-dataset[[#This Row],[soda_ppu]]</f>
        <v>-3.3099347526821532E-5</v>
      </c>
      <c r="M2876">
        <f>dataset[[#This Row],[soda_sales]]/dataset[[#This Row],[total_sales]]</f>
        <v>7.893203583714628E-2</v>
      </c>
      <c r="N2876">
        <f>LN(dataset[[#This Row],[soda_units_sold]])</f>
        <v>12.431553463307869</v>
      </c>
      <c r="O2876">
        <f>LN(dataset[[#This Row],[soda_sales]])</f>
        <v>12.181509956474374</v>
      </c>
      <c r="P2876">
        <f>LN(dataset[[#This Row],[soda_ppu]])</f>
        <v>-0.25000100548409238</v>
      </c>
      <c r="Q2876">
        <f>IF(dataset[[#This Row],[state]]="VA",1,0)</f>
        <v>0</v>
      </c>
    </row>
    <row r="2877" spans="1:17" x14ac:dyDescent="0.35">
      <c r="A2877">
        <v>202408</v>
      </c>
      <c r="B2877">
        <v>28</v>
      </c>
      <c r="C2877" s="2">
        <v>2358287.1261999998</v>
      </c>
      <c r="D2877" s="2">
        <v>0.80530000000000002</v>
      </c>
      <c r="E2877" s="3">
        <v>214371</v>
      </c>
      <c r="F2877" s="2">
        <v>172627.13029999999</v>
      </c>
      <c r="G2877" t="s">
        <v>2199</v>
      </c>
      <c r="H2877" t="s">
        <v>7</v>
      </c>
      <c r="I2877">
        <f>HLOOKUP(G2877,zip_tiers!$A$1:$EON$2,2,FALSE)</f>
        <v>70973</v>
      </c>
      <c r="J2877" t="str">
        <f t="shared" si="44"/>
        <v>Med</v>
      </c>
      <c r="K2877">
        <f>dataset[[#This Row],[soda_sales]]/dataset[[#This Row],[soda_units_sold]]</f>
        <v>0.8052727761684183</v>
      </c>
      <c r="L2877" s="29">
        <f>dataset[[#This Row],[implied_soda_ppu]]-dataset[[#This Row],[soda_ppu]]</f>
        <v>-2.7223831581713043E-5</v>
      </c>
      <c r="M2877">
        <f>dataset[[#This Row],[soda_sales]]/dataset[[#This Row],[total_sales]]</f>
        <v>7.3200217387507358E-2</v>
      </c>
      <c r="N2877">
        <f>LN(dataset[[#This Row],[soda_units_sold]])</f>
        <v>12.275463437836134</v>
      </c>
      <c r="O2877">
        <f>LN(dataset[[#This Row],[soda_sales]])</f>
        <v>12.058889231258185</v>
      </c>
      <c r="P2877">
        <f>LN(dataset[[#This Row],[soda_ppu]])</f>
        <v>-0.2165404001806378</v>
      </c>
      <c r="Q2877">
        <f>IF(dataset[[#This Row],[state]]="VA",1,0)</f>
        <v>0</v>
      </c>
    </row>
    <row r="2878" spans="1:17" x14ac:dyDescent="0.35">
      <c r="A2878">
        <v>202409</v>
      </c>
      <c r="B2878">
        <v>28</v>
      </c>
      <c r="C2878" s="2">
        <v>2357098.8958000001</v>
      </c>
      <c r="D2878" s="2">
        <v>0.77429999999999999</v>
      </c>
      <c r="E2878" s="3">
        <v>214090</v>
      </c>
      <c r="F2878" s="2">
        <v>165767.17329999999</v>
      </c>
      <c r="G2878" t="s">
        <v>2199</v>
      </c>
      <c r="H2878" t="s">
        <v>7</v>
      </c>
      <c r="I2878">
        <f>HLOOKUP(G2878,zip_tiers!$A$1:$EON$2,2,FALSE)</f>
        <v>70973</v>
      </c>
      <c r="J2878" t="str">
        <f t="shared" si="44"/>
        <v>Med</v>
      </c>
      <c r="K2878">
        <f>dataset[[#This Row],[soda_sales]]/dataset[[#This Row],[soda_units_sold]]</f>
        <v>0.77428732448970061</v>
      </c>
      <c r="L2878" s="29">
        <f>dataset[[#This Row],[implied_soda_ppu]]-dataset[[#This Row],[soda_ppu]]</f>
        <v>-1.2675510299375858E-5</v>
      </c>
      <c r="M2878">
        <f>dataset[[#This Row],[soda_sales]]/dataset[[#This Row],[total_sales]]</f>
        <v>7.0326779073789591E-2</v>
      </c>
      <c r="N2878">
        <f>LN(dataset[[#This Row],[soda_units_sold]])</f>
        <v>12.274151766340768</v>
      </c>
      <c r="O2878">
        <f>LN(dataset[[#This Row],[soda_sales]])</f>
        <v>12.018339512334091</v>
      </c>
      <c r="P2878">
        <f>LN(dataset[[#This Row],[soda_ppu]])</f>
        <v>-0.25579588358945921</v>
      </c>
      <c r="Q2878">
        <f>IF(dataset[[#This Row],[state]]="VA",1,0)</f>
        <v>0</v>
      </c>
    </row>
    <row r="2879" spans="1:17" x14ac:dyDescent="0.35">
      <c r="A2879">
        <v>202410</v>
      </c>
      <c r="B2879">
        <v>28</v>
      </c>
      <c r="C2879" s="2">
        <v>2845788.7968000001</v>
      </c>
      <c r="D2879" s="2">
        <v>0.78180000000000005</v>
      </c>
      <c r="E2879" s="3">
        <v>198842</v>
      </c>
      <c r="F2879" s="2">
        <v>155446.204</v>
      </c>
      <c r="G2879" t="s">
        <v>2199</v>
      </c>
      <c r="H2879" t="s">
        <v>7</v>
      </c>
      <c r="I2879">
        <f>HLOOKUP(G2879,zip_tiers!$A$1:$EON$2,2,FALSE)</f>
        <v>70973</v>
      </c>
      <c r="J2879" t="str">
        <f t="shared" si="44"/>
        <v>Med</v>
      </c>
      <c r="K2879">
        <f>dataset[[#This Row],[soda_sales]]/dataset[[#This Row],[soda_units_sold]]</f>
        <v>0.78175739531889643</v>
      </c>
      <c r="L2879" s="29">
        <f>dataset[[#This Row],[implied_soda_ppu]]-dataset[[#This Row],[soda_ppu]]</f>
        <v>-4.260468110361959E-5</v>
      </c>
      <c r="M2879">
        <f>dataset[[#This Row],[soda_sales]]/dataset[[#This Row],[total_sales]]</f>
        <v>5.4623239846468705E-2</v>
      </c>
      <c r="N2879">
        <f>LN(dataset[[#This Row],[soda_units_sold]])</f>
        <v>12.200265818496387</v>
      </c>
      <c r="O2879">
        <f>LN(dataset[[#This Row],[soda_sales]])</f>
        <v>11.954054995761272</v>
      </c>
      <c r="P2879">
        <f>LN(dataset[[#This Row],[soda_ppu]])</f>
        <v>-0.24615632562328255</v>
      </c>
      <c r="Q2879">
        <f>IF(dataset[[#This Row],[state]]="VA",1,0)</f>
        <v>0</v>
      </c>
    </row>
    <row r="2880" spans="1:17" x14ac:dyDescent="0.35">
      <c r="A2880">
        <v>202411</v>
      </c>
      <c r="B2880">
        <v>28</v>
      </c>
      <c r="C2880" s="2">
        <v>3211001.9304999998</v>
      </c>
      <c r="D2880" s="2">
        <v>0.78339999999999999</v>
      </c>
      <c r="E2880" s="3">
        <v>183763</v>
      </c>
      <c r="F2880" s="2">
        <v>143965.04670000001</v>
      </c>
      <c r="G2880" t="s">
        <v>2199</v>
      </c>
      <c r="H2880" t="s">
        <v>7</v>
      </c>
      <c r="I2880">
        <f>HLOOKUP(G2880,zip_tiers!$A$1:$EON$2,2,FALSE)</f>
        <v>70973</v>
      </c>
      <c r="J2880" t="str">
        <f t="shared" si="44"/>
        <v>Med</v>
      </c>
      <c r="K2880">
        <f>dataset[[#This Row],[soda_sales]]/dataset[[#This Row],[soda_units_sold]]</f>
        <v>0.78342782116095189</v>
      </c>
      <c r="L2880" s="29">
        <f>dataset[[#This Row],[implied_soda_ppu]]-dataset[[#This Row],[soda_ppu]]</f>
        <v>2.7821160951901902E-5</v>
      </c>
      <c r="M2880">
        <f>dataset[[#This Row],[soda_sales]]/dataset[[#This Row],[total_sales]]</f>
        <v>4.483492997389215E-2</v>
      </c>
      <c r="N2880">
        <f>LN(dataset[[#This Row],[soda_units_sold]])</f>
        <v>12.12140216287186</v>
      </c>
      <c r="O2880">
        <f>LN(dataset[[#This Row],[soda_sales]])</f>
        <v>11.87732581784414</v>
      </c>
      <c r="P2880">
        <f>LN(dataset[[#This Row],[soda_ppu]])</f>
        <v>-0.24411185775040614</v>
      </c>
      <c r="Q2880">
        <f>IF(dataset[[#This Row],[state]]="VA",1,0)</f>
        <v>0</v>
      </c>
    </row>
    <row r="2881" spans="1:17" x14ac:dyDescent="0.35">
      <c r="A2881">
        <v>202412</v>
      </c>
      <c r="B2881">
        <v>28</v>
      </c>
      <c r="C2881" s="2">
        <v>3427330.7683999999</v>
      </c>
      <c r="D2881" s="2">
        <v>0.78159999999999996</v>
      </c>
      <c r="E2881" s="3">
        <v>182504</v>
      </c>
      <c r="F2881" s="2">
        <v>142650.91159999999</v>
      </c>
      <c r="G2881" t="s">
        <v>2199</v>
      </c>
      <c r="H2881" t="s">
        <v>7</v>
      </c>
      <c r="I2881">
        <f>HLOOKUP(G2881,zip_tiers!$A$1:$EON$2,2,FALSE)</f>
        <v>70973</v>
      </c>
      <c r="J2881" t="str">
        <f t="shared" si="44"/>
        <v>Med</v>
      </c>
      <c r="K2881">
        <f>dataset[[#This Row],[soda_sales]]/dataset[[#This Row],[soda_units_sold]]</f>
        <v>0.78163169903125407</v>
      </c>
      <c r="L2881" s="29">
        <f>dataset[[#This Row],[implied_soda_ppu]]-dataset[[#This Row],[soda_ppu]]</f>
        <v>3.1699031254106558E-5</v>
      </c>
      <c r="M2881">
        <f>dataset[[#This Row],[soda_sales]]/dataset[[#This Row],[total_sales]]</f>
        <v>4.16215770345955E-2</v>
      </c>
      <c r="N2881">
        <f>LN(dataset[[#This Row],[soda_units_sold]])</f>
        <v>12.114527369572711</v>
      </c>
      <c r="O2881">
        <f>LN(dataset[[#This Row],[soda_sales]])</f>
        <v>11.868155747087403</v>
      </c>
      <c r="P2881">
        <f>LN(dataset[[#This Row],[soda_ppu]])</f>
        <v>-0.24641217825356412</v>
      </c>
      <c r="Q2881">
        <f>IF(dataset[[#This Row],[state]]="VA",1,0)</f>
        <v>0</v>
      </c>
    </row>
    <row r="2882" spans="1:17" x14ac:dyDescent="0.35">
      <c r="A2882">
        <v>202201</v>
      </c>
      <c r="B2882">
        <v>77</v>
      </c>
      <c r="C2882" s="2">
        <v>1892382.4857000001</v>
      </c>
      <c r="D2882" s="2">
        <v>0.68589999999999995</v>
      </c>
      <c r="E2882" s="3">
        <v>157207</v>
      </c>
      <c r="F2882" s="2">
        <v>107825.1462</v>
      </c>
      <c r="G2882" t="s">
        <v>2216</v>
      </c>
      <c r="H2882" t="s">
        <v>7</v>
      </c>
      <c r="I2882" t="str">
        <f>HLOOKUP(G2882,zip_tiers!$A$1:$EON$2,2,FALSE)</f>
        <v/>
      </c>
      <c r="J2882" t="str">
        <f t="shared" ref="J2882:J2945" si="45">IF(I2882="","No Data",IF(I2882&gt;=100000,"High",IF(I2882&gt;=40000,"Med","Low")))</f>
        <v>No Data</v>
      </c>
      <c r="K2882">
        <f>dataset[[#This Row],[soda_sales]]/dataset[[#This Row],[soda_units_sold]]</f>
        <v>0.68588005750380077</v>
      </c>
      <c r="L2882" s="29">
        <f>dataset[[#This Row],[implied_soda_ppu]]-dataset[[#This Row],[soda_ppu]]</f>
        <v>-1.9942496199187865E-5</v>
      </c>
      <c r="M2882">
        <f>dataset[[#This Row],[soda_sales]]/dataset[[#This Row],[total_sales]]</f>
        <v>5.6978516243303232E-2</v>
      </c>
      <c r="N2882">
        <f>LN(dataset[[#This Row],[soda_units_sold]])</f>
        <v>11.965318687247931</v>
      </c>
      <c r="O2882">
        <f>LN(dataset[[#This Row],[soda_sales]])</f>
        <v>11.588266177415889</v>
      </c>
      <c r="P2882">
        <f>LN(dataset[[#This Row],[soda_ppu]])</f>
        <v>-0.37702343447686143</v>
      </c>
      <c r="Q2882">
        <f>IF(dataset[[#This Row],[state]]="VA",1,0)</f>
        <v>0</v>
      </c>
    </row>
    <row r="2883" spans="1:17" x14ac:dyDescent="0.35">
      <c r="A2883">
        <v>202202</v>
      </c>
      <c r="B2883">
        <v>77</v>
      </c>
      <c r="C2883" s="2">
        <v>2184074.0008999999</v>
      </c>
      <c r="D2883" s="2">
        <v>0.68440000000000001</v>
      </c>
      <c r="E2883" s="3">
        <v>183643</v>
      </c>
      <c r="F2883" s="2">
        <v>125684.9191</v>
      </c>
      <c r="G2883" t="s">
        <v>2216</v>
      </c>
      <c r="H2883" t="s">
        <v>7</v>
      </c>
      <c r="I2883" t="str">
        <f>HLOOKUP(G2883,zip_tiers!$A$1:$EON$2,2,FALSE)</f>
        <v/>
      </c>
      <c r="J2883" t="str">
        <f t="shared" si="45"/>
        <v>No Data</v>
      </c>
      <c r="K2883">
        <f>dataset[[#This Row],[soda_sales]]/dataset[[#This Row],[soda_units_sold]]</f>
        <v>0.6843980935837467</v>
      </c>
      <c r="L2883" s="29">
        <f>dataset[[#This Row],[implied_soda_ppu]]-dataset[[#This Row],[soda_ppu]]</f>
        <v>-1.9064162533055651E-6</v>
      </c>
      <c r="M2883">
        <f>dataset[[#This Row],[soda_sales]]/dataset[[#This Row],[total_sales]]</f>
        <v>5.7546090035506363E-2</v>
      </c>
      <c r="N2883">
        <f>LN(dataset[[#This Row],[soda_units_sold]])</f>
        <v>12.120748934539895</v>
      </c>
      <c r="O2883">
        <f>LN(dataset[[#This Row],[soda_sales]])</f>
        <v>11.741533412042616</v>
      </c>
      <c r="P2883">
        <f>LN(dataset[[#This Row],[soda_ppu]])</f>
        <v>-0.37921273696409863</v>
      </c>
      <c r="Q2883">
        <f>IF(dataset[[#This Row],[state]]="VA",1,0)</f>
        <v>0</v>
      </c>
    </row>
    <row r="2884" spans="1:17" x14ac:dyDescent="0.35">
      <c r="A2884">
        <v>202203</v>
      </c>
      <c r="B2884">
        <v>77</v>
      </c>
      <c r="C2884" s="2">
        <v>2421051.5904999999</v>
      </c>
      <c r="D2884" s="2">
        <v>0.69399999999999995</v>
      </c>
      <c r="E2884" s="3">
        <v>211254</v>
      </c>
      <c r="F2884" s="2">
        <v>146615.57620000001</v>
      </c>
      <c r="G2884" t="s">
        <v>2216</v>
      </c>
      <c r="H2884" t="s">
        <v>7</v>
      </c>
      <c r="I2884" t="str">
        <f>HLOOKUP(G2884,zip_tiers!$A$1:$EON$2,2,FALSE)</f>
        <v/>
      </c>
      <c r="J2884" t="str">
        <f t="shared" si="45"/>
        <v>No Data</v>
      </c>
      <c r="K2884">
        <f>dataset[[#This Row],[soda_sales]]/dataset[[#This Row],[soda_units_sold]]</f>
        <v>0.69402508922907968</v>
      </c>
      <c r="L2884" s="29">
        <f>dataset[[#This Row],[implied_soda_ppu]]-dataset[[#This Row],[soda_ppu]]</f>
        <v>2.5089229079733322E-5</v>
      </c>
      <c r="M2884">
        <f>dataset[[#This Row],[soda_sales]]/dataset[[#This Row],[total_sales]]</f>
        <v>6.0558633601740269E-2</v>
      </c>
      <c r="N2884">
        <f>LN(dataset[[#This Row],[soda_units_sold]])</f>
        <v>12.2608164799514</v>
      </c>
      <c r="O2884">
        <f>LN(dataset[[#This Row],[soda_sales]])</f>
        <v>11.895569312449529</v>
      </c>
      <c r="P2884">
        <f>LN(dataset[[#This Row],[soda_ppu]])</f>
        <v>-0.36528331847533263</v>
      </c>
      <c r="Q2884">
        <f>IF(dataset[[#This Row],[state]]="VA",1,0)</f>
        <v>0</v>
      </c>
    </row>
    <row r="2885" spans="1:17" x14ac:dyDescent="0.35">
      <c r="A2885">
        <v>202204</v>
      </c>
      <c r="B2885">
        <v>77</v>
      </c>
      <c r="C2885" s="2">
        <v>2610897.5362999998</v>
      </c>
      <c r="D2885" s="2">
        <v>0.7046</v>
      </c>
      <c r="E2885" s="3">
        <v>247385</v>
      </c>
      <c r="F2885" s="2">
        <v>174316.3138</v>
      </c>
      <c r="G2885" t="s">
        <v>2216</v>
      </c>
      <c r="H2885" t="s">
        <v>7</v>
      </c>
      <c r="I2885" t="str">
        <f>HLOOKUP(G2885,zip_tiers!$A$1:$EON$2,2,FALSE)</f>
        <v/>
      </c>
      <c r="J2885" t="str">
        <f t="shared" si="45"/>
        <v>No Data</v>
      </c>
      <c r="K2885">
        <f>dataset[[#This Row],[soda_sales]]/dataset[[#This Row],[soda_units_sold]]</f>
        <v>0.70463574509367988</v>
      </c>
      <c r="L2885" s="29">
        <f>dataset[[#This Row],[implied_soda_ppu]]-dataset[[#This Row],[soda_ppu]]</f>
        <v>3.5745093679873108E-5</v>
      </c>
      <c r="M2885">
        <f>dataset[[#This Row],[soda_sales]]/dataset[[#This Row],[total_sales]]</f>
        <v>6.6764900336544863E-2</v>
      </c>
      <c r="N2885">
        <f>LN(dataset[[#This Row],[soda_units_sold]])</f>
        <v>12.418701106544617</v>
      </c>
      <c r="O2885">
        <f>LN(dataset[[#This Row],[soda_sales]])</f>
        <v>12.068626823226952</v>
      </c>
      <c r="P2885">
        <f>LN(dataset[[#This Row],[soda_ppu]])</f>
        <v>-0.35012501307499977</v>
      </c>
      <c r="Q2885">
        <f>IF(dataset[[#This Row],[state]]="VA",1,0)</f>
        <v>0</v>
      </c>
    </row>
    <row r="2886" spans="1:17" x14ac:dyDescent="0.35">
      <c r="A2886">
        <v>202205</v>
      </c>
      <c r="B2886">
        <v>77</v>
      </c>
      <c r="C2886" s="2">
        <v>2716038.6962000001</v>
      </c>
      <c r="D2886" s="2">
        <v>0.68989999999999996</v>
      </c>
      <c r="E2886" s="3">
        <v>276041</v>
      </c>
      <c r="F2886" s="2">
        <v>190441.55799999999</v>
      </c>
      <c r="G2886" t="s">
        <v>2216</v>
      </c>
      <c r="H2886" t="s">
        <v>7</v>
      </c>
      <c r="I2886" t="str">
        <f>HLOOKUP(G2886,zip_tiers!$A$1:$EON$2,2,FALSE)</f>
        <v/>
      </c>
      <c r="J2886" t="str">
        <f t="shared" si="45"/>
        <v>No Data</v>
      </c>
      <c r="K2886">
        <f>dataset[[#This Row],[soda_sales]]/dataset[[#This Row],[soda_units_sold]]</f>
        <v>0.68990315931329038</v>
      </c>
      <c r="L2886" s="29">
        <f>dataset[[#This Row],[implied_soda_ppu]]-dataset[[#This Row],[soda_ppu]]</f>
        <v>3.1593132904239596E-6</v>
      </c>
      <c r="M2886">
        <f>dataset[[#This Row],[soda_sales]]/dataset[[#This Row],[total_sales]]</f>
        <v>7.0117394964381796E-2</v>
      </c>
      <c r="N2886">
        <f>LN(dataset[[#This Row],[soda_units_sold]])</f>
        <v>12.528304684391358</v>
      </c>
      <c r="O2886">
        <f>LN(dataset[[#This Row],[soda_sales]])</f>
        <v>12.157100644329391</v>
      </c>
      <c r="P2886">
        <f>LN(dataset[[#This Row],[soda_ppu]])</f>
        <v>-0.3712086194300741</v>
      </c>
      <c r="Q2886">
        <f>IF(dataset[[#This Row],[state]]="VA",1,0)</f>
        <v>0</v>
      </c>
    </row>
    <row r="2887" spans="1:17" x14ac:dyDescent="0.35">
      <c r="A2887">
        <v>202206</v>
      </c>
      <c r="B2887">
        <v>77</v>
      </c>
      <c r="C2887" s="2">
        <v>2559635.1307000001</v>
      </c>
      <c r="D2887" s="2">
        <v>0.67930000000000001</v>
      </c>
      <c r="E2887" s="3">
        <v>287006</v>
      </c>
      <c r="F2887" s="2">
        <v>194951.5803</v>
      </c>
      <c r="G2887" t="s">
        <v>2216</v>
      </c>
      <c r="H2887" t="s">
        <v>7</v>
      </c>
      <c r="I2887" t="str">
        <f>HLOOKUP(G2887,zip_tiers!$A$1:$EON$2,2,FALSE)</f>
        <v/>
      </c>
      <c r="J2887" t="str">
        <f t="shared" si="45"/>
        <v>No Data</v>
      </c>
      <c r="K2887">
        <f>dataset[[#This Row],[soda_sales]]/dataset[[#This Row],[soda_units_sold]]</f>
        <v>0.67925959840560823</v>
      </c>
      <c r="L2887" s="29">
        <f>dataset[[#This Row],[implied_soda_ppu]]-dataset[[#This Row],[soda_ppu]]</f>
        <v>-4.0401594391781259E-5</v>
      </c>
      <c r="M2887">
        <f>dataset[[#This Row],[soda_sales]]/dataset[[#This Row],[total_sales]]</f>
        <v>7.6163816460311409E-2</v>
      </c>
      <c r="N2887">
        <f>LN(dataset[[#This Row],[soda_units_sold]])</f>
        <v>12.567258400446578</v>
      </c>
      <c r="O2887">
        <f>LN(dataset[[#This Row],[soda_sales]])</f>
        <v>12.180506500558961</v>
      </c>
      <c r="P2887">
        <f>LN(dataset[[#This Row],[soda_ppu]])</f>
        <v>-0.38669242278488081</v>
      </c>
      <c r="Q2887">
        <f>IF(dataset[[#This Row],[state]]="VA",1,0)</f>
        <v>0</v>
      </c>
    </row>
    <row r="2888" spans="1:17" x14ac:dyDescent="0.35">
      <c r="A2888">
        <v>202207</v>
      </c>
      <c r="B2888">
        <v>77</v>
      </c>
      <c r="C2888" s="2">
        <v>2439036.9682999998</v>
      </c>
      <c r="D2888" s="2">
        <v>0.71089999999999998</v>
      </c>
      <c r="E2888" s="3">
        <v>282080</v>
      </c>
      <c r="F2888" s="2">
        <v>200529.1023</v>
      </c>
      <c r="G2888" t="s">
        <v>2216</v>
      </c>
      <c r="H2888" t="s">
        <v>7</v>
      </c>
      <c r="I2888" t="str">
        <f>HLOOKUP(G2888,zip_tiers!$A$1:$EON$2,2,FALSE)</f>
        <v/>
      </c>
      <c r="J2888" t="str">
        <f t="shared" si="45"/>
        <v>No Data</v>
      </c>
      <c r="K2888">
        <f>dataset[[#This Row],[soda_sales]]/dataset[[#This Row],[soda_units_sold]]</f>
        <v>0.71089443526659102</v>
      </c>
      <c r="L2888" s="29">
        <f>dataset[[#This Row],[implied_soda_ppu]]-dataset[[#This Row],[soda_ppu]]</f>
        <v>-5.5647334089581335E-6</v>
      </c>
      <c r="M2888">
        <f>dataset[[#This Row],[soda_sales]]/dataset[[#This Row],[total_sales]]</f>
        <v>8.2216507952221851E-2</v>
      </c>
      <c r="N2888">
        <f>LN(dataset[[#This Row],[soda_units_sold]])</f>
        <v>12.549945997631697</v>
      </c>
      <c r="O2888">
        <f>LN(dataset[[#This Row],[soda_sales]])</f>
        <v>12.208714663824146</v>
      </c>
      <c r="P2888">
        <f>LN(dataset[[#This Row],[soda_ppu]])</f>
        <v>-0.34122350604669965</v>
      </c>
      <c r="Q2888">
        <f>IF(dataset[[#This Row],[state]]="VA",1,0)</f>
        <v>0</v>
      </c>
    </row>
    <row r="2889" spans="1:17" x14ac:dyDescent="0.35">
      <c r="A2889">
        <v>202208</v>
      </c>
      <c r="B2889">
        <v>77</v>
      </c>
      <c r="C2889" s="2">
        <v>2340861.2431000001</v>
      </c>
      <c r="D2889" s="2">
        <v>0.70660000000000001</v>
      </c>
      <c r="E2889" s="3">
        <v>249893</v>
      </c>
      <c r="F2889" s="2">
        <v>176565.67120000001</v>
      </c>
      <c r="G2889" t="s">
        <v>2216</v>
      </c>
      <c r="H2889" t="s">
        <v>7</v>
      </c>
      <c r="I2889" t="str">
        <f>HLOOKUP(G2889,zip_tiers!$A$1:$EON$2,2,FALSE)</f>
        <v/>
      </c>
      <c r="J2889" t="str">
        <f t="shared" si="45"/>
        <v>No Data</v>
      </c>
      <c r="K2889">
        <f>dataset[[#This Row],[soda_sales]]/dataset[[#This Row],[soda_units_sold]]</f>
        <v>0.70656509466051476</v>
      </c>
      <c r="L2889" s="29">
        <f>dataset[[#This Row],[implied_soda_ppu]]-dataset[[#This Row],[soda_ppu]]</f>
        <v>-3.4905339485247211E-5</v>
      </c>
      <c r="M2889">
        <f>dataset[[#This Row],[soda_sales]]/dataset[[#This Row],[total_sales]]</f>
        <v>7.5427653698163788E-2</v>
      </c>
      <c r="N2889">
        <f>LN(dataset[[#This Row],[soda_units_sold]])</f>
        <v>12.428788105226241</v>
      </c>
      <c r="O2889">
        <f>LN(dataset[[#This Row],[soda_sales]])</f>
        <v>12.081448160940365</v>
      </c>
      <c r="P2889">
        <f>LN(dataset[[#This Row],[soda_ppu]])</f>
        <v>-0.3472905440570922</v>
      </c>
      <c r="Q2889">
        <f>IF(dataset[[#This Row],[state]]="VA",1,0)</f>
        <v>0</v>
      </c>
    </row>
    <row r="2890" spans="1:17" x14ac:dyDescent="0.35">
      <c r="A2890">
        <v>202209</v>
      </c>
      <c r="B2890">
        <v>77</v>
      </c>
      <c r="C2890" s="2">
        <v>2290189.5869</v>
      </c>
      <c r="D2890" s="2">
        <v>0.69550000000000001</v>
      </c>
      <c r="E2890" s="3">
        <v>239915</v>
      </c>
      <c r="F2890" s="2">
        <v>166872.62090000001</v>
      </c>
      <c r="G2890" t="s">
        <v>2216</v>
      </c>
      <c r="H2890" t="s">
        <v>7</v>
      </c>
      <c r="I2890" t="str">
        <f>HLOOKUP(G2890,zip_tiers!$A$1:$EON$2,2,FALSE)</f>
        <v/>
      </c>
      <c r="J2890" t="str">
        <f t="shared" si="45"/>
        <v>No Data</v>
      </c>
      <c r="K2890">
        <f>dataset[[#This Row],[soda_sales]]/dataset[[#This Row],[soda_units_sold]]</f>
        <v>0.69554892732842888</v>
      </c>
      <c r="L2890" s="29">
        <f>dataset[[#This Row],[implied_soda_ppu]]-dataset[[#This Row],[soda_ppu]]</f>
        <v>4.8927328428871597E-5</v>
      </c>
      <c r="M2890">
        <f>dataset[[#This Row],[soda_sales]]/dataset[[#This Row],[total_sales]]</f>
        <v>7.2864107781521595E-2</v>
      </c>
      <c r="N2890">
        <f>LN(dataset[[#This Row],[soda_units_sold]])</f>
        <v>12.388039972925636</v>
      </c>
      <c r="O2890">
        <f>LN(dataset[[#This Row],[soda_sales]])</f>
        <v>12.024986051255995</v>
      </c>
      <c r="P2890">
        <f>LN(dataset[[#This Row],[soda_ppu]])</f>
        <v>-0.36312426761863942</v>
      </c>
      <c r="Q2890">
        <f>IF(dataset[[#This Row],[state]]="VA",1,0)</f>
        <v>0</v>
      </c>
    </row>
    <row r="2891" spans="1:17" x14ac:dyDescent="0.35">
      <c r="A2891">
        <v>202210</v>
      </c>
      <c r="B2891">
        <v>77</v>
      </c>
      <c r="C2891" s="2">
        <v>2826382.7900999999</v>
      </c>
      <c r="D2891" s="2">
        <v>0.68189999999999995</v>
      </c>
      <c r="E2891" s="3">
        <v>236988</v>
      </c>
      <c r="F2891" s="2">
        <v>161607.21460000001</v>
      </c>
      <c r="G2891" t="s">
        <v>2216</v>
      </c>
      <c r="H2891" t="s">
        <v>7</v>
      </c>
      <c r="I2891" t="str">
        <f>HLOOKUP(G2891,zip_tiers!$A$1:$EON$2,2,FALSE)</f>
        <v/>
      </c>
      <c r="J2891" t="str">
        <f t="shared" si="45"/>
        <v>No Data</v>
      </c>
      <c r="K2891">
        <f>dataset[[#This Row],[soda_sales]]/dataset[[#This Row],[soda_units_sold]]</f>
        <v>0.68192150910594629</v>
      </c>
      <c r="L2891" s="29">
        <f>dataset[[#This Row],[implied_soda_ppu]]-dataset[[#This Row],[soda_ppu]]</f>
        <v>2.1509105946337925E-5</v>
      </c>
      <c r="M2891">
        <f>dataset[[#This Row],[soda_sales]]/dataset[[#This Row],[total_sales]]</f>
        <v>5.7178105940236854E-2</v>
      </c>
      <c r="N2891">
        <f>LN(dataset[[#This Row],[soda_units_sold]])</f>
        <v>12.375764785923987</v>
      </c>
      <c r="O2891">
        <f>LN(dataset[[#This Row],[soda_sales]])</f>
        <v>11.992924068874563</v>
      </c>
      <c r="P2891">
        <f>LN(dataset[[#This Row],[soda_ppu]])</f>
        <v>-0.38287225945552988</v>
      </c>
      <c r="Q2891">
        <f>IF(dataset[[#This Row],[state]]="VA",1,0)</f>
        <v>0</v>
      </c>
    </row>
    <row r="2892" spans="1:17" x14ac:dyDescent="0.35">
      <c r="A2892">
        <v>202211</v>
      </c>
      <c r="B2892">
        <v>77</v>
      </c>
      <c r="C2892" s="2">
        <v>3231403.1842</v>
      </c>
      <c r="D2892" s="2">
        <v>0.70850000000000002</v>
      </c>
      <c r="E2892" s="3">
        <v>218560</v>
      </c>
      <c r="F2892" s="2">
        <v>154857.565</v>
      </c>
      <c r="G2892" t="s">
        <v>2216</v>
      </c>
      <c r="H2892" t="s">
        <v>7</v>
      </c>
      <c r="I2892" t="str">
        <f>HLOOKUP(G2892,zip_tiers!$A$1:$EON$2,2,FALSE)</f>
        <v/>
      </c>
      <c r="J2892" t="str">
        <f t="shared" si="45"/>
        <v>No Data</v>
      </c>
      <c r="K2892">
        <f>dataset[[#This Row],[soda_sales]]/dataset[[#This Row],[soda_units_sold]]</f>
        <v>0.70853571101756951</v>
      </c>
      <c r="L2892" s="29">
        <f>dataset[[#This Row],[implied_soda_ppu]]-dataset[[#This Row],[soda_ppu]]</f>
        <v>3.571101756949524E-5</v>
      </c>
      <c r="M2892">
        <f>dataset[[#This Row],[soda_sales]]/dataset[[#This Row],[total_sales]]</f>
        <v>4.7922699883808574E-2</v>
      </c>
      <c r="N2892">
        <f>LN(dataset[[#This Row],[soda_units_sold]])</f>
        <v>12.294815855364563</v>
      </c>
      <c r="O2892">
        <f>LN(dataset[[#This Row],[soda_sales]])</f>
        <v>11.950261037937461</v>
      </c>
      <c r="P2892">
        <f>LN(dataset[[#This Row],[soda_ppu]])</f>
        <v>-0.34460521985140191</v>
      </c>
      <c r="Q2892">
        <f>IF(dataset[[#This Row],[state]]="VA",1,0)</f>
        <v>0</v>
      </c>
    </row>
    <row r="2893" spans="1:17" x14ac:dyDescent="0.35">
      <c r="A2893">
        <v>202212</v>
      </c>
      <c r="B2893">
        <v>77</v>
      </c>
      <c r="C2893" s="2">
        <v>3364559.0197999999</v>
      </c>
      <c r="D2893" s="2">
        <v>0.68389999999999995</v>
      </c>
      <c r="E2893" s="3">
        <v>214938</v>
      </c>
      <c r="F2893" s="2">
        <v>147000.13190000001</v>
      </c>
      <c r="G2893" t="s">
        <v>2216</v>
      </c>
      <c r="H2893" t="s">
        <v>7</v>
      </c>
      <c r="I2893" t="str">
        <f>HLOOKUP(G2893,zip_tiers!$A$1:$EON$2,2,FALSE)</f>
        <v/>
      </c>
      <c r="J2893" t="str">
        <f t="shared" si="45"/>
        <v>No Data</v>
      </c>
      <c r="K2893">
        <f>dataset[[#This Row],[soda_sales]]/dataset[[#This Row],[soda_units_sold]]</f>
        <v>0.68391876680717234</v>
      </c>
      <c r="L2893" s="29">
        <f>dataset[[#This Row],[implied_soda_ppu]]-dataset[[#This Row],[soda_ppu]]</f>
        <v>1.8766807172387878E-5</v>
      </c>
      <c r="M2893">
        <f>dataset[[#This Row],[soda_sales]]/dataset[[#This Row],[total_sales]]</f>
        <v>4.369075740235883E-2</v>
      </c>
      <c r="N2893">
        <f>LN(dataset[[#This Row],[soda_units_sold]])</f>
        <v>12.27810489342955</v>
      </c>
      <c r="O2893">
        <f>LN(dataset[[#This Row],[soda_sales]])</f>
        <v>11.898188763039382</v>
      </c>
      <c r="P2893">
        <f>LN(dataset[[#This Row],[soda_ppu]])</f>
        <v>-0.37994357087808678</v>
      </c>
      <c r="Q2893">
        <f>IF(dataset[[#This Row],[state]]="VA",1,0)</f>
        <v>0</v>
      </c>
    </row>
    <row r="2894" spans="1:17" x14ac:dyDescent="0.35">
      <c r="A2894">
        <v>202301</v>
      </c>
      <c r="B2894">
        <v>77</v>
      </c>
      <c r="C2894" s="2">
        <v>1917498.9924000001</v>
      </c>
      <c r="D2894" s="2">
        <v>0.7087</v>
      </c>
      <c r="E2894" s="3">
        <v>153627</v>
      </c>
      <c r="F2894" s="2">
        <v>108871.9307</v>
      </c>
      <c r="G2894" t="s">
        <v>2216</v>
      </c>
      <c r="H2894" t="s">
        <v>7</v>
      </c>
      <c r="I2894" t="str">
        <f>HLOOKUP(G2894,zip_tiers!$A$1:$EON$2,2,FALSE)</f>
        <v/>
      </c>
      <c r="J2894" t="str">
        <f t="shared" si="45"/>
        <v>No Data</v>
      </c>
      <c r="K2894">
        <f>dataset[[#This Row],[soda_sales]]/dataset[[#This Row],[soda_units_sold]]</f>
        <v>0.70867706002200137</v>
      </c>
      <c r="L2894" s="29">
        <f>dataset[[#This Row],[implied_soda_ppu]]-dataset[[#This Row],[soda_ppu]]</f>
        <v>-2.2939977998626127E-5</v>
      </c>
      <c r="M2894">
        <f>dataset[[#This Row],[soda_sales]]/dataset[[#This Row],[total_sales]]</f>
        <v>5.6778090174499946E-2</v>
      </c>
      <c r="N2894">
        <f>LN(dataset[[#This Row],[soda_units_sold]])</f>
        <v>11.942282865497996</v>
      </c>
      <c r="O2894">
        <f>LN(dataset[[#This Row],[soda_sales]])</f>
        <v>11.597927522712652</v>
      </c>
      <c r="P2894">
        <f>LN(dataset[[#This Row],[soda_ppu]])</f>
        <v>-0.34432297316592675</v>
      </c>
      <c r="Q2894">
        <f>IF(dataset[[#This Row],[state]]="VA",1,0)</f>
        <v>0</v>
      </c>
    </row>
    <row r="2895" spans="1:17" x14ac:dyDescent="0.35">
      <c r="A2895">
        <v>202302</v>
      </c>
      <c r="B2895">
        <v>77</v>
      </c>
      <c r="C2895" s="2">
        <v>2212084.9232999999</v>
      </c>
      <c r="D2895" s="2">
        <v>0.72529999999999994</v>
      </c>
      <c r="E2895" s="3">
        <v>173939</v>
      </c>
      <c r="F2895" s="2">
        <v>126163.4469</v>
      </c>
      <c r="G2895" t="s">
        <v>2216</v>
      </c>
      <c r="H2895" t="s">
        <v>7</v>
      </c>
      <c r="I2895" t="str">
        <f>HLOOKUP(G2895,zip_tiers!$A$1:$EON$2,2,FALSE)</f>
        <v/>
      </c>
      <c r="J2895" t="str">
        <f t="shared" si="45"/>
        <v>No Data</v>
      </c>
      <c r="K2895">
        <f>dataset[[#This Row],[soda_sales]]/dataset[[#This Row],[soda_units_sold]]</f>
        <v>0.72533156393908205</v>
      </c>
      <c r="L2895" s="29">
        <f>dataset[[#This Row],[implied_soda_ppu]]-dataset[[#This Row],[soda_ppu]]</f>
        <v>3.1563939082102088E-5</v>
      </c>
      <c r="M2895">
        <f>dataset[[#This Row],[soda_sales]]/dataset[[#This Row],[total_sales]]</f>
        <v>5.7033726676184157E-2</v>
      </c>
      <c r="N2895">
        <f>LN(dataset[[#This Row],[soda_units_sold]])</f>
        <v>12.066459942018342</v>
      </c>
      <c r="O2895">
        <f>LN(dataset[[#This Row],[soda_sales]])</f>
        <v>11.745333542918731</v>
      </c>
      <c r="P2895">
        <f>LN(dataset[[#This Row],[soda_ppu]])</f>
        <v>-0.32116991661277045</v>
      </c>
      <c r="Q2895">
        <f>IF(dataset[[#This Row],[state]]="VA",1,0)</f>
        <v>0</v>
      </c>
    </row>
    <row r="2896" spans="1:17" x14ac:dyDescent="0.35">
      <c r="A2896">
        <v>202303</v>
      </c>
      <c r="B2896">
        <v>77</v>
      </c>
      <c r="C2896" s="2">
        <v>2417270.1798999999</v>
      </c>
      <c r="D2896" s="2">
        <v>0.69399999999999995</v>
      </c>
      <c r="E2896" s="3">
        <v>209732</v>
      </c>
      <c r="F2896" s="2">
        <v>145547.18549999999</v>
      </c>
      <c r="G2896" t="s">
        <v>2216</v>
      </c>
      <c r="H2896" t="s">
        <v>7</v>
      </c>
      <c r="I2896" t="str">
        <f>HLOOKUP(G2896,zip_tiers!$A$1:$EON$2,2,FALSE)</f>
        <v/>
      </c>
      <c r="J2896" t="str">
        <f t="shared" si="45"/>
        <v>No Data</v>
      </c>
      <c r="K2896">
        <f>dataset[[#This Row],[soda_sales]]/dataset[[#This Row],[soda_units_sold]]</f>
        <v>0.69396747039078444</v>
      </c>
      <c r="L2896" s="29">
        <f>dataset[[#This Row],[implied_soda_ppu]]-dataset[[#This Row],[soda_ppu]]</f>
        <v>-3.2529609215514732E-5</v>
      </c>
      <c r="M2896">
        <f>dataset[[#This Row],[soda_sales]]/dataset[[#This Row],[total_sales]]</f>
        <v>6.0211385020279833E-2</v>
      </c>
      <c r="N2896">
        <f>LN(dataset[[#This Row],[soda_units_sold]])</f>
        <v>12.253585804198858</v>
      </c>
      <c r="O2896">
        <f>LN(dataset[[#This Row],[soda_sales]])</f>
        <v>11.888255611989212</v>
      </c>
      <c r="P2896">
        <f>LN(dataset[[#This Row],[soda_ppu]])</f>
        <v>-0.36528331847533263</v>
      </c>
      <c r="Q2896">
        <f>IF(dataset[[#This Row],[state]]="VA",1,0)</f>
        <v>0</v>
      </c>
    </row>
    <row r="2897" spans="1:17" x14ac:dyDescent="0.35">
      <c r="A2897">
        <v>202304</v>
      </c>
      <c r="B2897">
        <v>77</v>
      </c>
      <c r="C2897" s="2">
        <v>2582378.6450999998</v>
      </c>
      <c r="D2897" s="2">
        <v>0.71709999999999996</v>
      </c>
      <c r="E2897" s="3">
        <v>242880</v>
      </c>
      <c r="F2897" s="2">
        <v>174158.46340000001</v>
      </c>
      <c r="G2897" t="s">
        <v>2216</v>
      </c>
      <c r="H2897" t="s">
        <v>7</v>
      </c>
      <c r="I2897" t="str">
        <f>HLOOKUP(G2897,zip_tiers!$A$1:$EON$2,2,FALSE)</f>
        <v/>
      </c>
      <c r="J2897" t="str">
        <f t="shared" si="45"/>
        <v>No Data</v>
      </c>
      <c r="K2897">
        <f>dataset[[#This Row],[soda_sales]]/dataset[[#This Row],[soda_units_sold]]</f>
        <v>0.7170555970026351</v>
      </c>
      <c r="L2897" s="29">
        <f>dataset[[#This Row],[implied_soda_ppu]]-dataset[[#This Row],[soda_ppu]]</f>
        <v>-4.4402997364856311E-5</v>
      </c>
      <c r="M2897">
        <f>dataset[[#This Row],[soda_sales]]/dataset[[#This Row],[total_sales]]</f>
        <v>6.7441102694394336E-2</v>
      </c>
      <c r="N2897">
        <f>LN(dataset[[#This Row],[soda_units_sold]])</f>
        <v>12.400322773189401</v>
      </c>
      <c r="O2897">
        <f>LN(dataset[[#This Row],[soda_sales]])</f>
        <v>12.067720872948055</v>
      </c>
      <c r="P2897">
        <f>LN(dataset[[#This Row],[soda_ppu]])</f>
        <v>-0.33253997809360791</v>
      </c>
      <c r="Q2897">
        <f>IF(dataset[[#This Row],[state]]="VA",1,0)</f>
        <v>0</v>
      </c>
    </row>
    <row r="2898" spans="1:17" x14ac:dyDescent="0.35">
      <c r="A2898">
        <v>202305</v>
      </c>
      <c r="B2898">
        <v>77</v>
      </c>
      <c r="C2898" s="2">
        <v>2748085.8456000001</v>
      </c>
      <c r="D2898" s="2">
        <v>0.71450000000000002</v>
      </c>
      <c r="E2898" s="3">
        <v>268588</v>
      </c>
      <c r="F2898" s="2">
        <v>191906.2819</v>
      </c>
      <c r="G2898" t="s">
        <v>2216</v>
      </c>
      <c r="H2898" t="s">
        <v>7</v>
      </c>
      <c r="I2898" t="str">
        <f>HLOOKUP(G2898,zip_tiers!$A$1:$EON$2,2,FALSE)</f>
        <v/>
      </c>
      <c r="J2898" t="str">
        <f t="shared" si="45"/>
        <v>No Data</v>
      </c>
      <c r="K2898">
        <f>dataset[[#This Row],[soda_sales]]/dataset[[#This Row],[soda_units_sold]]</f>
        <v>0.71450058044290887</v>
      </c>
      <c r="L2898" s="29">
        <f>dataset[[#This Row],[implied_soda_ppu]]-dataset[[#This Row],[soda_ppu]]</f>
        <v>5.804429088485108E-7</v>
      </c>
      <c r="M2898">
        <f>dataset[[#This Row],[soda_sales]]/dataset[[#This Row],[total_sales]]</f>
        <v>6.9832709996037398E-2</v>
      </c>
      <c r="N2898">
        <f>LN(dataset[[#This Row],[soda_units_sold]])</f>
        <v>12.50093388597498</v>
      </c>
      <c r="O2898">
        <f>LN(dataset[[#This Row],[soda_sales]])</f>
        <v>12.164762416738794</v>
      </c>
      <c r="P2898">
        <f>LN(dataset[[#This Row],[soda_ppu]])</f>
        <v>-0.33617228161221491</v>
      </c>
      <c r="Q2898">
        <f>IF(dataset[[#This Row],[state]]="VA",1,0)</f>
        <v>0</v>
      </c>
    </row>
    <row r="2899" spans="1:17" x14ac:dyDescent="0.35">
      <c r="A2899">
        <v>202306</v>
      </c>
      <c r="B2899">
        <v>77</v>
      </c>
      <c r="C2899" s="2">
        <v>2606612.8352000001</v>
      </c>
      <c r="D2899" s="2">
        <v>0.69240000000000002</v>
      </c>
      <c r="E2899" s="3">
        <v>287401</v>
      </c>
      <c r="F2899" s="2">
        <v>199010.63020000001</v>
      </c>
      <c r="G2899" t="s">
        <v>2216</v>
      </c>
      <c r="H2899" t="s">
        <v>7</v>
      </c>
      <c r="I2899" t="str">
        <f>HLOOKUP(G2899,zip_tiers!$A$1:$EON$2,2,FALSE)</f>
        <v/>
      </c>
      <c r="J2899" t="str">
        <f t="shared" si="45"/>
        <v>No Data</v>
      </c>
      <c r="K2899">
        <f>dataset[[#This Row],[soda_sales]]/dataset[[#This Row],[soda_units_sold]]</f>
        <v>0.69244933107400464</v>
      </c>
      <c r="L2899" s="29">
        <f>dataset[[#This Row],[implied_soda_ppu]]-dataset[[#This Row],[soda_ppu]]</f>
        <v>4.9331074004621556E-5</v>
      </c>
      <c r="M2899">
        <f>dataset[[#This Row],[soda_sales]]/dataset[[#This Row],[total_sales]]</f>
        <v>7.6348365784338026E-2</v>
      </c>
      <c r="N2899">
        <f>LN(dataset[[#This Row],[soda_units_sold]])</f>
        <v>12.568633732092129</v>
      </c>
      <c r="O2899">
        <f>LN(dataset[[#This Row],[soda_sales]])</f>
        <v>12.201113520370386</v>
      </c>
      <c r="P2899">
        <f>LN(dataset[[#This Row],[soda_ppu]])</f>
        <v>-0.36759145568008283</v>
      </c>
      <c r="Q2899">
        <f>IF(dataset[[#This Row],[state]]="VA",1,0)</f>
        <v>0</v>
      </c>
    </row>
    <row r="2900" spans="1:17" x14ac:dyDescent="0.35">
      <c r="A2900">
        <v>202307</v>
      </c>
      <c r="B2900">
        <v>77</v>
      </c>
      <c r="C2900" s="2">
        <v>2474765.0055</v>
      </c>
      <c r="D2900" s="2">
        <v>0.75029999999999997</v>
      </c>
      <c r="E2900" s="3">
        <v>269547</v>
      </c>
      <c r="F2900" s="2">
        <v>202250.5661</v>
      </c>
      <c r="G2900" t="s">
        <v>2216</v>
      </c>
      <c r="H2900" t="s">
        <v>7</v>
      </c>
      <c r="I2900" t="str">
        <f>HLOOKUP(G2900,zip_tiers!$A$1:$EON$2,2,FALSE)</f>
        <v/>
      </c>
      <c r="J2900" t="str">
        <f t="shared" si="45"/>
        <v>No Data</v>
      </c>
      <c r="K2900">
        <f>dataset[[#This Row],[soda_sales]]/dataset[[#This Row],[soda_units_sold]]</f>
        <v>0.75033506624076696</v>
      </c>
      <c r="L2900" s="29">
        <f>dataset[[#This Row],[implied_soda_ppu]]-dataset[[#This Row],[soda_ppu]]</f>
        <v>3.5066240766989942E-5</v>
      </c>
      <c r="M2900">
        <f>dataset[[#This Row],[soda_sales]]/dataset[[#This Row],[total_sales]]</f>
        <v>8.1725160025502064E-2</v>
      </c>
      <c r="N2900">
        <f>LN(dataset[[#This Row],[soda_units_sold]])</f>
        <v>12.504498051157334</v>
      </c>
      <c r="O2900">
        <f>LN(dataset[[#This Row],[soda_sales]])</f>
        <v>12.217262633927946</v>
      </c>
      <c r="P2900">
        <f>LN(dataset[[#This Row],[soda_ppu]])</f>
        <v>-0.28728215243045402</v>
      </c>
      <c r="Q2900">
        <f>IF(dataset[[#This Row],[state]]="VA",1,0)</f>
        <v>0</v>
      </c>
    </row>
    <row r="2901" spans="1:17" x14ac:dyDescent="0.35">
      <c r="A2901">
        <v>202308</v>
      </c>
      <c r="B2901">
        <v>77</v>
      </c>
      <c r="C2901" s="2">
        <v>2355863.3553999998</v>
      </c>
      <c r="D2901" s="2">
        <v>0.7399</v>
      </c>
      <c r="E2901" s="3">
        <v>245532</v>
      </c>
      <c r="F2901" s="2">
        <v>181681.14449999999</v>
      </c>
      <c r="G2901" t="s">
        <v>2216</v>
      </c>
      <c r="H2901" t="s">
        <v>7</v>
      </c>
      <c r="I2901" t="str">
        <f>HLOOKUP(G2901,zip_tiers!$A$1:$EON$2,2,FALSE)</f>
        <v/>
      </c>
      <c r="J2901" t="str">
        <f t="shared" si="45"/>
        <v>No Data</v>
      </c>
      <c r="K2901">
        <f>dataset[[#This Row],[soda_sales]]/dataset[[#This Row],[soda_units_sold]]</f>
        <v>0.73994894555495816</v>
      </c>
      <c r="L2901" s="29">
        <f>dataset[[#This Row],[implied_soda_ppu]]-dataset[[#This Row],[soda_ppu]]</f>
        <v>4.8945554958157445E-5</v>
      </c>
      <c r="M2901">
        <f>dataset[[#This Row],[soda_sales]]/dataset[[#This Row],[total_sales]]</f>
        <v>7.7118710677153229E-2</v>
      </c>
      <c r="N2901">
        <f>LN(dataset[[#This Row],[soda_units_sold]])</f>
        <v>12.41118256395456</v>
      </c>
      <c r="O2901">
        <f>LN(dataset[[#This Row],[soda_sales]])</f>
        <v>12.110008476297248</v>
      </c>
      <c r="P2901">
        <f>LN(dataset[[#This Row],[soda_ppu]])</f>
        <v>-0.3012402370506318</v>
      </c>
      <c r="Q2901">
        <f>IF(dataset[[#This Row],[state]]="VA",1,0)</f>
        <v>0</v>
      </c>
    </row>
    <row r="2902" spans="1:17" x14ac:dyDescent="0.35">
      <c r="A2902">
        <v>202309</v>
      </c>
      <c r="B2902">
        <v>77</v>
      </c>
      <c r="C2902" s="2">
        <v>2347032.2612999999</v>
      </c>
      <c r="D2902" s="2">
        <v>0.72389999999999999</v>
      </c>
      <c r="E2902" s="3">
        <v>238172</v>
      </c>
      <c r="F2902" s="2">
        <v>172415.00039999999</v>
      </c>
      <c r="G2902" t="s">
        <v>2216</v>
      </c>
      <c r="H2902" t="s">
        <v>7</v>
      </c>
      <c r="I2902" t="str">
        <f>HLOOKUP(G2902,zip_tiers!$A$1:$EON$2,2,FALSE)</f>
        <v/>
      </c>
      <c r="J2902" t="str">
        <f t="shared" si="45"/>
        <v>No Data</v>
      </c>
      <c r="K2902">
        <f>dataset[[#This Row],[soda_sales]]/dataset[[#This Row],[soda_units_sold]]</f>
        <v>0.72390961322069758</v>
      </c>
      <c r="L2902" s="29">
        <f>dataset[[#This Row],[implied_soda_ppu]]-dataset[[#This Row],[soda_ppu]]</f>
        <v>9.6132206975907408E-6</v>
      </c>
      <c r="M2902">
        <f>dataset[[#This Row],[soda_sales]]/dataset[[#This Row],[total_sales]]</f>
        <v>7.3460856607271724E-2</v>
      </c>
      <c r="N2902">
        <f>LN(dataset[[#This Row],[soda_units_sold]])</f>
        <v>12.380748380715239</v>
      </c>
      <c r="O2902">
        <f>LN(dataset[[#This Row],[soda_sales]])</f>
        <v>12.057659642707383</v>
      </c>
      <c r="P2902">
        <f>LN(dataset[[#This Row],[soda_ppu]])</f>
        <v>-0.32310201768304131</v>
      </c>
      <c r="Q2902">
        <f>IF(dataset[[#This Row],[state]]="VA",1,0)</f>
        <v>0</v>
      </c>
    </row>
    <row r="2903" spans="1:17" x14ac:dyDescent="0.35">
      <c r="A2903">
        <v>202310</v>
      </c>
      <c r="B2903">
        <v>77</v>
      </c>
      <c r="C2903" s="2">
        <v>2897664.7969</v>
      </c>
      <c r="D2903" s="2">
        <v>0.75090000000000001</v>
      </c>
      <c r="E2903" s="3">
        <v>220243</v>
      </c>
      <c r="F2903" s="2">
        <v>165387.70240000001</v>
      </c>
      <c r="G2903" t="s">
        <v>2216</v>
      </c>
      <c r="H2903" t="s">
        <v>7</v>
      </c>
      <c r="I2903" t="str">
        <f>HLOOKUP(G2903,zip_tiers!$A$1:$EON$2,2,FALSE)</f>
        <v/>
      </c>
      <c r="J2903" t="str">
        <f t="shared" si="45"/>
        <v>No Data</v>
      </c>
      <c r="K2903">
        <f>dataset[[#This Row],[soda_sales]]/dataset[[#This Row],[soda_units_sold]]</f>
        <v>0.75093284417665951</v>
      </c>
      <c r="L2903" s="29">
        <f>dataset[[#This Row],[implied_soda_ppu]]-dataset[[#This Row],[soda_ppu]]</f>
        <v>3.2844176659496682E-5</v>
      </c>
      <c r="M2903">
        <f>dataset[[#This Row],[soda_sales]]/dataset[[#This Row],[total_sales]]</f>
        <v>5.707620238784563E-2</v>
      </c>
      <c r="N2903">
        <f>LN(dataset[[#This Row],[soda_units_sold]])</f>
        <v>12.302486761227531</v>
      </c>
      <c r="O2903">
        <f>LN(dataset[[#This Row],[soda_sales]])</f>
        <v>12.016047708142526</v>
      </c>
      <c r="P2903">
        <f>LN(dataset[[#This Row],[soda_ppu]])</f>
        <v>-0.28648279187629883</v>
      </c>
      <c r="Q2903">
        <f>IF(dataset[[#This Row],[state]]="VA",1,0)</f>
        <v>0</v>
      </c>
    </row>
    <row r="2904" spans="1:17" x14ac:dyDescent="0.35">
      <c r="A2904">
        <v>202311</v>
      </c>
      <c r="B2904">
        <v>77</v>
      </c>
      <c r="C2904" s="2">
        <v>3298568.0674999999</v>
      </c>
      <c r="D2904" s="2">
        <v>0.76390000000000002</v>
      </c>
      <c r="E2904" s="3">
        <v>205630</v>
      </c>
      <c r="F2904" s="2">
        <v>157074.2041</v>
      </c>
      <c r="G2904" t="s">
        <v>2216</v>
      </c>
      <c r="H2904" t="s">
        <v>7</v>
      </c>
      <c r="I2904" t="str">
        <f>HLOOKUP(G2904,zip_tiers!$A$1:$EON$2,2,FALSE)</f>
        <v/>
      </c>
      <c r="J2904" t="str">
        <f t="shared" si="45"/>
        <v>No Data</v>
      </c>
      <c r="K2904">
        <f>dataset[[#This Row],[soda_sales]]/dataset[[#This Row],[soda_units_sold]]</f>
        <v>0.76386813256820507</v>
      </c>
      <c r="L2904" s="29">
        <f>dataset[[#This Row],[implied_soda_ppu]]-dataset[[#This Row],[soda_ppu]]</f>
        <v>-3.1867431794951884E-5</v>
      </c>
      <c r="M2904">
        <f>dataset[[#This Row],[soda_sales]]/dataset[[#This Row],[total_sales]]</f>
        <v>4.7618906412032078E-2</v>
      </c>
      <c r="N2904">
        <f>LN(dataset[[#This Row],[soda_units_sold]])</f>
        <v>12.233833716315564</v>
      </c>
      <c r="O2904">
        <f>LN(dataset[[#This Row],[soda_sales]])</f>
        <v>11.964473610252103</v>
      </c>
      <c r="P2904">
        <f>LN(dataset[[#This Row],[soda_ppu]])</f>
        <v>-0.26931838843482303</v>
      </c>
      <c r="Q2904">
        <f>IF(dataset[[#This Row],[state]]="VA",1,0)</f>
        <v>0</v>
      </c>
    </row>
    <row r="2905" spans="1:17" x14ac:dyDescent="0.35">
      <c r="A2905">
        <v>202312</v>
      </c>
      <c r="B2905">
        <v>77</v>
      </c>
      <c r="C2905" s="2">
        <v>3415758.3059999999</v>
      </c>
      <c r="D2905" s="2">
        <v>0.74099999999999999</v>
      </c>
      <c r="E2905" s="3">
        <v>207098</v>
      </c>
      <c r="F2905" s="2">
        <v>153465.0203</v>
      </c>
      <c r="G2905" t="s">
        <v>2216</v>
      </c>
      <c r="H2905" t="s">
        <v>7</v>
      </c>
      <c r="I2905" t="str">
        <f>HLOOKUP(G2905,zip_tiers!$A$1:$EON$2,2,FALSE)</f>
        <v/>
      </c>
      <c r="J2905" t="str">
        <f t="shared" si="45"/>
        <v>No Data</v>
      </c>
      <c r="K2905">
        <f>dataset[[#This Row],[soda_sales]]/dataset[[#This Row],[soda_units_sold]]</f>
        <v>0.74102608571787276</v>
      </c>
      <c r="L2905" s="29">
        <f>dataset[[#This Row],[implied_soda_ppu]]-dataset[[#This Row],[soda_ppu]]</f>
        <v>2.6085717872770253E-5</v>
      </c>
      <c r="M2905">
        <f>dataset[[#This Row],[soda_sales]]/dataset[[#This Row],[total_sales]]</f>
        <v>4.492853608243557E-2</v>
      </c>
      <c r="N2905">
        <f>LN(dataset[[#This Row],[soda_units_sold]])</f>
        <v>12.240947390166596</v>
      </c>
      <c r="O2905">
        <f>LN(dataset[[#This Row],[soda_sales]])</f>
        <v>11.941227939258859</v>
      </c>
      <c r="P2905">
        <f>LN(dataset[[#This Row],[soda_ppu]])</f>
        <v>-0.2997546536860502</v>
      </c>
      <c r="Q2905">
        <f>IF(dataset[[#This Row],[state]]="VA",1,0)</f>
        <v>0</v>
      </c>
    </row>
    <row r="2906" spans="1:17" x14ac:dyDescent="0.35">
      <c r="A2906">
        <v>202401</v>
      </c>
      <c r="B2906">
        <v>77</v>
      </c>
      <c r="C2906" s="2">
        <v>1963249.5903</v>
      </c>
      <c r="D2906" s="2">
        <v>0.78680000000000005</v>
      </c>
      <c r="E2906" s="3">
        <v>144110</v>
      </c>
      <c r="F2906" s="2">
        <v>113387.43429999999</v>
      </c>
      <c r="G2906" t="s">
        <v>2216</v>
      </c>
      <c r="H2906" t="s">
        <v>7</v>
      </c>
      <c r="I2906" t="str">
        <f>HLOOKUP(G2906,zip_tiers!$A$1:$EON$2,2,FALSE)</f>
        <v/>
      </c>
      <c r="J2906" t="str">
        <f t="shared" si="45"/>
        <v>No Data</v>
      </c>
      <c r="K2906">
        <f>dataset[[#This Row],[soda_sales]]/dataset[[#This Row],[soda_units_sold]]</f>
        <v>0.78681170147803758</v>
      </c>
      <c r="L2906" s="29">
        <f>dataset[[#This Row],[implied_soda_ppu]]-dataset[[#This Row],[soda_ppu]]</f>
        <v>1.1701478037529078E-5</v>
      </c>
      <c r="M2906">
        <f>dataset[[#This Row],[soda_sales]]/dataset[[#This Row],[total_sales]]</f>
        <v>5.7754976677557079E-2</v>
      </c>
      <c r="N2906">
        <f>LN(dataset[[#This Row],[soda_units_sold]])</f>
        <v>11.878332175832407</v>
      </c>
      <c r="O2906">
        <f>LN(dataset[[#This Row],[soda_sales]])</f>
        <v>11.638565855494083</v>
      </c>
      <c r="P2906">
        <f>LN(dataset[[#This Row],[soda_ppu]])</f>
        <v>-0.23978119246723298</v>
      </c>
      <c r="Q2906">
        <f>IF(dataset[[#This Row],[state]]="VA",1,0)</f>
        <v>0</v>
      </c>
    </row>
    <row r="2907" spans="1:17" x14ac:dyDescent="0.35">
      <c r="A2907">
        <v>202402</v>
      </c>
      <c r="B2907">
        <v>77</v>
      </c>
      <c r="C2907" s="2">
        <v>2283855.4504</v>
      </c>
      <c r="D2907" s="2">
        <v>0.77180000000000004</v>
      </c>
      <c r="E2907" s="3">
        <v>169649</v>
      </c>
      <c r="F2907" s="2">
        <v>130943.2525</v>
      </c>
      <c r="G2907" t="s">
        <v>2216</v>
      </c>
      <c r="H2907" t="s">
        <v>7</v>
      </c>
      <c r="I2907" t="str">
        <f>HLOOKUP(G2907,zip_tiers!$A$1:$EON$2,2,FALSE)</f>
        <v/>
      </c>
      <c r="J2907" t="str">
        <f t="shared" si="45"/>
        <v>No Data</v>
      </c>
      <c r="K2907">
        <f>dataset[[#This Row],[soda_sales]]/dataset[[#This Row],[soda_units_sold]]</f>
        <v>0.77184806571214681</v>
      </c>
      <c r="L2907" s="29">
        <f>dataset[[#This Row],[implied_soda_ppu]]-dataset[[#This Row],[soda_ppu]]</f>
        <v>4.8065712146772022E-5</v>
      </c>
      <c r="M2907">
        <f>dataset[[#This Row],[soda_sales]]/dataset[[#This Row],[total_sales]]</f>
        <v>5.7334299540308595E-2</v>
      </c>
      <c r="N2907">
        <f>LN(dataset[[#This Row],[soda_units_sold]])</f>
        <v>12.041486875706351</v>
      </c>
      <c r="O2907">
        <f>LN(dataset[[#This Row],[soda_sales]])</f>
        <v>11.782519321307785</v>
      </c>
      <c r="P2907">
        <f>LN(dataset[[#This Row],[soda_ppu]])</f>
        <v>-0.25902982987861861</v>
      </c>
      <c r="Q2907">
        <f>IF(dataset[[#This Row],[state]]="VA",1,0)</f>
        <v>0</v>
      </c>
    </row>
    <row r="2908" spans="1:17" x14ac:dyDescent="0.35">
      <c r="A2908">
        <v>202403</v>
      </c>
      <c r="B2908">
        <v>77</v>
      </c>
      <c r="C2908" s="2">
        <v>2538853.1589000002</v>
      </c>
      <c r="D2908" s="2">
        <v>0.75660000000000005</v>
      </c>
      <c r="E2908" s="3">
        <v>201531</v>
      </c>
      <c r="F2908" s="2">
        <v>152487.33590000001</v>
      </c>
      <c r="G2908" t="s">
        <v>2216</v>
      </c>
      <c r="H2908" t="s">
        <v>7</v>
      </c>
      <c r="I2908" t="str">
        <f>HLOOKUP(G2908,zip_tiers!$A$1:$EON$2,2,FALSE)</f>
        <v/>
      </c>
      <c r="J2908" t="str">
        <f t="shared" si="45"/>
        <v>No Data</v>
      </c>
      <c r="K2908">
        <f>dataset[[#This Row],[soda_sales]]/dataset[[#This Row],[soda_units_sold]]</f>
        <v>0.75664456535222868</v>
      </c>
      <c r="L2908" s="29">
        <f>dataset[[#This Row],[implied_soda_ppu]]-dataset[[#This Row],[soda_ppu]]</f>
        <v>4.4565352228631561E-5</v>
      </c>
      <c r="M2908">
        <f>dataset[[#This Row],[soda_sales]]/dataset[[#This Row],[total_sales]]</f>
        <v>6.0061502716473626E-2</v>
      </c>
      <c r="N2908">
        <f>LN(dataset[[#This Row],[soda_units_sold]])</f>
        <v>12.213698494689615</v>
      </c>
      <c r="O2908">
        <f>LN(dataset[[#This Row],[soda_sales]])</f>
        <v>11.934836828302631</v>
      </c>
      <c r="P2908">
        <f>LN(dataset[[#This Row],[soda_ppu]])</f>
        <v>-0.27892056678320809</v>
      </c>
      <c r="Q2908">
        <f>IF(dataset[[#This Row],[state]]="VA",1,0)</f>
        <v>0</v>
      </c>
    </row>
    <row r="2909" spans="1:17" x14ac:dyDescent="0.35">
      <c r="A2909">
        <v>202404</v>
      </c>
      <c r="B2909">
        <v>77</v>
      </c>
      <c r="C2909" s="2">
        <v>2663531.1285999999</v>
      </c>
      <c r="D2909" s="2">
        <v>0.77559999999999996</v>
      </c>
      <c r="E2909" s="3">
        <v>229314</v>
      </c>
      <c r="F2909" s="2">
        <v>177852.37880000001</v>
      </c>
      <c r="G2909" t="s">
        <v>2216</v>
      </c>
      <c r="H2909" t="s">
        <v>7</v>
      </c>
      <c r="I2909" t="str">
        <f>HLOOKUP(G2909,zip_tiers!$A$1:$EON$2,2,FALSE)</f>
        <v/>
      </c>
      <c r="J2909" t="str">
        <f t="shared" si="45"/>
        <v>No Data</v>
      </c>
      <c r="K2909">
        <f>dataset[[#This Row],[soda_sales]]/dataset[[#This Row],[soda_units_sold]]</f>
        <v>0.77558447717976231</v>
      </c>
      <c r="L2909" s="29">
        <f>dataset[[#This Row],[implied_soda_ppu]]-dataset[[#This Row],[soda_ppu]]</f>
        <v>-1.5522820237645618E-5</v>
      </c>
      <c r="M2909">
        <f>dataset[[#This Row],[soda_sales]]/dataset[[#This Row],[total_sales]]</f>
        <v>6.6773155714340171E-2</v>
      </c>
      <c r="N2909">
        <f>LN(dataset[[#This Row],[soda_units_sold]])</f>
        <v>12.34284752236815</v>
      </c>
      <c r="O2909">
        <f>LN(dataset[[#This Row],[soda_sales]])</f>
        <v>12.08870915260343</v>
      </c>
      <c r="P2909">
        <f>LN(dataset[[#This Row],[soda_ppu]])</f>
        <v>-0.25411835561364038</v>
      </c>
      <c r="Q2909">
        <f>IF(dataset[[#This Row],[state]]="VA",1,0)</f>
        <v>0</v>
      </c>
    </row>
    <row r="2910" spans="1:17" x14ac:dyDescent="0.35">
      <c r="A2910">
        <v>202405</v>
      </c>
      <c r="B2910">
        <v>77</v>
      </c>
      <c r="C2910" s="2">
        <v>2794594.3152000001</v>
      </c>
      <c r="D2910" s="2">
        <v>0.75890000000000002</v>
      </c>
      <c r="E2910" s="3">
        <v>262405</v>
      </c>
      <c r="F2910" s="2">
        <v>199141.7383</v>
      </c>
      <c r="G2910" t="s">
        <v>2216</v>
      </c>
      <c r="H2910" t="s">
        <v>7</v>
      </c>
      <c r="I2910" t="str">
        <f>HLOOKUP(G2910,zip_tiers!$A$1:$EON$2,2,FALSE)</f>
        <v/>
      </c>
      <c r="J2910" t="str">
        <f t="shared" si="45"/>
        <v>No Data</v>
      </c>
      <c r="K2910">
        <f>dataset[[#This Row],[soda_sales]]/dataset[[#This Row],[soda_units_sold]]</f>
        <v>0.75890984661115446</v>
      </c>
      <c r="L2910" s="29">
        <f>dataset[[#This Row],[implied_soda_ppu]]-dataset[[#This Row],[soda_ppu]]</f>
        <v>9.84661115444041E-6</v>
      </c>
      <c r="M2910">
        <f>dataset[[#This Row],[soda_sales]]/dataset[[#This Row],[total_sales]]</f>
        <v>7.1259623343844114E-2</v>
      </c>
      <c r="N2910">
        <f>LN(dataset[[#This Row],[soda_units_sold]])</f>
        <v>12.477644390748578</v>
      </c>
      <c r="O2910">
        <f>LN(dataset[[#This Row],[soda_sales]])</f>
        <v>12.201772102938827</v>
      </c>
      <c r="P2910">
        <f>LN(dataset[[#This Row],[soda_ppu]])</f>
        <v>-0.27588526257226992</v>
      </c>
      <c r="Q2910">
        <f>IF(dataset[[#This Row],[state]]="VA",1,0)</f>
        <v>0</v>
      </c>
    </row>
    <row r="2911" spans="1:17" x14ac:dyDescent="0.35">
      <c r="A2911">
        <v>202406</v>
      </c>
      <c r="B2911">
        <v>77</v>
      </c>
      <c r="C2911" s="2">
        <v>2643241.9207000001</v>
      </c>
      <c r="D2911" s="2">
        <v>0.76910000000000001</v>
      </c>
      <c r="E2911" s="3">
        <v>260994</v>
      </c>
      <c r="F2911" s="2">
        <v>200741.32980000001</v>
      </c>
      <c r="G2911" t="s">
        <v>2216</v>
      </c>
      <c r="H2911" t="s">
        <v>7</v>
      </c>
      <c r="I2911" t="str">
        <f>HLOOKUP(G2911,zip_tiers!$A$1:$EON$2,2,FALSE)</f>
        <v/>
      </c>
      <c r="J2911" t="str">
        <f t="shared" si="45"/>
        <v>No Data</v>
      </c>
      <c r="K2911">
        <f>dataset[[#This Row],[soda_sales]]/dataset[[#This Row],[soda_units_sold]]</f>
        <v>0.7691415503804685</v>
      </c>
      <c r="L2911" s="29">
        <f>dataset[[#This Row],[implied_soda_ppu]]-dataset[[#This Row],[soda_ppu]]</f>
        <v>4.1550380468491355E-5</v>
      </c>
      <c r="M2911">
        <f>dataset[[#This Row],[soda_sales]]/dataset[[#This Row],[total_sales]]</f>
        <v>7.5945121870206425E-2</v>
      </c>
      <c r="N2911">
        <f>LN(dataset[[#This Row],[soda_units_sold]])</f>
        <v>12.472252697534843</v>
      </c>
      <c r="O2911">
        <f>LN(dataset[[#This Row],[soda_sales]])</f>
        <v>12.20977244183524</v>
      </c>
      <c r="P2911">
        <f>LN(dataset[[#This Row],[soda_ppu]])</f>
        <v>-0.26253427891912889</v>
      </c>
      <c r="Q2911">
        <f>IF(dataset[[#This Row],[state]]="VA",1,0)</f>
        <v>0</v>
      </c>
    </row>
    <row r="2912" spans="1:17" x14ac:dyDescent="0.35">
      <c r="A2912">
        <v>202407</v>
      </c>
      <c r="B2912">
        <v>77</v>
      </c>
      <c r="C2912" s="2">
        <v>2525524.5776</v>
      </c>
      <c r="D2912" s="2">
        <v>0.76749999999999996</v>
      </c>
      <c r="E2912" s="3">
        <v>267981</v>
      </c>
      <c r="F2912" s="2">
        <v>205668.7518</v>
      </c>
      <c r="G2912" t="s">
        <v>2216</v>
      </c>
      <c r="H2912" t="s">
        <v>7</v>
      </c>
      <c r="I2912" t="str">
        <f>HLOOKUP(G2912,zip_tiers!$A$1:$EON$2,2,FALSE)</f>
        <v/>
      </c>
      <c r="J2912" t="str">
        <f t="shared" si="45"/>
        <v>No Data</v>
      </c>
      <c r="K2912">
        <f>dataset[[#This Row],[soda_sales]]/dataset[[#This Row],[soda_units_sold]]</f>
        <v>0.76747512622163516</v>
      </c>
      <c r="L2912" s="29">
        <f>dataset[[#This Row],[implied_soda_ppu]]-dataset[[#This Row],[soda_ppu]]</f>
        <v>-2.4873778364797872E-5</v>
      </c>
      <c r="M2912">
        <f>dataset[[#This Row],[soda_sales]]/dataset[[#This Row],[total_sales]]</f>
        <v>8.1436052384588759E-2</v>
      </c>
      <c r="N2912">
        <f>LN(dataset[[#This Row],[soda_units_sold]])</f>
        <v>12.498671361457399</v>
      </c>
      <c r="O2912">
        <f>LN(dataset[[#This Row],[soda_sales]])</f>
        <v>12.234022152579691</v>
      </c>
      <c r="P2912">
        <f>LN(dataset[[#This Row],[soda_ppu]])</f>
        <v>-0.26461679952078487</v>
      </c>
      <c r="Q2912">
        <f>IF(dataset[[#This Row],[state]]="VA",1,0)</f>
        <v>0</v>
      </c>
    </row>
    <row r="2913" spans="1:17" x14ac:dyDescent="0.35">
      <c r="A2913">
        <v>202408</v>
      </c>
      <c r="B2913">
        <v>77</v>
      </c>
      <c r="C2913" s="2">
        <v>2437091.7189000002</v>
      </c>
      <c r="D2913" s="2">
        <v>0.76790000000000003</v>
      </c>
      <c r="E2913" s="3">
        <v>240383</v>
      </c>
      <c r="F2913" s="2">
        <v>184585.57670000001</v>
      </c>
      <c r="G2913" t="s">
        <v>2216</v>
      </c>
      <c r="H2913" t="s">
        <v>7</v>
      </c>
      <c r="I2913" t="str">
        <f>HLOOKUP(G2913,zip_tiers!$A$1:$EON$2,2,FALSE)</f>
        <v/>
      </c>
      <c r="J2913" t="str">
        <f t="shared" si="45"/>
        <v>No Data</v>
      </c>
      <c r="K2913">
        <f>dataset[[#This Row],[soda_sales]]/dataset[[#This Row],[soda_units_sold]]</f>
        <v>0.76788115923339006</v>
      </c>
      <c r="L2913" s="29">
        <f>dataset[[#This Row],[implied_soda_ppu]]-dataset[[#This Row],[soda_ppu]]</f>
        <v>-1.8840766609962145E-5</v>
      </c>
      <c r="M2913">
        <f>dataset[[#This Row],[soda_sales]]/dataset[[#This Row],[total_sales]]</f>
        <v>7.5740102544566562E-2</v>
      </c>
      <c r="N2913">
        <f>LN(dataset[[#This Row],[soda_units_sold]])</f>
        <v>12.389988763668523</v>
      </c>
      <c r="O2913">
        <f>LN(dataset[[#This Row],[soda_sales]])</f>
        <v>12.125868465278975</v>
      </c>
      <c r="P2913">
        <f>LN(dataset[[#This Row],[soda_ppu]])</f>
        <v>-0.26409576264563916</v>
      </c>
      <c r="Q2913">
        <f>IF(dataset[[#This Row],[state]]="VA",1,0)</f>
        <v>0</v>
      </c>
    </row>
    <row r="2914" spans="1:17" x14ac:dyDescent="0.35">
      <c r="A2914">
        <v>202409</v>
      </c>
      <c r="B2914">
        <v>77</v>
      </c>
      <c r="C2914" s="2">
        <v>2428106.7450999999</v>
      </c>
      <c r="D2914" s="2">
        <v>0.7752</v>
      </c>
      <c r="E2914" s="3">
        <v>227888</v>
      </c>
      <c r="F2914" s="2">
        <v>176657.0257</v>
      </c>
      <c r="G2914" t="s">
        <v>2216</v>
      </c>
      <c r="H2914" t="s">
        <v>7</v>
      </c>
      <c r="I2914" t="str">
        <f>HLOOKUP(G2914,zip_tiers!$A$1:$EON$2,2,FALSE)</f>
        <v/>
      </c>
      <c r="J2914" t="str">
        <f t="shared" si="45"/>
        <v>No Data</v>
      </c>
      <c r="K2914">
        <f>dataset[[#This Row],[soda_sales]]/dataset[[#This Row],[soda_units_sold]]</f>
        <v>0.7751923124517307</v>
      </c>
      <c r="L2914" s="29">
        <f>dataset[[#This Row],[implied_soda_ppu]]-dataset[[#This Row],[soda_ppu]]</f>
        <v>-7.6875482692972952E-6</v>
      </c>
      <c r="M2914">
        <f>dataset[[#This Row],[soda_sales]]/dataset[[#This Row],[total_sales]]</f>
        <v>7.2755049198928237E-2</v>
      </c>
      <c r="N2914">
        <f>LN(dataset[[#This Row],[soda_units_sold]])</f>
        <v>12.336609559174368</v>
      </c>
      <c r="O2914">
        <f>LN(dataset[[#This Row],[soda_sales]])</f>
        <v>12.081965423861682</v>
      </c>
      <c r="P2914">
        <f>LN(dataset[[#This Row],[soda_ppu]])</f>
        <v>-0.25463421840558059</v>
      </c>
      <c r="Q2914">
        <f>IF(dataset[[#This Row],[state]]="VA",1,0)</f>
        <v>0</v>
      </c>
    </row>
    <row r="2915" spans="1:17" x14ac:dyDescent="0.35">
      <c r="A2915">
        <v>202410</v>
      </c>
      <c r="B2915">
        <v>77</v>
      </c>
      <c r="C2915" s="2">
        <v>2944955.1494999998</v>
      </c>
      <c r="D2915" s="2">
        <v>0.78080000000000005</v>
      </c>
      <c r="E2915" s="3">
        <v>212667</v>
      </c>
      <c r="F2915" s="2">
        <v>166044.21840000001</v>
      </c>
      <c r="G2915" t="s">
        <v>2216</v>
      </c>
      <c r="H2915" t="s">
        <v>7</v>
      </c>
      <c r="I2915" t="str">
        <f>HLOOKUP(G2915,zip_tiers!$A$1:$EON$2,2,FALSE)</f>
        <v/>
      </c>
      <c r="J2915" t="str">
        <f t="shared" si="45"/>
        <v>No Data</v>
      </c>
      <c r="K2915">
        <f>dataset[[#This Row],[soda_sales]]/dataset[[#This Row],[soda_units_sold]]</f>
        <v>0.78077096305491689</v>
      </c>
      <c r="L2915" s="29">
        <f>dataset[[#This Row],[implied_soda_ppu]]-dataset[[#This Row],[soda_ppu]]</f>
        <v>-2.9036945083160681E-5</v>
      </c>
      <c r="M2915">
        <f>dataset[[#This Row],[soda_sales]]/dataset[[#This Row],[total_sales]]</f>
        <v>5.638259666813307E-2</v>
      </c>
      <c r="N2915">
        <f>LN(dataset[[#This Row],[soda_units_sold]])</f>
        <v>12.267482841055708</v>
      </c>
      <c r="O2915">
        <f>LN(dataset[[#This Row],[soda_sales]])</f>
        <v>12.020009407770534</v>
      </c>
      <c r="P2915">
        <f>LN(dataset[[#This Row],[soda_ppu]])</f>
        <v>-0.24743624388325425</v>
      </c>
      <c r="Q2915">
        <f>IF(dataset[[#This Row],[state]]="VA",1,0)</f>
        <v>0</v>
      </c>
    </row>
    <row r="2916" spans="1:17" x14ac:dyDescent="0.35">
      <c r="A2916">
        <v>202411</v>
      </c>
      <c r="B2916">
        <v>77</v>
      </c>
      <c r="C2916" s="2">
        <v>3295229.5225999998</v>
      </c>
      <c r="D2916" s="2">
        <v>0.78110000000000002</v>
      </c>
      <c r="E2916" s="3">
        <v>200178</v>
      </c>
      <c r="F2916" s="2">
        <v>156359.09959999999</v>
      </c>
      <c r="G2916" t="s">
        <v>2216</v>
      </c>
      <c r="H2916" t="s">
        <v>7</v>
      </c>
      <c r="I2916" t="str">
        <f>HLOOKUP(G2916,zip_tiers!$A$1:$EON$2,2,FALSE)</f>
        <v/>
      </c>
      <c r="J2916" t="str">
        <f t="shared" si="45"/>
        <v>No Data</v>
      </c>
      <c r="K2916">
        <f>dataset[[#This Row],[soda_sales]]/dataset[[#This Row],[soda_units_sold]]</f>
        <v>0.78110031871634233</v>
      </c>
      <c r="L2916" s="29">
        <f>dataset[[#This Row],[implied_soda_ppu]]-dataset[[#This Row],[soda_ppu]]</f>
        <v>3.1871634231794843E-7</v>
      </c>
      <c r="M2916">
        <f>dataset[[#This Row],[soda_sales]]/dataset[[#This Row],[total_sales]]</f>
        <v>4.745013921720076E-2</v>
      </c>
      <c r="N2916">
        <f>LN(dataset[[#This Row],[soda_units_sold]])</f>
        <v>12.206962249715007</v>
      </c>
      <c r="O2916">
        <f>LN(dataset[[#This Row],[soda_sales]])</f>
        <v>11.9599105613843</v>
      </c>
      <c r="P2916">
        <f>LN(dataset[[#This Row],[soda_ppu]])</f>
        <v>-0.2470520963658854</v>
      </c>
      <c r="Q2916">
        <f>IF(dataset[[#This Row],[state]]="VA",1,0)</f>
        <v>0</v>
      </c>
    </row>
    <row r="2917" spans="1:17" x14ac:dyDescent="0.35">
      <c r="A2917">
        <v>202412</v>
      </c>
      <c r="B2917">
        <v>77</v>
      </c>
      <c r="C2917" s="2">
        <v>3466880.3487</v>
      </c>
      <c r="D2917" s="2">
        <v>0.76800000000000002</v>
      </c>
      <c r="E2917" s="3">
        <v>200291</v>
      </c>
      <c r="F2917" s="2">
        <v>153815.32019999999</v>
      </c>
      <c r="G2917" t="s">
        <v>2216</v>
      </c>
      <c r="H2917" t="s">
        <v>7</v>
      </c>
      <c r="I2917" t="str">
        <f>HLOOKUP(G2917,zip_tiers!$A$1:$EON$2,2,FALSE)</f>
        <v/>
      </c>
      <c r="J2917" t="str">
        <f t="shared" si="45"/>
        <v>No Data</v>
      </c>
      <c r="K2917">
        <f>dataset[[#This Row],[soda_sales]]/dataset[[#This Row],[soda_units_sold]]</f>
        <v>0.76795922033441333</v>
      </c>
      <c r="L2917" s="29">
        <f>dataset[[#This Row],[implied_soda_ppu]]-dataset[[#This Row],[soda_ppu]]</f>
        <v>-4.0779665586687663E-5</v>
      </c>
      <c r="M2917">
        <f>dataset[[#This Row],[soda_sales]]/dataset[[#This Row],[total_sales]]</f>
        <v>4.436706915993717E-2</v>
      </c>
      <c r="N2917">
        <f>LN(dataset[[#This Row],[soda_units_sold]])</f>
        <v>12.207526588043311</v>
      </c>
      <c r="O2917">
        <f>LN(dataset[[#This Row],[soda_sales]])</f>
        <v>11.94350794227617</v>
      </c>
      <c r="P2917">
        <f>LN(dataset[[#This Row],[soda_ppu]])</f>
        <v>-0.26396554583446485</v>
      </c>
      <c r="Q2917">
        <f>IF(dataset[[#This Row],[state]]="VA",1,0)</f>
        <v>0</v>
      </c>
    </row>
    <row r="2918" spans="1:17" x14ac:dyDescent="0.35">
      <c r="A2918">
        <v>202201</v>
      </c>
      <c r="B2918">
        <v>39</v>
      </c>
      <c r="C2918" s="2">
        <v>1767435.9251999999</v>
      </c>
      <c r="D2918" s="2">
        <v>0.6986</v>
      </c>
      <c r="E2918" s="3">
        <v>150196</v>
      </c>
      <c r="F2918" s="2">
        <v>104919.9908</v>
      </c>
      <c r="G2918" t="s">
        <v>2221</v>
      </c>
      <c r="H2918" t="s">
        <v>7</v>
      </c>
      <c r="I2918">
        <f>HLOOKUP(G2918,zip_tiers!$A$1:$EON$2,2,FALSE)</f>
        <v>63975.666666666664</v>
      </c>
      <c r="J2918" t="str">
        <f t="shared" si="45"/>
        <v>Med</v>
      </c>
      <c r="K2918">
        <f>dataset[[#This Row],[soda_sales]]/dataset[[#This Row],[soda_units_sold]]</f>
        <v>0.6985538283309809</v>
      </c>
      <c r="L2918" s="29">
        <f>dataset[[#This Row],[implied_soda_ppu]]-dataset[[#This Row],[soda_ppu]]</f>
        <v>-4.6171669019101635E-5</v>
      </c>
      <c r="M2918">
        <f>dataset[[#This Row],[soda_sales]]/dataset[[#This Row],[total_sales]]</f>
        <v>5.9362825720614139E-2</v>
      </c>
      <c r="N2918">
        <f>LN(dataset[[#This Row],[soda_units_sold]])</f>
        <v>11.919696386799101</v>
      </c>
      <c r="O2918">
        <f>LN(dataset[[#This Row],[soda_sales]])</f>
        <v>11.56095334629495</v>
      </c>
      <c r="P2918">
        <f>LN(dataset[[#This Row],[soda_ppu]])</f>
        <v>-0.35867694660940547</v>
      </c>
      <c r="Q2918">
        <f>IF(dataset[[#This Row],[state]]="VA",1,0)</f>
        <v>0</v>
      </c>
    </row>
    <row r="2919" spans="1:17" x14ac:dyDescent="0.35">
      <c r="A2919">
        <v>202202</v>
      </c>
      <c r="B2919">
        <v>39</v>
      </c>
      <c r="C2919" s="2">
        <v>2001621.7827999999</v>
      </c>
      <c r="D2919" s="2">
        <v>0.68459999999999999</v>
      </c>
      <c r="E2919" s="3">
        <v>176238</v>
      </c>
      <c r="F2919" s="2">
        <v>120657.38860000001</v>
      </c>
      <c r="G2919" t="s">
        <v>2221</v>
      </c>
      <c r="H2919" t="s">
        <v>7</v>
      </c>
      <c r="I2919">
        <f>HLOOKUP(G2919,zip_tiers!$A$1:$EON$2,2,FALSE)</f>
        <v>63975.666666666664</v>
      </c>
      <c r="J2919" t="str">
        <f t="shared" si="45"/>
        <v>Med</v>
      </c>
      <c r="K2919">
        <f>dataset[[#This Row],[soda_sales]]/dataset[[#This Row],[soda_units_sold]]</f>
        <v>0.68462754116592339</v>
      </c>
      <c r="L2919" s="29">
        <f>dataset[[#This Row],[implied_soda_ppu]]-dataset[[#This Row],[soda_ppu]]</f>
        <v>2.7541165923405941E-5</v>
      </c>
      <c r="M2919">
        <f>dataset[[#This Row],[soda_sales]]/dataset[[#This Row],[total_sales]]</f>
        <v>6.0279813917300869E-2</v>
      </c>
      <c r="N2919">
        <f>LN(dataset[[#This Row],[soda_units_sold]])</f>
        <v>12.079590633250236</v>
      </c>
      <c r="O2919">
        <f>LN(dataset[[#This Row],[soda_sales]])</f>
        <v>11.700710309128358</v>
      </c>
      <c r="P2919">
        <f>LN(dataset[[#This Row],[soda_ppu]])</f>
        <v>-0.37892055288605214</v>
      </c>
      <c r="Q2919">
        <f>IF(dataset[[#This Row],[state]]="VA",1,0)</f>
        <v>0</v>
      </c>
    </row>
    <row r="2920" spans="1:17" x14ac:dyDescent="0.35">
      <c r="A2920">
        <v>202203</v>
      </c>
      <c r="B2920">
        <v>39</v>
      </c>
      <c r="C2920" s="2">
        <v>2251005.7670999998</v>
      </c>
      <c r="D2920" s="2">
        <v>0.67010000000000003</v>
      </c>
      <c r="E2920" s="3">
        <v>210992</v>
      </c>
      <c r="F2920" s="2">
        <v>141385.49350000001</v>
      </c>
      <c r="G2920" t="s">
        <v>2221</v>
      </c>
      <c r="H2920" t="s">
        <v>7</v>
      </c>
      <c r="I2920">
        <f>HLOOKUP(G2920,zip_tiers!$A$1:$EON$2,2,FALSE)</f>
        <v>63975.666666666664</v>
      </c>
      <c r="J2920" t="str">
        <f t="shared" si="45"/>
        <v>Med</v>
      </c>
      <c r="K2920">
        <f>dataset[[#This Row],[soda_sales]]/dataset[[#This Row],[soda_units_sold]]</f>
        <v>0.67009883550087213</v>
      </c>
      <c r="L2920" s="29">
        <f>dataset[[#This Row],[implied_soda_ppu]]-dataset[[#This Row],[soda_ppu]]</f>
        <v>-1.1644991279036176E-6</v>
      </c>
      <c r="M2920">
        <f>dataset[[#This Row],[soda_sales]]/dataset[[#This Row],[total_sales]]</f>
        <v>6.2809920599247865E-2</v>
      </c>
      <c r="N2920">
        <f>LN(dataset[[#This Row],[soda_units_sold]])</f>
        <v>12.25957549704748</v>
      </c>
      <c r="O2920">
        <f>LN(dataset[[#This Row],[soda_sales]])</f>
        <v>11.859245435243931</v>
      </c>
      <c r="P2920">
        <f>LN(dataset[[#This Row],[soda_ppu]])</f>
        <v>-0.40032832400301199</v>
      </c>
      <c r="Q2920">
        <f>IF(dataset[[#This Row],[state]]="VA",1,0)</f>
        <v>0</v>
      </c>
    </row>
    <row r="2921" spans="1:17" x14ac:dyDescent="0.35">
      <c r="A2921">
        <v>202204</v>
      </c>
      <c r="B2921">
        <v>39</v>
      </c>
      <c r="C2921" s="2">
        <v>2334865.2045</v>
      </c>
      <c r="D2921" s="2">
        <v>0.66959999999999997</v>
      </c>
      <c r="E2921" s="3">
        <v>245093</v>
      </c>
      <c r="F2921" s="2">
        <v>164113.25750000001</v>
      </c>
      <c r="G2921" t="s">
        <v>2221</v>
      </c>
      <c r="H2921" t="s">
        <v>7</v>
      </c>
      <c r="I2921">
        <f>HLOOKUP(G2921,zip_tiers!$A$1:$EON$2,2,FALSE)</f>
        <v>63975.666666666664</v>
      </c>
      <c r="J2921" t="str">
        <f t="shared" si="45"/>
        <v>Med</v>
      </c>
      <c r="K2921">
        <f>dataset[[#This Row],[soda_sales]]/dataset[[#This Row],[soda_units_sold]]</f>
        <v>0.66959585749083006</v>
      </c>
      <c r="L2921" s="29">
        <f>dataset[[#This Row],[implied_soda_ppu]]-dataset[[#This Row],[soda_ppu]]</f>
        <v>-4.1425091699132111E-6</v>
      </c>
      <c r="M2921">
        <f>dataset[[#This Row],[soda_sales]]/dataset[[#This Row],[total_sales]]</f>
        <v>7.0288107931757049E-2</v>
      </c>
      <c r="N2921">
        <f>LN(dataset[[#This Row],[soda_units_sold]])</f>
        <v>12.409393009336844</v>
      </c>
      <c r="O2921">
        <f>LN(dataset[[#This Row],[soda_sales]])</f>
        <v>12.008312062967869</v>
      </c>
      <c r="P2921">
        <f>LN(dataset[[#This Row],[soda_ppu]])</f>
        <v>-0.40107475980687152</v>
      </c>
      <c r="Q2921">
        <f>IF(dataset[[#This Row],[state]]="VA",1,0)</f>
        <v>0</v>
      </c>
    </row>
    <row r="2922" spans="1:17" x14ac:dyDescent="0.35">
      <c r="A2922">
        <v>202205</v>
      </c>
      <c r="B2922">
        <v>39</v>
      </c>
      <c r="C2922" s="2">
        <v>2440755.9805999999</v>
      </c>
      <c r="D2922" s="2">
        <v>0.67269999999999996</v>
      </c>
      <c r="E2922" s="3">
        <v>266287</v>
      </c>
      <c r="F2922" s="2">
        <v>179133.6189</v>
      </c>
      <c r="G2922" t="s">
        <v>2221</v>
      </c>
      <c r="H2922" t="s">
        <v>7</v>
      </c>
      <c r="I2922">
        <f>HLOOKUP(G2922,zip_tiers!$A$1:$EON$2,2,FALSE)</f>
        <v>63975.666666666664</v>
      </c>
      <c r="J2922" t="str">
        <f t="shared" si="45"/>
        <v>Med</v>
      </c>
      <c r="K2922">
        <f>dataset[[#This Row],[soda_sales]]/dataset[[#This Row],[soda_units_sold]]</f>
        <v>0.67270884008607257</v>
      </c>
      <c r="L2922" s="29">
        <f>dataset[[#This Row],[implied_soda_ppu]]-dataset[[#This Row],[soda_ppu]]</f>
        <v>8.840086072603448E-6</v>
      </c>
      <c r="M2922">
        <f>dataset[[#This Row],[soda_sales]]/dataset[[#This Row],[total_sales]]</f>
        <v>7.3392678466761105E-2</v>
      </c>
      <c r="N2922">
        <f>LN(dataset[[#This Row],[soda_units_sold]])</f>
        <v>12.492329953486884</v>
      </c>
      <c r="O2922">
        <f>LN(dataset[[#This Row],[soda_sales]])</f>
        <v>12.095887280651199</v>
      </c>
      <c r="P2922">
        <f>LN(dataset[[#This Row],[soda_ppu]])</f>
        <v>-0.396455813950577</v>
      </c>
      <c r="Q2922">
        <f>IF(dataset[[#This Row],[state]]="VA",1,0)</f>
        <v>0</v>
      </c>
    </row>
    <row r="2923" spans="1:17" x14ac:dyDescent="0.35">
      <c r="A2923">
        <v>202206</v>
      </c>
      <c r="B2923">
        <v>39</v>
      </c>
      <c r="C2923" s="2">
        <v>2343321.7787000001</v>
      </c>
      <c r="D2923" s="2">
        <v>0.68720000000000003</v>
      </c>
      <c r="E2923" s="3">
        <v>275312</v>
      </c>
      <c r="F2923" s="2">
        <v>189189.65340000001</v>
      </c>
      <c r="G2923" t="s">
        <v>2221</v>
      </c>
      <c r="H2923" t="s">
        <v>7</v>
      </c>
      <c r="I2923">
        <f>HLOOKUP(G2923,zip_tiers!$A$1:$EON$2,2,FALSE)</f>
        <v>63975.666666666664</v>
      </c>
      <c r="J2923" t="str">
        <f t="shared" si="45"/>
        <v>Med</v>
      </c>
      <c r="K2923">
        <f>dataset[[#This Row],[soda_sales]]/dataset[[#This Row],[soda_units_sold]]</f>
        <v>0.68718273595048529</v>
      </c>
      <c r="L2923" s="29">
        <f>dataset[[#This Row],[implied_soda_ppu]]-dataset[[#This Row],[soda_ppu]]</f>
        <v>-1.7264049514742474E-5</v>
      </c>
      <c r="M2923">
        <f>dataset[[#This Row],[soda_sales]]/dataset[[#This Row],[total_sales]]</f>
        <v>8.0735669816953765E-2</v>
      </c>
      <c r="N2923">
        <f>LN(dataset[[#This Row],[soda_units_sold]])</f>
        <v>12.525660278992939</v>
      </c>
      <c r="O2923">
        <f>LN(dataset[[#This Row],[soda_sales]])</f>
        <v>12.150505248058067</v>
      </c>
      <c r="P2923">
        <f>LN(dataset[[#This Row],[soda_ppu]])</f>
        <v>-0.37512990831209136</v>
      </c>
      <c r="Q2923">
        <f>IF(dataset[[#This Row],[state]]="VA",1,0)</f>
        <v>0</v>
      </c>
    </row>
    <row r="2924" spans="1:17" x14ac:dyDescent="0.35">
      <c r="A2924">
        <v>202207</v>
      </c>
      <c r="B2924">
        <v>39</v>
      </c>
      <c r="C2924" s="2">
        <v>2290553.7672999999</v>
      </c>
      <c r="D2924" s="2">
        <v>0.71040000000000003</v>
      </c>
      <c r="E2924" s="3">
        <v>277099</v>
      </c>
      <c r="F2924" s="2">
        <v>196849.0564</v>
      </c>
      <c r="G2924" t="s">
        <v>2221</v>
      </c>
      <c r="H2924" t="s">
        <v>7</v>
      </c>
      <c r="I2924">
        <f>HLOOKUP(G2924,zip_tiers!$A$1:$EON$2,2,FALSE)</f>
        <v>63975.666666666664</v>
      </c>
      <c r="J2924" t="str">
        <f t="shared" si="45"/>
        <v>Med</v>
      </c>
      <c r="K2924">
        <f>dataset[[#This Row],[soda_sales]]/dataset[[#This Row],[soda_units_sold]]</f>
        <v>0.71039251819746729</v>
      </c>
      <c r="L2924" s="29">
        <f>dataset[[#This Row],[implied_soda_ppu]]-dataset[[#This Row],[soda_ppu]]</f>
        <v>-7.4818025327383353E-6</v>
      </c>
      <c r="M2924">
        <f>dataset[[#This Row],[soda_sales]]/dataset[[#This Row],[total_sales]]</f>
        <v>8.5939504765276328E-2</v>
      </c>
      <c r="N2924">
        <f>LN(dataset[[#This Row],[soda_units_sold]])</f>
        <v>12.532130122039073</v>
      </c>
      <c r="O2924">
        <f>LN(dataset[[#This Row],[soda_sales]])</f>
        <v>12.190192502862807</v>
      </c>
      <c r="P2924">
        <f>LN(dataset[[#This Row],[soda_ppu]])</f>
        <v>-0.3419270873041767</v>
      </c>
      <c r="Q2924">
        <f>IF(dataset[[#This Row],[state]]="VA",1,0)</f>
        <v>0</v>
      </c>
    </row>
    <row r="2925" spans="1:17" x14ac:dyDescent="0.35">
      <c r="A2925">
        <v>202208</v>
      </c>
      <c r="B2925">
        <v>39</v>
      </c>
      <c r="C2925" s="2">
        <v>2158698.6639</v>
      </c>
      <c r="D2925" s="2">
        <v>0.70340000000000003</v>
      </c>
      <c r="E2925" s="3">
        <v>242366</v>
      </c>
      <c r="F2925" s="2">
        <v>170468.84950000001</v>
      </c>
      <c r="G2925" t="s">
        <v>2221</v>
      </c>
      <c r="H2925" t="s">
        <v>7</v>
      </c>
      <c r="I2925">
        <f>HLOOKUP(G2925,zip_tiers!$A$1:$EON$2,2,FALSE)</f>
        <v>63975.666666666664</v>
      </c>
      <c r="J2925" t="str">
        <f t="shared" si="45"/>
        <v>Med</v>
      </c>
      <c r="K2925">
        <f>dataset[[#This Row],[soda_sales]]/dataset[[#This Row],[soda_units_sold]]</f>
        <v>0.7033529847420843</v>
      </c>
      <c r="L2925" s="29">
        <f>dataset[[#This Row],[implied_soda_ppu]]-dataset[[#This Row],[soda_ppu]]</f>
        <v>-4.7015257915727915E-5</v>
      </c>
      <c r="M2925">
        <f>dataset[[#This Row],[soda_sales]]/dataset[[#This Row],[total_sales]]</f>
        <v>7.8968339745957628E-2</v>
      </c>
      <c r="N2925">
        <f>LN(dataset[[#This Row],[soda_units_sold]])</f>
        <v>12.398204259312974</v>
      </c>
      <c r="O2925">
        <f>LN(dataset[[#This Row],[soda_sales]])</f>
        <v>12.046307858134105</v>
      </c>
      <c r="P2925">
        <f>LN(dataset[[#This Row],[soda_ppu]])</f>
        <v>-0.35182955894225493</v>
      </c>
      <c r="Q2925">
        <f>IF(dataset[[#This Row],[state]]="VA",1,0)</f>
        <v>0</v>
      </c>
    </row>
    <row r="2926" spans="1:17" x14ac:dyDescent="0.35">
      <c r="A2926">
        <v>202209</v>
      </c>
      <c r="B2926">
        <v>39</v>
      </c>
      <c r="C2926" s="2">
        <v>2108219.3412000001</v>
      </c>
      <c r="D2926" s="2">
        <v>0.70840000000000003</v>
      </c>
      <c r="E2926" s="3">
        <v>226014</v>
      </c>
      <c r="F2926" s="2">
        <v>160110.15400000001</v>
      </c>
      <c r="G2926" t="s">
        <v>2221</v>
      </c>
      <c r="H2926" t="s">
        <v>7</v>
      </c>
      <c r="I2926">
        <f>HLOOKUP(G2926,zip_tiers!$A$1:$EON$2,2,FALSE)</f>
        <v>63975.666666666664</v>
      </c>
      <c r="J2926" t="str">
        <f t="shared" si="45"/>
        <v>Med</v>
      </c>
      <c r="K2926">
        <f>dataset[[#This Row],[soda_sales]]/dataset[[#This Row],[soda_units_sold]]</f>
        <v>0.70840812516038831</v>
      </c>
      <c r="L2926" s="29">
        <f>dataset[[#This Row],[implied_soda_ppu]]-dataset[[#This Row],[soda_ppu]]</f>
        <v>8.1251603882837031E-6</v>
      </c>
      <c r="M2926">
        <f>dataset[[#This Row],[soda_sales]]/dataset[[#This Row],[total_sales]]</f>
        <v>7.5945681206427598E-2</v>
      </c>
      <c r="N2926">
        <f>LN(dataset[[#This Row],[soda_units_sold]])</f>
        <v>12.328352223238447</v>
      </c>
      <c r="O2926">
        <f>LN(dataset[[#This Row],[soda_sales]])</f>
        <v>11.983617319834373</v>
      </c>
      <c r="P2926">
        <f>LN(dataset[[#This Row],[soda_ppu]])</f>
        <v>-0.34474637307345851</v>
      </c>
      <c r="Q2926">
        <f>IF(dataset[[#This Row],[state]]="VA",1,0)</f>
        <v>0</v>
      </c>
    </row>
    <row r="2927" spans="1:17" x14ac:dyDescent="0.35">
      <c r="A2927">
        <v>202210</v>
      </c>
      <c r="B2927">
        <v>39</v>
      </c>
      <c r="C2927" s="2">
        <v>2594082.6872999999</v>
      </c>
      <c r="D2927" s="2">
        <v>0.6915</v>
      </c>
      <c r="E2927" s="3">
        <v>222050</v>
      </c>
      <c r="F2927" s="2">
        <v>153557.75899999999</v>
      </c>
      <c r="G2927" t="s">
        <v>2221</v>
      </c>
      <c r="H2927" t="s">
        <v>7</v>
      </c>
      <c r="I2927">
        <f>HLOOKUP(G2927,zip_tiers!$A$1:$EON$2,2,FALSE)</f>
        <v>63975.666666666664</v>
      </c>
      <c r="J2927" t="str">
        <f t="shared" si="45"/>
        <v>Med</v>
      </c>
      <c r="K2927">
        <f>dataset[[#This Row],[soda_sales]]/dataset[[#This Row],[soda_units_sold]]</f>
        <v>0.69154586354424674</v>
      </c>
      <c r="L2927" s="29">
        <f>dataset[[#This Row],[implied_soda_ppu]]-dataset[[#This Row],[soda_ppu]]</f>
        <v>4.5863544246738108E-5</v>
      </c>
      <c r="M2927">
        <f>dataset[[#This Row],[soda_sales]]/dataset[[#This Row],[total_sales]]</f>
        <v>5.919539872486778E-2</v>
      </c>
      <c r="N2927">
        <f>LN(dataset[[#This Row],[soda_units_sold]])</f>
        <v>12.310657860720248</v>
      </c>
      <c r="O2927">
        <f>LN(dataset[[#This Row],[soda_sales]])</f>
        <v>11.941832055364067</v>
      </c>
      <c r="P2927">
        <f>LN(dataset[[#This Row],[soda_ppu]])</f>
        <v>-0.36889212787732417</v>
      </c>
      <c r="Q2927">
        <f>IF(dataset[[#This Row],[state]]="VA",1,0)</f>
        <v>0</v>
      </c>
    </row>
    <row r="2928" spans="1:17" x14ac:dyDescent="0.35">
      <c r="A2928">
        <v>202211</v>
      </c>
      <c r="B2928">
        <v>39</v>
      </c>
      <c r="C2928" s="2">
        <v>2977762.1463000001</v>
      </c>
      <c r="D2928" s="2">
        <v>0.68540000000000001</v>
      </c>
      <c r="E2928" s="3">
        <v>216053</v>
      </c>
      <c r="F2928" s="2">
        <v>148075.39290000001</v>
      </c>
      <c r="G2928" t="s">
        <v>2221</v>
      </c>
      <c r="H2928" t="s">
        <v>7</v>
      </c>
      <c r="I2928">
        <f>HLOOKUP(G2928,zip_tiers!$A$1:$EON$2,2,FALSE)</f>
        <v>63975.666666666664</v>
      </c>
      <c r="J2928" t="str">
        <f t="shared" si="45"/>
        <v>Med</v>
      </c>
      <c r="K2928">
        <f>dataset[[#This Row],[soda_sales]]/dataset[[#This Row],[soda_units_sold]]</f>
        <v>0.68536605786543114</v>
      </c>
      <c r="L2928" s="29">
        <f>dataset[[#This Row],[implied_soda_ppu]]-dataset[[#This Row],[soda_ppu]]</f>
        <v>-3.3942134568865079E-5</v>
      </c>
      <c r="M2928">
        <f>dataset[[#This Row],[soda_sales]]/dataset[[#This Row],[total_sales]]</f>
        <v>4.9727072084649264E-2</v>
      </c>
      <c r="N2928">
        <f>LN(dataset[[#This Row],[soda_units_sold]])</f>
        <v>12.283279026938287</v>
      </c>
      <c r="O2928">
        <f>LN(dataset[[#This Row],[soda_sales]])</f>
        <v>11.905476834526755</v>
      </c>
      <c r="P2928">
        <f>LN(dataset[[#This Row],[soda_ppu]])</f>
        <v>-0.37775266954162856</v>
      </c>
      <c r="Q2928">
        <f>IF(dataset[[#This Row],[state]]="VA",1,0)</f>
        <v>0</v>
      </c>
    </row>
    <row r="2929" spans="1:17" x14ac:dyDescent="0.35">
      <c r="A2929">
        <v>202212</v>
      </c>
      <c r="B2929">
        <v>39</v>
      </c>
      <c r="C2929" s="2">
        <v>3077559.3574999999</v>
      </c>
      <c r="D2929" s="2">
        <v>0.72299999999999998</v>
      </c>
      <c r="E2929" s="3">
        <v>197384</v>
      </c>
      <c r="F2929" s="2">
        <v>142705.19620000001</v>
      </c>
      <c r="G2929" t="s">
        <v>2221</v>
      </c>
      <c r="H2929" t="s">
        <v>7</v>
      </c>
      <c r="I2929">
        <f>HLOOKUP(G2929,zip_tiers!$A$1:$EON$2,2,FALSE)</f>
        <v>63975.666666666664</v>
      </c>
      <c r="J2929" t="str">
        <f t="shared" si="45"/>
        <v>Med</v>
      </c>
      <c r="K2929">
        <f>dataset[[#This Row],[soda_sales]]/dataset[[#This Row],[soda_units_sold]]</f>
        <v>0.72298259332063397</v>
      </c>
      <c r="L2929" s="29">
        <f>dataset[[#This Row],[implied_soda_ppu]]-dataset[[#This Row],[soda_ppu]]</f>
        <v>-1.7406679366005484E-5</v>
      </c>
      <c r="M2929">
        <f>dataset[[#This Row],[soda_sales]]/dataset[[#This Row],[total_sales]]</f>
        <v>4.6369599940364437E-2</v>
      </c>
      <c r="N2929">
        <f>LN(dataset[[#This Row],[soda_units_sold]])</f>
        <v>12.192906348998415</v>
      </c>
      <c r="O2929">
        <f>LN(dataset[[#This Row],[soda_sales]])</f>
        <v>11.868536216256775</v>
      </c>
      <c r="P2929">
        <f>LN(dataset[[#This Row],[soda_ppu]])</f>
        <v>-0.32434605682337242</v>
      </c>
      <c r="Q2929">
        <f>IF(dataset[[#This Row],[state]]="VA",1,0)</f>
        <v>0</v>
      </c>
    </row>
    <row r="2930" spans="1:17" x14ac:dyDescent="0.35">
      <c r="A2930">
        <v>202301</v>
      </c>
      <c r="B2930">
        <v>39</v>
      </c>
      <c r="C2930" s="2">
        <v>1764877.3896999999</v>
      </c>
      <c r="D2930" s="2">
        <v>0.70030000000000003</v>
      </c>
      <c r="E2930" s="3">
        <v>150209</v>
      </c>
      <c r="F2930" s="2">
        <v>105188.7705</v>
      </c>
      <c r="G2930" t="s">
        <v>2221</v>
      </c>
      <c r="H2930" t="s">
        <v>7</v>
      </c>
      <c r="I2930">
        <f>HLOOKUP(G2930,zip_tiers!$A$1:$EON$2,2,FALSE)</f>
        <v>63975.666666666664</v>
      </c>
      <c r="J2930" t="str">
        <f t="shared" si="45"/>
        <v>Med</v>
      </c>
      <c r="K2930">
        <f>dataset[[#This Row],[soda_sales]]/dataset[[#This Row],[soda_units_sold]]</f>
        <v>0.70028274271182156</v>
      </c>
      <c r="L2930" s="29">
        <f>dataset[[#This Row],[implied_soda_ppu]]-dataset[[#This Row],[soda_ppu]]</f>
        <v>-1.7257288178473829E-5</v>
      </c>
      <c r="M2930">
        <f>dataset[[#This Row],[soda_sales]]/dataset[[#This Row],[total_sales]]</f>
        <v>5.9601177460764203E-2</v>
      </c>
      <c r="N2930">
        <f>LN(dataset[[#This Row],[soda_units_sold]])</f>
        <v>11.919782936623559</v>
      </c>
      <c r="O2930">
        <f>LN(dataset[[#This Row],[soda_sales]])</f>
        <v>11.56351182929159</v>
      </c>
      <c r="P2930">
        <f>LN(dataset[[#This Row],[soda_ppu]])</f>
        <v>-0.35624646432066498</v>
      </c>
      <c r="Q2930">
        <f>IF(dataset[[#This Row],[state]]="VA",1,0)</f>
        <v>0</v>
      </c>
    </row>
    <row r="2931" spans="1:17" x14ac:dyDescent="0.35">
      <c r="A2931">
        <v>202302</v>
      </c>
      <c r="B2931">
        <v>39</v>
      </c>
      <c r="C2931" s="2">
        <v>2029943.8981999999</v>
      </c>
      <c r="D2931" s="2">
        <v>0.71530000000000005</v>
      </c>
      <c r="E2931" s="3">
        <v>170232</v>
      </c>
      <c r="F2931" s="2">
        <v>121769.2458</v>
      </c>
      <c r="G2931" t="s">
        <v>2221</v>
      </c>
      <c r="H2931" t="s">
        <v>7</v>
      </c>
      <c r="I2931">
        <f>HLOOKUP(G2931,zip_tiers!$A$1:$EON$2,2,FALSE)</f>
        <v>63975.666666666664</v>
      </c>
      <c r="J2931" t="str">
        <f t="shared" si="45"/>
        <v>Med</v>
      </c>
      <c r="K2931">
        <f>dataset[[#This Row],[soda_sales]]/dataset[[#This Row],[soda_units_sold]]</f>
        <v>0.71531348865078248</v>
      </c>
      <c r="L2931" s="29">
        <f>dataset[[#This Row],[implied_soda_ppu]]-dataset[[#This Row],[soda_ppu]]</f>
        <v>1.3488650782433886E-5</v>
      </c>
      <c r="M2931">
        <f>dataset[[#This Row],[soda_sales]]/dataset[[#This Row],[total_sales]]</f>
        <v>5.9986507956193133E-2</v>
      </c>
      <c r="N2931">
        <f>LN(dataset[[#This Row],[soda_units_sold]])</f>
        <v>12.044917491550033</v>
      </c>
      <c r="O2931">
        <f>LN(dataset[[#This Row],[soda_sales]])</f>
        <v>11.709883104838118</v>
      </c>
      <c r="P2931">
        <f>LN(dataset[[#This Row],[soda_ppu]])</f>
        <v>-0.33505324386779883</v>
      </c>
      <c r="Q2931">
        <f>IF(dataset[[#This Row],[state]]="VA",1,0)</f>
        <v>0</v>
      </c>
    </row>
    <row r="2932" spans="1:17" x14ac:dyDescent="0.35">
      <c r="A2932">
        <v>202303</v>
      </c>
      <c r="B2932">
        <v>39</v>
      </c>
      <c r="C2932" s="2">
        <v>2241007.1507999999</v>
      </c>
      <c r="D2932" s="2">
        <v>0.7268</v>
      </c>
      <c r="E2932" s="3">
        <v>193590</v>
      </c>
      <c r="F2932" s="2">
        <v>140707.21950000001</v>
      </c>
      <c r="G2932" t="s">
        <v>2221</v>
      </c>
      <c r="H2932" t="s">
        <v>7</v>
      </c>
      <c r="I2932">
        <f>HLOOKUP(G2932,zip_tiers!$A$1:$EON$2,2,FALSE)</f>
        <v>63975.666666666664</v>
      </c>
      <c r="J2932" t="str">
        <f t="shared" si="45"/>
        <v>Med</v>
      </c>
      <c r="K2932">
        <f>dataset[[#This Row],[soda_sales]]/dataset[[#This Row],[soda_units_sold]]</f>
        <v>0.72683103207810329</v>
      </c>
      <c r="L2932" s="29">
        <f>dataset[[#This Row],[implied_soda_ppu]]-dataset[[#This Row],[soda_ppu]]</f>
        <v>3.1032078103288008E-5</v>
      </c>
      <c r="M2932">
        <f>dataset[[#This Row],[soda_sales]]/dataset[[#This Row],[total_sales]]</f>
        <v>6.2787492422668095E-2</v>
      </c>
      <c r="N2932">
        <f>LN(dataset[[#This Row],[soda_units_sold]])</f>
        <v>12.173497799597994</v>
      </c>
      <c r="O2932">
        <f>LN(dataset[[#This Row],[soda_sales]])</f>
        <v>11.854436553086741</v>
      </c>
      <c r="P2932">
        <f>LN(dataset[[#This Row],[soda_ppu]])</f>
        <v>-0.31910394246012092</v>
      </c>
      <c r="Q2932">
        <f>IF(dataset[[#This Row],[state]]="VA",1,0)</f>
        <v>0</v>
      </c>
    </row>
    <row r="2933" spans="1:17" x14ac:dyDescent="0.35">
      <c r="A2933">
        <v>202304</v>
      </c>
      <c r="B2933">
        <v>39</v>
      </c>
      <c r="C2933" s="2">
        <v>2402100.4306000001</v>
      </c>
      <c r="D2933" s="2">
        <v>0.71799999999999997</v>
      </c>
      <c r="E2933" s="3">
        <v>229265</v>
      </c>
      <c r="F2933" s="2">
        <v>164614.1887</v>
      </c>
      <c r="G2933" t="s">
        <v>2221</v>
      </c>
      <c r="H2933" t="s">
        <v>7</v>
      </c>
      <c r="I2933">
        <f>HLOOKUP(G2933,zip_tiers!$A$1:$EON$2,2,FALSE)</f>
        <v>63975.666666666664</v>
      </c>
      <c r="J2933" t="str">
        <f t="shared" si="45"/>
        <v>Med</v>
      </c>
      <c r="K2933">
        <f>dataset[[#This Row],[soda_sales]]/dataset[[#This Row],[soda_units_sold]]</f>
        <v>0.71800836891806419</v>
      </c>
      <c r="L2933" s="29">
        <f>dataset[[#This Row],[implied_soda_ppu]]-dataset[[#This Row],[soda_ppu]]</f>
        <v>8.3689180642165795E-6</v>
      </c>
      <c r="M2933">
        <f>dataset[[#This Row],[soda_sales]]/dataset[[#This Row],[total_sales]]</f>
        <v>6.8529269885223926E-2</v>
      </c>
      <c r="N2933">
        <f>LN(dataset[[#This Row],[soda_units_sold]])</f>
        <v>12.342633818730667</v>
      </c>
      <c r="O2933">
        <f>LN(dataset[[#This Row],[soda_sales]])</f>
        <v>12.011359764603565</v>
      </c>
      <c r="P2933">
        <f>LN(dataset[[#This Row],[soda_ppu]])</f>
        <v>-0.33128570993391293</v>
      </c>
      <c r="Q2933">
        <f>IF(dataset[[#This Row],[state]]="VA",1,0)</f>
        <v>0</v>
      </c>
    </row>
    <row r="2934" spans="1:17" x14ac:dyDescent="0.35">
      <c r="A2934">
        <v>202305</v>
      </c>
      <c r="B2934">
        <v>39</v>
      </c>
      <c r="C2934" s="2">
        <v>2508190.4615000002</v>
      </c>
      <c r="D2934" s="2">
        <v>0.70420000000000005</v>
      </c>
      <c r="E2934" s="3">
        <v>259913</v>
      </c>
      <c r="F2934" s="2">
        <v>183038.7212</v>
      </c>
      <c r="G2934" t="s">
        <v>2221</v>
      </c>
      <c r="H2934" t="s">
        <v>7</v>
      </c>
      <c r="I2934">
        <f>HLOOKUP(G2934,zip_tiers!$A$1:$EON$2,2,FALSE)</f>
        <v>63975.666666666664</v>
      </c>
      <c r="J2934" t="str">
        <f t="shared" si="45"/>
        <v>Med</v>
      </c>
      <c r="K2934">
        <f>dataset[[#This Row],[soda_sales]]/dataset[[#This Row],[soda_units_sold]]</f>
        <v>0.7042307279743607</v>
      </c>
      <c r="L2934" s="29">
        <f>dataset[[#This Row],[implied_soda_ppu]]-dataset[[#This Row],[soda_ppu]]</f>
        <v>3.0727974360655885E-5</v>
      </c>
      <c r="M2934">
        <f>dataset[[#This Row],[soda_sales]]/dataset[[#This Row],[total_sales]]</f>
        <v>7.2976404308042614E-2</v>
      </c>
      <c r="N2934">
        <f>LN(dataset[[#This Row],[soda_units_sold]])</f>
        <v>12.468102238616829</v>
      </c>
      <c r="O2934">
        <f>LN(dataset[[#This Row],[soda_sales]])</f>
        <v>12.117453000698116</v>
      </c>
      <c r="P2934">
        <f>LN(dataset[[#This Row],[soda_ppu]])</f>
        <v>-0.35069287226118484</v>
      </c>
      <c r="Q2934">
        <f>IF(dataset[[#This Row],[state]]="VA",1,0)</f>
        <v>0</v>
      </c>
    </row>
    <row r="2935" spans="1:17" x14ac:dyDescent="0.35">
      <c r="A2935">
        <v>202306</v>
      </c>
      <c r="B2935">
        <v>39</v>
      </c>
      <c r="C2935" s="2">
        <v>2408091.3530999999</v>
      </c>
      <c r="D2935" s="2">
        <v>0.71660000000000001</v>
      </c>
      <c r="E2935" s="3">
        <v>266283</v>
      </c>
      <c r="F2935" s="2">
        <v>190813.06049999999</v>
      </c>
      <c r="G2935" t="s">
        <v>2221</v>
      </c>
      <c r="H2935" t="s">
        <v>7</v>
      </c>
      <c r="I2935">
        <f>HLOOKUP(G2935,zip_tiers!$A$1:$EON$2,2,FALSE)</f>
        <v>63975.666666666664</v>
      </c>
      <c r="J2935" t="str">
        <f t="shared" si="45"/>
        <v>Med</v>
      </c>
      <c r="K2935">
        <f>dataset[[#This Row],[soda_sales]]/dataset[[#This Row],[soda_units_sold]]</f>
        <v>0.71657995628710802</v>
      </c>
      <c r="L2935" s="29">
        <f>dataset[[#This Row],[implied_soda_ppu]]-dataset[[#This Row],[soda_ppu]]</f>
        <v>-2.0043712891992804E-5</v>
      </c>
      <c r="M2935">
        <f>dataset[[#This Row],[soda_sales]]/dataset[[#This Row],[total_sales]]</f>
        <v>7.9238298104580329E-2</v>
      </c>
      <c r="N2935">
        <f>LN(dataset[[#This Row],[soda_units_sold]])</f>
        <v>12.492314931987362</v>
      </c>
      <c r="O2935">
        <f>LN(dataset[[#This Row],[soda_sales]])</f>
        <v>12.159049486911504</v>
      </c>
      <c r="P2935">
        <f>LN(dataset[[#This Row],[soda_ppu]])</f>
        <v>-0.33323747411128357</v>
      </c>
      <c r="Q2935">
        <f>IF(dataset[[#This Row],[state]]="VA",1,0)</f>
        <v>0</v>
      </c>
    </row>
    <row r="2936" spans="1:17" x14ac:dyDescent="0.35">
      <c r="A2936">
        <v>202307</v>
      </c>
      <c r="B2936">
        <v>39</v>
      </c>
      <c r="C2936" s="2">
        <v>2259831.6098000002</v>
      </c>
      <c r="D2936" s="2">
        <v>0.69899999999999995</v>
      </c>
      <c r="E2936" s="3">
        <v>281156</v>
      </c>
      <c r="F2936" s="2">
        <v>196524.1673</v>
      </c>
      <c r="G2936" t="s">
        <v>2221</v>
      </c>
      <c r="H2936" t="s">
        <v>7</v>
      </c>
      <c r="I2936">
        <f>HLOOKUP(G2936,zip_tiers!$A$1:$EON$2,2,FALSE)</f>
        <v>63975.666666666664</v>
      </c>
      <c r="J2936" t="str">
        <f t="shared" si="45"/>
        <v>Med</v>
      </c>
      <c r="K2936">
        <f>dataset[[#This Row],[soda_sales]]/dataset[[#This Row],[soda_units_sold]]</f>
        <v>0.6989862115693779</v>
      </c>
      <c r="L2936" s="29">
        <f>dataset[[#This Row],[implied_soda_ppu]]-dataset[[#This Row],[soda_ppu]]</f>
        <v>-1.3788430622052594E-5</v>
      </c>
      <c r="M2936">
        <f>dataset[[#This Row],[soda_sales]]/dataset[[#This Row],[total_sales]]</f>
        <v>8.6964075751375478E-2</v>
      </c>
      <c r="N2936">
        <f>LN(dataset[[#This Row],[soda_units_sold]])</f>
        <v>12.546664954413849</v>
      </c>
      <c r="O2936">
        <f>LN(dataset[[#This Row],[soda_sales]])</f>
        <v>12.188540691533021</v>
      </c>
      <c r="P2936">
        <f>LN(dataset[[#This Row],[soda_ppu]])</f>
        <v>-0.35810453674832687</v>
      </c>
      <c r="Q2936">
        <f>IF(dataset[[#This Row],[state]]="VA",1,0)</f>
        <v>0</v>
      </c>
    </row>
    <row r="2937" spans="1:17" x14ac:dyDescent="0.35">
      <c r="A2937">
        <v>202308</v>
      </c>
      <c r="B2937">
        <v>39</v>
      </c>
      <c r="C2937" s="2">
        <v>2142711.4092999999</v>
      </c>
      <c r="D2937" s="2">
        <v>0.74139999999999995</v>
      </c>
      <c r="E2937" s="3">
        <v>225103</v>
      </c>
      <c r="F2937" s="2">
        <v>166893.7641</v>
      </c>
      <c r="G2937" t="s">
        <v>2221</v>
      </c>
      <c r="H2937" t="s">
        <v>7</v>
      </c>
      <c r="I2937">
        <f>HLOOKUP(G2937,zip_tiers!$A$1:$EON$2,2,FALSE)</f>
        <v>63975.666666666664</v>
      </c>
      <c r="J2937" t="str">
        <f t="shared" si="45"/>
        <v>Med</v>
      </c>
      <c r="K2937">
        <f>dataset[[#This Row],[soda_sales]]/dataset[[#This Row],[soda_units_sold]]</f>
        <v>0.74141066134169686</v>
      </c>
      <c r="L2937" s="29">
        <f>dataset[[#This Row],[implied_soda_ppu]]-dataset[[#This Row],[soda_ppu]]</f>
        <v>1.0661341696915905E-5</v>
      </c>
      <c r="M2937">
        <f>dataset[[#This Row],[soda_sales]]/dataset[[#This Row],[total_sales]]</f>
        <v>7.7889053736136277E-2</v>
      </c>
      <c r="N2937">
        <f>LN(dataset[[#This Row],[soda_units_sold]])</f>
        <v>12.324313354216054</v>
      </c>
      <c r="O2937">
        <f>LN(dataset[[#This Row],[soda_sales]])</f>
        <v>12.025112745860238</v>
      </c>
      <c r="P2937">
        <f>LN(dataset[[#This Row],[soda_ppu]])</f>
        <v>-0.29921498826550524</v>
      </c>
      <c r="Q2937">
        <f>IF(dataset[[#This Row],[state]]="VA",1,0)</f>
        <v>0</v>
      </c>
    </row>
    <row r="2938" spans="1:17" x14ac:dyDescent="0.35">
      <c r="A2938">
        <v>202309</v>
      </c>
      <c r="B2938">
        <v>39</v>
      </c>
      <c r="C2938" s="2">
        <v>2122601.4582000002</v>
      </c>
      <c r="D2938" s="2">
        <v>0.74709999999999999</v>
      </c>
      <c r="E2938" s="3">
        <v>212260</v>
      </c>
      <c r="F2938" s="2">
        <v>158589.8327</v>
      </c>
      <c r="G2938" t="s">
        <v>2221</v>
      </c>
      <c r="H2938" t="s">
        <v>7</v>
      </c>
      <c r="I2938">
        <f>HLOOKUP(G2938,zip_tiers!$A$1:$EON$2,2,FALSE)</f>
        <v>63975.666666666664</v>
      </c>
      <c r="J2938" t="str">
        <f t="shared" si="45"/>
        <v>Med</v>
      </c>
      <c r="K2938">
        <f>dataset[[#This Row],[soda_sales]]/dataset[[#This Row],[soda_units_sold]]</f>
        <v>0.74714893385470649</v>
      </c>
      <c r="L2938" s="29">
        <f>dataset[[#This Row],[implied_soda_ppu]]-dataset[[#This Row],[soda_ppu]]</f>
        <v>4.8933854706501023E-5</v>
      </c>
      <c r="M2938">
        <f>dataset[[#This Row],[soda_sales]]/dataset[[#This Row],[total_sales]]</f>
        <v>7.471484205729638E-2</v>
      </c>
      <c r="N2938">
        <f>LN(dataset[[#This Row],[soda_units_sold]])</f>
        <v>12.265567217315814</v>
      </c>
      <c r="O2938">
        <f>LN(dataset[[#This Row],[soda_sales]])</f>
        <v>11.974076479570595</v>
      </c>
      <c r="P2938">
        <f>LN(dataset[[#This Row],[soda_ppu]])</f>
        <v>-0.2915562340003815</v>
      </c>
      <c r="Q2938">
        <f>IF(dataset[[#This Row],[state]]="VA",1,0)</f>
        <v>0</v>
      </c>
    </row>
    <row r="2939" spans="1:17" x14ac:dyDescent="0.35">
      <c r="A2939">
        <v>202310</v>
      </c>
      <c r="B2939">
        <v>39</v>
      </c>
      <c r="C2939" s="2">
        <v>2691868.4380000001</v>
      </c>
      <c r="D2939" s="2">
        <v>0.74829999999999997</v>
      </c>
      <c r="E2939" s="3">
        <v>214728</v>
      </c>
      <c r="F2939" s="2">
        <v>160681.16209999999</v>
      </c>
      <c r="G2939" t="s">
        <v>2221</v>
      </c>
      <c r="H2939" t="s">
        <v>7</v>
      </c>
      <c r="I2939">
        <f>HLOOKUP(G2939,zip_tiers!$A$1:$EON$2,2,FALSE)</f>
        <v>63975.666666666664</v>
      </c>
      <c r="J2939" t="str">
        <f t="shared" si="45"/>
        <v>Med</v>
      </c>
      <c r="K2939">
        <f>dataset[[#This Row],[soda_sales]]/dataset[[#This Row],[soda_units_sold]]</f>
        <v>0.74830093001378484</v>
      </c>
      <c r="L2939" s="29">
        <f>dataset[[#This Row],[implied_soda_ppu]]-dataset[[#This Row],[soda_ppu]]</f>
        <v>9.3001378487223008E-7</v>
      </c>
      <c r="M2939">
        <f>dataset[[#This Row],[soda_sales]]/dataset[[#This Row],[total_sales]]</f>
        <v>5.9691313227544882E-2</v>
      </c>
      <c r="N2939">
        <f>LN(dataset[[#This Row],[soda_units_sold]])</f>
        <v>12.277127389895542</v>
      </c>
      <c r="O2939">
        <f>LN(dataset[[#This Row],[soda_sales]])</f>
        <v>11.987177320834419</v>
      </c>
      <c r="P2939">
        <f>LN(dataset[[#This Row],[soda_ppu]])</f>
        <v>-0.28995131189582424</v>
      </c>
      <c r="Q2939">
        <f>IF(dataset[[#This Row],[state]]="VA",1,0)</f>
        <v>0</v>
      </c>
    </row>
    <row r="2940" spans="1:17" x14ac:dyDescent="0.35">
      <c r="A2940">
        <v>202311</v>
      </c>
      <c r="B2940">
        <v>39</v>
      </c>
      <c r="C2940" s="2">
        <v>3028659.7176999999</v>
      </c>
      <c r="D2940" s="2">
        <v>0.75409999999999999</v>
      </c>
      <c r="E2940" s="3">
        <v>193670</v>
      </c>
      <c r="F2940" s="2">
        <v>146043.799</v>
      </c>
      <c r="G2940" t="s">
        <v>2221</v>
      </c>
      <c r="H2940" t="s">
        <v>7</v>
      </c>
      <c r="I2940">
        <f>HLOOKUP(G2940,zip_tiers!$A$1:$EON$2,2,FALSE)</f>
        <v>63975.666666666664</v>
      </c>
      <c r="J2940" t="str">
        <f t="shared" si="45"/>
        <v>Med</v>
      </c>
      <c r="K2940">
        <f>dataset[[#This Row],[soda_sales]]/dataset[[#This Row],[soda_units_sold]]</f>
        <v>0.75408581091547477</v>
      </c>
      <c r="L2940" s="29">
        <f>dataset[[#This Row],[implied_soda_ppu]]-dataset[[#This Row],[soda_ppu]]</f>
        <v>-1.4189084525217943E-5</v>
      </c>
      <c r="M2940">
        <f>dataset[[#This Row],[soda_sales]]/dataset[[#This Row],[total_sales]]</f>
        <v>4.8220603373332213E-2</v>
      </c>
      <c r="N2940">
        <f>LN(dataset[[#This Row],[soda_units_sold]])</f>
        <v>12.173910958721777</v>
      </c>
      <c r="O2940">
        <f>LN(dataset[[#This Row],[soda_sales]])</f>
        <v>11.891661848852211</v>
      </c>
      <c r="P2940">
        <f>LN(dataset[[#This Row],[soda_ppu]])</f>
        <v>-0.2822302937735357</v>
      </c>
      <c r="Q2940">
        <f>IF(dataset[[#This Row],[state]]="VA",1,0)</f>
        <v>0</v>
      </c>
    </row>
    <row r="2941" spans="1:17" x14ac:dyDescent="0.35">
      <c r="A2941">
        <v>202312</v>
      </c>
      <c r="B2941">
        <v>39</v>
      </c>
      <c r="C2941" s="2">
        <v>3102963.3454</v>
      </c>
      <c r="D2941" s="2">
        <v>0.74199999999999999</v>
      </c>
      <c r="E2941" s="3">
        <v>195376</v>
      </c>
      <c r="F2941" s="2">
        <v>144970.26939999999</v>
      </c>
      <c r="G2941" t="s">
        <v>2221</v>
      </c>
      <c r="H2941" t="s">
        <v>7</v>
      </c>
      <c r="I2941">
        <f>HLOOKUP(G2941,zip_tiers!$A$1:$EON$2,2,FALSE)</f>
        <v>63975.666666666664</v>
      </c>
      <c r="J2941" t="str">
        <f t="shared" si="45"/>
        <v>Med</v>
      </c>
      <c r="K2941">
        <f>dataset[[#This Row],[soda_sales]]/dataset[[#This Row],[soda_units_sold]]</f>
        <v>0.74200653816231266</v>
      </c>
      <c r="L2941" s="29">
        <f>dataset[[#This Row],[implied_soda_ppu]]-dataset[[#This Row],[soda_ppu]]</f>
        <v>6.5381623126636867E-6</v>
      </c>
      <c r="M2941">
        <f>dataset[[#This Row],[soda_sales]]/dataset[[#This Row],[total_sales]]</f>
        <v>4.6719942604192127E-2</v>
      </c>
      <c r="N2941">
        <f>LN(dataset[[#This Row],[soda_units_sold]])</f>
        <v>12.182681186072804</v>
      </c>
      <c r="O2941">
        <f>LN(dataset[[#This Row],[soda_sales]])</f>
        <v>11.884283961758729</v>
      </c>
      <c r="P2941">
        <f>LN(dataset[[#This Row],[soda_ppu]])</f>
        <v>-0.29840603581475661</v>
      </c>
      <c r="Q2941">
        <f>IF(dataset[[#This Row],[state]]="VA",1,0)</f>
        <v>0</v>
      </c>
    </row>
    <row r="2942" spans="1:17" x14ac:dyDescent="0.35">
      <c r="A2942">
        <v>202401</v>
      </c>
      <c r="B2942">
        <v>39</v>
      </c>
      <c r="C2942" s="2">
        <v>1796220.898</v>
      </c>
      <c r="D2942" s="2">
        <v>0.7631</v>
      </c>
      <c r="E2942" s="3">
        <v>138113</v>
      </c>
      <c r="F2942" s="2">
        <v>105393.52559999999</v>
      </c>
      <c r="G2942" t="s">
        <v>2221</v>
      </c>
      <c r="H2942" t="s">
        <v>7</v>
      </c>
      <c r="I2942">
        <f>HLOOKUP(G2942,zip_tiers!$A$1:$EON$2,2,FALSE)</f>
        <v>63975.666666666664</v>
      </c>
      <c r="J2942" t="str">
        <f t="shared" si="45"/>
        <v>Med</v>
      </c>
      <c r="K2942">
        <f>dataset[[#This Row],[soda_sales]]/dataset[[#This Row],[soda_units_sold]]</f>
        <v>0.7630963457458747</v>
      </c>
      <c r="L2942" s="29">
        <f>dataset[[#This Row],[implied_soda_ppu]]-dataset[[#This Row],[soda_ppu]]</f>
        <v>-3.6542541252959637E-6</v>
      </c>
      <c r="M2942">
        <f>dataset[[#This Row],[soda_sales]]/dataset[[#This Row],[total_sales]]</f>
        <v>5.8675147203414837E-2</v>
      </c>
      <c r="N2942">
        <f>LN(dataset[[#This Row],[soda_units_sold]])</f>
        <v>11.835827469652003</v>
      </c>
      <c r="O2942">
        <f>LN(dataset[[#This Row],[soda_sales]])</f>
        <v>11.565456486257716</v>
      </c>
      <c r="P2942">
        <f>LN(dataset[[#This Row],[soda_ppu]])</f>
        <v>-0.27036619468654954</v>
      </c>
      <c r="Q2942">
        <f>IF(dataset[[#This Row],[state]]="VA",1,0)</f>
        <v>0</v>
      </c>
    </row>
    <row r="2943" spans="1:17" x14ac:dyDescent="0.35">
      <c r="A2943">
        <v>202402</v>
      </c>
      <c r="B2943">
        <v>39</v>
      </c>
      <c r="C2943" s="2">
        <v>2034357.4494</v>
      </c>
      <c r="D2943" s="2">
        <v>0.7792</v>
      </c>
      <c r="E2943" s="3">
        <v>157103</v>
      </c>
      <c r="F2943" s="2">
        <v>122409.3547</v>
      </c>
      <c r="G2943" t="s">
        <v>2221</v>
      </c>
      <c r="H2943" t="s">
        <v>7</v>
      </c>
      <c r="I2943">
        <f>HLOOKUP(G2943,zip_tiers!$A$1:$EON$2,2,FALSE)</f>
        <v>63975.666666666664</v>
      </c>
      <c r="J2943" t="str">
        <f t="shared" si="45"/>
        <v>Med</v>
      </c>
      <c r="K2943">
        <f>dataset[[#This Row],[soda_sales]]/dataset[[#This Row],[soda_units_sold]]</f>
        <v>0.77916624571141224</v>
      </c>
      <c r="L2943" s="29">
        <f>dataset[[#This Row],[implied_soda_ppu]]-dataset[[#This Row],[soda_ppu]]</f>
        <v>-3.3754288587761749E-5</v>
      </c>
      <c r="M2943">
        <f>dataset[[#This Row],[soda_sales]]/dataset[[#This Row],[total_sales]]</f>
        <v>6.0171016030689493E-2</v>
      </c>
      <c r="N2943">
        <f>LN(dataset[[#This Row],[soda_units_sold]])</f>
        <v>11.964656920178507</v>
      </c>
      <c r="O2943">
        <f>LN(dataset[[#This Row],[soda_sales]])</f>
        <v>11.715126073427529</v>
      </c>
      <c r="P2943">
        <f>LN(dataset[[#This Row],[soda_ppu]])</f>
        <v>-0.24948752665381171</v>
      </c>
      <c r="Q2943">
        <f>IF(dataset[[#This Row],[state]]="VA",1,0)</f>
        <v>0</v>
      </c>
    </row>
    <row r="2944" spans="1:17" x14ac:dyDescent="0.35">
      <c r="A2944">
        <v>202403</v>
      </c>
      <c r="B2944">
        <v>39</v>
      </c>
      <c r="C2944" s="2">
        <v>2315000.6282000002</v>
      </c>
      <c r="D2944" s="2">
        <v>0.76859999999999995</v>
      </c>
      <c r="E2944" s="3">
        <v>187916</v>
      </c>
      <c r="F2944" s="2">
        <v>144433.5956</v>
      </c>
      <c r="G2944" t="s">
        <v>2221</v>
      </c>
      <c r="H2944" t="s">
        <v>7</v>
      </c>
      <c r="I2944">
        <f>HLOOKUP(G2944,zip_tiers!$A$1:$EON$2,2,FALSE)</f>
        <v>63975.666666666664</v>
      </c>
      <c r="J2944" t="str">
        <f t="shared" si="45"/>
        <v>Med</v>
      </c>
      <c r="K2944">
        <f>dataset[[#This Row],[soda_sales]]/dataset[[#This Row],[soda_units_sold]]</f>
        <v>0.76860722663317649</v>
      </c>
      <c r="L2944" s="29">
        <f>dataset[[#This Row],[implied_soda_ppu]]-dataset[[#This Row],[soda_ppu]]</f>
        <v>7.2266331765380443E-6</v>
      </c>
      <c r="M2944">
        <f>dataset[[#This Row],[soda_sales]]/dataset[[#This Row],[total_sales]]</f>
        <v>6.2390305143157798E-2</v>
      </c>
      <c r="N2944">
        <f>LN(dataset[[#This Row],[soda_units_sold]])</f>
        <v>12.143750333452783</v>
      </c>
      <c r="O2944">
        <f>LN(dataset[[#This Row],[soda_sales]])</f>
        <v>11.880575134890229</v>
      </c>
      <c r="P2944">
        <f>LN(dataset[[#This Row],[soda_ppu]])</f>
        <v>-0.26318460085139356</v>
      </c>
      <c r="Q2944">
        <f>IF(dataset[[#This Row],[state]]="VA",1,0)</f>
        <v>0</v>
      </c>
    </row>
    <row r="2945" spans="1:17" x14ac:dyDescent="0.35">
      <c r="A2945">
        <v>202404</v>
      </c>
      <c r="B2945">
        <v>39</v>
      </c>
      <c r="C2945" s="2">
        <v>2426413.6614999999</v>
      </c>
      <c r="D2945" s="2">
        <v>0.77100000000000002</v>
      </c>
      <c r="E2945" s="3">
        <v>217180</v>
      </c>
      <c r="F2945" s="2">
        <v>167452.45559999999</v>
      </c>
      <c r="G2945" t="s">
        <v>2221</v>
      </c>
      <c r="H2945" t="s">
        <v>7</v>
      </c>
      <c r="I2945">
        <f>HLOOKUP(G2945,zip_tiers!$A$1:$EON$2,2,FALSE)</f>
        <v>63975.666666666664</v>
      </c>
      <c r="J2945" t="str">
        <f t="shared" si="45"/>
        <v>Med</v>
      </c>
      <c r="K2945">
        <f>dataset[[#This Row],[soda_sales]]/dataset[[#This Row],[soda_units_sold]]</f>
        <v>0.77103073763698304</v>
      </c>
      <c r="L2945" s="29">
        <f>dataset[[#This Row],[implied_soda_ppu]]-dataset[[#This Row],[soda_ppu]]</f>
        <v>3.0737636983024785E-5</v>
      </c>
      <c r="M2945">
        <f>dataset[[#This Row],[soda_sales]]/dataset[[#This Row],[total_sales]]</f>
        <v>6.9012328053115843E-2</v>
      </c>
      <c r="N2945">
        <f>LN(dataset[[#This Row],[soda_units_sold]])</f>
        <v>12.288481781770891</v>
      </c>
      <c r="O2945">
        <f>LN(dataset[[#This Row],[soda_sales]])</f>
        <v>12.028454742790847</v>
      </c>
      <c r="P2945">
        <f>LN(dataset[[#This Row],[soda_ppu]])</f>
        <v>-0.26006690541880756</v>
      </c>
      <c r="Q2945">
        <f>IF(dataset[[#This Row],[state]]="VA",1,0)</f>
        <v>0</v>
      </c>
    </row>
    <row r="2946" spans="1:17" x14ac:dyDescent="0.35">
      <c r="A2946">
        <v>202405</v>
      </c>
      <c r="B2946">
        <v>39</v>
      </c>
      <c r="C2946" s="2">
        <v>2562604.8522999999</v>
      </c>
      <c r="D2946" s="2">
        <v>0.73970000000000002</v>
      </c>
      <c r="E2946" s="3">
        <v>251112</v>
      </c>
      <c r="F2946" s="2">
        <v>185737.19440000001</v>
      </c>
      <c r="G2946" t="s">
        <v>2221</v>
      </c>
      <c r="H2946" t="s">
        <v>7</v>
      </c>
      <c r="I2946">
        <f>HLOOKUP(G2946,zip_tiers!$A$1:$EON$2,2,FALSE)</f>
        <v>63975.666666666664</v>
      </c>
      <c r="J2946" t="str">
        <f t="shared" ref="J2946:J3009" si="46">IF(I2946="","No Data",IF(I2946&gt;=100000,"High",IF(I2946&gt;=40000,"Med","Low")))</f>
        <v>Med</v>
      </c>
      <c r="K2946">
        <f>dataset[[#This Row],[soda_sales]]/dataset[[#This Row],[soda_units_sold]]</f>
        <v>0.73965877536716684</v>
      </c>
      <c r="L2946" s="29">
        <f>dataset[[#This Row],[implied_soda_ppu]]-dataset[[#This Row],[soda_ppu]]</f>
        <v>-4.1224632833181118E-5</v>
      </c>
      <c r="M2946">
        <f>dataset[[#This Row],[soda_sales]]/dataset[[#This Row],[total_sales]]</f>
        <v>7.247984184268455E-2</v>
      </c>
      <c r="N2946">
        <f>LN(dataset[[#This Row],[soda_units_sold]])</f>
        <v>12.433654333728994</v>
      </c>
      <c r="O2946">
        <f>LN(dataset[[#This Row],[soda_sales]])</f>
        <v>12.132088020230455</v>
      </c>
      <c r="P2946">
        <f>LN(dataset[[#This Row],[soda_ppu]])</f>
        <v>-0.30151058038831502</v>
      </c>
      <c r="Q2946">
        <f>IF(dataset[[#This Row],[state]]="VA",1,0)</f>
        <v>0</v>
      </c>
    </row>
    <row r="2947" spans="1:17" x14ac:dyDescent="0.35">
      <c r="A2947">
        <v>202406</v>
      </c>
      <c r="B2947">
        <v>39</v>
      </c>
      <c r="C2947" s="2">
        <v>2496021.2434999999</v>
      </c>
      <c r="D2947" s="2">
        <v>0.77390000000000003</v>
      </c>
      <c r="E2947" s="3">
        <v>256683</v>
      </c>
      <c r="F2947" s="2">
        <v>198656.9417</v>
      </c>
      <c r="G2947" t="s">
        <v>2221</v>
      </c>
      <c r="H2947" t="s">
        <v>7</v>
      </c>
      <c r="I2947">
        <f>HLOOKUP(G2947,zip_tiers!$A$1:$EON$2,2,FALSE)</f>
        <v>63975.666666666664</v>
      </c>
      <c r="J2947" t="str">
        <f t="shared" si="46"/>
        <v>Med</v>
      </c>
      <c r="K2947">
        <f>dataset[[#This Row],[soda_sales]]/dataset[[#This Row],[soda_units_sold]]</f>
        <v>0.7739388338923886</v>
      </c>
      <c r="L2947" s="29">
        <f>dataset[[#This Row],[implied_soda_ppu]]-dataset[[#This Row],[soda_ppu]]</f>
        <v>3.8833892388567826E-5</v>
      </c>
      <c r="M2947">
        <f>dataset[[#This Row],[soda_sales]]/dataset[[#This Row],[total_sales]]</f>
        <v>7.9589443486240904E-2</v>
      </c>
      <c r="N2947">
        <f>LN(dataset[[#This Row],[soda_units_sold]])</f>
        <v>12.455597139500686</v>
      </c>
      <c r="O2947">
        <f>LN(dataset[[#This Row],[soda_sales]])</f>
        <v>12.199334705006732</v>
      </c>
      <c r="P2947">
        <f>LN(dataset[[#This Row],[soda_ppu]])</f>
        <v>-0.25631261270572359</v>
      </c>
      <c r="Q2947">
        <f>IF(dataset[[#This Row],[state]]="VA",1,0)</f>
        <v>0</v>
      </c>
    </row>
    <row r="2948" spans="1:17" x14ac:dyDescent="0.35">
      <c r="A2948">
        <v>202407</v>
      </c>
      <c r="B2948">
        <v>39</v>
      </c>
      <c r="C2948" s="2">
        <v>2331310.3472000002</v>
      </c>
      <c r="D2948" s="2">
        <v>0.74309999999999998</v>
      </c>
      <c r="E2948" s="3">
        <v>273546</v>
      </c>
      <c r="F2948" s="2">
        <v>203264.92550000001</v>
      </c>
      <c r="G2948" t="s">
        <v>2221</v>
      </c>
      <c r="H2948" t="s">
        <v>7</v>
      </c>
      <c r="I2948">
        <f>HLOOKUP(G2948,zip_tiers!$A$1:$EON$2,2,FALSE)</f>
        <v>63975.666666666664</v>
      </c>
      <c r="J2948" t="str">
        <f t="shared" si="46"/>
        <v>Med</v>
      </c>
      <c r="K2948">
        <f>dataset[[#This Row],[soda_sales]]/dataset[[#This Row],[soda_units_sold]]</f>
        <v>0.74307401862940792</v>
      </c>
      <c r="L2948" s="29">
        <f>dataset[[#This Row],[implied_soda_ppu]]-dataset[[#This Row],[soda_ppu]]</f>
        <v>-2.5981370592065289E-5</v>
      </c>
      <c r="M2948">
        <f>dataset[[#This Row],[soda_sales]]/dataset[[#This Row],[total_sales]]</f>
        <v>8.7189131959256122E-2</v>
      </c>
      <c r="N2948">
        <f>LN(dataset[[#This Row],[soda_units_sold]])</f>
        <v>12.51922507682977</v>
      </c>
      <c r="O2948">
        <f>LN(dataset[[#This Row],[soda_sales]])</f>
        <v>12.222265458908241</v>
      </c>
      <c r="P2948">
        <f>LN(dataset[[#This Row],[soda_ppu]])</f>
        <v>-0.29692465381871352</v>
      </c>
      <c r="Q2948">
        <f>IF(dataset[[#This Row],[state]]="VA",1,0)</f>
        <v>0</v>
      </c>
    </row>
    <row r="2949" spans="1:17" x14ac:dyDescent="0.35">
      <c r="A2949">
        <v>202408</v>
      </c>
      <c r="B2949">
        <v>39</v>
      </c>
      <c r="C2949" s="2">
        <v>2218277.1568</v>
      </c>
      <c r="D2949" s="2">
        <v>0.78490000000000004</v>
      </c>
      <c r="E2949" s="3">
        <v>217292</v>
      </c>
      <c r="F2949" s="2">
        <v>170543.56849999999</v>
      </c>
      <c r="G2949" t="s">
        <v>2221</v>
      </c>
      <c r="H2949" t="s">
        <v>7</v>
      </c>
      <c r="I2949">
        <f>HLOOKUP(G2949,zip_tiers!$A$1:$EON$2,2,FALSE)</f>
        <v>63975.666666666664</v>
      </c>
      <c r="J2949" t="str">
        <f t="shared" si="46"/>
        <v>Med</v>
      </c>
      <c r="K2949">
        <f>dataset[[#This Row],[soda_sales]]/dataset[[#This Row],[soda_units_sold]]</f>
        <v>0.78485893866318135</v>
      </c>
      <c r="L2949" s="29">
        <f>dataset[[#This Row],[implied_soda_ppu]]-dataset[[#This Row],[soda_ppu]]</f>
        <v>-4.1061336818692951E-5</v>
      </c>
      <c r="M2949">
        <f>dataset[[#This Row],[soda_sales]]/dataset[[#This Row],[total_sales]]</f>
        <v>7.6881091245613098E-2</v>
      </c>
      <c r="N2949">
        <f>LN(dataset[[#This Row],[soda_units_sold]])</f>
        <v>12.288997350104321</v>
      </c>
      <c r="O2949">
        <f>LN(dataset[[#This Row],[soda_sales]])</f>
        <v>12.046746076786867</v>
      </c>
      <c r="P2949">
        <f>LN(dataset[[#This Row],[soda_ppu]])</f>
        <v>-0.24219895784936898</v>
      </c>
      <c r="Q2949">
        <f>IF(dataset[[#This Row],[state]]="VA",1,0)</f>
        <v>0</v>
      </c>
    </row>
    <row r="2950" spans="1:17" x14ac:dyDescent="0.35">
      <c r="A2950">
        <v>202409</v>
      </c>
      <c r="B2950">
        <v>39</v>
      </c>
      <c r="C2950" s="2">
        <v>2181015.6584999999</v>
      </c>
      <c r="D2950" s="2">
        <v>0.78910000000000002</v>
      </c>
      <c r="E2950" s="3">
        <v>207726</v>
      </c>
      <c r="F2950" s="2">
        <v>163915.92069999999</v>
      </c>
      <c r="G2950" t="s">
        <v>2221</v>
      </c>
      <c r="H2950" t="s">
        <v>7</v>
      </c>
      <c r="I2950">
        <f>HLOOKUP(G2950,zip_tiers!$A$1:$EON$2,2,FALSE)</f>
        <v>63975.666666666664</v>
      </c>
      <c r="J2950" t="str">
        <f t="shared" si="46"/>
        <v>Med</v>
      </c>
      <c r="K2950">
        <f>dataset[[#This Row],[soda_sales]]/dataset[[#This Row],[soda_units_sold]]</f>
        <v>0.78909679433484492</v>
      </c>
      <c r="L2950" s="29">
        <f>dataset[[#This Row],[implied_soda_ppu]]-dataset[[#This Row],[soda_ppu]]</f>
        <v>-3.2056651551037874E-6</v>
      </c>
      <c r="M2950">
        <f>dataset[[#This Row],[soda_sales]]/dataset[[#This Row],[total_sales]]</f>
        <v>7.5155774357316477E-2</v>
      </c>
      <c r="N2950">
        <f>LN(dataset[[#This Row],[soda_units_sold]])</f>
        <v>12.243975182578641</v>
      </c>
      <c r="O2950">
        <f>LN(dataset[[#This Row],[soda_sales]])</f>
        <v>12.00710889668316</v>
      </c>
      <c r="P2950">
        <f>LN(dataset[[#This Row],[soda_ppu]])</f>
        <v>-0.23686222345514771</v>
      </c>
      <c r="Q2950">
        <f>IF(dataset[[#This Row],[state]]="VA",1,0)</f>
        <v>0</v>
      </c>
    </row>
    <row r="2951" spans="1:17" x14ac:dyDescent="0.35">
      <c r="A2951">
        <v>202410</v>
      </c>
      <c r="B2951">
        <v>39</v>
      </c>
      <c r="C2951" s="2">
        <v>2720885.4893999998</v>
      </c>
      <c r="D2951" s="2">
        <v>0.78500000000000003</v>
      </c>
      <c r="E2951" s="3">
        <v>203850</v>
      </c>
      <c r="F2951" s="2">
        <v>160022.41099999999</v>
      </c>
      <c r="G2951" t="s">
        <v>2221</v>
      </c>
      <c r="H2951" t="s">
        <v>7</v>
      </c>
      <c r="I2951">
        <f>HLOOKUP(G2951,zip_tiers!$A$1:$EON$2,2,FALSE)</f>
        <v>63975.666666666664</v>
      </c>
      <c r="J2951" t="str">
        <f t="shared" si="46"/>
        <v>Med</v>
      </c>
      <c r="K2951">
        <f>dataset[[#This Row],[soda_sales]]/dataset[[#This Row],[soda_units_sold]]</f>
        <v>0.78500078979641885</v>
      </c>
      <c r="L2951" s="29">
        <f>dataset[[#This Row],[implied_soda_ppu]]-dataset[[#This Row],[soda_ppu]]</f>
        <v>7.8979641882082063E-7</v>
      </c>
      <c r="M2951">
        <f>dataset[[#This Row],[soda_sales]]/dataset[[#This Row],[total_sales]]</f>
        <v>5.881262244347063E-2</v>
      </c>
      <c r="N2951">
        <f>LN(dataset[[#This Row],[soda_units_sold]])</f>
        <v>12.225139708247399</v>
      </c>
      <c r="O2951">
        <f>LN(dataset[[#This Row],[soda_sales]])</f>
        <v>11.983069153157253</v>
      </c>
      <c r="P2951">
        <f>LN(dataset[[#This Row],[soda_ppu]])</f>
        <v>-0.24207156119972859</v>
      </c>
      <c r="Q2951">
        <f>IF(dataset[[#This Row],[state]]="VA",1,0)</f>
        <v>0</v>
      </c>
    </row>
    <row r="2952" spans="1:17" x14ac:dyDescent="0.35">
      <c r="A2952">
        <v>202411</v>
      </c>
      <c r="B2952">
        <v>39</v>
      </c>
      <c r="C2952" s="2">
        <v>3060919.3045000001</v>
      </c>
      <c r="D2952" s="2">
        <v>0.76829999999999998</v>
      </c>
      <c r="E2952" s="3">
        <v>197444</v>
      </c>
      <c r="F2952" s="2">
        <v>151703.65340000001</v>
      </c>
      <c r="G2952" t="s">
        <v>2221</v>
      </c>
      <c r="H2952" t="s">
        <v>7</v>
      </c>
      <c r="I2952">
        <f>HLOOKUP(G2952,zip_tiers!$A$1:$EON$2,2,FALSE)</f>
        <v>63975.666666666664</v>
      </c>
      <c r="J2952" t="str">
        <f t="shared" si="46"/>
        <v>Med</v>
      </c>
      <c r="K2952">
        <f>dataset[[#This Row],[soda_sales]]/dataset[[#This Row],[soda_units_sold]]</f>
        <v>0.76833762180668952</v>
      </c>
      <c r="L2952" s="29">
        <f>dataset[[#This Row],[implied_soda_ppu]]-dataset[[#This Row],[soda_ppu]]</f>
        <v>3.7621806689536186E-5</v>
      </c>
      <c r="M2952">
        <f>dataset[[#This Row],[soda_sales]]/dataset[[#This Row],[total_sales]]</f>
        <v>4.9561467751525957E-2</v>
      </c>
      <c r="N2952">
        <f>LN(dataset[[#This Row],[soda_units_sold]])</f>
        <v>12.193210278813229</v>
      </c>
      <c r="O2952">
        <f>LN(dataset[[#This Row],[soda_sales]])</f>
        <v>11.9296842481053</v>
      </c>
      <c r="P2952">
        <f>LN(dataset[[#This Row],[soda_ppu]])</f>
        <v>-0.26357499710854781</v>
      </c>
      <c r="Q2952">
        <f>IF(dataset[[#This Row],[state]]="VA",1,0)</f>
        <v>0</v>
      </c>
    </row>
    <row r="2953" spans="1:17" x14ac:dyDescent="0.35">
      <c r="A2953">
        <v>202412</v>
      </c>
      <c r="B2953">
        <v>39</v>
      </c>
      <c r="C2953" s="2">
        <v>3209853.0033999998</v>
      </c>
      <c r="D2953" s="2">
        <v>0.81399999999999995</v>
      </c>
      <c r="E2953" s="3">
        <v>178806</v>
      </c>
      <c r="F2953" s="2">
        <v>145550.71470000001</v>
      </c>
      <c r="G2953" t="s">
        <v>2221</v>
      </c>
      <c r="H2953" t="s">
        <v>7</v>
      </c>
      <c r="I2953">
        <f>HLOOKUP(G2953,zip_tiers!$A$1:$EON$2,2,FALSE)</f>
        <v>63975.666666666664</v>
      </c>
      <c r="J2953" t="str">
        <f t="shared" si="46"/>
        <v>Med</v>
      </c>
      <c r="K2953">
        <f>dataset[[#This Row],[soda_sales]]/dataset[[#This Row],[soda_units_sold]]</f>
        <v>0.81401471259353719</v>
      </c>
      <c r="L2953" s="29">
        <f>dataset[[#This Row],[implied_soda_ppu]]-dataset[[#This Row],[soda_ppu]]</f>
        <v>1.4712593537247187E-5</v>
      </c>
      <c r="M2953">
        <f>dataset[[#This Row],[soda_sales]]/dataset[[#This Row],[total_sales]]</f>
        <v>4.5344978273406007E-2</v>
      </c>
      <c r="N2953">
        <f>LN(dataset[[#This Row],[soda_units_sold]])</f>
        <v>12.094056698205506</v>
      </c>
      <c r="O2953">
        <f>LN(dataset[[#This Row],[soda_sales]])</f>
        <v>11.888279859501804</v>
      </c>
      <c r="P2953">
        <f>LN(dataset[[#This Row],[soda_ppu]])</f>
        <v>-0.20579491297959682</v>
      </c>
      <c r="Q2953">
        <f>IF(dataset[[#This Row],[state]]="VA",1,0)</f>
        <v>0</v>
      </c>
    </row>
    <row r="2954" spans="1:17" x14ac:dyDescent="0.35">
      <c r="A2954">
        <v>202201</v>
      </c>
      <c r="B2954">
        <v>4</v>
      </c>
      <c r="C2954" s="2">
        <v>2355900.9994000001</v>
      </c>
      <c r="D2954" s="2">
        <v>0.61099999999999999</v>
      </c>
      <c r="E2954" s="3">
        <v>154699</v>
      </c>
      <c r="F2954" s="2">
        <v>94517.517500000002</v>
      </c>
      <c r="G2954" t="s">
        <v>191</v>
      </c>
      <c r="H2954" t="s">
        <v>5</v>
      </c>
      <c r="I2954">
        <f>HLOOKUP(G2954,zip_tiers!$A$1:$EON$2,2,FALSE)</f>
        <v>108174.33333333333</v>
      </c>
      <c r="J2954" t="str">
        <f t="shared" si="46"/>
        <v>High</v>
      </c>
      <c r="K2954">
        <f>dataset[[#This Row],[soda_sales]]/dataset[[#This Row],[soda_units_sold]]</f>
        <v>0.61097691323150116</v>
      </c>
      <c r="L2954" s="29">
        <f>dataset[[#This Row],[implied_soda_ppu]]-dataset[[#This Row],[soda_ppu]]</f>
        <v>-2.3086768498825627E-5</v>
      </c>
      <c r="M2954">
        <f>dataset[[#This Row],[soda_sales]]/dataset[[#This Row],[total_sales]]</f>
        <v>4.0119477653802804E-2</v>
      </c>
      <c r="N2954">
        <f>LN(dataset[[#This Row],[soda_units_sold]])</f>
        <v>11.949236572416154</v>
      </c>
      <c r="O2954">
        <f>LN(dataset[[#This Row],[soda_sales]])</f>
        <v>11.456540466673241</v>
      </c>
      <c r="P2954">
        <f>LN(dataset[[#This Row],[soda_ppu]])</f>
        <v>-0.49265831981054176</v>
      </c>
      <c r="Q2954">
        <f>IF(dataset[[#This Row],[state]]="VA",1,0)</f>
        <v>0</v>
      </c>
    </row>
    <row r="2955" spans="1:17" x14ac:dyDescent="0.35">
      <c r="A2955">
        <v>202202</v>
      </c>
      <c r="B2955">
        <v>4</v>
      </c>
      <c r="C2955" s="2">
        <v>2626955.62</v>
      </c>
      <c r="D2955" s="2">
        <v>0.63529999999999998</v>
      </c>
      <c r="E2955" s="3">
        <v>166409</v>
      </c>
      <c r="F2955" s="2">
        <v>105716.9154</v>
      </c>
      <c r="G2955" t="s">
        <v>191</v>
      </c>
      <c r="H2955" t="s">
        <v>5</v>
      </c>
      <c r="I2955">
        <f>HLOOKUP(G2955,zip_tiers!$A$1:$EON$2,2,FALSE)</f>
        <v>108174.33333333333</v>
      </c>
      <c r="J2955" t="str">
        <f t="shared" si="46"/>
        <v>High</v>
      </c>
      <c r="K2955">
        <f>dataset[[#This Row],[soda_sales]]/dataset[[#This Row],[soda_units_sold]]</f>
        <v>0.63528364090884504</v>
      </c>
      <c r="L2955" s="29">
        <f>dataset[[#This Row],[implied_soda_ppu]]-dataset[[#This Row],[soda_ppu]]</f>
        <v>-1.6359091154938277E-5</v>
      </c>
      <c r="M2955">
        <f>dataset[[#This Row],[soda_sales]]/dataset[[#This Row],[total_sales]]</f>
        <v>4.0243129573692603E-2</v>
      </c>
      <c r="N2955">
        <f>LN(dataset[[#This Row],[soda_units_sold]])</f>
        <v>12.022203892445082</v>
      </c>
      <c r="O2955">
        <f>LN(dataset[[#This Row],[soda_sales]])</f>
        <v>11.568520191221056</v>
      </c>
      <c r="P2955">
        <f>LN(dataset[[#This Row],[soda_ppu]])</f>
        <v>-0.45365795070964954</v>
      </c>
      <c r="Q2955">
        <f>IF(dataset[[#This Row],[state]]="VA",1,0)</f>
        <v>0</v>
      </c>
    </row>
    <row r="2956" spans="1:17" x14ac:dyDescent="0.35">
      <c r="A2956">
        <v>202203</v>
      </c>
      <c r="B2956">
        <v>4</v>
      </c>
      <c r="C2956" s="2">
        <v>2899986.9871</v>
      </c>
      <c r="D2956" s="2">
        <v>0.64700000000000002</v>
      </c>
      <c r="E2956" s="3">
        <v>190755</v>
      </c>
      <c r="F2956" s="2">
        <v>123423.9774</v>
      </c>
      <c r="G2956" t="s">
        <v>191</v>
      </c>
      <c r="H2956" t="s">
        <v>5</v>
      </c>
      <c r="I2956">
        <f>HLOOKUP(G2956,zip_tiers!$A$1:$EON$2,2,FALSE)</f>
        <v>108174.33333333333</v>
      </c>
      <c r="J2956" t="str">
        <f t="shared" si="46"/>
        <v>High</v>
      </c>
      <c r="K2956">
        <f>dataset[[#This Row],[soda_sales]]/dataset[[#This Row],[soda_units_sold]]</f>
        <v>0.64702879295431315</v>
      </c>
      <c r="L2956" s="29">
        <f>dataset[[#This Row],[implied_soda_ppu]]-dataset[[#This Row],[soda_ppu]]</f>
        <v>2.8792954313128227E-5</v>
      </c>
      <c r="M2956">
        <f>dataset[[#This Row],[soda_sales]]/dataset[[#This Row],[total_sales]]</f>
        <v>4.2560183183244053E-2</v>
      </c>
      <c r="N2956">
        <f>LN(dataset[[#This Row],[soda_units_sold]])</f>
        <v>12.158745161122956</v>
      </c>
      <c r="O2956">
        <f>LN(dataset[[#This Row],[soda_sales]])</f>
        <v>11.723380677899303</v>
      </c>
      <c r="P2956">
        <f>LN(dataset[[#This Row],[soda_ppu]])</f>
        <v>-0.43540898448123644</v>
      </c>
      <c r="Q2956">
        <f>IF(dataset[[#This Row],[state]]="VA",1,0)</f>
        <v>0</v>
      </c>
    </row>
    <row r="2957" spans="1:17" x14ac:dyDescent="0.35">
      <c r="A2957">
        <v>202204</v>
      </c>
      <c r="B2957">
        <v>4</v>
      </c>
      <c r="C2957" s="2">
        <v>3035344.0734000001</v>
      </c>
      <c r="D2957" s="2">
        <v>0.65339999999999998</v>
      </c>
      <c r="E2957" s="3">
        <v>221681</v>
      </c>
      <c r="F2957" s="2">
        <v>144846.18109999999</v>
      </c>
      <c r="G2957" t="s">
        <v>191</v>
      </c>
      <c r="H2957" t="s">
        <v>5</v>
      </c>
      <c r="I2957">
        <f>HLOOKUP(G2957,zip_tiers!$A$1:$EON$2,2,FALSE)</f>
        <v>108174.33333333333</v>
      </c>
      <c r="J2957" t="str">
        <f t="shared" si="46"/>
        <v>High</v>
      </c>
      <c r="K2957">
        <f>dataset[[#This Row],[soda_sales]]/dataset[[#This Row],[soda_units_sold]]</f>
        <v>0.65339916862518654</v>
      </c>
      <c r="L2957" s="29">
        <f>dataset[[#This Row],[implied_soda_ppu]]-dataset[[#This Row],[soda_ppu]]</f>
        <v>-8.3137481343698028E-7</v>
      </c>
      <c r="M2957">
        <f>dataset[[#This Row],[soda_sales]]/dataset[[#This Row],[total_sales]]</f>
        <v>4.7719855672820798E-2</v>
      </c>
      <c r="N2957">
        <f>LN(dataset[[#This Row],[soda_units_sold]])</f>
        <v>12.308994690533542</v>
      </c>
      <c r="O2957">
        <f>LN(dataset[[#This Row],[soda_sales]])</f>
        <v>11.883427638334931</v>
      </c>
      <c r="P2957">
        <f>LN(dataset[[#This Row],[soda_ppu]])</f>
        <v>-0.4255657798151673</v>
      </c>
      <c r="Q2957">
        <f>IF(dataset[[#This Row],[state]]="VA",1,0)</f>
        <v>0</v>
      </c>
    </row>
    <row r="2958" spans="1:17" x14ac:dyDescent="0.35">
      <c r="A2958">
        <v>202205</v>
      </c>
      <c r="B2958">
        <v>4</v>
      </c>
      <c r="C2958" s="2">
        <v>3238806.1036</v>
      </c>
      <c r="D2958" s="2">
        <v>0.64190000000000003</v>
      </c>
      <c r="E2958" s="3">
        <v>247153</v>
      </c>
      <c r="F2958" s="2">
        <v>158642.11559999999</v>
      </c>
      <c r="G2958" t="s">
        <v>191</v>
      </c>
      <c r="H2958" t="s">
        <v>5</v>
      </c>
      <c r="I2958">
        <f>HLOOKUP(G2958,zip_tiers!$A$1:$EON$2,2,FALSE)</f>
        <v>108174.33333333333</v>
      </c>
      <c r="J2958" t="str">
        <f t="shared" si="46"/>
        <v>High</v>
      </c>
      <c r="K2958">
        <f>dataset[[#This Row],[soda_sales]]/dataset[[#This Row],[soda_units_sold]]</f>
        <v>0.6418781710114787</v>
      </c>
      <c r="L2958" s="29">
        <f>dataset[[#This Row],[implied_soda_ppu]]-dataset[[#This Row],[soda_ppu]]</f>
        <v>-2.1828988521321868E-5</v>
      </c>
      <c r="M2958">
        <f>dataset[[#This Row],[soda_sales]]/dataset[[#This Row],[total_sales]]</f>
        <v>4.8981665010346252E-2</v>
      </c>
      <c r="N2958">
        <f>LN(dataset[[#This Row],[soda_units_sold]])</f>
        <v>12.417762857038939</v>
      </c>
      <c r="O2958">
        <f>LN(dataset[[#This Row],[soda_sales]])</f>
        <v>11.974406098959522</v>
      </c>
      <c r="P2958">
        <f>LN(dataset[[#This Row],[soda_ppu]])</f>
        <v>-0.44332275066440452</v>
      </c>
      <c r="Q2958">
        <f>IF(dataset[[#This Row],[state]]="VA",1,0)</f>
        <v>0</v>
      </c>
    </row>
    <row r="2959" spans="1:17" x14ac:dyDescent="0.35">
      <c r="A2959">
        <v>202206</v>
      </c>
      <c r="B2959">
        <v>4</v>
      </c>
      <c r="C2959" s="2">
        <v>3064833.3969000001</v>
      </c>
      <c r="D2959" s="2">
        <v>0.6663</v>
      </c>
      <c r="E2959" s="3">
        <v>256001</v>
      </c>
      <c r="F2959" s="2">
        <v>170582.79990000001</v>
      </c>
      <c r="G2959" t="s">
        <v>191</v>
      </c>
      <c r="H2959" t="s">
        <v>5</v>
      </c>
      <c r="I2959">
        <f>HLOOKUP(G2959,zip_tiers!$A$1:$EON$2,2,FALSE)</f>
        <v>108174.33333333333</v>
      </c>
      <c r="J2959" t="str">
        <f t="shared" si="46"/>
        <v>High</v>
      </c>
      <c r="K2959">
        <f>dataset[[#This Row],[soda_sales]]/dataset[[#This Row],[soda_units_sold]]</f>
        <v>0.66633645923258122</v>
      </c>
      <c r="L2959" s="29">
        <f>dataset[[#This Row],[implied_soda_ppu]]-dataset[[#This Row],[soda_ppu]]</f>
        <v>3.6459232581220746E-5</v>
      </c>
      <c r="M2959">
        <f>dataset[[#This Row],[soda_sales]]/dataset[[#This Row],[total_sales]]</f>
        <v>5.565809876404379E-2</v>
      </c>
      <c r="N2959">
        <f>LN(dataset[[#This Row],[soda_units_sold]])</f>
        <v>12.45293662970407</v>
      </c>
      <c r="O2959">
        <f>LN(dataset[[#This Row],[soda_sales]])</f>
        <v>12.046976087737688</v>
      </c>
      <c r="P2959">
        <f>LN(dataset[[#This Row],[soda_ppu]])</f>
        <v>-0.40601525941364558</v>
      </c>
      <c r="Q2959">
        <f>IF(dataset[[#This Row],[state]]="VA",1,0)</f>
        <v>0</v>
      </c>
    </row>
    <row r="2960" spans="1:17" x14ac:dyDescent="0.35">
      <c r="A2960">
        <v>202207</v>
      </c>
      <c r="B2960">
        <v>4</v>
      </c>
      <c r="C2960" s="2">
        <v>2927792.5691</v>
      </c>
      <c r="D2960" s="2">
        <v>0.64549999999999996</v>
      </c>
      <c r="E2960" s="3">
        <v>269013</v>
      </c>
      <c r="F2960" s="2">
        <v>173650.7941</v>
      </c>
      <c r="G2960" t="s">
        <v>191</v>
      </c>
      <c r="H2960" t="s">
        <v>5</v>
      </c>
      <c r="I2960">
        <f>HLOOKUP(G2960,zip_tiers!$A$1:$EON$2,2,FALSE)</f>
        <v>108174.33333333333</v>
      </c>
      <c r="J2960" t="str">
        <f t="shared" si="46"/>
        <v>High</v>
      </c>
      <c r="K2960">
        <f>dataset[[#This Row],[soda_sales]]/dataset[[#This Row],[soda_units_sold]]</f>
        <v>0.6455107898131317</v>
      </c>
      <c r="L2960" s="29">
        <f>dataset[[#This Row],[implied_soda_ppu]]-dataset[[#This Row],[soda_ppu]]</f>
        <v>1.0789813131739656E-5</v>
      </c>
      <c r="M2960">
        <f>dataset[[#This Row],[soda_sales]]/dataset[[#This Row],[total_sales]]</f>
        <v>5.9311167031679449E-2</v>
      </c>
      <c r="N2960">
        <f>LN(dataset[[#This Row],[soda_units_sold]])</f>
        <v>12.502514984553804</v>
      </c>
      <c r="O2960">
        <f>LN(dataset[[#This Row],[soda_sales]])</f>
        <v>12.064801631153413</v>
      </c>
      <c r="P2960">
        <f>LN(dataset[[#This Row],[soda_ppu]])</f>
        <v>-0.4377300686954399</v>
      </c>
      <c r="Q2960">
        <f>IF(dataset[[#This Row],[state]]="VA",1,0)</f>
        <v>0</v>
      </c>
    </row>
    <row r="2961" spans="1:17" x14ac:dyDescent="0.35">
      <c r="A2961">
        <v>202208</v>
      </c>
      <c r="B2961">
        <v>4</v>
      </c>
      <c r="C2961" s="2">
        <v>2780943.5641999999</v>
      </c>
      <c r="D2961" s="2">
        <v>0.64429999999999998</v>
      </c>
      <c r="E2961" s="3">
        <v>234947</v>
      </c>
      <c r="F2961" s="2">
        <v>151370.56570000001</v>
      </c>
      <c r="G2961" t="s">
        <v>191</v>
      </c>
      <c r="H2961" t="s">
        <v>5</v>
      </c>
      <c r="I2961">
        <f>HLOOKUP(G2961,zip_tiers!$A$1:$EON$2,2,FALSE)</f>
        <v>108174.33333333333</v>
      </c>
      <c r="J2961" t="str">
        <f t="shared" si="46"/>
        <v>High</v>
      </c>
      <c r="K2961">
        <f>dataset[[#This Row],[soda_sales]]/dataset[[#This Row],[soda_units_sold]]</f>
        <v>0.6442753714667564</v>
      </c>
      <c r="L2961" s="29">
        <f>dataset[[#This Row],[implied_soda_ppu]]-dataset[[#This Row],[soda_ppu]]</f>
        <v>-2.4628533243586936E-5</v>
      </c>
      <c r="M2961">
        <f>dataset[[#This Row],[soda_sales]]/dataset[[#This Row],[total_sales]]</f>
        <v>5.4431369139828302E-2</v>
      </c>
      <c r="N2961">
        <f>LN(dataset[[#This Row],[soda_units_sold]])</f>
        <v>12.367115235775255</v>
      </c>
      <c r="O2961">
        <f>LN(dataset[[#This Row],[soda_sales]])</f>
        <v>11.927486186949865</v>
      </c>
      <c r="P2961">
        <f>LN(dataset[[#This Row],[soda_ppu]])</f>
        <v>-0.43959082283754031</v>
      </c>
      <c r="Q2961">
        <f>IF(dataset[[#This Row],[state]]="VA",1,0)</f>
        <v>0</v>
      </c>
    </row>
    <row r="2962" spans="1:17" x14ac:dyDescent="0.35">
      <c r="A2962">
        <v>202209</v>
      </c>
      <c r="B2962">
        <v>4</v>
      </c>
      <c r="C2962" s="2">
        <v>2779739.8276</v>
      </c>
      <c r="D2962" s="2">
        <v>0.62290000000000001</v>
      </c>
      <c r="E2962" s="3">
        <v>226241</v>
      </c>
      <c r="F2962" s="2">
        <v>140918.49479999999</v>
      </c>
      <c r="G2962" t="s">
        <v>191</v>
      </c>
      <c r="H2962" t="s">
        <v>5</v>
      </c>
      <c r="I2962">
        <f>HLOOKUP(G2962,zip_tiers!$A$1:$EON$2,2,FALSE)</f>
        <v>108174.33333333333</v>
      </c>
      <c r="J2962" t="str">
        <f t="shared" si="46"/>
        <v>High</v>
      </c>
      <c r="K2962">
        <f>dataset[[#This Row],[soda_sales]]/dataset[[#This Row],[soda_units_sold]]</f>
        <v>0.62286895301912559</v>
      </c>
      <c r="L2962" s="29">
        <f>dataset[[#This Row],[implied_soda_ppu]]-dataset[[#This Row],[soda_ppu]]</f>
        <v>-3.1046980874416263E-5</v>
      </c>
      <c r="M2962">
        <f>dataset[[#This Row],[soda_sales]]/dataset[[#This Row],[total_sales]]</f>
        <v>5.0694850431980042E-2</v>
      </c>
      <c r="N2962">
        <f>LN(dataset[[#This Row],[soda_units_sold]])</f>
        <v>12.329356081765441</v>
      </c>
      <c r="O2962">
        <f>LN(dataset[[#This Row],[soda_sales]])</f>
        <v>11.855936951160547</v>
      </c>
      <c r="P2962">
        <f>LN(dataset[[#This Row],[soda_ppu]])</f>
        <v>-0.47336928672203721</v>
      </c>
      <c r="Q2962">
        <f>IF(dataset[[#This Row],[state]]="VA",1,0)</f>
        <v>0</v>
      </c>
    </row>
    <row r="2963" spans="1:17" x14ac:dyDescent="0.35">
      <c r="A2963">
        <v>202210</v>
      </c>
      <c r="B2963">
        <v>4</v>
      </c>
      <c r="C2963" s="2">
        <v>3421854.145</v>
      </c>
      <c r="D2963" s="2">
        <v>0.66379999999999995</v>
      </c>
      <c r="E2963" s="3">
        <v>211301</v>
      </c>
      <c r="F2963" s="2">
        <v>140252.96189999999</v>
      </c>
      <c r="G2963" t="s">
        <v>191</v>
      </c>
      <c r="H2963" t="s">
        <v>5</v>
      </c>
      <c r="I2963">
        <f>HLOOKUP(G2963,zip_tiers!$A$1:$EON$2,2,FALSE)</f>
        <v>108174.33333333333</v>
      </c>
      <c r="J2963" t="str">
        <f t="shared" si="46"/>
        <v>High</v>
      </c>
      <c r="K2963">
        <f>dataset[[#This Row],[soda_sales]]/dataset[[#This Row],[soda_units_sold]]</f>
        <v>0.66375910147136075</v>
      </c>
      <c r="L2963" s="29">
        <f>dataset[[#This Row],[implied_soda_ppu]]-dataset[[#This Row],[soda_ppu]]</f>
        <v>-4.0898528639199405E-5</v>
      </c>
      <c r="M2963">
        <f>dataset[[#This Row],[soda_sales]]/dataset[[#This Row],[total_sales]]</f>
        <v>4.098741675034194E-2</v>
      </c>
      <c r="N2963">
        <f>LN(dataset[[#This Row],[soda_units_sold]])</f>
        <v>12.261038936200617</v>
      </c>
      <c r="O2963">
        <f>LN(dataset[[#This Row],[soda_sales]])</f>
        <v>11.851202941878523</v>
      </c>
      <c r="P2963">
        <f>LN(dataset[[#This Row],[soda_ppu]])</f>
        <v>-0.4097743796962629</v>
      </c>
      <c r="Q2963">
        <f>IF(dataset[[#This Row],[state]]="VA",1,0)</f>
        <v>0</v>
      </c>
    </row>
    <row r="2964" spans="1:17" x14ac:dyDescent="0.35">
      <c r="A2964">
        <v>202211</v>
      </c>
      <c r="B2964">
        <v>4</v>
      </c>
      <c r="C2964" s="2">
        <v>3901767.2747999998</v>
      </c>
      <c r="D2964" s="2">
        <v>0.65269999999999995</v>
      </c>
      <c r="E2964" s="3">
        <v>204015</v>
      </c>
      <c r="F2964" s="2">
        <v>133152.98699999999</v>
      </c>
      <c r="G2964" t="s">
        <v>191</v>
      </c>
      <c r="H2964" t="s">
        <v>5</v>
      </c>
      <c r="I2964">
        <f>HLOOKUP(G2964,zip_tiers!$A$1:$EON$2,2,FALSE)</f>
        <v>108174.33333333333</v>
      </c>
      <c r="J2964" t="str">
        <f t="shared" si="46"/>
        <v>High</v>
      </c>
      <c r="K2964">
        <f>dataset[[#This Row],[soda_sales]]/dataset[[#This Row],[soda_units_sold]]</f>
        <v>0.65266273068156755</v>
      </c>
      <c r="L2964" s="29">
        <f>dataset[[#This Row],[implied_soda_ppu]]-dataset[[#This Row],[soda_ppu]]</f>
        <v>-3.7269318432398002E-5</v>
      </c>
      <c r="M2964">
        <f>dataset[[#This Row],[soda_sales]]/dataset[[#This Row],[total_sales]]</f>
        <v>3.4126327282506939E-2</v>
      </c>
      <c r="N2964">
        <f>LN(dataset[[#This Row],[soda_units_sold]])</f>
        <v>12.225948799534963</v>
      </c>
      <c r="O2964">
        <f>LN(dataset[[#This Row],[soda_sales]])</f>
        <v>11.799254024336305</v>
      </c>
      <c r="P2964">
        <f>LN(dataset[[#This Row],[soda_ppu]])</f>
        <v>-0.42663767334096542</v>
      </c>
      <c r="Q2964">
        <f>IF(dataset[[#This Row],[state]]="VA",1,0)</f>
        <v>0</v>
      </c>
    </row>
    <row r="2965" spans="1:17" x14ac:dyDescent="0.35">
      <c r="A2965">
        <v>202212</v>
      </c>
      <c r="B2965">
        <v>4</v>
      </c>
      <c r="C2965" s="2">
        <v>4059651.6214999999</v>
      </c>
      <c r="D2965" s="2">
        <v>0.6159</v>
      </c>
      <c r="E2965" s="3">
        <v>204808</v>
      </c>
      <c r="F2965" s="2">
        <v>126147.9213</v>
      </c>
      <c r="G2965" t="s">
        <v>191</v>
      </c>
      <c r="H2965" t="s">
        <v>5</v>
      </c>
      <c r="I2965">
        <f>HLOOKUP(G2965,zip_tiers!$A$1:$EON$2,2,FALSE)</f>
        <v>108174.33333333333</v>
      </c>
      <c r="J2965" t="str">
        <f t="shared" si="46"/>
        <v>High</v>
      </c>
      <c r="K2965">
        <f>dataset[[#This Row],[soda_sales]]/dataset[[#This Row],[soda_units_sold]]</f>
        <v>0.61593258710597243</v>
      </c>
      <c r="L2965" s="29">
        <f>dataset[[#This Row],[implied_soda_ppu]]-dataset[[#This Row],[soda_ppu]]</f>
        <v>3.2587105972425867E-5</v>
      </c>
      <c r="M2965">
        <f>dataset[[#This Row],[soda_sales]]/dataset[[#This Row],[total_sales]]</f>
        <v>3.1073582923204043E-2</v>
      </c>
      <c r="N2965">
        <f>LN(dataset[[#This Row],[soda_units_sold]])</f>
        <v>12.22982823388457</v>
      </c>
      <c r="O2965">
        <f>LN(dataset[[#This Row],[soda_sales]])</f>
        <v>11.745210475931062</v>
      </c>
      <c r="P2965">
        <f>LN(dataset[[#This Row],[soda_ppu]])</f>
        <v>-0.48467066628913946</v>
      </c>
      <c r="Q2965">
        <f>IF(dataset[[#This Row],[state]]="VA",1,0)</f>
        <v>0</v>
      </c>
    </row>
    <row r="2966" spans="1:17" x14ac:dyDescent="0.35">
      <c r="A2966">
        <v>202301</v>
      </c>
      <c r="B2966">
        <v>4</v>
      </c>
      <c r="C2966" s="2">
        <v>2307593.4177000001</v>
      </c>
      <c r="D2966" s="2">
        <v>0.67459999999999998</v>
      </c>
      <c r="E2966" s="3">
        <v>141425</v>
      </c>
      <c r="F2966" s="2">
        <v>95403.019400000005</v>
      </c>
      <c r="G2966" t="s">
        <v>191</v>
      </c>
      <c r="H2966" t="s">
        <v>5</v>
      </c>
      <c r="I2966">
        <f>HLOOKUP(G2966,zip_tiers!$A$1:$EON$2,2,FALSE)</f>
        <v>108174.33333333333</v>
      </c>
      <c r="J2966" t="str">
        <f t="shared" si="46"/>
        <v>High</v>
      </c>
      <c r="K2966">
        <f>dataset[[#This Row],[soda_sales]]/dataset[[#This Row],[soda_units_sold]]</f>
        <v>0.67458383878380768</v>
      </c>
      <c r="L2966" s="29">
        <f>dataset[[#This Row],[implied_soda_ppu]]-dataset[[#This Row],[soda_ppu]]</f>
        <v>-1.616121619230082E-5</v>
      </c>
      <c r="M2966">
        <f>dataset[[#This Row],[soda_sales]]/dataset[[#This Row],[total_sales]]</f>
        <v>4.1343080053976355E-2</v>
      </c>
      <c r="N2966">
        <f>LN(dataset[[#This Row],[soda_units_sold]])</f>
        <v>11.859524820211357</v>
      </c>
      <c r="O2966">
        <f>LN(dataset[[#This Row],[soda_sales]])</f>
        <v>11.465865506830708</v>
      </c>
      <c r="P2966">
        <f>LN(dataset[[#This Row],[soda_ppu]])</f>
        <v>-0.39363535635458724</v>
      </c>
      <c r="Q2966">
        <f>IF(dataset[[#This Row],[state]]="VA",1,0)</f>
        <v>0</v>
      </c>
    </row>
    <row r="2967" spans="1:17" x14ac:dyDescent="0.35">
      <c r="A2967">
        <v>202302</v>
      </c>
      <c r="B2967">
        <v>4</v>
      </c>
      <c r="C2967" s="2">
        <v>2636052.4871</v>
      </c>
      <c r="D2967" s="2">
        <v>0.67020000000000002</v>
      </c>
      <c r="E2967" s="3">
        <v>162344</v>
      </c>
      <c r="F2967" s="2">
        <v>108798.442</v>
      </c>
      <c r="G2967" t="s">
        <v>191</v>
      </c>
      <c r="H2967" t="s">
        <v>5</v>
      </c>
      <c r="I2967">
        <f>HLOOKUP(G2967,zip_tiers!$A$1:$EON$2,2,FALSE)</f>
        <v>108174.33333333333</v>
      </c>
      <c r="J2967" t="str">
        <f t="shared" si="46"/>
        <v>High</v>
      </c>
      <c r="K2967">
        <f>dataset[[#This Row],[soda_sales]]/dataset[[#This Row],[soda_units_sold]]</f>
        <v>0.67017223919578173</v>
      </c>
      <c r="L2967" s="29">
        <f>dataset[[#This Row],[implied_soda_ppu]]-dataset[[#This Row],[soda_ppu]]</f>
        <v>-2.7760804218290858E-5</v>
      </c>
      <c r="M2967">
        <f>dataset[[#This Row],[soda_sales]]/dataset[[#This Row],[total_sales]]</f>
        <v>4.1273245708279657E-2</v>
      </c>
      <c r="N2967">
        <f>LN(dataset[[#This Row],[soda_units_sold]])</f>
        <v>11.997472819656805</v>
      </c>
      <c r="O2967">
        <f>LN(dataset[[#This Row],[soda_sales]])</f>
        <v>11.597252293448507</v>
      </c>
      <c r="P2967">
        <f>LN(dataset[[#This Row],[soda_ppu]])</f>
        <v>-0.40017910367892701</v>
      </c>
      <c r="Q2967">
        <f>IF(dataset[[#This Row],[state]]="VA",1,0)</f>
        <v>0</v>
      </c>
    </row>
    <row r="2968" spans="1:17" x14ac:dyDescent="0.35">
      <c r="A2968">
        <v>202303</v>
      </c>
      <c r="B2968">
        <v>4</v>
      </c>
      <c r="C2968" s="2">
        <v>2985597.8843</v>
      </c>
      <c r="D2968" s="2">
        <v>0.63829999999999998</v>
      </c>
      <c r="E2968" s="3">
        <v>194849</v>
      </c>
      <c r="F2968" s="2">
        <v>124371.967</v>
      </c>
      <c r="G2968" t="s">
        <v>191</v>
      </c>
      <c r="H2968" t="s">
        <v>5</v>
      </c>
      <c r="I2968">
        <f>HLOOKUP(G2968,zip_tiers!$A$1:$EON$2,2,FALSE)</f>
        <v>108174.33333333333</v>
      </c>
      <c r="J2968" t="str">
        <f t="shared" si="46"/>
        <v>High</v>
      </c>
      <c r="K2968">
        <f>dataset[[#This Row],[soda_sales]]/dataset[[#This Row],[soda_units_sold]]</f>
        <v>0.63829923171276226</v>
      </c>
      <c r="L2968" s="29">
        <f>dataset[[#This Row],[implied_soda_ppu]]-dataset[[#This Row],[soda_ppu]]</f>
        <v>-7.6828723771793506E-7</v>
      </c>
      <c r="M2968">
        <f>dataset[[#This Row],[soda_sales]]/dataset[[#This Row],[total_sales]]</f>
        <v>4.1657306784017939E-2</v>
      </c>
      <c r="N2968">
        <f>LN(dataset[[#This Row],[soda_units_sold]])</f>
        <v>12.179980178600747</v>
      </c>
      <c r="O2968">
        <f>LN(dataset[[#This Row],[soda_sales]])</f>
        <v>11.731032088233905</v>
      </c>
      <c r="P2968">
        <f>LN(dataset[[#This Row],[soda_ppu]])</f>
        <v>-0.44894688672012545</v>
      </c>
      <c r="Q2968">
        <f>IF(dataset[[#This Row],[state]]="VA",1,0)</f>
        <v>0</v>
      </c>
    </row>
    <row r="2969" spans="1:17" x14ac:dyDescent="0.35">
      <c r="A2969">
        <v>202304</v>
      </c>
      <c r="B2969">
        <v>4</v>
      </c>
      <c r="C2969" s="2">
        <v>3092035.1627000002</v>
      </c>
      <c r="D2969" s="2">
        <v>0.6552</v>
      </c>
      <c r="E2969" s="3">
        <v>223047</v>
      </c>
      <c r="F2969" s="2">
        <v>146151.07939999999</v>
      </c>
      <c r="G2969" t="s">
        <v>191</v>
      </c>
      <c r="H2969" t="s">
        <v>5</v>
      </c>
      <c r="I2969">
        <f>HLOOKUP(G2969,zip_tiers!$A$1:$EON$2,2,FALSE)</f>
        <v>108174.33333333333</v>
      </c>
      <c r="J2969" t="str">
        <f t="shared" si="46"/>
        <v>High</v>
      </c>
      <c r="K2969">
        <f>dataset[[#This Row],[soda_sales]]/dataset[[#This Row],[soda_units_sold]]</f>
        <v>0.65524790470169958</v>
      </c>
      <c r="L2969" s="29">
        <f>dataset[[#This Row],[implied_soda_ppu]]-dataset[[#This Row],[soda_ppu]]</f>
        <v>4.7904701699574836E-5</v>
      </c>
      <c r="M2969">
        <f>dataset[[#This Row],[soda_sales]]/dataset[[#This Row],[total_sales]]</f>
        <v>4.7266952576431633E-2</v>
      </c>
      <c r="N2969">
        <f>LN(dataset[[#This Row],[soda_units_sold]])</f>
        <v>12.315137790566835</v>
      </c>
      <c r="O2969">
        <f>LN(dataset[[#This Row],[soda_sales]])</f>
        <v>11.892396156074897</v>
      </c>
      <c r="P2969">
        <f>LN(dataset[[#This Row],[soda_ppu]])</f>
        <v>-0.42281474644327738</v>
      </c>
      <c r="Q2969">
        <f>IF(dataset[[#This Row],[state]]="VA",1,0)</f>
        <v>0</v>
      </c>
    </row>
    <row r="2970" spans="1:17" x14ac:dyDescent="0.35">
      <c r="A2970">
        <v>202305</v>
      </c>
      <c r="B2970">
        <v>4</v>
      </c>
      <c r="C2970" s="2">
        <v>3308707.2637</v>
      </c>
      <c r="D2970" s="2">
        <v>0.65049999999999997</v>
      </c>
      <c r="E2970" s="3">
        <v>251348</v>
      </c>
      <c r="F2970" s="2">
        <v>163504.51569999999</v>
      </c>
      <c r="G2970" t="s">
        <v>191</v>
      </c>
      <c r="H2970" t="s">
        <v>5</v>
      </c>
      <c r="I2970">
        <f>HLOOKUP(G2970,zip_tiers!$A$1:$EON$2,2,FALSE)</f>
        <v>108174.33333333333</v>
      </c>
      <c r="J2970" t="str">
        <f t="shared" si="46"/>
        <v>High</v>
      </c>
      <c r="K2970">
        <f>dataset[[#This Row],[soda_sales]]/dataset[[#This Row],[soda_units_sold]]</f>
        <v>0.65051051012938232</v>
      </c>
      <c r="L2970" s="29">
        <f>dataset[[#This Row],[implied_soda_ppu]]-dataset[[#This Row],[soda_ppu]]</f>
        <v>1.0510129382357292E-5</v>
      </c>
      <c r="M2970">
        <f>dataset[[#This Row],[soda_sales]]/dataset[[#This Row],[total_sales]]</f>
        <v>4.9416434476938033E-2</v>
      </c>
      <c r="N2970">
        <f>LN(dataset[[#This Row],[soda_units_sold]])</f>
        <v>12.434593712057037</v>
      </c>
      <c r="O2970">
        <f>LN(dataset[[#This Row],[soda_sales]])</f>
        <v>12.004595887898294</v>
      </c>
      <c r="P2970">
        <f>LN(dataset[[#This Row],[soda_ppu]])</f>
        <v>-0.43001398102957716</v>
      </c>
      <c r="Q2970">
        <f>IF(dataset[[#This Row],[state]]="VA",1,0)</f>
        <v>0</v>
      </c>
    </row>
    <row r="2971" spans="1:17" x14ac:dyDescent="0.35">
      <c r="A2971">
        <v>202306</v>
      </c>
      <c r="B2971">
        <v>4</v>
      </c>
      <c r="C2971" s="2">
        <v>3102060.3143000002</v>
      </c>
      <c r="D2971" s="2">
        <v>0.65349999999999997</v>
      </c>
      <c r="E2971" s="3">
        <v>255604</v>
      </c>
      <c r="F2971" s="2">
        <v>167045.3198</v>
      </c>
      <c r="G2971" t="s">
        <v>191</v>
      </c>
      <c r="H2971" t="s">
        <v>5</v>
      </c>
      <c r="I2971">
        <f>HLOOKUP(G2971,zip_tiers!$A$1:$EON$2,2,FALSE)</f>
        <v>108174.33333333333</v>
      </c>
      <c r="J2971" t="str">
        <f t="shared" si="46"/>
        <v>High</v>
      </c>
      <c r="K2971">
        <f>dataset[[#This Row],[soda_sales]]/dataset[[#This Row],[soda_units_sold]]</f>
        <v>0.65353171233627017</v>
      </c>
      <c r="L2971" s="29">
        <f>dataset[[#This Row],[implied_soda_ppu]]-dataset[[#This Row],[soda_ppu]]</f>
        <v>3.1712336270195429E-5</v>
      </c>
      <c r="M2971">
        <f>dataset[[#This Row],[soda_sales]]/dataset[[#This Row],[total_sales]]</f>
        <v>5.3849797513590529E-2</v>
      </c>
      <c r="N2971">
        <f>LN(dataset[[#This Row],[soda_units_sold]])</f>
        <v>12.451384650815335</v>
      </c>
      <c r="O2971">
        <f>LN(dataset[[#This Row],[soda_sales]])</f>
        <v>12.026020430630977</v>
      </c>
      <c r="P2971">
        <f>LN(dataset[[#This Row],[soda_ppu]])</f>
        <v>-0.42541274591786044</v>
      </c>
      <c r="Q2971">
        <f>IF(dataset[[#This Row],[state]]="VA",1,0)</f>
        <v>0</v>
      </c>
    </row>
    <row r="2972" spans="1:17" x14ac:dyDescent="0.35">
      <c r="A2972">
        <v>202307</v>
      </c>
      <c r="B2972">
        <v>4</v>
      </c>
      <c r="C2972" s="2">
        <v>3006661.2055000002</v>
      </c>
      <c r="D2972" s="2">
        <v>0.65100000000000002</v>
      </c>
      <c r="E2972" s="3">
        <v>270123</v>
      </c>
      <c r="F2972" s="2">
        <v>175844.98329999999</v>
      </c>
      <c r="G2972" t="s">
        <v>191</v>
      </c>
      <c r="H2972" t="s">
        <v>5</v>
      </c>
      <c r="I2972">
        <f>HLOOKUP(G2972,zip_tiers!$A$1:$EON$2,2,FALSE)</f>
        <v>108174.33333333333</v>
      </c>
      <c r="J2972" t="str">
        <f t="shared" si="46"/>
        <v>High</v>
      </c>
      <c r="K2972">
        <f>dataset[[#This Row],[soda_sales]]/dataset[[#This Row],[soda_units_sold]]</f>
        <v>0.65098115784290855</v>
      </c>
      <c r="L2972" s="29">
        <f>dataset[[#This Row],[implied_soda_ppu]]-dataset[[#This Row],[soda_ppu]]</f>
        <v>-1.8842157091469858E-5</v>
      </c>
      <c r="M2972">
        <f>dataset[[#This Row],[soda_sales]]/dataset[[#This Row],[total_sales]]</f>
        <v>5.8485133934721927E-2</v>
      </c>
      <c r="N2972">
        <f>LN(dataset[[#This Row],[soda_units_sold]])</f>
        <v>12.506632689802139</v>
      </c>
      <c r="O2972">
        <f>LN(dataset[[#This Row],[soda_sales]])</f>
        <v>12.077358109204031</v>
      </c>
      <c r="P2972">
        <f>LN(dataset[[#This Row],[soda_ppu]])</f>
        <v>-0.42924563677356775</v>
      </c>
      <c r="Q2972">
        <f>IF(dataset[[#This Row],[state]]="VA",1,0)</f>
        <v>0</v>
      </c>
    </row>
    <row r="2973" spans="1:17" x14ac:dyDescent="0.35">
      <c r="A2973">
        <v>202308</v>
      </c>
      <c r="B2973">
        <v>4</v>
      </c>
      <c r="C2973" s="2">
        <v>2804749.9056000002</v>
      </c>
      <c r="D2973" s="2">
        <v>0.6774</v>
      </c>
      <c r="E2973" s="3">
        <v>227083</v>
      </c>
      <c r="F2973" s="2">
        <v>153818.55360000001</v>
      </c>
      <c r="G2973" t="s">
        <v>191</v>
      </c>
      <c r="H2973" t="s">
        <v>5</v>
      </c>
      <c r="I2973">
        <f>HLOOKUP(G2973,zip_tiers!$A$1:$EON$2,2,FALSE)</f>
        <v>108174.33333333333</v>
      </c>
      <c r="J2973" t="str">
        <f t="shared" si="46"/>
        <v>High</v>
      </c>
      <c r="K2973">
        <f>dataset[[#This Row],[soda_sales]]/dataset[[#This Row],[soda_units_sold]]</f>
        <v>0.67736710189666338</v>
      </c>
      <c r="L2973" s="29">
        <f>dataset[[#This Row],[implied_soda_ppu]]-dataset[[#This Row],[soda_ppu]]</f>
        <v>-3.2898103336620466E-5</v>
      </c>
      <c r="M2973">
        <f>dataset[[#This Row],[soda_sales]]/dataset[[#This Row],[total_sales]]</f>
        <v>5.4842163749746063E-2</v>
      </c>
      <c r="N2973">
        <f>LN(dataset[[#This Row],[soda_units_sold]])</f>
        <v>12.333070868400496</v>
      </c>
      <c r="O2973">
        <f>LN(dataset[[#This Row],[soda_sales]])</f>
        <v>11.943528963368291</v>
      </c>
      <c r="P2973">
        <f>LN(dataset[[#This Row],[soda_ppu]])</f>
        <v>-0.38949333859846569</v>
      </c>
      <c r="Q2973">
        <f>IF(dataset[[#This Row],[state]]="VA",1,0)</f>
        <v>0</v>
      </c>
    </row>
    <row r="2974" spans="1:17" x14ac:dyDescent="0.35">
      <c r="A2974">
        <v>202309</v>
      </c>
      <c r="B2974">
        <v>4</v>
      </c>
      <c r="C2974" s="2">
        <v>2799982.7122999998</v>
      </c>
      <c r="D2974" s="2">
        <v>0.66959999999999997</v>
      </c>
      <c r="E2974" s="3">
        <v>215815</v>
      </c>
      <c r="F2974" s="2">
        <v>144505.48629999999</v>
      </c>
      <c r="G2974" t="s">
        <v>191</v>
      </c>
      <c r="H2974" t="s">
        <v>5</v>
      </c>
      <c r="I2974">
        <f>HLOOKUP(G2974,zip_tiers!$A$1:$EON$2,2,FALSE)</f>
        <v>108174.33333333333</v>
      </c>
      <c r="J2974" t="str">
        <f t="shared" si="46"/>
        <v>High</v>
      </c>
      <c r="K2974">
        <f>dataset[[#This Row],[soda_sales]]/dataset[[#This Row],[soda_units_sold]]</f>
        <v>0.66958036420082012</v>
      </c>
      <c r="L2974" s="29">
        <f>dataset[[#This Row],[implied_soda_ppu]]-dataset[[#This Row],[soda_ppu]]</f>
        <v>-1.9635799179851254E-5</v>
      </c>
      <c r="M2974">
        <f>dataset[[#This Row],[soda_sales]]/dataset[[#This Row],[total_sales]]</f>
        <v>5.1609420895780578E-2</v>
      </c>
      <c r="N2974">
        <f>LN(dataset[[#This Row],[soda_units_sold]])</f>
        <v>12.282176838194994</v>
      </c>
      <c r="O2974">
        <f>LN(dataset[[#This Row],[soda_sales]])</f>
        <v>11.881072753287926</v>
      </c>
      <c r="P2974">
        <f>LN(dataset[[#This Row],[soda_ppu]])</f>
        <v>-0.40107475980687152</v>
      </c>
      <c r="Q2974">
        <f>IF(dataset[[#This Row],[state]]="VA",1,0)</f>
        <v>0</v>
      </c>
    </row>
    <row r="2975" spans="1:17" x14ac:dyDescent="0.35">
      <c r="A2975">
        <v>202310</v>
      </c>
      <c r="B2975">
        <v>4</v>
      </c>
      <c r="C2975" s="2">
        <v>3450747.9257999999</v>
      </c>
      <c r="D2975" s="2">
        <v>0.65280000000000005</v>
      </c>
      <c r="E2975" s="3">
        <v>213901</v>
      </c>
      <c r="F2975" s="2">
        <v>139642.1931</v>
      </c>
      <c r="G2975" t="s">
        <v>191</v>
      </c>
      <c r="H2975" t="s">
        <v>5</v>
      </c>
      <c r="I2975">
        <f>HLOOKUP(G2975,zip_tiers!$A$1:$EON$2,2,FALSE)</f>
        <v>108174.33333333333</v>
      </c>
      <c r="J2975" t="str">
        <f t="shared" si="46"/>
        <v>High</v>
      </c>
      <c r="K2975">
        <f>dataset[[#This Row],[soda_sales]]/dataset[[#This Row],[soda_units_sold]]</f>
        <v>0.65283562535939521</v>
      </c>
      <c r="L2975" s="29">
        <f>dataset[[#This Row],[implied_soda_ppu]]-dataset[[#This Row],[soda_ppu]]</f>
        <v>3.5625359395163869E-5</v>
      </c>
      <c r="M2975">
        <f>dataset[[#This Row],[soda_sales]]/dataset[[#This Row],[total_sales]]</f>
        <v>4.0467225106750222E-2</v>
      </c>
      <c r="N2975">
        <f>LN(dataset[[#This Row],[soda_units_sold]])</f>
        <v>12.273268570141383</v>
      </c>
      <c r="O2975">
        <f>LN(dataset[[#This Row],[soda_sales]])</f>
        <v>11.84683866648092</v>
      </c>
      <c r="P2975">
        <f>LN(dataset[[#This Row],[soda_ppu]])</f>
        <v>-0.42648447533223971</v>
      </c>
      <c r="Q2975">
        <f>IF(dataset[[#This Row],[state]]="VA",1,0)</f>
        <v>0</v>
      </c>
    </row>
    <row r="2976" spans="1:17" x14ac:dyDescent="0.35">
      <c r="A2976">
        <v>202311</v>
      </c>
      <c r="B2976">
        <v>4</v>
      </c>
      <c r="C2976" s="2">
        <v>3944660.9972999999</v>
      </c>
      <c r="D2976" s="2">
        <v>0.66039999999999999</v>
      </c>
      <c r="E2976" s="3">
        <v>201353</v>
      </c>
      <c r="F2976" s="2">
        <v>132981.0851</v>
      </c>
      <c r="G2976" t="s">
        <v>191</v>
      </c>
      <c r="H2976" t="s">
        <v>5</v>
      </c>
      <c r="I2976">
        <f>HLOOKUP(G2976,zip_tiers!$A$1:$EON$2,2,FALSE)</f>
        <v>108174.33333333333</v>
      </c>
      <c r="J2976" t="str">
        <f t="shared" si="46"/>
        <v>High</v>
      </c>
      <c r="K2976">
        <f>dataset[[#This Row],[soda_sales]]/dataset[[#This Row],[soda_units_sold]]</f>
        <v>0.6604375653702701</v>
      </c>
      <c r="L2976" s="29">
        <f>dataset[[#This Row],[implied_soda_ppu]]-dataset[[#This Row],[soda_ppu]]</f>
        <v>3.7565370270109533E-5</v>
      </c>
      <c r="M2976">
        <f>dataset[[#This Row],[soda_sales]]/dataset[[#This Row],[total_sales]]</f>
        <v>3.3711663737649826E-2</v>
      </c>
      <c r="N2976">
        <f>LN(dataset[[#This Row],[soda_units_sold]])</f>
        <v>12.21281486559746</v>
      </c>
      <c r="O2976">
        <f>LN(dataset[[#This Row],[soda_sales]])</f>
        <v>11.797962179796819</v>
      </c>
      <c r="P2976">
        <f>LN(dataset[[#This Row],[soda_ppu]])</f>
        <v>-0.41490956693616415</v>
      </c>
      <c r="Q2976">
        <f>IF(dataset[[#This Row],[state]]="VA",1,0)</f>
        <v>0</v>
      </c>
    </row>
    <row r="2977" spans="1:17" x14ac:dyDescent="0.35">
      <c r="A2977">
        <v>202312</v>
      </c>
      <c r="B2977">
        <v>4</v>
      </c>
      <c r="C2977" s="2">
        <v>4145766.2877000002</v>
      </c>
      <c r="D2977" s="2">
        <v>0.64980000000000004</v>
      </c>
      <c r="E2977" s="3">
        <v>197645</v>
      </c>
      <c r="F2977" s="2">
        <v>128433.83500000001</v>
      </c>
      <c r="G2977" t="s">
        <v>191</v>
      </c>
      <c r="H2977" t="s">
        <v>5</v>
      </c>
      <c r="I2977">
        <f>HLOOKUP(G2977,zip_tiers!$A$1:$EON$2,2,FALSE)</f>
        <v>108174.33333333333</v>
      </c>
      <c r="J2977" t="str">
        <f t="shared" si="46"/>
        <v>High</v>
      </c>
      <c r="K2977">
        <f>dataset[[#This Row],[soda_sales]]/dataset[[#This Row],[soda_units_sold]]</f>
        <v>0.64982081509777634</v>
      </c>
      <c r="L2977" s="29">
        <f>dataset[[#This Row],[implied_soda_ppu]]-dataset[[#This Row],[soda_ppu]]</f>
        <v>2.0815097776294422E-5</v>
      </c>
      <c r="M2977">
        <f>dataset[[#This Row],[soda_sales]]/dataset[[#This Row],[total_sales]]</f>
        <v>3.097951647227391E-2</v>
      </c>
      <c r="N2977">
        <f>LN(dataset[[#This Row],[soda_units_sold]])</f>
        <v>12.19422777116225</v>
      </c>
      <c r="O2977">
        <f>LN(dataset[[#This Row],[soda_sales]])</f>
        <v>11.763169147985746</v>
      </c>
      <c r="P2977">
        <f>LN(dataset[[#This Row],[soda_ppu]])</f>
        <v>-0.43109065574713706</v>
      </c>
      <c r="Q2977">
        <f>IF(dataset[[#This Row],[state]]="VA",1,0)</f>
        <v>0</v>
      </c>
    </row>
    <row r="2978" spans="1:17" x14ac:dyDescent="0.35">
      <c r="A2978">
        <v>202401</v>
      </c>
      <c r="B2978">
        <v>4</v>
      </c>
      <c r="C2978" s="2">
        <v>2390077.3831000002</v>
      </c>
      <c r="D2978" s="2">
        <v>0.6714</v>
      </c>
      <c r="E2978" s="3">
        <v>145142</v>
      </c>
      <c r="F2978" s="2">
        <v>97450.766900000002</v>
      </c>
      <c r="G2978" t="s">
        <v>191</v>
      </c>
      <c r="H2978" t="s">
        <v>5</v>
      </c>
      <c r="I2978">
        <f>HLOOKUP(G2978,zip_tiers!$A$1:$EON$2,2,FALSE)</f>
        <v>108174.33333333333</v>
      </c>
      <c r="J2978" t="str">
        <f t="shared" si="46"/>
        <v>High</v>
      </c>
      <c r="K2978">
        <f>dataset[[#This Row],[soda_sales]]/dataset[[#This Row],[soda_units_sold]]</f>
        <v>0.67141672913422723</v>
      </c>
      <c r="L2978" s="29">
        <f>dataset[[#This Row],[implied_soda_ppu]]-dataset[[#This Row],[soda_ppu]]</f>
        <v>1.6729134227233544E-5</v>
      </c>
      <c r="M2978">
        <f>dataset[[#This Row],[soda_sales]]/dataset[[#This Row],[total_sales]]</f>
        <v>4.0773059311411709E-2</v>
      </c>
      <c r="N2978">
        <f>LN(dataset[[#This Row],[soda_units_sold]])</f>
        <v>11.885467852536003</v>
      </c>
      <c r="O2978">
        <f>LN(dataset[[#This Row],[soda_sales]])</f>
        <v>11.487102574581499</v>
      </c>
      <c r="P2978">
        <f>LN(dataset[[#This Row],[soda_ppu]])</f>
        <v>-0.39839019443620249</v>
      </c>
      <c r="Q2978">
        <f>IF(dataset[[#This Row],[state]]="VA",1,0)</f>
        <v>0</v>
      </c>
    </row>
    <row r="2979" spans="1:17" x14ac:dyDescent="0.35">
      <c r="A2979">
        <v>202402</v>
      </c>
      <c r="B2979">
        <v>4</v>
      </c>
      <c r="C2979" s="2">
        <v>2673911.3889000001</v>
      </c>
      <c r="D2979" s="2">
        <v>0.67849999999999999</v>
      </c>
      <c r="E2979" s="3">
        <v>159583</v>
      </c>
      <c r="F2979" s="2">
        <v>108282.7084</v>
      </c>
      <c r="G2979" t="s">
        <v>191</v>
      </c>
      <c r="H2979" t="s">
        <v>5</v>
      </c>
      <c r="I2979">
        <f>HLOOKUP(G2979,zip_tiers!$A$1:$EON$2,2,FALSE)</f>
        <v>108174.33333333333</v>
      </c>
      <c r="J2979" t="str">
        <f t="shared" si="46"/>
        <v>High</v>
      </c>
      <c r="K2979">
        <f>dataset[[#This Row],[soda_sales]]/dataset[[#This Row],[soda_units_sold]]</f>
        <v>0.67853536028273687</v>
      </c>
      <c r="L2979" s="29">
        <f>dataset[[#This Row],[implied_soda_ppu]]-dataset[[#This Row],[soda_ppu]]</f>
        <v>3.5360282736873749E-5</v>
      </c>
      <c r="M2979">
        <f>dataset[[#This Row],[soda_sales]]/dataset[[#This Row],[total_sales]]</f>
        <v>4.0495997305484976E-2</v>
      </c>
      <c r="N2979">
        <f>LN(dataset[[#This Row],[soda_units_sold]])</f>
        <v>11.980319442033856</v>
      </c>
      <c r="O2979">
        <f>LN(dataset[[#This Row],[soda_sales]])</f>
        <v>11.592500756344862</v>
      </c>
      <c r="P2979">
        <f>LN(dataset[[#This Row],[soda_ppu]])</f>
        <v>-0.38787079970721322</v>
      </c>
      <c r="Q2979">
        <f>IF(dataset[[#This Row],[state]]="VA",1,0)</f>
        <v>0</v>
      </c>
    </row>
    <row r="2980" spans="1:17" x14ac:dyDescent="0.35">
      <c r="A2980">
        <v>202403</v>
      </c>
      <c r="B2980">
        <v>4</v>
      </c>
      <c r="C2980" s="2">
        <v>3039311.0303000002</v>
      </c>
      <c r="D2980" s="2">
        <v>0.68269999999999997</v>
      </c>
      <c r="E2980" s="3">
        <v>192316</v>
      </c>
      <c r="F2980" s="2">
        <v>131290.17509999999</v>
      </c>
      <c r="G2980" t="s">
        <v>191</v>
      </c>
      <c r="H2980" t="s">
        <v>5</v>
      </c>
      <c r="I2980">
        <f>HLOOKUP(G2980,zip_tiers!$A$1:$EON$2,2,FALSE)</f>
        <v>108174.33333333333</v>
      </c>
      <c r="J2980" t="str">
        <f t="shared" si="46"/>
        <v>High</v>
      </c>
      <c r="K2980">
        <f>dataset[[#This Row],[soda_sales]]/dataset[[#This Row],[soda_units_sold]]</f>
        <v>0.68267941876910909</v>
      </c>
      <c r="L2980" s="29">
        <f>dataset[[#This Row],[implied_soda_ppu]]-dataset[[#This Row],[soda_ppu]]</f>
        <v>-2.0581230890881486E-5</v>
      </c>
      <c r="M2980">
        <f>dataset[[#This Row],[soda_sales]]/dataset[[#This Row],[total_sales]]</f>
        <v>4.3197347619615217E-2</v>
      </c>
      <c r="N2980">
        <f>LN(dataset[[#This Row],[soda_units_sold]])</f>
        <v>12.1668951314438</v>
      </c>
      <c r="O2980">
        <f>LN(dataset[[#This Row],[soda_sales]])</f>
        <v>11.785165229616048</v>
      </c>
      <c r="P2980">
        <f>LN(dataset[[#This Row],[soda_ppu]])</f>
        <v>-0.38169975455790245</v>
      </c>
      <c r="Q2980">
        <f>IF(dataset[[#This Row],[state]]="VA",1,0)</f>
        <v>0</v>
      </c>
    </row>
    <row r="2981" spans="1:17" x14ac:dyDescent="0.35">
      <c r="A2981">
        <v>202404</v>
      </c>
      <c r="B2981">
        <v>4</v>
      </c>
      <c r="C2981" s="2">
        <v>3202286.4714000002</v>
      </c>
      <c r="D2981" s="2">
        <v>0.66459999999999997</v>
      </c>
      <c r="E2981" s="3">
        <v>223013</v>
      </c>
      <c r="F2981" s="2">
        <v>148224.9038</v>
      </c>
      <c r="G2981" t="s">
        <v>191</v>
      </c>
      <c r="H2981" t="s">
        <v>5</v>
      </c>
      <c r="I2981">
        <f>HLOOKUP(G2981,zip_tiers!$A$1:$EON$2,2,FALSE)</f>
        <v>108174.33333333333</v>
      </c>
      <c r="J2981" t="str">
        <f t="shared" si="46"/>
        <v>High</v>
      </c>
      <c r="K2981">
        <f>dataset[[#This Row],[soda_sales]]/dataset[[#This Row],[soda_units_sold]]</f>
        <v>0.66464692103150935</v>
      </c>
      <c r="L2981" s="29">
        <f>dataset[[#This Row],[implied_soda_ppu]]-dataset[[#This Row],[soda_ppu]]</f>
        <v>4.6921031509383759E-5</v>
      </c>
      <c r="M2981">
        <f>dataset[[#This Row],[soda_sales]]/dataset[[#This Row],[total_sales]]</f>
        <v>4.6287209193747708E-2</v>
      </c>
      <c r="N2981">
        <f>LN(dataset[[#This Row],[soda_units_sold]])</f>
        <v>12.314985344707237</v>
      </c>
      <c r="O2981">
        <f>LN(dataset[[#This Row],[soda_sales]])</f>
        <v>11.906486019562033</v>
      </c>
      <c r="P2981">
        <f>LN(dataset[[#This Row],[soda_ppu]])</f>
        <v>-0.40856992306164319</v>
      </c>
      <c r="Q2981">
        <f>IF(dataset[[#This Row],[state]]="VA",1,0)</f>
        <v>0</v>
      </c>
    </row>
    <row r="2982" spans="1:17" x14ac:dyDescent="0.35">
      <c r="A2982">
        <v>202405</v>
      </c>
      <c r="B2982">
        <v>4</v>
      </c>
      <c r="C2982" s="2">
        <v>3354619.4991000001</v>
      </c>
      <c r="D2982" s="2">
        <v>0.68010000000000004</v>
      </c>
      <c r="E2982" s="3">
        <v>245483</v>
      </c>
      <c r="F2982" s="2">
        <v>166944.0105</v>
      </c>
      <c r="G2982" t="s">
        <v>191</v>
      </c>
      <c r="H2982" t="s">
        <v>5</v>
      </c>
      <c r="I2982">
        <f>HLOOKUP(G2982,zip_tiers!$A$1:$EON$2,2,FALSE)</f>
        <v>108174.33333333333</v>
      </c>
      <c r="J2982" t="str">
        <f t="shared" si="46"/>
        <v>High</v>
      </c>
      <c r="K2982">
        <f>dataset[[#This Row],[soda_sales]]/dataset[[#This Row],[soda_units_sold]]</f>
        <v>0.6800634280174187</v>
      </c>
      <c r="L2982" s="29">
        <f>dataset[[#This Row],[implied_soda_ppu]]-dataset[[#This Row],[soda_ppu]]</f>
        <v>-3.6571982581334872E-5</v>
      </c>
      <c r="M2982">
        <f>dataset[[#This Row],[soda_sales]]/dataset[[#This Row],[total_sales]]</f>
        <v>4.9765408728110257E-2</v>
      </c>
      <c r="N2982">
        <f>LN(dataset[[#This Row],[soda_units_sold]])</f>
        <v>12.410982977383222</v>
      </c>
      <c r="O2982">
        <f>LN(dataset[[#This Row],[soda_sales]])</f>
        <v>12.02541376871746</v>
      </c>
      <c r="P2982">
        <f>LN(dataset[[#This Row],[soda_ppu]])</f>
        <v>-0.38551543280054401</v>
      </c>
      <c r="Q2982">
        <f>IF(dataset[[#This Row],[state]]="VA",1,0)</f>
        <v>0</v>
      </c>
    </row>
    <row r="2983" spans="1:17" x14ac:dyDescent="0.35">
      <c r="A2983">
        <v>202406</v>
      </c>
      <c r="B2983">
        <v>4</v>
      </c>
      <c r="C2983" s="2">
        <v>3191698.3133999999</v>
      </c>
      <c r="D2983" s="2">
        <v>0.72209999999999996</v>
      </c>
      <c r="E2983" s="3">
        <v>241880</v>
      </c>
      <c r="F2983" s="2">
        <v>174670.41759999999</v>
      </c>
      <c r="G2983" t="s">
        <v>191</v>
      </c>
      <c r="H2983" t="s">
        <v>5</v>
      </c>
      <c r="I2983">
        <f>HLOOKUP(G2983,zip_tiers!$A$1:$EON$2,2,FALSE)</f>
        <v>108174.33333333333</v>
      </c>
      <c r="J2983" t="str">
        <f t="shared" si="46"/>
        <v>High</v>
      </c>
      <c r="K2983">
        <f>dataset[[#This Row],[soda_sales]]/dataset[[#This Row],[soda_units_sold]]</f>
        <v>0.72213666942285426</v>
      </c>
      <c r="L2983" s="29">
        <f>dataset[[#This Row],[implied_soda_ppu]]-dataset[[#This Row],[soda_ppu]]</f>
        <v>3.6669422854296307E-5</v>
      </c>
      <c r="M2983">
        <f>dataset[[#This Row],[soda_sales]]/dataset[[#This Row],[total_sales]]</f>
        <v>5.4726481154771162E-2</v>
      </c>
      <c r="N2983">
        <f>LN(dataset[[#This Row],[soda_units_sold]])</f>
        <v>12.39619701438715</v>
      </c>
      <c r="O2983">
        <f>LN(dataset[[#This Row],[soda_sales]])</f>
        <v>12.070656149213649</v>
      </c>
      <c r="P2983">
        <f>LN(dataset[[#This Row],[soda_ppu]])</f>
        <v>-0.32559164552500114</v>
      </c>
      <c r="Q2983">
        <f>IF(dataset[[#This Row],[state]]="VA",1,0)</f>
        <v>0</v>
      </c>
    </row>
    <row r="2984" spans="1:17" x14ac:dyDescent="0.35">
      <c r="A2984">
        <v>202407</v>
      </c>
      <c r="B2984">
        <v>4</v>
      </c>
      <c r="C2984" s="2">
        <v>3050699.7875000001</v>
      </c>
      <c r="D2984" s="2">
        <v>0.68049999999999999</v>
      </c>
      <c r="E2984" s="3">
        <v>259603</v>
      </c>
      <c r="F2984" s="2">
        <v>176660.7317</v>
      </c>
      <c r="G2984" t="s">
        <v>191</v>
      </c>
      <c r="H2984" t="s">
        <v>5</v>
      </c>
      <c r="I2984">
        <f>HLOOKUP(G2984,zip_tiers!$A$1:$EON$2,2,FALSE)</f>
        <v>108174.33333333333</v>
      </c>
      <c r="J2984" t="str">
        <f t="shared" si="46"/>
        <v>High</v>
      </c>
      <c r="K2984">
        <f>dataset[[#This Row],[soda_sales]]/dataset[[#This Row],[soda_units_sold]]</f>
        <v>0.68050342908209849</v>
      </c>
      <c r="L2984" s="29">
        <f>dataset[[#This Row],[implied_soda_ppu]]-dataset[[#This Row],[soda_ppu]]</f>
        <v>3.4290820984939074E-6</v>
      </c>
      <c r="M2984">
        <f>dataset[[#This Row],[soda_sales]]/dataset[[#This Row],[total_sales]]</f>
        <v>5.7908264990168261E-2</v>
      </c>
      <c r="N2984">
        <f>LN(dataset[[#This Row],[soda_units_sold]])</f>
        <v>12.466908819985669</v>
      </c>
      <c r="O2984">
        <f>LN(dataset[[#This Row],[soda_sales]])</f>
        <v>12.081986402144956</v>
      </c>
      <c r="P2984">
        <f>LN(dataset[[#This Row],[soda_ppu]])</f>
        <v>-0.3849274568906163</v>
      </c>
      <c r="Q2984">
        <f>IF(dataset[[#This Row],[state]]="VA",1,0)</f>
        <v>0</v>
      </c>
    </row>
    <row r="2985" spans="1:17" x14ac:dyDescent="0.35">
      <c r="A2985">
        <v>202408</v>
      </c>
      <c r="B2985">
        <v>4</v>
      </c>
      <c r="C2985" s="2">
        <v>2885020.2039000001</v>
      </c>
      <c r="D2985" s="2">
        <v>0.67769999999999997</v>
      </c>
      <c r="E2985" s="3">
        <v>223931</v>
      </c>
      <c r="F2985" s="2">
        <v>151759.3683</v>
      </c>
      <c r="G2985" t="s">
        <v>191</v>
      </c>
      <c r="H2985" t="s">
        <v>5</v>
      </c>
      <c r="I2985">
        <f>HLOOKUP(G2985,zip_tiers!$A$1:$EON$2,2,FALSE)</f>
        <v>108174.33333333333</v>
      </c>
      <c r="J2985" t="str">
        <f t="shared" si="46"/>
        <v>High</v>
      </c>
      <c r="K2985">
        <f>dataset[[#This Row],[soda_sales]]/dataset[[#This Row],[soda_units_sold]]</f>
        <v>0.67770593754326114</v>
      </c>
      <c r="L2985" s="29">
        <f>dataset[[#This Row],[implied_soda_ppu]]-dataset[[#This Row],[soda_ppu]]</f>
        <v>5.9375432611696866E-6</v>
      </c>
      <c r="M2985">
        <f>dataset[[#This Row],[soda_sales]]/dataset[[#This Row],[total_sales]]</f>
        <v>5.2602532243916394E-2</v>
      </c>
      <c r="N2985">
        <f>LN(dataset[[#This Row],[soda_units_sold]])</f>
        <v>12.319093247670146</v>
      </c>
      <c r="O2985">
        <f>LN(dataset[[#This Row],[soda_sales]])</f>
        <v>11.930051442106821</v>
      </c>
      <c r="P2985">
        <f>LN(dataset[[#This Row],[soda_ppu]])</f>
        <v>-0.38905056684006983</v>
      </c>
      <c r="Q2985">
        <f>IF(dataset[[#This Row],[state]]="VA",1,0)</f>
        <v>0</v>
      </c>
    </row>
    <row r="2986" spans="1:17" x14ac:dyDescent="0.35">
      <c r="A2986">
        <v>202409</v>
      </c>
      <c r="B2986">
        <v>4</v>
      </c>
      <c r="C2986" s="2">
        <v>2873797.0214999998</v>
      </c>
      <c r="D2986" s="2">
        <v>0.69430000000000003</v>
      </c>
      <c r="E2986" s="3">
        <v>215946</v>
      </c>
      <c r="F2986" s="2">
        <v>149939.8113</v>
      </c>
      <c r="G2986" t="s">
        <v>191</v>
      </c>
      <c r="H2986" t="s">
        <v>5</v>
      </c>
      <c r="I2986">
        <f>HLOOKUP(G2986,zip_tiers!$A$1:$EON$2,2,FALSE)</f>
        <v>108174.33333333333</v>
      </c>
      <c r="J2986" t="str">
        <f t="shared" si="46"/>
        <v>High</v>
      </c>
      <c r="K2986">
        <f>dataset[[#This Row],[soda_sales]]/dataset[[#This Row],[soda_units_sold]]</f>
        <v>0.69433937790003053</v>
      </c>
      <c r="L2986" s="29">
        <f>dataset[[#This Row],[implied_soda_ppu]]-dataset[[#This Row],[soda_ppu]]</f>
        <v>3.9377900030501678E-5</v>
      </c>
      <c r="M2986">
        <f>dataset[[#This Row],[soda_sales]]/dataset[[#This Row],[total_sales]]</f>
        <v>5.2174809208250135E-2</v>
      </c>
      <c r="N2986">
        <f>LN(dataset[[#This Row],[soda_units_sold]])</f>
        <v>12.282783655411093</v>
      </c>
      <c r="O2986">
        <f>LN(dataset[[#This Row],[soda_sales]])</f>
        <v>11.917989234552859</v>
      </c>
      <c r="P2986">
        <f>LN(dataset[[#This Row],[soda_ppu]])</f>
        <v>-0.3648511352229093</v>
      </c>
      <c r="Q2986">
        <f>IF(dataset[[#This Row],[state]]="VA",1,0)</f>
        <v>0</v>
      </c>
    </row>
    <row r="2987" spans="1:17" x14ac:dyDescent="0.35">
      <c r="A2987">
        <v>202410</v>
      </c>
      <c r="B2987">
        <v>4</v>
      </c>
      <c r="C2987" s="2">
        <v>3517186.8075000001</v>
      </c>
      <c r="D2987" s="2">
        <v>0.70150000000000001</v>
      </c>
      <c r="E2987" s="3">
        <v>200319</v>
      </c>
      <c r="F2987" s="2">
        <v>140520.16800000001</v>
      </c>
      <c r="G2987" t="s">
        <v>191</v>
      </c>
      <c r="H2987" t="s">
        <v>5</v>
      </c>
      <c r="I2987">
        <f>HLOOKUP(G2987,zip_tiers!$A$1:$EON$2,2,FALSE)</f>
        <v>108174.33333333333</v>
      </c>
      <c r="J2987" t="str">
        <f t="shared" si="46"/>
        <v>High</v>
      </c>
      <c r="K2987">
        <f>dataset[[#This Row],[soda_sales]]/dataset[[#This Row],[soda_units_sold]]</f>
        <v>0.70148197624788466</v>
      </c>
      <c r="L2987" s="29">
        <f>dataset[[#This Row],[implied_soda_ppu]]-dataset[[#This Row],[soda_ppu]]</f>
        <v>-1.8023752115348124E-5</v>
      </c>
      <c r="M2987">
        <f>dataset[[#This Row],[soda_sales]]/dataset[[#This Row],[total_sales]]</f>
        <v>3.9952432353139944E-2</v>
      </c>
      <c r="N2987">
        <f>LN(dataset[[#This Row],[soda_units_sold]])</f>
        <v>12.207666374868632</v>
      </c>
      <c r="O2987">
        <f>LN(dataset[[#This Row],[soda_sales]])</f>
        <v>11.8531063019384</v>
      </c>
      <c r="P2987">
        <f>LN(dataset[[#This Row],[soda_ppu]])</f>
        <v>-0.35453437943962141</v>
      </c>
      <c r="Q2987">
        <f>IF(dataset[[#This Row],[state]]="VA",1,0)</f>
        <v>0</v>
      </c>
    </row>
    <row r="2988" spans="1:17" x14ac:dyDescent="0.35">
      <c r="A2988">
        <v>202411</v>
      </c>
      <c r="B2988">
        <v>4</v>
      </c>
      <c r="C2988" s="2">
        <v>4024846.7817000002</v>
      </c>
      <c r="D2988" s="2">
        <v>0.68240000000000001</v>
      </c>
      <c r="E2988" s="3">
        <v>197341</v>
      </c>
      <c r="F2988" s="2">
        <v>134659.43520000001</v>
      </c>
      <c r="G2988" t="s">
        <v>191</v>
      </c>
      <c r="H2988" t="s">
        <v>5</v>
      </c>
      <c r="I2988">
        <f>HLOOKUP(G2988,zip_tiers!$A$1:$EON$2,2,FALSE)</f>
        <v>108174.33333333333</v>
      </c>
      <c r="J2988" t="str">
        <f t="shared" si="46"/>
        <v>High</v>
      </c>
      <c r="K2988">
        <f>dataset[[#This Row],[soda_sales]]/dataset[[#This Row],[soda_units_sold]]</f>
        <v>0.68236927551801196</v>
      </c>
      <c r="L2988" s="29">
        <f>dataset[[#This Row],[implied_soda_ppu]]-dataset[[#This Row],[soda_ppu]]</f>
        <v>-3.0724481988042562E-5</v>
      </c>
      <c r="M2988">
        <f>dataset[[#This Row],[soda_sales]]/dataset[[#This Row],[total_sales]]</f>
        <v>3.3457033895616529E-2</v>
      </c>
      <c r="N2988">
        <f>LN(dataset[[#This Row],[soda_units_sold]])</f>
        <v>12.192688475794689</v>
      </c>
      <c r="O2988">
        <f>LN(dataset[[#This Row],[soda_sales]])</f>
        <v>11.810504167823433</v>
      </c>
      <c r="P2988">
        <f>LN(dataset[[#This Row],[soda_ppu]])</f>
        <v>-0.38213928280466769</v>
      </c>
      <c r="Q2988">
        <f>IF(dataset[[#This Row],[state]]="VA",1,0)</f>
        <v>0</v>
      </c>
    </row>
    <row r="2989" spans="1:17" x14ac:dyDescent="0.35">
      <c r="A2989">
        <v>202412</v>
      </c>
      <c r="B2989">
        <v>4</v>
      </c>
      <c r="C2989" s="2">
        <v>4168719.807</v>
      </c>
      <c r="D2989" s="2">
        <v>0.68600000000000005</v>
      </c>
      <c r="E2989" s="3">
        <v>191119</v>
      </c>
      <c r="F2989" s="2">
        <v>131109.383</v>
      </c>
      <c r="G2989" t="s">
        <v>191</v>
      </c>
      <c r="H2989" t="s">
        <v>5</v>
      </c>
      <c r="I2989">
        <f>HLOOKUP(G2989,zip_tiers!$A$1:$EON$2,2,FALSE)</f>
        <v>108174.33333333333</v>
      </c>
      <c r="J2989" t="str">
        <f t="shared" si="46"/>
        <v>High</v>
      </c>
      <c r="K2989">
        <f>dataset[[#This Row],[soda_sales]]/dataset[[#This Row],[soda_units_sold]]</f>
        <v>0.68600915136642615</v>
      </c>
      <c r="L2989" s="29">
        <f>dataset[[#This Row],[implied_soda_ppu]]-dataset[[#This Row],[soda_ppu]]</f>
        <v>9.1513664260967076E-6</v>
      </c>
      <c r="M2989">
        <f>dataset[[#This Row],[soda_sales]]/dataset[[#This Row],[total_sales]]</f>
        <v>3.1450754445008444E-2</v>
      </c>
      <c r="N2989">
        <f>LN(dataset[[#This Row],[soda_units_sold]])</f>
        <v>12.160651549671227</v>
      </c>
      <c r="O2989">
        <f>LN(dataset[[#This Row],[soda_sales]])</f>
        <v>11.783787238510289</v>
      </c>
      <c r="P2989">
        <f>LN(dataset[[#This Row],[soda_ppu]])</f>
        <v>-0.37687765125625172</v>
      </c>
      <c r="Q2989">
        <f>IF(dataset[[#This Row],[state]]="VA",1,0)</f>
        <v>0</v>
      </c>
    </row>
    <row r="2990" spans="1:17" x14ac:dyDescent="0.35">
      <c r="A2990">
        <v>202201</v>
      </c>
      <c r="B2990">
        <v>31</v>
      </c>
      <c r="C2990" s="2">
        <v>1899846.3367000001</v>
      </c>
      <c r="D2990" s="2">
        <v>0.68589999999999995</v>
      </c>
      <c r="E2990" s="3">
        <v>137173</v>
      </c>
      <c r="F2990" s="2">
        <v>94093.202799999999</v>
      </c>
      <c r="G2990" t="s">
        <v>227</v>
      </c>
      <c r="H2990" t="s">
        <v>5</v>
      </c>
      <c r="I2990" t="str">
        <f>HLOOKUP(G2990,zip_tiers!$A$1:$EON$2,2,FALSE)</f>
        <v/>
      </c>
      <c r="J2990" t="str">
        <f t="shared" si="46"/>
        <v>No Data</v>
      </c>
      <c r="K2990">
        <f>dataset[[#This Row],[soda_sales]]/dataset[[#This Row],[soda_units_sold]]</f>
        <v>0.68594550531081189</v>
      </c>
      <c r="L2990" s="29">
        <f>dataset[[#This Row],[implied_soda_ppu]]-dataset[[#This Row],[soda_ppu]]</f>
        <v>4.5505310811932986E-5</v>
      </c>
      <c r="M2990">
        <f>dataset[[#This Row],[soda_sales]]/dataset[[#This Row],[total_sales]]</f>
        <v>4.9526743812048635E-2</v>
      </c>
      <c r="N2990">
        <f>LN(dataset[[#This Row],[soda_units_sold]])</f>
        <v>11.828998181904723</v>
      </c>
      <c r="O2990">
        <f>LN(dataset[[#This Row],[soda_sales]])</f>
        <v>11.452041089170649</v>
      </c>
      <c r="P2990">
        <f>LN(dataset[[#This Row],[soda_ppu]])</f>
        <v>-0.37702343447686143</v>
      </c>
      <c r="Q2990">
        <f>IF(dataset[[#This Row],[state]]="VA",1,0)</f>
        <v>0</v>
      </c>
    </row>
    <row r="2991" spans="1:17" x14ac:dyDescent="0.35">
      <c r="A2991">
        <v>202202</v>
      </c>
      <c r="B2991">
        <v>31</v>
      </c>
      <c r="C2991" s="2">
        <v>2144490.2152999998</v>
      </c>
      <c r="D2991" s="2">
        <v>0.67859999999999998</v>
      </c>
      <c r="E2991" s="3">
        <v>157068</v>
      </c>
      <c r="F2991" s="2">
        <v>106583.0857</v>
      </c>
      <c r="G2991" t="s">
        <v>227</v>
      </c>
      <c r="H2991" t="s">
        <v>5</v>
      </c>
      <c r="I2991" t="str">
        <f>HLOOKUP(G2991,zip_tiers!$A$1:$EON$2,2,FALSE)</f>
        <v/>
      </c>
      <c r="J2991" t="str">
        <f t="shared" si="46"/>
        <v>No Data</v>
      </c>
      <c r="K2991">
        <f>dataset[[#This Row],[soda_sales]]/dataset[[#This Row],[soda_units_sold]]</f>
        <v>0.67857925038836675</v>
      </c>
      <c r="L2991" s="29">
        <f>dataset[[#This Row],[implied_soda_ppu]]-dataset[[#This Row],[soda_ppu]]</f>
        <v>-2.0749611633230636E-5</v>
      </c>
      <c r="M2991">
        <f>dataset[[#This Row],[soda_sales]]/dataset[[#This Row],[total_sales]]</f>
        <v>4.9700896250109372E-2</v>
      </c>
      <c r="N2991">
        <f>LN(dataset[[#This Row],[soda_units_sold]])</f>
        <v>11.96443411157972</v>
      </c>
      <c r="O2991">
        <f>LN(dataset[[#This Row],[soda_sales]])</f>
        <v>11.576680107392642</v>
      </c>
      <c r="P2991">
        <f>LN(dataset[[#This Row],[soda_ppu]])</f>
        <v>-0.38772342663200732</v>
      </c>
      <c r="Q2991">
        <f>IF(dataset[[#This Row],[state]]="VA",1,0)</f>
        <v>0</v>
      </c>
    </row>
    <row r="2992" spans="1:17" x14ac:dyDescent="0.35">
      <c r="A2992">
        <v>202203</v>
      </c>
      <c r="B2992">
        <v>31</v>
      </c>
      <c r="C2992" s="2">
        <v>2401574.4558999999</v>
      </c>
      <c r="D2992" s="2">
        <v>0.6895</v>
      </c>
      <c r="E2992" s="3">
        <v>187404</v>
      </c>
      <c r="F2992" s="2">
        <v>129207.3771</v>
      </c>
      <c r="G2992" t="s">
        <v>227</v>
      </c>
      <c r="H2992" t="s">
        <v>5</v>
      </c>
      <c r="I2992" t="str">
        <f>HLOOKUP(G2992,zip_tiers!$A$1:$EON$2,2,FALSE)</f>
        <v/>
      </c>
      <c r="J2992" t="str">
        <f t="shared" si="46"/>
        <v>No Data</v>
      </c>
      <c r="K2992">
        <f>dataset[[#This Row],[soda_sales]]/dataset[[#This Row],[soda_units_sold]]</f>
        <v>0.68945901421527822</v>
      </c>
      <c r="L2992" s="29">
        <f>dataset[[#This Row],[implied_soda_ppu]]-dataset[[#This Row],[soda_ppu]]</f>
        <v>-4.0985784721780938E-5</v>
      </c>
      <c r="M2992">
        <f>dataset[[#This Row],[soda_sales]]/dataset[[#This Row],[total_sales]]</f>
        <v>5.3801112342185951E-2</v>
      </c>
      <c r="N2992">
        <f>LN(dataset[[#This Row],[soda_units_sold]])</f>
        <v>12.141021993275846</v>
      </c>
      <c r="O2992">
        <f>LN(dataset[[#This Row],[soda_sales]])</f>
        <v>11.769173966997807</v>
      </c>
      <c r="P2992">
        <f>LN(dataset[[#This Row],[soda_ppu]])</f>
        <v>-0.37178858174878054</v>
      </c>
      <c r="Q2992">
        <f>IF(dataset[[#This Row],[state]]="VA",1,0)</f>
        <v>0</v>
      </c>
    </row>
    <row r="2993" spans="1:17" x14ac:dyDescent="0.35">
      <c r="A2993">
        <v>202204</v>
      </c>
      <c r="B2993">
        <v>31</v>
      </c>
      <c r="C2993" s="2">
        <v>2488336.4435000001</v>
      </c>
      <c r="D2993" s="2">
        <v>0.65939999999999999</v>
      </c>
      <c r="E2993" s="3">
        <v>219250</v>
      </c>
      <c r="F2993" s="2">
        <v>144569.88690000001</v>
      </c>
      <c r="G2993" t="s">
        <v>227</v>
      </c>
      <c r="H2993" t="s">
        <v>5</v>
      </c>
      <c r="I2993" t="str">
        <f>HLOOKUP(G2993,zip_tiers!$A$1:$EON$2,2,FALSE)</f>
        <v/>
      </c>
      <c r="J2993" t="str">
        <f t="shared" si="46"/>
        <v>No Data</v>
      </c>
      <c r="K2993">
        <f>dataset[[#This Row],[soda_sales]]/dataset[[#This Row],[soda_units_sold]]</f>
        <v>0.65938374868871152</v>
      </c>
      <c r="L2993" s="29">
        <f>dataset[[#This Row],[implied_soda_ppu]]-dataset[[#This Row],[soda_ppu]]</f>
        <v>-1.6251311288462134E-5</v>
      </c>
      <c r="M2993">
        <f>dataset[[#This Row],[soda_sales]]/dataset[[#This Row],[total_sales]]</f>
        <v>5.8099011199889625E-2</v>
      </c>
      <c r="N2993">
        <f>LN(dataset[[#This Row],[soda_units_sold]])</f>
        <v>12.29796791023443</v>
      </c>
      <c r="O2993">
        <f>LN(dataset[[#This Row],[soda_sales]])</f>
        <v>11.881518315982198</v>
      </c>
      <c r="P2993">
        <f>LN(dataset[[#This Row],[soda_ppu]])</f>
        <v>-0.41642494834450638</v>
      </c>
      <c r="Q2993">
        <f>IF(dataset[[#This Row],[state]]="VA",1,0)</f>
        <v>0</v>
      </c>
    </row>
    <row r="2994" spans="1:17" x14ac:dyDescent="0.35">
      <c r="A2994">
        <v>202205</v>
      </c>
      <c r="B2994">
        <v>31</v>
      </c>
      <c r="C2994" s="2">
        <v>2617120.6639999999</v>
      </c>
      <c r="D2994" s="2">
        <v>0.66080000000000005</v>
      </c>
      <c r="E2994" s="3">
        <v>239876</v>
      </c>
      <c r="F2994" s="2">
        <v>158519.39019999999</v>
      </c>
      <c r="G2994" t="s">
        <v>227</v>
      </c>
      <c r="H2994" t="s">
        <v>5</v>
      </c>
      <c r="I2994" t="str">
        <f>HLOOKUP(G2994,zip_tiers!$A$1:$EON$2,2,FALSE)</f>
        <v/>
      </c>
      <c r="J2994" t="str">
        <f t="shared" si="46"/>
        <v>No Data</v>
      </c>
      <c r="K2994">
        <f>dataset[[#This Row],[soda_sales]]/dataset[[#This Row],[soda_units_sold]]</f>
        <v>0.66083889259450712</v>
      </c>
      <c r="L2994" s="29">
        <f>dataset[[#This Row],[implied_soda_ppu]]-dataset[[#This Row],[soda_ppu]]</f>
        <v>3.889259450706728E-5</v>
      </c>
      <c r="M2994">
        <f>dataset[[#This Row],[soda_sales]]/dataset[[#This Row],[total_sales]]</f>
        <v>6.0570149623028618E-2</v>
      </c>
      <c r="N2994">
        <f>LN(dataset[[#This Row],[soda_units_sold]])</f>
        <v>12.387877402139248</v>
      </c>
      <c r="O2994">
        <f>LN(dataset[[#This Row],[soda_sales]])</f>
        <v>11.973632200463765</v>
      </c>
      <c r="P2994">
        <f>LN(dataset[[#This Row],[soda_ppu]])</f>
        <v>-0.41430405677536863</v>
      </c>
      <c r="Q2994">
        <f>IF(dataset[[#This Row],[state]]="VA",1,0)</f>
        <v>0</v>
      </c>
    </row>
    <row r="2995" spans="1:17" x14ac:dyDescent="0.35">
      <c r="A2995">
        <v>202206</v>
      </c>
      <c r="B2995">
        <v>31</v>
      </c>
      <c r="C2995" s="2">
        <v>2560431.5107</v>
      </c>
      <c r="D2995" s="2">
        <v>0.67159999999999997</v>
      </c>
      <c r="E2995" s="3">
        <v>259660</v>
      </c>
      <c r="F2995" s="2">
        <v>174396.6974</v>
      </c>
      <c r="G2995" t="s">
        <v>227</v>
      </c>
      <c r="H2995" t="s">
        <v>5</v>
      </c>
      <c r="I2995" t="str">
        <f>HLOOKUP(G2995,zip_tiers!$A$1:$EON$2,2,FALSE)</f>
        <v/>
      </c>
      <c r="J2995" t="str">
        <f t="shared" si="46"/>
        <v>No Data</v>
      </c>
      <c r="K2995">
        <f>dataset[[#This Row],[soda_sales]]/dataset[[#This Row],[soda_units_sold]]</f>
        <v>0.67163482014942621</v>
      </c>
      <c r="L2995" s="29">
        <f>dataset[[#This Row],[implied_soda_ppu]]-dataset[[#This Row],[soda_ppu]]</f>
        <v>3.4820149426240121E-5</v>
      </c>
      <c r="M2995">
        <f>dataset[[#This Row],[soda_sales]]/dataset[[#This Row],[total_sales]]</f>
        <v>6.8112229001712862E-2</v>
      </c>
      <c r="N2995">
        <f>LN(dataset[[#This Row],[soda_units_sold]])</f>
        <v>12.467128361914245</v>
      </c>
      <c r="O2995">
        <f>LN(dataset[[#This Row],[soda_sales]])</f>
        <v>12.069087853351105</v>
      </c>
      <c r="P2995">
        <f>LN(dataset[[#This Row],[soda_ppu]])</f>
        <v>-0.39809235377875135</v>
      </c>
      <c r="Q2995">
        <f>IF(dataset[[#This Row],[state]]="VA",1,0)</f>
        <v>0</v>
      </c>
    </row>
    <row r="2996" spans="1:17" x14ac:dyDescent="0.35">
      <c r="A2996">
        <v>202207</v>
      </c>
      <c r="B2996">
        <v>31</v>
      </c>
      <c r="C2996" s="2">
        <v>2437029.4487999999</v>
      </c>
      <c r="D2996" s="2">
        <v>0.66759999999999997</v>
      </c>
      <c r="E2996" s="3">
        <v>265401</v>
      </c>
      <c r="F2996" s="2">
        <v>177186.141</v>
      </c>
      <c r="G2996" t="s">
        <v>227</v>
      </c>
      <c r="H2996" t="s">
        <v>5</v>
      </c>
      <c r="I2996" t="str">
        <f>HLOOKUP(G2996,zip_tiers!$A$1:$EON$2,2,FALSE)</f>
        <v/>
      </c>
      <c r="J2996" t="str">
        <f t="shared" si="46"/>
        <v>No Data</v>
      </c>
      <c r="K2996">
        <f>dataset[[#This Row],[soda_sales]]/dataset[[#This Row],[soda_units_sold]]</f>
        <v>0.66761670453389399</v>
      </c>
      <c r="L2996" s="29">
        <f>dataset[[#This Row],[implied_soda_ppu]]-dataset[[#This Row],[soda_ppu]]</f>
        <v>1.6704533894018603E-5</v>
      </c>
      <c r="M2996">
        <f>dataset[[#This Row],[soda_sales]]/dataset[[#This Row],[total_sales]]</f>
        <v>7.2705785761943476E-2</v>
      </c>
      <c r="N2996">
        <f>LN(dataset[[#This Row],[soda_units_sold]])</f>
        <v>12.488997168770659</v>
      </c>
      <c r="O2996">
        <f>LN(dataset[[#This Row],[soda_sales]])</f>
        <v>12.084956103033525</v>
      </c>
      <c r="P2996">
        <f>LN(dataset[[#This Row],[soda_ppu]])</f>
        <v>-0.40406608719445708</v>
      </c>
      <c r="Q2996">
        <f>IF(dataset[[#This Row],[state]]="VA",1,0)</f>
        <v>0</v>
      </c>
    </row>
    <row r="2997" spans="1:17" x14ac:dyDescent="0.35">
      <c r="A2997">
        <v>202208</v>
      </c>
      <c r="B2997">
        <v>31</v>
      </c>
      <c r="C2997" s="2">
        <v>2246063.0967999999</v>
      </c>
      <c r="D2997" s="2">
        <v>0.66449999999999998</v>
      </c>
      <c r="E2997" s="3">
        <v>227462</v>
      </c>
      <c r="F2997" s="2">
        <v>151158.70379999999</v>
      </c>
      <c r="G2997" t="s">
        <v>227</v>
      </c>
      <c r="H2997" t="s">
        <v>5</v>
      </c>
      <c r="I2997" t="str">
        <f>HLOOKUP(G2997,zip_tiers!$A$1:$EON$2,2,FALSE)</f>
        <v/>
      </c>
      <c r="J2997" t="str">
        <f t="shared" si="46"/>
        <v>No Data</v>
      </c>
      <c r="K2997">
        <f>dataset[[#This Row],[soda_sales]]/dataset[[#This Row],[soda_units_sold]]</f>
        <v>0.66454486375746269</v>
      </c>
      <c r="L2997" s="29">
        <f>dataset[[#This Row],[implied_soda_ppu]]-dataset[[#This Row],[soda_ppu]]</f>
        <v>4.4863757462709764E-5</v>
      </c>
      <c r="M2997">
        <f>dataset[[#This Row],[soda_sales]]/dataset[[#This Row],[total_sales]]</f>
        <v>6.7299402236454572E-2</v>
      </c>
      <c r="N2997">
        <f>LN(dataset[[#This Row],[soda_units_sold]])</f>
        <v>12.33473847045455</v>
      </c>
      <c r="O2997">
        <f>LN(dataset[[#This Row],[soda_sales]])</f>
        <v>11.926085582406813</v>
      </c>
      <c r="P2997">
        <f>LN(dataset[[#This Row],[soda_ppu]])</f>
        <v>-0.40872040082883704</v>
      </c>
      <c r="Q2997">
        <f>IF(dataset[[#This Row],[state]]="VA",1,0)</f>
        <v>0</v>
      </c>
    </row>
    <row r="2998" spans="1:17" x14ac:dyDescent="0.35">
      <c r="A2998">
        <v>202209</v>
      </c>
      <c r="B2998">
        <v>31</v>
      </c>
      <c r="C2998" s="2">
        <v>2278546.9473000001</v>
      </c>
      <c r="D2998" s="2">
        <v>0.67049999999999998</v>
      </c>
      <c r="E2998" s="3">
        <v>219130</v>
      </c>
      <c r="F2998" s="2">
        <v>146936.12820000001</v>
      </c>
      <c r="G2998" t="s">
        <v>227</v>
      </c>
      <c r="H2998" t="s">
        <v>5</v>
      </c>
      <c r="I2998" t="str">
        <f>HLOOKUP(G2998,zip_tiers!$A$1:$EON$2,2,FALSE)</f>
        <v/>
      </c>
      <c r="J2998" t="str">
        <f t="shared" si="46"/>
        <v>No Data</v>
      </c>
      <c r="K2998">
        <f>dataset[[#This Row],[soda_sales]]/dataset[[#This Row],[soda_units_sold]]</f>
        <v>0.67054318532378043</v>
      </c>
      <c r="L2998" s="29">
        <f>dataset[[#This Row],[implied_soda_ppu]]-dataset[[#This Row],[soda_ppu]]</f>
        <v>4.3185323780448037E-5</v>
      </c>
      <c r="M2998">
        <f>dataset[[#This Row],[soda_sales]]/dataset[[#This Row],[total_sales]]</f>
        <v>6.448676792642534E-2</v>
      </c>
      <c r="N2998">
        <f>LN(dataset[[#This Row],[soda_units_sold]])</f>
        <v>12.29742043998945</v>
      </c>
      <c r="O2998">
        <f>LN(dataset[[#This Row],[soda_sales]])</f>
        <v>11.897753269296693</v>
      </c>
      <c r="P2998">
        <f>LN(dataset[[#This Row],[soda_ppu]])</f>
        <v>-0.39973157626040384</v>
      </c>
      <c r="Q2998">
        <f>IF(dataset[[#This Row],[state]]="VA",1,0)</f>
        <v>0</v>
      </c>
    </row>
    <row r="2999" spans="1:17" x14ac:dyDescent="0.35">
      <c r="A2999">
        <v>202210</v>
      </c>
      <c r="B2999">
        <v>31</v>
      </c>
      <c r="C2999" s="2">
        <v>2790640.1705</v>
      </c>
      <c r="D2999" s="2">
        <v>0.69930000000000003</v>
      </c>
      <c r="E2999" s="3">
        <v>201846</v>
      </c>
      <c r="F2999" s="2">
        <v>141160.59</v>
      </c>
      <c r="G2999" t="s">
        <v>227</v>
      </c>
      <c r="H2999" t="s">
        <v>5</v>
      </c>
      <c r="I2999" t="str">
        <f>HLOOKUP(G2999,zip_tiers!$A$1:$EON$2,2,FALSE)</f>
        <v/>
      </c>
      <c r="J2999" t="str">
        <f t="shared" si="46"/>
        <v>No Data</v>
      </c>
      <c r="K2999">
        <f>dataset[[#This Row],[soda_sales]]/dataset[[#This Row],[soda_units_sold]]</f>
        <v>0.69934796825302459</v>
      </c>
      <c r="L2999" s="29">
        <f>dataset[[#This Row],[implied_soda_ppu]]-dataset[[#This Row],[soda_ppu]]</f>
        <v>4.7968253024555096E-5</v>
      </c>
      <c r="M2999">
        <f>dataset[[#This Row],[soda_sales]]/dataset[[#This Row],[total_sales]]</f>
        <v>5.0583587053686034E-2</v>
      </c>
      <c r="N2999">
        <f>LN(dataset[[#This Row],[soda_units_sold]])</f>
        <v>12.215260309389167</v>
      </c>
      <c r="O2999">
        <f>LN(dataset[[#This Row],[soda_sales]])</f>
        <v>11.857653457434765</v>
      </c>
      <c r="P2999">
        <f>LN(dataset[[#This Row],[soda_ppu]])</f>
        <v>-0.35767544427231585</v>
      </c>
      <c r="Q2999">
        <f>IF(dataset[[#This Row],[state]]="VA",1,0)</f>
        <v>0</v>
      </c>
    </row>
    <row r="3000" spans="1:17" x14ac:dyDescent="0.35">
      <c r="A3000">
        <v>202211</v>
      </c>
      <c r="B3000">
        <v>31</v>
      </c>
      <c r="C3000" s="2">
        <v>3166787.4421999999</v>
      </c>
      <c r="D3000" s="2">
        <v>0.6885</v>
      </c>
      <c r="E3000" s="3">
        <v>194357</v>
      </c>
      <c r="F3000" s="2">
        <v>133814.9754</v>
      </c>
      <c r="G3000" t="s">
        <v>227</v>
      </c>
      <c r="H3000" t="s">
        <v>5</v>
      </c>
      <c r="I3000" t="str">
        <f>HLOOKUP(G3000,zip_tiers!$A$1:$EON$2,2,FALSE)</f>
        <v/>
      </c>
      <c r="J3000" t="str">
        <f t="shared" si="46"/>
        <v>No Data</v>
      </c>
      <c r="K3000">
        <f>dataset[[#This Row],[soda_sales]]/dataset[[#This Row],[soda_units_sold]]</f>
        <v>0.68850093076143382</v>
      </c>
      <c r="L3000" s="29">
        <f>dataset[[#This Row],[implied_soda_ppu]]-dataset[[#This Row],[soda_ppu]]</f>
        <v>9.3076143381498611E-7</v>
      </c>
      <c r="M3000">
        <f>dataset[[#This Row],[soda_sales]]/dataset[[#This Row],[total_sales]]</f>
        <v>4.2255749033486549E-2</v>
      </c>
      <c r="N3000">
        <f>LN(dataset[[#This Row],[soda_units_sold]])</f>
        <v>12.177451953125967</v>
      </c>
      <c r="O3000">
        <f>LN(dataset[[#This Row],[soda_sales]])</f>
        <v>11.804213344180084</v>
      </c>
      <c r="P3000">
        <f>LN(dataset[[#This Row],[soda_ppu]])</f>
        <v>-0.37323996081342753</v>
      </c>
      <c r="Q3000">
        <f>IF(dataset[[#This Row],[state]]="VA",1,0)</f>
        <v>0</v>
      </c>
    </row>
    <row r="3001" spans="1:17" x14ac:dyDescent="0.35">
      <c r="A3001">
        <v>202212</v>
      </c>
      <c r="B3001">
        <v>31</v>
      </c>
      <c r="C3001" s="2">
        <v>3354011.1748000002</v>
      </c>
      <c r="D3001" s="2">
        <v>0.67190000000000005</v>
      </c>
      <c r="E3001" s="3">
        <v>200575</v>
      </c>
      <c r="F3001" s="2">
        <v>134766.4675</v>
      </c>
      <c r="G3001" t="s">
        <v>227</v>
      </c>
      <c r="H3001" t="s">
        <v>5</v>
      </c>
      <c r="I3001" t="str">
        <f>HLOOKUP(G3001,zip_tiers!$A$1:$EON$2,2,FALSE)</f>
        <v/>
      </c>
      <c r="J3001" t="str">
        <f t="shared" si="46"/>
        <v>No Data</v>
      </c>
      <c r="K3001">
        <f>dataset[[#This Row],[soda_sales]]/dataset[[#This Row],[soda_units_sold]]</f>
        <v>0.67190062320827615</v>
      </c>
      <c r="L3001" s="29">
        <f>dataset[[#This Row],[implied_soda_ppu]]-dataset[[#This Row],[soda_ppu]]</f>
        <v>6.2320827609596563E-7</v>
      </c>
      <c r="M3001">
        <f>dataset[[#This Row],[soda_sales]]/dataset[[#This Row],[total_sales]]</f>
        <v>4.0180685297816911E-2</v>
      </c>
      <c r="N3001">
        <f>LN(dataset[[#This Row],[soda_units_sold]])</f>
        <v>12.208943520621856</v>
      </c>
      <c r="O3001">
        <f>LN(dataset[[#This Row],[soda_sales]])</f>
        <v>11.811298689096688</v>
      </c>
      <c r="P3001">
        <f>LN(dataset[[#This Row],[soda_ppu]])</f>
        <v>-0.39764575905603267</v>
      </c>
      <c r="Q3001">
        <f>IF(dataset[[#This Row],[state]]="VA",1,0)</f>
        <v>0</v>
      </c>
    </row>
    <row r="3002" spans="1:17" x14ac:dyDescent="0.35">
      <c r="A3002">
        <v>202301</v>
      </c>
      <c r="B3002">
        <v>31</v>
      </c>
      <c r="C3002" s="2">
        <v>1933550.9913999999</v>
      </c>
      <c r="D3002" s="2">
        <v>0.68659999999999999</v>
      </c>
      <c r="E3002" s="3">
        <v>142592</v>
      </c>
      <c r="F3002" s="2">
        <v>97901.529399999999</v>
      </c>
      <c r="G3002" t="s">
        <v>227</v>
      </c>
      <c r="H3002" t="s">
        <v>5</v>
      </c>
      <c r="I3002" t="str">
        <f>HLOOKUP(G3002,zip_tiers!$A$1:$EON$2,2,FALSE)</f>
        <v/>
      </c>
      <c r="J3002" t="str">
        <f t="shared" si="46"/>
        <v>No Data</v>
      </c>
      <c r="K3002">
        <f>dataset[[#This Row],[soda_sales]]/dataset[[#This Row],[soda_units_sold]]</f>
        <v>0.68658500757405749</v>
      </c>
      <c r="L3002" s="29">
        <f>dataset[[#This Row],[implied_soda_ppu]]-dataset[[#This Row],[soda_ppu]]</f>
        <v>-1.4992425942494947E-5</v>
      </c>
      <c r="M3002">
        <f>dataset[[#This Row],[soda_sales]]/dataset[[#This Row],[total_sales]]</f>
        <v>5.0633021748815517E-2</v>
      </c>
      <c r="N3002">
        <f>LN(dataset[[#This Row],[soda_units_sold]])</f>
        <v>11.867742684406846</v>
      </c>
      <c r="O3002">
        <f>LN(dataset[[#This Row],[soda_sales]])</f>
        <v>11.491717450459909</v>
      </c>
      <c r="P3002">
        <f>LN(dataset[[#This Row],[soda_ppu]])</f>
        <v>-0.37600339795854537</v>
      </c>
      <c r="Q3002">
        <f>IF(dataset[[#This Row],[state]]="VA",1,0)</f>
        <v>0</v>
      </c>
    </row>
    <row r="3003" spans="1:17" x14ac:dyDescent="0.35">
      <c r="A3003">
        <v>202302</v>
      </c>
      <c r="B3003">
        <v>31</v>
      </c>
      <c r="C3003" s="2">
        <v>2155870.3292999999</v>
      </c>
      <c r="D3003" s="2">
        <v>0.70050000000000001</v>
      </c>
      <c r="E3003" s="3">
        <v>157467</v>
      </c>
      <c r="F3003" s="2">
        <v>110313.1234</v>
      </c>
      <c r="G3003" t="s">
        <v>227</v>
      </c>
      <c r="H3003" t="s">
        <v>5</v>
      </c>
      <c r="I3003" t="str">
        <f>HLOOKUP(G3003,zip_tiers!$A$1:$EON$2,2,FALSE)</f>
        <v/>
      </c>
      <c r="J3003" t="str">
        <f t="shared" si="46"/>
        <v>No Data</v>
      </c>
      <c r="K3003">
        <f>dataset[[#This Row],[soda_sales]]/dataset[[#This Row],[soda_units_sold]]</f>
        <v>0.70054756488661118</v>
      </c>
      <c r="L3003" s="29">
        <f>dataset[[#This Row],[implied_soda_ppu]]-dataset[[#This Row],[soda_ppu]]</f>
        <v>4.7564886611173307E-5</v>
      </c>
      <c r="M3003">
        <f>dataset[[#This Row],[soda_sales]]/dataset[[#This Row],[total_sales]]</f>
        <v>5.1168719148251419E-2</v>
      </c>
      <c r="N3003">
        <f>LN(dataset[[#This Row],[soda_units_sold]])</f>
        <v>11.96697119148512</v>
      </c>
      <c r="O3003">
        <f>LN(dataset[[#This Row],[soda_sales]])</f>
        <v>11.611078177311915</v>
      </c>
      <c r="P3003">
        <f>LN(dataset[[#This Row],[soda_ppu]])</f>
        <v>-0.35596091320507534</v>
      </c>
      <c r="Q3003">
        <f>IF(dataset[[#This Row],[state]]="VA",1,0)</f>
        <v>0</v>
      </c>
    </row>
    <row r="3004" spans="1:17" x14ac:dyDescent="0.35">
      <c r="A3004">
        <v>202303</v>
      </c>
      <c r="B3004">
        <v>31</v>
      </c>
      <c r="C3004" s="2">
        <v>2433737.9767999998</v>
      </c>
      <c r="D3004" s="2">
        <v>0.72419999999999995</v>
      </c>
      <c r="E3004" s="3">
        <v>175120</v>
      </c>
      <c r="F3004" s="2">
        <v>126819.4642</v>
      </c>
      <c r="G3004" t="s">
        <v>227</v>
      </c>
      <c r="H3004" t="s">
        <v>5</v>
      </c>
      <c r="I3004" t="str">
        <f>HLOOKUP(G3004,zip_tiers!$A$1:$EON$2,2,FALSE)</f>
        <v/>
      </c>
      <c r="J3004" t="str">
        <f t="shared" si="46"/>
        <v>No Data</v>
      </c>
      <c r="K3004">
        <f>dataset[[#This Row],[soda_sales]]/dataset[[#This Row],[soda_units_sold]]</f>
        <v>0.72418606783919603</v>
      </c>
      <c r="L3004" s="29">
        <f>dataset[[#This Row],[implied_soda_ppu]]-dataset[[#This Row],[soda_ppu]]</f>
        <v>-1.3932160803920013E-5</v>
      </c>
      <c r="M3004">
        <f>dataset[[#This Row],[soda_sales]]/dataset[[#This Row],[total_sales]]</f>
        <v>5.2108922738983002E-2</v>
      </c>
      <c r="N3004">
        <f>LN(dataset[[#This Row],[soda_units_sold]])</f>
        <v>12.073226732196744</v>
      </c>
      <c r="O3004">
        <f>LN(dataset[[#This Row],[soda_sales]])</f>
        <v>11.750519812359434</v>
      </c>
      <c r="P3004">
        <f>LN(dataset[[#This Row],[soda_ppu]])</f>
        <v>-0.3226876816505963</v>
      </c>
      <c r="Q3004">
        <f>IF(dataset[[#This Row],[state]]="VA",1,0)</f>
        <v>0</v>
      </c>
    </row>
    <row r="3005" spans="1:17" x14ac:dyDescent="0.35">
      <c r="A3005">
        <v>202304</v>
      </c>
      <c r="B3005">
        <v>31</v>
      </c>
      <c r="C3005" s="2">
        <v>2542516.1867999998</v>
      </c>
      <c r="D3005" s="2">
        <v>0.70879999999999999</v>
      </c>
      <c r="E3005" s="3">
        <v>213485</v>
      </c>
      <c r="F3005" s="2">
        <v>151318.647</v>
      </c>
      <c r="G3005" t="s">
        <v>227</v>
      </c>
      <c r="H3005" t="s">
        <v>5</v>
      </c>
      <c r="I3005" t="str">
        <f>HLOOKUP(G3005,zip_tiers!$A$1:$EON$2,2,FALSE)</f>
        <v/>
      </c>
      <c r="J3005" t="str">
        <f t="shared" si="46"/>
        <v>No Data</v>
      </c>
      <c r="K3005">
        <f>dataset[[#This Row],[soda_sales]]/dataset[[#This Row],[soda_units_sold]]</f>
        <v>0.70880224371735723</v>
      </c>
      <c r="L3005" s="29">
        <f>dataset[[#This Row],[implied_soda_ppu]]-dataset[[#This Row],[soda_ppu]]</f>
        <v>2.2437173572420477E-6</v>
      </c>
      <c r="M3005">
        <f>dataset[[#This Row],[soda_sales]]/dataset[[#This Row],[total_sales]]</f>
        <v>5.9515313131771642E-2</v>
      </c>
      <c r="N3005">
        <f>LN(dataset[[#This Row],[soda_units_sold]])</f>
        <v>12.271321851571393</v>
      </c>
      <c r="O3005">
        <f>LN(dataset[[#This Row],[soda_sales]])</f>
        <v>11.927143137390576</v>
      </c>
      <c r="P3005">
        <f>LN(dataset[[#This Row],[soda_ppu]])</f>
        <v>-0.3441818796912659</v>
      </c>
      <c r="Q3005">
        <f>IF(dataset[[#This Row],[state]]="VA",1,0)</f>
        <v>0</v>
      </c>
    </row>
    <row r="3006" spans="1:17" x14ac:dyDescent="0.35">
      <c r="A3006">
        <v>202305</v>
      </c>
      <c r="B3006">
        <v>31</v>
      </c>
      <c r="C3006" s="2">
        <v>2661865.6405000002</v>
      </c>
      <c r="D3006" s="2">
        <v>0.68430000000000002</v>
      </c>
      <c r="E3006" s="3">
        <v>237743</v>
      </c>
      <c r="F3006" s="2">
        <v>162691.06390000001</v>
      </c>
      <c r="G3006" t="s">
        <v>227</v>
      </c>
      <c r="H3006" t="s">
        <v>5</v>
      </c>
      <c r="I3006" t="str">
        <f>HLOOKUP(G3006,zip_tiers!$A$1:$EON$2,2,FALSE)</f>
        <v/>
      </c>
      <c r="J3006" t="str">
        <f t="shared" si="46"/>
        <v>No Data</v>
      </c>
      <c r="K3006">
        <f>dataset[[#This Row],[soda_sales]]/dataset[[#This Row],[soda_units_sold]]</f>
        <v>0.6843148437598584</v>
      </c>
      <c r="L3006" s="29">
        <f>dataset[[#This Row],[implied_soda_ppu]]-dataset[[#This Row],[soda_ppu]]</f>
        <v>1.4843759858385042E-5</v>
      </c>
      <c r="M3006">
        <f>dataset[[#This Row],[soda_sales]]/dataset[[#This Row],[total_sales]]</f>
        <v>6.1119187018560561E-2</v>
      </c>
      <c r="N3006">
        <f>LN(dataset[[#This Row],[soda_units_sold]])</f>
        <v>12.37894553728229</v>
      </c>
      <c r="O3006">
        <f>LN(dataset[[#This Row],[soda_sales]])</f>
        <v>11.999608367912654</v>
      </c>
      <c r="P3006">
        <f>LN(dataset[[#This Row],[soda_ppu]])</f>
        <v>-0.37935886102368499</v>
      </c>
      <c r="Q3006">
        <f>IF(dataset[[#This Row],[state]]="VA",1,0)</f>
        <v>0</v>
      </c>
    </row>
    <row r="3007" spans="1:17" x14ac:dyDescent="0.35">
      <c r="A3007">
        <v>202306</v>
      </c>
      <c r="B3007">
        <v>31</v>
      </c>
      <c r="C3007" s="2">
        <v>2591302.9367</v>
      </c>
      <c r="D3007" s="2">
        <v>0.70020000000000004</v>
      </c>
      <c r="E3007" s="3">
        <v>246491</v>
      </c>
      <c r="F3007" s="2">
        <v>172585.52780000001</v>
      </c>
      <c r="G3007" t="s">
        <v>227</v>
      </c>
      <c r="H3007" t="s">
        <v>5</v>
      </c>
      <c r="I3007" t="str">
        <f>HLOOKUP(G3007,zip_tiers!$A$1:$EON$2,2,FALSE)</f>
        <v/>
      </c>
      <c r="J3007" t="str">
        <f t="shared" si="46"/>
        <v>No Data</v>
      </c>
      <c r="K3007">
        <f>dataset[[#This Row],[soda_sales]]/dataset[[#This Row],[soda_units_sold]]</f>
        <v>0.70016969301110388</v>
      </c>
      <c r="L3007" s="29">
        <f>dataset[[#This Row],[implied_soda_ppu]]-dataset[[#This Row],[soda_ppu]]</f>
        <v>-3.030698889616712E-5</v>
      </c>
      <c r="M3007">
        <f>dataset[[#This Row],[soda_sales]]/dataset[[#This Row],[total_sales]]</f>
        <v>6.660183390977284E-2</v>
      </c>
      <c r="N3007">
        <f>LN(dataset[[#This Row],[soda_units_sold]])</f>
        <v>12.415080760642146</v>
      </c>
      <c r="O3007">
        <f>LN(dataset[[#This Row],[soda_sales]])</f>
        <v>12.058648205912068</v>
      </c>
      <c r="P3007">
        <f>LN(dataset[[#This Row],[soda_ppu]])</f>
        <v>-0.35638927046157171</v>
      </c>
      <c r="Q3007">
        <f>IF(dataset[[#This Row],[state]]="VA",1,0)</f>
        <v>0</v>
      </c>
    </row>
    <row r="3008" spans="1:17" x14ac:dyDescent="0.35">
      <c r="A3008">
        <v>202307</v>
      </c>
      <c r="B3008">
        <v>31</v>
      </c>
      <c r="C3008" s="2">
        <v>2436720.8259999999</v>
      </c>
      <c r="D3008" s="2">
        <v>0.70599999999999996</v>
      </c>
      <c r="E3008" s="3">
        <v>251873</v>
      </c>
      <c r="F3008" s="2">
        <v>177827.66959999999</v>
      </c>
      <c r="G3008" t="s">
        <v>227</v>
      </c>
      <c r="H3008" t="s">
        <v>5</v>
      </c>
      <c r="I3008" t="str">
        <f>HLOOKUP(G3008,zip_tiers!$A$1:$EON$2,2,FALSE)</f>
        <v/>
      </c>
      <c r="J3008" t="str">
        <f t="shared" si="46"/>
        <v>No Data</v>
      </c>
      <c r="K3008">
        <f>dataset[[#This Row],[soda_sales]]/dataset[[#This Row],[soda_units_sold]]</f>
        <v>0.70602116781076174</v>
      </c>
      <c r="L3008" s="29">
        <f>dataset[[#This Row],[implied_soda_ppu]]-dataset[[#This Row],[soda_ppu]]</f>
        <v>2.1167810761779648E-5</v>
      </c>
      <c r="M3008">
        <f>dataset[[#This Row],[soda_sales]]/dataset[[#This Row],[total_sales]]</f>
        <v>7.2978269690382666E-2</v>
      </c>
      <c r="N3008">
        <f>LN(dataset[[#This Row],[soda_units_sold]])</f>
        <v>12.436680271204908</v>
      </c>
      <c r="O3008">
        <f>LN(dataset[[#This Row],[soda_sales]])</f>
        <v>12.088570212001331</v>
      </c>
      <c r="P3008">
        <f>LN(dataset[[#This Row],[soda_ppu]])</f>
        <v>-0.34814004148889505</v>
      </c>
      <c r="Q3008">
        <f>IF(dataset[[#This Row],[state]]="VA",1,0)</f>
        <v>0</v>
      </c>
    </row>
    <row r="3009" spans="1:17" x14ac:dyDescent="0.35">
      <c r="A3009">
        <v>202308</v>
      </c>
      <c r="B3009">
        <v>31</v>
      </c>
      <c r="C3009" s="2">
        <v>2323421.8481999999</v>
      </c>
      <c r="D3009" s="2">
        <v>0.69410000000000005</v>
      </c>
      <c r="E3009" s="3">
        <v>226409</v>
      </c>
      <c r="F3009" s="2">
        <v>157153.97219999999</v>
      </c>
      <c r="G3009" t="s">
        <v>227</v>
      </c>
      <c r="H3009" t="s">
        <v>5</v>
      </c>
      <c r="I3009" t="str">
        <f>HLOOKUP(G3009,zip_tiers!$A$1:$EON$2,2,FALSE)</f>
        <v/>
      </c>
      <c r="J3009" t="str">
        <f t="shared" si="46"/>
        <v>No Data</v>
      </c>
      <c r="K3009">
        <f>dataset[[#This Row],[soda_sales]]/dataset[[#This Row],[soda_units_sold]]</f>
        <v>0.69411539382268372</v>
      </c>
      <c r="L3009" s="29">
        <f>dataset[[#This Row],[implied_soda_ppu]]-dataset[[#This Row],[soda_ppu]]</f>
        <v>1.5393822683673619E-5</v>
      </c>
      <c r="M3009">
        <f>dataset[[#This Row],[soda_sales]]/dataset[[#This Row],[total_sales]]</f>
        <v>6.763901799483818E-2</v>
      </c>
      <c r="N3009">
        <f>LN(dataset[[#This Row],[soda_units_sold]])</f>
        <v>12.330098377171225</v>
      </c>
      <c r="O3009">
        <f>LN(dataset[[#This Row],[soda_sales]])</f>
        <v>11.964981318393701</v>
      </c>
      <c r="P3009">
        <f>LN(dataset[[#This Row],[soda_ppu]])</f>
        <v>-0.36513923663659897</v>
      </c>
      <c r="Q3009">
        <f>IF(dataset[[#This Row],[state]]="VA",1,0)</f>
        <v>0</v>
      </c>
    </row>
    <row r="3010" spans="1:17" x14ac:dyDescent="0.35">
      <c r="A3010">
        <v>202309</v>
      </c>
      <c r="B3010">
        <v>31</v>
      </c>
      <c r="C3010" s="2">
        <v>2314610.5888999999</v>
      </c>
      <c r="D3010" s="2">
        <v>0.68359999999999999</v>
      </c>
      <c r="E3010" s="3">
        <v>218082</v>
      </c>
      <c r="F3010" s="2">
        <v>149071.43400000001</v>
      </c>
      <c r="G3010" t="s">
        <v>227</v>
      </c>
      <c r="H3010" t="s">
        <v>5</v>
      </c>
      <c r="I3010" t="str">
        <f>HLOOKUP(G3010,zip_tiers!$A$1:$EON$2,2,FALSE)</f>
        <v/>
      </c>
      <c r="J3010" t="str">
        <f t="shared" ref="J3010:J3073" si="47">IF(I3010="","No Data",IF(I3010&gt;=100000,"High",IF(I3010&gt;=40000,"Med","Low")))</f>
        <v>No Data</v>
      </c>
      <c r="K3010">
        <f>dataset[[#This Row],[soda_sales]]/dataset[[#This Row],[soda_units_sold]]</f>
        <v>0.68355679973587924</v>
      </c>
      <c r="L3010" s="29">
        <f>dataset[[#This Row],[implied_soda_ppu]]-dataset[[#This Row],[soda_ppu]]</f>
        <v>-4.320026412074629E-5</v>
      </c>
      <c r="M3010">
        <f>dataset[[#This Row],[soda_sales]]/dataset[[#This Row],[total_sales]]</f>
        <v>6.4404541617017752E-2</v>
      </c>
      <c r="N3010">
        <f>LN(dataset[[#This Row],[soda_units_sold]])</f>
        <v>12.292626417834748</v>
      </c>
      <c r="O3010">
        <f>LN(dataset[[#This Row],[soda_sales]])</f>
        <v>11.912180892859986</v>
      </c>
      <c r="P3010">
        <f>LN(dataset[[#This Row],[soda_ppu]])</f>
        <v>-0.38038232774070124</v>
      </c>
      <c r="Q3010">
        <f>IF(dataset[[#This Row],[state]]="VA",1,0)</f>
        <v>0</v>
      </c>
    </row>
    <row r="3011" spans="1:17" x14ac:dyDescent="0.35">
      <c r="A3011">
        <v>202310</v>
      </c>
      <c r="B3011">
        <v>31</v>
      </c>
      <c r="C3011" s="2">
        <v>2809334.9547999999</v>
      </c>
      <c r="D3011" s="2">
        <v>0.70640000000000003</v>
      </c>
      <c r="E3011" s="3">
        <v>199038</v>
      </c>
      <c r="F3011" s="2">
        <v>140599.26930000001</v>
      </c>
      <c r="G3011" t="s">
        <v>227</v>
      </c>
      <c r="H3011" t="s">
        <v>5</v>
      </c>
      <c r="I3011" t="str">
        <f>HLOOKUP(G3011,zip_tiers!$A$1:$EON$2,2,FALSE)</f>
        <v/>
      </c>
      <c r="J3011" t="str">
        <f t="shared" si="47"/>
        <v>No Data</v>
      </c>
      <c r="K3011">
        <f>dataset[[#This Row],[soda_sales]]/dataset[[#This Row],[soda_units_sold]]</f>
        <v>0.70639410213125142</v>
      </c>
      <c r="L3011" s="29">
        <f>dataset[[#This Row],[implied_soda_ppu]]-dataset[[#This Row],[soda_ppu]]</f>
        <v>-5.8978687486055392E-6</v>
      </c>
      <c r="M3011">
        <f>dataset[[#This Row],[soda_sales]]/dataset[[#This Row],[total_sales]]</f>
        <v>5.0047171861715381E-2</v>
      </c>
      <c r="N3011">
        <f>LN(dataset[[#This Row],[soda_units_sold]])</f>
        <v>12.201251040250957</v>
      </c>
      <c r="O3011">
        <f>LN(dataset[[#This Row],[soda_sales]])</f>
        <v>11.853669061332395</v>
      </c>
      <c r="P3011">
        <f>LN(dataset[[#This Row],[soda_ppu]])</f>
        <v>-0.34757362969238675</v>
      </c>
      <c r="Q3011">
        <f>IF(dataset[[#This Row],[state]]="VA",1,0)</f>
        <v>0</v>
      </c>
    </row>
    <row r="3012" spans="1:17" x14ac:dyDescent="0.35">
      <c r="A3012">
        <v>202311</v>
      </c>
      <c r="B3012">
        <v>31</v>
      </c>
      <c r="C3012" s="2">
        <v>3175419.0473000002</v>
      </c>
      <c r="D3012" s="2">
        <v>0.69499999999999995</v>
      </c>
      <c r="E3012" s="3">
        <v>193052</v>
      </c>
      <c r="F3012" s="2">
        <v>134168.81219999999</v>
      </c>
      <c r="G3012" t="s">
        <v>227</v>
      </c>
      <c r="H3012" t="s">
        <v>5</v>
      </c>
      <c r="I3012" t="str">
        <f>HLOOKUP(G3012,zip_tiers!$A$1:$EON$2,2,FALSE)</f>
        <v/>
      </c>
      <c r="J3012" t="str">
        <f t="shared" si="47"/>
        <v>No Data</v>
      </c>
      <c r="K3012">
        <f>dataset[[#This Row],[soda_sales]]/dataset[[#This Row],[soda_units_sold]]</f>
        <v>0.69498794210886183</v>
      </c>
      <c r="L3012" s="29">
        <f>dataset[[#This Row],[implied_soda_ppu]]-dataset[[#This Row],[soda_ppu]]</f>
        <v>-1.2057891138117505E-5</v>
      </c>
      <c r="M3012">
        <f>dataset[[#This Row],[soda_sales]]/dataset[[#This Row],[total_sales]]</f>
        <v>4.2252317001776896E-2</v>
      </c>
      <c r="N3012">
        <f>LN(dataset[[#This Row],[soda_units_sold]])</f>
        <v>12.170714861649078</v>
      </c>
      <c r="O3012">
        <f>LN(dataset[[#This Row],[soda_sales]])</f>
        <v>11.806854078597576</v>
      </c>
      <c r="P3012">
        <f>LN(dataset[[#This Row],[soda_ppu]])</f>
        <v>-0.36384343341734499</v>
      </c>
      <c r="Q3012">
        <f>IF(dataset[[#This Row],[state]]="VA",1,0)</f>
        <v>0</v>
      </c>
    </row>
    <row r="3013" spans="1:17" x14ac:dyDescent="0.35">
      <c r="A3013">
        <v>202312</v>
      </c>
      <c r="B3013">
        <v>31</v>
      </c>
      <c r="C3013" s="2">
        <v>3367331.8259000001</v>
      </c>
      <c r="D3013" s="2">
        <v>0.72870000000000001</v>
      </c>
      <c r="E3013" s="3">
        <v>182422</v>
      </c>
      <c r="F3013" s="2">
        <v>132934.71280000001</v>
      </c>
      <c r="G3013" t="s">
        <v>227</v>
      </c>
      <c r="H3013" t="s">
        <v>5</v>
      </c>
      <c r="I3013" t="str">
        <f>HLOOKUP(G3013,zip_tiers!$A$1:$EON$2,2,FALSE)</f>
        <v/>
      </c>
      <c r="J3013" t="str">
        <f t="shared" si="47"/>
        <v>No Data</v>
      </c>
      <c r="K3013">
        <f>dataset[[#This Row],[soda_sales]]/dataset[[#This Row],[soda_units_sold]]</f>
        <v>0.72872083849535696</v>
      </c>
      <c r="L3013" s="29">
        <f>dataset[[#This Row],[implied_soda_ppu]]-dataset[[#This Row],[soda_ppu]]</f>
        <v>2.0838495356945153E-5</v>
      </c>
      <c r="M3013">
        <f>dataset[[#This Row],[soda_sales]]/dataset[[#This Row],[total_sales]]</f>
        <v>3.9477758555758025E-2</v>
      </c>
      <c r="N3013">
        <f>LN(dataset[[#This Row],[soda_units_sold]])</f>
        <v>12.114077963384167</v>
      </c>
      <c r="O3013">
        <f>LN(dataset[[#This Row],[soda_sales]])</f>
        <v>11.797613405479263</v>
      </c>
      <c r="P3013">
        <f>LN(dataset[[#This Row],[soda_ppu]])</f>
        <v>-0.31649315430590053</v>
      </c>
      <c r="Q3013">
        <f>IF(dataset[[#This Row],[state]]="VA",1,0)</f>
        <v>0</v>
      </c>
    </row>
    <row r="3014" spans="1:17" x14ac:dyDescent="0.35">
      <c r="A3014">
        <v>202401</v>
      </c>
      <c r="B3014">
        <v>31</v>
      </c>
      <c r="C3014" s="2">
        <v>1999545.4273000001</v>
      </c>
      <c r="D3014" s="2">
        <v>0.68300000000000005</v>
      </c>
      <c r="E3014" s="3">
        <v>146399</v>
      </c>
      <c r="F3014" s="2">
        <v>99988.411500000002</v>
      </c>
      <c r="G3014" t="s">
        <v>227</v>
      </c>
      <c r="H3014" t="s">
        <v>5</v>
      </c>
      <c r="I3014" t="str">
        <f>HLOOKUP(G3014,zip_tiers!$A$1:$EON$2,2,FALSE)</f>
        <v/>
      </c>
      <c r="J3014" t="str">
        <f t="shared" si="47"/>
        <v>No Data</v>
      </c>
      <c r="K3014">
        <f>dataset[[#This Row],[soda_sales]]/dataset[[#This Row],[soda_units_sold]]</f>
        <v>0.68298561807116165</v>
      </c>
      <c r="L3014" s="29">
        <f>dataset[[#This Row],[implied_soda_ppu]]-dataset[[#This Row],[soda_ppu]]</f>
        <v>-1.4381928838402835E-5</v>
      </c>
      <c r="M3014">
        <f>dataset[[#This Row],[soda_sales]]/dataset[[#This Row],[total_sales]]</f>
        <v>5.0005571333788121E-2</v>
      </c>
      <c r="N3014">
        <f>LN(dataset[[#This Row],[soda_units_sold]])</f>
        <v>11.894091049884926</v>
      </c>
      <c r="O3014">
        <f>LN(dataset[[#This Row],[soda_sales]])</f>
        <v>11.512809573255042</v>
      </c>
      <c r="P3014">
        <f>LN(dataset[[#This Row],[soda_ppu]])</f>
        <v>-0.38126041941134692</v>
      </c>
      <c r="Q3014">
        <f>IF(dataset[[#This Row],[state]]="VA",1,0)</f>
        <v>0</v>
      </c>
    </row>
    <row r="3015" spans="1:17" x14ac:dyDescent="0.35">
      <c r="A3015">
        <v>202402</v>
      </c>
      <c r="B3015">
        <v>31</v>
      </c>
      <c r="C3015" s="2">
        <v>2205587.8690999998</v>
      </c>
      <c r="D3015" s="2">
        <v>0.69599999999999995</v>
      </c>
      <c r="E3015" s="3">
        <v>157820</v>
      </c>
      <c r="F3015" s="2">
        <v>109846.66280000001</v>
      </c>
      <c r="G3015" t="s">
        <v>227</v>
      </c>
      <c r="H3015" t="s">
        <v>5</v>
      </c>
      <c r="I3015" t="str">
        <f>HLOOKUP(G3015,zip_tiers!$A$1:$EON$2,2,FALSE)</f>
        <v/>
      </c>
      <c r="J3015" t="str">
        <f t="shared" si="47"/>
        <v>No Data</v>
      </c>
      <c r="K3015">
        <f>dataset[[#This Row],[soda_sales]]/dataset[[#This Row],[soda_units_sold]]</f>
        <v>0.69602498289190218</v>
      </c>
      <c r="L3015" s="29">
        <f>dataset[[#This Row],[implied_soda_ppu]]-dataset[[#This Row],[soda_ppu]]</f>
        <v>2.4982891902225468E-5</v>
      </c>
      <c r="M3015">
        <f>dataset[[#This Row],[soda_sales]]/dataset[[#This Row],[total_sales]]</f>
        <v>4.9803802577506669E-2</v>
      </c>
      <c r="N3015">
        <f>LN(dataset[[#This Row],[soda_units_sold]])</f>
        <v>11.969210422075026</v>
      </c>
      <c r="O3015">
        <f>LN(dataset[[#This Row],[soda_sales]])</f>
        <v>11.606840697742729</v>
      </c>
      <c r="P3015">
        <f>LN(dataset[[#This Row],[soda_ppu]])</f>
        <v>-0.36240561864771748</v>
      </c>
      <c r="Q3015">
        <f>IF(dataset[[#This Row],[state]]="VA",1,0)</f>
        <v>0</v>
      </c>
    </row>
    <row r="3016" spans="1:17" x14ac:dyDescent="0.35">
      <c r="A3016">
        <v>202403</v>
      </c>
      <c r="B3016">
        <v>31</v>
      </c>
      <c r="C3016" s="2">
        <v>2518579.1894999999</v>
      </c>
      <c r="D3016" s="2">
        <v>0.71560000000000001</v>
      </c>
      <c r="E3016" s="3">
        <v>184914</v>
      </c>
      <c r="F3016" s="2">
        <v>132329.4914</v>
      </c>
      <c r="G3016" t="s">
        <v>227</v>
      </c>
      <c r="H3016" t="s">
        <v>5</v>
      </c>
      <c r="I3016" t="str">
        <f>HLOOKUP(G3016,zip_tiers!$A$1:$EON$2,2,FALSE)</f>
        <v/>
      </c>
      <c r="J3016" t="str">
        <f t="shared" si="47"/>
        <v>No Data</v>
      </c>
      <c r="K3016">
        <f>dataset[[#This Row],[soda_sales]]/dataset[[#This Row],[soda_units_sold]]</f>
        <v>0.71562721805812435</v>
      </c>
      <c r="L3016" s="29">
        <f>dataset[[#This Row],[implied_soda_ppu]]-dataset[[#This Row],[soda_ppu]]</f>
        <v>2.7218058124334199E-5</v>
      </c>
      <c r="M3016">
        <f>dataset[[#This Row],[soda_sales]]/dataset[[#This Row],[total_sales]]</f>
        <v>5.2541326455679431E-2</v>
      </c>
      <c r="N3016">
        <f>LN(dataset[[#This Row],[soda_units_sold]])</f>
        <v>12.127646131112428</v>
      </c>
      <c r="O3016">
        <f>LN(dataset[[#This Row],[soda_sales]])</f>
        <v>11.79305023833796</v>
      </c>
      <c r="P3016">
        <f>LN(dataset[[#This Row],[soda_ppu]])</f>
        <v>-0.33463392734757291</v>
      </c>
      <c r="Q3016">
        <f>IF(dataset[[#This Row],[state]]="VA",1,0)</f>
        <v>0</v>
      </c>
    </row>
    <row r="3017" spans="1:17" x14ac:dyDescent="0.35">
      <c r="A3017">
        <v>202404</v>
      </c>
      <c r="B3017">
        <v>31</v>
      </c>
      <c r="C3017" s="2">
        <v>2679103.7633000002</v>
      </c>
      <c r="D3017" s="2">
        <v>0.71</v>
      </c>
      <c r="E3017" s="3">
        <v>216968</v>
      </c>
      <c r="F3017" s="2">
        <v>154050.60079999999</v>
      </c>
      <c r="G3017" t="s">
        <v>227</v>
      </c>
      <c r="H3017" t="s">
        <v>5</v>
      </c>
      <c r="I3017" t="str">
        <f>HLOOKUP(G3017,zip_tiers!$A$1:$EON$2,2,FALSE)</f>
        <v/>
      </c>
      <c r="J3017" t="str">
        <f t="shared" si="47"/>
        <v>No Data</v>
      </c>
      <c r="K3017">
        <f>dataset[[#This Row],[soda_sales]]/dataset[[#This Row],[soda_units_sold]]</f>
        <v>0.71001530548283609</v>
      </c>
      <c r="L3017" s="29">
        <f>dataset[[#This Row],[implied_soda_ppu]]-dataset[[#This Row],[soda_ppu]]</f>
        <v>1.5305482836125428E-5</v>
      </c>
      <c r="M3017">
        <f>dataset[[#This Row],[soda_sales]]/dataset[[#This Row],[total_sales]]</f>
        <v>5.7500796688160875E-2</v>
      </c>
      <c r="N3017">
        <f>LN(dataset[[#This Row],[soda_units_sold]])</f>
        <v>12.287505156210711</v>
      </c>
      <c r="O3017">
        <f>LN(dataset[[#This Row],[soda_sales]])</f>
        <v>11.945036404049667</v>
      </c>
      <c r="P3017">
        <f>LN(dataset[[#This Row],[soda_ppu]])</f>
        <v>-0.34249030894677601</v>
      </c>
      <c r="Q3017">
        <f>IF(dataset[[#This Row],[state]]="VA",1,0)</f>
        <v>0</v>
      </c>
    </row>
    <row r="3018" spans="1:17" x14ac:dyDescent="0.35">
      <c r="A3018">
        <v>202405</v>
      </c>
      <c r="B3018">
        <v>31</v>
      </c>
      <c r="C3018" s="2">
        <v>2779241.7088000001</v>
      </c>
      <c r="D3018" s="2">
        <v>0.6966</v>
      </c>
      <c r="E3018" s="3">
        <v>242424</v>
      </c>
      <c r="F3018" s="2">
        <v>168879.50589999999</v>
      </c>
      <c r="G3018" t="s">
        <v>227</v>
      </c>
      <c r="H3018" t="s">
        <v>5</v>
      </c>
      <c r="I3018" t="str">
        <f>HLOOKUP(G3018,zip_tiers!$A$1:$EON$2,2,FALSE)</f>
        <v/>
      </c>
      <c r="J3018" t="str">
        <f t="shared" si="47"/>
        <v>No Data</v>
      </c>
      <c r="K3018">
        <f>dataset[[#This Row],[soda_sales]]/dataset[[#This Row],[soda_units_sold]]</f>
        <v>0.6966286584661584</v>
      </c>
      <c r="L3018" s="29">
        <f>dataset[[#This Row],[implied_soda_ppu]]-dataset[[#This Row],[soda_ppu]]</f>
        <v>2.8658466158404394E-5</v>
      </c>
      <c r="M3018">
        <f>dataset[[#This Row],[soda_sales]]/dataset[[#This Row],[total_sales]]</f>
        <v>6.0764598259040049E-2</v>
      </c>
      <c r="N3018">
        <f>LN(dataset[[#This Row],[soda_units_sold]])</f>
        <v>12.39844353817713</v>
      </c>
      <c r="O3018">
        <f>LN(dataset[[#This Row],[soda_sales]])</f>
        <v>12.036940756771831</v>
      </c>
      <c r="P3018">
        <f>LN(dataset[[#This Row],[soda_ppu]])</f>
        <v>-0.36154392105023625</v>
      </c>
      <c r="Q3018">
        <f>IF(dataset[[#This Row],[state]]="VA",1,0)</f>
        <v>0</v>
      </c>
    </row>
    <row r="3019" spans="1:17" x14ac:dyDescent="0.35">
      <c r="A3019">
        <v>202406</v>
      </c>
      <c r="B3019">
        <v>31</v>
      </c>
      <c r="C3019" s="2">
        <v>2624893.1581000001</v>
      </c>
      <c r="D3019" s="2">
        <v>0.7107</v>
      </c>
      <c r="E3019" s="3">
        <v>248244</v>
      </c>
      <c r="F3019" s="2">
        <v>176418.9094</v>
      </c>
      <c r="G3019" t="s">
        <v>227</v>
      </c>
      <c r="H3019" t="s">
        <v>5</v>
      </c>
      <c r="I3019" t="str">
        <f>HLOOKUP(G3019,zip_tiers!$A$1:$EON$2,2,FALSE)</f>
        <v/>
      </c>
      <c r="J3019" t="str">
        <f t="shared" si="47"/>
        <v>No Data</v>
      </c>
      <c r="K3019">
        <f>dataset[[#This Row],[soda_sales]]/dataset[[#This Row],[soda_units_sold]]</f>
        <v>0.71066736517297502</v>
      </c>
      <c r="L3019" s="29">
        <f>dataset[[#This Row],[implied_soda_ppu]]-dataset[[#This Row],[soda_ppu]]</f>
        <v>-3.2634827024979884E-5</v>
      </c>
      <c r="M3019">
        <f>dataset[[#This Row],[soda_sales]]/dataset[[#This Row],[total_sales]]</f>
        <v>6.7209939138131961E-2</v>
      </c>
      <c r="N3019">
        <f>LN(dataset[[#This Row],[soda_units_sold]])</f>
        <v>12.422167412431049</v>
      </c>
      <c r="O3019">
        <f>LN(dataset[[#This Row],[soda_sales]])</f>
        <v>12.080616612954856</v>
      </c>
      <c r="P3019">
        <f>LN(dataset[[#This Row],[soda_ppu]])</f>
        <v>-0.34150487914928757</v>
      </c>
      <c r="Q3019">
        <f>IF(dataset[[#This Row],[state]]="VA",1,0)</f>
        <v>0</v>
      </c>
    </row>
    <row r="3020" spans="1:17" x14ac:dyDescent="0.35">
      <c r="A3020">
        <v>202407</v>
      </c>
      <c r="B3020">
        <v>31</v>
      </c>
      <c r="C3020" s="2">
        <v>2471815.9495000001</v>
      </c>
      <c r="D3020" s="2">
        <v>0.71079999999999999</v>
      </c>
      <c r="E3020" s="3">
        <v>251191</v>
      </c>
      <c r="F3020" s="2">
        <v>178536.84030000001</v>
      </c>
      <c r="G3020" t="s">
        <v>227</v>
      </c>
      <c r="H3020" t="s">
        <v>5</v>
      </c>
      <c r="I3020" t="str">
        <f>HLOOKUP(G3020,zip_tiers!$A$1:$EON$2,2,FALSE)</f>
        <v/>
      </c>
      <c r="J3020" t="str">
        <f t="shared" si="47"/>
        <v>No Data</v>
      </c>
      <c r="K3020">
        <f>dataset[[#This Row],[soda_sales]]/dataset[[#This Row],[soda_units_sold]]</f>
        <v>0.71076129439350932</v>
      </c>
      <c r="L3020" s="29">
        <f>dataset[[#This Row],[implied_soda_ppu]]-dataset[[#This Row],[soda_ppu]]</f>
        <v>-3.8705606490663236E-5</v>
      </c>
      <c r="M3020">
        <f>dataset[[#This Row],[soda_sales]]/dataset[[#This Row],[total_sales]]</f>
        <v>7.2229018643606743E-2</v>
      </c>
      <c r="N3020">
        <f>LN(dataset[[#This Row],[soda_units_sold]])</f>
        <v>12.433968884908865</v>
      </c>
      <c r="O3020">
        <f>LN(dataset[[#This Row],[soda_sales]])</f>
        <v>12.092550247142004</v>
      </c>
      <c r="P3020">
        <f>LN(dataset[[#This Row],[soda_ppu]])</f>
        <v>-0.34136418270164082</v>
      </c>
      <c r="Q3020">
        <f>IF(dataset[[#This Row],[state]]="VA",1,0)</f>
        <v>0</v>
      </c>
    </row>
    <row r="3021" spans="1:17" x14ac:dyDescent="0.35">
      <c r="A3021">
        <v>202408</v>
      </c>
      <c r="B3021">
        <v>31</v>
      </c>
      <c r="C3021" s="2">
        <v>2414100.3391</v>
      </c>
      <c r="D3021" s="2">
        <v>0.72640000000000005</v>
      </c>
      <c r="E3021" s="3">
        <v>222946</v>
      </c>
      <c r="F3021" s="2">
        <v>161946.4761</v>
      </c>
      <c r="G3021" t="s">
        <v>227</v>
      </c>
      <c r="H3021" t="s">
        <v>5</v>
      </c>
      <c r="I3021" t="str">
        <f>HLOOKUP(G3021,zip_tiers!$A$1:$EON$2,2,FALSE)</f>
        <v/>
      </c>
      <c r="J3021" t="str">
        <f t="shared" si="47"/>
        <v>No Data</v>
      </c>
      <c r="K3021">
        <f>dataset[[#This Row],[soda_sales]]/dataset[[#This Row],[soda_units_sold]]</f>
        <v>0.72639327953854294</v>
      </c>
      <c r="L3021" s="29">
        <f>dataset[[#This Row],[implied_soda_ppu]]-dataset[[#This Row],[soda_ppu]]</f>
        <v>-6.7204614571103605E-6</v>
      </c>
      <c r="M3021">
        <f>dataset[[#This Row],[soda_sales]]/dataset[[#This Row],[total_sales]]</f>
        <v>6.7083572905828434E-2</v>
      </c>
      <c r="N3021">
        <f>LN(dataset[[#This Row],[soda_units_sold]])</f>
        <v>12.314684868652245</v>
      </c>
      <c r="O3021">
        <f>LN(dataset[[#This Row],[soda_sales]])</f>
        <v>11.995021165177807</v>
      </c>
      <c r="P3021">
        <f>LN(dataset[[#This Row],[soda_ppu]])</f>
        <v>-0.31965445169505347</v>
      </c>
      <c r="Q3021">
        <f>IF(dataset[[#This Row],[state]]="VA",1,0)</f>
        <v>0</v>
      </c>
    </row>
    <row r="3022" spans="1:17" x14ac:dyDescent="0.35">
      <c r="A3022">
        <v>202409</v>
      </c>
      <c r="B3022">
        <v>31</v>
      </c>
      <c r="C3022" s="2">
        <v>2407632.1094</v>
      </c>
      <c r="D3022" s="2">
        <v>0.71660000000000001</v>
      </c>
      <c r="E3022" s="3">
        <v>214190</v>
      </c>
      <c r="F3022" s="2">
        <v>153498.8051</v>
      </c>
      <c r="G3022" t="s">
        <v>227</v>
      </c>
      <c r="H3022" t="s">
        <v>5</v>
      </c>
      <c r="I3022" t="str">
        <f>HLOOKUP(G3022,zip_tiers!$A$1:$EON$2,2,FALSE)</f>
        <v/>
      </c>
      <c r="J3022" t="str">
        <f t="shared" si="47"/>
        <v>No Data</v>
      </c>
      <c r="K3022">
        <f>dataset[[#This Row],[soda_sales]]/dataset[[#This Row],[soda_units_sold]]</f>
        <v>0.71664785984406365</v>
      </c>
      <c r="L3022" s="29">
        <f>dataset[[#This Row],[implied_soda_ppu]]-dataset[[#This Row],[soda_ppu]]</f>
        <v>4.7859844063635748E-5</v>
      </c>
      <c r="M3022">
        <f>dataset[[#This Row],[soda_sales]]/dataset[[#This Row],[total_sales]]</f>
        <v>6.3755091361633751E-2</v>
      </c>
      <c r="N3022">
        <f>LN(dataset[[#This Row],[soda_units_sold]])</f>
        <v>12.274618750565187</v>
      </c>
      <c r="O3022">
        <f>LN(dataset[[#This Row],[soda_sales]])</f>
        <v>11.94144806161427</v>
      </c>
      <c r="P3022">
        <f>LN(dataset[[#This Row],[soda_ppu]])</f>
        <v>-0.33323747411128357</v>
      </c>
      <c r="Q3022">
        <f>IF(dataset[[#This Row],[state]]="VA",1,0)</f>
        <v>0</v>
      </c>
    </row>
    <row r="3023" spans="1:17" x14ac:dyDescent="0.35">
      <c r="A3023">
        <v>202410</v>
      </c>
      <c r="B3023">
        <v>31</v>
      </c>
      <c r="C3023" s="2">
        <v>2914192.7385</v>
      </c>
      <c r="D3023" s="2">
        <v>0.72529999999999994</v>
      </c>
      <c r="E3023" s="3">
        <v>202586</v>
      </c>
      <c r="F3023" s="2">
        <v>146934.30970000001</v>
      </c>
      <c r="G3023" t="s">
        <v>227</v>
      </c>
      <c r="H3023" t="s">
        <v>5</v>
      </c>
      <c r="I3023" t="str">
        <f>HLOOKUP(G3023,zip_tiers!$A$1:$EON$2,2,FALSE)</f>
        <v/>
      </c>
      <c r="J3023" t="str">
        <f t="shared" si="47"/>
        <v>No Data</v>
      </c>
      <c r="K3023">
        <f>dataset[[#This Row],[soda_sales]]/dataset[[#This Row],[soda_units_sold]]</f>
        <v>0.7252935034997483</v>
      </c>
      <c r="L3023" s="29">
        <f>dataset[[#This Row],[implied_soda_ppu]]-dataset[[#This Row],[soda_ppu]]</f>
        <v>-6.4965002516403914E-6</v>
      </c>
      <c r="M3023">
        <f>dataset[[#This Row],[soda_sales]]/dataset[[#This Row],[total_sales]]</f>
        <v>5.0420244261410924E-2</v>
      </c>
      <c r="N3023">
        <f>LN(dataset[[#This Row],[soda_units_sold]])</f>
        <v>12.218919766730906</v>
      </c>
      <c r="O3023">
        <f>LN(dataset[[#This Row],[soda_sales]])</f>
        <v>11.897740893094356</v>
      </c>
      <c r="P3023">
        <f>LN(dataset[[#This Row],[soda_ppu]])</f>
        <v>-0.32116991661277045</v>
      </c>
      <c r="Q3023">
        <f>IF(dataset[[#This Row],[state]]="VA",1,0)</f>
        <v>0</v>
      </c>
    </row>
    <row r="3024" spans="1:17" x14ac:dyDescent="0.35">
      <c r="A3024">
        <v>202411</v>
      </c>
      <c r="B3024">
        <v>31</v>
      </c>
      <c r="C3024" s="2">
        <v>3332271.1170999999</v>
      </c>
      <c r="D3024" s="2">
        <v>0.75060000000000004</v>
      </c>
      <c r="E3024" s="3">
        <v>187067</v>
      </c>
      <c r="F3024" s="2">
        <v>140416.23149999999</v>
      </c>
      <c r="G3024" t="s">
        <v>227</v>
      </c>
      <c r="H3024" t="s">
        <v>5</v>
      </c>
      <c r="I3024" t="str">
        <f>HLOOKUP(G3024,zip_tiers!$A$1:$EON$2,2,FALSE)</f>
        <v/>
      </c>
      <c r="J3024" t="str">
        <f t="shared" si="47"/>
        <v>No Data</v>
      </c>
      <c r="K3024">
        <f>dataset[[#This Row],[soda_sales]]/dataset[[#This Row],[soda_units_sold]]</f>
        <v>0.75061999978617289</v>
      </c>
      <c r="L3024" s="29">
        <f>dataset[[#This Row],[implied_soda_ppu]]-dataset[[#This Row],[soda_ppu]]</f>
        <v>1.9999786172841816E-5</v>
      </c>
      <c r="M3024">
        <f>dataset[[#This Row],[soda_sales]]/dataset[[#This Row],[total_sales]]</f>
        <v>4.2138297445077355E-2</v>
      </c>
      <c r="N3024">
        <f>LN(dataset[[#This Row],[soda_units_sold]])</f>
        <v>12.139222120436683</v>
      </c>
      <c r="O3024">
        <f>LN(dataset[[#This Row],[soda_sales]])</f>
        <v>11.852366372866005</v>
      </c>
      <c r="P3024">
        <f>LN(dataset[[#This Row],[soda_ppu]])</f>
        <v>-0.28688239228121654</v>
      </c>
      <c r="Q3024">
        <f>IF(dataset[[#This Row],[state]]="VA",1,0)</f>
        <v>0</v>
      </c>
    </row>
    <row r="3025" spans="1:17" x14ac:dyDescent="0.35">
      <c r="A3025">
        <v>202412</v>
      </c>
      <c r="B3025">
        <v>31</v>
      </c>
      <c r="C3025" s="2">
        <v>3457709.3906999999</v>
      </c>
      <c r="D3025" s="2">
        <v>0.74370000000000003</v>
      </c>
      <c r="E3025" s="3">
        <v>183257</v>
      </c>
      <c r="F3025" s="2">
        <v>136287.79689999999</v>
      </c>
      <c r="G3025" t="s">
        <v>227</v>
      </c>
      <c r="H3025" t="s">
        <v>5</v>
      </c>
      <c r="I3025" t="str">
        <f>HLOOKUP(G3025,zip_tiers!$A$1:$EON$2,2,FALSE)</f>
        <v/>
      </c>
      <c r="J3025" t="str">
        <f t="shared" si="47"/>
        <v>No Data</v>
      </c>
      <c r="K3025">
        <f>dataset[[#This Row],[soda_sales]]/dataset[[#This Row],[soda_units_sold]]</f>
        <v>0.74369763174121584</v>
      </c>
      <c r="L3025" s="29">
        <f>dataset[[#This Row],[implied_soda_ppu]]-dataset[[#This Row],[soda_ppu]]</f>
        <v>-2.3682587841911129E-6</v>
      </c>
      <c r="M3025">
        <f>dataset[[#This Row],[soda_sales]]/dataset[[#This Row],[total_sales]]</f>
        <v>3.9415630841205265E-2</v>
      </c>
      <c r="N3025">
        <f>LN(dataset[[#This Row],[soda_units_sold]])</f>
        <v>12.118644818200774</v>
      </c>
      <c r="O3025">
        <f>LN(dataset[[#This Row],[soda_sales]])</f>
        <v>11.822524082495251</v>
      </c>
      <c r="P3025">
        <f>LN(dataset[[#This Row],[soda_ppu]])</f>
        <v>-0.29611755127288253</v>
      </c>
      <c r="Q3025">
        <f>IF(dataset[[#This Row],[state]]="VA",1,0)</f>
        <v>0</v>
      </c>
    </row>
    <row r="3026" spans="1:17" x14ac:dyDescent="0.35">
      <c r="A3026">
        <v>202201</v>
      </c>
      <c r="B3026">
        <v>48</v>
      </c>
      <c r="C3026" s="2">
        <v>1662034.4874</v>
      </c>
      <c r="D3026" s="2">
        <v>0.68869999999999998</v>
      </c>
      <c r="E3026" s="3">
        <v>151112</v>
      </c>
      <c r="F3026" s="2">
        <v>104067.22990000001</v>
      </c>
      <c r="G3026" t="s">
        <v>297</v>
      </c>
      <c r="H3026" t="s">
        <v>5</v>
      </c>
      <c r="I3026">
        <f>HLOOKUP(G3026,zip_tiers!$A$1:$EON$2,2,FALSE)</f>
        <v>58178.333333333336</v>
      </c>
      <c r="J3026" t="str">
        <f t="shared" si="47"/>
        <v>Med</v>
      </c>
      <c r="K3026">
        <f>dataset[[#This Row],[soda_sales]]/dataset[[#This Row],[soda_units_sold]]</f>
        <v>0.68867614683148926</v>
      </c>
      <c r="L3026" s="29">
        <f>dataset[[#This Row],[implied_soda_ppu]]-dataset[[#This Row],[soda_ppu]]</f>
        <v>-2.3853168510723499E-5</v>
      </c>
      <c r="M3026">
        <f>dataset[[#This Row],[soda_sales]]/dataset[[#This Row],[total_sales]]</f>
        <v>6.2614362511091662E-2</v>
      </c>
      <c r="N3026">
        <f>LN(dataset[[#This Row],[soda_units_sold]])</f>
        <v>11.925776562711656</v>
      </c>
      <c r="O3026">
        <f>LN(dataset[[#This Row],[soda_sales]])</f>
        <v>11.55279241061646</v>
      </c>
      <c r="P3026">
        <f>LN(dataset[[#This Row],[soda_ppu]])</f>
        <v>-0.3729495164314845</v>
      </c>
      <c r="Q3026">
        <f>IF(dataset[[#This Row],[state]]="VA",1,0)</f>
        <v>0</v>
      </c>
    </row>
    <row r="3027" spans="1:17" x14ac:dyDescent="0.35">
      <c r="A3027">
        <v>202202</v>
      </c>
      <c r="B3027">
        <v>48</v>
      </c>
      <c r="C3027" s="2">
        <v>1869152.5038000001</v>
      </c>
      <c r="D3027" s="2">
        <v>0.68</v>
      </c>
      <c r="E3027" s="3">
        <v>173040</v>
      </c>
      <c r="F3027" s="2">
        <v>117670.81969999999</v>
      </c>
      <c r="G3027" t="s">
        <v>297</v>
      </c>
      <c r="H3027" t="s">
        <v>5</v>
      </c>
      <c r="I3027">
        <f>HLOOKUP(G3027,zip_tiers!$A$1:$EON$2,2,FALSE)</f>
        <v>58178.333333333336</v>
      </c>
      <c r="J3027" t="str">
        <f t="shared" si="47"/>
        <v>Med</v>
      </c>
      <c r="K3027">
        <f>dataset[[#This Row],[soda_sales]]/dataset[[#This Row],[soda_units_sold]]</f>
        <v>0.68002091828478961</v>
      </c>
      <c r="L3027" s="29">
        <f>dataset[[#This Row],[implied_soda_ppu]]-dataset[[#This Row],[soda_ppu]]</f>
        <v>2.0918284789561703E-5</v>
      </c>
      <c r="M3027">
        <f>dataset[[#This Row],[soda_sales]]/dataset[[#This Row],[total_sales]]</f>
        <v>6.2954103242391618E-2</v>
      </c>
      <c r="N3027">
        <f>LN(dataset[[#This Row],[soda_units_sold]])</f>
        <v>12.06127806062694</v>
      </c>
      <c r="O3027">
        <f>LN(dataset[[#This Row],[soda_sales]])</f>
        <v>11.675646341525324</v>
      </c>
      <c r="P3027">
        <f>LN(dataset[[#This Row],[soda_ppu]])</f>
        <v>-0.38566248081198462</v>
      </c>
      <c r="Q3027">
        <f>IF(dataset[[#This Row],[state]]="VA",1,0)</f>
        <v>0</v>
      </c>
    </row>
    <row r="3028" spans="1:17" x14ac:dyDescent="0.35">
      <c r="A3028">
        <v>202203</v>
      </c>
      <c r="B3028">
        <v>48</v>
      </c>
      <c r="C3028" s="2">
        <v>2110806.4224</v>
      </c>
      <c r="D3028" s="2">
        <v>0.68669999999999998</v>
      </c>
      <c r="E3028" s="3">
        <v>202471</v>
      </c>
      <c r="F3028" s="2">
        <v>139043.44080000001</v>
      </c>
      <c r="G3028" t="s">
        <v>297</v>
      </c>
      <c r="H3028" t="s">
        <v>5</v>
      </c>
      <c r="I3028">
        <f>HLOOKUP(G3028,zip_tiers!$A$1:$EON$2,2,FALSE)</f>
        <v>58178.333333333336</v>
      </c>
      <c r="J3028" t="str">
        <f t="shared" si="47"/>
        <v>Med</v>
      </c>
      <c r="K3028">
        <f>dataset[[#This Row],[soda_sales]]/dataset[[#This Row],[soda_units_sold]]</f>
        <v>0.68673262244963484</v>
      </c>
      <c r="L3028" s="29">
        <f>dataset[[#This Row],[implied_soda_ppu]]-dataset[[#This Row],[soda_ppu]]</f>
        <v>3.2622449634867046E-5</v>
      </c>
      <c r="M3028">
        <f>dataset[[#This Row],[soda_sales]]/dataset[[#This Row],[total_sales]]</f>
        <v>6.5872189569096892E-2</v>
      </c>
      <c r="N3028">
        <f>LN(dataset[[#This Row],[soda_units_sold]])</f>
        <v>12.218351945396675</v>
      </c>
      <c r="O3028">
        <f>LN(dataset[[#This Row],[soda_sales]])</f>
        <v>11.842541687028465</v>
      </c>
      <c r="P3028">
        <f>LN(dataset[[#This Row],[soda_ppu]])</f>
        <v>-0.37585776335550636</v>
      </c>
      <c r="Q3028">
        <f>IF(dataset[[#This Row],[state]]="VA",1,0)</f>
        <v>0</v>
      </c>
    </row>
    <row r="3029" spans="1:17" x14ac:dyDescent="0.35">
      <c r="A3029">
        <v>202204</v>
      </c>
      <c r="B3029">
        <v>48</v>
      </c>
      <c r="C3029" s="2">
        <v>2234872.2047999999</v>
      </c>
      <c r="D3029" s="2">
        <v>0.67049999999999998</v>
      </c>
      <c r="E3029" s="3">
        <v>246046</v>
      </c>
      <c r="F3029" s="2">
        <v>164970.87640000001</v>
      </c>
      <c r="G3029" t="s">
        <v>297</v>
      </c>
      <c r="H3029" t="s">
        <v>5</v>
      </c>
      <c r="I3029">
        <f>HLOOKUP(G3029,zip_tiers!$A$1:$EON$2,2,FALSE)</f>
        <v>58178.333333333336</v>
      </c>
      <c r="J3029" t="str">
        <f t="shared" si="47"/>
        <v>Med</v>
      </c>
      <c r="K3029">
        <f>dataset[[#This Row],[soda_sales]]/dataset[[#This Row],[soda_units_sold]]</f>
        <v>0.67048794290498526</v>
      </c>
      <c r="L3029" s="29">
        <f>dataset[[#This Row],[implied_soda_ppu]]-dataset[[#This Row],[soda_ppu]]</f>
        <v>-1.205709501472807E-5</v>
      </c>
      <c r="M3029">
        <f>dataset[[#This Row],[soda_sales]]/dataset[[#This Row],[total_sales]]</f>
        <v>7.3816693431364835E-2</v>
      </c>
      <c r="N3029">
        <f>LN(dataset[[#This Row],[soda_units_sold]])</f>
        <v>12.413273789303618</v>
      </c>
      <c r="O3029">
        <f>LN(dataset[[#This Row],[soda_sales]])</f>
        <v>12.013524230636916</v>
      </c>
      <c r="P3029">
        <f>LN(dataset[[#This Row],[soda_ppu]])</f>
        <v>-0.39973157626040384</v>
      </c>
      <c r="Q3029">
        <f>IF(dataset[[#This Row],[state]]="VA",1,0)</f>
        <v>0</v>
      </c>
    </row>
    <row r="3030" spans="1:17" x14ac:dyDescent="0.35">
      <c r="A3030">
        <v>202205</v>
      </c>
      <c r="B3030">
        <v>48</v>
      </c>
      <c r="C3030" s="2">
        <v>2348850.1279000002</v>
      </c>
      <c r="D3030" s="2">
        <v>0.68489999999999995</v>
      </c>
      <c r="E3030" s="3">
        <v>259733</v>
      </c>
      <c r="F3030" s="2">
        <v>177900.44630000001</v>
      </c>
      <c r="G3030" t="s">
        <v>297</v>
      </c>
      <c r="H3030" t="s">
        <v>5</v>
      </c>
      <c r="I3030">
        <f>HLOOKUP(G3030,zip_tiers!$A$1:$EON$2,2,FALSE)</f>
        <v>58178.333333333336</v>
      </c>
      <c r="J3030" t="str">
        <f t="shared" si="47"/>
        <v>Med</v>
      </c>
      <c r="K3030">
        <f>dataset[[#This Row],[soda_sales]]/dataset[[#This Row],[soda_units_sold]]</f>
        <v>0.68493586221234892</v>
      </c>
      <c r="L3030" s="29">
        <f>dataset[[#This Row],[implied_soda_ppu]]-dataset[[#This Row],[soda_ppu]]</f>
        <v>3.5862212348969358E-5</v>
      </c>
      <c r="M3030">
        <f>dataset[[#This Row],[soda_sales]]/dataset[[#This Row],[total_sales]]</f>
        <v>7.5739377402956179E-2</v>
      </c>
      <c r="N3030">
        <f>LN(dataset[[#This Row],[soda_units_sold]])</f>
        <v>12.467409459273973</v>
      </c>
      <c r="O3030">
        <f>LN(dataset[[#This Row],[soda_sales]])</f>
        <v>12.08897938236354</v>
      </c>
      <c r="P3030">
        <f>LN(dataset[[#This Row],[soda_ppu]])</f>
        <v>-0.37848243677827759</v>
      </c>
      <c r="Q3030">
        <f>IF(dataset[[#This Row],[state]]="VA",1,0)</f>
        <v>0</v>
      </c>
    </row>
    <row r="3031" spans="1:17" x14ac:dyDescent="0.35">
      <c r="A3031">
        <v>202206</v>
      </c>
      <c r="B3031">
        <v>48</v>
      </c>
      <c r="C3031" s="2">
        <v>2227829.4465000001</v>
      </c>
      <c r="D3031" s="2">
        <v>0.68420000000000003</v>
      </c>
      <c r="E3031" s="3">
        <v>263575</v>
      </c>
      <c r="F3031" s="2">
        <v>180331.09359999999</v>
      </c>
      <c r="G3031" t="s">
        <v>297</v>
      </c>
      <c r="H3031" t="s">
        <v>5</v>
      </c>
      <c r="I3031">
        <f>HLOOKUP(G3031,zip_tiers!$A$1:$EON$2,2,FALSE)</f>
        <v>58178.333333333336</v>
      </c>
      <c r="J3031" t="str">
        <f t="shared" si="47"/>
        <v>Med</v>
      </c>
      <c r="K3031">
        <f>dataset[[#This Row],[soda_sales]]/dataset[[#This Row],[soda_units_sold]]</f>
        <v>0.68417374030162192</v>
      </c>
      <c r="L3031" s="29">
        <f>dataset[[#This Row],[implied_soda_ppu]]-dataset[[#This Row],[soda_ppu]]</f>
        <v>-2.6259698378106044E-5</v>
      </c>
      <c r="M3031">
        <f>dataset[[#This Row],[soda_sales]]/dataset[[#This Row],[total_sales]]</f>
        <v>8.0944748209207218E-2</v>
      </c>
      <c r="N3031">
        <f>LN(dataset[[#This Row],[soda_units_sold]])</f>
        <v>12.48209323644515</v>
      </c>
      <c r="O3031">
        <f>LN(dataset[[#This Row],[soda_sales]])</f>
        <v>12.102549849120349</v>
      </c>
      <c r="P3031">
        <f>LN(dataset[[#This Row],[soda_ppu]])</f>
        <v>-0.37950500643863272</v>
      </c>
      <c r="Q3031">
        <f>IF(dataset[[#This Row],[state]]="VA",1,0)</f>
        <v>0</v>
      </c>
    </row>
    <row r="3032" spans="1:17" x14ac:dyDescent="0.35">
      <c r="A3032">
        <v>202207</v>
      </c>
      <c r="B3032">
        <v>48</v>
      </c>
      <c r="C3032" s="2">
        <v>2091323.1072</v>
      </c>
      <c r="D3032" s="2">
        <v>0.68899999999999995</v>
      </c>
      <c r="E3032" s="3">
        <v>273344</v>
      </c>
      <c r="F3032" s="2">
        <v>188330.323</v>
      </c>
      <c r="G3032" t="s">
        <v>297</v>
      </c>
      <c r="H3032" t="s">
        <v>5</v>
      </c>
      <c r="I3032">
        <f>HLOOKUP(G3032,zip_tiers!$A$1:$EON$2,2,FALSE)</f>
        <v>58178.333333333336</v>
      </c>
      <c r="J3032" t="str">
        <f t="shared" si="47"/>
        <v>Med</v>
      </c>
      <c r="K3032">
        <f>dataset[[#This Row],[soda_sales]]/dataset[[#This Row],[soda_units_sold]]</f>
        <v>0.68898648955162722</v>
      </c>
      <c r="L3032" s="29">
        <f>dataset[[#This Row],[implied_soda_ppu]]-dataset[[#This Row],[soda_ppu]]</f>
        <v>-1.3510448372722195E-5</v>
      </c>
      <c r="M3032">
        <f>dataset[[#This Row],[soda_sales]]/dataset[[#This Row],[total_sales]]</f>
        <v>9.0053192809670113E-2</v>
      </c>
      <c r="N3032">
        <f>LN(dataset[[#This Row],[soda_units_sold]])</f>
        <v>12.518486354201139</v>
      </c>
      <c r="O3032">
        <f>LN(dataset[[#This Row],[soda_sales]])</f>
        <v>12.145952737261926</v>
      </c>
      <c r="P3032">
        <f>LN(dataset[[#This Row],[soda_ppu]])</f>
        <v>-0.37251400796847856</v>
      </c>
      <c r="Q3032">
        <f>IF(dataset[[#This Row],[state]]="VA",1,0)</f>
        <v>0</v>
      </c>
    </row>
    <row r="3033" spans="1:17" x14ac:dyDescent="0.35">
      <c r="A3033">
        <v>202208</v>
      </c>
      <c r="B3033">
        <v>48</v>
      </c>
      <c r="C3033" s="2">
        <v>1988777.8333999999</v>
      </c>
      <c r="D3033" s="2">
        <v>0.68140000000000001</v>
      </c>
      <c r="E3033" s="3">
        <v>241520</v>
      </c>
      <c r="F3033" s="2">
        <v>164581.4417</v>
      </c>
      <c r="G3033" t="s">
        <v>297</v>
      </c>
      <c r="H3033" t="s">
        <v>5</v>
      </c>
      <c r="I3033">
        <f>HLOOKUP(G3033,zip_tiers!$A$1:$EON$2,2,FALSE)</f>
        <v>58178.333333333336</v>
      </c>
      <c r="J3033" t="str">
        <f t="shared" si="47"/>
        <v>Med</v>
      </c>
      <c r="K3033">
        <f>dataset[[#This Row],[soda_sales]]/dataset[[#This Row],[soda_units_sold]]</f>
        <v>0.68144021902947993</v>
      </c>
      <c r="L3033" s="29">
        <f>dataset[[#This Row],[implied_soda_ppu]]-dataset[[#This Row],[soda_ppu]]</f>
        <v>4.0219029479926505E-5</v>
      </c>
      <c r="M3033">
        <f>dataset[[#This Row],[soda_sales]]/dataset[[#This Row],[total_sales]]</f>
        <v>8.275506642118631E-2</v>
      </c>
      <c r="N3033">
        <f>LN(dataset[[#This Row],[soda_units_sold]])</f>
        <v>12.39470756438072</v>
      </c>
      <c r="O3033">
        <f>LN(dataset[[#This Row],[soda_sales]])</f>
        <v>12.011160812994953</v>
      </c>
      <c r="P3033">
        <f>LN(dataset[[#This Row],[soda_ppu]])</f>
        <v>-0.38360577375527083</v>
      </c>
      <c r="Q3033">
        <f>IF(dataset[[#This Row],[state]]="VA",1,0)</f>
        <v>0</v>
      </c>
    </row>
    <row r="3034" spans="1:17" x14ac:dyDescent="0.35">
      <c r="A3034">
        <v>202209</v>
      </c>
      <c r="B3034">
        <v>48</v>
      </c>
      <c r="C3034" s="2">
        <v>2008294.9288000001</v>
      </c>
      <c r="D3034" s="2">
        <v>0.7016</v>
      </c>
      <c r="E3034" s="3">
        <v>223761</v>
      </c>
      <c r="F3034" s="2">
        <v>156989.9394</v>
      </c>
      <c r="G3034" t="s">
        <v>297</v>
      </c>
      <c r="H3034" t="s">
        <v>5</v>
      </c>
      <c r="I3034">
        <f>HLOOKUP(G3034,zip_tiers!$A$1:$EON$2,2,FALSE)</f>
        <v>58178.333333333336</v>
      </c>
      <c r="J3034" t="str">
        <f t="shared" si="47"/>
        <v>Med</v>
      </c>
      <c r="K3034">
        <f>dataset[[#This Row],[soda_sales]]/dataset[[#This Row],[soda_units_sold]]</f>
        <v>0.70159652218214974</v>
      </c>
      <c r="L3034" s="29">
        <f>dataset[[#This Row],[implied_soda_ppu]]-dataset[[#This Row],[soda_ppu]]</f>
        <v>-3.4778178502614665E-6</v>
      </c>
      <c r="M3034">
        <f>dataset[[#This Row],[soda_sales]]/dataset[[#This Row],[total_sales]]</f>
        <v>7.8170759258852932E-2</v>
      </c>
      <c r="N3034">
        <f>LN(dataset[[#This Row],[soda_units_sold]])</f>
        <v>12.318333796939863</v>
      </c>
      <c r="O3034">
        <f>LN(dataset[[#This Row],[soda_sales]])</f>
        <v>11.96393700202244</v>
      </c>
      <c r="P3034">
        <f>LN(dataset[[#This Row],[soda_ppu]])</f>
        <v>-0.35439183792416379</v>
      </c>
      <c r="Q3034">
        <f>IF(dataset[[#This Row],[state]]="VA",1,0)</f>
        <v>0</v>
      </c>
    </row>
    <row r="3035" spans="1:17" x14ac:dyDescent="0.35">
      <c r="A3035">
        <v>202210</v>
      </c>
      <c r="B3035">
        <v>48</v>
      </c>
      <c r="C3035" s="2">
        <v>2459444.193</v>
      </c>
      <c r="D3035" s="2">
        <v>0.68820000000000003</v>
      </c>
      <c r="E3035" s="3">
        <v>224030</v>
      </c>
      <c r="F3035" s="2">
        <v>154184.72870000001</v>
      </c>
      <c r="G3035" t="s">
        <v>297</v>
      </c>
      <c r="H3035" t="s">
        <v>5</v>
      </c>
      <c r="I3035">
        <f>HLOOKUP(G3035,zip_tiers!$A$1:$EON$2,2,FALSE)</f>
        <v>58178.333333333336</v>
      </c>
      <c r="J3035" t="str">
        <f t="shared" si="47"/>
        <v>Med</v>
      </c>
      <c r="K3035">
        <f>dataset[[#This Row],[soda_sales]]/dataset[[#This Row],[soda_units_sold]]</f>
        <v>0.68823250769986166</v>
      </c>
      <c r="L3035" s="29">
        <f>dataset[[#This Row],[implied_soda_ppu]]-dataset[[#This Row],[soda_ppu]]</f>
        <v>3.2507699861628048E-5</v>
      </c>
      <c r="M3035">
        <f>dataset[[#This Row],[soda_sales]]/dataset[[#This Row],[total_sales]]</f>
        <v>6.2690883224281402E-2</v>
      </c>
      <c r="N3035">
        <f>LN(dataset[[#This Row],[soda_units_sold]])</f>
        <v>12.319535250440975</v>
      </c>
      <c r="O3035">
        <f>LN(dataset[[#This Row],[soda_sales]])</f>
        <v>11.945906699539046</v>
      </c>
      <c r="P3035">
        <f>LN(dataset[[#This Row],[soda_ppu]])</f>
        <v>-0.37367578561875697</v>
      </c>
      <c r="Q3035">
        <f>IF(dataset[[#This Row],[state]]="VA",1,0)</f>
        <v>0</v>
      </c>
    </row>
    <row r="3036" spans="1:17" x14ac:dyDescent="0.35">
      <c r="A3036">
        <v>202211</v>
      </c>
      <c r="B3036">
        <v>48</v>
      </c>
      <c r="C3036" s="2">
        <v>2768831.3108999999</v>
      </c>
      <c r="D3036" s="2">
        <v>0.69650000000000001</v>
      </c>
      <c r="E3036" s="3">
        <v>203821</v>
      </c>
      <c r="F3036" s="2">
        <v>141963.3223</v>
      </c>
      <c r="G3036" t="s">
        <v>297</v>
      </c>
      <c r="H3036" t="s">
        <v>5</v>
      </c>
      <c r="I3036">
        <f>HLOOKUP(G3036,zip_tiers!$A$1:$EON$2,2,FALSE)</f>
        <v>58178.333333333336</v>
      </c>
      <c r="J3036" t="str">
        <f t="shared" si="47"/>
        <v>Med</v>
      </c>
      <c r="K3036">
        <f>dataset[[#This Row],[soda_sales]]/dataset[[#This Row],[soda_units_sold]]</f>
        <v>0.69650979192526774</v>
      </c>
      <c r="L3036" s="29">
        <f>dataset[[#This Row],[implied_soda_ppu]]-dataset[[#This Row],[soda_ppu]]</f>
        <v>9.7919252677325375E-6</v>
      </c>
      <c r="M3036">
        <f>dataset[[#This Row],[soda_sales]]/dataset[[#This Row],[total_sales]]</f>
        <v>5.1271928969141595E-2</v>
      </c>
      <c r="N3036">
        <f>LN(dataset[[#This Row],[soda_units_sold]])</f>
        <v>12.224997436660512</v>
      </c>
      <c r="O3036">
        <f>LN(dataset[[#This Row],[soda_sales]])</f>
        <v>11.863324009557873</v>
      </c>
      <c r="P3036">
        <f>LN(dataset[[#This Row],[soda_ppu]])</f>
        <v>-0.36168748576227666</v>
      </c>
      <c r="Q3036">
        <f>IF(dataset[[#This Row],[state]]="VA",1,0)</f>
        <v>0</v>
      </c>
    </row>
    <row r="3037" spans="1:17" x14ac:dyDescent="0.35">
      <c r="A3037">
        <v>202212</v>
      </c>
      <c r="B3037">
        <v>48</v>
      </c>
      <c r="C3037" s="2">
        <v>2986316.5962</v>
      </c>
      <c r="D3037" s="2">
        <v>0.68679999999999997</v>
      </c>
      <c r="E3037" s="3">
        <v>213164</v>
      </c>
      <c r="F3037" s="2">
        <v>146400.01759999999</v>
      </c>
      <c r="G3037" t="s">
        <v>297</v>
      </c>
      <c r="H3037" t="s">
        <v>5</v>
      </c>
      <c r="I3037">
        <f>HLOOKUP(G3037,zip_tiers!$A$1:$EON$2,2,FALSE)</f>
        <v>58178.333333333336</v>
      </c>
      <c r="J3037" t="str">
        <f t="shared" si="47"/>
        <v>Med</v>
      </c>
      <c r="K3037">
        <f>dataset[[#This Row],[soda_sales]]/dataset[[#This Row],[soda_units_sold]]</f>
        <v>0.6867952262108048</v>
      </c>
      <c r="L3037" s="29">
        <f>dataset[[#This Row],[implied_soda_ppu]]-dataset[[#This Row],[soda_ppu]]</f>
        <v>-4.773789195167133E-6</v>
      </c>
      <c r="M3037">
        <f>dataset[[#This Row],[soda_sales]]/dataset[[#This Row],[total_sales]]</f>
        <v>4.9023609146561925E-2</v>
      </c>
      <c r="N3037">
        <f>LN(dataset[[#This Row],[soda_units_sold]])</f>
        <v>12.269817101481417</v>
      </c>
      <c r="O3037">
        <f>LN(dataset[[#This Row],[soda_sales]])</f>
        <v>11.89409800072792</v>
      </c>
      <c r="P3037">
        <f>LN(dataset[[#This Row],[soda_ppu]])</f>
        <v>-0.37571214995881663</v>
      </c>
      <c r="Q3037">
        <f>IF(dataset[[#This Row],[state]]="VA",1,0)</f>
        <v>0</v>
      </c>
    </row>
    <row r="3038" spans="1:17" x14ac:dyDescent="0.35">
      <c r="A3038">
        <v>202301</v>
      </c>
      <c r="B3038">
        <v>48</v>
      </c>
      <c r="C3038" s="2">
        <v>1702256.1828000001</v>
      </c>
      <c r="D3038" s="2">
        <v>0.67349999999999999</v>
      </c>
      <c r="E3038" s="3">
        <v>155542</v>
      </c>
      <c r="F3038" s="2">
        <v>104753.08010000001</v>
      </c>
      <c r="G3038" t="s">
        <v>297</v>
      </c>
      <c r="H3038" t="s">
        <v>5</v>
      </c>
      <c r="I3038">
        <f>HLOOKUP(G3038,zip_tiers!$A$1:$EON$2,2,FALSE)</f>
        <v>58178.333333333336</v>
      </c>
      <c r="J3038" t="str">
        <f t="shared" si="47"/>
        <v>Med</v>
      </c>
      <c r="K3038">
        <f>dataset[[#This Row],[soda_sales]]/dataset[[#This Row],[soda_units_sold]]</f>
        <v>0.67347134600300884</v>
      </c>
      <c r="L3038" s="29">
        <f>dataset[[#This Row],[implied_soda_ppu]]-dataset[[#This Row],[soda_ppu]]</f>
        <v>-2.8653996991145902E-5</v>
      </c>
      <c r="M3038">
        <f>dataset[[#This Row],[soda_sales]]/dataset[[#This Row],[total_sales]]</f>
        <v>6.1537788000684004E-2</v>
      </c>
      <c r="N3038">
        <f>LN(dataset[[#This Row],[soda_units_sold]])</f>
        <v>11.954671070594966</v>
      </c>
      <c r="O3038">
        <f>LN(dataset[[#This Row],[soda_sales]])</f>
        <v>11.559361241648029</v>
      </c>
      <c r="P3038">
        <f>LN(dataset[[#This Row],[soda_ppu]])</f>
        <v>-0.39526728313171838</v>
      </c>
      <c r="Q3038">
        <f>IF(dataset[[#This Row],[state]]="VA",1,0)</f>
        <v>0</v>
      </c>
    </row>
    <row r="3039" spans="1:17" x14ac:dyDescent="0.35">
      <c r="A3039">
        <v>202302</v>
      </c>
      <c r="B3039">
        <v>48</v>
      </c>
      <c r="C3039" s="2">
        <v>1906642.3393000001</v>
      </c>
      <c r="D3039" s="2">
        <v>0.70299999999999996</v>
      </c>
      <c r="E3039" s="3">
        <v>171037</v>
      </c>
      <c r="F3039" s="2">
        <v>120236.9495</v>
      </c>
      <c r="G3039" t="s">
        <v>297</v>
      </c>
      <c r="H3039" t="s">
        <v>5</v>
      </c>
      <c r="I3039">
        <f>HLOOKUP(G3039,zip_tiers!$A$1:$EON$2,2,FALSE)</f>
        <v>58178.333333333336</v>
      </c>
      <c r="J3039" t="str">
        <f t="shared" si="47"/>
        <v>Med</v>
      </c>
      <c r="K3039">
        <f>dataset[[#This Row],[soda_sales]]/dataset[[#This Row],[soda_units_sold]]</f>
        <v>0.7029879470523922</v>
      </c>
      <c r="L3039" s="29">
        <f>dataset[[#This Row],[implied_soda_ppu]]-dataset[[#This Row],[soda_ppu]]</f>
        <v>-1.205294760775466E-5</v>
      </c>
      <c r="M3039">
        <f>dataset[[#This Row],[soda_sales]]/dataset[[#This Row],[total_sales]]</f>
        <v>6.3062141767051855E-2</v>
      </c>
      <c r="N3039">
        <f>LN(dataset[[#This Row],[soda_units_sold]])</f>
        <v>12.049635186348267</v>
      </c>
      <c r="O3039">
        <f>LN(dataset[[#This Row],[soda_sales]])</f>
        <v>11.697219654011883</v>
      </c>
      <c r="P3039">
        <f>LN(dataset[[#This Row],[soda_ppu]])</f>
        <v>-0.3523983871714722</v>
      </c>
      <c r="Q3039">
        <f>IF(dataset[[#This Row],[state]]="VA",1,0)</f>
        <v>0</v>
      </c>
    </row>
    <row r="3040" spans="1:17" x14ac:dyDescent="0.35">
      <c r="A3040">
        <v>202303</v>
      </c>
      <c r="B3040">
        <v>48</v>
      </c>
      <c r="C3040" s="2">
        <v>2139450.4964000001</v>
      </c>
      <c r="D3040" s="2">
        <v>0.7087</v>
      </c>
      <c r="E3040" s="3">
        <v>198164</v>
      </c>
      <c r="F3040" s="2">
        <v>140445.26560000001</v>
      </c>
      <c r="G3040" t="s">
        <v>297</v>
      </c>
      <c r="H3040" t="s">
        <v>5</v>
      </c>
      <c r="I3040">
        <f>HLOOKUP(G3040,zip_tiers!$A$1:$EON$2,2,FALSE)</f>
        <v>58178.333333333336</v>
      </c>
      <c r="J3040" t="str">
        <f t="shared" si="47"/>
        <v>Med</v>
      </c>
      <c r="K3040">
        <f>dataset[[#This Row],[soda_sales]]/dataset[[#This Row],[soda_units_sold]]</f>
        <v>0.70873249227912238</v>
      </c>
      <c r="L3040" s="29">
        <f>dataset[[#This Row],[implied_soda_ppu]]-dataset[[#This Row],[soda_ppu]]</f>
        <v>3.2492279122386947E-5</v>
      </c>
      <c r="M3040">
        <f>dataset[[#This Row],[soda_sales]]/dataset[[#This Row],[total_sales]]</f>
        <v>6.5645485060918093E-2</v>
      </c>
      <c r="N3040">
        <f>LN(dataset[[#This Row],[soda_units_sold]])</f>
        <v>12.196850249668032</v>
      </c>
      <c r="O3040">
        <f>LN(dataset[[#This Row],[soda_sales]])</f>
        <v>11.852573123171071</v>
      </c>
      <c r="P3040">
        <f>LN(dataset[[#This Row],[soda_ppu]])</f>
        <v>-0.34432297316592675</v>
      </c>
      <c r="Q3040">
        <f>IF(dataset[[#This Row],[state]]="VA",1,0)</f>
        <v>0</v>
      </c>
    </row>
    <row r="3041" spans="1:17" x14ac:dyDescent="0.35">
      <c r="A3041">
        <v>202304</v>
      </c>
      <c r="B3041">
        <v>48</v>
      </c>
      <c r="C3041" s="2">
        <v>2254391.0279999999</v>
      </c>
      <c r="D3041" s="2">
        <v>0.69259999999999999</v>
      </c>
      <c r="E3041" s="3">
        <v>236338</v>
      </c>
      <c r="F3041" s="2">
        <v>163697.58249999999</v>
      </c>
      <c r="G3041" t="s">
        <v>297</v>
      </c>
      <c r="H3041" t="s">
        <v>5</v>
      </c>
      <c r="I3041">
        <f>HLOOKUP(G3041,zip_tiers!$A$1:$EON$2,2,FALSE)</f>
        <v>58178.333333333336</v>
      </c>
      <c r="J3041" t="str">
        <f t="shared" si="47"/>
        <v>Med</v>
      </c>
      <c r="K3041">
        <f>dataset[[#This Row],[soda_sales]]/dataset[[#This Row],[soda_units_sold]]</f>
        <v>0.6926418201897282</v>
      </c>
      <c r="L3041" s="29">
        <f>dataset[[#This Row],[implied_soda_ppu]]-dataset[[#This Row],[soda_ppu]]</f>
        <v>4.1820189728203339E-5</v>
      </c>
      <c r="M3041">
        <f>dataset[[#This Row],[soda_sales]]/dataset[[#This Row],[total_sales]]</f>
        <v>7.2612772348205068E-2</v>
      </c>
      <c r="N3041">
        <f>LN(dataset[[#This Row],[soda_units_sold]])</f>
        <v>12.373018262772501</v>
      </c>
      <c r="O3041">
        <f>LN(dataset[[#This Row],[soda_sales]])</f>
        <v>12.005775995382129</v>
      </c>
      <c r="P3041">
        <f>LN(dataset[[#This Row],[soda_ppu]])</f>
        <v>-0.36730264701381549</v>
      </c>
      <c r="Q3041">
        <f>IF(dataset[[#This Row],[state]]="VA",1,0)</f>
        <v>0</v>
      </c>
    </row>
    <row r="3042" spans="1:17" x14ac:dyDescent="0.35">
      <c r="A3042">
        <v>202305</v>
      </c>
      <c r="B3042">
        <v>48</v>
      </c>
      <c r="C3042" s="2">
        <v>2370685.7105</v>
      </c>
      <c r="D3042" s="2">
        <v>0.72330000000000005</v>
      </c>
      <c r="E3042" s="3">
        <v>252151</v>
      </c>
      <c r="F3042" s="2">
        <v>182388.42389999999</v>
      </c>
      <c r="G3042" t="s">
        <v>297</v>
      </c>
      <c r="H3042" t="s">
        <v>5</v>
      </c>
      <c r="I3042">
        <f>HLOOKUP(G3042,zip_tiers!$A$1:$EON$2,2,FALSE)</f>
        <v>58178.333333333336</v>
      </c>
      <c r="J3042" t="str">
        <f t="shared" si="47"/>
        <v>Med</v>
      </c>
      <c r="K3042">
        <f>dataset[[#This Row],[soda_sales]]/dataset[[#This Row],[soda_units_sold]]</f>
        <v>0.72333016287859253</v>
      </c>
      <c r="L3042" s="29">
        <f>dataset[[#This Row],[implied_soda_ppu]]-dataset[[#This Row],[soda_ppu]]</f>
        <v>3.0162878592476794E-5</v>
      </c>
      <c r="M3042">
        <f>dataset[[#This Row],[soda_sales]]/dataset[[#This Row],[total_sales]]</f>
        <v>7.6934881368788677E-2</v>
      </c>
      <c r="N3042">
        <f>LN(dataset[[#This Row],[soda_units_sold]])</f>
        <v>12.437783393390324</v>
      </c>
      <c r="O3042">
        <f>LN(dataset[[#This Row],[soda_sales]])</f>
        <v>12.113893889147825</v>
      </c>
      <c r="P3042">
        <f>LN(dataset[[#This Row],[soda_ppu]])</f>
        <v>-0.32393120512690193</v>
      </c>
      <c r="Q3042">
        <f>IF(dataset[[#This Row],[state]]="VA",1,0)</f>
        <v>0</v>
      </c>
    </row>
    <row r="3043" spans="1:17" x14ac:dyDescent="0.35">
      <c r="A3043">
        <v>202306</v>
      </c>
      <c r="B3043">
        <v>48</v>
      </c>
      <c r="C3043" s="2">
        <v>2263871.6535</v>
      </c>
      <c r="D3043" s="2">
        <v>0.70299999999999996</v>
      </c>
      <c r="E3043" s="3">
        <v>271588</v>
      </c>
      <c r="F3043" s="2">
        <v>190939.0698</v>
      </c>
      <c r="G3043" t="s">
        <v>297</v>
      </c>
      <c r="H3043" t="s">
        <v>5</v>
      </c>
      <c r="I3043">
        <f>HLOOKUP(G3043,zip_tiers!$A$1:$EON$2,2,FALSE)</f>
        <v>58178.333333333336</v>
      </c>
      <c r="J3043" t="str">
        <f t="shared" si="47"/>
        <v>Med</v>
      </c>
      <c r="K3043">
        <f>dataset[[#This Row],[soda_sales]]/dataset[[#This Row],[soda_units_sold]]</f>
        <v>0.70304678336303517</v>
      </c>
      <c r="L3043" s="29">
        <f>dataset[[#This Row],[implied_soda_ppu]]-dataset[[#This Row],[soda_ppu]]</f>
        <v>4.6783363035207692E-5</v>
      </c>
      <c r="M3043">
        <f>dataset[[#This Row],[soda_sales]]/dataset[[#This Row],[total_sales]]</f>
        <v>8.4341826315464302E-2</v>
      </c>
      <c r="N3043">
        <f>LN(dataset[[#This Row],[soda_units_sold]])</f>
        <v>12.512041491069095</v>
      </c>
      <c r="O3043">
        <f>LN(dataset[[#This Row],[soda_sales]])</f>
        <v>12.159709649852717</v>
      </c>
      <c r="P3043">
        <f>LN(dataset[[#This Row],[soda_ppu]])</f>
        <v>-0.3523983871714722</v>
      </c>
      <c r="Q3043">
        <f>IF(dataset[[#This Row],[state]]="VA",1,0)</f>
        <v>0</v>
      </c>
    </row>
    <row r="3044" spans="1:17" x14ac:dyDescent="0.35">
      <c r="A3044">
        <v>202307</v>
      </c>
      <c r="B3044">
        <v>48</v>
      </c>
      <c r="C3044" s="2">
        <v>2109768.9306000001</v>
      </c>
      <c r="D3044" s="2">
        <v>0.70840000000000003</v>
      </c>
      <c r="E3044" s="3">
        <v>267576</v>
      </c>
      <c r="F3044" s="2">
        <v>189551.76250000001</v>
      </c>
      <c r="G3044" t="s">
        <v>297</v>
      </c>
      <c r="H3044" t="s">
        <v>5</v>
      </c>
      <c r="I3044">
        <f>HLOOKUP(G3044,zip_tiers!$A$1:$EON$2,2,FALSE)</f>
        <v>58178.333333333336</v>
      </c>
      <c r="J3044" t="str">
        <f t="shared" si="47"/>
        <v>Med</v>
      </c>
      <c r="K3044">
        <f>dataset[[#This Row],[soda_sales]]/dataset[[#This Row],[soda_units_sold]]</f>
        <v>0.70840345359823009</v>
      </c>
      <c r="L3044" s="29">
        <f>dataset[[#This Row],[implied_soda_ppu]]-dataset[[#This Row],[soda_ppu]]</f>
        <v>3.4535982300631929E-6</v>
      </c>
      <c r="M3044">
        <f>dataset[[#This Row],[soda_sales]]/dataset[[#This Row],[total_sales]]</f>
        <v>8.9844797575103705E-2</v>
      </c>
      <c r="N3044">
        <f>LN(dataset[[#This Row],[soda_units_sold]])</f>
        <v>12.497158917115517</v>
      </c>
      <c r="O3044">
        <f>LN(dataset[[#This Row],[soda_sales]])</f>
        <v>12.152417419239422</v>
      </c>
      <c r="P3044">
        <f>LN(dataset[[#This Row],[soda_ppu]])</f>
        <v>-0.34474637307345851</v>
      </c>
      <c r="Q3044">
        <f>IF(dataset[[#This Row],[state]]="VA",1,0)</f>
        <v>0</v>
      </c>
    </row>
    <row r="3045" spans="1:17" x14ac:dyDescent="0.35">
      <c r="A3045">
        <v>202308</v>
      </c>
      <c r="B3045">
        <v>48</v>
      </c>
      <c r="C3045" s="2">
        <v>2021821.4166000001</v>
      </c>
      <c r="D3045" s="2">
        <v>0.69720000000000004</v>
      </c>
      <c r="E3045" s="3">
        <v>243419</v>
      </c>
      <c r="F3045" s="2">
        <v>169707.36929999999</v>
      </c>
      <c r="G3045" t="s">
        <v>297</v>
      </c>
      <c r="H3045" t="s">
        <v>5</v>
      </c>
      <c r="I3045">
        <f>HLOOKUP(G3045,zip_tiers!$A$1:$EON$2,2,FALSE)</f>
        <v>58178.333333333336</v>
      </c>
      <c r="J3045" t="str">
        <f t="shared" si="47"/>
        <v>Med</v>
      </c>
      <c r="K3045">
        <f>dataset[[#This Row],[soda_sales]]/dataset[[#This Row],[soda_units_sold]]</f>
        <v>0.69718209876796799</v>
      </c>
      <c r="L3045" s="29">
        <f>dataset[[#This Row],[implied_soda_ppu]]-dataset[[#This Row],[soda_ppu]]</f>
        <v>-1.7901232032047076E-5</v>
      </c>
      <c r="M3045">
        <f>dataset[[#This Row],[soda_sales]]/dataset[[#This Row],[total_sales]]</f>
        <v>8.3937863110278413E-2</v>
      </c>
      <c r="N3045">
        <f>LN(dataset[[#This Row],[soda_units_sold]])</f>
        <v>12.402539517294237</v>
      </c>
      <c r="O3045">
        <f>LN(dataset[[#This Row],[soda_sales]])</f>
        <v>12.041830875736148</v>
      </c>
      <c r="P3045">
        <f>LN(dataset[[#This Row],[soda_ppu]])</f>
        <v>-0.36068296533627114</v>
      </c>
      <c r="Q3045">
        <f>IF(dataset[[#This Row],[state]]="VA",1,0)</f>
        <v>0</v>
      </c>
    </row>
    <row r="3046" spans="1:17" x14ac:dyDescent="0.35">
      <c r="A3046">
        <v>202309</v>
      </c>
      <c r="B3046">
        <v>48</v>
      </c>
      <c r="C3046" s="2">
        <v>2031581.0482999999</v>
      </c>
      <c r="D3046" s="2">
        <v>0.71230000000000004</v>
      </c>
      <c r="E3046" s="3">
        <v>228550</v>
      </c>
      <c r="F3046" s="2">
        <v>162786.3431</v>
      </c>
      <c r="G3046" t="s">
        <v>297</v>
      </c>
      <c r="H3046" t="s">
        <v>5</v>
      </c>
      <c r="I3046">
        <f>HLOOKUP(G3046,zip_tiers!$A$1:$EON$2,2,FALSE)</f>
        <v>58178.333333333336</v>
      </c>
      <c r="J3046" t="str">
        <f t="shared" si="47"/>
        <v>Med</v>
      </c>
      <c r="K3046">
        <f>dataset[[#This Row],[soda_sales]]/dataset[[#This Row],[soda_units_sold]]</f>
        <v>0.71225702515860856</v>
      </c>
      <c r="L3046" s="29">
        <f>dataset[[#This Row],[implied_soda_ppu]]-dataset[[#This Row],[soda_ppu]]</f>
        <v>-4.2974841391485441E-5</v>
      </c>
      <c r="M3046">
        <f>dataset[[#This Row],[soda_sales]]/dataset[[#This Row],[total_sales]]</f>
        <v>8.0127909854355778E-2</v>
      </c>
      <c r="N3046">
        <f>LN(dataset[[#This Row],[soda_units_sold]])</f>
        <v>12.339510283759891</v>
      </c>
      <c r="O3046">
        <f>LN(dataset[[#This Row],[soda_sales]])</f>
        <v>12.000193841439678</v>
      </c>
      <c r="P3046">
        <f>LN(dataset[[#This Row],[soda_ppu]])</f>
        <v>-0.33925610799782885</v>
      </c>
      <c r="Q3046">
        <f>IF(dataset[[#This Row],[state]]="VA",1,0)</f>
        <v>0</v>
      </c>
    </row>
    <row r="3047" spans="1:17" x14ac:dyDescent="0.35">
      <c r="A3047">
        <v>202310</v>
      </c>
      <c r="B3047">
        <v>48</v>
      </c>
      <c r="C3047" s="2">
        <v>2506083.7714999998</v>
      </c>
      <c r="D3047" s="2">
        <v>0.71109999999999995</v>
      </c>
      <c r="E3047" s="3">
        <v>216355</v>
      </c>
      <c r="F3047" s="2">
        <v>153853.57070000001</v>
      </c>
      <c r="G3047" t="s">
        <v>297</v>
      </c>
      <c r="H3047" t="s">
        <v>5</v>
      </c>
      <c r="I3047">
        <f>HLOOKUP(G3047,zip_tiers!$A$1:$EON$2,2,FALSE)</f>
        <v>58178.333333333336</v>
      </c>
      <c r="J3047" t="str">
        <f t="shared" si="47"/>
        <v>Med</v>
      </c>
      <c r="K3047">
        <f>dataset[[#This Row],[soda_sales]]/dataset[[#This Row],[soda_units_sold]]</f>
        <v>0.71111631670171715</v>
      </c>
      <c r="L3047" s="29">
        <f>dataset[[#This Row],[implied_soda_ppu]]-dataset[[#This Row],[soda_ppu]]</f>
        <v>1.6316701717200566E-5</v>
      </c>
      <c r="M3047">
        <f>dataset[[#This Row],[soda_sales]]/dataset[[#This Row],[total_sales]]</f>
        <v>6.1392030246423875E-2</v>
      </c>
      <c r="N3047">
        <f>LN(dataset[[#This Row],[soda_units_sold]])</f>
        <v>12.284675856086237</v>
      </c>
      <c r="O3047">
        <f>LN(dataset[[#This Row],[soda_sales]])</f>
        <v>11.94375658945064</v>
      </c>
      <c r="P3047">
        <f>LN(dataset[[#This Row],[soda_ppu]])</f>
        <v>-0.34094221209266484</v>
      </c>
      <c r="Q3047">
        <f>IF(dataset[[#This Row],[state]]="VA",1,0)</f>
        <v>0</v>
      </c>
    </row>
    <row r="3048" spans="1:17" x14ac:dyDescent="0.35">
      <c r="A3048">
        <v>202311</v>
      </c>
      <c r="B3048">
        <v>48</v>
      </c>
      <c r="C3048" s="2">
        <v>2827373.4252999998</v>
      </c>
      <c r="D3048" s="2">
        <v>0.7026</v>
      </c>
      <c r="E3048" s="3">
        <v>209314</v>
      </c>
      <c r="F3048" s="2">
        <v>147066.40700000001</v>
      </c>
      <c r="G3048" t="s">
        <v>297</v>
      </c>
      <c r="H3048" t="s">
        <v>5</v>
      </c>
      <c r="I3048">
        <f>HLOOKUP(G3048,zip_tiers!$A$1:$EON$2,2,FALSE)</f>
        <v>58178.333333333336</v>
      </c>
      <c r="J3048" t="str">
        <f t="shared" si="47"/>
        <v>Med</v>
      </c>
      <c r="K3048">
        <f>dataset[[#This Row],[soda_sales]]/dataset[[#This Row],[soda_units_sold]]</f>
        <v>0.70261142111851094</v>
      </c>
      <c r="L3048" s="29">
        <f>dataset[[#This Row],[implied_soda_ppu]]-dataset[[#This Row],[soda_ppu]]</f>
        <v>1.1421118510934747E-5</v>
      </c>
      <c r="M3048">
        <f>dataset[[#This Row],[soda_sales]]/dataset[[#This Row],[total_sales]]</f>
        <v>5.2015204530118077E-2</v>
      </c>
      <c r="N3048">
        <f>LN(dataset[[#This Row],[soda_units_sold]])</f>
        <v>12.251590795829186</v>
      </c>
      <c r="O3048">
        <f>LN(dataset[[#This Row],[soda_sales]])</f>
        <v>11.89863951205265</v>
      </c>
      <c r="P3048">
        <f>LN(dataset[[#This Row],[soda_ppu]])</f>
        <v>-0.3529675391504104</v>
      </c>
      <c r="Q3048">
        <f>IF(dataset[[#This Row],[state]]="VA",1,0)</f>
        <v>0</v>
      </c>
    </row>
    <row r="3049" spans="1:17" x14ac:dyDescent="0.35">
      <c r="A3049">
        <v>202312</v>
      </c>
      <c r="B3049">
        <v>48</v>
      </c>
      <c r="C3049" s="2">
        <v>2948935.6806999999</v>
      </c>
      <c r="D3049" s="2">
        <v>0.69389999999999996</v>
      </c>
      <c r="E3049" s="3">
        <v>209586</v>
      </c>
      <c r="F3049" s="2">
        <v>145427.6636</v>
      </c>
      <c r="G3049" t="s">
        <v>297</v>
      </c>
      <c r="H3049" t="s">
        <v>5</v>
      </c>
      <c r="I3049">
        <f>HLOOKUP(G3049,zip_tiers!$A$1:$EON$2,2,FALSE)</f>
        <v>58178.333333333336</v>
      </c>
      <c r="J3049" t="str">
        <f t="shared" si="47"/>
        <v>Med</v>
      </c>
      <c r="K3049">
        <f>dataset[[#This Row],[soda_sales]]/dataset[[#This Row],[soda_units_sold]]</f>
        <v>0.69388061988873306</v>
      </c>
      <c r="L3049" s="29">
        <f>dataset[[#This Row],[implied_soda_ppu]]-dataset[[#This Row],[soda_ppu]]</f>
        <v>-1.938011126689787E-5</v>
      </c>
      <c r="M3049">
        <f>dataset[[#This Row],[soda_sales]]/dataset[[#This Row],[total_sales]]</f>
        <v>4.931530536653797E-2</v>
      </c>
      <c r="N3049">
        <f>LN(dataset[[#This Row],[soda_units_sold]])</f>
        <v>12.252889435305082</v>
      </c>
      <c r="O3049">
        <f>LN(dataset[[#This Row],[soda_sales]])</f>
        <v>11.887434084581658</v>
      </c>
      <c r="P3049">
        <f>LN(dataset[[#This Row],[soda_ppu]])</f>
        <v>-0.3654274210766339</v>
      </c>
      <c r="Q3049">
        <f>IF(dataset[[#This Row],[state]]="VA",1,0)</f>
        <v>0</v>
      </c>
    </row>
    <row r="3050" spans="1:17" x14ac:dyDescent="0.35">
      <c r="A3050">
        <v>202401</v>
      </c>
      <c r="B3050">
        <v>48</v>
      </c>
      <c r="C3050" s="2">
        <v>1723883.7353000001</v>
      </c>
      <c r="D3050" s="2">
        <v>0.71350000000000002</v>
      </c>
      <c r="E3050" s="3">
        <v>149407</v>
      </c>
      <c r="F3050" s="2">
        <v>106597.8489</v>
      </c>
      <c r="G3050" t="s">
        <v>297</v>
      </c>
      <c r="H3050" t="s">
        <v>5</v>
      </c>
      <c r="I3050">
        <f>HLOOKUP(G3050,zip_tiers!$A$1:$EON$2,2,FALSE)</f>
        <v>58178.333333333336</v>
      </c>
      <c r="J3050" t="str">
        <f t="shared" si="47"/>
        <v>Med</v>
      </c>
      <c r="K3050">
        <f>dataset[[#This Row],[soda_sales]]/dataset[[#This Row],[soda_units_sold]]</f>
        <v>0.71347292228610437</v>
      </c>
      <c r="L3050" s="29">
        <f>dataset[[#This Row],[implied_soda_ppu]]-dataset[[#This Row],[soda_ppu]]</f>
        <v>-2.7077713895651279E-5</v>
      </c>
      <c r="M3050">
        <f>dataset[[#This Row],[soda_sales]]/dataset[[#This Row],[total_sales]]</f>
        <v>6.1835869042206164E-2</v>
      </c>
      <c r="N3050">
        <f>LN(dataset[[#This Row],[soda_units_sold]])</f>
        <v>11.914429404666235</v>
      </c>
      <c r="O3050">
        <f>LN(dataset[[#This Row],[soda_sales]])</f>
        <v>11.576818611335796</v>
      </c>
      <c r="P3050">
        <f>LN(dataset[[#This Row],[soda_ppu]])</f>
        <v>-0.3375728420652459</v>
      </c>
      <c r="Q3050">
        <f>IF(dataset[[#This Row],[state]]="VA",1,0)</f>
        <v>0</v>
      </c>
    </row>
    <row r="3051" spans="1:17" x14ac:dyDescent="0.35">
      <c r="A3051">
        <v>202402</v>
      </c>
      <c r="B3051">
        <v>48</v>
      </c>
      <c r="C3051" s="2">
        <v>1928890.0808000001</v>
      </c>
      <c r="D3051" s="2">
        <v>0.72550000000000003</v>
      </c>
      <c r="E3051" s="3">
        <v>166999</v>
      </c>
      <c r="F3051" s="2">
        <v>121162.7069</v>
      </c>
      <c r="G3051" t="s">
        <v>297</v>
      </c>
      <c r="H3051" t="s">
        <v>5</v>
      </c>
      <c r="I3051">
        <f>HLOOKUP(G3051,zip_tiers!$A$1:$EON$2,2,FALSE)</f>
        <v>58178.333333333336</v>
      </c>
      <c r="J3051" t="str">
        <f t="shared" si="47"/>
        <v>Med</v>
      </c>
      <c r="K3051">
        <f>dataset[[#This Row],[soda_sales]]/dataset[[#This Row],[soda_units_sold]]</f>
        <v>0.7255295355062007</v>
      </c>
      <c r="L3051" s="29">
        <f>dataset[[#This Row],[implied_soda_ppu]]-dataset[[#This Row],[soda_ppu]]</f>
        <v>2.9535506200661921E-5</v>
      </c>
      <c r="M3051">
        <f>dataset[[#This Row],[soda_sales]]/dataset[[#This Row],[total_sales]]</f>
        <v>6.2814728587202967E-2</v>
      </c>
      <c r="N3051">
        <f>LN(dataset[[#This Row],[soda_units_sold]])</f>
        <v>12.025743103357012</v>
      </c>
      <c r="O3051">
        <f>LN(dataset[[#This Row],[soda_sales]])</f>
        <v>11.704889606423464</v>
      </c>
      <c r="P3051">
        <f>LN(dataset[[#This Row],[soda_ppu]])</f>
        <v>-0.32089420665789448</v>
      </c>
      <c r="Q3051">
        <f>IF(dataset[[#This Row],[state]]="VA",1,0)</f>
        <v>0</v>
      </c>
    </row>
    <row r="3052" spans="1:17" x14ac:dyDescent="0.35">
      <c r="A3052">
        <v>202403</v>
      </c>
      <c r="B3052">
        <v>48</v>
      </c>
      <c r="C3052" s="2">
        <v>2161062.4764</v>
      </c>
      <c r="D3052" s="2">
        <v>0.70799999999999996</v>
      </c>
      <c r="E3052" s="3">
        <v>202809</v>
      </c>
      <c r="F3052" s="2">
        <v>143585.50099999999</v>
      </c>
      <c r="G3052" t="s">
        <v>297</v>
      </c>
      <c r="H3052" t="s">
        <v>5</v>
      </c>
      <c r="I3052">
        <f>HLOOKUP(G3052,zip_tiers!$A$1:$EON$2,2,FALSE)</f>
        <v>58178.333333333336</v>
      </c>
      <c r="J3052" t="str">
        <f t="shared" si="47"/>
        <v>Med</v>
      </c>
      <c r="K3052">
        <f>dataset[[#This Row],[soda_sales]]/dataset[[#This Row],[soda_units_sold]]</f>
        <v>0.7079838715244392</v>
      </c>
      <c r="L3052" s="29">
        <f>dataset[[#This Row],[implied_soda_ppu]]-dataset[[#This Row],[soda_ppu]]</f>
        <v>-1.6128475560761579E-5</v>
      </c>
      <c r="M3052">
        <f>dataset[[#This Row],[soda_sales]]/dataset[[#This Row],[total_sales]]</f>
        <v>6.6442086967884201E-2</v>
      </c>
      <c r="N3052">
        <f>LN(dataset[[#This Row],[soda_units_sold]])</f>
        <v>12.220019928412684</v>
      </c>
      <c r="O3052">
        <f>LN(dataset[[#This Row],[soda_sales]])</f>
        <v>11.874685962532078</v>
      </c>
      <c r="P3052">
        <f>LN(dataset[[#This Row],[soda_ppu]])</f>
        <v>-0.34531118528841737</v>
      </c>
      <c r="Q3052">
        <f>IF(dataset[[#This Row],[state]]="VA",1,0)</f>
        <v>0</v>
      </c>
    </row>
    <row r="3053" spans="1:17" x14ac:dyDescent="0.35">
      <c r="A3053">
        <v>202404</v>
      </c>
      <c r="B3053">
        <v>48</v>
      </c>
      <c r="C3053" s="2">
        <v>2307880.1376999998</v>
      </c>
      <c r="D3053" s="2">
        <v>0.71409999999999996</v>
      </c>
      <c r="E3053" s="3">
        <v>238654</v>
      </c>
      <c r="F3053" s="2">
        <v>170412.07819999999</v>
      </c>
      <c r="G3053" t="s">
        <v>297</v>
      </c>
      <c r="H3053" t="s">
        <v>5</v>
      </c>
      <c r="I3053">
        <f>HLOOKUP(G3053,zip_tiers!$A$1:$EON$2,2,FALSE)</f>
        <v>58178.333333333336</v>
      </c>
      <c r="J3053" t="str">
        <f t="shared" si="47"/>
        <v>Med</v>
      </c>
      <c r="K3053">
        <f>dataset[[#This Row],[soda_sales]]/dataset[[#This Row],[soda_units_sold]]</f>
        <v>0.71405498420307223</v>
      </c>
      <c r="L3053" s="29">
        <f>dataset[[#This Row],[implied_soda_ppu]]-dataset[[#This Row],[soda_ppu]]</f>
        <v>-4.5015796927727614E-5</v>
      </c>
      <c r="M3053">
        <f>dataset[[#This Row],[soda_sales]]/dataset[[#This Row],[total_sales]]</f>
        <v>7.3839223890470415E-2</v>
      </c>
      <c r="N3053">
        <f>LN(dataset[[#This Row],[soda_units_sold]])</f>
        <v>12.382770083240572</v>
      </c>
      <c r="O3053">
        <f>LN(dataset[[#This Row],[soda_sales]])</f>
        <v>12.045974772320779</v>
      </c>
      <c r="P3053">
        <f>LN(dataset[[#This Row],[soda_ppu]])</f>
        <v>-0.33673227042707282</v>
      </c>
      <c r="Q3053">
        <f>IF(dataset[[#This Row],[state]]="VA",1,0)</f>
        <v>0</v>
      </c>
    </row>
    <row r="3054" spans="1:17" x14ac:dyDescent="0.35">
      <c r="A3054">
        <v>202405</v>
      </c>
      <c r="B3054">
        <v>48</v>
      </c>
      <c r="C3054" s="2">
        <v>2444991.0469999998</v>
      </c>
      <c r="D3054" s="2">
        <v>0.71099999999999997</v>
      </c>
      <c r="E3054" s="3">
        <v>261152</v>
      </c>
      <c r="F3054" s="2">
        <v>185673.9246</v>
      </c>
      <c r="G3054" t="s">
        <v>297</v>
      </c>
      <c r="H3054" t="s">
        <v>5</v>
      </c>
      <c r="I3054">
        <f>HLOOKUP(G3054,zip_tiers!$A$1:$EON$2,2,FALSE)</f>
        <v>58178.333333333336</v>
      </c>
      <c r="J3054" t="str">
        <f t="shared" si="47"/>
        <v>Med</v>
      </c>
      <c r="K3054">
        <f>dataset[[#This Row],[soda_sales]]/dataset[[#This Row],[soda_units_sold]]</f>
        <v>0.71098028963975002</v>
      </c>
      <c r="L3054" s="29">
        <f>dataset[[#This Row],[implied_soda_ppu]]-dataset[[#This Row],[soda_ppu]]</f>
        <v>-1.9710360249947101E-5</v>
      </c>
      <c r="M3054">
        <f>dataset[[#This Row],[soda_sales]]/dataset[[#This Row],[total_sales]]</f>
        <v>7.594053353603139E-2</v>
      </c>
      <c r="N3054">
        <f>LN(dataset[[#This Row],[soda_units_sold]])</f>
        <v>12.472857892268969</v>
      </c>
      <c r="O3054">
        <f>LN(dataset[[#This Row],[soda_sales]])</f>
        <v>12.131747320680143</v>
      </c>
      <c r="P3054">
        <f>LN(dataset[[#This Row],[soda_ppu]])</f>
        <v>-0.3410828491788962</v>
      </c>
      <c r="Q3054">
        <f>IF(dataset[[#This Row],[state]]="VA",1,0)</f>
        <v>0</v>
      </c>
    </row>
    <row r="3055" spans="1:17" x14ac:dyDescent="0.35">
      <c r="A3055">
        <v>202406</v>
      </c>
      <c r="B3055">
        <v>48</v>
      </c>
      <c r="C3055" s="2">
        <v>2288857.4830999998</v>
      </c>
      <c r="D3055" s="2">
        <v>0.73850000000000005</v>
      </c>
      <c r="E3055" s="3">
        <v>260707</v>
      </c>
      <c r="F3055" s="2">
        <v>192527.37450000001</v>
      </c>
      <c r="G3055" t="s">
        <v>297</v>
      </c>
      <c r="H3055" t="s">
        <v>5</v>
      </c>
      <c r="I3055">
        <f>HLOOKUP(G3055,zip_tiers!$A$1:$EON$2,2,FALSE)</f>
        <v>58178.333333333336</v>
      </c>
      <c r="J3055" t="str">
        <f t="shared" si="47"/>
        <v>Med</v>
      </c>
      <c r="K3055">
        <f>dataset[[#This Row],[soda_sales]]/dataset[[#This Row],[soda_units_sold]]</f>
        <v>0.73848179949138304</v>
      </c>
      <c r="L3055" s="29">
        <f>dataset[[#This Row],[implied_soda_ppu]]-dataset[[#This Row],[soda_ppu]]</f>
        <v>-1.8200508617005617E-5</v>
      </c>
      <c r="M3055">
        <f>dataset[[#This Row],[soda_sales]]/dataset[[#This Row],[total_sales]]</f>
        <v>8.4115055621219084E-2</v>
      </c>
      <c r="N3055">
        <f>LN(dataset[[#This Row],[soda_units_sold]])</f>
        <v>12.471152450347462</v>
      </c>
      <c r="O3055">
        <f>LN(dataset[[#This Row],[soda_sales]])</f>
        <v>12.167993627794582</v>
      </c>
      <c r="P3055">
        <f>LN(dataset[[#This Row],[soda_ppu]])</f>
        <v>-0.3031341770107025</v>
      </c>
      <c r="Q3055">
        <f>IF(dataset[[#This Row],[state]]="VA",1,0)</f>
        <v>0</v>
      </c>
    </row>
    <row r="3056" spans="1:17" x14ac:dyDescent="0.35">
      <c r="A3056">
        <v>202407</v>
      </c>
      <c r="B3056">
        <v>48</v>
      </c>
      <c r="C3056" s="2">
        <v>2169576.3679</v>
      </c>
      <c r="D3056" s="2">
        <v>0.7107</v>
      </c>
      <c r="E3056" s="3">
        <v>276071</v>
      </c>
      <c r="F3056" s="2">
        <v>196209.50829999999</v>
      </c>
      <c r="G3056" t="s">
        <v>297</v>
      </c>
      <c r="H3056" t="s">
        <v>5</v>
      </c>
      <c r="I3056">
        <f>HLOOKUP(G3056,zip_tiers!$A$1:$EON$2,2,FALSE)</f>
        <v>58178.333333333336</v>
      </c>
      <c r="J3056" t="str">
        <f t="shared" si="47"/>
        <v>Med</v>
      </c>
      <c r="K3056">
        <f>dataset[[#This Row],[soda_sales]]/dataset[[#This Row],[soda_units_sold]]</f>
        <v>0.71072118512991223</v>
      </c>
      <c r="L3056" s="29">
        <f>dataset[[#This Row],[implied_soda_ppu]]-dataset[[#This Row],[soda_ppu]]</f>
        <v>2.1185129912226763E-5</v>
      </c>
      <c r="M3056">
        <f>dataset[[#This Row],[soda_sales]]/dataset[[#This Row],[total_sales]]</f>
        <v>9.0436783513602348E-2</v>
      </c>
      <c r="N3056">
        <f>LN(dataset[[#This Row],[soda_units_sold]])</f>
        <v>12.528413357993923</v>
      </c>
      <c r="O3056">
        <f>LN(dataset[[#This Row],[soda_sales]])</f>
        <v>12.186938287222526</v>
      </c>
      <c r="P3056">
        <f>LN(dataset[[#This Row],[soda_ppu]])</f>
        <v>-0.34150487914928757</v>
      </c>
      <c r="Q3056">
        <f>IF(dataset[[#This Row],[state]]="VA",1,0)</f>
        <v>0</v>
      </c>
    </row>
    <row r="3057" spans="1:17" x14ac:dyDescent="0.35">
      <c r="A3057">
        <v>202408</v>
      </c>
      <c r="B3057">
        <v>48</v>
      </c>
      <c r="C3057" s="2">
        <v>2095109.5969</v>
      </c>
      <c r="D3057" s="2">
        <v>0.72909999999999997</v>
      </c>
      <c r="E3057" s="3">
        <v>238877</v>
      </c>
      <c r="F3057" s="2">
        <v>174156.361</v>
      </c>
      <c r="G3057" t="s">
        <v>297</v>
      </c>
      <c r="H3057" t="s">
        <v>5</v>
      </c>
      <c r="I3057">
        <f>HLOOKUP(G3057,zip_tiers!$A$1:$EON$2,2,FALSE)</f>
        <v>58178.333333333336</v>
      </c>
      <c r="J3057" t="str">
        <f t="shared" si="47"/>
        <v>Med</v>
      </c>
      <c r="K3057">
        <f>dataset[[#This Row],[soda_sales]]/dataset[[#This Row],[soda_units_sold]]</f>
        <v>0.72906291103789822</v>
      </c>
      <c r="L3057" s="29">
        <f>dataset[[#This Row],[implied_soda_ppu]]-dataset[[#This Row],[soda_ppu]]</f>
        <v>-3.7088962101750056E-5</v>
      </c>
      <c r="M3057">
        <f>dataset[[#This Row],[soda_sales]]/dataset[[#This Row],[total_sales]]</f>
        <v>8.312517934989562E-2</v>
      </c>
      <c r="N3057">
        <f>LN(dataset[[#This Row],[soda_units_sold]])</f>
        <v>12.383704054087325</v>
      </c>
      <c r="O3057">
        <f>LN(dataset[[#This Row],[soda_sales]])</f>
        <v>12.067708801110438</v>
      </c>
      <c r="P3057">
        <f>LN(dataset[[#This Row],[soda_ppu]])</f>
        <v>-0.31594438216975246</v>
      </c>
      <c r="Q3057">
        <f>IF(dataset[[#This Row],[state]]="VA",1,0)</f>
        <v>0</v>
      </c>
    </row>
    <row r="3058" spans="1:17" x14ac:dyDescent="0.35">
      <c r="A3058">
        <v>202409</v>
      </c>
      <c r="B3058">
        <v>48</v>
      </c>
      <c r="C3058" s="2">
        <v>2075900.1006</v>
      </c>
      <c r="D3058" s="2">
        <v>0.74</v>
      </c>
      <c r="E3058" s="3">
        <v>225042</v>
      </c>
      <c r="F3058" s="2">
        <v>166532.6079</v>
      </c>
      <c r="G3058" t="s">
        <v>297</v>
      </c>
      <c r="H3058" t="s">
        <v>5</v>
      </c>
      <c r="I3058">
        <f>HLOOKUP(G3058,zip_tiers!$A$1:$EON$2,2,FALSE)</f>
        <v>58178.333333333336</v>
      </c>
      <c r="J3058" t="str">
        <f t="shared" si="47"/>
        <v>Med</v>
      </c>
      <c r="K3058">
        <f>dataset[[#This Row],[soda_sales]]/dataset[[#This Row],[soda_units_sold]]</f>
        <v>0.74000678939931219</v>
      </c>
      <c r="L3058" s="29">
        <f>dataset[[#This Row],[implied_soda_ppu]]-dataset[[#This Row],[soda_ppu]]</f>
        <v>6.7893993122014606E-6</v>
      </c>
      <c r="M3058">
        <f>dataset[[#This Row],[soda_sales]]/dataset[[#This Row],[total_sales]]</f>
        <v>8.022187958460375E-2</v>
      </c>
      <c r="N3058">
        <f>LN(dataset[[#This Row],[soda_units_sold]])</f>
        <v>12.324042330433169</v>
      </c>
      <c r="O3058">
        <f>LN(dataset[[#This Row],[soda_sales]])</f>
        <v>12.022946412471095</v>
      </c>
      <c r="P3058">
        <f>LN(dataset[[#This Row],[soda_ppu]])</f>
        <v>-0.30110509278392161</v>
      </c>
      <c r="Q3058">
        <f>IF(dataset[[#This Row],[state]]="VA",1,0)</f>
        <v>0</v>
      </c>
    </row>
    <row r="3059" spans="1:17" x14ac:dyDescent="0.35">
      <c r="A3059">
        <v>202410</v>
      </c>
      <c r="B3059">
        <v>48</v>
      </c>
      <c r="C3059" s="2">
        <v>2499572.5641000001</v>
      </c>
      <c r="D3059" s="2">
        <v>0.72150000000000003</v>
      </c>
      <c r="E3059" s="3">
        <v>215664</v>
      </c>
      <c r="F3059" s="2">
        <v>155600.83050000001</v>
      </c>
      <c r="G3059" t="s">
        <v>297</v>
      </c>
      <c r="H3059" t="s">
        <v>5</v>
      </c>
      <c r="I3059">
        <f>HLOOKUP(G3059,zip_tiers!$A$1:$EON$2,2,FALSE)</f>
        <v>58178.333333333336</v>
      </c>
      <c r="J3059" t="str">
        <f t="shared" si="47"/>
        <v>Med</v>
      </c>
      <c r="K3059">
        <f>dataset[[#This Row],[soda_sales]]/dataset[[#This Row],[soda_units_sold]]</f>
        <v>0.72149654323391943</v>
      </c>
      <c r="L3059" s="29">
        <f>dataset[[#This Row],[implied_soda_ppu]]-dataset[[#This Row],[soda_ppu]]</f>
        <v>-3.4567660806006373E-6</v>
      </c>
      <c r="M3059">
        <f>dataset[[#This Row],[soda_sales]]/dataset[[#This Row],[total_sales]]</f>
        <v>6.2250975520699033E-2</v>
      </c>
      <c r="N3059">
        <f>LN(dataset[[#This Row],[soda_units_sold]])</f>
        <v>12.281476919978051</v>
      </c>
      <c r="O3059">
        <f>LN(dataset[[#This Row],[soda_sales]])</f>
        <v>11.955049228115783</v>
      </c>
      <c r="P3059">
        <f>LN(dataset[[#This Row],[soda_ppu]])</f>
        <v>-0.32642290076821145</v>
      </c>
      <c r="Q3059">
        <f>IF(dataset[[#This Row],[state]]="VA",1,0)</f>
        <v>0</v>
      </c>
    </row>
    <row r="3060" spans="1:17" x14ac:dyDescent="0.35">
      <c r="A3060">
        <v>202411</v>
      </c>
      <c r="B3060">
        <v>48</v>
      </c>
      <c r="C3060" s="2">
        <v>2902520.5809999998</v>
      </c>
      <c r="D3060" s="2">
        <v>0.74099999999999999</v>
      </c>
      <c r="E3060" s="3">
        <v>206148</v>
      </c>
      <c r="F3060" s="2">
        <v>152764.18799999999</v>
      </c>
      <c r="G3060" t="s">
        <v>297</v>
      </c>
      <c r="H3060" t="s">
        <v>5</v>
      </c>
      <c r="I3060">
        <f>HLOOKUP(G3060,zip_tiers!$A$1:$EON$2,2,FALSE)</f>
        <v>58178.333333333336</v>
      </c>
      <c r="J3060" t="str">
        <f t="shared" si="47"/>
        <v>Med</v>
      </c>
      <c r="K3060">
        <f>dataset[[#This Row],[soda_sales]]/dataset[[#This Row],[soda_units_sold]]</f>
        <v>0.74104132953024038</v>
      </c>
      <c r="L3060" s="29">
        <f>dataset[[#This Row],[implied_soda_ppu]]-dataset[[#This Row],[soda_ppu]]</f>
        <v>4.1329530240385992E-5</v>
      </c>
      <c r="M3060">
        <f>dataset[[#This Row],[soda_sales]]/dataset[[#This Row],[total_sales]]</f>
        <v>5.2631560651111194E-2</v>
      </c>
      <c r="N3060">
        <f>LN(dataset[[#This Row],[soda_units_sold]])</f>
        <v>12.236349636414445</v>
      </c>
      <c r="O3060">
        <f>LN(dataset[[#This Row],[soda_sales]])</f>
        <v>11.936650756517462</v>
      </c>
      <c r="P3060">
        <f>LN(dataset[[#This Row],[soda_ppu]])</f>
        <v>-0.2997546536860502</v>
      </c>
      <c r="Q3060">
        <f>IF(dataset[[#This Row],[state]]="VA",1,0)</f>
        <v>0</v>
      </c>
    </row>
    <row r="3061" spans="1:17" x14ac:dyDescent="0.35">
      <c r="A3061">
        <v>202412</v>
      </c>
      <c r="B3061">
        <v>48</v>
      </c>
      <c r="C3061" s="2">
        <v>2999811.9537999998</v>
      </c>
      <c r="D3061" s="2">
        <v>0.74419999999999997</v>
      </c>
      <c r="E3061" s="3">
        <v>194216</v>
      </c>
      <c r="F3061" s="2">
        <v>144527.1146</v>
      </c>
      <c r="G3061" t="s">
        <v>297</v>
      </c>
      <c r="H3061" t="s">
        <v>5</v>
      </c>
      <c r="I3061">
        <f>HLOOKUP(G3061,zip_tiers!$A$1:$EON$2,2,FALSE)</f>
        <v>58178.333333333336</v>
      </c>
      <c r="J3061" t="str">
        <f t="shared" si="47"/>
        <v>Med</v>
      </c>
      <c r="K3061">
        <f>dataset[[#This Row],[soda_sales]]/dataset[[#This Row],[soda_units_sold]]</f>
        <v>0.74415658133212503</v>
      </c>
      <c r="L3061" s="29">
        <f>dataset[[#This Row],[implied_soda_ppu]]-dataset[[#This Row],[soda_ppu]]</f>
        <v>-4.341866787493931E-5</v>
      </c>
      <c r="M3061">
        <f>dataset[[#This Row],[soda_sales]]/dataset[[#This Row],[total_sales]]</f>
        <v>4.8178724808707045E-2</v>
      </c>
      <c r="N3061">
        <f>LN(dataset[[#This Row],[soda_units_sold]])</f>
        <v>12.176726220734944</v>
      </c>
      <c r="O3061">
        <f>LN(dataset[[#This Row],[soda_sales]])</f>
        <v>11.881222413222293</v>
      </c>
      <c r="P3061">
        <f>LN(dataset[[#This Row],[soda_ppu]])</f>
        <v>-0.29544546306961494</v>
      </c>
      <c r="Q3061">
        <f>IF(dataset[[#This Row],[state]]="VA",1,0)</f>
        <v>0</v>
      </c>
    </row>
    <row r="3062" spans="1:17" x14ac:dyDescent="0.35">
      <c r="A3062">
        <v>202201</v>
      </c>
      <c r="B3062">
        <v>66</v>
      </c>
      <c r="C3062" s="2">
        <v>1773539.6734</v>
      </c>
      <c r="D3062" s="2">
        <v>0.6865</v>
      </c>
      <c r="E3062" s="3">
        <v>154993</v>
      </c>
      <c r="F3062" s="2">
        <v>106399.1421</v>
      </c>
      <c r="G3062" t="s">
        <v>329</v>
      </c>
      <c r="H3062" t="s">
        <v>5</v>
      </c>
      <c r="I3062">
        <f>HLOOKUP(G3062,zip_tiers!$A$1:$EON$2,2,FALSE)</f>
        <v>77800</v>
      </c>
      <c r="J3062" t="str">
        <f t="shared" si="47"/>
        <v>Med</v>
      </c>
      <c r="K3062">
        <f>dataset[[#This Row],[soda_sales]]/dataset[[#This Row],[soda_units_sold]]</f>
        <v>0.68647708025523735</v>
      </c>
      <c r="L3062" s="29">
        <f>dataset[[#This Row],[implied_soda_ppu]]-dataset[[#This Row],[soda_ppu]]</f>
        <v>-2.2919744762650573E-5</v>
      </c>
      <c r="M3062">
        <f>dataset[[#This Row],[soda_sales]]/dataset[[#This Row],[total_sales]]</f>
        <v>5.999253565950706E-2</v>
      </c>
      <c r="N3062">
        <f>LN(dataset[[#This Row],[soda_units_sold]])</f>
        <v>11.951135233591259</v>
      </c>
      <c r="O3062">
        <f>LN(dataset[[#This Row],[soda_sales]])</f>
        <v>11.574952792887251</v>
      </c>
      <c r="P3062">
        <f>LN(dataset[[#This Row],[soda_ppu]])</f>
        <v>-0.37614905377411129</v>
      </c>
      <c r="Q3062">
        <f>IF(dataset[[#This Row],[state]]="VA",1,0)</f>
        <v>0</v>
      </c>
    </row>
    <row r="3063" spans="1:17" x14ac:dyDescent="0.35">
      <c r="A3063">
        <v>202202</v>
      </c>
      <c r="B3063">
        <v>66</v>
      </c>
      <c r="C3063" s="2">
        <v>2016814.4469999999</v>
      </c>
      <c r="D3063" s="2">
        <v>0.69340000000000002</v>
      </c>
      <c r="E3063" s="3">
        <v>174160</v>
      </c>
      <c r="F3063" s="2">
        <v>120770.46249999999</v>
      </c>
      <c r="G3063" t="s">
        <v>329</v>
      </c>
      <c r="H3063" t="s">
        <v>5</v>
      </c>
      <c r="I3063">
        <f>HLOOKUP(G3063,zip_tiers!$A$1:$EON$2,2,FALSE)</f>
        <v>77800</v>
      </c>
      <c r="J3063" t="str">
        <f t="shared" si="47"/>
        <v>Med</v>
      </c>
      <c r="K3063">
        <f>dataset[[#This Row],[soda_sales]]/dataset[[#This Row],[soda_units_sold]]</f>
        <v>0.69344546681212671</v>
      </c>
      <c r="L3063" s="29">
        <f>dataset[[#This Row],[implied_soda_ppu]]-dataset[[#This Row],[soda_ppu]]</f>
        <v>4.5466812126693235E-5</v>
      </c>
      <c r="M3063">
        <f>dataset[[#This Row],[soda_sales]]/dataset[[#This Row],[total_sales]]</f>
        <v>5.9881791644067886E-2</v>
      </c>
      <c r="N3063">
        <f>LN(dataset[[#This Row],[soda_units_sold]])</f>
        <v>12.067729695908429</v>
      </c>
      <c r="O3063">
        <f>LN(dataset[[#This Row],[soda_sales]])</f>
        <v>11.70164701885553</v>
      </c>
      <c r="P3063">
        <f>LN(dataset[[#This Row],[soda_ppu]])</f>
        <v>-0.36614824573121396</v>
      </c>
      <c r="Q3063">
        <f>IF(dataset[[#This Row],[state]]="VA",1,0)</f>
        <v>0</v>
      </c>
    </row>
    <row r="3064" spans="1:17" x14ac:dyDescent="0.35">
      <c r="A3064">
        <v>202203</v>
      </c>
      <c r="B3064">
        <v>66</v>
      </c>
      <c r="C3064" s="2">
        <v>2239871.3147</v>
      </c>
      <c r="D3064" s="2">
        <v>0.66590000000000005</v>
      </c>
      <c r="E3064" s="3">
        <v>211870</v>
      </c>
      <c r="F3064" s="2">
        <v>141077.95189999999</v>
      </c>
      <c r="G3064" t="s">
        <v>329</v>
      </c>
      <c r="H3064" t="s">
        <v>5</v>
      </c>
      <c r="I3064">
        <f>HLOOKUP(G3064,zip_tiers!$A$1:$EON$2,2,FALSE)</f>
        <v>77800</v>
      </c>
      <c r="J3064" t="str">
        <f t="shared" si="47"/>
        <v>Med</v>
      </c>
      <c r="K3064">
        <f>dataset[[#This Row],[soda_sales]]/dataset[[#This Row],[soda_units_sold]]</f>
        <v>0.66587035399065453</v>
      </c>
      <c r="L3064" s="29">
        <f>dataset[[#This Row],[implied_soda_ppu]]-dataset[[#This Row],[soda_ppu]]</f>
        <v>-2.9646009345518642E-5</v>
      </c>
      <c r="M3064">
        <f>dataset[[#This Row],[soda_sales]]/dataset[[#This Row],[total_sales]]</f>
        <v>6.2984846930322622E-2</v>
      </c>
      <c r="N3064">
        <f>LN(dataset[[#This Row],[soda_units_sold]])</f>
        <v>12.263728158018337</v>
      </c>
      <c r="O3064">
        <f>LN(dataset[[#This Row],[soda_sales]])</f>
        <v>11.857067866949459</v>
      </c>
      <c r="P3064">
        <f>LN(dataset[[#This Row],[soda_ppu]])</f>
        <v>-0.40661576986556031</v>
      </c>
      <c r="Q3064">
        <f>IF(dataset[[#This Row],[state]]="VA",1,0)</f>
        <v>0</v>
      </c>
    </row>
    <row r="3065" spans="1:17" x14ac:dyDescent="0.35">
      <c r="A3065">
        <v>202204</v>
      </c>
      <c r="B3065">
        <v>66</v>
      </c>
      <c r="C3065" s="2">
        <v>2366434.0312000001</v>
      </c>
      <c r="D3065" s="2">
        <v>0.69089999999999996</v>
      </c>
      <c r="E3065" s="3">
        <v>238341</v>
      </c>
      <c r="F3065" s="2">
        <v>164668.05979999999</v>
      </c>
      <c r="G3065" t="s">
        <v>329</v>
      </c>
      <c r="H3065" t="s">
        <v>5</v>
      </c>
      <c r="I3065">
        <f>HLOOKUP(G3065,zip_tiers!$A$1:$EON$2,2,FALSE)</f>
        <v>77800</v>
      </c>
      <c r="J3065" t="str">
        <f t="shared" si="47"/>
        <v>Med</v>
      </c>
      <c r="K3065">
        <f>dataset[[#This Row],[soda_sales]]/dataset[[#This Row],[soda_units_sold]]</f>
        <v>0.69089271170298017</v>
      </c>
      <c r="L3065" s="29">
        <f>dataset[[#This Row],[implied_soda_ppu]]-dataset[[#This Row],[soda_ppu]]</f>
        <v>-7.288297019791834E-6</v>
      </c>
      <c r="M3065">
        <f>dataset[[#This Row],[soda_sales]]/dataset[[#This Row],[total_sales]]</f>
        <v>6.9584893400344697E-2</v>
      </c>
      <c r="N3065">
        <f>LN(dataset[[#This Row],[soda_units_sold]])</f>
        <v>12.38145770032283</v>
      </c>
      <c r="O3065">
        <f>LN(dataset[[#This Row],[soda_sales]])</f>
        <v>12.011686967790048</v>
      </c>
      <c r="P3065">
        <f>LN(dataset[[#This Row],[soda_ppu]])</f>
        <v>-0.36976018348738793</v>
      </c>
      <c r="Q3065">
        <f>IF(dataset[[#This Row],[state]]="VA",1,0)</f>
        <v>0</v>
      </c>
    </row>
    <row r="3066" spans="1:17" x14ac:dyDescent="0.35">
      <c r="A3066">
        <v>202205</v>
      </c>
      <c r="B3066">
        <v>66</v>
      </c>
      <c r="C3066" s="2">
        <v>2488297.3890999998</v>
      </c>
      <c r="D3066" s="2">
        <v>0.69330000000000003</v>
      </c>
      <c r="E3066" s="3">
        <v>261793</v>
      </c>
      <c r="F3066" s="2">
        <v>181511.70740000001</v>
      </c>
      <c r="G3066" t="s">
        <v>329</v>
      </c>
      <c r="H3066" t="s">
        <v>5</v>
      </c>
      <c r="I3066">
        <f>HLOOKUP(G3066,zip_tiers!$A$1:$EON$2,2,FALSE)</f>
        <v>77800</v>
      </c>
      <c r="J3066" t="str">
        <f t="shared" si="47"/>
        <v>Med</v>
      </c>
      <c r="K3066">
        <f>dataset[[#This Row],[soda_sales]]/dataset[[#This Row],[soda_units_sold]]</f>
        <v>0.69334056831160507</v>
      </c>
      <c r="L3066" s="29">
        <f>dataset[[#This Row],[implied_soda_ppu]]-dataset[[#This Row],[soda_ppu]]</f>
        <v>4.0568311605038154E-5</v>
      </c>
      <c r="M3066">
        <f>dataset[[#This Row],[soda_sales]]/dataset[[#This Row],[total_sales]]</f>
        <v>7.2946147110515419E-2</v>
      </c>
      <c r="N3066">
        <f>LN(dataset[[#This Row],[soda_units_sold]])</f>
        <v>12.475309394132557</v>
      </c>
      <c r="O3066">
        <f>LN(dataset[[#This Row],[soda_sales]])</f>
        <v>12.109075434188043</v>
      </c>
      <c r="P3066">
        <f>LN(dataset[[#This Row],[soda_ppu]])</f>
        <v>-0.36629247303369228</v>
      </c>
      <c r="Q3066">
        <f>IF(dataset[[#This Row],[state]]="VA",1,0)</f>
        <v>0</v>
      </c>
    </row>
    <row r="3067" spans="1:17" x14ac:dyDescent="0.35">
      <c r="A3067">
        <v>202206</v>
      </c>
      <c r="B3067">
        <v>66</v>
      </c>
      <c r="C3067" s="2">
        <v>2350459.1779999998</v>
      </c>
      <c r="D3067" s="2">
        <v>0.68210000000000004</v>
      </c>
      <c r="E3067" s="3">
        <v>278075</v>
      </c>
      <c r="F3067" s="2">
        <v>189674.11850000001</v>
      </c>
      <c r="G3067" t="s">
        <v>329</v>
      </c>
      <c r="H3067" t="s">
        <v>5</v>
      </c>
      <c r="I3067">
        <f>HLOOKUP(G3067,zip_tiers!$A$1:$EON$2,2,FALSE)</f>
        <v>77800</v>
      </c>
      <c r="J3067" t="str">
        <f t="shared" si="47"/>
        <v>Med</v>
      </c>
      <c r="K3067">
        <f>dataset[[#This Row],[soda_sales]]/dataset[[#This Row],[soda_units_sold]]</f>
        <v>0.68209698282837372</v>
      </c>
      <c r="L3067" s="29">
        <f>dataset[[#This Row],[implied_soda_ppu]]-dataset[[#This Row],[soda_ppu]]</f>
        <v>-3.0171716263183157E-6</v>
      </c>
      <c r="M3067">
        <f>dataset[[#This Row],[soda_sales]]/dataset[[#This Row],[total_sales]]</f>
        <v>8.0696623142969562E-2</v>
      </c>
      <c r="N3067">
        <f>LN(dataset[[#This Row],[soda_units_sold]])</f>
        <v>12.53564614046023</v>
      </c>
      <c r="O3067">
        <f>LN(dataset[[#This Row],[soda_sales]])</f>
        <v>12.153062712772252</v>
      </c>
      <c r="P3067">
        <f>LN(dataset[[#This Row],[soda_ppu]])</f>
        <v>-0.38257900432146336</v>
      </c>
      <c r="Q3067">
        <f>IF(dataset[[#This Row],[state]]="VA",1,0)</f>
        <v>0</v>
      </c>
    </row>
    <row r="3068" spans="1:17" x14ac:dyDescent="0.35">
      <c r="A3068">
        <v>202207</v>
      </c>
      <c r="B3068">
        <v>66</v>
      </c>
      <c r="C3068" s="2">
        <v>2225283.9361999999</v>
      </c>
      <c r="D3068" s="2">
        <v>0.67889999999999995</v>
      </c>
      <c r="E3068" s="3">
        <v>286383</v>
      </c>
      <c r="F3068" s="2">
        <v>194438.416</v>
      </c>
      <c r="G3068" t="s">
        <v>329</v>
      </c>
      <c r="H3068" t="s">
        <v>5</v>
      </c>
      <c r="I3068">
        <f>HLOOKUP(G3068,zip_tiers!$A$1:$EON$2,2,FALSE)</f>
        <v>77800</v>
      </c>
      <c r="J3068" t="str">
        <f t="shared" si="47"/>
        <v>Med</v>
      </c>
      <c r="K3068">
        <f>dataset[[#This Row],[soda_sales]]/dataset[[#This Row],[soda_units_sold]]</f>
        <v>0.67894538432798035</v>
      </c>
      <c r="L3068" s="29">
        <f>dataset[[#This Row],[implied_soda_ppu]]-dataset[[#This Row],[soda_ppu]]</f>
        <v>4.5384327980402261E-5</v>
      </c>
      <c r="M3068">
        <f>dataset[[#This Row],[soda_sales]]/dataset[[#This Row],[total_sales]]</f>
        <v>8.7376901813272526E-2</v>
      </c>
      <c r="N3068">
        <f>LN(dataset[[#This Row],[soda_units_sold]])</f>
        <v>12.565085354764999</v>
      </c>
      <c r="O3068">
        <f>LN(dataset[[#This Row],[soda_sales]])</f>
        <v>12.177870764654291</v>
      </c>
      <c r="P3068">
        <f>LN(dataset[[#This Row],[soda_ppu]])</f>
        <v>-0.38728143767453577</v>
      </c>
      <c r="Q3068">
        <f>IF(dataset[[#This Row],[state]]="VA",1,0)</f>
        <v>0</v>
      </c>
    </row>
    <row r="3069" spans="1:17" x14ac:dyDescent="0.35">
      <c r="A3069">
        <v>202208</v>
      </c>
      <c r="B3069">
        <v>66</v>
      </c>
      <c r="C3069" s="2">
        <v>2142167.2094999999</v>
      </c>
      <c r="D3069" s="2">
        <v>0.69450000000000001</v>
      </c>
      <c r="E3069" s="3">
        <v>249351</v>
      </c>
      <c r="F3069" s="2">
        <v>173180.61</v>
      </c>
      <c r="G3069" t="s">
        <v>329</v>
      </c>
      <c r="H3069" t="s">
        <v>5</v>
      </c>
      <c r="I3069">
        <f>HLOOKUP(G3069,zip_tiers!$A$1:$EON$2,2,FALSE)</f>
        <v>77800</v>
      </c>
      <c r="J3069" t="str">
        <f t="shared" si="47"/>
        <v>Med</v>
      </c>
      <c r="K3069">
        <f>dataset[[#This Row],[soda_sales]]/dataset[[#This Row],[soda_units_sold]]</f>
        <v>0.69452542801111683</v>
      </c>
      <c r="L3069" s="29">
        <f>dataset[[#This Row],[implied_soda_ppu]]-dataset[[#This Row],[soda_ppu]]</f>
        <v>2.542801111682369E-5</v>
      </c>
      <c r="M3069">
        <f>dataset[[#This Row],[soda_sales]]/dataset[[#This Row],[total_sales]]</f>
        <v>8.0843647140141695E-2</v>
      </c>
      <c r="N3069">
        <f>LN(dataset[[#This Row],[soda_units_sold]])</f>
        <v>12.426616821393337</v>
      </c>
      <c r="O3069">
        <f>LN(dataset[[#This Row],[soda_sales]])</f>
        <v>12.06209031734228</v>
      </c>
      <c r="P3069">
        <f>LN(dataset[[#This Row],[soda_ppu]])</f>
        <v>-0.36456311678773856</v>
      </c>
      <c r="Q3069">
        <f>IF(dataset[[#This Row],[state]]="VA",1,0)</f>
        <v>0</v>
      </c>
    </row>
    <row r="3070" spans="1:17" x14ac:dyDescent="0.35">
      <c r="A3070">
        <v>202209</v>
      </c>
      <c r="B3070">
        <v>66</v>
      </c>
      <c r="C3070" s="2">
        <v>2106087.6228</v>
      </c>
      <c r="D3070" s="2">
        <v>0.67920000000000003</v>
      </c>
      <c r="E3070" s="3">
        <v>241765</v>
      </c>
      <c r="F3070" s="2">
        <v>164218.41589999999</v>
      </c>
      <c r="G3070" t="s">
        <v>329</v>
      </c>
      <c r="H3070" t="s">
        <v>5</v>
      </c>
      <c r="I3070">
        <f>HLOOKUP(G3070,zip_tiers!$A$1:$EON$2,2,FALSE)</f>
        <v>77800</v>
      </c>
      <c r="J3070" t="str">
        <f t="shared" si="47"/>
        <v>Med</v>
      </c>
      <c r="K3070">
        <f>dataset[[#This Row],[soda_sales]]/dataset[[#This Row],[soda_units_sold]]</f>
        <v>0.67924809587822887</v>
      </c>
      <c r="L3070" s="29">
        <f>dataset[[#This Row],[implied_soda_ppu]]-dataset[[#This Row],[soda_ppu]]</f>
        <v>4.8095878228848754E-5</v>
      </c>
      <c r="M3070">
        <f>dataset[[#This Row],[soda_sales]]/dataset[[#This Row],[total_sales]]</f>
        <v>7.7973211618648133E-2</v>
      </c>
      <c r="N3070">
        <f>LN(dataset[[#This Row],[soda_units_sold]])</f>
        <v>12.395721458960473</v>
      </c>
      <c r="O3070">
        <f>LN(dataset[[#This Row],[soda_sales]])</f>
        <v>12.008952625009947</v>
      </c>
      <c r="P3070">
        <f>LN(dataset[[#This Row],[soda_ppu]])</f>
        <v>-0.38683964398499943</v>
      </c>
      <c r="Q3070">
        <f>IF(dataset[[#This Row],[state]]="VA",1,0)</f>
        <v>0</v>
      </c>
    </row>
    <row r="3071" spans="1:17" x14ac:dyDescent="0.35">
      <c r="A3071">
        <v>202210</v>
      </c>
      <c r="B3071">
        <v>66</v>
      </c>
      <c r="C3071" s="2">
        <v>2643135.4777000002</v>
      </c>
      <c r="D3071" s="2">
        <v>0.69869999999999999</v>
      </c>
      <c r="E3071" s="3">
        <v>228702</v>
      </c>
      <c r="F3071" s="2">
        <v>159800.79699999999</v>
      </c>
      <c r="G3071" t="s">
        <v>329</v>
      </c>
      <c r="H3071" t="s">
        <v>5</v>
      </c>
      <c r="I3071">
        <f>HLOOKUP(G3071,zip_tiers!$A$1:$EON$2,2,FALSE)</f>
        <v>77800</v>
      </c>
      <c r="J3071" t="str">
        <f t="shared" si="47"/>
        <v>Med</v>
      </c>
      <c r="K3071">
        <f>dataset[[#This Row],[soda_sales]]/dataset[[#This Row],[soda_units_sold]]</f>
        <v>0.69872933774081547</v>
      </c>
      <c r="L3071" s="29">
        <f>dataset[[#This Row],[implied_soda_ppu]]-dataset[[#This Row],[soda_ppu]]</f>
        <v>2.9337740815482682E-5</v>
      </c>
      <c r="M3071">
        <f>dataset[[#This Row],[soda_sales]]/dataset[[#This Row],[total_sales]]</f>
        <v>6.0458799160402941E-2</v>
      </c>
      <c r="N3071">
        <f>LN(dataset[[#This Row],[soda_units_sold]])</f>
        <v>12.340175125053527</v>
      </c>
      <c r="O3071">
        <f>LN(dataset[[#This Row],[soda_sales]])</f>
        <v>11.98168329978623</v>
      </c>
      <c r="P3071">
        <f>LN(dataset[[#This Row],[soda_ppu]])</f>
        <v>-0.35853381342373208</v>
      </c>
      <c r="Q3071">
        <f>IF(dataset[[#This Row],[state]]="VA",1,0)</f>
        <v>0</v>
      </c>
    </row>
    <row r="3072" spans="1:17" x14ac:dyDescent="0.35">
      <c r="A3072">
        <v>202211</v>
      </c>
      <c r="B3072">
        <v>66</v>
      </c>
      <c r="C3072" s="2">
        <v>2946521.4139999999</v>
      </c>
      <c r="D3072" s="2">
        <v>0.65839999999999999</v>
      </c>
      <c r="E3072" s="3">
        <v>223035</v>
      </c>
      <c r="F3072" s="2">
        <v>146848.8204</v>
      </c>
      <c r="G3072" t="s">
        <v>329</v>
      </c>
      <c r="H3072" t="s">
        <v>5</v>
      </c>
      <c r="I3072">
        <f>HLOOKUP(G3072,zip_tiers!$A$1:$EON$2,2,FALSE)</f>
        <v>77800</v>
      </c>
      <c r="J3072" t="str">
        <f t="shared" si="47"/>
        <v>Med</v>
      </c>
      <c r="K3072">
        <f>dataset[[#This Row],[soda_sales]]/dataset[[#This Row],[soda_units_sold]]</f>
        <v>0.65841155155020514</v>
      </c>
      <c r="L3072" s="29">
        <f>dataset[[#This Row],[implied_soda_ppu]]-dataset[[#This Row],[soda_ppu]]</f>
        <v>1.1551550205157746E-5</v>
      </c>
      <c r="M3072">
        <f>dataset[[#This Row],[soda_sales]]/dataset[[#This Row],[total_sales]]</f>
        <v>4.9838029244337952E-2</v>
      </c>
      <c r="N3072">
        <f>LN(dataset[[#This Row],[soda_units_sold]])</f>
        <v>12.315083988799433</v>
      </c>
      <c r="O3072">
        <f>LN(dataset[[#This Row],[soda_sales]])</f>
        <v>11.897158903908089</v>
      </c>
      <c r="P3072">
        <f>LN(dataset[[#This Row],[soda_ppu]])</f>
        <v>-0.41794262961927703</v>
      </c>
      <c r="Q3072">
        <f>IF(dataset[[#This Row],[state]]="VA",1,0)</f>
        <v>0</v>
      </c>
    </row>
    <row r="3073" spans="1:17" x14ac:dyDescent="0.35">
      <c r="A3073">
        <v>202212</v>
      </c>
      <c r="B3073">
        <v>66</v>
      </c>
      <c r="C3073" s="2">
        <v>3095004.6850999999</v>
      </c>
      <c r="D3073" s="2">
        <v>0.70089999999999997</v>
      </c>
      <c r="E3073" s="3">
        <v>205279</v>
      </c>
      <c r="F3073" s="2">
        <v>143871.30960000001</v>
      </c>
      <c r="G3073" t="s">
        <v>329</v>
      </c>
      <c r="H3073" t="s">
        <v>5</v>
      </c>
      <c r="I3073">
        <f>HLOOKUP(G3073,zip_tiers!$A$1:$EON$2,2,FALSE)</f>
        <v>77800</v>
      </c>
      <c r="J3073" t="str">
        <f t="shared" si="47"/>
        <v>Med</v>
      </c>
      <c r="K3073">
        <f>dataset[[#This Row],[soda_sales]]/dataset[[#This Row],[soda_units_sold]]</f>
        <v>0.70085741649170152</v>
      </c>
      <c r="L3073" s="29">
        <f>dataset[[#This Row],[implied_soda_ppu]]-dataset[[#This Row],[soda_ppu]]</f>
        <v>-4.2583508298443817E-5</v>
      </c>
      <c r="M3073">
        <f>dataset[[#This Row],[soda_sales]]/dataset[[#This Row],[total_sales]]</f>
        <v>4.6485005432342831E-2</v>
      </c>
      <c r="N3073">
        <f>LN(dataset[[#This Row],[soda_units_sold]])</f>
        <v>12.232125308442431</v>
      </c>
      <c r="O3073">
        <f>LN(dataset[[#This Row],[soda_sales]])</f>
        <v>11.876674495651775</v>
      </c>
      <c r="P3073">
        <f>LN(dataset[[#This Row],[soda_ppu]])</f>
        <v>-0.355390055475858</v>
      </c>
      <c r="Q3073">
        <f>IF(dataset[[#This Row],[state]]="VA",1,0)</f>
        <v>0</v>
      </c>
    </row>
    <row r="3074" spans="1:17" x14ac:dyDescent="0.35">
      <c r="A3074">
        <v>202301</v>
      </c>
      <c r="B3074">
        <v>66</v>
      </c>
      <c r="C3074" s="2">
        <v>1786600.4379</v>
      </c>
      <c r="D3074" s="2">
        <v>0.70699999999999996</v>
      </c>
      <c r="E3074" s="3">
        <v>151867</v>
      </c>
      <c r="F3074" s="2">
        <v>107369.3146</v>
      </c>
      <c r="G3074" t="s">
        <v>329</v>
      </c>
      <c r="H3074" t="s">
        <v>5</v>
      </c>
      <c r="I3074">
        <f>HLOOKUP(G3074,zip_tiers!$A$1:$EON$2,2,FALSE)</f>
        <v>77800</v>
      </c>
      <c r="J3074" t="str">
        <f t="shared" ref="J3074:J3137" si="48">IF(I3074="","No Data",IF(I3074&gt;=100000,"High",IF(I3074&gt;=40000,"Med","Low")))</f>
        <v>Med</v>
      </c>
      <c r="K3074">
        <f>dataset[[#This Row],[soda_sales]]/dataset[[#This Row],[soda_units_sold]]</f>
        <v>0.70699569096643777</v>
      </c>
      <c r="L3074" s="29">
        <f>dataset[[#This Row],[implied_soda_ppu]]-dataset[[#This Row],[soda_ppu]]</f>
        <v>-4.3090335621887021E-6</v>
      </c>
      <c r="M3074">
        <f>dataset[[#This Row],[soda_sales]]/dataset[[#This Row],[total_sales]]</f>
        <v>6.0096993330083184E-2</v>
      </c>
      <c r="N3074">
        <f>LN(dataset[[#This Row],[soda_units_sold]])</f>
        <v>11.930760416792459</v>
      </c>
      <c r="O3074">
        <f>LN(dataset[[#This Row],[soda_sales]])</f>
        <v>11.584029708874231</v>
      </c>
      <c r="P3074">
        <f>LN(dataset[[#This Row],[soda_ppu]])</f>
        <v>-0.34672461308556435</v>
      </c>
      <c r="Q3074">
        <f>IF(dataset[[#This Row],[state]]="VA",1,0)</f>
        <v>0</v>
      </c>
    </row>
    <row r="3075" spans="1:17" x14ac:dyDescent="0.35">
      <c r="A3075">
        <v>202302</v>
      </c>
      <c r="B3075">
        <v>66</v>
      </c>
      <c r="C3075" s="2">
        <v>2029985.7503</v>
      </c>
      <c r="D3075" s="2">
        <v>0.68389999999999995</v>
      </c>
      <c r="E3075" s="3">
        <v>179434</v>
      </c>
      <c r="F3075" s="2">
        <v>122710.5166</v>
      </c>
      <c r="G3075" t="s">
        <v>329</v>
      </c>
      <c r="H3075" t="s">
        <v>5</v>
      </c>
      <c r="I3075">
        <f>HLOOKUP(G3075,zip_tiers!$A$1:$EON$2,2,FALSE)</f>
        <v>77800</v>
      </c>
      <c r="J3075" t="str">
        <f t="shared" si="48"/>
        <v>Med</v>
      </c>
      <c r="K3075">
        <f>dataset[[#This Row],[soda_sales]]/dataset[[#This Row],[soda_units_sold]]</f>
        <v>0.68387550074121961</v>
      </c>
      <c r="L3075" s="29">
        <f>dataset[[#This Row],[implied_soda_ppu]]-dataset[[#This Row],[soda_ppu]]</f>
        <v>-2.4499258780341648E-5</v>
      </c>
      <c r="M3075">
        <f>dataset[[#This Row],[soda_sales]]/dataset[[#This Row],[total_sales]]</f>
        <v>6.0448954669689338E-2</v>
      </c>
      <c r="N3075">
        <f>LN(dataset[[#This Row],[soda_units_sold]])</f>
        <v>12.097562731274371</v>
      </c>
      <c r="O3075">
        <f>LN(dataset[[#This Row],[soda_sales]])</f>
        <v>11.717583336887573</v>
      </c>
      <c r="P3075">
        <f>LN(dataset[[#This Row],[soda_ppu]])</f>
        <v>-0.37994357087808678</v>
      </c>
      <c r="Q3075">
        <f>IF(dataset[[#This Row],[state]]="VA",1,0)</f>
        <v>0</v>
      </c>
    </row>
    <row r="3076" spans="1:17" x14ac:dyDescent="0.35">
      <c r="A3076">
        <v>202303</v>
      </c>
      <c r="B3076">
        <v>66</v>
      </c>
      <c r="C3076" s="2">
        <v>2259137.8602999998</v>
      </c>
      <c r="D3076" s="2">
        <v>0.71220000000000006</v>
      </c>
      <c r="E3076" s="3">
        <v>200781</v>
      </c>
      <c r="F3076" s="2">
        <v>142997.10569999999</v>
      </c>
      <c r="G3076" t="s">
        <v>329</v>
      </c>
      <c r="H3076" t="s">
        <v>5</v>
      </c>
      <c r="I3076">
        <f>HLOOKUP(G3076,zip_tiers!$A$1:$EON$2,2,FALSE)</f>
        <v>77800</v>
      </c>
      <c r="J3076" t="str">
        <f t="shared" si="48"/>
        <v>Med</v>
      </c>
      <c r="K3076">
        <f>dataset[[#This Row],[soda_sales]]/dataset[[#This Row],[soda_units_sold]]</f>
        <v>0.7122043704334573</v>
      </c>
      <c r="L3076" s="29">
        <f>dataset[[#This Row],[implied_soda_ppu]]-dataset[[#This Row],[soda_ppu]]</f>
        <v>4.3704334572458592E-6</v>
      </c>
      <c r="M3076">
        <f>dataset[[#This Row],[soda_sales]]/dataset[[#This Row],[total_sales]]</f>
        <v>6.3297202093284752E-2</v>
      </c>
      <c r="N3076">
        <f>LN(dataset[[#This Row],[soda_units_sold]])</f>
        <v>12.209970040808869</v>
      </c>
      <c r="O3076">
        <f>LN(dataset[[#This Row],[soda_sales]])</f>
        <v>11.870579669177076</v>
      </c>
      <c r="P3076">
        <f>LN(dataset[[#This Row],[soda_ppu]])</f>
        <v>-0.33939650813845962</v>
      </c>
      <c r="Q3076">
        <f>IF(dataset[[#This Row],[state]]="VA",1,0)</f>
        <v>0</v>
      </c>
    </row>
    <row r="3077" spans="1:17" x14ac:dyDescent="0.35">
      <c r="A3077">
        <v>202304</v>
      </c>
      <c r="B3077">
        <v>66</v>
      </c>
      <c r="C3077" s="2">
        <v>2429808.7969</v>
      </c>
      <c r="D3077" s="2">
        <v>0.71819999999999995</v>
      </c>
      <c r="E3077" s="3">
        <v>233798</v>
      </c>
      <c r="F3077" s="2">
        <v>167922.33530000001</v>
      </c>
      <c r="G3077" t="s">
        <v>329</v>
      </c>
      <c r="H3077" t="s">
        <v>5</v>
      </c>
      <c r="I3077">
        <f>HLOOKUP(G3077,zip_tiers!$A$1:$EON$2,2,FALSE)</f>
        <v>77800</v>
      </c>
      <c r="J3077" t="str">
        <f t="shared" si="48"/>
        <v>Med</v>
      </c>
      <c r="K3077">
        <f>dataset[[#This Row],[soda_sales]]/dataset[[#This Row],[soda_units_sold]]</f>
        <v>0.71823683393356663</v>
      </c>
      <c r="L3077" s="29">
        <f>dataset[[#This Row],[implied_soda_ppu]]-dataset[[#This Row],[soda_ppu]]</f>
        <v>3.6833933566682298E-5</v>
      </c>
      <c r="M3077">
        <f>dataset[[#This Row],[soda_sales]]/dataset[[#This Row],[total_sales]]</f>
        <v>6.9109279509662974E-2</v>
      </c>
      <c r="N3077">
        <f>LN(dataset[[#This Row],[soda_units_sold]])</f>
        <v>12.362212773663584</v>
      </c>
      <c r="O3077">
        <f>LN(dataset[[#This Row],[soda_sales]])</f>
        <v>12.031256861615534</v>
      </c>
      <c r="P3077">
        <f>LN(dataset[[#This Row],[soda_ppu]])</f>
        <v>-0.33100719719015465</v>
      </c>
      <c r="Q3077">
        <f>IF(dataset[[#This Row],[state]]="VA",1,0)</f>
        <v>0</v>
      </c>
    </row>
    <row r="3078" spans="1:17" x14ac:dyDescent="0.35">
      <c r="A3078">
        <v>202305</v>
      </c>
      <c r="B3078">
        <v>66</v>
      </c>
      <c r="C3078" s="2">
        <v>2470519.0567999999</v>
      </c>
      <c r="D3078" s="2">
        <v>0.68530000000000002</v>
      </c>
      <c r="E3078" s="3">
        <v>271699</v>
      </c>
      <c r="F3078" s="2">
        <v>186202.01579999999</v>
      </c>
      <c r="G3078" t="s">
        <v>329</v>
      </c>
      <c r="H3078" t="s">
        <v>5</v>
      </c>
      <c r="I3078">
        <f>HLOOKUP(G3078,zip_tiers!$A$1:$EON$2,2,FALSE)</f>
        <v>77800</v>
      </c>
      <c r="J3078" t="str">
        <f t="shared" si="48"/>
        <v>Med</v>
      </c>
      <c r="K3078">
        <f>dataset[[#This Row],[soda_sales]]/dataset[[#This Row],[soda_units_sold]]</f>
        <v>0.68532462688489837</v>
      </c>
      <c r="L3078" s="29">
        <f>dataset[[#This Row],[implied_soda_ppu]]-dataset[[#This Row],[soda_ppu]]</f>
        <v>2.4626884898348855E-5</v>
      </c>
      <c r="M3078">
        <f>dataset[[#This Row],[soda_sales]]/dataset[[#This Row],[total_sales]]</f>
        <v>7.5369592996049464E-2</v>
      </c>
      <c r="N3078">
        <f>LN(dataset[[#This Row],[soda_units_sold]])</f>
        <v>12.512450114877669</v>
      </c>
      <c r="O3078">
        <f>LN(dataset[[#This Row],[soda_sales]])</f>
        <v>12.134587469760058</v>
      </c>
      <c r="P3078">
        <f>LN(dataset[[#This Row],[soda_ppu]])</f>
        <v>-0.37789858039035901</v>
      </c>
      <c r="Q3078">
        <f>IF(dataset[[#This Row],[state]]="VA",1,0)</f>
        <v>0</v>
      </c>
    </row>
    <row r="3079" spans="1:17" x14ac:dyDescent="0.35">
      <c r="A3079">
        <v>202306</v>
      </c>
      <c r="B3079">
        <v>66</v>
      </c>
      <c r="C3079" s="2">
        <v>2382869.6146</v>
      </c>
      <c r="D3079" s="2">
        <v>0.6915</v>
      </c>
      <c r="E3079" s="3">
        <v>277640</v>
      </c>
      <c r="F3079" s="2">
        <v>191992.79939999999</v>
      </c>
      <c r="G3079" t="s">
        <v>329</v>
      </c>
      <c r="H3079" t="s">
        <v>5</v>
      </c>
      <c r="I3079">
        <f>HLOOKUP(G3079,zip_tiers!$A$1:$EON$2,2,FALSE)</f>
        <v>77800</v>
      </c>
      <c r="J3079" t="str">
        <f t="shared" si="48"/>
        <v>Med</v>
      </c>
      <c r="K3079">
        <f>dataset[[#This Row],[soda_sales]]/dataset[[#This Row],[soda_units_sold]]</f>
        <v>0.69151707030687215</v>
      </c>
      <c r="L3079" s="29">
        <f>dataset[[#This Row],[implied_soda_ppu]]-dataset[[#This Row],[soda_ppu]]</f>
        <v>1.7070306872146723E-5</v>
      </c>
      <c r="M3079">
        <f>dataset[[#This Row],[soda_sales]]/dataset[[#This Row],[total_sales]]</f>
        <v>8.0572096023906387E-2</v>
      </c>
      <c r="N3079">
        <f>LN(dataset[[#This Row],[soda_units_sold]])</f>
        <v>12.53408058945352</v>
      </c>
      <c r="O3079">
        <f>LN(dataset[[#This Row],[soda_sales]])</f>
        <v>12.165213147181658</v>
      </c>
      <c r="P3079">
        <f>LN(dataset[[#This Row],[soda_ppu]])</f>
        <v>-0.36889212787732417</v>
      </c>
      <c r="Q3079">
        <f>IF(dataset[[#This Row],[state]]="VA",1,0)</f>
        <v>0</v>
      </c>
    </row>
    <row r="3080" spans="1:17" x14ac:dyDescent="0.35">
      <c r="A3080">
        <v>202307</v>
      </c>
      <c r="B3080">
        <v>66</v>
      </c>
      <c r="C3080" s="2">
        <v>2268223.5896999999</v>
      </c>
      <c r="D3080" s="2">
        <v>0.6986</v>
      </c>
      <c r="E3080" s="3">
        <v>285767</v>
      </c>
      <c r="F3080" s="2">
        <v>199632.11189999999</v>
      </c>
      <c r="G3080" t="s">
        <v>329</v>
      </c>
      <c r="H3080" t="s">
        <v>5</v>
      </c>
      <c r="I3080">
        <f>HLOOKUP(G3080,zip_tiers!$A$1:$EON$2,2,FALSE)</f>
        <v>77800</v>
      </c>
      <c r="J3080" t="str">
        <f t="shared" si="48"/>
        <v>Med</v>
      </c>
      <c r="K3080">
        <f>dataset[[#This Row],[soda_sales]]/dataset[[#This Row],[soda_units_sold]]</f>
        <v>0.69858350299369765</v>
      </c>
      <c r="L3080" s="29">
        <f>dataset[[#This Row],[implied_soda_ppu]]-dataset[[#This Row],[soda_ppu]]</f>
        <v>-1.6497006302351735E-5</v>
      </c>
      <c r="M3080">
        <f>dataset[[#This Row],[soda_sales]]/dataset[[#This Row],[total_sales]]</f>
        <v>8.8012536685769929E-2</v>
      </c>
      <c r="N3080">
        <f>LN(dataset[[#This Row],[soda_units_sold]])</f>
        <v>12.562932072450874</v>
      </c>
      <c r="O3080">
        <f>LN(dataset[[#This Row],[soda_sales]])</f>
        <v>12.204231511182023</v>
      </c>
      <c r="P3080">
        <f>LN(dataset[[#This Row],[soda_ppu]])</f>
        <v>-0.35867694660940547</v>
      </c>
      <c r="Q3080">
        <f>IF(dataset[[#This Row],[state]]="VA",1,0)</f>
        <v>0</v>
      </c>
    </row>
    <row r="3081" spans="1:17" x14ac:dyDescent="0.35">
      <c r="A3081">
        <v>202308</v>
      </c>
      <c r="B3081">
        <v>66</v>
      </c>
      <c r="C3081" s="2">
        <v>2165705.6005000002</v>
      </c>
      <c r="D3081" s="2">
        <v>0.66239999999999999</v>
      </c>
      <c r="E3081" s="3">
        <v>262031</v>
      </c>
      <c r="F3081" s="2">
        <v>173569.90599999999</v>
      </c>
      <c r="G3081" t="s">
        <v>329</v>
      </c>
      <c r="H3081" t="s">
        <v>5</v>
      </c>
      <c r="I3081">
        <f>HLOOKUP(G3081,zip_tiers!$A$1:$EON$2,2,FALSE)</f>
        <v>77800</v>
      </c>
      <c r="J3081" t="str">
        <f t="shared" si="48"/>
        <v>Med</v>
      </c>
      <c r="K3081">
        <f>dataset[[#This Row],[soda_sales]]/dataset[[#This Row],[soda_units_sold]]</f>
        <v>0.66240218142128215</v>
      </c>
      <c r="L3081" s="29">
        <f>dataset[[#This Row],[implied_soda_ppu]]-dataset[[#This Row],[soda_ppu]]</f>
        <v>2.1814212821658074E-6</v>
      </c>
      <c r="M3081">
        <f>dataset[[#This Row],[soda_sales]]/dataset[[#This Row],[total_sales]]</f>
        <v>8.0144737105508526E-2</v>
      </c>
      <c r="N3081">
        <f>LN(dataset[[#This Row],[soda_units_sold]])</f>
        <v>12.476218096354589</v>
      </c>
      <c r="O3081">
        <f>LN(dataset[[#This Row],[soda_sales]])</f>
        <v>12.064335713646537</v>
      </c>
      <c r="P3081">
        <f>LN(dataset[[#This Row],[soda_ppu]])</f>
        <v>-0.41188567591108716</v>
      </c>
      <c r="Q3081">
        <f>IF(dataset[[#This Row],[state]]="VA",1,0)</f>
        <v>0</v>
      </c>
    </row>
    <row r="3082" spans="1:17" x14ac:dyDescent="0.35">
      <c r="A3082">
        <v>202309</v>
      </c>
      <c r="B3082">
        <v>66</v>
      </c>
      <c r="C3082" s="2">
        <v>2146610.9937999998</v>
      </c>
      <c r="D3082" s="2">
        <v>0.69940000000000002</v>
      </c>
      <c r="E3082" s="3">
        <v>239172</v>
      </c>
      <c r="F3082" s="2">
        <v>167265.04399999999</v>
      </c>
      <c r="G3082" t="s">
        <v>329</v>
      </c>
      <c r="H3082" t="s">
        <v>5</v>
      </c>
      <c r="I3082">
        <f>HLOOKUP(G3082,zip_tiers!$A$1:$EON$2,2,FALSE)</f>
        <v>77800</v>
      </c>
      <c r="J3082" t="str">
        <f t="shared" si="48"/>
        <v>Med</v>
      </c>
      <c r="K3082">
        <f>dataset[[#This Row],[soda_sales]]/dataset[[#This Row],[soda_units_sold]]</f>
        <v>0.69935044235947352</v>
      </c>
      <c r="L3082" s="29">
        <f>dataset[[#This Row],[implied_soda_ppu]]-dataset[[#This Row],[soda_ppu]]</f>
        <v>-4.9557640526498581E-5</v>
      </c>
      <c r="M3082">
        <f>dataset[[#This Row],[soda_sales]]/dataset[[#This Row],[total_sales]]</f>
        <v>7.7920519592561119E-2</v>
      </c>
      <c r="N3082">
        <f>LN(dataset[[#This Row],[soda_units_sold]])</f>
        <v>12.384938237350738</v>
      </c>
      <c r="O3082">
        <f>LN(dataset[[#This Row],[soda_sales]])</f>
        <v>12.027334923123167</v>
      </c>
      <c r="P3082">
        <f>LN(dataset[[#This Row],[soda_ppu]])</f>
        <v>-0.35753245435286157</v>
      </c>
      <c r="Q3082">
        <f>IF(dataset[[#This Row],[state]]="VA",1,0)</f>
        <v>0</v>
      </c>
    </row>
    <row r="3083" spans="1:17" x14ac:dyDescent="0.35">
      <c r="A3083">
        <v>202310</v>
      </c>
      <c r="B3083">
        <v>66</v>
      </c>
      <c r="C3083" s="2">
        <v>2620485.5861</v>
      </c>
      <c r="D3083" s="2">
        <v>0.71230000000000004</v>
      </c>
      <c r="E3083" s="3">
        <v>220704</v>
      </c>
      <c r="F3083" s="2">
        <v>157213.06649999999</v>
      </c>
      <c r="G3083" t="s">
        <v>329</v>
      </c>
      <c r="H3083" t="s">
        <v>5</v>
      </c>
      <c r="I3083">
        <f>HLOOKUP(G3083,zip_tiers!$A$1:$EON$2,2,FALSE)</f>
        <v>77800</v>
      </c>
      <c r="J3083" t="str">
        <f t="shared" si="48"/>
        <v>Med</v>
      </c>
      <c r="K3083">
        <f>dataset[[#This Row],[soda_sales]]/dataset[[#This Row],[soda_units_sold]]</f>
        <v>0.71232540642670716</v>
      </c>
      <c r="L3083" s="29">
        <f>dataset[[#This Row],[implied_soda_ppu]]-dataset[[#This Row],[soda_ppu]]</f>
        <v>2.5406426707119678E-5</v>
      </c>
      <c r="M3083">
        <f>dataset[[#This Row],[soda_sales]]/dataset[[#This Row],[total_sales]]</f>
        <v>5.9993868057857197E-2</v>
      </c>
      <c r="N3083">
        <f>LN(dataset[[#This Row],[soda_units_sold]])</f>
        <v>12.304577716231018</v>
      </c>
      <c r="O3083">
        <f>LN(dataset[[#This Row],[soda_sales]])</f>
        <v>11.965357275751956</v>
      </c>
      <c r="P3083">
        <f>LN(dataset[[#This Row],[soda_ppu]])</f>
        <v>-0.33925610799782885</v>
      </c>
      <c r="Q3083">
        <f>IF(dataset[[#This Row],[state]]="VA",1,0)</f>
        <v>0</v>
      </c>
    </row>
    <row r="3084" spans="1:17" x14ac:dyDescent="0.35">
      <c r="A3084">
        <v>202311</v>
      </c>
      <c r="B3084">
        <v>66</v>
      </c>
      <c r="C3084" s="2">
        <v>3021419.7699000002</v>
      </c>
      <c r="D3084" s="2">
        <v>0.73470000000000002</v>
      </c>
      <c r="E3084" s="3">
        <v>203390</v>
      </c>
      <c r="F3084" s="2">
        <v>149433.34039999999</v>
      </c>
      <c r="G3084" t="s">
        <v>329</v>
      </c>
      <c r="H3084" t="s">
        <v>5</v>
      </c>
      <c r="I3084">
        <f>HLOOKUP(G3084,zip_tiers!$A$1:$EON$2,2,FALSE)</f>
        <v>77800</v>
      </c>
      <c r="J3084" t="str">
        <f t="shared" si="48"/>
        <v>Med</v>
      </c>
      <c r="K3084">
        <f>dataset[[#This Row],[soda_sales]]/dataset[[#This Row],[soda_units_sold]]</f>
        <v>0.7347133113722405</v>
      </c>
      <c r="L3084" s="29">
        <f>dataset[[#This Row],[implied_soda_ppu]]-dataset[[#This Row],[soda_ppu]]</f>
        <v>1.3311372240476516E-5</v>
      </c>
      <c r="M3084">
        <f>dataset[[#This Row],[soda_sales]]/dataset[[#This Row],[total_sales]]</f>
        <v>4.9457987231263059E-2</v>
      </c>
      <c r="N3084">
        <f>LN(dataset[[#This Row],[soda_units_sold]])</f>
        <v>12.222880597179541</v>
      </c>
      <c r="O3084">
        <f>LN(dataset[[#This Row],[soda_sales]])</f>
        <v>11.914605688765182</v>
      </c>
      <c r="P3084">
        <f>LN(dataset[[#This Row],[soda_ppu]])</f>
        <v>-0.30829302635590528</v>
      </c>
      <c r="Q3084">
        <f>IF(dataset[[#This Row],[state]]="VA",1,0)</f>
        <v>0</v>
      </c>
    </row>
    <row r="3085" spans="1:17" x14ac:dyDescent="0.35">
      <c r="A3085">
        <v>202312</v>
      </c>
      <c r="B3085">
        <v>66</v>
      </c>
      <c r="C3085" s="2">
        <v>3109496.7206000001</v>
      </c>
      <c r="D3085" s="2">
        <v>0.68889999999999996</v>
      </c>
      <c r="E3085" s="3">
        <v>210258</v>
      </c>
      <c r="F3085" s="2">
        <v>144855.44330000001</v>
      </c>
      <c r="G3085" t="s">
        <v>329</v>
      </c>
      <c r="H3085" t="s">
        <v>5</v>
      </c>
      <c r="I3085">
        <f>HLOOKUP(G3085,zip_tiers!$A$1:$EON$2,2,FALSE)</f>
        <v>77800</v>
      </c>
      <c r="J3085" t="str">
        <f t="shared" si="48"/>
        <v>Med</v>
      </c>
      <c r="K3085">
        <f>dataset[[#This Row],[soda_sales]]/dataset[[#This Row],[soda_units_sold]]</f>
        <v>0.68894141150396182</v>
      </c>
      <c r="L3085" s="29">
        <f>dataset[[#This Row],[implied_soda_ppu]]-dataset[[#This Row],[soda_ppu]]</f>
        <v>4.1411503961863438E-5</v>
      </c>
      <c r="M3085">
        <f>dataset[[#This Row],[soda_sales]]/dataset[[#This Row],[total_sales]]</f>
        <v>4.6584851606484116E-2</v>
      </c>
      <c r="N3085">
        <f>LN(dataset[[#This Row],[soda_units_sold]])</f>
        <v>12.256090627051861</v>
      </c>
      <c r="O3085">
        <f>LN(dataset[[#This Row],[soda_sales]])</f>
        <v>11.883491581366126</v>
      </c>
      <c r="P3085">
        <f>LN(dataset[[#This Row],[soda_ppu]])</f>
        <v>-0.37265915638298697</v>
      </c>
      <c r="Q3085">
        <f>IF(dataset[[#This Row],[state]]="VA",1,0)</f>
        <v>0</v>
      </c>
    </row>
    <row r="3086" spans="1:17" x14ac:dyDescent="0.35">
      <c r="A3086">
        <v>202401</v>
      </c>
      <c r="B3086">
        <v>66</v>
      </c>
      <c r="C3086" s="2">
        <v>1803184.8162</v>
      </c>
      <c r="D3086" s="2">
        <v>0.69069999999999998</v>
      </c>
      <c r="E3086" s="3">
        <v>156497</v>
      </c>
      <c r="F3086" s="2">
        <v>108089.9547</v>
      </c>
      <c r="G3086" t="s">
        <v>329</v>
      </c>
      <c r="H3086" t="s">
        <v>5</v>
      </c>
      <c r="I3086">
        <f>HLOOKUP(G3086,zip_tiers!$A$1:$EON$2,2,FALSE)</f>
        <v>77800</v>
      </c>
      <c r="J3086" t="str">
        <f t="shared" si="48"/>
        <v>Med</v>
      </c>
      <c r="K3086">
        <f>dataset[[#This Row],[soda_sales]]/dataset[[#This Row],[soda_units_sold]]</f>
        <v>0.690683877007227</v>
      </c>
      <c r="L3086" s="29">
        <f>dataset[[#This Row],[implied_soda_ppu]]-dataset[[#This Row],[soda_ppu]]</f>
        <v>-1.6122992772982236E-5</v>
      </c>
      <c r="M3086">
        <f>dataset[[#This Row],[soda_sales]]/dataset[[#This Row],[total_sales]]</f>
        <v>5.9943913529499918E-2</v>
      </c>
      <c r="N3086">
        <f>LN(dataset[[#This Row],[soda_units_sold]])</f>
        <v>11.960792119449538</v>
      </c>
      <c r="O3086">
        <f>LN(dataset[[#This Row],[soda_sales]])</f>
        <v>11.590719073314963</v>
      </c>
      <c r="P3086">
        <f>LN(dataset[[#This Row],[soda_ppu]])</f>
        <v>-0.37004970288720984</v>
      </c>
      <c r="Q3086">
        <f>IF(dataset[[#This Row],[state]]="VA",1,0)</f>
        <v>0</v>
      </c>
    </row>
    <row r="3087" spans="1:17" x14ac:dyDescent="0.35">
      <c r="A3087">
        <v>202402</v>
      </c>
      <c r="B3087">
        <v>66</v>
      </c>
      <c r="C3087" s="2">
        <v>2049581.1629999999</v>
      </c>
      <c r="D3087" s="2">
        <v>0.72919999999999996</v>
      </c>
      <c r="E3087" s="3">
        <v>170198</v>
      </c>
      <c r="F3087" s="2">
        <v>124104.99830000001</v>
      </c>
      <c r="G3087" t="s">
        <v>329</v>
      </c>
      <c r="H3087" t="s">
        <v>5</v>
      </c>
      <c r="I3087">
        <f>HLOOKUP(G3087,zip_tiers!$A$1:$EON$2,2,FALSE)</f>
        <v>77800</v>
      </c>
      <c r="J3087" t="str">
        <f t="shared" si="48"/>
        <v>Med</v>
      </c>
      <c r="K3087">
        <f>dataset[[#This Row],[soda_sales]]/dataset[[#This Row],[soda_units_sold]]</f>
        <v>0.72918012138803046</v>
      </c>
      <c r="L3087" s="29">
        <f>dataset[[#This Row],[implied_soda_ppu]]-dataset[[#This Row],[soda_ppu]]</f>
        <v>-1.9878611969503801E-5</v>
      </c>
      <c r="M3087">
        <f>dataset[[#This Row],[soda_sales]]/dataset[[#This Row],[total_sales]]</f>
        <v>6.0551394860765516E-2</v>
      </c>
      <c r="N3087">
        <f>LN(dataset[[#This Row],[soda_units_sold]])</f>
        <v>12.044717744171052</v>
      </c>
      <c r="O3087">
        <f>LN(dataset[[#This Row],[soda_sales]])</f>
        <v>11.728883246771634</v>
      </c>
      <c r="P3087">
        <f>LN(dataset[[#This Row],[soda_ppu]])</f>
        <v>-0.31580723617762912</v>
      </c>
      <c r="Q3087">
        <f>IF(dataset[[#This Row],[state]]="VA",1,0)</f>
        <v>0</v>
      </c>
    </row>
    <row r="3088" spans="1:17" x14ac:dyDescent="0.35">
      <c r="A3088">
        <v>202403</v>
      </c>
      <c r="B3088">
        <v>66</v>
      </c>
      <c r="C3088" s="2">
        <v>2328892.2711999998</v>
      </c>
      <c r="D3088" s="2">
        <v>0.75490000000000002</v>
      </c>
      <c r="E3088" s="3">
        <v>196807</v>
      </c>
      <c r="F3088" s="2">
        <v>148569.58110000001</v>
      </c>
      <c r="G3088" t="s">
        <v>329</v>
      </c>
      <c r="H3088" t="s">
        <v>5</v>
      </c>
      <c r="I3088">
        <f>HLOOKUP(G3088,zip_tiers!$A$1:$EON$2,2,FALSE)</f>
        <v>77800</v>
      </c>
      <c r="J3088" t="str">
        <f t="shared" si="48"/>
        <v>Med</v>
      </c>
      <c r="K3088">
        <f>dataset[[#This Row],[soda_sales]]/dataset[[#This Row],[soda_units_sold]]</f>
        <v>0.75489988211801418</v>
      </c>
      <c r="L3088" s="29">
        <f>dataset[[#This Row],[implied_soda_ppu]]-dataset[[#This Row],[soda_ppu]]</f>
        <v>-1.1788198583939646E-7</v>
      </c>
      <c r="M3088">
        <f>dataset[[#This Row],[soda_sales]]/dataset[[#This Row],[total_sales]]</f>
        <v>6.3794097707854519E-2</v>
      </c>
      <c r="N3088">
        <f>LN(dataset[[#This Row],[soda_units_sold]])</f>
        <v>12.189978832073416</v>
      </c>
      <c r="O3088">
        <f>LN(dataset[[#This Row],[soda_sales]])</f>
        <v>11.908808687081082</v>
      </c>
      <c r="P3088">
        <f>LN(dataset[[#This Row],[soda_ppu]])</f>
        <v>-0.28116998883655786</v>
      </c>
      <c r="Q3088">
        <f>IF(dataset[[#This Row],[state]]="VA",1,0)</f>
        <v>0</v>
      </c>
    </row>
    <row r="3089" spans="1:17" x14ac:dyDescent="0.35">
      <c r="A3089">
        <v>202404</v>
      </c>
      <c r="B3089">
        <v>66</v>
      </c>
      <c r="C3089" s="2">
        <v>2434449.5750000002</v>
      </c>
      <c r="D3089" s="2">
        <v>0.75290000000000001</v>
      </c>
      <c r="E3089" s="3">
        <v>227188</v>
      </c>
      <c r="F3089" s="2">
        <v>171044.95319999999</v>
      </c>
      <c r="G3089" t="s">
        <v>329</v>
      </c>
      <c r="H3089" t="s">
        <v>5</v>
      </c>
      <c r="I3089">
        <f>HLOOKUP(G3089,zip_tiers!$A$1:$EON$2,2,FALSE)</f>
        <v>77800</v>
      </c>
      <c r="J3089" t="str">
        <f t="shared" si="48"/>
        <v>Med</v>
      </c>
      <c r="K3089">
        <f>dataset[[#This Row],[soda_sales]]/dataset[[#This Row],[soda_units_sold]]</f>
        <v>0.7528784671725619</v>
      </c>
      <c r="L3089" s="29">
        <f>dataset[[#This Row],[implied_soda_ppu]]-dataset[[#This Row],[soda_ppu]]</f>
        <v>-2.1532827438108804E-5</v>
      </c>
      <c r="M3089">
        <f>dataset[[#This Row],[soda_sales]]/dataset[[#This Row],[total_sales]]</f>
        <v>7.0260216090119662E-2</v>
      </c>
      <c r="N3089">
        <f>LN(dataset[[#This Row],[soda_units_sold]])</f>
        <v>12.333533147532863</v>
      </c>
      <c r="O3089">
        <f>LN(dataset[[#This Row],[soda_sales]])</f>
        <v>12.049681685147323</v>
      </c>
      <c r="P3089">
        <f>LN(dataset[[#This Row],[soda_ppu]])</f>
        <v>-0.28382286212606045</v>
      </c>
      <c r="Q3089">
        <f>IF(dataset[[#This Row],[state]]="VA",1,0)</f>
        <v>0</v>
      </c>
    </row>
    <row r="3090" spans="1:17" x14ac:dyDescent="0.35">
      <c r="A3090">
        <v>202405</v>
      </c>
      <c r="B3090">
        <v>66</v>
      </c>
      <c r="C3090" s="2">
        <v>2521309.4940999998</v>
      </c>
      <c r="D3090" s="2">
        <v>0.7329</v>
      </c>
      <c r="E3090" s="3">
        <v>255248</v>
      </c>
      <c r="F3090" s="2">
        <v>187059.36679999999</v>
      </c>
      <c r="G3090" t="s">
        <v>329</v>
      </c>
      <c r="H3090" t="s">
        <v>5</v>
      </c>
      <c r="I3090">
        <f>HLOOKUP(G3090,zip_tiers!$A$1:$EON$2,2,FALSE)</f>
        <v>77800</v>
      </c>
      <c r="J3090" t="str">
        <f t="shared" si="48"/>
        <v>Med</v>
      </c>
      <c r="K3090">
        <f>dataset[[#This Row],[soda_sales]]/dataset[[#This Row],[soda_units_sold]]</f>
        <v>0.73285340844982128</v>
      </c>
      <c r="L3090" s="29">
        <f>dataset[[#This Row],[implied_soda_ppu]]-dataset[[#This Row],[soda_ppu]]</f>
        <v>-4.6591550178720631E-5</v>
      </c>
      <c r="M3090">
        <f>dataset[[#This Row],[soda_sales]]/dataset[[#This Row],[total_sales]]</f>
        <v>7.4191354626526013E-2</v>
      </c>
      <c r="N3090">
        <f>LN(dataset[[#This Row],[soda_units_sold]])</f>
        <v>12.449990900540779</v>
      </c>
      <c r="O3090">
        <f>LN(dataset[[#This Row],[soda_sales]])</f>
        <v>12.139181314972655</v>
      </c>
      <c r="P3090">
        <f>LN(dataset[[#This Row],[soda_ppu]])</f>
        <v>-0.31074601205033259</v>
      </c>
      <c r="Q3090">
        <f>IF(dataset[[#This Row],[state]]="VA",1,0)</f>
        <v>0</v>
      </c>
    </row>
    <row r="3091" spans="1:17" x14ac:dyDescent="0.35">
      <c r="A3091">
        <v>202406</v>
      </c>
      <c r="B3091">
        <v>66</v>
      </c>
      <c r="C3091" s="2">
        <v>2434289.5639</v>
      </c>
      <c r="D3091" s="2">
        <v>0.71179999999999999</v>
      </c>
      <c r="E3091" s="3">
        <v>277140</v>
      </c>
      <c r="F3091" s="2">
        <v>197274.46220000001</v>
      </c>
      <c r="G3091" t="s">
        <v>329</v>
      </c>
      <c r="H3091" t="s">
        <v>5</v>
      </c>
      <c r="I3091">
        <f>HLOOKUP(G3091,zip_tiers!$A$1:$EON$2,2,FALSE)</f>
        <v>77800</v>
      </c>
      <c r="J3091" t="str">
        <f t="shared" si="48"/>
        <v>Med</v>
      </c>
      <c r="K3091">
        <f>dataset[[#This Row],[soda_sales]]/dataset[[#This Row],[soda_units_sold]]</f>
        <v>0.71182240816915643</v>
      </c>
      <c r="L3091" s="29">
        <f>dataset[[#This Row],[implied_soda_ppu]]-dataset[[#This Row],[soda_ppu]]</f>
        <v>2.2408169156440394E-5</v>
      </c>
      <c r="M3091">
        <f>dataset[[#This Row],[soda_sales]]/dataset[[#This Row],[total_sales]]</f>
        <v>8.1039850445706468E-2</v>
      </c>
      <c r="N3091">
        <f>LN(dataset[[#This Row],[soda_units_sold]])</f>
        <v>12.532278072652707</v>
      </c>
      <c r="O3091">
        <f>LN(dataset[[#This Row],[soda_sales]])</f>
        <v>12.192351247241811</v>
      </c>
      <c r="P3091">
        <f>LN(dataset[[#This Row],[soda_ppu]])</f>
        <v>-0.33995830590604476</v>
      </c>
      <c r="Q3091">
        <f>IF(dataset[[#This Row],[state]]="VA",1,0)</f>
        <v>0</v>
      </c>
    </row>
    <row r="3092" spans="1:17" x14ac:dyDescent="0.35">
      <c r="A3092">
        <v>202407</v>
      </c>
      <c r="B3092">
        <v>66</v>
      </c>
      <c r="C3092" s="2">
        <v>2292500.3879999998</v>
      </c>
      <c r="D3092" s="2">
        <v>0.6996</v>
      </c>
      <c r="E3092" s="3">
        <v>288594</v>
      </c>
      <c r="F3092" s="2">
        <v>201888.98910000001</v>
      </c>
      <c r="G3092" t="s">
        <v>329</v>
      </c>
      <c r="H3092" t="s">
        <v>5</v>
      </c>
      <c r="I3092">
        <f>HLOOKUP(G3092,zip_tiers!$A$1:$EON$2,2,FALSE)</f>
        <v>77800</v>
      </c>
      <c r="J3092" t="str">
        <f t="shared" si="48"/>
        <v>Med</v>
      </c>
      <c r="K3092">
        <f>dataset[[#This Row],[soda_sales]]/dataset[[#This Row],[soda_units_sold]]</f>
        <v>0.69956059065677045</v>
      </c>
      <c r="L3092" s="29">
        <f>dataset[[#This Row],[implied_soda_ppu]]-dataset[[#This Row],[soda_ppu]]</f>
        <v>-3.9409343229546145E-5</v>
      </c>
      <c r="M3092">
        <f>dataset[[#This Row],[soda_sales]]/dataset[[#This Row],[total_sales]]</f>
        <v>8.8064974888021702E-2</v>
      </c>
      <c r="N3092">
        <f>LN(dataset[[#This Row],[soda_units_sold]])</f>
        <v>12.572776135085002</v>
      </c>
      <c r="O3092">
        <f>LN(dataset[[#This Row],[soda_sales]])</f>
        <v>12.215473266409605</v>
      </c>
      <c r="P3092">
        <f>LN(dataset[[#This Row],[soda_ppu]])</f>
        <v>-0.35724653583769006</v>
      </c>
      <c r="Q3092">
        <f>IF(dataset[[#This Row],[state]]="VA",1,0)</f>
        <v>0</v>
      </c>
    </row>
    <row r="3093" spans="1:17" x14ac:dyDescent="0.35">
      <c r="A3093">
        <v>202408</v>
      </c>
      <c r="B3093">
        <v>66</v>
      </c>
      <c r="C3093" s="2">
        <v>2214065.6601999998</v>
      </c>
      <c r="D3093" s="2">
        <v>0.75639999999999996</v>
      </c>
      <c r="E3093" s="3">
        <v>236001</v>
      </c>
      <c r="F3093" s="2">
        <v>178516.58549999999</v>
      </c>
      <c r="G3093" t="s">
        <v>329</v>
      </c>
      <c r="H3093" t="s">
        <v>5</v>
      </c>
      <c r="I3093">
        <f>HLOOKUP(G3093,zip_tiers!$A$1:$EON$2,2,FALSE)</f>
        <v>77800</v>
      </c>
      <c r="J3093" t="str">
        <f t="shared" si="48"/>
        <v>Med</v>
      </c>
      <c r="K3093">
        <f>dataset[[#This Row],[soda_sales]]/dataset[[#This Row],[soda_units_sold]]</f>
        <v>0.75642300456353995</v>
      </c>
      <c r="L3093" s="29">
        <f>dataset[[#This Row],[implied_soda_ppu]]-dataset[[#This Row],[soda_ppu]]</f>
        <v>2.300456353998559E-5</v>
      </c>
      <c r="M3093">
        <f>dataset[[#This Row],[soda_sales]]/dataset[[#This Row],[total_sales]]</f>
        <v>8.0628406243324471E-2</v>
      </c>
      <c r="N3093">
        <f>LN(dataset[[#This Row],[soda_units_sold]])</f>
        <v>12.371591321286905</v>
      </c>
      <c r="O3093">
        <f>LN(dataset[[#This Row],[soda_sales]])</f>
        <v>12.092436791851796</v>
      </c>
      <c r="P3093">
        <f>LN(dataset[[#This Row],[soda_ppu]])</f>
        <v>-0.27918494219783468</v>
      </c>
      <c r="Q3093">
        <f>IF(dataset[[#This Row],[state]]="VA",1,0)</f>
        <v>0</v>
      </c>
    </row>
    <row r="3094" spans="1:17" x14ac:dyDescent="0.35">
      <c r="A3094">
        <v>202409</v>
      </c>
      <c r="B3094">
        <v>66</v>
      </c>
      <c r="C3094" s="2">
        <v>2272033.1154</v>
      </c>
      <c r="D3094" s="2">
        <v>0.73570000000000002</v>
      </c>
      <c r="E3094" s="3">
        <v>234885</v>
      </c>
      <c r="F3094" s="2">
        <v>172798.67879999999</v>
      </c>
      <c r="G3094" t="s">
        <v>329</v>
      </c>
      <c r="H3094" t="s">
        <v>5</v>
      </c>
      <c r="I3094">
        <f>HLOOKUP(G3094,zip_tiers!$A$1:$EON$2,2,FALSE)</f>
        <v>77800</v>
      </c>
      <c r="J3094" t="str">
        <f t="shared" si="48"/>
        <v>Med</v>
      </c>
      <c r="K3094">
        <f>dataset[[#This Row],[soda_sales]]/dataset[[#This Row],[soda_units_sold]]</f>
        <v>0.73567353726291584</v>
      </c>
      <c r="L3094" s="29">
        <f>dataset[[#This Row],[implied_soda_ppu]]-dataset[[#This Row],[soda_ppu]]</f>
        <v>-2.6462737084176347E-5</v>
      </c>
      <c r="M3094">
        <f>dataset[[#This Row],[soda_sales]]/dataset[[#This Row],[total_sales]]</f>
        <v>7.6054647984115376E-2</v>
      </c>
      <c r="N3094">
        <f>LN(dataset[[#This Row],[soda_units_sold]])</f>
        <v>12.366851311647652</v>
      </c>
      <c r="O3094">
        <f>LN(dataset[[#This Row],[soda_sales]])</f>
        <v>12.05988248948953</v>
      </c>
      <c r="P3094">
        <f>LN(dataset[[#This Row],[soda_ppu]])</f>
        <v>-0.30693285204391829</v>
      </c>
      <c r="Q3094">
        <f>IF(dataset[[#This Row],[state]]="VA",1,0)</f>
        <v>0</v>
      </c>
    </row>
    <row r="3095" spans="1:17" x14ac:dyDescent="0.35">
      <c r="A3095">
        <v>202410</v>
      </c>
      <c r="B3095">
        <v>66</v>
      </c>
      <c r="C3095" s="2">
        <v>2669568.0115999999</v>
      </c>
      <c r="D3095" s="2">
        <v>0.71870000000000001</v>
      </c>
      <c r="E3095" s="3">
        <v>224254</v>
      </c>
      <c r="F3095" s="2">
        <v>161162.31150000001</v>
      </c>
      <c r="G3095" t="s">
        <v>329</v>
      </c>
      <c r="H3095" t="s">
        <v>5</v>
      </c>
      <c r="I3095">
        <f>HLOOKUP(G3095,zip_tiers!$A$1:$EON$2,2,FALSE)</f>
        <v>77800</v>
      </c>
      <c r="J3095" t="str">
        <f t="shared" si="48"/>
        <v>Med</v>
      </c>
      <c r="K3095">
        <f>dataset[[#This Row],[soda_sales]]/dataset[[#This Row],[soda_units_sold]]</f>
        <v>0.71865969614811775</v>
      </c>
      <c r="L3095" s="29">
        <f>dataset[[#This Row],[implied_soda_ppu]]-dataset[[#This Row],[soda_ppu]]</f>
        <v>-4.0303851882250719E-5</v>
      </c>
      <c r="M3095">
        <f>dataset[[#This Row],[soda_sales]]/dataset[[#This Row],[total_sales]]</f>
        <v>6.0370183789926271E-2</v>
      </c>
      <c r="N3095">
        <f>LN(dataset[[#This Row],[soda_units_sold]])</f>
        <v>12.32053461699719</v>
      </c>
      <c r="O3095">
        <f>LN(dataset[[#This Row],[soda_sales]])</f>
        <v>11.99016728209148</v>
      </c>
      <c r="P3095">
        <f>LN(dataset[[#This Row],[soda_ppu]])</f>
        <v>-0.33031125450774013</v>
      </c>
      <c r="Q3095">
        <f>IF(dataset[[#This Row],[state]]="VA",1,0)</f>
        <v>0</v>
      </c>
    </row>
    <row r="3096" spans="1:17" x14ac:dyDescent="0.35">
      <c r="A3096">
        <v>202411</v>
      </c>
      <c r="B3096">
        <v>66</v>
      </c>
      <c r="C3096" s="2">
        <v>3039560.8997</v>
      </c>
      <c r="D3096" s="2">
        <v>0.74029999999999996</v>
      </c>
      <c r="E3096" s="3">
        <v>207065</v>
      </c>
      <c r="F3096" s="2">
        <v>153299.56849999999</v>
      </c>
      <c r="G3096" t="s">
        <v>329</v>
      </c>
      <c r="H3096" t="s">
        <v>5</v>
      </c>
      <c r="I3096">
        <f>HLOOKUP(G3096,zip_tiers!$A$1:$EON$2,2,FALSE)</f>
        <v>77800</v>
      </c>
      <c r="J3096" t="str">
        <f t="shared" si="48"/>
        <v>Med</v>
      </c>
      <c r="K3096">
        <f>dataset[[#This Row],[soda_sales]]/dataset[[#This Row],[soda_units_sold]]</f>
        <v>0.74034515007364832</v>
      </c>
      <c r="L3096" s="29">
        <f>dataset[[#This Row],[implied_soda_ppu]]-dataset[[#This Row],[soda_ppu]]</f>
        <v>4.515007364835899E-5</v>
      </c>
      <c r="M3096">
        <f>dataset[[#This Row],[soda_sales]]/dataset[[#This Row],[total_sales]]</f>
        <v>5.0434774481778084E-2</v>
      </c>
      <c r="N3096">
        <f>LN(dataset[[#This Row],[soda_units_sold]])</f>
        <v>12.240788032618626</v>
      </c>
      <c r="O3096">
        <f>LN(dataset[[#This Row],[soda_sales]])</f>
        <v>11.940149250113608</v>
      </c>
      <c r="P3096">
        <f>LN(dataset[[#This Row],[soda_ppu]])</f>
        <v>-0.30069976953308447</v>
      </c>
      <c r="Q3096">
        <f>IF(dataset[[#This Row],[state]]="VA",1,0)</f>
        <v>0</v>
      </c>
    </row>
    <row r="3097" spans="1:17" x14ac:dyDescent="0.35">
      <c r="A3097">
        <v>202412</v>
      </c>
      <c r="B3097">
        <v>66</v>
      </c>
      <c r="C3097" s="2">
        <v>3208552.9317999999</v>
      </c>
      <c r="D3097" s="2">
        <v>0.76319999999999999</v>
      </c>
      <c r="E3097" s="3">
        <v>198211</v>
      </c>
      <c r="F3097" s="2">
        <v>151266.07019999999</v>
      </c>
      <c r="G3097" t="s">
        <v>329</v>
      </c>
      <c r="H3097" t="s">
        <v>5</v>
      </c>
      <c r="I3097">
        <f>HLOOKUP(G3097,zip_tiers!$A$1:$EON$2,2,FALSE)</f>
        <v>77800</v>
      </c>
      <c r="J3097" t="str">
        <f t="shared" si="48"/>
        <v>Med</v>
      </c>
      <c r="K3097">
        <f>dataset[[#This Row],[soda_sales]]/dataset[[#This Row],[soda_units_sold]]</f>
        <v>0.76315678847288992</v>
      </c>
      <c r="L3097" s="29">
        <f>dataset[[#This Row],[implied_soda_ppu]]-dataset[[#This Row],[soda_ppu]]</f>
        <v>-4.3211527110065262E-5</v>
      </c>
      <c r="M3097">
        <f>dataset[[#This Row],[soda_sales]]/dataset[[#This Row],[total_sales]]</f>
        <v>4.7144639161411511E-2</v>
      </c>
      <c r="N3097">
        <f>LN(dataset[[#This Row],[soda_units_sold]])</f>
        <v>12.197087398833444</v>
      </c>
      <c r="O3097">
        <f>LN(dataset[[#This Row],[soda_sales]])</f>
        <v>11.926795619505233</v>
      </c>
      <c r="P3097">
        <f>LN(dataset[[#This Row],[soda_ppu]])</f>
        <v>-0.27023515884806032</v>
      </c>
      <c r="Q3097">
        <f>IF(dataset[[#This Row],[state]]="VA",1,0)</f>
        <v>0</v>
      </c>
    </row>
    <row r="3098" spans="1:17" x14ac:dyDescent="0.35">
      <c r="A3098">
        <v>202201</v>
      </c>
      <c r="B3098">
        <v>3</v>
      </c>
      <c r="C3098" s="2">
        <v>1936059.0497000001</v>
      </c>
      <c r="D3098" s="2">
        <v>0.68310000000000004</v>
      </c>
      <c r="E3098" s="3">
        <v>143803</v>
      </c>
      <c r="F3098" s="2">
        <v>98235.734800000006</v>
      </c>
      <c r="G3098" t="s">
        <v>350</v>
      </c>
      <c r="H3098" t="s">
        <v>5</v>
      </c>
      <c r="I3098">
        <f>HLOOKUP(G3098,zip_tiers!$A$1:$EON$2,2,FALSE)</f>
        <v>82180.666666666672</v>
      </c>
      <c r="J3098" t="str">
        <f t="shared" si="48"/>
        <v>Med</v>
      </c>
      <c r="K3098">
        <f>dataset[[#This Row],[soda_sales]]/dataset[[#This Row],[soda_units_sold]]</f>
        <v>0.68312715868236407</v>
      </c>
      <c r="L3098" s="29">
        <f>dataset[[#This Row],[implied_soda_ppu]]-dataset[[#This Row],[soda_ppu]]</f>
        <v>2.7158682364025744E-5</v>
      </c>
      <c r="M3098">
        <f>dataset[[#This Row],[soda_sales]]/dataset[[#This Row],[total_sales]]</f>
        <v>5.0740050937610616E-2</v>
      </c>
      <c r="N3098">
        <f>LN(dataset[[#This Row],[soda_units_sold]])</f>
        <v>11.876199586360231</v>
      </c>
      <c r="O3098">
        <f>LN(dataset[[#This Row],[soda_sales]])</f>
        <v>11.495125326314684</v>
      </c>
      <c r="P3098">
        <f>LN(dataset[[#This Row],[soda_ppu]])</f>
        <v>-0.38111401724433336</v>
      </c>
      <c r="Q3098">
        <f>IF(dataset[[#This Row],[state]]="VA",1,0)</f>
        <v>0</v>
      </c>
    </row>
    <row r="3099" spans="1:17" x14ac:dyDescent="0.35">
      <c r="A3099">
        <v>202202</v>
      </c>
      <c r="B3099">
        <v>3</v>
      </c>
      <c r="C3099" s="2">
        <v>2257774.7483999999</v>
      </c>
      <c r="D3099" s="2">
        <v>0.67710000000000004</v>
      </c>
      <c r="E3099" s="3">
        <v>169302</v>
      </c>
      <c r="F3099" s="2">
        <v>114631.1725</v>
      </c>
      <c r="G3099" t="s">
        <v>350</v>
      </c>
      <c r="H3099" t="s">
        <v>5</v>
      </c>
      <c r="I3099">
        <f>HLOOKUP(G3099,zip_tiers!$A$1:$EON$2,2,FALSE)</f>
        <v>82180.666666666672</v>
      </c>
      <c r="J3099" t="str">
        <f t="shared" si="48"/>
        <v>Med</v>
      </c>
      <c r="K3099">
        <f>dataset[[#This Row],[soda_sales]]/dataset[[#This Row],[soda_units_sold]]</f>
        <v>0.67708102975747486</v>
      </c>
      <c r="L3099" s="29">
        <f>dataset[[#This Row],[implied_soda_ppu]]-dataset[[#This Row],[soda_ppu]]</f>
        <v>-1.8970242525173653E-5</v>
      </c>
      <c r="M3099">
        <f>dataset[[#This Row],[soda_sales]]/dataset[[#This Row],[total_sales]]</f>
        <v>5.0771748856361688E-2</v>
      </c>
      <c r="N3099">
        <f>LN(dataset[[#This Row],[soda_units_sold]])</f>
        <v>12.039439381400534</v>
      </c>
      <c r="O3099">
        <f>LN(dataset[[#This Row],[soda_sales]])</f>
        <v>11.649475057618202</v>
      </c>
      <c r="P3099">
        <f>LN(dataset[[#This Row],[soda_ppu]])</f>
        <v>-0.38993630649053729</v>
      </c>
      <c r="Q3099">
        <f>IF(dataset[[#This Row],[state]]="VA",1,0)</f>
        <v>0</v>
      </c>
    </row>
    <row r="3100" spans="1:17" x14ac:dyDescent="0.35">
      <c r="A3100">
        <v>202203</v>
      </c>
      <c r="B3100">
        <v>3</v>
      </c>
      <c r="C3100" s="2">
        <v>2446408.9673000001</v>
      </c>
      <c r="D3100" s="2">
        <v>0.68479999999999996</v>
      </c>
      <c r="E3100" s="3">
        <v>191364</v>
      </c>
      <c r="F3100" s="2">
        <v>131039.3257</v>
      </c>
      <c r="G3100" t="s">
        <v>350</v>
      </c>
      <c r="H3100" t="s">
        <v>5</v>
      </c>
      <c r="I3100">
        <f>HLOOKUP(G3100,zip_tiers!$A$1:$EON$2,2,FALSE)</f>
        <v>82180.666666666672</v>
      </c>
      <c r="J3100" t="str">
        <f t="shared" si="48"/>
        <v>Med</v>
      </c>
      <c r="K3100">
        <f>dataset[[#This Row],[soda_sales]]/dataset[[#This Row],[soda_units_sold]]</f>
        <v>0.68476477132585023</v>
      </c>
      <c r="L3100" s="29">
        <f>dataset[[#This Row],[implied_soda_ppu]]-dataset[[#This Row],[soda_ppu]]</f>
        <v>-3.5228674149734296E-5</v>
      </c>
      <c r="M3100">
        <f>dataset[[#This Row],[soda_sales]]/dataset[[#This Row],[total_sales]]</f>
        <v>5.356394922171278E-2</v>
      </c>
      <c r="N3100">
        <f>LN(dataset[[#This Row],[soda_units_sold]])</f>
        <v>12.161932652535972</v>
      </c>
      <c r="O3100">
        <f>LN(dataset[[#This Row],[soda_sales]])</f>
        <v>11.783252753316637</v>
      </c>
      <c r="P3100">
        <f>LN(dataset[[#This Row],[soda_ppu]])</f>
        <v>-0.37862845415460478</v>
      </c>
      <c r="Q3100">
        <f>IF(dataset[[#This Row],[state]]="VA",1,0)</f>
        <v>0</v>
      </c>
    </row>
    <row r="3101" spans="1:17" x14ac:dyDescent="0.35">
      <c r="A3101">
        <v>202204</v>
      </c>
      <c r="B3101">
        <v>3</v>
      </c>
      <c r="C3101" s="2">
        <v>2638192.3478999999</v>
      </c>
      <c r="D3101" s="2">
        <v>0.67720000000000002</v>
      </c>
      <c r="E3101" s="3">
        <v>232589</v>
      </c>
      <c r="F3101" s="2">
        <v>157504.19579999999</v>
      </c>
      <c r="G3101" t="s">
        <v>350</v>
      </c>
      <c r="H3101" t="s">
        <v>5</v>
      </c>
      <c r="I3101">
        <f>HLOOKUP(G3101,zip_tiers!$A$1:$EON$2,2,FALSE)</f>
        <v>82180.666666666672</v>
      </c>
      <c r="J3101" t="str">
        <f t="shared" si="48"/>
        <v>Med</v>
      </c>
      <c r="K3101">
        <f>dataset[[#This Row],[soda_sales]]/dataset[[#This Row],[soda_units_sold]]</f>
        <v>0.67717818039546152</v>
      </c>
      <c r="L3101" s="29">
        <f>dataset[[#This Row],[implied_soda_ppu]]-dataset[[#This Row],[soda_ppu]]</f>
        <v>-2.1819604538508841E-5</v>
      </c>
      <c r="M3101">
        <f>dataset[[#This Row],[soda_sales]]/dataset[[#This Row],[total_sales]]</f>
        <v>5.9701558881926582E-2</v>
      </c>
      <c r="N3101">
        <f>LN(dataset[[#This Row],[soda_units_sold]])</f>
        <v>12.357028226460891</v>
      </c>
      <c r="O3101">
        <f>LN(dataset[[#This Row],[soda_sales]])</f>
        <v>11.967207376892986</v>
      </c>
      <c r="P3101">
        <f>LN(dataset[[#This Row],[soda_ppu]])</f>
        <v>-0.38978862872315678</v>
      </c>
      <c r="Q3101">
        <f>IF(dataset[[#This Row],[state]]="VA",1,0)</f>
        <v>0</v>
      </c>
    </row>
    <row r="3102" spans="1:17" x14ac:dyDescent="0.35">
      <c r="A3102">
        <v>202205</v>
      </c>
      <c r="B3102">
        <v>3</v>
      </c>
      <c r="C3102" s="2">
        <v>2724099.6611000001</v>
      </c>
      <c r="D3102" s="2">
        <v>0.7006</v>
      </c>
      <c r="E3102" s="3">
        <v>243372</v>
      </c>
      <c r="F3102" s="2">
        <v>170515.00390000001</v>
      </c>
      <c r="G3102" t="s">
        <v>350</v>
      </c>
      <c r="H3102" t="s">
        <v>5</v>
      </c>
      <c r="I3102">
        <f>HLOOKUP(G3102,zip_tiers!$A$1:$EON$2,2,FALSE)</f>
        <v>82180.666666666672</v>
      </c>
      <c r="J3102" t="str">
        <f t="shared" si="48"/>
        <v>Med</v>
      </c>
      <c r="K3102">
        <f>dataset[[#This Row],[soda_sales]]/dataset[[#This Row],[soda_units_sold]]</f>
        <v>0.70063525754811573</v>
      </c>
      <c r="L3102" s="29">
        <f>dataset[[#This Row],[implied_soda_ppu]]-dataset[[#This Row],[soda_ppu]]</f>
        <v>3.5257548115730231E-5</v>
      </c>
      <c r="M3102">
        <f>dataset[[#This Row],[soda_sales]]/dataset[[#This Row],[total_sales]]</f>
        <v>6.2594994718785546E-2</v>
      </c>
      <c r="N3102">
        <f>LN(dataset[[#This Row],[soda_units_sold]])</f>
        <v>12.402346415942132</v>
      </c>
      <c r="O3102">
        <f>LN(dataset[[#This Row],[soda_sales]])</f>
        <v>12.046578571247476</v>
      </c>
      <c r="P3102">
        <f>LN(dataset[[#This Row],[soda_ppu]])</f>
        <v>-0.35581816821875062</v>
      </c>
      <c r="Q3102">
        <f>IF(dataset[[#This Row],[state]]="VA",1,0)</f>
        <v>0</v>
      </c>
    </row>
    <row r="3103" spans="1:17" x14ac:dyDescent="0.35">
      <c r="A3103">
        <v>202206</v>
      </c>
      <c r="B3103">
        <v>3</v>
      </c>
      <c r="C3103" s="2">
        <v>2680801.5416999999</v>
      </c>
      <c r="D3103" s="2">
        <v>0.68220000000000003</v>
      </c>
      <c r="E3103" s="3">
        <v>271643</v>
      </c>
      <c r="F3103" s="2">
        <v>185313.95110000001</v>
      </c>
      <c r="G3103" t="s">
        <v>350</v>
      </c>
      <c r="H3103" t="s">
        <v>5</v>
      </c>
      <c r="I3103">
        <f>HLOOKUP(G3103,zip_tiers!$A$1:$EON$2,2,FALSE)</f>
        <v>82180.666666666672</v>
      </c>
      <c r="J3103" t="str">
        <f t="shared" si="48"/>
        <v>Med</v>
      </c>
      <c r="K3103">
        <f>dataset[[#This Row],[soda_sales]]/dataset[[#This Row],[soda_units_sold]]</f>
        <v>0.68219667394337424</v>
      </c>
      <c r="L3103" s="29">
        <f>dataset[[#This Row],[implied_soda_ppu]]-dataset[[#This Row],[soda_ppu]]</f>
        <v>-3.3260566257853341E-6</v>
      </c>
      <c r="M3103">
        <f>dataset[[#This Row],[soda_sales]]/dataset[[#This Row],[total_sales]]</f>
        <v>6.912632219037193E-2</v>
      </c>
      <c r="N3103">
        <f>LN(dataset[[#This Row],[soda_units_sold]])</f>
        <v>12.512243983195605</v>
      </c>
      <c r="O3103">
        <f>LN(dataset[[#This Row],[soda_sales]])</f>
        <v>12.129806698700015</v>
      </c>
      <c r="P3103">
        <f>LN(dataset[[#This Row],[soda_ppu]])</f>
        <v>-0.38243240899759168</v>
      </c>
      <c r="Q3103">
        <f>IF(dataset[[#This Row],[state]]="VA",1,0)</f>
        <v>0</v>
      </c>
    </row>
    <row r="3104" spans="1:17" x14ac:dyDescent="0.35">
      <c r="A3104">
        <v>202207</v>
      </c>
      <c r="B3104">
        <v>3</v>
      </c>
      <c r="C3104" s="2">
        <v>2495053.5688999998</v>
      </c>
      <c r="D3104" s="2">
        <v>0.68389999999999995</v>
      </c>
      <c r="E3104" s="3">
        <v>270606</v>
      </c>
      <c r="F3104" s="2">
        <v>185060.60699999999</v>
      </c>
      <c r="G3104" t="s">
        <v>350</v>
      </c>
      <c r="H3104" t="s">
        <v>5</v>
      </c>
      <c r="I3104">
        <f>HLOOKUP(G3104,zip_tiers!$A$1:$EON$2,2,FALSE)</f>
        <v>82180.666666666672</v>
      </c>
      <c r="J3104" t="str">
        <f t="shared" si="48"/>
        <v>Med</v>
      </c>
      <c r="K3104">
        <f>dataset[[#This Row],[soda_sales]]/dataset[[#This Row],[soda_units_sold]]</f>
        <v>0.68387473670206866</v>
      </c>
      <c r="L3104" s="29">
        <f>dataset[[#This Row],[implied_soda_ppu]]-dataset[[#This Row],[soda_ppu]]</f>
        <v>-2.5263297931288342E-5</v>
      </c>
      <c r="M3104">
        <f>dataset[[#This Row],[soda_sales]]/dataset[[#This Row],[total_sales]]</f>
        <v>7.4170995487518973E-2</v>
      </c>
      <c r="N3104">
        <f>LN(dataset[[#This Row],[soda_units_sold]])</f>
        <v>12.50841916742201</v>
      </c>
      <c r="O3104">
        <f>LN(dataset[[#This Row],[soda_sales]])</f>
        <v>12.128438655814934</v>
      </c>
      <c r="P3104">
        <f>LN(dataset[[#This Row],[soda_ppu]])</f>
        <v>-0.37994357087808678</v>
      </c>
      <c r="Q3104">
        <f>IF(dataset[[#This Row],[state]]="VA",1,0)</f>
        <v>0</v>
      </c>
    </row>
    <row r="3105" spans="1:17" x14ac:dyDescent="0.35">
      <c r="A3105">
        <v>202208</v>
      </c>
      <c r="B3105">
        <v>3</v>
      </c>
      <c r="C3105" s="2">
        <v>2405479.9123</v>
      </c>
      <c r="D3105" s="2">
        <v>0.67720000000000002</v>
      </c>
      <c r="E3105" s="3">
        <v>244613</v>
      </c>
      <c r="F3105" s="2">
        <v>165642.93470000001</v>
      </c>
      <c r="G3105" t="s">
        <v>350</v>
      </c>
      <c r="H3105" t="s">
        <v>5</v>
      </c>
      <c r="I3105">
        <f>HLOOKUP(G3105,zip_tiers!$A$1:$EON$2,2,FALSE)</f>
        <v>82180.666666666672</v>
      </c>
      <c r="J3105" t="str">
        <f t="shared" si="48"/>
        <v>Med</v>
      </c>
      <c r="K3105">
        <f>dataset[[#This Row],[soda_sales]]/dataset[[#This Row],[soda_units_sold]]</f>
        <v>0.67716325256629861</v>
      </c>
      <c r="L3105" s="29">
        <f>dataset[[#This Row],[implied_soda_ppu]]-dataset[[#This Row],[soda_ppu]]</f>
        <v>-3.6747433701411758E-5</v>
      </c>
      <c r="M3105">
        <f>dataset[[#This Row],[soda_sales]]/dataset[[#This Row],[total_sales]]</f>
        <v>6.8860660133977375E-2</v>
      </c>
      <c r="N3105">
        <f>LN(dataset[[#This Row],[soda_units_sold]])</f>
        <v>12.407432648819634</v>
      </c>
      <c r="O3105">
        <f>LN(dataset[[#This Row],[soda_sales]])</f>
        <v>12.01758975484136</v>
      </c>
      <c r="P3105">
        <f>LN(dataset[[#This Row],[soda_ppu]])</f>
        <v>-0.38978862872315678</v>
      </c>
      <c r="Q3105">
        <f>IF(dataset[[#This Row],[state]]="VA",1,0)</f>
        <v>0</v>
      </c>
    </row>
    <row r="3106" spans="1:17" x14ac:dyDescent="0.35">
      <c r="A3106">
        <v>202209</v>
      </c>
      <c r="B3106">
        <v>3</v>
      </c>
      <c r="C3106" s="2">
        <v>2360532.3835</v>
      </c>
      <c r="D3106" s="2">
        <v>0.67120000000000002</v>
      </c>
      <c r="E3106" s="3">
        <v>231185</v>
      </c>
      <c r="F3106" s="2">
        <v>155163.58309999999</v>
      </c>
      <c r="G3106" t="s">
        <v>350</v>
      </c>
      <c r="H3106" t="s">
        <v>5</v>
      </c>
      <c r="I3106">
        <f>HLOOKUP(G3106,zip_tiers!$A$1:$EON$2,2,FALSE)</f>
        <v>82180.666666666672</v>
      </c>
      <c r="J3106" t="str">
        <f t="shared" si="48"/>
        <v>Med</v>
      </c>
      <c r="K3106">
        <f>dataset[[#This Row],[soda_sales]]/dataset[[#This Row],[soda_units_sold]]</f>
        <v>0.67116630880031136</v>
      </c>
      <c r="L3106" s="29">
        <f>dataset[[#This Row],[implied_soda_ppu]]-dataset[[#This Row],[soda_ppu]]</f>
        <v>-3.3691199688656859E-5</v>
      </c>
      <c r="M3106">
        <f>dataset[[#This Row],[soda_sales]]/dataset[[#This Row],[total_sales]]</f>
        <v>6.5732452638474881E-2</v>
      </c>
      <c r="N3106">
        <f>LN(dataset[[#This Row],[soda_units_sold]])</f>
        <v>12.350973534782899</v>
      </c>
      <c r="O3106">
        <f>LN(dataset[[#This Row],[soda_sales]])</f>
        <v>11.95223521422359</v>
      </c>
      <c r="P3106">
        <f>LN(dataset[[#This Row],[soda_ppu]])</f>
        <v>-0.39868812382914059</v>
      </c>
      <c r="Q3106">
        <f>IF(dataset[[#This Row],[state]]="VA",1,0)</f>
        <v>0</v>
      </c>
    </row>
    <row r="3107" spans="1:17" x14ac:dyDescent="0.35">
      <c r="A3107">
        <v>202210</v>
      </c>
      <c r="B3107">
        <v>3</v>
      </c>
      <c r="C3107" s="2">
        <v>2882393.6516999998</v>
      </c>
      <c r="D3107" s="2">
        <v>0.66990000000000005</v>
      </c>
      <c r="E3107" s="3">
        <v>218135</v>
      </c>
      <c r="F3107" s="2">
        <v>146122.35870000001</v>
      </c>
      <c r="G3107" t="s">
        <v>350</v>
      </c>
      <c r="H3107" t="s">
        <v>5</v>
      </c>
      <c r="I3107">
        <f>HLOOKUP(G3107,zip_tiers!$A$1:$EON$2,2,FALSE)</f>
        <v>82180.666666666672</v>
      </c>
      <c r="J3107" t="str">
        <f t="shared" si="48"/>
        <v>Med</v>
      </c>
      <c r="K3107">
        <f>dataset[[#This Row],[soda_sales]]/dataset[[#This Row],[soda_units_sold]]</f>
        <v>0.66987122057441495</v>
      </c>
      <c r="L3107" s="29">
        <f>dataset[[#This Row],[implied_soda_ppu]]-dataset[[#This Row],[soda_ppu]]</f>
        <v>-2.8779425585101492E-5</v>
      </c>
      <c r="M3107">
        <f>dataset[[#This Row],[soda_sales]]/dataset[[#This Row],[total_sales]]</f>
        <v>5.0694796185739195E-2</v>
      </c>
      <c r="N3107">
        <f>LN(dataset[[#This Row],[soda_units_sold]])</f>
        <v>12.292869416160173</v>
      </c>
      <c r="O3107">
        <f>LN(dataset[[#This Row],[soda_sales]])</f>
        <v>11.892199622990816</v>
      </c>
      <c r="P3107">
        <f>LN(dataset[[#This Row],[soda_ppu]])</f>
        <v>-0.40062683146791511</v>
      </c>
      <c r="Q3107">
        <f>IF(dataset[[#This Row],[state]]="VA",1,0)</f>
        <v>0</v>
      </c>
    </row>
    <row r="3108" spans="1:17" x14ac:dyDescent="0.35">
      <c r="A3108">
        <v>202211</v>
      </c>
      <c r="B3108">
        <v>3</v>
      </c>
      <c r="C3108" s="2">
        <v>3359813.9742999999</v>
      </c>
      <c r="D3108" s="2">
        <v>0.68879999999999997</v>
      </c>
      <c r="E3108" s="3">
        <v>209809</v>
      </c>
      <c r="F3108" s="2">
        <v>144520.62659999999</v>
      </c>
      <c r="G3108" t="s">
        <v>350</v>
      </c>
      <c r="H3108" t="s">
        <v>5</v>
      </c>
      <c r="I3108">
        <f>HLOOKUP(G3108,zip_tiers!$A$1:$EON$2,2,FALSE)</f>
        <v>82180.666666666672</v>
      </c>
      <c r="J3108" t="str">
        <f t="shared" si="48"/>
        <v>Med</v>
      </c>
      <c r="K3108">
        <f>dataset[[#This Row],[soda_sales]]/dataset[[#This Row],[soda_units_sold]]</f>
        <v>0.68881995815241481</v>
      </c>
      <c r="L3108" s="29">
        <f>dataset[[#This Row],[implied_soda_ppu]]-dataset[[#This Row],[soda_ppu]]</f>
        <v>1.9958152414845109E-5</v>
      </c>
      <c r="M3108">
        <f>dataset[[#This Row],[soda_sales]]/dataset[[#This Row],[total_sales]]</f>
        <v>4.301447273732175E-2</v>
      </c>
      <c r="N3108">
        <f>LN(dataset[[#This Row],[soda_units_sold]])</f>
        <v>12.253952872022335</v>
      </c>
      <c r="O3108">
        <f>LN(dataset[[#This Row],[soda_sales]])</f>
        <v>11.881177520984256</v>
      </c>
      <c r="P3108">
        <f>LN(dataset[[#This Row],[soda_ppu]])</f>
        <v>-0.37280432586861606</v>
      </c>
      <c r="Q3108">
        <f>IF(dataset[[#This Row],[state]]="VA",1,0)</f>
        <v>0</v>
      </c>
    </row>
    <row r="3109" spans="1:17" x14ac:dyDescent="0.35">
      <c r="A3109">
        <v>202212</v>
      </c>
      <c r="B3109">
        <v>3</v>
      </c>
      <c r="C3109" s="2">
        <v>3411174.2650000001</v>
      </c>
      <c r="D3109" s="2">
        <v>0.69620000000000004</v>
      </c>
      <c r="E3109" s="3">
        <v>198017</v>
      </c>
      <c r="F3109" s="2">
        <v>137850.55480000001</v>
      </c>
      <c r="G3109" t="s">
        <v>350</v>
      </c>
      <c r="H3109" t="s">
        <v>5</v>
      </c>
      <c r="I3109">
        <f>HLOOKUP(G3109,zip_tiers!$A$1:$EON$2,2,FALSE)</f>
        <v>82180.666666666672</v>
      </c>
      <c r="J3109" t="str">
        <f t="shared" si="48"/>
        <v>Med</v>
      </c>
      <c r="K3109">
        <f>dataset[[#This Row],[soda_sales]]/dataset[[#This Row],[soda_units_sold]]</f>
        <v>0.69615515233540559</v>
      </c>
      <c r="L3109" s="29">
        <f>dataset[[#This Row],[implied_soda_ppu]]-dataset[[#This Row],[soda_ppu]]</f>
        <v>-4.4847664594449554E-5</v>
      </c>
      <c r="M3109">
        <f>dataset[[#This Row],[soda_sales]]/dataset[[#This Row],[total_sales]]</f>
        <v>4.0411466577477829E-2</v>
      </c>
      <c r="N3109">
        <f>LN(dataset[[#This Row],[soda_units_sold]])</f>
        <v>12.196108164576893</v>
      </c>
      <c r="O3109">
        <f>LN(dataset[[#This Row],[soda_sales]])</f>
        <v>11.833925441108335</v>
      </c>
      <c r="P3109">
        <f>LN(dataset[[#This Row],[soda_ppu]])</f>
        <v>-0.36211830360479846</v>
      </c>
      <c r="Q3109">
        <f>IF(dataset[[#This Row],[state]]="VA",1,0)</f>
        <v>0</v>
      </c>
    </row>
    <row r="3110" spans="1:17" x14ac:dyDescent="0.35">
      <c r="A3110">
        <v>202301</v>
      </c>
      <c r="B3110">
        <v>3</v>
      </c>
      <c r="C3110" s="2">
        <v>1993933.7026</v>
      </c>
      <c r="D3110" s="2">
        <v>0.71030000000000004</v>
      </c>
      <c r="E3110" s="3">
        <v>142169</v>
      </c>
      <c r="F3110" s="2">
        <v>100983.7867</v>
      </c>
      <c r="G3110" t="s">
        <v>350</v>
      </c>
      <c r="H3110" t="s">
        <v>5</v>
      </c>
      <c r="I3110">
        <f>HLOOKUP(G3110,zip_tiers!$A$1:$EON$2,2,FALSE)</f>
        <v>82180.666666666672</v>
      </c>
      <c r="J3110" t="str">
        <f t="shared" si="48"/>
        <v>Med</v>
      </c>
      <c r="K3110">
        <f>dataset[[#This Row],[soda_sales]]/dataset[[#This Row],[soda_units_sold]]</f>
        <v>0.71030806082901332</v>
      </c>
      <c r="L3110" s="29">
        <f>dataset[[#This Row],[implied_soda_ppu]]-dataset[[#This Row],[soda_ppu]]</f>
        <v>8.0608290132788696E-6</v>
      </c>
      <c r="M3110">
        <f>dataset[[#This Row],[soda_sales]]/dataset[[#This Row],[total_sales]]</f>
        <v>5.0645508708901242E-2</v>
      </c>
      <c r="N3110">
        <f>LN(dataset[[#This Row],[soda_units_sold]])</f>
        <v>11.86477176977227</v>
      </c>
      <c r="O3110">
        <f>LN(dataset[[#This Row],[soda_sales]])</f>
        <v>11.522715255214671</v>
      </c>
      <c r="P3110">
        <f>LN(dataset[[#This Row],[soda_ppu]])</f>
        <v>-0.34206786297837272</v>
      </c>
      <c r="Q3110">
        <f>IF(dataset[[#This Row],[state]]="VA",1,0)</f>
        <v>0</v>
      </c>
    </row>
    <row r="3111" spans="1:17" x14ac:dyDescent="0.35">
      <c r="A3111">
        <v>202302</v>
      </c>
      <c r="B3111">
        <v>3</v>
      </c>
      <c r="C3111" s="2">
        <v>2258599.7705999999</v>
      </c>
      <c r="D3111" s="2">
        <v>0.6925</v>
      </c>
      <c r="E3111" s="3">
        <v>166102</v>
      </c>
      <c r="F3111" s="2">
        <v>115027.4494</v>
      </c>
      <c r="G3111" t="s">
        <v>350</v>
      </c>
      <c r="H3111" t="s">
        <v>5</v>
      </c>
      <c r="I3111">
        <f>HLOOKUP(G3111,zip_tiers!$A$1:$EON$2,2,FALSE)</f>
        <v>82180.666666666672</v>
      </c>
      <c r="J3111" t="str">
        <f t="shared" si="48"/>
        <v>Med</v>
      </c>
      <c r="K3111">
        <f>dataset[[#This Row],[soda_sales]]/dataset[[#This Row],[soda_units_sold]]</f>
        <v>0.69251092340850806</v>
      </c>
      <c r="L3111" s="29">
        <f>dataset[[#This Row],[implied_soda_ppu]]-dataset[[#This Row],[soda_ppu]]</f>
        <v>1.0923408508056731E-5</v>
      </c>
      <c r="M3111">
        <f>dataset[[#This Row],[soda_sales]]/dataset[[#This Row],[total_sales]]</f>
        <v>5.0928655398491784E-2</v>
      </c>
      <c r="N3111">
        <f>LN(dataset[[#This Row],[soda_units_sold]])</f>
        <v>12.020357336468088</v>
      </c>
      <c r="O3111">
        <f>LN(dataset[[#This Row],[soda_sales]])</f>
        <v>11.65292606929814</v>
      </c>
      <c r="P3111">
        <f>LN(dataset[[#This Row],[soda_ppu]])</f>
        <v>-0.36744704092064345</v>
      </c>
      <c r="Q3111">
        <f>IF(dataset[[#This Row],[state]]="VA",1,0)</f>
        <v>0</v>
      </c>
    </row>
    <row r="3112" spans="1:17" x14ac:dyDescent="0.35">
      <c r="A3112">
        <v>202303</v>
      </c>
      <c r="B3112">
        <v>3</v>
      </c>
      <c r="C3112" s="2">
        <v>2510321.3317</v>
      </c>
      <c r="D3112" s="2">
        <v>0.69450000000000001</v>
      </c>
      <c r="E3112" s="3">
        <v>191149</v>
      </c>
      <c r="F3112" s="2">
        <v>132755.9173</v>
      </c>
      <c r="G3112" t="s">
        <v>350</v>
      </c>
      <c r="H3112" t="s">
        <v>5</v>
      </c>
      <c r="I3112">
        <f>HLOOKUP(G3112,zip_tiers!$A$1:$EON$2,2,FALSE)</f>
        <v>82180.666666666672</v>
      </c>
      <c r="J3112" t="str">
        <f t="shared" si="48"/>
        <v>Med</v>
      </c>
      <c r="K3112">
        <f>dataset[[#This Row],[soda_sales]]/dataset[[#This Row],[soda_units_sold]]</f>
        <v>0.69451536393075564</v>
      </c>
      <c r="L3112" s="29">
        <f>dataset[[#This Row],[implied_soda_ppu]]-dataset[[#This Row],[soda_ppu]]</f>
        <v>1.5363930755629696E-5</v>
      </c>
      <c r="M3112">
        <f>dataset[[#This Row],[soda_sales]]/dataset[[#This Row],[total_sales]]</f>
        <v>5.2884033459611783E-2</v>
      </c>
      <c r="N3112">
        <f>LN(dataset[[#This Row],[soda_units_sold]])</f>
        <v>12.160808507617283</v>
      </c>
      <c r="O3112">
        <f>LN(dataset[[#This Row],[soda_sales]])</f>
        <v>11.796267512875355</v>
      </c>
      <c r="P3112">
        <f>LN(dataset[[#This Row],[soda_ppu]])</f>
        <v>-0.36456311678773856</v>
      </c>
      <c r="Q3112">
        <f>IF(dataset[[#This Row],[state]]="VA",1,0)</f>
        <v>0</v>
      </c>
    </row>
    <row r="3113" spans="1:17" x14ac:dyDescent="0.35">
      <c r="A3113">
        <v>202304</v>
      </c>
      <c r="B3113">
        <v>3</v>
      </c>
      <c r="C3113" s="2">
        <v>2684080.4822999998</v>
      </c>
      <c r="D3113" s="2">
        <v>0.70979999999999999</v>
      </c>
      <c r="E3113" s="3">
        <v>225980</v>
      </c>
      <c r="F3113" s="2">
        <v>160400.71460000001</v>
      </c>
      <c r="G3113" t="s">
        <v>350</v>
      </c>
      <c r="H3113" t="s">
        <v>5</v>
      </c>
      <c r="I3113">
        <f>HLOOKUP(G3113,zip_tiers!$A$1:$EON$2,2,FALSE)</f>
        <v>82180.666666666672</v>
      </c>
      <c r="J3113" t="str">
        <f t="shared" si="48"/>
        <v>Med</v>
      </c>
      <c r="K3113">
        <f>dataset[[#This Row],[soda_sales]]/dataset[[#This Row],[soda_units_sold]]</f>
        <v>0.70980048942384288</v>
      </c>
      <c r="L3113" s="29">
        <f>dataset[[#This Row],[implied_soda_ppu]]-dataset[[#This Row],[soda_ppu]]</f>
        <v>4.8942384289762941E-7</v>
      </c>
      <c r="M3113">
        <f>dataset[[#This Row],[soda_sales]]/dataset[[#This Row],[total_sales]]</f>
        <v>5.9760024208570663E-2</v>
      </c>
      <c r="N3113">
        <f>LN(dataset[[#This Row],[soda_units_sold]])</f>
        <v>12.328201778763237</v>
      </c>
      <c r="O3113">
        <f>LN(dataset[[#This Row],[soda_sales]])</f>
        <v>11.985430429516846</v>
      </c>
      <c r="P3113">
        <f>LN(dataset[[#This Row],[soda_ppu]])</f>
        <v>-0.34277203876974099</v>
      </c>
      <c r="Q3113">
        <f>IF(dataset[[#This Row],[state]]="VA",1,0)</f>
        <v>0</v>
      </c>
    </row>
    <row r="3114" spans="1:17" x14ac:dyDescent="0.35">
      <c r="A3114">
        <v>202305</v>
      </c>
      <c r="B3114">
        <v>3</v>
      </c>
      <c r="C3114" s="2">
        <v>2756659.6085999999</v>
      </c>
      <c r="D3114" s="2">
        <v>0.69979999999999998</v>
      </c>
      <c r="E3114" s="3">
        <v>249831</v>
      </c>
      <c r="F3114" s="2">
        <v>174830.5379</v>
      </c>
      <c r="G3114" t="s">
        <v>350</v>
      </c>
      <c r="H3114" t="s">
        <v>5</v>
      </c>
      <c r="I3114">
        <f>HLOOKUP(G3114,zip_tiers!$A$1:$EON$2,2,FALSE)</f>
        <v>82180.666666666672</v>
      </c>
      <c r="J3114" t="str">
        <f t="shared" si="48"/>
        <v>Med</v>
      </c>
      <c r="K3114">
        <f>dataset[[#This Row],[soda_sales]]/dataset[[#This Row],[soda_units_sold]]</f>
        <v>0.69979521316409887</v>
      </c>
      <c r="L3114" s="29">
        <f>dataset[[#This Row],[implied_soda_ppu]]-dataset[[#This Row],[soda_ppu]]</f>
        <v>-4.7868359011049577E-6</v>
      </c>
      <c r="M3114">
        <f>dataset[[#This Row],[soda_sales]]/dataset[[#This Row],[total_sales]]</f>
        <v>6.3421155573425925E-2</v>
      </c>
      <c r="N3114">
        <f>LN(dataset[[#This Row],[soda_units_sold]])</f>
        <v>12.428539968253359</v>
      </c>
      <c r="O3114">
        <f>LN(dataset[[#This Row],[soda_sales]])</f>
        <v>12.071572428890045</v>
      </c>
      <c r="P3114">
        <f>LN(dataset[[#This Row],[soda_ppu]])</f>
        <v>-0.35696069904854943</v>
      </c>
      <c r="Q3114">
        <f>IF(dataset[[#This Row],[state]]="VA",1,0)</f>
        <v>0</v>
      </c>
    </row>
    <row r="3115" spans="1:17" x14ac:dyDescent="0.35">
      <c r="A3115">
        <v>202306</v>
      </c>
      <c r="B3115">
        <v>3</v>
      </c>
      <c r="C3115" s="2">
        <v>2625090.7288000002</v>
      </c>
      <c r="D3115" s="2">
        <v>0.70069999999999999</v>
      </c>
      <c r="E3115" s="3">
        <v>254827</v>
      </c>
      <c r="F3115" s="2">
        <v>178565.24549999999</v>
      </c>
      <c r="G3115" t="s">
        <v>350</v>
      </c>
      <c r="H3115" t="s">
        <v>5</v>
      </c>
      <c r="I3115">
        <f>HLOOKUP(G3115,zip_tiers!$A$1:$EON$2,2,FALSE)</f>
        <v>82180.666666666672</v>
      </c>
      <c r="J3115" t="str">
        <f t="shared" si="48"/>
        <v>Med</v>
      </c>
      <c r="K3115">
        <f>dataset[[#This Row],[soda_sales]]/dataset[[#This Row],[soda_units_sold]]</f>
        <v>0.70073126277827702</v>
      </c>
      <c r="L3115" s="29">
        <f>dataset[[#This Row],[implied_soda_ppu]]-dataset[[#This Row],[soda_ppu]]</f>
        <v>3.1262778277030279E-5</v>
      </c>
      <c r="M3115">
        <f>dataset[[#This Row],[soda_sales]]/dataset[[#This Row],[total_sales]]</f>
        <v>6.8022504342783979E-2</v>
      </c>
      <c r="N3115">
        <f>LN(dataset[[#This Row],[soda_units_sold]])</f>
        <v>12.448340162529311</v>
      </c>
      <c r="O3115">
        <f>LN(dataset[[#This Row],[soda_sales]])</f>
        <v>12.092709334423704</v>
      </c>
      <c r="P3115">
        <f>LN(dataset[[#This Row],[soda_ppu]])</f>
        <v>-0.35567544360564884</v>
      </c>
      <c r="Q3115">
        <f>IF(dataset[[#This Row],[state]]="VA",1,0)</f>
        <v>0</v>
      </c>
    </row>
    <row r="3116" spans="1:17" x14ac:dyDescent="0.35">
      <c r="A3116">
        <v>202307</v>
      </c>
      <c r="B3116">
        <v>3</v>
      </c>
      <c r="C3116" s="2">
        <v>2545853.7856000001</v>
      </c>
      <c r="D3116" s="2">
        <v>0.68510000000000004</v>
      </c>
      <c r="E3116" s="3">
        <v>271170</v>
      </c>
      <c r="F3116" s="2">
        <v>185774.61249999999</v>
      </c>
      <c r="G3116" t="s">
        <v>350</v>
      </c>
      <c r="H3116" t="s">
        <v>5</v>
      </c>
      <c r="I3116">
        <f>HLOOKUP(G3116,zip_tiers!$A$1:$EON$2,2,FALSE)</f>
        <v>82180.666666666672</v>
      </c>
      <c r="J3116" t="str">
        <f t="shared" si="48"/>
        <v>Med</v>
      </c>
      <c r="K3116">
        <f>dataset[[#This Row],[soda_sales]]/dataset[[#This Row],[soda_units_sold]]</f>
        <v>0.6850854168971493</v>
      </c>
      <c r="L3116" s="29">
        <f>dataset[[#This Row],[implied_soda_ppu]]-dataset[[#This Row],[soda_ppu]]</f>
        <v>-1.4583102850740381E-5</v>
      </c>
      <c r="M3116">
        <f>dataset[[#This Row],[soda_sales]]/dataset[[#This Row],[total_sales]]</f>
        <v>7.2971438324851451E-2</v>
      </c>
      <c r="N3116">
        <f>LN(dataset[[#This Row],[soda_units_sold]])</f>
        <v>12.510501209460566</v>
      </c>
      <c r="O3116">
        <f>LN(dataset[[#This Row],[soda_sales]])</f>
        <v>12.132289457166948</v>
      </c>
      <c r="P3116">
        <f>LN(dataset[[#This Row],[soda_ppu]])</f>
        <v>-0.3781904659732836</v>
      </c>
      <c r="Q3116">
        <f>IF(dataset[[#This Row],[state]]="VA",1,0)</f>
        <v>0</v>
      </c>
    </row>
    <row r="3117" spans="1:17" x14ac:dyDescent="0.35">
      <c r="A3117">
        <v>202308</v>
      </c>
      <c r="B3117">
        <v>3</v>
      </c>
      <c r="C3117" s="2">
        <v>2448953.4744000002</v>
      </c>
      <c r="D3117" s="2">
        <v>0.69669999999999999</v>
      </c>
      <c r="E3117" s="3">
        <v>237567</v>
      </c>
      <c r="F3117" s="2">
        <v>165515.93410000001</v>
      </c>
      <c r="G3117" t="s">
        <v>350</v>
      </c>
      <c r="H3117" t="s">
        <v>5</v>
      </c>
      <c r="I3117">
        <f>HLOOKUP(G3117,zip_tiers!$A$1:$EON$2,2,FALSE)</f>
        <v>82180.666666666672</v>
      </c>
      <c r="J3117" t="str">
        <f t="shared" si="48"/>
        <v>Med</v>
      </c>
      <c r="K3117">
        <f>dataset[[#This Row],[soda_sales]]/dataset[[#This Row],[soda_units_sold]]</f>
        <v>0.69671264990507942</v>
      </c>
      <c r="L3117" s="29">
        <f>dataset[[#This Row],[implied_soda_ppu]]-dataset[[#This Row],[soda_ppu]]</f>
        <v>1.2649905079431534E-5</v>
      </c>
      <c r="M3117">
        <f>dataset[[#This Row],[soda_sales]]/dataset[[#This Row],[total_sales]]</f>
        <v>6.7586393874041167E-2</v>
      </c>
      <c r="N3117">
        <f>LN(dataset[[#This Row],[soda_units_sold]])</f>
        <v>12.378204967935783</v>
      </c>
      <c r="O3117">
        <f>LN(dataset[[#This Row],[soda_sales]])</f>
        <v>12.016822747714622</v>
      </c>
      <c r="P3117">
        <f>LN(dataset[[#This Row],[soda_ppu]])</f>
        <v>-0.36140037694606386</v>
      </c>
      <c r="Q3117">
        <f>IF(dataset[[#This Row],[state]]="VA",1,0)</f>
        <v>0</v>
      </c>
    </row>
    <row r="3118" spans="1:17" x14ac:dyDescent="0.35">
      <c r="A3118">
        <v>202309</v>
      </c>
      <c r="B3118">
        <v>3</v>
      </c>
      <c r="C3118" s="2">
        <v>2410733.1858000001</v>
      </c>
      <c r="D3118" s="2">
        <v>0.69269999999999998</v>
      </c>
      <c r="E3118" s="3">
        <v>227039</v>
      </c>
      <c r="F3118" s="2">
        <v>157260.86110000001</v>
      </c>
      <c r="G3118" t="s">
        <v>350</v>
      </c>
      <c r="H3118" t="s">
        <v>5</v>
      </c>
      <c r="I3118">
        <f>HLOOKUP(G3118,zip_tiers!$A$1:$EON$2,2,FALSE)</f>
        <v>82180.666666666672</v>
      </c>
      <c r="J3118" t="str">
        <f t="shared" si="48"/>
        <v>Med</v>
      </c>
      <c r="K3118">
        <f>dataset[[#This Row],[soda_sales]]/dataset[[#This Row],[soda_units_sold]]</f>
        <v>0.69266012050793035</v>
      </c>
      <c r="L3118" s="29">
        <f>dataset[[#This Row],[implied_soda_ppu]]-dataset[[#This Row],[soda_ppu]]</f>
        <v>-3.9879492069627709E-5</v>
      </c>
      <c r="M3118">
        <f>dataset[[#This Row],[soda_sales]]/dataset[[#This Row],[total_sales]]</f>
        <v>6.523362354088684E-2</v>
      </c>
      <c r="N3118">
        <f>LN(dataset[[#This Row],[soda_units_sold]])</f>
        <v>12.332877087873952</v>
      </c>
      <c r="O3118">
        <f>LN(dataset[[#This Row],[soda_sales]])</f>
        <v>11.965661241175944</v>
      </c>
      <c r="P3118">
        <f>LN(dataset[[#This Row],[soda_ppu]])</f>
        <v>-0.3671582739535777</v>
      </c>
      <c r="Q3118">
        <f>IF(dataset[[#This Row],[state]]="VA",1,0)</f>
        <v>0</v>
      </c>
    </row>
    <row r="3119" spans="1:17" x14ac:dyDescent="0.35">
      <c r="A3119">
        <v>202310</v>
      </c>
      <c r="B3119">
        <v>3</v>
      </c>
      <c r="C3119" s="2">
        <v>2945885.5803</v>
      </c>
      <c r="D3119" s="2">
        <v>0.67769999999999997</v>
      </c>
      <c r="E3119" s="3">
        <v>218681</v>
      </c>
      <c r="F3119" s="2">
        <v>148205.6735</v>
      </c>
      <c r="G3119" t="s">
        <v>350</v>
      </c>
      <c r="H3119" t="s">
        <v>5</v>
      </c>
      <c r="I3119">
        <f>HLOOKUP(G3119,zip_tiers!$A$1:$EON$2,2,FALSE)</f>
        <v>82180.666666666672</v>
      </c>
      <c r="J3119" t="str">
        <f t="shared" si="48"/>
        <v>Med</v>
      </c>
      <c r="K3119">
        <f>dataset[[#This Row],[soda_sales]]/dataset[[#This Row],[soda_units_sold]]</f>
        <v>0.67772542424810567</v>
      </c>
      <c r="L3119" s="29">
        <f>dataset[[#This Row],[implied_soda_ppu]]-dataset[[#This Row],[soda_ppu]]</f>
        <v>2.5424248105698766E-5</v>
      </c>
      <c r="M3119">
        <f>dataset[[#This Row],[soda_sales]]/dataset[[#This Row],[total_sales]]</f>
        <v>5.0309378779371056E-2</v>
      </c>
      <c r="N3119">
        <f>LN(dataset[[#This Row],[soda_units_sold]])</f>
        <v>12.295369325890377</v>
      </c>
      <c r="O3119">
        <f>LN(dataset[[#This Row],[soda_sales]])</f>
        <v>11.906356273837405</v>
      </c>
      <c r="P3119">
        <f>LN(dataset[[#This Row],[soda_ppu]])</f>
        <v>-0.38905056684006983</v>
      </c>
      <c r="Q3119">
        <f>IF(dataset[[#This Row],[state]]="VA",1,0)</f>
        <v>0</v>
      </c>
    </row>
    <row r="3120" spans="1:17" x14ac:dyDescent="0.35">
      <c r="A3120">
        <v>202311</v>
      </c>
      <c r="B3120">
        <v>3</v>
      </c>
      <c r="C3120" s="2">
        <v>3313980.4810000001</v>
      </c>
      <c r="D3120" s="2">
        <v>0.69920000000000004</v>
      </c>
      <c r="E3120" s="3">
        <v>203151</v>
      </c>
      <c r="F3120" s="2">
        <v>142045.00169999999</v>
      </c>
      <c r="G3120" t="s">
        <v>350</v>
      </c>
      <c r="H3120" t="s">
        <v>5</v>
      </c>
      <c r="I3120">
        <f>HLOOKUP(G3120,zip_tiers!$A$1:$EON$2,2,FALSE)</f>
        <v>82180.666666666672</v>
      </c>
      <c r="J3120" t="str">
        <f t="shared" si="48"/>
        <v>Med</v>
      </c>
      <c r="K3120">
        <f>dataset[[#This Row],[soda_sales]]/dataset[[#This Row],[soda_units_sold]]</f>
        <v>0.69920897115938385</v>
      </c>
      <c r="L3120" s="29">
        <f>dataset[[#This Row],[implied_soda_ppu]]-dataset[[#This Row],[soda_ppu]]</f>
        <v>8.9711593838082138E-6</v>
      </c>
      <c r="M3120">
        <f>dataset[[#This Row],[soda_sales]]/dataset[[#This Row],[total_sales]]</f>
        <v>4.2862353147335872E-2</v>
      </c>
      <c r="N3120">
        <f>LN(dataset[[#This Row],[soda_units_sold]])</f>
        <v>12.221704823874838</v>
      </c>
      <c r="O3120">
        <f>LN(dataset[[#This Row],[soda_sales]])</f>
        <v>11.863899199757242</v>
      </c>
      <c r="P3120">
        <f>LN(dataset[[#This Row],[soda_ppu]])</f>
        <v>-0.3578184546408113</v>
      </c>
      <c r="Q3120">
        <f>IF(dataset[[#This Row],[state]]="VA",1,0)</f>
        <v>0</v>
      </c>
    </row>
    <row r="3121" spans="1:17" x14ac:dyDescent="0.35">
      <c r="A3121">
        <v>202312</v>
      </c>
      <c r="B3121">
        <v>3</v>
      </c>
      <c r="C3121" s="2">
        <v>3507691.2577</v>
      </c>
      <c r="D3121" s="2">
        <v>0.69310000000000005</v>
      </c>
      <c r="E3121" s="3">
        <v>204508</v>
      </c>
      <c r="F3121" s="2">
        <v>141747.3162</v>
      </c>
      <c r="G3121" t="s">
        <v>350</v>
      </c>
      <c r="H3121" t="s">
        <v>5</v>
      </c>
      <c r="I3121">
        <f>HLOOKUP(G3121,zip_tiers!$A$1:$EON$2,2,FALSE)</f>
        <v>82180.666666666672</v>
      </c>
      <c r="J3121" t="str">
        <f t="shared" si="48"/>
        <v>Med</v>
      </c>
      <c r="K3121">
        <f>dataset[[#This Row],[soda_sales]]/dataset[[#This Row],[soda_units_sold]]</f>
        <v>0.69311379603731882</v>
      </c>
      <c r="L3121" s="29">
        <f>dataset[[#This Row],[implied_soda_ppu]]-dataset[[#This Row],[soda_ppu]]</f>
        <v>1.379603731876955E-5</v>
      </c>
      <c r="M3121">
        <f>dataset[[#This Row],[soda_sales]]/dataset[[#This Row],[total_sales]]</f>
        <v>4.0410431188560192E-2</v>
      </c>
      <c r="N3121">
        <f>LN(dataset[[#This Row],[soda_units_sold]])</f>
        <v>12.228362373504234</v>
      </c>
      <c r="O3121">
        <f>LN(dataset[[#This Row],[soda_sales]])</f>
        <v>11.861801288077427</v>
      </c>
      <c r="P3121">
        <f>LN(dataset[[#This Row],[soda_ppu]])</f>
        <v>-0.366580990058198</v>
      </c>
      <c r="Q3121">
        <f>IF(dataset[[#This Row],[state]]="VA",1,0)</f>
        <v>0</v>
      </c>
    </row>
    <row r="3122" spans="1:17" x14ac:dyDescent="0.35">
      <c r="A3122">
        <v>202401</v>
      </c>
      <c r="B3122">
        <v>3</v>
      </c>
      <c r="C3122" s="2">
        <v>2022491.6147</v>
      </c>
      <c r="D3122" s="2">
        <v>0.73970000000000002</v>
      </c>
      <c r="E3122" s="3">
        <v>140892</v>
      </c>
      <c r="F3122" s="2">
        <v>104218.561</v>
      </c>
      <c r="G3122" t="s">
        <v>350</v>
      </c>
      <c r="H3122" t="s">
        <v>5</v>
      </c>
      <c r="I3122">
        <f>HLOOKUP(G3122,zip_tiers!$A$1:$EON$2,2,FALSE)</f>
        <v>82180.666666666672</v>
      </c>
      <c r="J3122" t="str">
        <f t="shared" si="48"/>
        <v>Med</v>
      </c>
      <c r="K3122">
        <f>dataset[[#This Row],[soda_sales]]/dataset[[#This Row],[soda_units_sold]]</f>
        <v>0.73970531328961187</v>
      </c>
      <c r="L3122" s="29">
        <f>dataset[[#This Row],[implied_soda_ppu]]-dataset[[#This Row],[soda_ppu]]</f>
        <v>5.3132896118412987E-6</v>
      </c>
      <c r="M3122">
        <f>dataset[[#This Row],[soda_sales]]/dataset[[#This Row],[total_sales]]</f>
        <v>5.1529786448810039E-2</v>
      </c>
      <c r="N3122">
        <f>LN(dataset[[#This Row],[soda_units_sold]])</f>
        <v>11.855748918418213</v>
      </c>
      <c r="O3122">
        <f>LN(dataset[[#This Row],[soda_sales]])</f>
        <v>11.554245521037236</v>
      </c>
      <c r="P3122">
        <f>LN(dataset[[#This Row],[soda_ppu]])</f>
        <v>-0.30151058038831502</v>
      </c>
      <c r="Q3122">
        <f>IF(dataset[[#This Row],[state]]="VA",1,0)</f>
        <v>0</v>
      </c>
    </row>
    <row r="3123" spans="1:17" x14ac:dyDescent="0.35">
      <c r="A3123">
        <v>202402</v>
      </c>
      <c r="B3123">
        <v>3</v>
      </c>
      <c r="C3123" s="2">
        <v>2292891.4877999998</v>
      </c>
      <c r="D3123" s="2">
        <v>0.71589999999999998</v>
      </c>
      <c r="E3123" s="3">
        <v>166690</v>
      </c>
      <c r="F3123" s="2">
        <v>119335.3178</v>
      </c>
      <c r="G3123" t="s">
        <v>350</v>
      </c>
      <c r="H3123" t="s">
        <v>5</v>
      </c>
      <c r="I3123">
        <f>HLOOKUP(G3123,zip_tiers!$A$1:$EON$2,2,FALSE)</f>
        <v>82180.666666666672</v>
      </c>
      <c r="J3123" t="str">
        <f t="shared" si="48"/>
        <v>Med</v>
      </c>
      <c r="K3123">
        <f>dataset[[#This Row],[soda_sales]]/dataset[[#This Row],[soda_units_sold]]</f>
        <v>0.71591167916491694</v>
      </c>
      <c r="L3123" s="29">
        <f>dataset[[#This Row],[implied_soda_ppu]]-dataset[[#This Row],[soda_ppu]]</f>
        <v>1.1679164916955642E-5</v>
      </c>
      <c r="M3123">
        <f>dataset[[#This Row],[soda_sales]]/dataset[[#This Row],[total_sales]]</f>
        <v>5.2045776450808288E-2</v>
      </c>
      <c r="N3123">
        <f>LN(dataset[[#This Row],[soda_units_sold]])</f>
        <v>12.023891078937133</v>
      </c>
      <c r="O3123">
        <f>LN(dataset[[#This Row],[soda_sales]])</f>
        <v>11.689692606185396</v>
      </c>
      <c r="P3123">
        <f>LN(dataset[[#This Row],[soda_ppu]])</f>
        <v>-0.33421478657999776</v>
      </c>
      <c r="Q3123">
        <f>IF(dataset[[#This Row],[state]]="VA",1,0)</f>
        <v>0</v>
      </c>
    </row>
    <row r="3124" spans="1:17" x14ac:dyDescent="0.35">
      <c r="A3124">
        <v>202403</v>
      </c>
      <c r="B3124">
        <v>3</v>
      </c>
      <c r="C3124" s="2">
        <v>2549150.3977000001</v>
      </c>
      <c r="D3124" s="2">
        <v>0.73170000000000002</v>
      </c>
      <c r="E3124" s="3">
        <v>188345</v>
      </c>
      <c r="F3124" s="2">
        <v>137812.72769999999</v>
      </c>
      <c r="G3124" t="s">
        <v>350</v>
      </c>
      <c r="H3124" t="s">
        <v>5</v>
      </c>
      <c r="I3124">
        <f>HLOOKUP(G3124,zip_tiers!$A$1:$EON$2,2,FALSE)</f>
        <v>82180.666666666672</v>
      </c>
      <c r="J3124" t="str">
        <f t="shared" si="48"/>
        <v>Med</v>
      </c>
      <c r="K3124">
        <f>dataset[[#This Row],[soda_sales]]/dataset[[#This Row],[soda_units_sold]]</f>
        <v>0.73170366986115898</v>
      </c>
      <c r="L3124" s="29">
        <f>dataset[[#This Row],[implied_soda_ppu]]-dataset[[#This Row],[soda_ppu]]</f>
        <v>3.6698611589613961E-6</v>
      </c>
      <c r="M3124">
        <f>dataset[[#This Row],[soda_sales]]/dataset[[#This Row],[total_sales]]</f>
        <v>5.4062219249340127E-2</v>
      </c>
      <c r="N3124">
        <f>LN(dataset[[#This Row],[soda_units_sold]])</f>
        <v>12.146030666444494</v>
      </c>
      <c r="O3124">
        <f>LN(dataset[[#This Row],[soda_sales]])</f>
        <v>11.833650996866835</v>
      </c>
      <c r="P3124">
        <f>LN(dataset[[#This Row],[soda_ppu]])</f>
        <v>-0.31238468509215273</v>
      </c>
      <c r="Q3124">
        <f>IF(dataset[[#This Row],[state]]="VA",1,0)</f>
        <v>0</v>
      </c>
    </row>
    <row r="3125" spans="1:17" x14ac:dyDescent="0.35">
      <c r="A3125">
        <v>202404</v>
      </c>
      <c r="B3125">
        <v>3</v>
      </c>
      <c r="C3125" s="2">
        <v>2726980.9177000001</v>
      </c>
      <c r="D3125" s="2">
        <v>0.69599999999999995</v>
      </c>
      <c r="E3125" s="3">
        <v>233285</v>
      </c>
      <c r="F3125" s="2">
        <v>162357.15789999999</v>
      </c>
      <c r="G3125" t="s">
        <v>350</v>
      </c>
      <c r="H3125" t="s">
        <v>5</v>
      </c>
      <c r="I3125">
        <f>HLOOKUP(G3125,zip_tiers!$A$1:$EON$2,2,FALSE)</f>
        <v>82180.666666666672</v>
      </c>
      <c r="J3125" t="str">
        <f t="shared" si="48"/>
        <v>Med</v>
      </c>
      <c r="K3125">
        <f>dataset[[#This Row],[soda_sales]]/dataset[[#This Row],[soda_units_sold]]</f>
        <v>0.69596055425766767</v>
      </c>
      <c r="L3125" s="29">
        <f>dataset[[#This Row],[implied_soda_ppu]]-dataset[[#This Row],[soda_ppu]]</f>
        <v>-3.9445742332278044E-5</v>
      </c>
      <c r="M3125">
        <f>dataset[[#This Row],[soda_sales]]/dataset[[#This Row],[total_sales]]</f>
        <v>5.9537328202844866E-2</v>
      </c>
      <c r="N3125">
        <f>LN(dataset[[#This Row],[soda_units_sold]])</f>
        <v>12.360016161043244</v>
      </c>
      <c r="O3125">
        <f>LN(dataset[[#This Row],[soda_sales]])</f>
        <v>11.997553865872298</v>
      </c>
      <c r="P3125">
        <f>LN(dataset[[#This Row],[soda_ppu]])</f>
        <v>-0.36240561864771748</v>
      </c>
      <c r="Q3125">
        <f>IF(dataset[[#This Row],[state]]="VA",1,0)</f>
        <v>0</v>
      </c>
    </row>
    <row r="3126" spans="1:17" x14ac:dyDescent="0.35">
      <c r="A3126">
        <v>202405</v>
      </c>
      <c r="B3126">
        <v>3</v>
      </c>
      <c r="C3126" s="2">
        <v>2849841.0251000002</v>
      </c>
      <c r="D3126" s="2">
        <v>0.7046</v>
      </c>
      <c r="E3126" s="3">
        <v>251460</v>
      </c>
      <c r="F3126" s="2">
        <v>177173.29879999999</v>
      </c>
      <c r="G3126" t="s">
        <v>350</v>
      </c>
      <c r="H3126" t="s">
        <v>5</v>
      </c>
      <c r="I3126">
        <f>HLOOKUP(G3126,zip_tiers!$A$1:$EON$2,2,FALSE)</f>
        <v>82180.666666666672</v>
      </c>
      <c r="J3126" t="str">
        <f t="shared" si="48"/>
        <v>Med</v>
      </c>
      <c r="K3126">
        <f>dataset[[#This Row],[soda_sales]]/dataset[[#This Row],[soda_units_sold]]</f>
        <v>0.70457845701105537</v>
      </c>
      <c r="L3126" s="29">
        <f>dataset[[#This Row],[implied_soda_ppu]]-dataset[[#This Row],[soda_ppu]]</f>
        <v>-2.1542988944633912E-5</v>
      </c>
      <c r="M3126">
        <f>dataset[[#This Row],[soda_sales]]/dataset[[#This Row],[total_sales]]</f>
        <v>6.2169537612640345E-2</v>
      </c>
      <c r="N3126">
        <f>LN(dataset[[#This Row],[soda_units_sold]])</f>
        <v>12.435039210147172</v>
      </c>
      <c r="O3126">
        <f>LN(dataset[[#This Row],[soda_sales]])</f>
        <v>12.084883621826235</v>
      </c>
      <c r="P3126">
        <f>LN(dataset[[#This Row],[soda_ppu]])</f>
        <v>-0.35012501307499977</v>
      </c>
      <c r="Q3126">
        <f>IF(dataset[[#This Row],[state]]="VA",1,0)</f>
        <v>0</v>
      </c>
    </row>
    <row r="3127" spans="1:17" x14ac:dyDescent="0.35">
      <c r="A3127">
        <v>202406</v>
      </c>
      <c r="B3127">
        <v>3</v>
      </c>
      <c r="C3127" s="2">
        <v>2718917.3212000001</v>
      </c>
      <c r="D3127" s="2">
        <v>0.74880000000000002</v>
      </c>
      <c r="E3127" s="3">
        <v>244476</v>
      </c>
      <c r="F3127" s="2">
        <v>183056.50030000001</v>
      </c>
      <c r="G3127" t="s">
        <v>350</v>
      </c>
      <c r="H3127" t="s">
        <v>5</v>
      </c>
      <c r="I3127">
        <f>HLOOKUP(G3127,zip_tiers!$A$1:$EON$2,2,FALSE)</f>
        <v>82180.666666666672</v>
      </c>
      <c r="J3127" t="str">
        <f t="shared" si="48"/>
        <v>Med</v>
      </c>
      <c r="K3127">
        <f>dataset[[#This Row],[soda_sales]]/dataset[[#This Row],[soda_units_sold]]</f>
        <v>0.74877084171861452</v>
      </c>
      <c r="L3127" s="29">
        <f>dataset[[#This Row],[implied_soda_ppu]]-dataset[[#This Row],[soda_ppu]]</f>
        <v>-2.9158281385499585E-5</v>
      </c>
      <c r="M3127">
        <f>dataset[[#This Row],[soda_sales]]/dataset[[#This Row],[total_sales]]</f>
        <v>6.7326983013667963E-2</v>
      </c>
      <c r="N3127">
        <f>LN(dataset[[#This Row],[soda_units_sold]])</f>
        <v>12.406872423569901</v>
      </c>
      <c r="O3127">
        <f>LN(dataset[[#This Row],[soda_sales]])</f>
        <v>12.117550128980431</v>
      </c>
      <c r="P3127">
        <f>LN(dataset[[#This Row],[soda_ppu]])</f>
        <v>-0.28928335381875475</v>
      </c>
      <c r="Q3127">
        <f>IF(dataset[[#This Row],[state]]="VA",1,0)</f>
        <v>0</v>
      </c>
    </row>
    <row r="3128" spans="1:17" x14ac:dyDescent="0.35">
      <c r="A3128">
        <v>202407</v>
      </c>
      <c r="B3128">
        <v>3</v>
      </c>
      <c r="C3128" s="2">
        <v>2593725.6340999999</v>
      </c>
      <c r="D3128" s="2">
        <v>0.73350000000000004</v>
      </c>
      <c r="E3128" s="3">
        <v>262350</v>
      </c>
      <c r="F3128" s="2">
        <v>192435.32689999999</v>
      </c>
      <c r="G3128" t="s">
        <v>350</v>
      </c>
      <c r="H3128" t="s">
        <v>5</v>
      </c>
      <c r="I3128">
        <f>HLOOKUP(G3128,zip_tiers!$A$1:$EON$2,2,FALSE)</f>
        <v>82180.666666666672</v>
      </c>
      <c r="J3128" t="str">
        <f t="shared" si="48"/>
        <v>Med</v>
      </c>
      <c r="K3128">
        <f>dataset[[#This Row],[soda_sales]]/dataset[[#This Row],[soda_units_sold]]</f>
        <v>0.7335061059653134</v>
      </c>
      <c r="L3128" s="29">
        <f>dataset[[#This Row],[implied_soda_ppu]]-dataset[[#This Row],[soda_ppu]]</f>
        <v>6.1059653133632708E-6</v>
      </c>
      <c r="M3128">
        <f>dataset[[#This Row],[soda_sales]]/dataset[[#This Row],[total_sales]]</f>
        <v>7.4192630234297452E-2</v>
      </c>
      <c r="N3128">
        <f>LN(dataset[[#This Row],[soda_units_sold]])</f>
        <v>12.477434769114858</v>
      </c>
      <c r="O3128">
        <f>LN(dataset[[#This Row],[soda_sales]])</f>
        <v>12.167515412105532</v>
      </c>
      <c r="P3128">
        <f>LN(dataset[[#This Row],[soda_ppu]])</f>
        <v>-0.3099276813991006</v>
      </c>
      <c r="Q3128">
        <f>IF(dataset[[#This Row],[state]]="VA",1,0)</f>
        <v>0</v>
      </c>
    </row>
    <row r="3129" spans="1:17" x14ac:dyDescent="0.35">
      <c r="A3129">
        <v>202408</v>
      </c>
      <c r="B3129">
        <v>3</v>
      </c>
      <c r="C3129" s="2">
        <v>2478529.7987000002</v>
      </c>
      <c r="D3129" s="2">
        <v>0.73650000000000004</v>
      </c>
      <c r="E3129" s="3">
        <v>227399</v>
      </c>
      <c r="F3129" s="2">
        <v>167478.6586</v>
      </c>
      <c r="G3129" t="s">
        <v>350</v>
      </c>
      <c r="H3129" t="s">
        <v>5</v>
      </c>
      <c r="I3129">
        <f>HLOOKUP(G3129,zip_tiers!$A$1:$EON$2,2,FALSE)</f>
        <v>82180.666666666672</v>
      </c>
      <c r="J3129" t="str">
        <f t="shared" si="48"/>
        <v>Med</v>
      </c>
      <c r="K3129">
        <f>dataset[[#This Row],[soda_sales]]/dataset[[#This Row],[soda_units_sold]]</f>
        <v>0.73649690016226987</v>
      </c>
      <c r="L3129" s="29">
        <f>dataset[[#This Row],[implied_soda_ppu]]-dataset[[#This Row],[soda_ppu]]</f>
        <v>-3.0998377301694191E-6</v>
      </c>
      <c r="M3129">
        <f>dataset[[#This Row],[soda_sales]]/dataset[[#This Row],[total_sales]]</f>
        <v>6.7571775287044472E-2</v>
      </c>
      <c r="N3129">
        <f>LN(dataset[[#This Row],[soda_units_sold]])</f>
        <v>12.334461462751525</v>
      </c>
      <c r="O3129">
        <f>LN(dataset[[#This Row],[soda_sales]])</f>
        <v>12.02861121078646</v>
      </c>
      <c r="P3129">
        <f>LN(dataset[[#This Row],[soda_ppu]])</f>
        <v>-0.30584604307945201</v>
      </c>
      <c r="Q3129">
        <f>IF(dataset[[#This Row],[state]]="VA",1,0)</f>
        <v>0</v>
      </c>
    </row>
    <row r="3130" spans="1:17" x14ac:dyDescent="0.35">
      <c r="A3130">
        <v>202409</v>
      </c>
      <c r="B3130">
        <v>3</v>
      </c>
      <c r="C3130" s="2">
        <v>2431077.4249</v>
      </c>
      <c r="D3130" s="2">
        <v>0.72829999999999995</v>
      </c>
      <c r="E3130" s="3">
        <v>217269</v>
      </c>
      <c r="F3130" s="2">
        <v>158245.1832</v>
      </c>
      <c r="G3130" t="s">
        <v>350</v>
      </c>
      <c r="H3130" t="s">
        <v>5</v>
      </c>
      <c r="I3130">
        <f>HLOOKUP(G3130,zip_tiers!$A$1:$EON$2,2,FALSE)</f>
        <v>82180.666666666672</v>
      </c>
      <c r="J3130" t="str">
        <f t="shared" si="48"/>
        <v>Med</v>
      </c>
      <c r="K3130">
        <f>dataset[[#This Row],[soda_sales]]/dataset[[#This Row],[soda_units_sold]]</f>
        <v>0.72833760545683002</v>
      </c>
      <c r="L3130" s="29">
        <f>dataset[[#This Row],[implied_soda_ppu]]-dataset[[#This Row],[soda_ppu]]</f>
        <v>3.7605456830069883E-5</v>
      </c>
      <c r="M3130">
        <f>dataset[[#This Row],[soda_sales]]/dataset[[#This Row],[total_sales]]</f>
        <v>6.5092613496877533E-2</v>
      </c>
      <c r="N3130">
        <f>LN(dataset[[#This Row],[soda_units_sold]])</f>
        <v>12.288891496150463</v>
      </c>
      <c r="O3130">
        <f>LN(dataset[[#This Row],[soda_sales]])</f>
        <v>11.971900901628487</v>
      </c>
      <c r="P3130">
        <f>LN(dataset[[#This Row],[soda_ppu]])</f>
        <v>-0.31704222775826768</v>
      </c>
      <c r="Q3130">
        <f>IF(dataset[[#This Row],[state]]="VA",1,0)</f>
        <v>0</v>
      </c>
    </row>
    <row r="3131" spans="1:17" x14ac:dyDescent="0.35">
      <c r="A3131">
        <v>202410</v>
      </c>
      <c r="B3131">
        <v>3</v>
      </c>
      <c r="C3131" s="2">
        <v>3045858.1127999998</v>
      </c>
      <c r="D3131" s="2">
        <v>0.7641</v>
      </c>
      <c r="E3131" s="3">
        <v>204396</v>
      </c>
      <c r="F3131" s="2">
        <v>156169.45019999999</v>
      </c>
      <c r="G3131" t="s">
        <v>350</v>
      </c>
      <c r="H3131" t="s">
        <v>5</v>
      </c>
      <c r="I3131">
        <f>HLOOKUP(G3131,zip_tiers!$A$1:$EON$2,2,FALSE)</f>
        <v>82180.666666666672</v>
      </c>
      <c r="J3131" t="str">
        <f t="shared" si="48"/>
        <v>Med</v>
      </c>
      <c r="K3131">
        <f>dataset[[#This Row],[soda_sales]]/dataset[[#This Row],[soda_units_sold]]</f>
        <v>0.76405335818704867</v>
      </c>
      <c r="L3131" s="29">
        <f>dataset[[#This Row],[implied_soda_ppu]]-dataset[[#This Row],[soda_ppu]]</f>
        <v>-4.6641812951331296E-5</v>
      </c>
      <c r="M3131">
        <f>dataset[[#This Row],[soda_sales]]/dataset[[#This Row],[total_sales]]</f>
        <v>5.1272726573739304E-2</v>
      </c>
      <c r="N3131">
        <f>LN(dataset[[#This Row],[soda_units_sold]])</f>
        <v>12.227814567648577</v>
      </c>
      <c r="O3131">
        <f>LN(dataset[[#This Row],[soda_sales]])</f>
        <v>11.958696915953187</v>
      </c>
      <c r="P3131">
        <f>LN(dataset[[#This Row],[soda_ppu]])</f>
        <v>-0.26905660832861605</v>
      </c>
      <c r="Q3131">
        <f>IF(dataset[[#This Row],[state]]="VA",1,0)</f>
        <v>0</v>
      </c>
    </row>
    <row r="3132" spans="1:17" x14ac:dyDescent="0.35">
      <c r="A3132">
        <v>202411</v>
      </c>
      <c r="B3132">
        <v>3</v>
      </c>
      <c r="C3132" s="2">
        <v>3514907.9262999999</v>
      </c>
      <c r="D3132" s="2">
        <v>0.69979999999999998</v>
      </c>
      <c r="E3132" s="3">
        <v>211744</v>
      </c>
      <c r="F3132" s="2">
        <v>148180.02650000001</v>
      </c>
      <c r="G3132" t="s">
        <v>350</v>
      </c>
      <c r="H3132" t="s">
        <v>5</v>
      </c>
      <c r="I3132">
        <f>HLOOKUP(G3132,zip_tiers!$A$1:$EON$2,2,FALSE)</f>
        <v>82180.666666666672</v>
      </c>
      <c r="J3132" t="str">
        <f t="shared" si="48"/>
        <v>Med</v>
      </c>
      <c r="K3132">
        <f>dataset[[#This Row],[soda_sales]]/dataset[[#This Row],[soda_units_sold]]</f>
        <v>0.69980743964409853</v>
      </c>
      <c r="L3132" s="29">
        <f>dataset[[#This Row],[implied_soda_ppu]]-dataset[[#This Row],[soda_ppu]]</f>
        <v>7.4396440985502466E-6</v>
      </c>
      <c r="M3132">
        <f>dataset[[#This Row],[soda_sales]]/dataset[[#This Row],[total_sales]]</f>
        <v>4.2157584098079938E-2</v>
      </c>
      <c r="N3132">
        <f>LN(dataset[[#This Row],[soda_units_sold]])</f>
        <v>12.263133276811786</v>
      </c>
      <c r="O3132">
        <f>LN(dataset[[#This Row],[soda_sales]])</f>
        <v>11.906183208807182</v>
      </c>
      <c r="P3132">
        <f>LN(dataset[[#This Row],[soda_ppu]])</f>
        <v>-0.35696069904854943</v>
      </c>
      <c r="Q3132">
        <f>IF(dataset[[#This Row],[state]]="VA",1,0)</f>
        <v>0</v>
      </c>
    </row>
    <row r="3133" spans="1:17" x14ac:dyDescent="0.35">
      <c r="A3133">
        <v>202412</v>
      </c>
      <c r="B3133">
        <v>3</v>
      </c>
      <c r="C3133" s="2">
        <v>3510841.6263000001</v>
      </c>
      <c r="D3133" s="2">
        <v>0.74590000000000001</v>
      </c>
      <c r="E3133" s="3">
        <v>186283</v>
      </c>
      <c r="F3133" s="2">
        <v>138940.49129999999</v>
      </c>
      <c r="G3133" t="s">
        <v>350</v>
      </c>
      <c r="H3133" t="s">
        <v>5</v>
      </c>
      <c r="I3133">
        <f>HLOOKUP(G3133,zip_tiers!$A$1:$EON$2,2,FALSE)</f>
        <v>82180.666666666672</v>
      </c>
      <c r="J3133" t="str">
        <f t="shared" si="48"/>
        <v>Med</v>
      </c>
      <c r="K3133">
        <f>dataset[[#This Row],[soda_sales]]/dataset[[#This Row],[soda_units_sold]]</f>
        <v>0.74585706317806777</v>
      </c>
      <c r="L3133" s="29">
        <f>dataset[[#This Row],[implied_soda_ppu]]-dataset[[#This Row],[soda_ppu]]</f>
        <v>-4.2936821932237912E-5</v>
      </c>
      <c r="M3133">
        <f>dataset[[#This Row],[soda_sales]]/dataset[[#This Row],[total_sales]]</f>
        <v>3.9574696351776587E-2</v>
      </c>
      <c r="N3133">
        <f>LN(dataset[[#This Row],[soda_units_sold]])</f>
        <v>12.135022301755123</v>
      </c>
      <c r="O3133">
        <f>LN(dataset[[#This Row],[soda_sales]])</f>
        <v>11.84180100029935</v>
      </c>
      <c r="P3133">
        <f>LN(dataset[[#This Row],[soda_ppu]])</f>
        <v>-0.29316373602101947</v>
      </c>
      <c r="Q3133">
        <f>IF(dataset[[#This Row],[state]]="VA",1,0)</f>
        <v>0</v>
      </c>
    </row>
    <row r="3134" spans="1:17" x14ac:dyDescent="0.35">
      <c r="A3134">
        <v>202201</v>
      </c>
      <c r="B3134">
        <v>38</v>
      </c>
      <c r="C3134" s="2">
        <v>2674828.0144000002</v>
      </c>
      <c r="D3134" s="2">
        <v>0.65129999999999999</v>
      </c>
      <c r="E3134" s="3">
        <v>136304</v>
      </c>
      <c r="F3134" s="2">
        <v>88780.377299999993</v>
      </c>
      <c r="G3134" t="s">
        <v>361</v>
      </c>
      <c r="H3134" t="s">
        <v>5</v>
      </c>
      <c r="I3134">
        <f>HLOOKUP(G3134,zip_tiers!$A$1:$EON$2,2,FALSE)</f>
        <v>130423.66666666667</v>
      </c>
      <c r="J3134" t="str">
        <f t="shared" si="48"/>
        <v>High</v>
      </c>
      <c r="K3134">
        <f>dataset[[#This Row],[soda_sales]]/dataset[[#This Row],[soda_units_sold]]</f>
        <v>0.65134095331024766</v>
      </c>
      <c r="L3134" s="29">
        <f>dataset[[#This Row],[implied_soda_ppu]]-dataset[[#This Row],[soda_ppu]]</f>
        <v>4.0953310247671126E-5</v>
      </c>
      <c r="M3134">
        <f>dataset[[#This Row],[soda_sales]]/dataset[[#This Row],[total_sales]]</f>
        <v>3.3191060068927317E-2</v>
      </c>
      <c r="N3134">
        <f>LN(dataset[[#This Row],[soda_units_sold]])</f>
        <v>11.822642964282622</v>
      </c>
      <c r="O3134">
        <f>LN(dataset[[#This Row],[soda_sales]])</f>
        <v>11.393920928210038</v>
      </c>
      <c r="P3134">
        <f>LN(dataset[[#This Row],[soda_ppu]])</f>
        <v>-0.4287849134297812</v>
      </c>
      <c r="Q3134">
        <f>IF(dataset[[#This Row],[state]]="VA",1,0)</f>
        <v>0</v>
      </c>
    </row>
    <row r="3135" spans="1:17" x14ac:dyDescent="0.35">
      <c r="A3135">
        <v>202202</v>
      </c>
      <c r="B3135">
        <v>38</v>
      </c>
      <c r="C3135" s="2">
        <v>3067949.8657999998</v>
      </c>
      <c r="D3135" s="2">
        <v>0.68730000000000002</v>
      </c>
      <c r="E3135" s="3">
        <v>149896</v>
      </c>
      <c r="F3135" s="2">
        <v>103025.851</v>
      </c>
      <c r="G3135" t="s">
        <v>361</v>
      </c>
      <c r="H3135" t="s">
        <v>5</v>
      </c>
      <c r="I3135">
        <f>HLOOKUP(G3135,zip_tiers!$A$1:$EON$2,2,FALSE)</f>
        <v>130423.66666666667</v>
      </c>
      <c r="J3135" t="str">
        <f t="shared" si="48"/>
        <v>High</v>
      </c>
      <c r="K3135">
        <f>dataset[[#This Row],[soda_sales]]/dataset[[#This Row],[soda_units_sold]]</f>
        <v>0.68731554544484175</v>
      </c>
      <c r="L3135" s="29">
        <f>dataset[[#This Row],[implied_soda_ppu]]-dataset[[#This Row],[soda_ppu]]</f>
        <v>1.5545444841724709E-5</v>
      </c>
      <c r="M3135">
        <f>dataset[[#This Row],[soda_sales]]/dataset[[#This Row],[total_sales]]</f>
        <v>3.358133460669669E-2</v>
      </c>
      <c r="N3135">
        <f>LN(dataset[[#This Row],[soda_units_sold]])</f>
        <v>11.917696999278348</v>
      </c>
      <c r="O3135">
        <f>LN(dataset[[#This Row],[soda_sales]])</f>
        <v>11.542735216303939</v>
      </c>
      <c r="P3135">
        <f>LN(dataset[[#This Row],[soda_ppu]])</f>
        <v>-0.37498440085457752</v>
      </c>
      <c r="Q3135">
        <f>IF(dataset[[#This Row],[state]]="VA",1,0)</f>
        <v>0</v>
      </c>
    </row>
    <row r="3136" spans="1:17" x14ac:dyDescent="0.35">
      <c r="A3136">
        <v>202203</v>
      </c>
      <c r="B3136">
        <v>38</v>
      </c>
      <c r="C3136" s="2">
        <v>3454980.8653000002</v>
      </c>
      <c r="D3136" s="2">
        <v>0.67120000000000002</v>
      </c>
      <c r="E3136" s="3">
        <v>184304</v>
      </c>
      <c r="F3136" s="2">
        <v>123702.06479999999</v>
      </c>
      <c r="G3136" t="s">
        <v>361</v>
      </c>
      <c r="H3136" t="s">
        <v>5</v>
      </c>
      <c r="I3136">
        <f>HLOOKUP(G3136,zip_tiers!$A$1:$EON$2,2,FALSE)</f>
        <v>130423.66666666667</v>
      </c>
      <c r="J3136" t="str">
        <f t="shared" si="48"/>
        <v>High</v>
      </c>
      <c r="K3136">
        <f>dataset[[#This Row],[soda_sales]]/dataset[[#This Row],[soda_units_sold]]</f>
        <v>0.6711849162253668</v>
      </c>
      <c r="L3136" s="29">
        <f>dataset[[#This Row],[implied_soda_ppu]]-dataset[[#This Row],[soda_ppu]]</f>
        <v>-1.508377463321775E-5</v>
      </c>
      <c r="M3136">
        <f>dataset[[#This Row],[soda_sales]]/dataset[[#This Row],[total_sales]]</f>
        <v>3.5803979710104357E-2</v>
      </c>
      <c r="N3136">
        <f>LN(dataset[[#This Row],[soda_units_sold]])</f>
        <v>12.124341847166288</v>
      </c>
      <c r="O3136">
        <f>LN(dataset[[#This Row],[soda_sales]])</f>
        <v>11.725631250238036</v>
      </c>
      <c r="P3136">
        <f>LN(dataset[[#This Row],[soda_ppu]])</f>
        <v>-0.39868812382914059</v>
      </c>
      <c r="Q3136">
        <f>IF(dataset[[#This Row],[state]]="VA",1,0)</f>
        <v>0</v>
      </c>
    </row>
    <row r="3137" spans="1:17" x14ac:dyDescent="0.35">
      <c r="A3137">
        <v>202204</v>
      </c>
      <c r="B3137">
        <v>38</v>
      </c>
      <c r="C3137" s="2">
        <v>3634635.9040999999</v>
      </c>
      <c r="D3137" s="2">
        <v>0.64859999999999995</v>
      </c>
      <c r="E3137" s="3">
        <v>213202</v>
      </c>
      <c r="F3137" s="2">
        <v>138286.0318</v>
      </c>
      <c r="G3137" t="s">
        <v>361</v>
      </c>
      <c r="H3137" t="s">
        <v>5</v>
      </c>
      <c r="I3137">
        <f>HLOOKUP(G3137,zip_tiers!$A$1:$EON$2,2,FALSE)</f>
        <v>130423.66666666667</v>
      </c>
      <c r="J3137" t="str">
        <f t="shared" si="48"/>
        <v>High</v>
      </c>
      <c r="K3137">
        <f>dataset[[#This Row],[soda_sales]]/dataset[[#This Row],[soda_units_sold]]</f>
        <v>0.64861507771972116</v>
      </c>
      <c r="L3137" s="29">
        <f>dataset[[#This Row],[implied_soda_ppu]]-dataset[[#This Row],[soda_ppu]]</f>
        <v>1.5077719721201532E-5</v>
      </c>
      <c r="M3137">
        <f>dataset[[#This Row],[soda_sales]]/dataset[[#This Row],[total_sales]]</f>
        <v>3.8046735752543574E-2</v>
      </c>
      <c r="N3137">
        <f>LN(dataset[[#This Row],[soda_units_sold]])</f>
        <v>12.269995352092867</v>
      </c>
      <c r="O3137">
        <f>LN(dataset[[#This Row],[soda_sales]])</f>
        <v>11.837079513275144</v>
      </c>
      <c r="P3137">
        <f>LN(dataset[[#This Row],[soda_ppu]])</f>
        <v>-0.43293908510891954</v>
      </c>
      <c r="Q3137">
        <f>IF(dataset[[#This Row],[state]]="VA",1,0)</f>
        <v>0</v>
      </c>
    </row>
    <row r="3138" spans="1:17" x14ac:dyDescent="0.35">
      <c r="A3138">
        <v>202205</v>
      </c>
      <c r="B3138">
        <v>38</v>
      </c>
      <c r="C3138" s="2">
        <v>3846661.4989</v>
      </c>
      <c r="D3138" s="2">
        <v>0.62380000000000002</v>
      </c>
      <c r="E3138" s="3">
        <v>243650</v>
      </c>
      <c r="F3138" s="2">
        <v>151986.99040000001</v>
      </c>
      <c r="G3138" t="s">
        <v>361</v>
      </c>
      <c r="H3138" t="s">
        <v>5</v>
      </c>
      <c r="I3138">
        <f>HLOOKUP(G3138,zip_tiers!$A$1:$EON$2,2,FALSE)</f>
        <v>130423.66666666667</v>
      </c>
      <c r="J3138" t="str">
        <f t="shared" ref="J3138:J3201" si="49">IF(I3138="","No Data",IF(I3138&gt;=100000,"High",IF(I3138&gt;=40000,"Med","Low")))</f>
        <v>High</v>
      </c>
      <c r="K3138">
        <f>dataset[[#This Row],[soda_sales]]/dataset[[#This Row],[soda_units_sold]]</f>
        <v>0.62379228565565359</v>
      </c>
      <c r="L3138" s="29">
        <f>dataset[[#This Row],[implied_soda_ppu]]-dataset[[#This Row],[soda_ppu]]</f>
        <v>-7.7143443464322559E-6</v>
      </c>
      <c r="M3138">
        <f>dataset[[#This Row],[soda_sales]]/dataset[[#This Row],[total_sales]]</f>
        <v>3.951140240529679E-2</v>
      </c>
      <c r="N3138">
        <f>LN(dataset[[#This Row],[soda_units_sold]])</f>
        <v>12.403488048271653</v>
      </c>
      <c r="O3138">
        <f>LN(dataset[[#This Row],[soda_sales]])</f>
        <v>11.931550206691741</v>
      </c>
      <c r="P3138">
        <f>LN(dataset[[#This Row],[soda_ppu]])</f>
        <v>-0.47192547480843411</v>
      </c>
      <c r="Q3138">
        <f>IF(dataset[[#This Row],[state]]="VA",1,0)</f>
        <v>0</v>
      </c>
    </row>
    <row r="3139" spans="1:17" x14ac:dyDescent="0.35">
      <c r="A3139">
        <v>202206</v>
      </c>
      <c r="B3139">
        <v>38</v>
      </c>
      <c r="C3139" s="2">
        <v>3625095.3802</v>
      </c>
      <c r="D3139" s="2">
        <v>0.66769999999999996</v>
      </c>
      <c r="E3139" s="3">
        <v>239554</v>
      </c>
      <c r="F3139" s="2">
        <v>159959.3933</v>
      </c>
      <c r="G3139" t="s">
        <v>361</v>
      </c>
      <c r="H3139" t="s">
        <v>5</v>
      </c>
      <c r="I3139">
        <f>HLOOKUP(G3139,zip_tiers!$A$1:$EON$2,2,FALSE)</f>
        <v>130423.66666666667</v>
      </c>
      <c r="J3139" t="str">
        <f t="shared" si="49"/>
        <v>High</v>
      </c>
      <c r="K3139">
        <f>dataset[[#This Row],[soda_sales]]/dataset[[#This Row],[soda_units_sold]]</f>
        <v>0.66773835252176961</v>
      </c>
      <c r="L3139" s="29">
        <f>dataset[[#This Row],[implied_soda_ppu]]-dataset[[#This Row],[soda_ppu]]</f>
        <v>3.8352521769646764E-5</v>
      </c>
      <c r="M3139">
        <f>dataset[[#This Row],[soda_sales]]/dataset[[#This Row],[total_sales]]</f>
        <v>4.4125568163995418E-2</v>
      </c>
      <c r="N3139">
        <f>LN(dataset[[#This Row],[soda_units_sold]])</f>
        <v>12.386534140147228</v>
      </c>
      <c r="O3139">
        <f>LN(dataset[[#This Row],[soda_sales]])</f>
        <v>11.982675270130356</v>
      </c>
      <c r="P3139">
        <f>LN(dataset[[#This Row],[soda_ppu]])</f>
        <v>-0.40391630811831397</v>
      </c>
      <c r="Q3139">
        <f>IF(dataset[[#This Row],[state]]="VA",1,0)</f>
        <v>0</v>
      </c>
    </row>
    <row r="3140" spans="1:17" x14ac:dyDescent="0.35">
      <c r="A3140">
        <v>202207</v>
      </c>
      <c r="B3140">
        <v>38</v>
      </c>
      <c r="C3140" s="2">
        <v>3500324.4292000001</v>
      </c>
      <c r="D3140" s="2">
        <v>0.66269999999999996</v>
      </c>
      <c r="E3140" s="3">
        <v>253956</v>
      </c>
      <c r="F3140" s="2">
        <v>168295.07500000001</v>
      </c>
      <c r="G3140" t="s">
        <v>361</v>
      </c>
      <c r="H3140" t="s">
        <v>5</v>
      </c>
      <c r="I3140">
        <f>HLOOKUP(G3140,zip_tiers!$A$1:$EON$2,2,FALSE)</f>
        <v>130423.66666666667</v>
      </c>
      <c r="J3140" t="str">
        <f t="shared" si="49"/>
        <v>High</v>
      </c>
      <c r="K3140">
        <f>dataset[[#This Row],[soda_sales]]/dataset[[#This Row],[soda_units_sold]]</f>
        <v>0.66269383278993221</v>
      </c>
      <c r="L3140" s="29">
        <f>dataset[[#This Row],[implied_soda_ppu]]-dataset[[#This Row],[soda_ppu]]</f>
        <v>-6.1672100677423458E-6</v>
      </c>
      <c r="M3140">
        <f>dataset[[#This Row],[soda_sales]]/dataset[[#This Row],[total_sales]]</f>
        <v>4.8079850426454296E-2</v>
      </c>
      <c r="N3140">
        <f>LN(dataset[[#This Row],[soda_units_sold]])</f>
        <v>12.444916302648455</v>
      </c>
      <c r="O3140">
        <f>LN(dataset[[#This Row],[soda_sales]])</f>
        <v>12.033474116530281</v>
      </c>
      <c r="P3140">
        <f>LN(dataset[[#This Row],[soda_ppu]])</f>
        <v>-0.41143287988795596</v>
      </c>
      <c r="Q3140">
        <f>IF(dataset[[#This Row],[state]]="VA",1,0)</f>
        <v>0</v>
      </c>
    </row>
    <row r="3141" spans="1:17" x14ac:dyDescent="0.35">
      <c r="A3141">
        <v>202208</v>
      </c>
      <c r="B3141">
        <v>38</v>
      </c>
      <c r="C3141" s="2">
        <v>3262830.5447</v>
      </c>
      <c r="D3141" s="2">
        <v>0.66410000000000002</v>
      </c>
      <c r="E3141" s="3">
        <v>213672</v>
      </c>
      <c r="F3141" s="2">
        <v>141906.38149999999</v>
      </c>
      <c r="G3141" t="s">
        <v>361</v>
      </c>
      <c r="H3141" t="s">
        <v>5</v>
      </c>
      <c r="I3141">
        <f>HLOOKUP(G3141,zip_tiers!$A$1:$EON$2,2,FALSE)</f>
        <v>130423.66666666667</v>
      </c>
      <c r="J3141" t="str">
        <f t="shared" si="49"/>
        <v>High</v>
      </c>
      <c r="K3141">
        <f>dataset[[#This Row],[soda_sales]]/dataset[[#This Row],[soda_units_sold]]</f>
        <v>0.6641318539630835</v>
      </c>
      <c r="L3141" s="29">
        <f>dataset[[#This Row],[implied_soda_ppu]]-dataset[[#This Row],[soda_ppu]]</f>
        <v>3.1853963083472436E-5</v>
      </c>
      <c r="M3141">
        <f>dataset[[#This Row],[soda_sales]]/dataset[[#This Row],[total_sales]]</f>
        <v>4.3491802456767648E-2</v>
      </c>
      <c r="N3141">
        <f>LN(dataset[[#This Row],[soda_units_sold]])</f>
        <v>12.272197407921617</v>
      </c>
      <c r="O3141">
        <f>LN(dataset[[#This Row],[soda_sales]])</f>
        <v>11.862922833948067</v>
      </c>
      <c r="P3141">
        <f>LN(dataset[[#This Row],[soda_ppu]])</f>
        <v>-0.40932253843546901</v>
      </c>
      <c r="Q3141">
        <f>IF(dataset[[#This Row],[state]]="VA",1,0)</f>
        <v>0</v>
      </c>
    </row>
    <row r="3142" spans="1:17" x14ac:dyDescent="0.35">
      <c r="A3142">
        <v>202209</v>
      </c>
      <c r="B3142">
        <v>38</v>
      </c>
      <c r="C3142" s="2">
        <v>3225143.5765</v>
      </c>
      <c r="D3142" s="2">
        <v>0.66490000000000005</v>
      </c>
      <c r="E3142" s="3">
        <v>205484</v>
      </c>
      <c r="F3142" s="2">
        <v>136626.37830000001</v>
      </c>
      <c r="G3142" t="s">
        <v>361</v>
      </c>
      <c r="H3142" t="s">
        <v>5</v>
      </c>
      <c r="I3142">
        <f>HLOOKUP(G3142,zip_tiers!$A$1:$EON$2,2,FALSE)</f>
        <v>130423.66666666667</v>
      </c>
      <c r="J3142" t="str">
        <f t="shared" si="49"/>
        <v>High</v>
      </c>
      <c r="K3142">
        <f>dataset[[#This Row],[soda_sales]]/dataset[[#This Row],[soda_units_sold]]</f>
        <v>0.66490032459948223</v>
      </c>
      <c r="L3142" s="29">
        <f>dataset[[#This Row],[implied_soda_ppu]]-dataset[[#This Row],[soda_ppu]]</f>
        <v>3.2459948218210855E-7</v>
      </c>
      <c r="M3142">
        <f>dataset[[#This Row],[soda_sales]]/dataset[[#This Row],[total_sales]]</f>
        <v>4.2362882476156334E-2</v>
      </c>
      <c r="N3142">
        <f>LN(dataset[[#This Row],[soda_units_sold]])</f>
        <v>12.233123451006488</v>
      </c>
      <c r="O3142">
        <f>LN(dataset[[#This Row],[soda_sales]])</f>
        <v>11.825005313625576</v>
      </c>
      <c r="P3142">
        <f>LN(dataset[[#This Row],[soda_ppu]])</f>
        <v>-0.40811862557372774</v>
      </c>
      <c r="Q3142">
        <f>IF(dataset[[#This Row],[state]]="VA",1,0)</f>
        <v>0</v>
      </c>
    </row>
    <row r="3143" spans="1:17" x14ac:dyDescent="0.35">
      <c r="A3143">
        <v>202210</v>
      </c>
      <c r="B3143">
        <v>38</v>
      </c>
      <c r="C3143" s="2">
        <v>3969354.0712000001</v>
      </c>
      <c r="D3143" s="2">
        <v>0.65969999999999995</v>
      </c>
      <c r="E3143" s="3">
        <v>197194</v>
      </c>
      <c r="F3143" s="2">
        <v>130093.70170000001</v>
      </c>
      <c r="G3143" t="s">
        <v>361</v>
      </c>
      <c r="H3143" t="s">
        <v>5</v>
      </c>
      <c r="I3143">
        <f>HLOOKUP(G3143,zip_tiers!$A$1:$EON$2,2,FALSE)</f>
        <v>130423.66666666667</v>
      </c>
      <c r="J3143" t="str">
        <f t="shared" si="49"/>
        <v>High</v>
      </c>
      <c r="K3143">
        <f>dataset[[#This Row],[soda_sales]]/dataset[[#This Row],[soda_units_sold]]</f>
        <v>0.65972444242725437</v>
      </c>
      <c r="L3143" s="29">
        <f>dataset[[#This Row],[implied_soda_ppu]]-dataset[[#This Row],[soda_ppu]]</f>
        <v>2.4442427254411925E-5</v>
      </c>
      <c r="M3143">
        <f>dataset[[#This Row],[soda_sales]]/dataset[[#This Row],[total_sales]]</f>
        <v>3.2774526879299173E-2</v>
      </c>
      <c r="N3143">
        <f>LN(dataset[[#This Row],[soda_units_sold]])</f>
        <v>12.191943294724304</v>
      </c>
      <c r="O3143">
        <f>LN(dataset[[#This Row],[soda_sales]])</f>
        <v>11.776010252106598</v>
      </c>
      <c r="P3143">
        <f>LN(dataset[[#This Row],[soda_ppu]])</f>
        <v>-0.41597009275331193</v>
      </c>
      <c r="Q3143">
        <f>IF(dataset[[#This Row],[state]]="VA",1,0)</f>
        <v>0</v>
      </c>
    </row>
    <row r="3144" spans="1:17" x14ac:dyDescent="0.35">
      <c r="A3144">
        <v>202211</v>
      </c>
      <c r="B3144">
        <v>38</v>
      </c>
      <c r="C3144" s="2">
        <v>4601987.1522000004</v>
      </c>
      <c r="D3144" s="2">
        <v>0.65110000000000001</v>
      </c>
      <c r="E3144" s="3">
        <v>192547</v>
      </c>
      <c r="F3144" s="2">
        <v>125367.53320000001</v>
      </c>
      <c r="G3144" t="s">
        <v>361</v>
      </c>
      <c r="H3144" t="s">
        <v>5</v>
      </c>
      <c r="I3144">
        <f>HLOOKUP(G3144,zip_tiers!$A$1:$EON$2,2,FALSE)</f>
        <v>130423.66666666667</v>
      </c>
      <c r="J3144" t="str">
        <f t="shared" si="49"/>
        <v>High</v>
      </c>
      <c r="K3144">
        <f>dataset[[#This Row],[soda_sales]]/dataset[[#This Row],[soda_units_sold]]</f>
        <v>0.65110094262699503</v>
      </c>
      <c r="L3144" s="29">
        <f>dataset[[#This Row],[implied_soda_ppu]]-dataset[[#This Row],[soda_ppu]]</f>
        <v>9.4262699501523883E-7</v>
      </c>
      <c r="M3144">
        <f>dataset[[#This Row],[soda_sales]]/dataset[[#This Row],[total_sales]]</f>
        <v>2.7242043285598375E-2</v>
      </c>
      <c r="N3144">
        <f>LN(dataset[[#This Row],[soda_units_sold]])</f>
        <v>12.168095558752944</v>
      </c>
      <c r="O3144">
        <f>LN(dataset[[#This Row],[soda_sales]])</f>
        <v>11.739004967757921</v>
      </c>
      <c r="P3144">
        <f>LN(dataset[[#This Row],[soda_ppu]])</f>
        <v>-0.42909203873932067</v>
      </c>
      <c r="Q3144">
        <f>IF(dataset[[#This Row],[state]]="VA",1,0)</f>
        <v>0</v>
      </c>
    </row>
    <row r="3145" spans="1:17" x14ac:dyDescent="0.35">
      <c r="A3145">
        <v>202212</v>
      </c>
      <c r="B3145">
        <v>38</v>
      </c>
      <c r="C3145" s="2">
        <v>4737206.6015999997</v>
      </c>
      <c r="D3145" s="2">
        <v>0.66920000000000002</v>
      </c>
      <c r="E3145" s="3">
        <v>182260</v>
      </c>
      <c r="F3145" s="2">
        <v>121967.7804</v>
      </c>
      <c r="G3145" t="s">
        <v>361</v>
      </c>
      <c r="H3145" t="s">
        <v>5</v>
      </c>
      <c r="I3145">
        <f>HLOOKUP(G3145,zip_tiers!$A$1:$EON$2,2,FALSE)</f>
        <v>130423.66666666667</v>
      </c>
      <c r="J3145" t="str">
        <f t="shared" si="49"/>
        <v>High</v>
      </c>
      <c r="K3145">
        <f>dataset[[#This Row],[soda_sales]]/dataset[[#This Row],[soda_units_sold]]</f>
        <v>0.66919664435421922</v>
      </c>
      <c r="L3145" s="29">
        <f>dataset[[#This Row],[implied_soda_ppu]]-dataset[[#This Row],[soda_ppu]]</f>
        <v>-3.355645780800387E-6</v>
      </c>
      <c r="M3145">
        <f>dataset[[#This Row],[soda_sales]]/dataset[[#This Row],[total_sales]]</f>
        <v>2.5746772445771136E-2</v>
      </c>
      <c r="N3145">
        <f>LN(dataset[[#This Row],[soda_units_sold]])</f>
        <v>12.113189518050119</v>
      </c>
      <c r="O3145">
        <f>LN(dataset[[#This Row],[soda_sales]])</f>
        <v>11.71151219375418</v>
      </c>
      <c r="P3145">
        <f>LN(dataset[[#This Row],[soda_ppu]])</f>
        <v>-0.40167230986946811</v>
      </c>
      <c r="Q3145">
        <f>IF(dataset[[#This Row],[state]]="VA",1,0)</f>
        <v>0</v>
      </c>
    </row>
    <row r="3146" spans="1:17" x14ac:dyDescent="0.35">
      <c r="A3146">
        <v>202301</v>
      </c>
      <c r="B3146">
        <v>38</v>
      </c>
      <c r="C3146" s="2">
        <v>2759751.8679999998</v>
      </c>
      <c r="D3146" s="2">
        <v>0.68769999999999998</v>
      </c>
      <c r="E3146" s="3">
        <v>136983</v>
      </c>
      <c r="F3146" s="2">
        <v>94206.391300000003</v>
      </c>
      <c r="G3146" t="s">
        <v>361</v>
      </c>
      <c r="H3146" t="s">
        <v>5</v>
      </c>
      <c r="I3146">
        <f>HLOOKUP(G3146,zip_tiers!$A$1:$EON$2,2,FALSE)</f>
        <v>130423.66666666667</v>
      </c>
      <c r="J3146" t="str">
        <f t="shared" si="49"/>
        <v>High</v>
      </c>
      <c r="K3146">
        <f>dataset[[#This Row],[soda_sales]]/dataset[[#This Row],[soda_units_sold]]</f>
        <v>0.68772323061985796</v>
      </c>
      <c r="L3146" s="29">
        <f>dataset[[#This Row],[implied_soda_ppu]]-dataset[[#This Row],[soda_ppu]]</f>
        <v>2.323061985798347E-5</v>
      </c>
      <c r="M3146">
        <f>dataset[[#This Row],[soda_sales]]/dataset[[#This Row],[total_sales]]</f>
        <v>3.4135819380121175E-2</v>
      </c>
      <c r="N3146">
        <f>LN(dataset[[#This Row],[soda_units_sold]])</f>
        <v>11.827612109519519</v>
      </c>
      <c r="O3146">
        <f>LN(dataset[[#This Row],[soda_sales]])</f>
        <v>11.453243306458198</v>
      </c>
      <c r="P3146">
        <f>LN(dataset[[#This Row],[soda_ppu]])</f>
        <v>-0.37440258265634663</v>
      </c>
      <c r="Q3146">
        <f>IF(dataset[[#This Row],[state]]="VA",1,0)</f>
        <v>0</v>
      </c>
    </row>
    <row r="3147" spans="1:17" x14ac:dyDescent="0.35">
      <c r="A3147">
        <v>202302</v>
      </c>
      <c r="B3147">
        <v>38</v>
      </c>
      <c r="C3147" s="2">
        <v>3132215.1384999999</v>
      </c>
      <c r="D3147" s="2">
        <v>0.69669999999999999</v>
      </c>
      <c r="E3147" s="3">
        <v>151859</v>
      </c>
      <c r="F3147" s="2">
        <v>105804.8738</v>
      </c>
      <c r="G3147" t="s">
        <v>361</v>
      </c>
      <c r="H3147" t="s">
        <v>5</v>
      </c>
      <c r="I3147">
        <f>HLOOKUP(G3147,zip_tiers!$A$1:$EON$2,2,FALSE)</f>
        <v>130423.66666666667</v>
      </c>
      <c r="J3147" t="str">
        <f t="shared" si="49"/>
        <v>High</v>
      </c>
      <c r="K3147">
        <f>dataset[[#This Row],[soda_sales]]/dataset[[#This Row],[soda_units_sold]]</f>
        <v>0.69673100573558366</v>
      </c>
      <c r="L3147" s="29">
        <f>dataset[[#This Row],[implied_soda_ppu]]-dataset[[#This Row],[soda_ppu]]</f>
        <v>3.1005735583677918E-5</v>
      </c>
      <c r="M3147">
        <f>dataset[[#This Row],[soda_sales]]/dataset[[#This Row],[total_sales]]</f>
        <v>3.3779567852631399E-2</v>
      </c>
      <c r="N3147">
        <f>LN(dataset[[#This Row],[soda_units_sold]])</f>
        <v>11.930707737733032</v>
      </c>
      <c r="O3147">
        <f>LN(dataset[[#This Row],[soda_sales]])</f>
        <v>11.569351863507894</v>
      </c>
      <c r="P3147">
        <f>LN(dataset[[#This Row],[soda_ppu]])</f>
        <v>-0.36140037694606386</v>
      </c>
      <c r="Q3147">
        <f>IF(dataset[[#This Row],[state]]="VA",1,0)</f>
        <v>0</v>
      </c>
    </row>
    <row r="3148" spans="1:17" x14ac:dyDescent="0.35">
      <c r="A3148">
        <v>202303</v>
      </c>
      <c r="B3148">
        <v>38</v>
      </c>
      <c r="C3148" s="2">
        <v>3447099.6353000002</v>
      </c>
      <c r="D3148" s="2">
        <v>0.68230000000000002</v>
      </c>
      <c r="E3148" s="3">
        <v>173718</v>
      </c>
      <c r="F3148" s="2">
        <v>118520.89139999999</v>
      </c>
      <c r="G3148" t="s">
        <v>361</v>
      </c>
      <c r="H3148" t="s">
        <v>5</v>
      </c>
      <c r="I3148">
        <f>HLOOKUP(G3148,zip_tiers!$A$1:$EON$2,2,FALSE)</f>
        <v>130423.66666666667</v>
      </c>
      <c r="J3148" t="str">
        <f t="shared" si="49"/>
        <v>High</v>
      </c>
      <c r="K3148">
        <f>dataset[[#This Row],[soda_sales]]/dataset[[#This Row],[soda_units_sold]]</f>
        <v>0.68226028045452969</v>
      </c>
      <c r="L3148" s="29">
        <f>dataset[[#This Row],[implied_soda_ppu]]-dataset[[#This Row],[soda_ppu]]</f>
        <v>-3.9719545470329187E-5</v>
      </c>
      <c r="M3148">
        <f>dataset[[#This Row],[soda_sales]]/dataset[[#This Row],[total_sales]]</f>
        <v>3.4382786672682047E-2</v>
      </c>
      <c r="N3148">
        <f>LN(dataset[[#This Row],[soda_units_sold]])</f>
        <v>12.065188573803301</v>
      </c>
      <c r="O3148">
        <f>LN(dataset[[#This Row],[soda_sales]])</f>
        <v>11.682844522752704</v>
      </c>
      <c r="P3148">
        <f>LN(dataset[[#This Row],[soda_ppu]])</f>
        <v>-0.38228583516075909</v>
      </c>
      <c r="Q3148">
        <f>IF(dataset[[#This Row],[state]]="VA",1,0)</f>
        <v>0</v>
      </c>
    </row>
    <row r="3149" spans="1:17" x14ac:dyDescent="0.35">
      <c r="A3149">
        <v>202304</v>
      </c>
      <c r="B3149">
        <v>38</v>
      </c>
      <c r="C3149" s="2">
        <v>3648898.9504</v>
      </c>
      <c r="D3149" s="2">
        <v>0.66790000000000005</v>
      </c>
      <c r="E3149" s="3">
        <v>206271</v>
      </c>
      <c r="F3149" s="2">
        <v>137778.62460000001</v>
      </c>
      <c r="G3149" t="s">
        <v>361</v>
      </c>
      <c r="H3149" t="s">
        <v>5</v>
      </c>
      <c r="I3149">
        <f>HLOOKUP(G3149,zip_tiers!$A$1:$EON$2,2,FALSE)</f>
        <v>130423.66666666667</v>
      </c>
      <c r="J3149" t="str">
        <f t="shared" si="49"/>
        <v>High</v>
      </c>
      <c r="K3149">
        <f>dataset[[#This Row],[soda_sales]]/dataset[[#This Row],[soda_units_sold]]</f>
        <v>0.66794956440798758</v>
      </c>
      <c r="L3149" s="29">
        <f>dataset[[#This Row],[implied_soda_ppu]]-dataset[[#This Row],[soda_ppu]]</f>
        <v>4.9564407987534587E-5</v>
      </c>
      <c r="M3149">
        <f>dataset[[#This Row],[soda_sales]]/dataset[[#This Row],[total_sales]]</f>
        <v>3.7758958653786902E-2</v>
      </c>
      <c r="N3149">
        <f>LN(dataset[[#This Row],[soda_units_sold]])</f>
        <v>12.236946117195627</v>
      </c>
      <c r="O3149">
        <f>LN(dataset[[#This Row],[soda_sales]])</f>
        <v>11.833403506516435</v>
      </c>
      <c r="P3149">
        <f>LN(dataset[[#This Row],[soda_ppu]])</f>
        <v>-0.40361681725054671</v>
      </c>
      <c r="Q3149">
        <f>IF(dataset[[#This Row],[state]]="VA",1,0)</f>
        <v>0</v>
      </c>
    </row>
    <row r="3150" spans="1:17" x14ac:dyDescent="0.35">
      <c r="A3150">
        <v>202305</v>
      </c>
      <c r="B3150">
        <v>38</v>
      </c>
      <c r="C3150" s="2">
        <v>3867720.6814999999</v>
      </c>
      <c r="D3150" s="2">
        <v>0.67459999999999998</v>
      </c>
      <c r="E3150" s="3">
        <v>234109</v>
      </c>
      <c r="F3150" s="2">
        <v>157937.41589999999</v>
      </c>
      <c r="G3150" t="s">
        <v>361</v>
      </c>
      <c r="H3150" t="s">
        <v>5</v>
      </c>
      <c r="I3150">
        <f>HLOOKUP(G3150,zip_tiers!$A$1:$EON$2,2,FALSE)</f>
        <v>130423.66666666667</v>
      </c>
      <c r="J3150" t="str">
        <f t="shared" si="49"/>
        <v>High</v>
      </c>
      <c r="K3150">
        <f>dataset[[#This Row],[soda_sales]]/dataset[[#This Row],[soda_units_sold]]</f>
        <v>0.67463197015065623</v>
      </c>
      <c r="L3150" s="29">
        <f>dataset[[#This Row],[implied_soda_ppu]]-dataset[[#This Row],[soda_ppu]]</f>
        <v>3.1970150656257523E-5</v>
      </c>
      <c r="M3150">
        <f>dataset[[#This Row],[soda_sales]]/dataset[[#This Row],[total_sales]]</f>
        <v>4.0834752275530885E-2</v>
      </c>
      <c r="N3150">
        <f>LN(dataset[[#This Row],[soda_units_sold]])</f>
        <v>12.363542097848935</v>
      </c>
      <c r="O3150">
        <f>LN(dataset[[#This Row],[soda_sales]])</f>
        <v>11.969954131641291</v>
      </c>
      <c r="P3150">
        <f>LN(dataset[[#This Row],[soda_ppu]])</f>
        <v>-0.39363535635458724</v>
      </c>
      <c r="Q3150">
        <f>IF(dataset[[#This Row],[state]]="VA",1,0)</f>
        <v>0</v>
      </c>
    </row>
    <row r="3151" spans="1:17" x14ac:dyDescent="0.35">
      <c r="A3151">
        <v>202306</v>
      </c>
      <c r="B3151">
        <v>38</v>
      </c>
      <c r="C3151" s="2">
        <v>3684385.5929999999</v>
      </c>
      <c r="D3151" s="2">
        <v>0.66239999999999999</v>
      </c>
      <c r="E3151" s="3">
        <v>240270</v>
      </c>
      <c r="F3151" s="2">
        <v>159158.288</v>
      </c>
      <c r="G3151" t="s">
        <v>361</v>
      </c>
      <c r="H3151" t="s">
        <v>5</v>
      </c>
      <c r="I3151">
        <f>HLOOKUP(G3151,zip_tiers!$A$1:$EON$2,2,FALSE)</f>
        <v>130423.66666666667</v>
      </c>
      <c r="J3151" t="str">
        <f t="shared" si="49"/>
        <v>High</v>
      </c>
      <c r="K3151">
        <f>dataset[[#This Row],[soda_sales]]/dataset[[#This Row],[soda_units_sold]]</f>
        <v>0.66241431722645361</v>
      </c>
      <c r="L3151" s="29">
        <f>dataset[[#This Row],[implied_soda_ppu]]-dataset[[#This Row],[soda_ppu]]</f>
        <v>1.4317226453619547E-5</v>
      </c>
      <c r="M3151">
        <f>dataset[[#This Row],[soda_sales]]/dataset[[#This Row],[total_sales]]</f>
        <v>4.3198054053404829E-2</v>
      </c>
      <c r="N3151">
        <f>LN(dataset[[#This Row],[soda_units_sold]])</f>
        <v>12.389518569985837</v>
      </c>
      <c r="O3151">
        <f>LN(dataset[[#This Row],[soda_sales]])</f>
        <v>11.977654508011538</v>
      </c>
      <c r="P3151">
        <f>LN(dataset[[#This Row],[soda_ppu]])</f>
        <v>-0.41188567591108716</v>
      </c>
      <c r="Q3151">
        <f>IF(dataset[[#This Row],[state]]="VA",1,0)</f>
        <v>0</v>
      </c>
    </row>
    <row r="3152" spans="1:17" x14ac:dyDescent="0.35">
      <c r="A3152">
        <v>202307</v>
      </c>
      <c r="B3152">
        <v>38</v>
      </c>
      <c r="C3152" s="2">
        <v>3490072.9567999998</v>
      </c>
      <c r="D3152" s="2">
        <v>0.69540000000000002</v>
      </c>
      <c r="E3152" s="3">
        <v>246118</v>
      </c>
      <c r="F3152" s="2">
        <v>171141.32870000001</v>
      </c>
      <c r="G3152" t="s">
        <v>361</v>
      </c>
      <c r="H3152" t="s">
        <v>5</v>
      </c>
      <c r="I3152">
        <f>HLOOKUP(G3152,zip_tiers!$A$1:$EON$2,2,FALSE)</f>
        <v>130423.66666666667</v>
      </c>
      <c r="J3152" t="str">
        <f t="shared" si="49"/>
        <v>High</v>
      </c>
      <c r="K3152">
        <f>dataset[[#This Row],[soda_sales]]/dataset[[#This Row],[soda_units_sold]]</f>
        <v>0.69536291006752859</v>
      </c>
      <c r="L3152" s="29">
        <f>dataset[[#This Row],[implied_soda_ppu]]-dataset[[#This Row],[soda_ppu]]</f>
        <v>-3.7089932471423559E-5</v>
      </c>
      <c r="M3152">
        <f>dataset[[#This Row],[soda_sales]]/dataset[[#This Row],[total_sales]]</f>
        <v>4.9036604912957797E-2</v>
      </c>
      <c r="N3152">
        <f>LN(dataset[[#This Row],[soda_units_sold]])</f>
        <v>12.413566374704068</v>
      </c>
      <c r="O3152">
        <f>LN(dataset[[#This Row],[soda_sales]])</f>
        <v>12.050244977761004</v>
      </c>
      <c r="P3152">
        <f>LN(dataset[[#This Row],[soda_ppu]])</f>
        <v>-0.36326805940837598</v>
      </c>
      <c r="Q3152">
        <f>IF(dataset[[#This Row],[state]]="VA",1,0)</f>
        <v>0</v>
      </c>
    </row>
    <row r="3153" spans="1:17" x14ac:dyDescent="0.35">
      <c r="A3153">
        <v>202308</v>
      </c>
      <c r="B3153">
        <v>38</v>
      </c>
      <c r="C3153" s="2">
        <v>3237571.0299</v>
      </c>
      <c r="D3153" s="2">
        <v>0.6794</v>
      </c>
      <c r="E3153" s="3">
        <v>210484</v>
      </c>
      <c r="F3153" s="2">
        <v>142993.13740000001</v>
      </c>
      <c r="G3153" t="s">
        <v>361</v>
      </c>
      <c r="H3153" t="s">
        <v>5</v>
      </c>
      <c r="I3153">
        <f>HLOOKUP(G3153,zip_tiers!$A$1:$EON$2,2,FALSE)</f>
        <v>130423.66666666667</v>
      </c>
      <c r="J3153" t="str">
        <f t="shared" si="49"/>
        <v>High</v>
      </c>
      <c r="K3153">
        <f>dataset[[#This Row],[soda_sales]]/dataset[[#This Row],[soda_units_sold]]</f>
        <v>0.67935395279451172</v>
      </c>
      <c r="L3153" s="29">
        <f>dataset[[#This Row],[implied_soda_ppu]]-dataset[[#This Row],[soda_ppu]]</f>
        <v>-4.6047205488286558E-5</v>
      </c>
      <c r="M3153">
        <f>dataset[[#This Row],[soda_sales]]/dataset[[#This Row],[total_sales]]</f>
        <v>4.4166795439980415E-2</v>
      </c>
      <c r="N3153">
        <f>LN(dataset[[#This Row],[soda_units_sold]])</f>
        <v>12.257164919714517</v>
      </c>
      <c r="O3153">
        <f>LN(dataset[[#This Row],[soda_sales]])</f>
        <v>11.870551917880688</v>
      </c>
      <c r="P3153">
        <f>LN(dataset[[#This Row],[soda_ppu]])</f>
        <v>-0.38654522325565349</v>
      </c>
      <c r="Q3153">
        <f>IF(dataset[[#This Row],[state]]="VA",1,0)</f>
        <v>0</v>
      </c>
    </row>
    <row r="3154" spans="1:17" x14ac:dyDescent="0.35">
      <c r="A3154">
        <v>202309</v>
      </c>
      <c r="B3154">
        <v>38</v>
      </c>
      <c r="C3154" s="2">
        <v>3332033.4423000002</v>
      </c>
      <c r="D3154" s="2">
        <v>0.68489999999999995</v>
      </c>
      <c r="E3154" s="3">
        <v>209775</v>
      </c>
      <c r="F3154" s="2">
        <v>143681.6237</v>
      </c>
      <c r="G3154" t="s">
        <v>361</v>
      </c>
      <c r="H3154" t="s">
        <v>5</v>
      </c>
      <c r="I3154">
        <f>HLOOKUP(G3154,zip_tiers!$A$1:$EON$2,2,FALSE)</f>
        <v>130423.66666666667</v>
      </c>
      <c r="J3154" t="str">
        <f t="shared" si="49"/>
        <v>High</v>
      </c>
      <c r="K3154">
        <f>dataset[[#This Row],[soda_sales]]/dataset[[#This Row],[soda_units_sold]]</f>
        <v>0.68493206387796446</v>
      </c>
      <c r="L3154" s="29">
        <f>dataset[[#This Row],[implied_soda_ppu]]-dataset[[#This Row],[soda_ppu]]</f>
        <v>3.2063877964505494E-5</v>
      </c>
      <c r="M3154">
        <f>dataset[[#This Row],[soda_sales]]/dataset[[#This Row],[total_sales]]</f>
        <v>4.3121303008537927E-2</v>
      </c>
      <c r="N3154">
        <f>LN(dataset[[#This Row],[soda_units_sold]])</f>
        <v>12.253790806738269</v>
      </c>
      <c r="O3154">
        <f>LN(dataset[[#This Row],[soda_sales]])</f>
        <v>11.875355184279522</v>
      </c>
      <c r="P3154">
        <f>LN(dataset[[#This Row],[soda_ppu]])</f>
        <v>-0.37848243677827759</v>
      </c>
      <c r="Q3154">
        <f>IF(dataset[[#This Row],[state]]="VA",1,0)</f>
        <v>0</v>
      </c>
    </row>
    <row r="3155" spans="1:17" x14ac:dyDescent="0.35">
      <c r="A3155">
        <v>202310</v>
      </c>
      <c r="B3155">
        <v>38</v>
      </c>
      <c r="C3155" s="2">
        <v>4058501.8048</v>
      </c>
      <c r="D3155" s="2">
        <v>0.68679999999999997</v>
      </c>
      <c r="E3155" s="3">
        <v>195815</v>
      </c>
      <c r="F3155" s="2">
        <v>134489.54870000001</v>
      </c>
      <c r="G3155" t="s">
        <v>361</v>
      </c>
      <c r="H3155" t="s">
        <v>5</v>
      </c>
      <c r="I3155">
        <f>HLOOKUP(G3155,zip_tiers!$A$1:$EON$2,2,FALSE)</f>
        <v>130423.66666666667</v>
      </c>
      <c r="J3155" t="str">
        <f t="shared" si="49"/>
        <v>High</v>
      </c>
      <c r="K3155">
        <f>dataset[[#This Row],[soda_sales]]/dataset[[#This Row],[soda_units_sold]]</f>
        <v>0.68681944028802699</v>
      </c>
      <c r="L3155" s="29">
        <f>dataset[[#This Row],[implied_soda_ppu]]-dataset[[#This Row],[soda_ppu]]</f>
        <v>1.9440288027028352E-5</v>
      </c>
      <c r="M3155">
        <f>dataset[[#This Row],[soda_sales]]/dataset[[#This Row],[total_sales]]</f>
        <v>3.3137732879886583E-2</v>
      </c>
      <c r="N3155">
        <f>LN(dataset[[#This Row],[soda_units_sold]])</f>
        <v>12.184925614928718</v>
      </c>
      <c r="O3155">
        <f>LN(dataset[[#This Row],[soda_sales]])</f>
        <v>11.809241770172139</v>
      </c>
      <c r="P3155">
        <f>LN(dataset[[#This Row],[soda_ppu]])</f>
        <v>-0.37571214995881663</v>
      </c>
      <c r="Q3155">
        <f>IF(dataset[[#This Row],[state]]="VA",1,0)</f>
        <v>0</v>
      </c>
    </row>
    <row r="3156" spans="1:17" x14ac:dyDescent="0.35">
      <c r="A3156">
        <v>202311</v>
      </c>
      <c r="B3156">
        <v>38</v>
      </c>
      <c r="C3156" s="2">
        <v>4586046.2427000003</v>
      </c>
      <c r="D3156" s="2">
        <v>0.68059999999999998</v>
      </c>
      <c r="E3156" s="3">
        <v>187408</v>
      </c>
      <c r="F3156" s="2">
        <v>127552.6735</v>
      </c>
      <c r="G3156" t="s">
        <v>361</v>
      </c>
      <c r="H3156" t="s">
        <v>5</v>
      </c>
      <c r="I3156">
        <f>HLOOKUP(G3156,zip_tiers!$A$1:$EON$2,2,FALSE)</f>
        <v>130423.66666666667</v>
      </c>
      <c r="J3156" t="str">
        <f t="shared" si="49"/>
        <v>High</v>
      </c>
      <c r="K3156">
        <f>dataset[[#This Row],[soda_sales]]/dataset[[#This Row],[soda_units_sold]]</f>
        <v>0.68061488036796725</v>
      </c>
      <c r="L3156" s="29">
        <f>dataset[[#This Row],[implied_soda_ppu]]-dataset[[#This Row],[soda_ppu]]</f>
        <v>1.4880367967262664E-5</v>
      </c>
      <c r="M3156">
        <f>dataset[[#This Row],[soda_sales]]/dataset[[#This Row],[total_sales]]</f>
        <v>2.7813211369823503E-2</v>
      </c>
      <c r="N3156">
        <f>LN(dataset[[#This Row],[soda_units_sold]])</f>
        <v>12.141043337309656</v>
      </c>
      <c r="O3156">
        <f>LN(dataset[[#This Row],[soda_sales]])</f>
        <v>11.756284683757974</v>
      </c>
      <c r="P3156">
        <f>LN(dataset[[#This Row],[soda_ppu]])</f>
        <v>-0.38478051691533172</v>
      </c>
      <c r="Q3156">
        <f>IF(dataset[[#This Row],[state]]="VA",1,0)</f>
        <v>0</v>
      </c>
    </row>
    <row r="3157" spans="1:17" x14ac:dyDescent="0.35">
      <c r="A3157">
        <v>202312</v>
      </c>
      <c r="B3157">
        <v>38</v>
      </c>
      <c r="C3157" s="2">
        <v>4803621.8026000001</v>
      </c>
      <c r="D3157" s="2">
        <v>0.69620000000000004</v>
      </c>
      <c r="E3157" s="3">
        <v>180357</v>
      </c>
      <c r="F3157" s="2">
        <v>125563.2245</v>
      </c>
      <c r="G3157" t="s">
        <v>361</v>
      </c>
      <c r="H3157" t="s">
        <v>5</v>
      </c>
      <c r="I3157">
        <f>HLOOKUP(G3157,zip_tiers!$A$1:$EON$2,2,FALSE)</f>
        <v>130423.66666666667</v>
      </c>
      <c r="J3157" t="str">
        <f t="shared" si="49"/>
        <v>High</v>
      </c>
      <c r="K3157">
        <f>dataset[[#This Row],[soda_sales]]/dataset[[#This Row],[soda_units_sold]]</f>
        <v>0.69619268728133643</v>
      </c>
      <c r="L3157" s="29">
        <f>dataset[[#This Row],[implied_soda_ppu]]-dataset[[#This Row],[soda_ppu]]</f>
        <v>-7.3127186636101627E-6</v>
      </c>
      <c r="M3157">
        <f>dataset[[#This Row],[soda_sales]]/dataset[[#This Row],[total_sales]]</f>
        <v>2.6139281912668035E-2</v>
      </c>
      <c r="N3157">
        <f>LN(dataset[[#This Row],[soda_units_sold]])</f>
        <v>12.102693498996818</v>
      </c>
      <c r="O3157">
        <f>LN(dataset[[#This Row],[soda_sales]])</f>
        <v>11.740564691575488</v>
      </c>
      <c r="P3157">
        <f>LN(dataset[[#This Row],[soda_ppu]])</f>
        <v>-0.36211830360479846</v>
      </c>
      <c r="Q3157">
        <f>IF(dataset[[#This Row],[state]]="VA",1,0)</f>
        <v>0</v>
      </c>
    </row>
    <row r="3158" spans="1:17" x14ac:dyDescent="0.35">
      <c r="A3158">
        <v>202401</v>
      </c>
      <c r="B3158">
        <v>38</v>
      </c>
      <c r="C3158" s="2">
        <v>2766818.2637</v>
      </c>
      <c r="D3158" s="2">
        <v>0.68659999999999999</v>
      </c>
      <c r="E3158" s="3">
        <v>135841</v>
      </c>
      <c r="F3158" s="2">
        <v>93272.978099999993</v>
      </c>
      <c r="G3158" t="s">
        <v>361</v>
      </c>
      <c r="H3158" t="s">
        <v>5</v>
      </c>
      <c r="I3158">
        <f>HLOOKUP(G3158,zip_tiers!$A$1:$EON$2,2,FALSE)</f>
        <v>130423.66666666667</v>
      </c>
      <c r="J3158" t="str">
        <f t="shared" si="49"/>
        <v>High</v>
      </c>
      <c r="K3158">
        <f>dataset[[#This Row],[soda_sales]]/dataset[[#This Row],[soda_units_sold]]</f>
        <v>0.68663347663812835</v>
      </c>
      <c r="L3158" s="29">
        <f>dataset[[#This Row],[implied_soda_ppu]]-dataset[[#This Row],[soda_ppu]]</f>
        <v>3.3476638128360214E-5</v>
      </c>
      <c r="M3158">
        <f>dataset[[#This Row],[soda_sales]]/dataset[[#This Row],[total_sales]]</f>
        <v>3.3711277435066613E-2</v>
      </c>
      <c r="N3158">
        <f>LN(dataset[[#This Row],[soda_units_sold]])</f>
        <v>11.819240363119963</v>
      </c>
      <c r="O3158">
        <f>LN(dataset[[#This Row],[soda_sales]])</f>
        <v>11.443285721092153</v>
      </c>
      <c r="P3158">
        <f>LN(dataset[[#This Row],[soda_ppu]])</f>
        <v>-0.37600339795854537</v>
      </c>
      <c r="Q3158">
        <f>IF(dataset[[#This Row],[state]]="VA",1,0)</f>
        <v>0</v>
      </c>
    </row>
    <row r="3159" spans="1:17" x14ac:dyDescent="0.35">
      <c r="A3159">
        <v>202402</v>
      </c>
      <c r="B3159">
        <v>38</v>
      </c>
      <c r="C3159" s="2">
        <v>3117891.6691999999</v>
      </c>
      <c r="D3159" s="2">
        <v>0.68730000000000002</v>
      </c>
      <c r="E3159" s="3">
        <v>148583</v>
      </c>
      <c r="F3159" s="2">
        <v>102127.0134</v>
      </c>
      <c r="G3159" t="s">
        <v>361</v>
      </c>
      <c r="H3159" t="s">
        <v>5</v>
      </c>
      <c r="I3159">
        <f>HLOOKUP(G3159,zip_tiers!$A$1:$EON$2,2,FALSE)</f>
        <v>130423.66666666667</v>
      </c>
      <c r="J3159" t="str">
        <f t="shared" si="49"/>
        <v>High</v>
      </c>
      <c r="K3159">
        <f>dataset[[#This Row],[soda_sales]]/dataset[[#This Row],[soda_units_sold]]</f>
        <v>0.68733982622507284</v>
      </c>
      <c r="L3159" s="29">
        <f>dataset[[#This Row],[implied_soda_ppu]]-dataset[[#This Row],[soda_ppu]]</f>
        <v>3.9826225072814303E-5</v>
      </c>
      <c r="M3159">
        <f>dataset[[#This Row],[soda_sales]]/dataset[[#This Row],[total_sales]]</f>
        <v>3.2755151312298197E-2</v>
      </c>
      <c r="N3159">
        <f>LN(dataset[[#This Row],[soda_units_sold]])</f>
        <v>11.908899003644777</v>
      </c>
      <c r="O3159">
        <f>LN(dataset[[#This Row],[soda_sales]])</f>
        <v>11.533972547023044</v>
      </c>
      <c r="P3159">
        <f>LN(dataset[[#This Row],[soda_ppu]])</f>
        <v>-0.37498440085457752</v>
      </c>
      <c r="Q3159">
        <f>IF(dataset[[#This Row],[state]]="VA",1,0)</f>
        <v>0</v>
      </c>
    </row>
    <row r="3160" spans="1:17" x14ac:dyDescent="0.35">
      <c r="A3160">
        <v>202403</v>
      </c>
      <c r="B3160">
        <v>38</v>
      </c>
      <c r="C3160" s="2">
        <v>3578631.4023000002</v>
      </c>
      <c r="D3160" s="2">
        <v>0.70369999999999999</v>
      </c>
      <c r="E3160" s="3">
        <v>182051</v>
      </c>
      <c r="F3160" s="2">
        <v>128106.52159999999</v>
      </c>
      <c r="G3160" t="s">
        <v>361</v>
      </c>
      <c r="H3160" t="s">
        <v>5</v>
      </c>
      <c r="I3160">
        <f>HLOOKUP(G3160,zip_tiers!$A$1:$EON$2,2,FALSE)</f>
        <v>130423.66666666667</v>
      </c>
      <c r="J3160" t="str">
        <f t="shared" si="49"/>
        <v>High</v>
      </c>
      <c r="K3160">
        <f>dataset[[#This Row],[soda_sales]]/dataset[[#This Row],[soda_units_sold]]</f>
        <v>0.70368480041307102</v>
      </c>
      <c r="L3160" s="29">
        <f>dataset[[#This Row],[implied_soda_ppu]]-dataset[[#This Row],[soda_ppu]]</f>
        <v>-1.5199586928971165E-5</v>
      </c>
      <c r="M3160">
        <f>dataset[[#This Row],[soda_sales]]/dataset[[#This Row],[total_sales]]</f>
        <v>3.5797629651845519E-2</v>
      </c>
      <c r="N3160">
        <f>LN(dataset[[#This Row],[soda_units_sold]])</f>
        <v>12.112042146584923</v>
      </c>
      <c r="O3160">
        <f>LN(dataset[[#This Row],[soda_sales]])</f>
        <v>11.760617396815329</v>
      </c>
      <c r="P3160">
        <f>LN(dataset[[#This Row],[soda_ppu]])</f>
        <v>-0.35140315000963385</v>
      </c>
      <c r="Q3160">
        <f>IF(dataset[[#This Row],[state]]="VA",1,0)</f>
        <v>0</v>
      </c>
    </row>
    <row r="3161" spans="1:17" x14ac:dyDescent="0.35">
      <c r="A3161">
        <v>202404</v>
      </c>
      <c r="B3161">
        <v>38</v>
      </c>
      <c r="C3161" s="2">
        <v>3698294.1455000001</v>
      </c>
      <c r="D3161" s="2">
        <v>0.68079999999999996</v>
      </c>
      <c r="E3161" s="3">
        <v>207834</v>
      </c>
      <c r="F3161" s="2">
        <v>141502.10649999999</v>
      </c>
      <c r="G3161" t="s">
        <v>361</v>
      </c>
      <c r="H3161" t="s">
        <v>5</v>
      </c>
      <c r="I3161">
        <f>HLOOKUP(G3161,zip_tiers!$A$1:$EON$2,2,FALSE)</f>
        <v>130423.66666666667</v>
      </c>
      <c r="J3161" t="str">
        <f t="shared" si="49"/>
        <v>High</v>
      </c>
      <c r="K3161">
        <f>dataset[[#This Row],[soda_sales]]/dataset[[#This Row],[soda_units_sold]]</f>
        <v>0.6808419531934139</v>
      </c>
      <c r="L3161" s="29">
        <f>dataset[[#This Row],[implied_soda_ppu]]-dataset[[#This Row],[soda_ppu]]</f>
        <v>4.1953193413934997E-5</v>
      </c>
      <c r="M3161">
        <f>dataset[[#This Row],[soda_sales]]/dataset[[#This Row],[total_sales]]</f>
        <v>3.8261452694934105E-2</v>
      </c>
      <c r="N3161">
        <f>LN(dataset[[#This Row],[soda_units_sold]])</f>
        <v>12.244494963127449</v>
      </c>
      <c r="O3161">
        <f>LN(dataset[[#This Row],[soda_sales]])</f>
        <v>11.860069882880415</v>
      </c>
      <c r="P3161">
        <f>LN(dataset[[#This Row],[soda_ppu]])</f>
        <v>-0.38448670172297272</v>
      </c>
      <c r="Q3161">
        <f>IF(dataset[[#This Row],[state]]="VA",1,0)</f>
        <v>0</v>
      </c>
    </row>
    <row r="3162" spans="1:17" x14ac:dyDescent="0.35">
      <c r="A3162">
        <v>202405</v>
      </c>
      <c r="B3162">
        <v>38</v>
      </c>
      <c r="C3162" s="2">
        <v>3943698.9950999999</v>
      </c>
      <c r="D3162" s="2">
        <v>0.69720000000000004</v>
      </c>
      <c r="E3162" s="3">
        <v>227992</v>
      </c>
      <c r="F3162" s="2">
        <v>158966.5367</v>
      </c>
      <c r="G3162" t="s">
        <v>361</v>
      </c>
      <c r="H3162" t="s">
        <v>5</v>
      </c>
      <c r="I3162">
        <f>HLOOKUP(G3162,zip_tiers!$A$1:$EON$2,2,FALSE)</f>
        <v>130423.66666666667</v>
      </c>
      <c r="J3162" t="str">
        <f t="shared" si="49"/>
        <v>High</v>
      </c>
      <c r="K3162">
        <f>dataset[[#This Row],[soda_sales]]/dataset[[#This Row],[soda_units_sold]]</f>
        <v>0.69724611696901639</v>
      </c>
      <c r="L3162" s="29">
        <f>dataset[[#This Row],[implied_soda_ppu]]-dataset[[#This Row],[soda_ppu]]</f>
        <v>4.6116969016352094E-5</v>
      </c>
      <c r="M3162">
        <f>dataset[[#This Row],[soda_sales]]/dataset[[#This Row],[total_sales]]</f>
        <v>4.0308993383499622E-2</v>
      </c>
      <c r="N3162">
        <f>LN(dataset[[#This Row],[soda_units_sold]])</f>
        <v>12.33706581960169</v>
      </c>
      <c r="O3162">
        <f>LN(dataset[[#This Row],[soda_sales]])</f>
        <v>11.976448998046054</v>
      </c>
      <c r="P3162">
        <f>LN(dataset[[#This Row],[soda_ppu]])</f>
        <v>-0.36068296533627114</v>
      </c>
      <c r="Q3162">
        <f>IF(dataset[[#This Row],[state]]="VA",1,0)</f>
        <v>0</v>
      </c>
    </row>
    <row r="3163" spans="1:17" x14ac:dyDescent="0.35">
      <c r="A3163">
        <v>202406</v>
      </c>
      <c r="B3163">
        <v>38</v>
      </c>
      <c r="C3163" s="2">
        <v>3725427.5101000001</v>
      </c>
      <c r="D3163" s="2">
        <v>0.72199999999999998</v>
      </c>
      <c r="E3163" s="3">
        <v>234113</v>
      </c>
      <c r="F3163" s="2">
        <v>169023.6686</v>
      </c>
      <c r="G3163" t="s">
        <v>361</v>
      </c>
      <c r="H3163" t="s">
        <v>5</v>
      </c>
      <c r="I3163">
        <f>HLOOKUP(G3163,zip_tiers!$A$1:$EON$2,2,FALSE)</f>
        <v>130423.66666666667</v>
      </c>
      <c r="J3163" t="str">
        <f t="shared" si="49"/>
        <v>High</v>
      </c>
      <c r="K3163">
        <f>dataset[[#This Row],[soda_sales]]/dataset[[#This Row],[soda_units_sold]]</f>
        <v>0.72197472417166075</v>
      </c>
      <c r="L3163" s="29">
        <f>dataset[[#This Row],[implied_soda_ppu]]-dataset[[#This Row],[soda_ppu]]</f>
        <v>-2.5275828339221817E-5</v>
      </c>
      <c r="M3163">
        <f>dataset[[#This Row],[soda_sales]]/dataset[[#This Row],[total_sales]]</f>
        <v>4.5370274456222874E-2</v>
      </c>
      <c r="N3163">
        <f>LN(dataset[[#This Row],[soda_units_sold]])</f>
        <v>12.363559183761174</v>
      </c>
      <c r="O3163">
        <f>LN(dataset[[#This Row],[soda_sales]])</f>
        <v>12.037794034986575</v>
      </c>
      <c r="P3163">
        <f>LN(dataset[[#This Row],[soda_ppu]])</f>
        <v>-0.32573014008931084</v>
      </c>
      <c r="Q3163">
        <f>IF(dataset[[#This Row],[state]]="VA",1,0)</f>
        <v>0</v>
      </c>
    </row>
    <row r="3164" spans="1:17" x14ac:dyDescent="0.35">
      <c r="A3164">
        <v>202407</v>
      </c>
      <c r="B3164">
        <v>38</v>
      </c>
      <c r="C3164" s="2">
        <v>3500939.0658</v>
      </c>
      <c r="D3164" s="2">
        <v>0.71309999999999996</v>
      </c>
      <c r="E3164" s="3">
        <v>239874</v>
      </c>
      <c r="F3164" s="2">
        <v>171052.03700000001</v>
      </c>
      <c r="G3164" t="s">
        <v>361</v>
      </c>
      <c r="H3164" t="s">
        <v>5</v>
      </c>
      <c r="I3164">
        <f>HLOOKUP(G3164,zip_tiers!$A$1:$EON$2,2,FALSE)</f>
        <v>130423.66666666667</v>
      </c>
      <c r="J3164" t="str">
        <f t="shared" si="49"/>
        <v>High</v>
      </c>
      <c r="K3164">
        <f>dataset[[#This Row],[soda_sales]]/dataset[[#This Row],[soda_units_sold]]</f>
        <v>0.71309119371003116</v>
      </c>
      <c r="L3164" s="29">
        <f>dataset[[#This Row],[implied_soda_ppu]]-dataset[[#This Row],[soda_ppu]]</f>
        <v>-8.8062899687990637E-6</v>
      </c>
      <c r="M3164">
        <f>dataset[[#This Row],[soda_sales]]/dataset[[#This Row],[total_sales]]</f>
        <v>4.8858901507591049E-2</v>
      </c>
      <c r="N3164">
        <f>LN(dataset[[#This Row],[soda_units_sold]])</f>
        <v>12.387869064463375</v>
      </c>
      <c r="O3164">
        <f>LN(dataset[[#This Row],[soda_sales]])</f>
        <v>12.049723099133438</v>
      </c>
      <c r="P3164">
        <f>LN(dataset[[#This Row],[soda_ppu]])</f>
        <v>-0.33813361594787916</v>
      </c>
      <c r="Q3164">
        <f>IF(dataset[[#This Row],[state]]="VA",1,0)</f>
        <v>0</v>
      </c>
    </row>
    <row r="3165" spans="1:17" x14ac:dyDescent="0.35">
      <c r="A3165">
        <v>202408</v>
      </c>
      <c r="B3165">
        <v>38</v>
      </c>
      <c r="C3165" s="2">
        <v>3428564.2220999999</v>
      </c>
      <c r="D3165" s="2">
        <v>0.70179999999999998</v>
      </c>
      <c r="E3165" s="3">
        <v>216664</v>
      </c>
      <c r="F3165" s="2">
        <v>152050.45749999999</v>
      </c>
      <c r="G3165" t="s">
        <v>361</v>
      </c>
      <c r="H3165" t="s">
        <v>5</v>
      </c>
      <c r="I3165">
        <f>HLOOKUP(G3165,zip_tiers!$A$1:$EON$2,2,FALSE)</f>
        <v>130423.66666666667</v>
      </c>
      <c r="J3165" t="str">
        <f t="shared" si="49"/>
        <v>High</v>
      </c>
      <c r="K3165">
        <f>dataset[[#This Row],[soda_sales]]/dataset[[#This Row],[soda_units_sold]]</f>
        <v>0.70177997959974892</v>
      </c>
      <c r="L3165" s="29">
        <f>dataset[[#This Row],[implied_soda_ppu]]-dataset[[#This Row],[soda_ppu]]</f>
        <v>-2.0020400251063997E-5</v>
      </c>
      <c r="M3165">
        <f>dataset[[#This Row],[soda_sales]]/dataset[[#This Row],[total_sales]]</f>
        <v>4.4348143318974756E-2</v>
      </c>
      <c r="N3165">
        <f>LN(dataset[[#This Row],[soda_units_sold]])</f>
        <v>12.286103045435663</v>
      </c>
      <c r="O3165">
        <f>LN(dataset[[#This Row],[soda_sales]])</f>
        <v>11.931967701979643</v>
      </c>
      <c r="P3165">
        <f>LN(dataset[[#This Row],[soda_ppu]])</f>
        <v>-0.35410681583302234</v>
      </c>
      <c r="Q3165">
        <f>IF(dataset[[#This Row],[state]]="VA",1,0)</f>
        <v>0</v>
      </c>
    </row>
    <row r="3166" spans="1:17" x14ac:dyDescent="0.35">
      <c r="A3166">
        <v>202409</v>
      </c>
      <c r="B3166">
        <v>38</v>
      </c>
      <c r="C3166" s="2">
        <v>3364044.0315999999</v>
      </c>
      <c r="D3166" s="2">
        <v>0.72270000000000001</v>
      </c>
      <c r="E3166" s="3">
        <v>201446</v>
      </c>
      <c r="F3166" s="2">
        <v>145591.93210000001</v>
      </c>
      <c r="G3166" t="s">
        <v>361</v>
      </c>
      <c r="H3166" t="s">
        <v>5</v>
      </c>
      <c r="I3166">
        <f>HLOOKUP(G3166,zip_tiers!$A$1:$EON$2,2,FALSE)</f>
        <v>130423.66666666667</v>
      </c>
      <c r="J3166" t="str">
        <f t="shared" si="49"/>
        <v>High</v>
      </c>
      <c r="K3166">
        <f>dataset[[#This Row],[soda_sales]]/dataset[[#This Row],[soda_units_sold]]</f>
        <v>0.72273429157193492</v>
      </c>
      <c r="L3166" s="29">
        <f>dataset[[#This Row],[implied_soda_ppu]]-dataset[[#This Row],[soda_ppu]]</f>
        <v>3.429157193490795E-5</v>
      </c>
      <c r="M3166">
        <f>dataset[[#This Row],[soda_sales]]/dataset[[#This Row],[total_sales]]</f>
        <v>4.3278842587192258E-2</v>
      </c>
      <c r="N3166">
        <f>LN(dataset[[#This Row],[soda_units_sold]])</f>
        <v>12.213276634378676</v>
      </c>
      <c r="O3166">
        <f>LN(dataset[[#This Row],[soda_sales]])</f>
        <v>11.888563001808356</v>
      </c>
      <c r="P3166">
        <f>LN(dataset[[#This Row],[soda_ppu]])</f>
        <v>-0.32476108069320164</v>
      </c>
      <c r="Q3166">
        <f>IF(dataset[[#This Row],[state]]="VA",1,0)</f>
        <v>0</v>
      </c>
    </row>
    <row r="3167" spans="1:17" x14ac:dyDescent="0.35">
      <c r="A3167">
        <v>202410</v>
      </c>
      <c r="B3167">
        <v>38</v>
      </c>
      <c r="C3167" s="2">
        <v>4171179.7247000001</v>
      </c>
      <c r="D3167" s="2">
        <v>0.70269999999999999</v>
      </c>
      <c r="E3167" s="3">
        <v>193429</v>
      </c>
      <c r="F3167" s="2">
        <v>135913.74230000001</v>
      </c>
      <c r="G3167" t="s">
        <v>361</v>
      </c>
      <c r="H3167" t="s">
        <v>5</v>
      </c>
      <c r="I3167">
        <f>HLOOKUP(G3167,zip_tiers!$A$1:$EON$2,2,FALSE)</f>
        <v>130423.66666666667</v>
      </c>
      <c r="J3167" t="str">
        <f t="shared" si="49"/>
        <v>High</v>
      </c>
      <c r="K3167">
        <f>dataset[[#This Row],[soda_sales]]/dataset[[#This Row],[soda_units_sold]]</f>
        <v>0.70265442255297816</v>
      </c>
      <c r="L3167" s="29">
        <f>dataset[[#This Row],[implied_soda_ppu]]-dataset[[#This Row],[soda_ppu]]</f>
        <v>-4.5577447021827311E-5</v>
      </c>
      <c r="M3167">
        <f>dataset[[#This Row],[soda_sales]]/dataset[[#This Row],[total_sales]]</f>
        <v>3.258400531033824E-2</v>
      </c>
      <c r="N3167">
        <f>LN(dataset[[#This Row],[soda_units_sold]])</f>
        <v>12.172665799053901</v>
      </c>
      <c r="O3167">
        <f>LN(dataset[[#This Row],[soda_sales]])</f>
        <v>11.819775715703852</v>
      </c>
      <c r="P3167">
        <f>LN(dataset[[#This Row],[soda_ppu]])</f>
        <v>-0.35282522078398504</v>
      </c>
      <c r="Q3167">
        <f>IF(dataset[[#This Row],[state]]="VA",1,0)</f>
        <v>0</v>
      </c>
    </row>
    <row r="3168" spans="1:17" x14ac:dyDescent="0.35">
      <c r="A3168">
        <v>202411</v>
      </c>
      <c r="B3168">
        <v>38</v>
      </c>
      <c r="C3168" s="2">
        <v>4726779.5652000001</v>
      </c>
      <c r="D3168" s="2">
        <v>0.71509999999999996</v>
      </c>
      <c r="E3168" s="3">
        <v>184261</v>
      </c>
      <c r="F3168" s="2">
        <v>131763.81690000001</v>
      </c>
      <c r="G3168" t="s">
        <v>361</v>
      </c>
      <c r="H3168" t="s">
        <v>5</v>
      </c>
      <c r="I3168">
        <f>HLOOKUP(G3168,zip_tiers!$A$1:$EON$2,2,FALSE)</f>
        <v>130423.66666666667</v>
      </c>
      <c r="J3168" t="str">
        <f t="shared" si="49"/>
        <v>High</v>
      </c>
      <c r="K3168">
        <f>dataset[[#This Row],[soda_sales]]/dataset[[#This Row],[soda_units_sold]]</f>
        <v>0.71509335616326841</v>
      </c>
      <c r="L3168" s="29">
        <f>dataset[[#This Row],[implied_soda_ppu]]-dataset[[#This Row],[soda_ppu]]</f>
        <v>-6.6438367315457825E-6</v>
      </c>
      <c r="M3168">
        <f>dataset[[#This Row],[soda_sales]]/dataset[[#This Row],[total_sales]]</f>
        <v>2.787602321675536E-2</v>
      </c>
      <c r="N3168">
        <f>LN(dataset[[#This Row],[soda_units_sold]])</f>
        <v>12.124108509762058</v>
      </c>
      <c r="O3168">
        <f>LN(dataset[[#This Row],[soda_sales]])</f>
        <v>11.788766333011175</v>
      </c>
      <c r="P3168">
        <f>LN(dataset[[#This Row],[soda_ppu]])</f>
        <v>-0.33533288592778687</v>
      </c>
      <c r="Q3168">
        <f>IF(dataset[[#This Row],[state]]="VA",1,0)</f>
        <v>0</v>
      </c>
    </row>
    <row r="3169" spans="1:17" x14ac:dyDescent="0.35">
      <c r="A3169">
        <v>202412</v>
      </c>
      <c r="B3169">
        <v>38</v>
      </c>
      <c r="C3169" s="2">
        <v>4867072.2847999996</v>
      </c>
      <c r="D3169" s="2">
        <v>0.7409</v>
      </c>
      <c r="E3169" s="3">
        <v>172984</v>
      </c>
      <c r="F3169" s="2">
        <v>128158.1776</v>
      </c>
      <c r="G3169" t="s">
        <v>361</v>
      </c>
      <c r="H3169" t="s">
        <v>5</v>
      </c>
      <c r="I3169">
        <f>HLOOKUP(G3169,zip_tiers!$A$1:$EON$2,2,FALSE)</f>
        <v>130423.66666666667</v>
      </c>
      <c r="J3169" t="str">
        <f t="shared" si="49"/>
        <v>High</v>
      </c>
      <c r="K3169">
        <f>dataset[[#This Row],[soda_sales]]/dataset[[#This Row],[soda_units_sold]]</f>
        <v>0.7408672339638348</v>
      </c>
      <c r="L3169" s="29">
        <f>dataset[[#This Row],[implied_soda_ppu]]-dataset[[#This Row],[soda_ppu]]</f>
        <v>-3.2766036165199353E-5</v>
      </c>
      <c r="M3169">
        <f>dataset[[#This Row],[soda_sales]]/dataset[[#This Row],[total_sales]]</f>
        <v>2.6331677464549171E-2</v>
      </c>
      <c r="N3169">
        <f>LN(dataset[[#This Row],[soda_units_sold]])</f>
        <v>12.060954383653732</v>
      </c>
      <c r="O3169">
        <f>LN(dataset[[#This Row],[soda_sales]])</f>
        <v>11.761020542475741</v>
      </c>
      <c r="P3169">
        <f>LN(dataset[[#This Row],[soda_ppu]])</f>
        <v>-0.29988961555952581</v>
      </c>
      <c r="Q3169">
        <f>IF(dataset[[#This Row],[state]]="VA",1,0)</f>
        <v>0</v>
      </c>
    </row>
    <row r="3170" spans="1:17" x14ac:dyDescent="0.35">
      <c r="A3170">
        <v>202201</v>
      </c>
      <c r="B3170">
        <v>86</v>
      </c>
      <c r="C3170" s="2">
        <v>1709423.3093000001</v>
      </c>
      <c r="D3170" s="2">
        <v>0.63680000000000003</v>
      </c>
      <c r="E3170" s="3">
        <v>171667</v>
      </c>
      <c r="F3170" s="2">
        <v>109309.5917</v>
      </c>
      <c r="G3170" t="s">
        <v>375</v>
      </c>
      <c r="H3170" t="s">
        <v>5</v>
      </c>
      <c r="I3170">
        <f>HLOOKUP(G3170,zip_tiers!$A$1:$EON$2,2,FALSE)</f>
        <v>59176</v>
      </c>
      <c r="J3170" t="str">
        <f t="shared" si="49"/>
        <v>Med</v>
      </c>
      <c r="K3170">
        <f>dataset[[#This Row],[soda_sales]]/dataset[[#This Row],[soda_units_sold]]</f>
        <v>0.63675366669190936</v>
      </c>
      <c r="L3170" s="29">
        <f>dataset[[#This Row],[implied_soda_ppu]]-dataset[[#This Row],[soda_ppu]]</f>
        <v>-4.6333308090673597E-5</v>
      </c>
      <c r="M3170">
        <f>dataset[[#This Row],[soda_sales]]/dataset[[#This Row],[total_sales]]</f>
        <v>6.3945303135454323E-2</v>
      </c>
      <c r="N3170">
        <f>LN(dataset[[#This Row],[soda_units_sold]])</f>
        <v>12.053311832723452</v>
      </c>
      <c r="O3170">
        <f>LN(dataset[[#This Row],[soda_sales]])</f>
        <v>11.601939426032528</v>
      </c>
      <c r="P3170">
        <f>LN(dataset[[#This Row],[soda_ppu]])</f>
        <v>-0.45129964445196374</v>
      </c>
      <c r="Q3170">
        <f>IF(dataset[[#This Row],[state]]="VA",1,0)</f>
        <v>0</v>
      </c>
    </row>
    <row r="3171" spans="1:17" x14ac:dyDescent="0.35">
      <c r="A3171">
        <v>202202</v>
      </c>
      <c r="B3171">
        <v>86</v>
      </c>
      <c r="C3171" s="2">
        <v>1959958.7808000001</v>
      </c>
      <c r="D3171" s="2">
        <v>0.64500000000000002</v>
      </c>
      <c r="E3171" s="3">
        <v>190371</v>
      </c>
      <c r="F3171" s="2">
        <v>122784.2985</v>
      </c>
      <c r="G3171" t="s">
        <v>375</v>
      </c>
      <c r="H3171" t="s">
        <v>5</v>
      </c>
      <c r="I3171">
        <f>HLOOKUP(G3171,zip_tiers!$A$1:$EON$2,2,FALSE)</f>
        <v>59176</v>
      </c>
      <c r="J3171" t="str">
        <f t="shared" si="49"/>
        <v>Med</v>
      </c>
      <c r="K3171">
        <f>dataset[[#This Row],[soda_sales]]/dataset[[#This Row],[soda_units_sold]]</f>
        <v>0.64497375388058054</v>
      </c>
      <c r="L3171" s="29">
        <f>dataset[[#This Row],[implied_soda_ppu]]-dataset[[#This Row],[soda_ppu]]</f>
        <v>-2.624611941948185E-5</v>
      </c>
      <c r="M3171">
        <f>dataset[[#This Row],[soda_sales]]/dataset[[#This Row],[total_sales]]</f>
        <v>6.2646367721000185E-2</v>
      </c>
      <c r="N3171">
        <f>LN(dataset[[#This Row],[soda_units_sold]])</f>
        <v>12.156730078814546</v>
      </c>
      <c r="O3171">
        <f>LN(dataset[[#This Row],[soda_sales]])</f>
        <v>11.718184424142239</v>
      </c>
      <c r="P3171">
        <f>LN(dataset[[#This Row],[soda_ppu]])</f>
        <v>-0.43850496218636453</v>
      </c>
      <c r="Q3171">
        <f>IF(dataset[[#This Row],[state]]="VA",1,0)</f>
        <v>0</v>
      </c>
    </row>
    <row r="3172" spans="1:17" x14ac:dyDescent="0.35">
      <c r="A3172">
        <v>202203</v>
      </c>
      <c r="B3172">
        <v>86</v>
      </c>
      <c r="C3172" s="2">
        <v>2146633.8158</v>
      </c>
      <c r="D3172" s="2">
        <v>0.65390000000000004</v>
      </c>
      <c r="E3172" s="3">
        <v>219461</v>
      </c>
      <c r="F3172" s="2">
        <v>143511.07870000001</v>
      </c>
      <c r="G3172" t="s">
        <v>375</v>
      </c>
      <c r="H3172" t="s">
        <v>5</v>
      </c>
      <c r="I3172">
        <f>HLOOKUP(G3172,zip_tiers!$A$1:$EON$2,2,FALSE)</f>
        <v>59176</v>
      </c>
      <c r="J3172" t="str">
        <f t="shared" si="49"/>
        <v>Med</v>
      </c>
      <c r="K3172">
        <f>dataset[[#This Row],[soda_sales]]/dataset[[#This Row],[soda_units_sold]]</f>
        <v>0.65392520174427349</v>
      </c>
      <c r="L3172" s="29">
        <f>dataset[[#This Row],[implied_soda_ppu]]-dataset[[#This Row],[soda_ppu]]</f>
        <v>2.5201744273450899E-5</v>
      </c>
      <c r="M3172">
        <f>dataset[[#This Row],[soda_sales]]/dataset[[#This Row],[total_sales]]</f>
        <v>6.6854010052253277E-2</v>
      </c>
      <c r="N3172">
        <f>LN(dataset[[#This Row],[soda_units_sold]])</f>
        <v>12.298929819173432</v>
      </c>
      <c r="O3172">
        <f>LN(dataset[[#This Row],[soda_sales]])</f>
        <v>11.874167514686098</v>
      </c>
      <c r="P3172">
        <f>LN(dataset[[#This Row],[soda_ppu]])</f>
        <v>-0.42480084441490673</v>
      </c>
      <c r="Q3172">
        <f>IF(dataset[[#This Row],[state]]="VA",1,0)</f>
        <v>0</v>
      </c>
    </row>
    <row r="3173" spans="1:17" x14ac:dyDescent="0.35">
      <c r="A3173">
        <v>202204</v>
      </c>
      <c r="B3173">
        <v>86</v>
      </c>
      <c r="C3173" s="2">
        <v>2332495.5032000002</v>
      </c>
      <c r="D3173" s="2">
        <v>0.64549999999999996</v>
      </c>
      <c r="E3173" s="3">
        <v>265394</v>
      </c>
      <c r="F3173" s="2">
        <v>171301.6269</v>
      </c>
      <c r="G3173" t="s">
        <v>375</v>
      </c>
      <c r="H3173" t="s">
        <v>5</v>
      </c>
      <c r="I3173">
        <f>HLOOKUP(G3173,zip_tiers!$A$1:$EON$2,2,FALSE)</f>
        <v>59176</v>
      </c>
      <c r="J3173" t="str">
        <f t="shared" si="49"/>
        <v>Med</v>
      </c>
      <c r="K3173">
        <f>dataset[[#This Row],[soda_sales]]/dataset[[#This Row],[soda_units_sold]]</f>
        <v>0.64546156619968797</v>
      </c>
      <c r="L3173" s="29">
        <f>dataset[[#This Row],[implied_soda_ppu]]-dataset[[#This Row],[soda_ppu]]</f>
        <v>-3.8433800311987731E-5</v>
      </c>
      <c r="M3173">
        <f>dataset[[#This Row],[soda_sales]]/dataset[[#This Row],[total_sales]]</f>
        <v>7.3441353548158034E-2</v>
      </c>
      <c r="N3173">
        <f>LN(dataset[[#This Row],[soda_units_sold]])</f>
        <v>12.488970793239615</v>
      </c>
      <c r="O3173">
        <f>LN(dataset[[#This Row],[soda_sales]])</f>
        <v>12.051181181640141</v>
      </c>
      <c r="P3173">
        <f>LN(dataset[[#This Row],[soda_ppu]])</f>
        <v>-0.4377300686954399</v>
      </c>
      <c r="Q3173">
        <f>IF(dataset[[#This Row],[state]]="VA",1,0)</f>
        <v>0</v>
      </c>
    </row>
    <row r="3174" spans="1:17" x14ac:dyDescent="0.35">
      <c r="A3174">
        <v>202205</v>
      </c>
      <c r="B3174">
        <v>86</v>
      </c>
      <c r="C3174" s="2">
        <v>2412272.2914999998</v>
      </c>
      <c r="D3174" s="2">
        <v>0.65449999999999997</v>
      </c>
      <c r="E3174" s="3">
        <v>282734</v>
      </c>
      <c r="F3174" s="2">
        <v>185035.47510000001</v>
      </c>
      <c r="G3174" t="s">
        <v>375</v>
      </c>
      <c r="H3174" t="s">
        <v>5</v>
      </c>
      <c r="I3174">
        <f>HLOOKUP(G3174,zip_tiers!$A$1:$EON$2,2,FALSE)</f>
        <v>59176</v>
      </c>
      <c r="J3174" t="str">
        <f t="shared" si="49"/>
        <v>Med</v>
      </c>
      <c r="K3174">
        <f>dataset[[#This Row],[soda_sales]]/dataset[[#This Row],[soda_units_sold]]</f>
        <v>0.65445073850332824</v>
      </c>
      <c r="L3174" s="29">
        <f>dataset[[#This Row],[implied_soda_ppu]]-dataset[[#This Row],[soda_ppu]]</f>
        <v>-4.9261496671726412E-5</v>
      </c>
      <c r="M3174">
        <f>dataset[[#This Row],[soda_sales]]/dataset[[#This Row],[total_sales]]</f>
        <v>7.6705882562262989E-2</v>
      </c>
      <c r="N3174">
        <f>LN(dataset[[#This Row],[soda_units_sold]])</f>
        <v>12.552261805286188</v>
      </c>
      <c r="O3174">
        <f>LN(dataset[[#This Row],[soda_sales]])</f>
        <v>12.128302842974678</v>
      </c>
      <c r="P3174">
        <f>LN(dataset[[#This Row],[soda_ppu]])</f>
        <v>-0.42388369363218248</v>
      </c>
      <c r="Q3174">
        <f>IF(dataset[[#This Row],[state]]="VA",1,0)</f>
        <v>0</v>
      </c>
    </row>
    <row r="3175" spans="1:17" x14ac:dyDescent="0.35">
      <c r="A3175">
        <v>202206</v>
      </c>
      <c r="B3175">
        <v>86</v>
      </c>
      <c r="C3175" s="2">
        <v>2284622.1279000002</v>
      </c>
      <c r="D3175" s="2">
        <v>0.6381</v>
      </c>
      <c r="E3175" s="3">
        <v>301535</v>
      </c>
      <c r="F3175" s="2">
        <v>192412.51730000001</v>
      </c>
      <c r="G3175" t="s">
        <v>375</v>
      </c>
      <c r="H3175" t="s">
        <v>5</v>
      </c>
      <c r="I3175">
        <f>HLOOKUP(G3175,zip_tiers!$A$1:$EON$2,2,FALSE)</f>
        <v>59176</v>
      </c>
      <c r="J3175" t="str">
        <f t="shared" si="49"/>
        <v>Med</v>
      </c>
      <c r="K3175">
        <f>dataset[[#This Row],[soda_sales]]/dataset[[#This Row],[soda_units_sold]]</f>
        <v>0.63811006118692692</v>
      </c>
      <c r="L3175" s="29">
        <f>dataset[[#This Row],[implied_soda_ppu]]-dataset[[#This Row],[soda_ppu]]</f>
        <v>1.0061186926924037E-5</v>
      </c>
      <c r="M3175">
        <f>dataset[[#This Row],[soda_sales]]/dataset[[#This Row],[total_sales]]</f>
        <v>8.4220718581966766E-2</v>
      </c>
      <c r="N3175">
        <f>LN(dataset[[#This Row],[soda_units_sold]])</f>
        <v>12.616641374647381</v>
      </c>
      <c r="O3175">
        <f>LN(dataset[[#This Row],[soda_sales]])</f>
        <v>12.167396873829324</v>
      </c>
      <c r="P3175">
        <f>LN(dataset[[#This Row],[soda_ppu]])</f>
        <v>-0.44926026810783587</v>
      </c>
      <c r="Q3175">
        <f>IF(dataset[[#This Row],[state]]="VA",1,0)</f>
        <v>0</v>
      </c>
    </row>
    <row r="3176" spans="1:17" x14ac:dyDescent="0.35">
      <c r="A3176">
        <v>202207</v>
      </c>
      <c r="B3176">
        <v>86</v>
      </c>
      <c r="C3176" s="2">
        <v>2221605.3054</v>
      </c>
      <c r="D3176" s="2">
        <v>0.62839999999999996</v>
      </c>
      <c r="E3176" s="3">
        <v>320350</v>
      </c>
      <c r="F3176" s="2">
        <v>201293.95509999999</v>
      </c>
      <c r="G3176" t="s">
        <v>375</v>
      </c>
      <c r="H3176" t="s">
        <v>5</v>
      </c>
      <c r="I3176">
        <f>HLOOKUP(G3176,zip_tiers!$A$1:$EON$2,2,FALSE)</f>
        <v>59176</v>
      </c>
      <c r="J3176" t="str">
        <f t="shared" si="49"/>
        <v>Med</v>
      </c>
      <c r="K3176">
        <f>dataset[[#This Row],[soda_sales]]/dataset[[#This Row],[soda_units_sold]]</f>
        <v>0.62835634493522707</v>
      </c>
      <c r="L3176" s="29">
        <f>dataset[[#This Row],[implied_soda_ppu]]-dataset[[#This Row],[soda_ppu]]</f>
        <v>-4.3655064772885055E-5</v>
      </c>
      <c r="M3176">
        <f>dataset[[#This Row],[soda_sales]]/dataset[[#This Row],[total_sales]]</f>
        <v>9.0607433557490999E-2</v>
      </c>
      <c r="N3176">
        <f>LN(dataset[[#This Row],[soda_units_sold]])</f>
        <v>12.677169427067168</v>
      </c>
      <c r="O3176">
        <f>LN(dataset[[#This Row],[soda_sales]])</f>
        <v>12.212521581867506</v>
      </c>
      <c r="P3176">
        <f>LN(dataset[[#This Row],[soda_ppu]])</f>
        <v>-0.46457837260067103</v>
      </c>
      <c r="Q3176">
        <f>IF(dataset[[#This Row],[state]]="VA",1,0)</f>
        <v>0</v>
      </c>
    </row>
    <row r="3177" spans="1:17" x14ac:dyDescent="0.35">
      <c r="A3177">
        <v>202208</v>
      </c>
      <c r="B3177">
        <v>86</v>
      </c>
      <c r="C3177" s="2">
        <v>2091668.5952999999</v>
      </c>
      <c r="D3177" s="2">
        <v>0.64410000000000001</v>
      </c>
      <c r="E3177" s="3">
        <v>277150</v>
      </c>
      <c r="F3177" s="2">
        <v>178502.23989999999</v>
      </c>
      <c r="G3177" t="s">
        <v>375</v>
      </c>
      <c r="H3177" t="s">
        <v>5</v>
      </c>
      <c r="I3177">
        <f>HLOOKUP(G3177,zip_tiers!$A$1:$EON$2,2,FALSE)</f>
        <v>59176</v>
      </c>
      <c r="J3177" t="str">
        <f t="shared" si="49"/>
        <v>Med</v>
      </c>
      <c r="K3177">
        <f>dataset[[#This Row],[soda_sales]]/dataset[[#This Row],[soda_units_sold]]</f>
        <v>0.64406364748331224</v>
      </c>
      <c r="L3177" s="29">
        <f>dataset[[#This Row],[implied_soda_ppu]]-dataset[[#This Row],[soda_ppu]]</f>
        <v>-3.6352516687765402E-5</v>
      </c>
      <c r="M3177">
        <f>dataset[[#This Row],[soda_sales]]/dataset[[#This Row],[total_sales]]</f>
        <v>8.5339637598946735E-2</v>
      </c>
      <c r="N3177">
        <f>LN(dataset[[#This Row],[soda_units_sold]])</f>
        <v>12.532314154847951</v>
      </c>
      <c r="O3177">
        <f>LN(dataset[[#This Row],[soda_sales]])</f>
        <v>12.092356428582484</v>
      </c>
      <c r="P3177">
        <f>LN(dataset[[#This Row],[soda_ppu]])</f>
        <v>-0.43990128542929202</v>
      </c>
      <c r="Q3177">
        <f>IF(dataset[[#This Row],[state]]="VA",1,0)</f>
        <v>0</v>
      </c>
    </row>
    <row r="3178" spans="1:17" x14ac:dyDescent="0.35">
      <c r="A3178">
        <v>202209</v>
      </c>
      <c r="B3178">
        <v>86</v>
      </c>
      <c r="C3178" s="2">
        <v>2065176.9528000001</v>
      </c>
      <c r="D3178" s="2">
        <v>0.62809999999999999</v>
      </c>
      <c r="E3178" s="3">
        <v>267883</v>
      </c>
      <c r="F3178" s="2">
        <v>168252.1777</v>
      </c>
      <c r="G3178" t="s">
        <v>375</v>
      </c>
      <c r="H3178" t="s">
        <v>5</v>
      </c>
      <c r="I3178">
        <f>HLOOKUP(G3178,zip_tiers!$A$1:$EON$2,2,FALSE)</f>
        <v>59176</v>
      </c>
      <c r="J3178" t="str">
        <f t="shared" si="49"/>
        <v>Med</v>
      </c>
      <c r="K3178">
        <f>dataset[[#This Row],[soda_sales]]/dataset[[#This Row],[soda_units_sold]]</f>
        <v>0.62808083267695225</v>
      </c>
      <c r="L3178" s="29">
        <f>dataset[[#This Row],[implied_soda_ppu]]-dataset[[#This Row],[soda_ppu]]</f>
        <v>-1.9167323047741824E-5</v>
      </c>
      <c r="M3178">
        <f>dataset[[#This Row],[soda_sales]]/dataset[[#This Row],[total_sales]]</f>
        <v>8.1471070782521082E-2</v>
      </c>
      <c r="N3178">
        <f>LN(dataset[[#This Row],[soda_units_sold]])</f>
        <v>12.498305597005626</v>
      </c>
      <c r="O3178">
        <f>LN(dataset[[#This Row],[soda_sales]])</f>
        <v>12.033219190662438</v>
      </c>
      <c r="P3178">
        <f>LN(dataset[[#This Row],[soda_ppu]])</f>
        <v>-0.46505588952180199</v>
      </c>
      <c r="Q3178">
        <f>IF(dataset[[#This Row],[state]]="VA",1,0)</f>
        <v>0</v>
      </c>
    </row>
    <row r="3179" spans="1:17" x14ac:dyDescent="0.35">
      <c r="A3179">
        <v>202210</v>
      </c>
      <c r="B3179">
        <v>86</v>
      </c>
      <c r="C3179" s="2">
        <v>2503193.0532</v>
      </c>
      <c r="D3179" s="2">
        <v>0.66349999999999998</v>
      </c>
      <c r="E3179" s="3">
        <v>236613</v>
      </c>
      <c r="F3179" s="2">
        <v>156991.7469</v>
      </c>
      <c r="G3179" t="s">
        <v>375</v>
      </c>
      <c r="H3179" t="s">
        <v>5</v>
      </c>
      <c r="I3179">
        <f>HLOOKUP(G3179,zip_tiers!$A$1:$EON$2,2,FALSE)</f>
        <v>59176</v>
      </c>
      <c r="J3179" t="str">
        <f t="shared" si="49"/>
        <v>Med</v>
      </c>
      <c r="K3179">
        <f>dataset[[#This Row],[soda_sales]]/dataset[[#This Row],[soda_units_sold]]</f>
        <v>0.66349586413257089</v>
      </c>
      <c r="L3179" s="29">
        <f>dataset[[#This Row],[implied_soda_ppu]]-dataset[[#This Row],[soda_ppu]]</f>
        <v>-4.1358674290892239E-6</v>
      </c>
      <c r="M3179">
        <f>dataset[[#This Row],[soda_sales]]/dataset[[#This Row],[total_sales]]</f>
        <v>6.2716595789248819E-2</v>
      </c>
      <c r="N3179">
        <f>LN(dataset[[#This Row],[soda_units_sold]])</f>
        <v>12.374181174071945</v>
      </c>
      <c r="O3179">
        <f>LN(dataset[[#This Row],[soda_sales]])</f>
        <v>11.963948515432801</v>
      </c>
      <c r="P3179">
        <f>LN(dataset[[#This Row],[soda_ppu]])</f>
        <v>-0.4102264252098749</v>
      </c>
      <c r="Q3179">
        <f>IF(dataset[[#This Row],[state]]="VA",1,0)</f>
        <v>0</v>
      </c>
    </row>
    <row r="3180" spans="1:17" x14ac:dyDescent="0.35">
      <c r="A3180">
        <v>202211</v>
      </c>
      <c r="B3180">
        <v>86</v>
      </c>
      <c r="C3180" s="2">
        <v>2872637.5435000001</v>
      </c>
      <c r="D3180" s="2">
        <v>0.64849999999999997</v>
      </c>
      <c r="E3180" s="3">
        <v>234622</v>
      </c>
      <c r="F3180" s="2">
        <v>152162.5459</v>
      </c>
      <c r="G3180" t="s">
        <v>375</v>
      </c>
      <c r="H3180" t="s">
        <v>5</v>
      </c>
      <c r="I3180">
        <f>HLOOKUP(G3180,zip_tiers!$A$1:$EON$2,2,FALSE)</f>
        <v>59176</v>
      </c>
      <c r="J3180" t="str">
        <f t="shared" si="49"/>
        <v>Med</v>
      </c>
      <c r="K3180">
        <f>dataset[[#This Row],[soda_sales]]/dataset[[#This Row],[soda_units_sold]]</f>
        <v>0.64854338425211611</v>
      </c>
      <c r="L3180" s="29">
        <f>dataset[[#This Row],[implied_soda_ppu]]-dataset[[#This Row],[soda_ppu]]</f>
        <v>4.3384252116140942E-5</v>
      </c>
      <c r="M3180">
        <f>dataset[[#This Row],[soda_sales]]/dataset[[#This Row],[total_sales]]</f>
        <v>5.2969629337436805E-2</v>
      </c>
      <c r="N3180">
        <f>LN(dataset[[#This Row],[soda_units_sold]])</f>
        <v>12.365730987445849</v>
      </c>
      <c r="O3180">
        <f>LN(dataset[[#This Row],[soda_sales]])</f>
        <v>11.932704609369001</v>
      </c>
      <c r="P3180">
        <f>LN(dataset[[#This Row],[soda_ppu]])</f>
        <v>-0.43309327522563851</v>
      </c>
      <c r="Q3180">
        <f>IF(dataset[[#This Row],[state]]="VA",1,0)</f>
        <v>0</v>
      </c>
    </row>
    <row r="3181" spans="1:17" x14ac:dyDescent="0.35">
      <c r="A3181">
        <v>202212</v>
      </c>
      <c r="B3181">
        <v>86</v>
      </c>
      <c r="C3181" s="2">
        <v>2985658.6480999999</v>
      </c>
      <c r="D3181" s="2">
        <v>0.65239999999999998</v>
      </c>
      <c r="E3181" s="3">
        <v>223862</v>
      </c>
      <c r="F3181" s="2">
        <v>146040.56039999999</v>
      </c>
      <c r="G3181" t="s">
        <v>375</v>
      </c>
      <c r="H3181" t="s">
        <v>5</v>
      </c>
      <c r="I3181">
        <f>HLOOKUP(G3181,zip_tiers!$A$1:$EON$2,2,FALSE)</f>
        <v>59176</v>
      </c>
      <c r="J3181" t="str">
        <f t="shared" si="49"/>
        <v>Med</v>
      </c>
      <c r="K3181">
        <f>dataset[[#This Row],[soda_sales]]/dataset[[#This Row],[soda_units_sold]]</f>
        <v>0.65236869321278279</v>
      </c>
      <c r="L3181" s="29">
        <f>dataset[[#This Row],[implied_soda_ppu]]-dataset[[#This Row],[soda_ppu]]</f>
        <v>-3.1306787217189047E-5</v>
      </c>
      <c r="M3181">
        <f>dataset[[#This Row],[soda_sales]]/dataset[[#This Row],[total_sales]]</f>
        <v>4.8914017847598426E-2</v>
      </c>
      <c r="N3181">
        <f>LN(dataset[[#This Row],[soda_units_sold]])</f>
        <v>12.318785069558626</v>
      </c>
      <c r="O3181">
        <f>LN(dataset[[#This Row],[soda_sales]])</f>
        <v>11.891639673067059</v>
      </c>
      <c r="P3181">
        <f>LN(dataset[[#This Row],[soda_ppu]])</f>
        <v>-0.42709740823527825</v>
      </c>
      <c r="Q3181">
        <f>IF(dataset[[#This Row],[state]]="VA",1,0)</f>
        <v>0</v>
      </c>
    </row>
    <row r="3182" spans="1:17" x14ac:dyDescent="0.35">
      <c r="A3182">
        <v>202301</v>
      </c>
      <c r="B3182">
        <v>86</v>
      </c>
      <c r="C3182" s="2">
        <v>1699848.1547000001</v>
      </c>
      <c r="D3182" s="2">
        <v>0.67210000000000003</v>
      </c>
      <c r="E3182" s="3">
        <v>159949</v>
      </c>
      <c r="F3182" s="2">
        <v>107505.1366</v>
      </c>
      <c r="G3182" t="s">
        <v>375</v>
      </c>
      <c r="H3182" t="s">
        <v>5</v>
      </c>
      <c r="I3182">
        <f>HLOOKUP(G3182,zip_tiers!$A$1:$EON$2,2,FALSE)</f>
        <v>59176</v>
      </c>
      <c r="J3182" t="str">
        <f t="shared" si="49"/>
        <v>Med</v>
      </c>
      <c r="K3182">
        <f>dataset[[#This Row],[soda_sales]]/dataset[[#This Row],[soda_units_sold]]</f>
        <v>0.67212134242789889</v>
      </c>
      <c r="L3182" s="29">
        <f>dataset[[#This Row],[implied_soda_ppu]]-dataset[[#This Row],[soda_ppu]]</f>
        <v>2.1342427898862759E-5</v>
      </c>
      <c r="M3182">
        <f>dataset[[#This Row],[soda_sales]]/dataset[[#This Row],[total_sales]]</f>
        <v>6.3243964646344061E-2</v>
      </c>
      <c r="N3182">
        <f>LN(dataset[[#This Row],[soda_units_sold]])</f>
        <v>11.982610293404385</v>
      </c>
      <c r="O3182">
        <f>LN(dataset[[#This Row],[soda_sales]])</f>
        <v>11.585293907733897</v>
      </c>
      <c r="P3182">
        <f>LN(dataset[[#This Row],[soda_ppu]])</f>
        <v>-0.39734814000621682</v>
      </c>
      <c r="Q3182">
        <f>IF(dataset[[#This Row],[state]]="VA",1,0)</f>
        <v>0</v>
      </c>
    </row>
    <row r="3183" spans="1:17" x14ac:dyDescent="0.35">
      <c r="A3183">
        <v>202302</v>
      </c>
      <c r="B3183">
        <v>86</v>
      </c>
      <c r="C3183" s="2">
        <v>1974378.0549000001</v>
      </c>
      <c r="D3183" s="2">
        <v>0.68789999999999996</v>
      </c>
      <c r="E3183" s="3">
        <v>180006</v>
      </c>
      <c r="F3183" s="2">
        <v>123820.66160000001</v>
      </c>
      <c r="G3183" t="s">
        <v>375</v>
      </c>
      <c r="H3183" t="s">
        <v>5</v>
      </c>
      <c r="I3183">
        <f>HLOOKUP(G3183,zip_tiers!$A$1:$EON$2,2,FALSE)</f>
        <v>59176</v>
      </c>
      <c r="J3183" t="str">
        <f t="shared" si="49"/>
        <v>Med</v>
      </c>
      <c r="K3183">
        <f>dataset[[#This Row],[soda_sales]]/dataset[[#This Row],[soda_units_sold]]</f>
        <v>0.68786963545659596</v>
      </c>
      <c r="L3183" s="29">
        <f>dataset[[#This Row],[implied_soda_ppu]]-dataset[[#This Row],[soda_ppu]]</f>
        <v>-3.0364543403993416E-5</v>
      </c>
      <c r="M3183">
        <f>dataset[[#This Row],[soda_sales]]/dataset[[#This Row],[total_sales]]</f>
        <v>6.2713754993732121E-2</v>
      </c>
      <c r="N3183">
        <f>LN(dataset[[#This Row],[soda_units_sold]])</f>
        <v>12.100745462650137</v>
      </c>
      <c r="O3183">
        <f>LN(dataset[[#This Row],[soda_sales]])</f>
        <v>11.726589520299136</v>
      </c>
      <c r="P3183">
        <f>LN(dataset[[#This Row],[soda_ppu]])</f>
        <v>-0.37411180045016867</v>
      </c>
      <c r="Q3183">
        <f>IF(dataset[[#This Row],[state]]="VA",1,0)</f>
        <v>0</v>
      </c>
    </row>
    <row r="3184" spans="1:17" x14ac:dyDescent="0.35">
      <c r="A3184">
        <v>202303</v>
      </c>
      <c r="B3184">
        <v>86</v>
      </c>
      <c r="C3184" s="2">
        <v>2183272.6447999999</v>
      </c>
      <c r="D3184" s="2">
        <v>0.66720000000000002</v>
      </c>
      <c r="E3184" s="3">
        <v>220407</v>
      </c>
      <c r="F3184" s="2">
        <v>147048.3504</v>
      </c>
      <c r="G3184" t="s">
        <v>375</v>
      </c>
      <c r="H3184" t="s">
        <v>5</v>
      </c>
      <c r="I3184">
        <f>HLOOKUP(G3184,zip_tiers!$A$1:$EON$2,2,FALSE)</f>
        <v>59176</v>
      </c>
      <c r="J3184" t="str">
        <f t="shared" si="49"/>
        <v>Med</v>
      </c>
      <c r="K3184">
        <f>dataset[[#This Row],[soda_sales]]/dataset[[#This Row],[soda_units_sold]]</f>
        <v>0.66716733316092502</v>
      </c>
      <c r="L3184" s="29">
        <f>dataset[[#This Row],[implied_soda_ppu]]-dataset[[#This Row],[soda_ppu]]</f>
        <v>-3.2666839074990683E-5</v>
      </c>
      <c r="M3184">
        <f>dataset[[#This Row],[soda_sales]]/dataset[[#This Row],[total_sales]]</f>
        <v>6.7352261638156719E-2</v>
      </c>
      <c r="N3184">
        <f>LN(dataset[[#This Row],[soda_units_sold]])</f>
        <v>12.303231116192116</v>
      </c>
      <c r="O3184">
        <f>LN(dataset[[#This Row],[soda_sales]])</f>
        <v>11.898516725966141</v>
      </c>
      <c r="P3184">
        <f>LN(dataset[[#This Row],[soda_ppu]])</f>
        <v>-0.40466542793760002</v>
      </c>
      <c r="Q3184">
        <f>IF(dataset[[#This Row],[state]]="VA",1,0)</f>
        <v>0</v>
      </c>
    </row>
    <row r="3185" spans="1:17" x14ac:dyDescent="0.35">
      <c r="A3185">
        <v>202304</v>
      </c>
      <c r="B3185">
        <v>86</v>
      </c>
      <c r="C3185" s="2">
        <v>2290333.7209999999</v>
      </c>
      <c r="D3185" s="2">
        <v>0.68140000000000001</v>
      </c>
      <c r="E3185" s="3">
        <v>246619</v>
      </c>
      <c r="F3185" s="2">
        <v>168035.5257</v>
      </c>
      <c r="G3185" t="s">
        <v>375</v>
      </c>
      <c r="H3185" t="s">
        <v>5</v>
      </c>
      <c r="I3185">
        <f>HLOOKUP(G3185,zip_tiers!$A$1:$EON$2,2,FALSE)</f>
        <v>59176</v>
      </c>
      <c r="J3185" t="str">
        <f t="shared" si="49"/>
        <v>Med</v>
      </c>
      <c r="K3185">
        <f>dataset[[#This Row],[soda_sales]]/dataset[[#This Row],[soda_units_sold]]</f>
        <v>0.68135677178157406</v>
      </c>
      <c r="L3185" s="29">
        <f>dataset[[#This Row],[implied_soda_ppu]]-dataset[[#This Row],[soda_ppu]]</f>
        <v>-4.322821842595026E-5</v>
      </c>
      <c r="M3185">
        <f>dataset[[#This Row],[soda_sales]]/dataset[[#This Row],[total_sales]]</f>
        <v>7.3367267031562863E-2</v>
      </c>
      <c r="N3185">
        <f>LN(dataset[[#This Row],[soda_units_sold]])</f>
        <v>12.415599914595118</v>
      </c>
      <c r="O3185">
        <f>LN(dataset[[#This Row],[soda_sales]])</f>
        <v>12.031930698530353</v>
      </c>
      <c r="P3185">
        <f>LN(dataset[[#This Row],[soda_ppu]])</f>
        <v>-0.38360577375527083</v>
      </c>
      <c r="Q3185">
        <f>IF(dataset[[#This Row],[state]]="VA",1,0)</f>
        <v>0</v>
      </c>
    </row>
    <row r="3186" spans="1:17" x14ac:dyDescent="0.35">
      <c r="A3186">
        <v>202305</v>
      </c>
      <c r="B3186">
        <v>86</v>
      </c>
      <c r="C3186" s="2">
        <v>2432380.1806000001</v>
      </c>
      <c r="D3186" s="2">
        <v>0.6472</v>
      </c>
      <c r="E3186" s="3">
        <v>293898</v>
      </c>
      <c r="F3186" s="2">
        <v>190207.52970000001</v>
      </c>
      <c r="G3186" t="s">
        <v>375</v>
      </c>
      <c r="H3186" t="s">
        <v>5</v>
      </c>
      <c r="I3186">
        <f>HLOOKUP(G3186,zip_tiers!$A$1:$EON$2,2,FALSE)</f>
        <v>59176</v>
      </c>
      <c r="J3186" t="str">
        <f t="shared" si="49"/>
        <v>Med</v>
      </c>
      <c r="K3186">
        <f>dataset[[#This Row],[soda_sales]]/dataset[[#This Row],[soda_units_sold]]</f>
        <v>0.64718892166670072</v>
      </c>
      <c r="L3186" s="29">
        <f>dataset[[#This Row],[implied_soda_ppu]]-dataset[[#This Row],[soda_ppu]]</f>
        <v>-1.1078333299274767E-5</v>
      </c>
      <c r="M3186">
        <f>dataset[[#This Row],[soda_sales]]/dataset[[#This Row],[total_sales]]</f>
        <v>7.8198108674393627E-2</v>
      </c>
      <c r="N3186">
        <f>LN(dataset[[#This Row],[soda_units_sold]])</f>
        <v>12.590988047348128</v>
      </c>
      <c r="O3186">
        <f>LN(dataset[[#This Row],[soda_sales]])</f>
        <v>12.155871016637905</v>
      </c>
      <c r="P3186">
        <f>LN(dataset[[#This Row],[soda_ppu]])</f>
        <v>-0.43509991323785513</v>
      </c>
      <c r="Q3186">
        <f>IF(dataset[[#This Row],[state]]="VA",1,0)</f>
        <v>0</v>
      </c>
    </row>
    <row r="3187" spans="1:17" x14ac:dyDescent="0.35">
      <c r="A3187">
        <v>202306</v>
      </c>
      <c r="B3187">
        <v>86</v>
      </c>
      <c r="C3187" s="2">
        <v>2301588.4808999998</v>
      </c>
      <c r="D3187" s="2">
        <v>0.63419999999999999</v>
      </c>
      <c r="E3187" s="3">
        <v>306230</v>
      </c>
      <c r="F3187" s="2">
        <v>194208.92610000001</v>
      </c>
      <c r="G3187" t="s">
        <v>375</v>
      </c>
      <c r="H3187" t="s">
        <v>5</v>
      </c>
      <c r="I3187">
        <f>HLOOKUP(G3187,zip_tiers!$A$1:$EON$2,2,FALSE)</f>
        <v>59176</v>
      </c>
      <c r="J3187" t="str">
        <f t="shared" si="49"/>
        <v>Med</v>
      </c>
      <c r="K3187">
        <f>dataset[[#This Row],[soda_sales]]/dataset[[#This Row],[soda_units_sold]]</f>
        <v>0.63419301211507695</v>
      </c>
      <c r="L3187" s="29">
        <f>dataset[[#This Row],[implied_soda_ppu]]-dataset[[#This Row],[soda_ppu]]</f>
        <v>-6.9878849230375906E-6</v>
      </c>
      <c r="M3187">
        <f>dataset[[#This Row],[soda_sales]]/dataset[[#This Row],[total_sales]]</f>
        <v>8.4380386724936016E-2</v>
      </c>
      <c r="N3187">
        <f>LN(dataset[[#This Row],[soda_units_sold]])</f>
        <v>12.632091732586087</v>
      </c>
      <c r="O3187">
        <f>LN(dataset[[#This Row],[soda_sales]])</f>
        <v>12.176689797222828</v>
      </c>
      <c r="P3187">
        <f>LN(dataset[[#This Row],[soda_ppu]])</f>
        <v>-0.45539091687789013</v>
      </c>
      <c r="Q3187">
        <f>IF(dataset[[#This Row],[state]]="VA",1,0)</f>
        <v>0</v>
      </c>
    </row>
    <row r="3188" spans="1:17" x14ac:dyDescent="0.35">
      <c r="A3188">
        <v>202307</v>
      </c>
      <c r="B3188">
        <v>86</v>
      </c>
      <c r="C3188" s="2">
        <v>2210567.4367</v>
      </c>
      <c r="D3188" s="2">
        <v>0.66020000000000001</v>
      </c>
      <c r="E3188" s="3">
        <v>302326</v>
      </c>
      <c r="F3188" s="2">
        <v>199608.9572</v>
      </c>
      <c r="G3188" t="s">
        <v>375</v>
      </c>
      <c r="H3188" t="s">
        <v>5</v>
      </c>
      <c r="I3188">
        <f>HLOOKUP(G3188,zip_tiers!$A$1:$EON$2,2,FALSE)</f>
        <v>59176</v>
      </c>
      <c r="J3188" t="str">
        <f t="shared" si="49"/>
        <v>Med</v>
      </c>
      <c r="K3188">
        <f>dataset[[#This Row],[soda_sales]]/dataset[[#This Row],[soda_units_sold]]</f>
        <v>0.66024409809278728</v>
      </c>
      <c r="L3188" s="29">
        <f>dataset[[#This Row],[implied_soda_ppu]]-dataset[[#This Row],[soda_ppu]]</f>
        <v>4.4098092787270282E-5</v>
      </c>
      <c r="M3188">
        <f>dataset[[#This Row],[soda_sales]]/dataset[[#This Row],[total_sales]]</f>
        <v>9.0297610417161542E-2</v>
      </c>
      <c r="N3188">
        <f>LN(dataset[[#This Row],[soda_units_sold]])</f>
        <v>12.619261184346675</v>
      </c>
      <c r="O3188">
        <f>LN(dataset[[#This Row],[soda_sales]])</f>
        <v>12.204115517604118</v>
      </c>
      <c r="P3188">
        <f>LN(dataset[[#This Row],[soda_ppu]])</f>
        <v>-0.41521245956304442</v>
      </c>
      <c r="Q3188">
        <f>IF(dataset[[#This Row],[state]]="VA",1,0)</f>
        <v>0</v>
      </c>
    </row>
    <row r="3189" spans="1:17" x14ac:dyDescent="0.35">
      <c r="A3189">
        <v>202308</v>
      </c>
      <c r="B3189">
        <v>86</v>
      </c>
      <c r="C3189" s="2">
        <v>2107656.6675999998</v>
      </c>
      <c r="D3189" s="2">
        <v>0.65110000000000001</v>
      </c>
      <c r="E3189" s="3">
        <v>276796</v>
      </c>
      <c r="F3189" s="2">
        <v>180227.22779999999</v>
      </c>
      <c r="G3189" t="s">
        <v>375</v>
      </c>
      <c r="H3189" t="s">
        <v>5</v>
      </c>
      <c r="I3189">
        <f>HLOOKUP(G3189,zip_tiers!$A$1:$EON$2,2,FALSE)</f>
        <v>59176</v>
      </c>
      <c r="J3189" t="str">
        <f t="shared" si="49"/>
        <v>Med</v>
      </c>
      <c r="K3189">
        <f>dataset[[#This Row],[soda_sales]]/dataset[[#This Row],[soda_units_sold]]</f>
        <v>0.65111933626208474</v>
      </c>
      <c r="L3189" s="29">
        <f>dataset[[#This Row],[implied_soda_ppu]]-dataset[[#This Row],[soda_ppu]]</f>
        <v>1.9336262084723721E-5</v>
      </c>
      <c r="M3189">
        <f>dataset[[#This Row],[soda_sales]]/dataset[[#This Row],[total_sales]]</f>
        <v>8.5510714610471036E-2</v>
      </c>
      <c r="N3189">
        <f>LN(dataset[[#This Row],[soda_units_sold]])</f>
        <v>12.531036051754185</v>
      </c>
      <c r="O3189">
        <f>LN(dataset[[#This Row],[soda_sales]])</f>
        <v>12.101973710411528</v>
      </c>
      <c r="P3189">
        <f>LN(dataset[[#This Row],[soda_ppu]])</f>
        <v>-0.42909203873932067</v>
      </c>
      <c r="Q3189">
        <f>IF(dataset[[#This Row],[state]]="VA",1,0)</f>
        <v>0</v>
      </c>
    </row>
    <row r="3190" spans="1:17" x14ac:dyDescent="0.35">
      <c r="A3190">
        <v>202309</v>
      </c>
      <c r="B3190">
        <v>86</v>
      </c>
      <c r="C3190" s="2">
        <v>2121086.3717999998</v>
      </c>
      <c r="D3190" s="2">
        <v>0.66779999999999995</v>
      </c>
      <c r="E3190" s="3">
        <v>260051</v>
      </c>
      <c r="F3190" s="2">
        <v>173649.14019999999</v>
      </c>
      <c r="G3190" t="s">
        <v>375</v>
      </c>
      <c r="H3190" t="s">
        <v>5</v>
      </c>
      <c r="I3190">
        <f>HLOOKUP(G3190,zip_tiers!$A$1:$EON$2,2,FALSE)</f>
        <v>59176</v>
      </c>
      <c r="J3190" t="str">
        <f t="shared" si="49"/>
        <v>Med</v>
      </c>
      <c r="K3190">
        <f>dataset[[#This Row],[soda_sales]]/dataset[[#This Row],[soda_units_sold]]</f>
        <v>0.66775032666669232</v>
      </c>
      <c r="L3190" s="29">
        <f>dataset[[#This Row],[implied_soda_ppu]]-dataset[[#This Row],[soda_ppu]]</f>
        <v>-4.9673333307631573E-5</v>
      </c>
      <c r="M3190">
        <f>dataset[[#This Row],[soda_sales]]/dataset[[#This Row],[total_sales]]</f>
        <v>8.1868019383217083E-2</v>
      </c>
      <c r="N3190">
        <f>LN(dataset[[#This Row],[soda_units_sold]])</f>
        <v>12.468633044608168</v>
      </c>
      <c r="O3190">
        <f>LN(dataset[[#This Row],[soda_sales]])</f>
        <v>12.064792106821063</v>
      </c>
      <c r="P3190">
        <f>LN(dataset[[#This Row],[soda_ppu]])</f>
        <v>-0.403766551472583</v>
      </c>
      <c r="Q3190">
        <f>IF(dataset[[#This Row],[state]]="VA",1,0)</f>
        <v>0</v>
      </c>
    </row>
    <row r="3191" spans="1:17" x14ac:dyDescent="0.35">
      <c r="A3191">
        <v>202310</v>
      </c>
      <c r="B3191">
        <v>86</v>
      </c>
      <c r="C3191" s="2">
        <v>2577648.19</v>
      </c>
      <c r="D3191" s="2">
        <v>0.66920000000000002</v>
      </c>
      <c r="E3191" s="3">
        <v>240257</v>
      </c>
      <c r="F3191" s="2">
        <v>160780.79029999999</v>
      </c>
      <c r="G3191" t="s">
        <v>375</v>
      </c>
      <c r="H3191" t="s">
        <v>5</v>
      </c>
      <c r="I3191">
        <f>HLOOKUP(G3191,zip_tiers!$A$1:$EON$2,2,FALSE)</f>
        <v>59176</v>
      </c>
      <c r="J3191" t="str">
        <f t="shared" si="49"/>
        <v>Med</v>
      </c>
      <c r="K3191">
        <f>dataset[[#This Row],[soda_sales]]/dataset[[#This Row],[soda_units_sold]]</f>
        <v>0.66920335432474387</v>
      </c>
      <c r="L3191" s="29">
        <f>dataset[[#This Row],[implied_soda_ppu]]-dataset[[#This Row],[soda_ppu]]</f>
        <v>3.354324743853887E-6</v>
      </c>
      <c r="M3191">
        <f>dataset[[#This Row],[soda_sales]]/dataset[[#This Row],[total_sales]]</f>
        <v>6.2374993966884208E-2</v>
      </c>
      <c r="N3191">
        <f>LN(dataset[[#This Row],[soda_units_sold]])</f>
        <v>12.389464462724423</v>
      </c>
      <c r="O3191">
        <f>LN(dataset[[#This Row],[soda_sales]])</f>
        <v>11.987797165282236</v>
      </c>
      <c r="P3191">
        <f>LN(dataset[[#This Row],[soda_ppu]])</f>
        <v>-0.40167230986946811</v>
      </c>
      <c r="Q3191">
        <f>IF(dataset[[#This Row],[state]]="VA",1,0)</f>
        <v>0</v>
      </c>
    </row>
    <row r="3192" spans="1:17" x14ac:dyDescent="0.35">
      <c r="A3192">
        <v>202311</v>
      </c>
      <c r="B3192">
        <v>86</v>
      </c>
      <c r="C3192" s="2">
        <v>2940502.8264000001</v>
      </c>
      <c r="D3192" s="2">
        <v>0.66539999999999999</v>
      </c>
      <c r="E3192" s="3">
        <v>234345</v>
      </c>
      <c r="F3192" s="2">
        <v>155941.66800000001</v>
      </c>
      <c r="G3192" t="s">
        <v>375</v>
      </c>
      <c r="H3192" t="s">
        <v>5</v>
      </c>
      <c r="I3192">
        <f>HLOOKUP(G3192,zip_tiers!$A$1:$EON$2,2,FALSE)</f>
        <v>59176</v>
      </c>
      <c r="J3192" t="str">
        <f t="shared" si="49"/>
        <v>Med</v>
      </c>
      <c r="K3192">
        <f>dataset[[#This Row],[soda_sales]]/dataset[[#This Row],[soda_units_sold]]</f>
        <v>0.66543629264545867</v>
      </c>
      <c r="L3192" s="29">
        <f>dataset[[#This Row],[implied_soda_ppu]]-dataset[[#This Row],[soda_ppu]]</f>
        <v>3.6292645458679829E-5</v>
      </c>
      <c r="M3192">
        <f>dataset[[#This Row],[soda_sales]]/dataset[[#This Row],[total_sales]]</f>
        <v>5.3032313589344966E-2</v>
      </c>
      <c r="N3192">
        <f>LN(dataset[[#This Row],[soda_units_sold]])</f>
        <v>12.364549667514114</v>
      </c>
      <c r="O3192">
        <f>LN(dataset[[#This Row],[soda_sales]])</f>
        <v>11.957237293228085</v>
      </c>
      <c r="P3192">
        <f>LN(dataset[[#This Row],[soda_ppu]])</f>
        <v>-0.40736691539776071</v>
      </c>
      <c r="Q3192">
        <f>IF(dataset[[#This Row],[state]]="VA",1,0)</f>
        <v>0</v>
      </c>
    </row>
    <row r="3193" spans="1:17" x14ac:dyDescent="0.35">
      <c r="A3193">
        <v>202312</v>
      </c>
      <c r="B3193">
        <v>86</v>
      </c>
      <c r="C3193" s="2">
        <v>3018375.7949999999</v>
      </c>
      <c r="D3193" s="2">
        <v>0.6885</v>
      </c>
      <c r="E3193" s="3">
        <v>213910</v>
      </c>
      <c r="F3193" s="2">
        <v>147285.43960000001</v>
      </c>
      <c r="G3193" t="s">
        <v>375</v>
      </c>
      <c r="H3193" t="s">
        <v>5</v>
      </c>
      <c r="I3193">
        <f>HLOOKUP(G3193,zip_tiers!$A$1:$EON$2,2,FALSE)</f>
        <v>59176</v>
      </c>
      <c r="J3193" t="str">
        <f t="shared" si="49"/>
        <v>Med</v>
      </c>
      <c r="K3193">
        <f>dataset[[#This Row],[soda_sales]]/dataset[[#This Row],[soda_units_sold]]</f>
        <v>0.68853929035575712</v>
      </c>
      <c r="L3193" s="29">
        <f>dataset[[#This Row],[implied_soda_ppu]]-dataset[[#This Row],[soda_ppu]]</f>
        <v>3.9290355757115591E-5</v>
      </c>
      <c r="M3193">
        <f>dataset[[#This Row],[soda_sales]]/dataset[[#This Row],[total_sales]]</f>
        <v>4.8796256531072536E-2</v>
      </c>
      <c r="N3193">
        <f>LN(dataset[[#This Row],[soda_units_sold]])</f>
        <v>12.273310644795851</v>
      </c>
      <c r="O3193">
        <f>LN(dataset[[#This Row],[soda_sales]])</f>
        <v>11.900127748956594</v>
      </c>
      <c r="P3193">
        <f>LN(dataset[[#This Row],[soda_ppu]])</f>
        <v>-0.37323996081342753</v>
      </c>
      <c r="Q3193">
        <f>IF(dataset[[#This Row],[state]]="VA",1,0)</f>
        <v>0</v>
      </c>
    </row>
    <row r="3194" spans="1:17" x14ac:dyDescent="0.35">
      <c r="A3194">
        <v>202401</v>
      </c>
      <c r="B3194">
        <v>86</v>
      </c>
      <c r="C3194" s="2">
        <v>1750732.1102</v>
      </c>
      <c r="D3194" s="2">
        <v>0.68689999999999996</v>
      </c>
      <c r="E3194" s="3">
        <v>163690</v>
      </c>
      <c r="F3194" s="2">
        <v>112440.1624</v>
      </c>
      <c r="G3194" t="s">
        <v>375</v>
      </c>
      <c r="H3194" t="s">
        <v>5</v>
      </c>
      <c r="I3194">
        <f>HLOOKUP(G3194,zip_tiers!$A$1:$EON$2,2,FALSE)</f>
        <v>59176</v>
      </c>
      <c r="J3194" t="str">
        <f t="shared" si="49"/>
        <v>Med</v>
      </c>
      <c r="K3194">
        <f>dataset[[#This Row],[soda_sales]]/dataset[[#This Row],[soda_units_sold]]</f>
        <v>0.68690917221577374</v>
      </c>
      <c r="L3194" s="29">
        <f>dataset[[#This Row],[implied_soda_ppu]]-dataset[[#This Row],[soda_ppu]]</f>
        <v>9.1722157737894605E-6</v>
      </c>
      <c r="M3194">
        <f>dataset[[#This Row],[soda_sales]]/dataset[[#This Row],[total_sales]]</f>
        <v>6.4224653072225357E-2</v>
      </c>
      <c r="N3194">
        <f>LN(dataset[[#This Row],[soda_units_sold]])</f>
        <v>12.005729674138401</v>
      </c>
      <c r="O3194">
        <f>LN(dataset[[#This Row],[soda_sales]])</f>
        <v>11.630176469345288</v>
      </c>
      <c r="P3194">
        <f>LN(dataset[[#This Row],[soda_ppu]])</f>
        <v>-0.37556655776230119</v>
      </c>
      <c r="Q3194">
        <f>IF(dataset[[#This Row],[state]]="VA",1,0)</f>
        <v>0</v>
      </c>
    </row>
    <row r="3195" spans="1:17" x14ac:dyDescent="0.35">
      <c r="A3195">
        <v>202402</v>
      </c>
      <c r="B3195">
        <v>86</v>
      </c>
      <c r="C3195" s="2">
        <v>1998211.6235</v>
      </c>
      <c r="D3195" s="2">
        <v>0.6865</v>
      </c>
      <c r="E3195" s="3">
        <v>184000</v>
      </c>
      <c r="F3195" s="2">
        <v>126310.9011</v>
      </c>
      <c r="G3195" t="s">
        <v>375</v>
      </c>
      <c r="H3195" t="s">
        <v>5</v>
      </c>
      <c r="I3195">
        <f>HLOOKUP(G3195,zip_tiers!$A$1:$EON$2,2,FALSE)</f>
        <v>59176</v>
      </c>
      <c r="J3195" t="str">
        <f t="shared" si="49"/>
        <v>Med</v>
      </c>
      <c r="K3195">
        <f>dataset[[#This Row],[soda_sales]]/dataset[[#This Row],[soda_units_sold]]</f>
        <v>0.68647228858695652</v>
      </c>
      <c r="L3195" s="29">
        <f>dataset[[#This Row],[implied_soda_ppu]]-dataset[[#This Row],[soda_ppu]]</f>
        <v>-2.7711413043474131E-5</v>
      </c>
      <c r="M3195">
        <f>dataset[[#This Row],[soda_sales]]/dataset[[#This Row],[total_sales]]</f>
        <v>6.321197395436931E-2</v>
      </c>
      <c r="N3195">
        <f>LN(dataset[[#This Row],[soda_units_sold]])</f>
        <v>12.122691036591123</v>
      </c>
      <c r="O3195">
        <f>LN(dataset[[#This Row],[soda_sales]])</f>
        <v>11.746501615777884</v>
      </c>
      <c r="P3195">
        <f>LN(dataset[[#This Row],[soda_ppu]])</f>
        <v>-0.37614905377411129</v>
      </c>
      <c r="Q3195">
        <f>IF(dataset[[#This Row],[state]]="VA",1,0)</f>
        <v>0</v>
      </c>
    </row>
    <row r="3196" spans="1:17" x14ac:dyDescent="0.35">
      <c r="A3196">
        <v>202403</v>
      </c>
      <c r="B3196">
        <v>86</v>
      </c>
      <c r="C3196" s="2">
        <v>2221527.3023999999</v>
      </c>
      <c r="D3196" s="2">
        <v>0.67859999999999998</v>
      </c>
      <c r="E3196" s="3">
        <v>217817</v>
      </c>
      <c r="F3196" s="2">
        <v>147801.7156</v>
      </c>
      <c r="G3196" t="s">
        <v>375</v>
      </c>
      <c r="H3196" t="s">
        <v>5</v>
      </c>
      <c r="I3196">
        <f>HLOOKUP(G3196,zip_tiers!$A$1:$EON$2,2,FALSE)</f>
        <v>59176</v>
      </c>
      <c r="J3196" t="str">
        <f t="shared" si="49"/>
        <v>Med</v>
      </c>
      <c r="K3196">
        <f>dataset[[#This Row],[soda_sales]]/dataset[[#This Row],[soda_units_sold]]</f>
        <v>0.67855913725742245</v>
      </c>
      <c r="L3196" s="29">
        <f>dataset[[#This Row],[implied_soda_ppu]]-dataset[[#This Row],[soda_ppu]]</f>
        <v>-4.0862742577529865E-5</v>
      </c>
      <c r="M3196">
        <f>dataset[[#This Row],[soda_sales]]/dataset[[#This Row],[total_sales]]</f>
        <v>6.6531577370363276E-2</v>
      </c>
      <c r="N3196">
        <f>LN(dataset[[#This Row],[soda_units_sold]])</f>
        <v>12.291410539694871</v>
      </c>
      <c r="O3196">
        <f>LN(dataset[[#This Row],[soda_sales]])</f>
        <v>11.903626895006679</v>
      </c>
      <c r="P3196">
        <f>LN(dataset[[#This Row],[soda_ppu]])</f>
        <v>-0.38772342663200732</v>
      </c>
      <c r="Q3196">
        <f>IF(dataset[[#This Row],[state]]="VA",1,0)</f>
        <v>0</v>
      </c>
    </row>
    <row r="3197" spans="1:17" x14ac:dyDescent="0.35">
      <c r="A3197">
        <v>202404</v>
      </c>
      <c r="B3197">
        <v>86</v>
      </c>
      <c r="C3197" s="2">
        <v>2331588.8717999998</v>
      </c>
      <c r="D3197" s="2">
        <v>0.68010000000000004</v>
      </c>
      <c r="E3197" s="3">
        <v>253195</v>
      </c>
      <c r="F3197" s="2">
        <v>172186.62169999999</v>
      </c>
      <c r="G3197" t="s">
        <v>375</v>
      </c>
      <c r="H3197" t="s">
        <v>5</v>
      </c>
      <c r="I3197">
        <f>HLOOKUP(G3197,zip_tiers!$A$1:$EON$2,2,FALSE)</f>
        <v>59176</v>
      </c>
      <c r="J3197" t="str">
        <f t="shared" si="49"/>
        <v>Med</v>
      </c>
      <c r="K3197">
        <f>dataset[[#This Row],[soda_sales]]/dataset[[#This Row],[soda_units_sold]]</f>
        <v>0.68005537905566849</v>
      </c>
      <c r="L3197" s="29">
        <f>dataset[[#This Row],[implied_soda_ppu]]-dataset[[#This Row],[soda_ppu]]</f>
        <v>-4.4620944331552614E-5</v>
      </c>
      <c r="M3197">
        <f>dataset[[#This Row],[soda_sales]]/dataset[[#This Row],[total_sales]]</f>
        <v>7.3849478260320803E-2</v>
      </c>
      <c r="N3197">
        <f>LN(dataset[[#This Row],[soda_units_sold]])</f>
        <v>12.441915221821793</v>
      </c>
      <c r="O3197">
        <f>LN(dataset[[#This Row],[soda_sales]])</f>
        <v>12.056334177481515</v>
      </c>
      <c r="P3197">
        <f>LN(dataset[[#This Row],[soda_ppu]])</f>
        <v>-0.38551543280054401</v>
      </c>
      <c r="Q3197">
        <f>IF(dataset[[#This Row],[state]]="VA",1,0)</f>
        <v>0</v>
      </c>
    </row>
    <row r="3198" spans="1:17" x14ac:dyDescent="0.35">
      <c r="A3198">
        <v>202405</v>
      </c>
      <c r="B3198">
        <v>86</v>
      </c>
      <c r="C3198" s="2">
        <v>2514318.1900999998</v>
      </c>
      <c r="D3198" s="2">
        <v>0.67600000000000005</v>
      </c>
      <c r="E3198" s="3">
        <v>289059</v>
      </c>
      <c r="F3198" s="2">
        <v>195413.30929999999</v>
      </c>
      <c r="G3198" t="s">
        <v>375</v>
      </c>
      <c r="H3198" t="s">
        <v>5</v>
      </c>
      <c r="I3198">
        <f>HLOOKUP(G3198,zip_tiers!$A$1:$EON$2,2,FALSE)</f>
        <v>59176</v>
      </c>
      <c r="J3198" t="str">
        <f t="shared" si="49"/>
        <v>Med</v>
      </c>
      <c r="K3198">
        <f>dataset[[#This Row],[soda_sales]]/dataset[[#This Row],[soda_units_sold]]</f>
        <v>0.67603260683805033</v>
      </c>
      <c r="L3198" s="29">
        <f>dataset[[#This Row],[implied_soda_ppu]]-dataset[[#This Row],[soda_ppu]]</f>
        <v>3.2606838050286413E-5</v>
      </c>
      <c r="M3198">
        <f>dataset[[#This Row],[soda_sales]]/dataset[[#This Row],[total_sales]]</f>
        <v>7.7720198688228867E-2</v>
      </c>
      <c r="N3198">
        <f>LN(dataset[[#This Row],[soda_units_sold]])</f>
        <v>12.574386098507469</v>
      </c>
      <c r="O3198">
        <f>LN(dataset[[#This Row],[soda_sales]])</f>
        <v>12.182872129372559</v>
      </c>
      <c r="P3198">
        <f>LN(dataset[[#This Row],[soda_ppu]])</f>
        <v>-0.39156220293917288</v>
      </c>
      <c r="Q3198">
        <f>IF(dataset[[#This Row],[state]]="VA",1,0)</f>
        <v>0</v>
      </c>
    </row>
    <row r="3199" spans="1:17" x14ac:dyDescent="0.35">
      <c r="A3199">
        <v>202406</v>
      </c>
      <c r="B3199">
        <v>86</v>
      </c>
      <c r="C3199" s="2">
        <v>2399657.5476000002</v>
      </c>
      <c r="D3199" s="2">
        <v>0.68079999999999996</v>
      </c>
      <c r="E3199" s="3">
        <v>298721</v>
      </c>
      <c r="F3199" s="2">
        <v>203369.65729999999</v>
      </c>
      <c r="G3199" t="s">
        <v>375</v>
      </c>
      <c r="H3199" t="s">
        <v>5</v>
      </c>
      <c r="I3199">
        <f>HLOOKUP(G3199,zip_tiers!$A$1:$EON$2,2,FALSE)</f>
        <v>59176</v>
      </c>
      <c r="J3199" t="str">
        <f t="shared" si="49"/>
        <v>Med</v>
      </c>
      <c r="K3199">
        <f>dataset[[#This Row],[soda_sales]]/dataset[[#This Row],[soda_units_sold]]</f>
        <v>0.6808013407159188</v>
      </c>
      <c r="L3199" s="29">
        <f>dataset[[#This Row],[implied_soda_ppu]]-dataset[[#This Row],[soda_ppu]]</f>
        <v>1.3407159188405515E-6</v>
      </c>
      <c r="M3199">
        <f>dataset[[#This Row],[soda_sales]]/dataset[[#This Row],[total_sales]]</f>
        <v>8.4749449980226821E-2</v>
      </c>
      <c r="N3199">
        <f>LN(dataset[[#This Row],[soda_units_sold]])</f>
        <v>12.607265306386443</v>
      </c>
      <c r="O3199">
        <f>LN(dataset[[#This Row],[soda_sales]])</f>
        <v>12.222780573985737</v>
      </c>
      <c r="P3199">
        <f>LN(dataset[[#This Row],[soda_ppu]])</f>
        <v>-0.38448670172297272</v>
      </c>
      <c r="Q3199">
        <f>IF(dataset[[#This Row],[state]]="VA",1,0)</f>
        <v>0</v>
      </c>
    </row>
    <row r="3200" spans="1:17" x14ac:dyDescent="0.35">
      <c r="A3200">
        <v>202407</v>
      </c>
      <c r="B3200">
        <v>86</v>
      </c>
      <c r="C3200" s="2">
        <v>2237552.7453000001</v>
      </c>
      <c r="D3200" s="2">
        <v>0.70689999999999997</v>
      </c>
      <c r="E3200" s="3">
        <v>292690</v>
      </c>
      <c r="F3200" s="2">
        <v>206898.56570000001</v>
      </c>
      <c r="G3200" t="s">
        <v>375</v>
      </c>
      <c r="H3200" t="s">
        <v>5</v>
      </c>
      <c r="I3200">
        <f>HLOOKUP(G3200,zip_tiers!$A$1:$EON$2,2,FALSE)</f>
        <v>59176</v>
      </c>
      <c r="J3200" t="str">
        <f t="shared" si="49"/>
        <v>Med</v>
      </c>
      <c r="K3200">
        <f>dataset[[#This Row],[soda_sales]]/dataset[[#This Row],[soda_units_sold]]</f>
        <v>0.7068863497215484</v>
      </c>
      <c r="L3200" s="29">
        <f>dataset[[#This Row],[implied_soda_ppu]]-dataset[[#This Row],[soda_ppu]]</f>
        <v>-1.3650278451571296E-5</v>
      </c>
      <c r="M3200">
        <f>dataset[[#This Row],[soda_sales]]/dataset[[#This Row],[total_sales]]</f>
        <v>9.2466452973943222E-2</v>
      </c>
      <c r="N3200">
        <f>LN(dataset[[#This Row],[soda_units_sold]])</f>
        <v>12.586869307422624</v>
      </c>
      <c r="O3200">
        <f>LN(dataset[[#This Row],[soda_sales]])</f>
        <v>12.239983931375145</v>
      </c>
      <c r="P3200">
        <f>LN(dataset[[#This Row],[soda_ppu]])</f>
        <v>-0.34686606580522872</v>
      </c>
      <c r="Q3200">
        <f>IF(dataset[[#This Row],[state]]="VA",1,0)</f>
        <v>0</v>
      </c>
    </row>
    <row r="3201" spans="1:17" x14ac:dyDescent="0.35">
      <c r="A3201">
        <v>202408</v>
      </c>
      <c r="B3201">
        <v>86</v>
      </c>
      <c r="C3201" s="2">
        <v>2176854.1255000001</v>
      </c>
      <c r="D3201" s="2">
        <v>0.67689999999999995</v>
      </c>
      <c r="E3201" s="3">
        <v>271971</v>
      </c>
      <c r="F3201" s="2">
        <v>184101.2844</v>
      </c>
      <c r="G3201" t="s">
        <v>375</v>
      </c>
      <c r="H3201" t="s">
        <v>5</v>
      </c>
      <c r="I3201">
        <f>HLOOKUP(G3201,zip_tiers!$A$1:$EON$2,2,FALSE)</f>
        <v>59176</v>
      </c>
      <c r="J3201" t="str">
        <f t="shared" si="49"/>
        <v>Med</v>
      </c>
      <c r="K3201">
        <f>dataset[[#This Row],[soda_sales]]/dataset[[#This Row],[soda_units_sold]]</f>
        <v>0.67691512845119517</v>
      </c>
      <c r="L3201" s="29">
        <f>dataset[[#This Row],[implied_soda_ppu]]-dataset[[#This Row],[soda_ppu]]</f>
        <v>1.5128451195223214E-5</v>
      </c>
      <c r="M3201">
        <f>dataset[[#This Row],[soda_sales]]/dataset[[#This Row],[total_sales]]</f>
        <v>8.4572173322690569E-2</v>
      </c>
      <c r="N3201">
        <f>LN(dataset[[#This Row],[soda_units_sold]])</f>
        <v>12.513450721947009</v>
      </c>
      <c r="O3201">
        <f>LN(dataset[[#This Row],[soda_sales]])</f>
        <v>12.123241343839961</v>
      </c>
      <c r="P3201">
        <f>LN(dataset[[#This Row],[soda_ppu]])</f>
        <v>-0.39023172746757517</v>
      </c>
      <c r="Q3201">
        <f>IF(dataset[[#This Row],[state]]="VA",1,0)</f>
        <v>0</v>
      </c>
    </row>
    <row r="3202" spans="1:17" x14ac:dyDescent="0.35">
      <c r="A3202">
        <v>202409</v>
      </c>
      <c r="B3202">
        <v>86</v>
      </c>
      <c r="C3202" s="2">
        <v>2136833.0432000002</v>
      </c>
      <c r="D3202" s="2">
        <v>0.67730000000000001</v>
      </c>
      <c r="E3202" s="3">
        <v>257147</v>
      </c>
      <c r="F3202" s="2">
        <v>174168.9522</v>
      </c>
      <c r="G3202" t="s">
        <v>375</v>
      </c>
      <c r="H3202" t="s">
        <v>5</v>
      </c>
      <c r="I3202">
        <f>HLOOKUP(G3202,zip_tiers!$A$1:$EON$2,2,FALSE)</f>
        <v>59176</v>
      </c>
      <c r="J3202" t="str">
        <f t="shared" ref="J3202:J3265" si="50">IF(I3202="","No Data",IF(I3202&gt;=100000,"High",IF(I3202&gt;=40000,"Med","Low")))</f>
        <v>Med</v>
      </c>
      <c r="K3202">
        <f>dataset[[#This Row],[soda_sales]]/dataset[[#This Row],[soda_units_sold]]</f>
        <v>0.67731279073837147</v>
      </c>
      <c r="L3202" s="29">
        <f>dataset[[#This Row],[implied_soda_ppu]]-dataset[[#This Row],[soda_ppu]]</f>
        <v>1.2790738371459831E-5</v>
      </c>
      <c r="M3202">
        <f>dataset[[#This Row],[soda_sales]]/dataset[[#This Row],[total_sales]]</f>
        <v>8.1507983393580646E-2</v>
      </c>
      <c r="N3202">
        <f>LN(dataset[[#This Row],[soda_units_sold]])</f>
        <v>12.457403184792408</v>
      </c>
      <c r="O3202">
        <f>LN(dataset[[#This Row],[soda_sales]])</f>
        <v>12.067781096746318</v>
      </c>
      <c r="P3202">
        <f>LN(dataset[[#This Row],[soda_ppu]])</f>
        <v>-0.38964097276127907</v>
      </c>
      <c r="Q3202">
        <f>IF(dataset[[#This Row],[state]]="VA",1,0)</f>
        <v>0</v>
      </c>
    </row>
    <row r="3203" spans="1:17" x14ac:dyDescent="0.35">
      <c r="A3203">
        <v>202410</v>
      </c>
      <c r="B3203">
        <v>86</v>
      </c>
      <c r="C3203" s="2">
        <v>2622576.7083000001</v>
      </c>
      <c r="D3203" s="2">
        <v>0.71279999999999999</v>
      </c>
      <c r="E3203" s="3">
        <v>234689</v>
      </c>
      <c r="F3203" s="2">
        <v>167280.17439999999</v>
      </c>
      <c r="G3203" t="s">
        <v>375</v>
      </c>
      <c r="H3203" t="s">
        <v>5</v>
      </c>
      <c r="I3203">
        <f>HLOOKUP(G3203,zip_tiers!$A$1:$EON$2,2,FALSE)</f>
        <v>59176</v>
      </c>
      <c r="J3203" t="str">
        <f t="shared" si="50"/>
        <v>Med</v>
      </c>
      <c r="K3203">
        <f>dataset[[#This Row],[soda_sales]]/dataset[[#This Row],[soda_units_sold]]</f>
        <v>0.71277381726455002</v>
      </c>
      <c r="L3203" s="29">
        <f>dataset[[#This Row],[implied_soda_ppu]]-dataset[[#This Row],[soda_ppu]]</f>
        <v>-2.6182735449964412E-5</v>
      </c>
      <c r="M3203">
        <f>dataset[[#This Row],[soda_sales]]/dataset[[#This Row],[total_sales]]</f>
        <v>6.3784664094128224E-2</v>
      </c>
      <c r="N3203">
        <f>LN(dataset[[#This Row],[soda_units_sold]])</f>
        <v>12.366016512398195</v>
      </c>
      <c r="O3203">
        <f>LN(dataset[[#This Row],[soda_sales]])</f>
        <v>12.027425376665338</v>
      </c>
      <c r="P3203">
        <f>LN(dataset[[#This Row],[soda_ppu]])</f>
        <v>-0.3385544028255375</v>
      </c>
      <c r="Q3203">
        <f>IF(dataset[[#This Row],[state]]="VA",1,0)</f>
        <v>0</v>
      </c>
    </row>
    <row r="3204" spans="1:17" x14ac:dyDescent="0.35">
      <c r="A3204">
        <v>202411</v>
      </c>
      <c r="B3204">
        <v>86</v>
      </c>
      <c r="C3204" s="2">
        <v>3023736.2398999999</v>
      </c>
      <c r="D3204" s="2">
        <v>0.69110000000000005</v>
      </c>
      <c r="E3204" s="3">
        <v>229927</v>
      </c>
      <c r="F3204" s="2">
        <v>158893.7015</v>
      </c>
      <c r="G3204" t="s">
        <v>375</v>
      </c>
      <c r="H3204" t="s">
        <v>5</v>
      </c>
      <c r="I3204">
        <f>HLOOKUP(G3204,zip_tiers!$A$1:$EON$2,2,FALSE)</f>
        <v>59176</v>
      </c>
      <c r="J3204" t="str">
        <f t="shared" si="50"/>
        <v>Med</v>
      </c>
      <c r="K3204">
        <f>dataset[[#This Row],[soda_sales]]/dataset[[#This Row],[soda_units_sold]]</f>
        <v>0.69106151735115928</v>
      </c>
      <c r="L3204" s="29">
        <f>dataset[[#This Row],[implied_soda_ppu]]-dataset[[#This Row],[soda_ppu]]</f>
        <v>-3.8482648840765243E-5</v>
      </c>
      <c r="M3204">
        <f>dataset[[#This Row],[soda_sales]]/dataset[[#This Row],[total_sales]]</f>
        <v>5.2548796883571725E-2</v>
      </c>
      <c r="N3204">
        <f>LN(dataset[[#This Row],[soda_units_sold]])</f>
        <v>12.345517146221704</v>
      </c>
      <c r="O3204">
        <f>LN(dataset[[#This Row],[soda_sales]])</f>
        <v>11.975990713602002</v>
      </c>
      <c r="P3204">
        <f>LN(dataset[[#This Row],[soda_ppu]])</f>
        <v>-0.36947074788478834</v>
      </c>
      <c r="Q3204">
        <f>IF(dataset[[#This Row],[state]]="VA",1,0)</f>
        <v>0</v>
      </c>
    </row>
    <row r="3205" spans="1:17" x14ac:dyDescent="0.35">
      <c r="A3205">
        <v>202412</v>
      </c>
      <c r="B3205">
        <v>86</v>
      </c>
      <c r="C3205" s="2">
        <v>3175619.6929000001</v>
      </c>
      <c r="D3205" s="2">
        <v>0.68559999999999999</v>
      </c>
      <c r="E3205" s="3">
        <v>230445</v>
      </c>
      <c r="F3205" s="2">
        <v>157994.4442</v>
      </c>
      <c r="G3205" t="s">
        <v>375</v>
      </c>
      <c r="H3205" t="s">
        <v>5</v>
      </c>
      <c r="I3205">
        <f>HLOOKUP(G3205,zip_tiers!$A$1:$EON$2,2,FALSE)</f>
        <v>59176</v>
      </c>
      <c r="J3205" t="str">
        <f t="shared" si="50"/>
        <v>Med</v>
      </c>
      <c r="K3205">
        <f>dataset[[#This Row],[soda_sales]]/dataset[[#This Row],[soda_units_sold]]</f>
        <v>0.68560586777756083</v>
      </c>
      <c r="L3205" s="29">
        <f>dataset[[#This Row],[implied_soda_ppu]]-dataset[[#This Row],[soda_ppu]]</f>
        <v>5.8677775608417804E-6</v>
      </c>
      <c r="M3205">
        <f>dataset[[#This Row],[soda_sales]]/dataset[[#This Row],[total_sales]]</f>
        <v>4.9752319068067707E-2</v>
      </c>
      <c r="N3205">
        <f>LN(dataset[[#This Row],[soda_units_sold]])</f>
        <v>12.34776750123287</v>
      </c>
      <c r="O3205">
        <f>LN(dataset[[#This Row],[soda_sales]])</f>
        <v>11.970315148099722</v>
      </c>
      <c r="P3205">
        <f>LN(dataset[[#This Row],[soda_ppu]])</f>
        <v>-0.37746091169856705</v>
      </c>
      <c r="Q3205">
        <f>IF(dataset[[#This Row],[state]]="VA",1,0)</f>
        <v>0</v>
      </c>
    </row>
    <row r="3206" spans="1:17" x14ac:dyDescent="0.35">
      <c r="A3206">
        <v>202201</v>
      </c>
      <c r="B3206">
        <v>13</v>
      </c>
      <c r="C3206" s="2">
        <v>1650728.5475000001</v>
      </c>
      <c r="D3206" s="2">
        <v>0.62749999999999995</v>
      </c>
      <c r="E3206" s="3">
        <v>169616</v>
      </c>
      <c r="F3206" s="2">
        <v>106430.6796</v>
      </c>
      <c r="G3206" t="s">
        <v>426</v>
      </c>
      <c r="H3206" t="s">
        <v>5</v>
      </c>
      <c r="I3206">
        <f>HLOOKUP(G3206,zip_tiers!$A$1:$EON$2,2,FALSE)</f>
        <v>58271.666666666664</v>
      </c>
      <c r="J3206" t="str">
        <f t="shared" si="50"/>
        <v>Med</v>
      </c>
      <c r="K3206">
        <f>dataset[[#This Row],[soda_sales]]/dataset[[#This Row],[soda_units_sold]]</f>
        <v>0.62748018818979345</v>
      </c>
      <c r="L3206" s="29">
        <f>dataset[[#This Row],[implied_soda_ppu]]-dataset[[#This Row],[soda_ppu]]</f>
        <v>-1.9811810206493696E-5</v>
      </c>
      <c r="M3206">
        <f>dataset[[#This Row],[soda_sales]]/dataset[[#This Row],[total_sales]]</f>
        <v>6.4474973647961342E-2</v>
      </c>
      <c r="N3206">
        <f>LN(dataset[[#This Row],[soda_units_sold]])</f>
        <v>12.041292337512878</v>
      </c>
      <c r="O3206">
        <f>LN(dataset[[#This Row],[soda_sales]])</f>
        <v>11.575249156432349</v>
      </c>
      <c r="P3206">
        <f>LN(dataset[[#This Row],[soda_ppu]])</f>
        <v>-0.46601160797619817</v>
      </c>
      <c r="Q3206">
        <f>IF(dataset[[#This Row],[state]]="VA",1,0)</f>
        <v>0</v>
      </c>
    </row>
    <row r="3207" spans="1:17" x14ac:dyDescent="0.35">
      <c r="A3207">
        <v>202202</v>
      </c>
      <c r="B3207">
        <v>13</v>
      </c>
      <c r="C3207" s="2">
        <v>1884325.9342</v>
      </c>
      <c r="D3207" s="2">
        <v>0.63139999999999996</v>
      </c>
      <c r="E3207" s="3">
        <v>187176</v>
      </c>
      <c r="F3207" s="2">
        <v>118177.2206</v>
      </c>
      <c r="G3207" t="s">
        <v>426</v>
      </c>
      <c r="H3207" t="s">
        <v>5</v>
      </c>
      <c r="I3207">
        <f>HLOOKUP(G3207,zip_tiers!$A$1:$EON$2,2,FALSE)</f>
        <v>58271.666666666664</v>
      </c>
      <c r="J3207" t="str">
        <f t="shared" si="50"/>
        <v>Med</v>
      </c>
      <c r="K3207">
        <f>dataset[[#This Row],[soda_sales]]/dataset[[#This Row],[soda_units_sold]]</f>
        <v>0.63136951639099026</v>
      </c>
      <c r="L3207" s="29">
        <f>dataset[[#This Row],[implied_soda_ppu]]-dataset[[#This Row],[soda_ppu]]</f>
        <v>-3.0483609009701595E-5</v>
      </c>
      <c r="M3207">
        <f>dataset[[#This Row],[soda_sales]]/dataset[[#This Row],[total_sales]]</f>
        <v>6.2715912600424265E-2</v>
      </c>
      <c r="N3207">
        <f>LN(dataset[[#This Row],[soda_units_sold]])</f>
        <v>12.139804629678444</v>
      </c>
      <c r="O3207">
        <f>LN(dataset[[#This Row],[soda_sales]])</f>
        <v>11.679940646261283</v>
      </c>
      <c r="P3207">
        <f>LN(dataset[[#This Row],[soda_ppu]])</f>
        <v>-0.45981570285824586</v>
      </c>
      <c r="Q3207">
        <f>IF(dataset[[#This Row],[state]]="VA",1,0)</f>
        <v>0</v>
      </c>
    </row>
    <row r="3208" spans="1:17" x14ac:dyDescent="0.35">
      <c r="A3208">
        <v>202203</v>
      </c>
      <c r="B3208">
        <v>13</v>
      </c>
      <c r="C3208" s="2">
        <v>2122581.7102000001</v>
      </c>
      <c r="D3208" s="2">
        <v>0.62729999999999997</v>
      </c>
      <c r="E3208" s="3">
        <v>222997</v>
      </c>
      <c r="F3208" s="2">
        <v>139882.61050000001</v>
      </c>
      <c r="G3208" t="s">
        <v>426</v>
      </c>
      <c r="H3208" t="s">
        <v>5</v>
      </c>
      <c r="I3208">
        <f>HLOOKUP(G3208,zip_tiers!$A$1:$EON$2,2,FALSE)</f>
        <v>58271.666666666664</v>
      </c>
      <c r="J3208" t="str">
        <f t="shared" si="50"/>
        <v>Med</v>
      </c>
      <c r="K3208">
        <f>dataset[[#This Row],[soda_sales]]/dataset[[#This Row],[soda_units_sold]]</f>
        <v>0.62728471907693828</v>
      </c>
      <c r="L3208" s="29">
        <f>dataset[[#This Row],[implied_soda_ppu]]-dataset[[#This Row],[soda_ppu]]</f>
        <v>-1.5280923061689045E-5</v>
      </c>
      <c r="M3208">
        <f>dataset[[#This Row],[soda_sales]]/dataset[[#This Row],[total_sales]]</f>
        <v>6.5902108657489369E-2</v>
      </c>
      <c r="N3208">
        <f>LN(dataset[[#This Row],[soda_units_sold]])</f>
        <v>12.314913597436966</v>
      </c>
      <c r="O3208">
        <f>LN(dataset[[#This Row],[soda_sales]])</f>
        <v>11.848558853428107</v>
      </c>
      <c r="P3208">
        <f>LN(dataset[[#This Row],[soda_ppu]])</f>
        <v>-0.46633038387943954</v>
      </c>
      <c r="Q3208">
        <f>IF(dataset[[#This Row],[state]]="VA",1,0)</f>
        <v>0</v>
      </c>
    </row>
    <row r="3209" spans="1:17" x14ac:dyDescent="0.35">
      <c r="A3209">
        <v>202204</v>
      </c>
      <c r="B3209">
        <v>13</v>
      </c>
      <c r="C3209" s="2">
        <v>2212942.2296000002</v>
      </c>
      <c r="D3209" s="2">
        <v>0.62429999999999997</v>
      </c>
      <c r="E3209" s="3">
        <v>262237</v>
      </c>
      <c r="F3209" s="2">
        <v>163725.541</v>
      </c>
      <c r="G3209" t="s">
        <v>426</v>
      </c>
      <c r="H3209" t="s">
        <v>5</v>
      </c>
      <c r="I3209">
        <f>HLOOKUP(G3209,zip_tiers!$A$1:$EON$2,2,FALSE)</f>
        <v>58271.666666666664</v>
      </c>
      <c r="J3209" t="str">
        <f t="shared" si="50"/>
        <v>Med</v>
      </c>
      <c r="K3209">
        <f>dataset[[#This Row],[soda_sales]]/dataset[[#This Row],[soda_units_sold]]</f>
        <v>0.62434187776705807</v>
      </c>
      <c r="L3209" s="29">
        <f>dataset[[#This Row],[implied_soda_ppu]]-dataset[[#This Row],[soda_ppu]]</f>
        <v>4.1877767058107196E-5</v>
      </c>
      <c r="M3209">
        <f>dataset[[#This Row],[soda_sales]]/dataset[[#This Row],[total_sales]]</f>
        <v>7.3985456470589461E-2</v>
      </c>
      <c r="N3209">
        <f>LN(dataset[[#This Row],[soda_units_sold]])</f>
        <v>12.477003954009842</v>
      </c>
      <c r="O3209">
        <f>LN(dataset[[#This Row],[soda_sales]])</f>
        <v>12.005946774402066</v>
      </c>
      <c r="P3209">
        <f>LN(dataset[[#This Row],[soda_ppu]])</f>
        <v>-0.47112425691443865</v>
      </c>
      <c r="Q3209">
        <f>IF(dataset[[#This Row],[state]]="VA",1,0)</f>
        <v>0</v>
      </c>
    </row>
    <row r="3210" spans="1:17" x14ac:dyDescent="0.35">
      <c r="A3210">
        <v>202205</v>
      </c>
      <c r="B3210">
        <v>13</v>
      </c>
      <c r="C3210" s="2">
        <v>2321619.0970000001</v>
      </c>
      <c r="D3210" s="2">
        <v>0.63329999999999997</v>
      </c>
      <c r="E3210" s="3">
        <v>281878</v>
      </c>
      <c r="F3210" s="2">
        <v>178521.59210000001</v>
      </c>
      <c r="G3210" t="s">
        <v>426</v>
      </c>
      <c r="H3210" t="s">
        <v>5</v>
      </c>
      <c r="I3210">
        <f>HLOOKUP(G3210,zip_tiers!$A$1:$EON$2,2,FALSE)</f>
        <v>58271.666666666664</v>
      </c>
      <c r="J3210" t="str">
        <f t="shared" si="50"/>
        <v>Med</v>
      </c>
      <c r="K3210">
        <f>dataset[[#This Row],[soda_sales]]/dataset[[#This Row],[soda_units_sold]]</f>
        <v>0.63332928465506355</v>
      </c>
      <c r="L3210" s="29">
        <f>dataset[[#This Row],[implied_soda_ppu]]-dataset[[#This Row],[soda_ppu]]</f>
        <v>2.9284655063577247E-5</v>
      </c>
      <c r="M3210">
        <f>dataset[[#This Row],[soda_sales]]/dataset[[#This Row],[total_sales]]</f>
        <v>7.6895297911137056E-2</v>
      </c>
      <c r="N3210">
        <f>LN(dataset[[#This Row],[soda_units_sold]])</f>
        <v>12.549229632197964</v>
      </c>
      <c r="O3210">
        <f>LN(dataset[[#This Row],[soda_sales]])</f>
        <v>12.092464837031917</v>
      </c>
      <c r="P3210">
        <f>LN(dataset[[#This Row],[soda_ppu]])</f>
        <v>-0.45681103545975249</v>
      </c>
      <c r="Q3210">
        <f>IF(dataset[[#This Row],[state]]="VA",1,0)</f>
        <v>0</v>
      </c>
    </row>
    <row r="3211" spans="1:17" x14ac:dyDescent="0.35">
      <c r="A3211">
        <v>202206</v>
      </c>
      <c r="B3211">
        <v>13</v>
      </c>
      <c r="C3211" s="2">
        <v>2176319.8944000001</v>
      </c>
      <c r="D3211" s="2">
        <v>0.61699999999999999</v>
      </c>
      <c r="E3211" s="3">
        <v>293980</v>
      </c>
      <c r="F3211" s="2">
        <v>181373.3235</v>
      </c>
      <c r="G3211" t="s">
        <v>426</v>
      </c>
      <c r="H3211" t="s">
        <v>5</v>
      </c>
      <c r="I3211">
        <f>HLOOKUP(G3211,zip_tiers!$A$1:$EON$2,2,FALSE)</f>
        <v>58271.666666666664</v>
      </c>
      <c r="J3211" t="str">
        <f t="shared" si="50"/>
        <v>Med</v>
      </c>
      <c r="K3211">
        <f>dataset[[#This Row],[soda_sales]]/dataset[[#This Row],[soda_units_sold]]</f>
        <v>0.61695803626097012</v>
      </c>
      <c r="L3211" s="29">
        <f>dataset[[#This Row],[implied_soda_ppu]]-dataset[[#This Row],[soda_ppu]]</f>
        <v>-4.196373902987105E-5</v>
      </c>
      <c r="M3211">
        <f>dataset[[#This Row],[soda_sales]]/dataset[[#This Row],[total_sales]]</f>
        <v>8.3339459408840105E-2</v>
      </c>
      <c r="N3211">
        <f>LN(dataset[[#This Row],[soda_units_sold]])</f>
        <v>12.591267016795978</v>
      </c>
      <c r="O3211">
        <f>LN(dataset[[#This Row],[soda_sales]])</f>
        <v>12.108312746863273</v>
      </c>
      <c r="P3211">
        <f>LN(dataset[[#This Row],[soda_ppu]])</f>
        <v>-0.48288625507674926</v>
      </c>
      <c r="Q3211">
        <f>IF(dataset[[#This Row],[state]]="VA",1,0)</f>
        <v>0</v>
      </c>
    </row>
    <row r="3212" spans="1:17" x14ac:dyDescent="0.35">
      <c r="A3212">
        <v>202207</v>
      </c>
      <c r="B3212">
        <v>13</v>
      </c>
      <c r="C3212" s="2">
        <v>2109451.0709000002</v>
      </c>
      <c r="D3212" s="2">
        <v>0.64539999999999997</v>
      </c>
      <c r="E3212" s="3">
        <v>294774</v>
      </c>
      <c r="F3212" s="2">
        <v>190232.93530000001</v>
      </c>
      <c r="G3212" t="s">
        <v>426</v>
      </c>
      <c r="H3212" t="s">
        <v>5</v>
      </c>
      <c r="I3212">
        <f>HLOOKUP(G3212,zip_tiers!$A$1:$EON$2,2,FALSE)</f>
        <v>58271.666666666664</v>
      </c>
      <c r="J3212" t="str">
        <f t="shared" si="50"/>
        <v>Med</v>
      </c>
      <c r="K3212">
        <f>dataset[[#This Row],[soda_sales]]/dataset[[#This Row],[soda_units_sold]]</f>
        <v>0.64535181291430044</v>
      </c>
      <c r="L3212" s="29">
        <f>dataset[[#This Row],[implied_soda_ppu]]-dataset[[#This Row],[soda_ppu]]</f>
        <v>-4.8187085699535892E-5</v>
      </c>
      <c r="M3212">
        <f>dataset[[#This Row],[soda_sales]]/dataset[[#This Row],[total_sales]]</f>
        <v>9.0181250432529295E-2</v>
      </c>
      <c r="N3212">
        <f>LN(dataset[[#This Row],[soda_units_sold]])</f>
        <v>12.593964240021174</v>
      </c>
      <c r="O3212">
        <f>LN(dataset[[#This Row],[soda_sales]])</f>
        <v>12.156004575511764</v>
      </c>
      <c r="P3212">
        <f>LN(dataset[[#This Row],[soda_ppu]])</f>
        <v>-0.43788499936427566</v>
      </c>
      <c r="Q3212">
        <f>IF(dataset[[#This Row],[state]]="VA",1,0)</f>
        <v>0</v>
      </c>
    </row>
    <row r="3213" spans="1:17" x14ac:dyDescent="0.35">
      <c r="A3213">
        <v>202208</v>
      </c>
      <c r="B3213">
        <v>13</v>
      </c>
      <c r="C3213" s="2">
        <v>2035375.7503</v>
      </c>
      <c r="D3213" s="2">
        <v>0.63439999999999996</v>
      </c>
      <c r="E3213" s="3">
        <v>269126</v>
      </c>
      <c r="F3213" s="2">
        <v>170732.5159</v>
      </c>
      <c r="G3213" t="s">
        <v>426</v>
      </c>
      <c r="H3213" t="s">
        <v>5</v>
      </c>
      <c r="I3213">
        <f>HLOOKUP(G3213,zip_tiers!$A$1:$EON$2,2,FALSE)</f>
        <v>58271.666666666664</v>
      </c>
      <c r="J3213" t="str">
        <f t="shared" si="50"/>
        <v>Med</v>
      </c>
      <c r="K3213">
        <f>dataset[[#This Row],[soda_sales]]/dataset[[#This Row],[soda_units_sold]]</f>
        <v>0.63439621552729952</v>
      </c>
      <c r="L3213" s="29">
        <f>dataset[[#This Row],[implied_soda_ppu]]-dataset[[#This Row],[soda_ppu]]</f>
        <v>-3.7844727004410217E-6</v>
      </c>
      <c r="M3213">
        <f>dataset[[#This Row],[soda_sales]]/dataset[[#This Row],[total_sales]]</f>
        <v>8.3882553810929128E-2</v>
      </c>
      <c r="N3213">
        <f>LN(dataset[[#This Row],[soda_units_sold]])</f>
        <v>12.502934950405232</v>
      </c>
      <c r="O3213">
        <f>LN(dataset[[#This Row],[soda_sales]])</f>
        <v>12.04785337628978</v>
      </c>
      <c r="P3213">
        <f>LN(dataset[[#This Row],[soda_ppu]])</f>
        <v>-0.45507560866149888</v>
      </c>
      <c r="Q3213">
        <f>IF(dataset[[#This Row],[state]]="VA",1,0)</f>
        <v>0</v>
      </c>
    </row>
    <row r="3214" spans="1:17" x14ac:dyDescent="0.35">
      <c r="A3214">
        <v>202209</v>
      </c>
      <c r="B3214">
        <v>13</v>
      </c>
      <c r="C3214" s="2">
        <v>2017341.0996999999</v>
      </c>
      <c r="D3214" s="2">
        <v>0.62670000000000003</v>
      </c>
      <c r="E3214" s="3">
        <v>257195</v>
      </c>
      <c r="F3214" s="2">
        <v>161178.2929</v>
      </c>
      <c r="G3214" t="s">
        <v>426</v>
      </c>
      <c r="H3214" t="s">
        <v>5</v>
      </c>
      <c r="I3214">
        <f>HLOOKUP(G3214,zip_tiers!$A$1:$EON$2,2,FALSE)</f>
        <v>58271.666666666664</v>
      </c>
      <c r="J3214" t="str">
        <f t="shared" si="50"/>
        <v>Med</v>
      </c>
      <c r="K3214">
        <f>dataset[[#This Row],[soda_sales]]/dataset[[#This Row],[soda_units_sold]]</f>
        <v>0.62667739613911622</v>
      </c>
      <c r="L3214" s="29">
        <f>dataset[[#This Row],[implied_soda_ppu]]-dataset[[#This Row],[soda_ppu]]</f>
        <v>-2.2603860883818605E-5</v>
      </c>
      <c r="M3214">
        <f>dataset[[#This Row],[soda_sales]]/dataset[[#This Row],[total_sales]]</f>
        <v>7.9896400724681085E-2</v>
      </c>
      <c r="N3214">
        <f>LN(dataset[[#This Row],[soda_units_sold]])</f>
        <v>12.457589831032223</v>
      </c>
      <c r="O3214">
        <f>LN(dataset[[#This Row],[soda_sales]])</f>
        <v>11.99026644055799</v>
      </c>
      <c r="P3214">
        <f>LN(dataset[[#This Row],[soda_ppu]])</f>
        <v>-0.46728732175150722</v>
      </c>
      <c r="Q3214">
        <f>IF(dataset[[#This Row],[state]]="VA",1,0)</f>
        <v>0</v>
      </c>
    </row>
    <row r="3215" spans="1:17" x14ac:dyDescent="0.35">
      <c r="A3215">
        <v>202210</v>
      </c>
      <c r="B3215">
        <v>13</v>
      </c>
      <c r="C3215" s="2">
        <v>2482666.7127</v>
      </c>
      <c r="D3215" s="2">
        <v>0.62150000000000005</v>
      </c>
      <c r="E3215" s="3">
        <v>250090</v>
      </c>
      <c r="F3215" s="2">
        <v>155429.7268</v>
      </c>
      <c r="G3215" t="s">
        <v>426</v>
      </c>
      <c r="H3215" t="s">
        <v>5</v>
      </c>
      <c r="I3215">
        <f>HLOOKUP(G3215,zip_tiers!$A$1:$EON$2,2,FALSE)</f>
        <v>58271.666666666664</v>
      </c>
      <c r="J3215" t="str">
        <f t="shared" si="50"/>
        <v>Med</v>
      </c>
      <c r="K3215">
        <f>dataset[[#This Row],[soda_sales]]/dataset[[#This Row],[soda_units_sold]]</f>
        <v>0.62149516893918189</v>
      </c>
      <c r="L3215" s="29">
        <f>dataset[[#This Row],[implied_soda_ppu]]-dataset[[#This Row],[soda_ppu]]</f>
        <v>-4.8310608181667547E-6</v>
      </c>
      <c r="M3215">
        <f>dataset[[#This Row],[soda_sales]]/dataset[[#This Row],[total_sales]]</f>
        <v>6.2605957539489429E-2</v>
      </c>
      <c r="N3215">
        <f>LN(dataset[[#This Row],[soda_units_sold]])</f>
        <v>12.429576132059932</v>
      </c>
      <c r="O3215">
        <f>LN(dataset[[#This Row],[soda_sales]])</f>
        <v>11.953948990770966</v>
      </c>
      <c r="P3215">
        <f>LN(dataset[[#This Row],[soda_ppu]])</f>
        <v>-0.47561936803137117</v>
      </c>
      <c r="Q3215">
        <f>IF(dataset[[#This Row],[state]]="VA",1,0)</f>
        <v>0</v>
      </c>
    </row>
    <row r="3216" spans="1:17" x14ac:dyDescent="0.35">
      <c r="A3216">
        <v>202211</v>
      </c>
      <c r="B3216">
        <v>13</v>
      </c>
      <c r="C3216" s="2">
        <v>2773415.7207999998</v>
      </c>
      <c r="D3216" s="2">
        <v>0.64829999999999999</v>
      </c>
      <c r="E3216" s="3">
        <v>225620</v>
      </c>
      <c r="F3216" s="2">
        <v>146268.014</v>
      </c>
      <c r="G3216" t="s">
        <v>426</v>
      </c>
      <c r="H3216" t="s">
        <v>5</v>
      </c>
      <c r="I3216">
        <f>HLOOKUP(G3216,zip_tiers!$A$1:$EON$2,2,FALSE)</f>
        <v>58271.666666666664</v>
      </c>
      <c r="J3216" t="str">
        <f t="shared" si="50"/>
        <v>Med</v>
      </c>
      <c r="K3216">
        <f>dataset[[#This Row],[soda_sales]]/dataset[[#This Row],[soda_units_sold]]</f>
        <v>0.6482936530449428</v>
      </c>
      <c r="L3216" s="29">
        <f>dataset[[#This Row],[implied_soda_ppu]]-dataset[[#This Row],[soda_ppu]]</f>
        <v>-6.3469550571904065E-6</v>
      </c>
      <c r="M3216">
        <f>dataset[[#This Row],[soda_sales]]/dataset[[#This Row],[total_sales]]</f>
        <v>5.273930370518292E-2</v>
      </c>
      <c r="N3216">
        <f>LN(dataset[[#This Row],[soda_units_sold]])</f>
        <v>12.326607447158912</v>
      </c>
      <c r="O3216">
        <f>LN(dataset[[#This Row],[soda_sales]])</f>
        <v>11.893195930158548</v>
      </c>
      <c r="P3216">
        <f>LN(dataset[[#This Row],[soda_ppu]])</f>
        <v>-0.4334017268011871</v>
      </c>
      <c r="Q3216">
        <f>IF(dataset[[#This Row],[state]]="VA",1,0)</f>
        <v>0</v>
      </c>
    </row>
    <row r="3217" spans="1:17" x14ac:dyDescent="0.35">
      <c r="A3217">
        <v>202212</v>
      </c>
      <c r="B3217">
        <v>13</v>
      </c>
      <c r="C3217" s="2">
        <v>2918940.5630000001</v>
      </c>
      <c r="D3217" s="2">
        <v>0.64080000000000004</v>
      </c>
      <c r="E3217" s="3">
        <v>221651</v>
      </c>
      <c r="F3217" s="2">
        <v>142023.28409999999</v>
      </c>
      <c r="G3217" t="s">
        <v>426</v>
      </c>
      <c r="H3217" t="s">
        <v>5</v>
      </c>
      <c r="I3217">
        <f>HLOOKUP(G3217,zip_tiers!$A$1:$EON$2,2,FALSE)</f>
        <v>58271.666666666664</v>
      </c>
      <c r="J3217" t="str">
        <f t="shared" si="50"/>
        <v>Med</v>
      </c>
      <c r="K3217">
        <f>dataset[[#This Row],[soda_sales]]/dataset[[#This Row],[soda_units_sold]]</f>
        <v>0.64075183103166689</v>
      </c>
      <c r="L3217" s="29">
        <f>dataset[[#This Row],[implied_soda_ppu]]-dataset[[#This Row],[soda_ppu]]</f>
        <v>-4.8168968333150985E-5</v>
      </c>
      <c r="M3217">
        <f>dataset[[#This Row],[soda_sales]]/dataset[[#This Row],[total_sales]]</f>
        <v>4.8655764320885211E-2</v>
      </c>
      <c r="N3217">
        <f>LN(dataset[[#This Row],[soda_units_sold]])</f>
        <v>12.308859351780438</v>
      </c>
      <c r="O3217">
        <f>LN(dataset[[#This Row],[soda_sales]])</f>
        <v>11.863746295676583</v>
      </c>
      <c r="P3217">
        <f>LN(dataset[[#This Row],[soda_ppu]])</f>
        <v>-0.44503788322798754</v>
      </c>
      <c r="Q3217">
        <f>IF(dataset[[#This Row],[state]]="VA",1,0)</f>
        <v>0</v>
      </c>
    </row>
    <row r="3218" spans="1:17" x14ac:dyDescent="0.35">
      <c r="A3218">
        <v>202301</v>
      </c>
      <c r="B3218">
        <v>13</v>
      </c>
      <c r="C3218" s="2">
        <v>1693544.9876000001</v>
      </c>
      <c r="D3218" s="2">
        <v>0.65359999999999996</v>
      </c>
      <c r="E3218" s="3">
        <v>161240</v>
      </c>
      <c r="F3218" s="2">
        <v>105381.18210000001</v>
      </c>
      <c r="G3218" t="s">
        <v>426</v>
      </c>
      <c r="H3218" t="s">
        <v>5</v>
      </c>
      <c r="I3218">
        <f>HLOOKUP(G3218,zip_tiers!$A$1:$EON$2,2,FALSE)</f>
        <v>58271.666666666664</v>
      </c>
      <c r="J3218" t="str">
        <f t="shared" si="50"/>
        <v>Med</v>
      </c>
      <c r="K3218">
        <f>dataset[[#This Row],[soda_sales]]/dataset[[#This Row],[soda_units_sold]]</f>
        <v>0.65356724199950389</v>
      </c>
      <c r="L3218" s="29">
        <f>dataset[[#This Row],[implied_soda_ppu]]-dataset[[#This Row],[soda_ppu]]</f>
        <v>-3.2758000496069251E-5</v>
      </c>
      <c r="M3218">
        <f>dataset[[#This Row],[soda_sales]]/dataset[[#This Row],[total_sales]]</f>
        <v>6.2225203860300449E-2</v>
      </c>
      <c r="N3218">
        <f>LN(dataset[[#This Row],[soda_units_sold]])</f>
        <v>11.990649217231102</v>
      </c>
      <c r="O3218">
        <f>LN(dataset[[#This Row],[soda_sales]])</f>
        <v>11.565339361198937</v>
      </c>
      <c r="P3218">
        <f>LN(dataset[[#This Row],[soda_ppu]])</f>
        <v>-0.42525973543634399</v>
      </c>
      <c r="Q3218">
        <f>IF(dataset[[#This Row],[state]]="VA",1,0)</f>
        <v>0</v>
      </c>
    </row>
    <row r="3219" spans="1:17" x14ac:dyDescent="0.35">
      <c r="A3219">
        <v>202302</v>
      </c>
      <c r="B3219">
        <v>13</v>
      </c>
      <c r="C3219" s="2">
        <v>1920286.9066000001</v>
      </c>
      <c r="D3219" s="2">
        <v>0.63439999999999996</v>
      </c>
      <c r="E3219" s="3">
        <v>192123</v>
      </c>
      <c r="F3219" s="2">
        <v>121880.1832</v>
      </c>
      <c r="G3219" t="s">
        <v>426</v>
      </c>
      <c r="H3219" t="s">
        <v>5</v>
      </c>
      <c r="I3219">
        <f>HLOOKUP(G3219,zip_tiers!$A$1:$EON$2,2,FALSE)</f>
        <v>58271.666666666664</v>
      </c>
      <c r="J3219" t="str">
        <f t="shared" si="50"/>
        <v>Med</v>
      </c>
      <c r="K3219">
        <f>dataset[[#This Row],[soda_sales]]/dataset[[#This Row],[soda_units_sold]]</f>
        <v>0.63438621716296328</v>
      </c>
      <c r="L3219" s="29">
        <f>dataset[[#This Row],[implied_soda_ppu]]-dataset[[#This Row],[soda_ppu]]</f>
        <v>-1.3782837036679929E-5</v>
      </c>
      <c r="M3219">
        <f>dataset[[#This Row],[soda_sales]]/dataset[[#This Row],[total_sales]]</f>
        <v>6.3469777761385265E-2</v>
      </c>
      <c r="N3219">
        <f>LN(dataset[[#This Row],[soda_units_sold]])</f>
        <v>12.165891070897318</v>
      </c>
      <c r="O3219">
        <f>LN(dataset[[#This Row],[soda_sales]])</f>
        <v>11.710793736216337</v>
      </c>
      <c r="P3219">
        <f>LN(dataset[[#This Row],[soda_ppu]])</f>
        <v>-0.45507560866149888</v>
      </c>
      <c r="Q3219">
        <f>IF(dataset[[#This Row],[state]]="VA",1,0)</f>
        <v>0</v>
      </c>
    </row>
    <row r="3220" spans="1:17" x14ac:dyDescent="0.35">
      <c r="A3220">
        <v>202303</v>
      </c>
      <c r="B3220">
        <v>13</v>
      </c>
      <c r="C3220" s="2">
        <v>2124549.5293000001</v>
      </c>
      <c r="D3220" s="2">
        <v>0.63239999999999996</v>
      </c>
      <c r="E3220" s="3">
        <v>220985</v>
      </c>
      <c r="F3220" s="2">
        <v>139746.90950000001</v>
      </c>
      <c r="G3220" t="s">
        <v>426</v>
      </c>
      <c r="H3220" t="s">
        <v>5</v>
      </c>
      <c r="I3220">
        <f>HLOOKUP(G3220,zip_tiers!$A$1:$EON$2,2,FALSE)</f>
        <v>58271.666666666664</v>
      </c>
      <c r="J3220" t="str">
        <f t="shared" si="50"/>
        <v>Med</v>
      </c>
      <c r="K3220">
        <f>dataset[[#This Row],[soda_sales]]/dataset[[#This Row],[soda_units_sold]]</f>
        <v>0.63238187886055619</v>
      </c>
      <c r="L3220" s="29">
        <f>dataset[[#This Row],[implied_soda_ppu]]-dataset[[#This Row],[soda_ppu]]</f>
        <v>-1.8121139443771916E-5</v>
      </c>
      <c r="M3220">
        <f>dataset[[#This Row],[soda_sales]]/dataset[[#This Row],[total_sales]]</f>
        <v>6.5777195387882556E-2</v>
      </c>
      <c r="N3220">
        <f>LN(dataset[[#This Row],[soda_units_sold]])</f>
        <v>12.305850104893226</v>
      </c>
      <c r="O3220">
        <f>LN(dataset[[#This Row],[soda_sales]])</f>
        <v>11.847588276282655</v>
      </c>
      <c r="P3220">
        <f>LN(dataset[[#This Row],[soda_ppu]])</f>
        <v>-0.45823317364682015</v>
      </c>
      <c r="Q3220">
        <f>IF(dataset[[#This Row],[state]]="VA",1,0)</f>
        <v>0</v>
      </c>
    </row>
    <row r="3221" spans="1:17" x14ac:dyDescent="0.35">
      <c r="A3221">
        <v>202304</v>
      </c>
      <c r="B3221">
        <v>13</v>
      </c>
      <c r="C3221" s="2">
        <v>2251831.0359999998</v>
      </c>
      <c r="D3221" s="2">
        <v>0.66600000000000004</v>
      </c>
      <c r="E3221" s="3">
        <v>245579</v>
      </c>
      <c r="F3221" s="2">
        <v>163547.9688</v>
      </c>
      <c r="G3221" t="s">
        <v>426</v>
      </c>
      <c r="H3221" t="s">
        <v>5</v>
      </c>
      <c r="I3221">
        <f>HLOOKUP(G3221,zip_tiers!$A$1:$EON$2,2,FALSE)</f>
        <v>58271.666666666664</v>
      </c>
      <c r="J3221" t="str">
        <f t="shared" si="50"/>
        <v>Med</v>
      </c>
      <c r="K3221">
        <f>dataset[[#This Row],[soda_sales]]/dataset[[#This Row],[soda_units_sold]]</f>
        <v>0.66596886867362437</v>
      </c>
      <c r="L3221" s="29">
        <f>dataset[[#This Row],[implied_soda_ppu]]-dataset[[#This Row],[soda_ppu]]</f>
        <v>-3.1131326375666291E-5</v>
      </c>
      <c r="M3221">
        <f>dataset[[#This Row],[soda_sales]]/dataset[[#This Row],[total_sales]]</f>
        <v>7.2628881201724421E-2</v>
      </c>
      <c r="N3221">
        <f>LN(dataset[[#This Row],[soda_units_sold]])</f>
        <v>12.411373966713381</v>
      </c>
      <c r="O3221">
        <f>LN(dataset[[#This Row],[soda_sales]])</f>
        <v>12.004861613445813</v>
      </c>
      <c r="P3221">
        <f>LN(dataset[[#This Row],[soda_ppu]])</f>
        <v>-0.40646560844174784</v>
      </c>
      <c r="Q3221">
        <f>IF(dataset[[#This Row],[state]]="VA",1,0)</f>
        <v>0</v>
      </c>
    </row>
    <row r="3222" spans="1:17" x14ac:dyDescent="0.35">
      <c r="A3222">
        <v>202305</v>
      </c>
      <c r="B3222">
        <v>13</v>
      </c>
      <c r="C3222" s="2">
        <v>2376484.5194000001</v>
      </c>
      <c r="D3222" s="2">
        <v>0.65139999999999998</v>
      </c>
      <c r="E3222" s="3">
        <v>285017</v>
      </c>
      <c r="F3222" s="2">
        <v>185669.09</v>
      </c>
      <c r="G3222" t="s">
        <v>426</v>
      </c>
      <c r="H3222" t="s">
        <v>5</v>
      </c>
      <c r="I3222">
        <f>HLOOKUP(G3222,zip_tiers!$A$1:$EON$2,2,FALSE)</f>
        <v>58271.666666666664</v>
      </c>
      <c r="J3222" t="str">
        <f t="shared" si="50"/>
        <v>Med</v>
      </c>
      <c r="K3222">
        <f>dataset[[#This Row],[soda_sales]]/dataset[[#This Row],[soda_units_sold]]</f>
        <v>0.65143163390253911</v>
      </c>
      <c r="L3222" s="29">
        <f>dataset[[#This Row],[implied_soda_ppu]]-dataset[[#This Row],[soda_ppu]]</f>
        <v>3.1633902539129899E-5</v>
      </c>
      <c r="M3222">
        <f>dataset[[#This Row],[soda_sales]]/dataset[[#This Row],[total_sales]]</f>
        <v>7.8127624431938894E-2</v>
      </c>
      <c r="N3222">
        <f>LN(dataset[[#This Row],[soda_units_sold]])</f>
        <v>12.560304106594657</v>
      </c>
      <c r="O3222">
        <f>LN(dataset[[#This Row],[soda_sales]])</f>
        <v>12.131721282220767</v>
      </c>
      <c r="P3222">
        <f>LN(dataset[[#This Row],[soda_ppu]])</f>
        <v>-0.42863138614000396</v>
      </c>
      <c r="Q3222">
        <f>IF(dataset[[#This Row],[state]]="VA",1,0)</f>
        <v>0</v>
      </c>
    </row>
    <row r="3223" spans="1:17" x14ac:dyDescent="0.35">
      <c r="A3223">
        <v>202306</v>
      </c>
      <c r="B3223">
        <v>13</v>
      </c>
      <c r="C3223" s="2">
        <v>2248309.5529</v>
      </c>
      <c r="D3223" s="2">
        <v>0.63460000000000005</v>
      </c>
      <c r="E3223" s="3">
        <v>296976</v>
      </c>
      <c r="F3223" s="2">
        <v>188455.84539999999</v>
      </c>
      <c r="G3223" t="s">
        <v>426</v>
      </c>
      <c r="H3223" t="s">
        <v>5</v>
      </c>
      <c r="I3223">
        <f>HLOOKUP(G3223,zip_tiers!$A$1:$EON$2,2,FALSE)</f>
        <v>58271.666666666664</v>
      </c>
      <c r="J3223" t="str">
        <f t="shared" si="50"/>
        <v>Med</v>
      </c>
      <c r="K3223">
        <f>dataset[[#This Row],[soda_sales]]/dataset[[#This Row],[soda_units_sold]]</f>
        <v>0.63458274540703619</v>
      </c>
      <c r="L3223" s="29">
        <f>dataset[[#This Row],[implied_soda_ppu]]-dataset[[#This Row],[soda_ppu]]</f>
        <v>-1.7254592963866777E-5</v>
      </c>
      <c r="M3223">
        <f>dataset[[#This Row],[soda_sales]]/dataset[[#This Row],[total_sales]]</f>
        <v>8.3821129148750326E-2</v>
      </c>
      <c r="N3223">
        <f>LN(dataset[[#This Row],[soda_units_sold]])</f>
        <v>12.60140660643888</v>
      </c>
      <c r="O3223">
        <f>LN(dataset[[#This Row],[soda_sales]])</f>
        <v>12.146619016521466</v>
      </c>
      <c r="P3223">
        <f>LN(dataset[[#This Row],[soda_ppu]])</f>
        <v>-0.45476039983304178</v>
      </c>
      <c r="Q3223">
        <f>IF(dataset[[#This Row],[state]]="VA",1,0)</f>
        <v>0</v>
      </c>
    </row>
    <row r="3224" spans="1:17" x14ac:dyDescent="0.35">
      <c r="A3224">
        <v>202307</v>
      </c>
      <c r="B3224">
        <v>13</v>
      </c>
      <c r="C3224" s="2">
        <v>2137559.9391000001</v>
      </c>
      <c r="D3224" s="2">
        <v>0.66520000000000001</v>
      </c>
      <c r="E3224" s="3">
        <v>292067</v>
      </c>
      <c r="F3224" s="2">
        <v>194293.69959999999</v>
      </c>
      <c r="G3224" t="s">
        <v>426</v>
      </c>
      <c r="H3224" t="s">
        <v>5</v>
      </c>
      <c r="I3224">
        <f>HLOOKUP(G3224,zip_tiers!$A$1:$EON$2,2,FALSE)</f>
        <v>58271.666666666664</v>
      </c>
      <c r="J3224" t="str">
        <f t="shared" si="50"/>
        <v>Med</v>
      </c>
      <c r="K3224">
        <f>dataset[[#This Row],[soda_sales]]/dataset[[#This Row],[soda_units_sold]]</f>
        <v>0.6652367422543457</v>
      </c>
      <c r="L3224" s="29">
        <f>dataset[[#This Row],[implied_soda_ppu]]-dataset[[#This Row],[soda_ppu]]</f>
        <v>3.6742254345689673E-5</v>
      </c>
      <c r="M3224">
        <f>dataset[[#This Row],[soda_sales]]/dataset[[#This Row],[total_sales]]</f>
        <v>9.0895088388401199E-2</v>
      </c>
      <c r="N3224">
        <f>LN(dataset[[#This Row],[soda_units_sold]])</f>
        <v>12.584738506985117</v>
      </c>
      <c r="O3224">
        <f>LN(dataset[[#This Row],[soda_sales]])</f>
        <v>12.177126208694656</v>
      </c>
      <c r="P3224">
        <f>LN(dataset[[#This Row],[soda_ppu]])</f>
        <v>-0.40766753166336445</v>
      </c>
      <c r="Q3224">
        <f>IF(dataset[[#This Row],[state]]="VA",1,0)</f>
        <v>0</v>
      </c>
    </row>
    <row r="3225" spans="1:17" x14ac:dyDescent="0.35">
      <c r="A3225">
        <v>202308</v>
      </c>
      <c r="B3225">
        <v>13</v>
      </c>
      <c r="C3225" s="2">
        <v>2006984.5906</v>
      </c>
      <c r="D3225" s="2">
        <v>0.65620000000000001</v>
      </c>
      <c r="E3225" s="3">
        <v>255956</v>
      </c>
      <c r="F3225" s="2">
        <v>167955.99909999999</v>
      </c>
      <c r="G3225" t="s">
        <v>426</v>
      </c>
      <c r="H3225" t="s">
        <v>5</v>
      </c>
      <c r="I3225">
        <f>HLOOKUP(G3225,zip_tiers!$A$1:$EON$2,2,FALSE)</f>
        <v>58271.666666666664</v>
      </c>
      <c r="J3225" t="str">
        <f t="shared" si="50"/>
        <v>Med</v>
      </c>
      <c r="K3225">
        <f>dataset[[#This Row],[soda_sales]]/dataset[[#This Row],[soda_units_sold]]</f>
        <v>0.65619090429605087</v>
      </c>
      <c r="L3225" s="29">
        <f>dataset[[#This Row],[implied_soda_ppu]]-dataset[[#This Row],[soda_ppu]]</f>
        <v>-9.095703949135725E-6</v>
      </c>
      <c r="M3225">
        <f>dataset[[#This Row],[soda_sales]]/dataset[[#This Row],[total_sales]]</f>
        <v>8.3685744218787717E-2</v>
      </c>
      <c r="N3225">
        <f>LN(dataset[[#This Row],[soda_units_sold]])</f>
        <v>12.452760833689499</v>
      </c>
      <c r="O3225">
        <f>LN(dataset[[#This Row],[soda_sales]])</f>
        <v>12.031457313961903</v>
      </c>
      <c r="P3225">
        <f>LN(dataset[[#This Row],[soda_ppu]])</f>
        <v>-0.42128965845513577</v>
      </c>
      <c r="Q3225">
        <f>IF(dataset[[#This Row],[state]]="VA",1,0)</f>
        <v>0</v>
      </c>
    </row>
    <row r="3226" spans="1:17" x14ac:dyDescent="0.35">
      <c r="A3226">
        <v>202309</v>
      </c>
      <c r="B3226">
        <v>13</v>
      </c>
      <c r="C3226" s="2">
        <v>2025046.4650999999</v>
      </c>
      <c r="D3226" s="2">
        <v>0.64490000000000003</v>
      </c>
      <c r="E3226" s="3">
        <v>256025</v>
      </c>
      <c r="F3226" s="2">
        <v>165100.20989999999</v>
      </c>
      <c r="G3226" t="s">
        <v>426</v>
      </c>
      <c r="H3226" t="s">
        <v>5</v>
      </c>
      <c r="I3226">
        <f>HLOOKUP(G3226,zip_tiers!$A$1:$EON$2,2,FALSE)</f>
        <v>58271.666666666664</v>
      </c>
      <c r="J3226" t="str">
        <f t="shared" si="50"/>
        <v>Med</v>
      </c>
      <c r="K3226">
        <f>dataset[[#This Row],[soda_sales]]/dataset[[#This Row],[soda_units_sold]]</f>
        <v>0.64485972033981054</v>
      </c>
      <c r="L3226" s="29">
        <f>dataset[[#This Row],[implied_soda_ppu]]-dataset[[#This Row],[soda_ppu]]</f>
        <v>-4.0279660189490585E-5</v>
      </c>
      <c r="M3226">
        <f>dataset[[#This Row],[soda_sales]]/dataset[[#This Row],[total_sales]]</f>
        <v>8.1529097107333331E-2</v>
      </c>
      <c r="N3226">
        <f>LN(dataset[[#This Row],[soda_units_sold]])</f>
        <v>12.453030374943639</v>
      </c>
      <c r="O3226">
        <f>LN(dataset[[#This Row],[soda_sales]])</f>
        <v>12.014307901258107</v>
      </c>
      <c r="P3226">
        <f>LN(dataset[[#This Row],[soda_ppu]])</f>
        <v>-0.43866001296580531</v>
      </c>
      <c r="Q3226">
        <f>IF(dataset[[#This Row],[state]]="VA",1,0)</f>
        <v>0</v>
      </c>
    </row>
    <row r="3227" spans="1:17" x14ac:dyDescent="0.35">
      <c r="A3227">
        <v>202310</v>
      </c>
      <c r="B3227">
        <v>13</v>
      </c>
      <c r="C3227" s="2">
        <v>2435317.3687</v>
      </c>
      <c r="D3227" s="2">
        <v>0.65059999999999996</v>
      </c>
      <c r="E3227" s="3">
        <v>233268</v>
      </c>
      <c r="F3227" s="2">
        <v>151758.67050000001</v>
      </c>
      <c r="G3227" t="s">
        <v>426</v>
      </c>
      <c r="H3227" t="s">
        <v>5</v>
      </c>
      <c r="I3227">
        <f>HLOOKUP(G3227,zip_tiers!$A$1:$EON$2,2,FALSE)</f>
        <v>58271.666666666664</v>
      </c>
      <c r="J3227" t="str">
        <f t="shared" si="50"/>
        <v>Med</v>
      </c>
      <c r="K3227">
        <f>dataset[[#This Row],[soda_sales]]/dataset[[#This Row],[soda_units_sold]]</f>
        <v>0.65057646355265186</v>
      </c>
      <c r="L3227" s="29">
        <f>dataset[[#This Row],[implied_soda_ppu]]-dataset[[#This Row],[soda_ppu]]</f>
        <v>-2.3536447348093681E-5</v>
      </c>
      <c r="M3227">
        <f>dataset[[#This Row],[soda_sales]]/dataset[[#This Row],[total_sales]]</f>
        <v>6.2315767320712909E-2</v>
      </c>
      <c r="N3227">
        <f>LN(dataset[[#This Row],[soda_units_sold]])</f>
        <v>12.359943286150113</v>
      </c>
      <c r="O3227">
        <f>LN(dataset[[#This Row],[soda_sales]])</f>
        <v>11.93004684402756</v>
      </c>
      <c r="P3227">
        <f>LN(dataset[[#This Row],[soda_ppu]])</f>
        <v>-0.42986026494288604</v>
      </c>
      <c r="Q3227">
        <f>IF(dataset[[#This Row],[state]]="VA",1,0)</f>
        <v>0</v>
      </c>
    </row>
    <row r="3228" spans="1:17" x14ac:dyDescent="0.35">
      <c r="A3228">
        <v>202311</v>
      </c>
      <c r="B3228">
        <v>13</v>
      </c>
      <c r="C3228" s="2">
        <v>2895685.9939000001</v>
      </c>
      <c r="D3228" s="2">
        <v>0.65049999999999997</v>
      </c>
      <c r="E3228" s="3">
        <v>231891</v>
      </c>
      <c r="F3228" s="2">
        <v>150842.30549999999</v>
      </c>
      <c r="G3228" t="s">
        <v>426</v>
      </c>
      <c r="H3228" t="s">
        <v>5</v>
      </c>
      <c r="I3228">
        <f>HLOOKUP(G3228,zip_tiers!$A$1:$EON$2,2,FALSE)</f>
        <v>58271.666666666664</v>
      </c>
      <c r="J3228" t="str">
        <f t="shared" si="50"/>
        <v>Med</v>
      </c>
      <c r="K3228">
        <f>dataset[[#This Row],[soda_sales]]/dataset[[#This Row],[soda_units_sold]]</f>
        <v>0.65048796848519341</v>
      </c>
      <c r="L3228" s="29">
        <f>dataset[[#This Row],[implied_soda_ppu]]-dataset[[#This Row],[soda_ppu]]</f>
        <v>-1.2031514806554178E-5</v>
      </c>
      <c r="M3228">
        <f>dataset[[#This Row],[soda_sales]]/dataset[[#This Row],[total_sales]]</f>
        <v>5.2092079672230229E-2</v>
      </c>
      <c r="N3228">
        <f>LN(dataset[[#This Row],[soda_units_sold]])</f>
        <v>12.354022712658677</v>
      </c>
      <c r="O3228">
        <f>LN(dataset[[#This Row],[soda_sales]])</f>
        <v>11.923990235662806</v>
      </c>
      <c r="P3228">
        <f>LN(dataset[[#This Row],[soda_ppu]])</f>
        <v>-0.43001398102957716</v>
      </c>
      <c r="Q3228">
        <f>IF(dataset[[#This Row],[state]]="VA",1,0)</f>
        <v>0</v>
      </c>
    </row>
    <row r="3229" spans="1:17" x14ac:dyDescent="0.35">
      <c r="A3229">
        <v>202312</v>
      </c>
      <c r="B3229">
        <v>13</v>
      </c>
      <c r="C3229" s="2">
        <v>2926006.0729999999</v>
      </c>
      <c r="D3229" s="2">
        <v>0.65910000000000002</v>
      </c>
      <c r="E3229" s="3">
        <v>217340</v>
      </c>
      <c r="F3229" s="2">
        <v>143241.44810000001</v>
      </c>
      <c r="G3229" t="s">
        <v>426</v>
      </c>
      <c r="H3229" t="s">
        <v>5</v>
      </c>
      <c r="I3229">
        <f>HLOOKUP(G3229,zip_tiers!$A$1:$EON$2,2,FALSE)</f>
        <v>58271.666666666664</v>
      </c>
      <c r="J3229" t="str">
        <f t="shared" si="50"/>
        <v>Med</v>
      </c>
      <c r="K3229">
        <f>dataset[[#This Row],[soda_sales]]/dataset[[#This Row],[soda_units_sold]]</f>
        <v>0.6590662008834085</v>
      </c>
      <c r="L3229" s="29">
        <f>dataset[[#This Row],[implied_soda_ppu]]-dataset[[#This Row],[soda_ppu]]</f>
        <v>-3.3799116591515244E-5</v>
      </c>
      <c r="M3229">
        <f>dataset[[#This Row],[soda_sales]]/dataset[[#This Row],[total_sales]]</f>
        <v>4.8954596992048009E-2</v>
      </c>
      <c r="N3229">
        <f>LN(dataset[[#This Row],[soda_units_sold]])</f>
        <v>12.289218226616843</v>
      </c>
      <c r="O3229">
        <f>LN(dataset[[#This Row],[soda_sales]])</f>
        <v>11.872286933667523</v>
      </c>
      <c r="P3229">
        <f>LN(dataset[[#This Row],[soda_ppu]])</f>
        <v>-0.41688001092346283</v>
      </c>
      <c r="Q3229">
        <f>IF(dataset[[#This Row],[state]]="VA",1,0)</f>
        <v>0</v>
      </c>
    </row>
    <row r="3230" spans="1:17" x14ac:dyDescent="0.35">
      <c r="A3230">
        <v>202401</v>
      </c>
      <c r="B3230">
        <v>13</v>
      </c>
      <c r="C3230" s="2">
        <v>1739420.4902999999</v>
      </c>
      <c r="D3230" s="2">
        <v>0.67259999999999998</v>
      </c>
      <c r="E3230" s="3">
        <v>161328</v>
      </c>
      <c r="F3230" s="2">
        <v>108508.40119999999</v>
      </c>
      <c r="G3230" t="s">
        <v>426</v>
      </c>
      <c r="H3230" t="s">
        <v>5</v>
      </c>
      <c r="I3230">
        <f>HLOOKUP(G3230,zip_tiers!$A$1:$EON$2,2,FALSE)</f>
        <v>58271.666666666664</v>
      </c>
      <c r="J3230" t="str">
        <f t="shared" si="50"/>
        <v>Med</v>
      </c>
      <c r="K3230">
        <f>dataset[[#This Row],[soda_sales]]/dataset[[#This Row],[soda_units_sold]]</f>
        <v>0.67259496925518192</v>
      </c>
      <c r="L3230" s="29">
        <f>dataset[[#This Row],[implied_soda_ppu]]-dataset[[#This Row],[soda_ppu]]</f>
        <v>-5.030744818057542E-6</v>
      </c>
      <c r="M3230">
        <f>dataset[[#This Row],[soda_sales]]/dataset[[#This Row],[total_sales]]</f>
        <v>6.2381926512367014E-2</v>
      </c>
      <c r="N3230">
        <f>LN(dataset[[#This Row],[soda_units_sold]])</f>
        <v>11.991194838632996</v>
      </c>
      <c r="O3230">
        <f>LN(dataset[[#This Row],[soda_sales]])</f>
        <v>11.594582879379818</v>
      </c>
      <c r="P3230">
        <f>LN(dataset[[#This Row],[soda_ppu]])</f>
        <v>-0.39660447967596785</v>
      </c>
      <c r="Q3230">
        <f>IF(dataset[[#This Row],[state]]="VA",1,0)</f>
        <v>0</v>
      </c>
    </row>
    <row r="3231" spans="1:17" x14ac:dyDescent="0.35">
      <c r="A3231">
        <v>202402</v>
      </c>
      <c r="B3231">
        <v>13</v>
      </c>
      <c r="C3231" s="2">
        <v>1958753.209</v>
      </c>
      <c r="D3231" s="2">
        <v>0.65810000000000002</v>
      </c>
      <c r="E3231" s="3">
        <v>187882</v>
      </c>
      <c r="F3231" s="2">
        <v>123641.33289999999</v>
      </c>
      <c r="G3231" t="s">
        <v>426</v>
      </c>
      <c r="H3231" t="s">
        <v>5</v>
      </c>
      <c r="I3231">
        <f>HLOOKUP(G3231,zip_tiers!$A$1:$EON$2,2,FALSE)</f>
        <v>58271.666666666664</v>
      </c>
      <c r="J3231" t="str">
        <f t="shared" si="50"/>
        <v>Med</v>
      </c>
      <c r="K3231">
        <f>dataset[[#This Row],[soda_sales]]/dataset[[#This Row],[soda_units_sold]]</f>
        <v>0.65807971439520552</v>
      </c>
      <c r="L3231" s="29">
        <f>dataset[[#This Row],[implied_soda_ppu]]-dataset[[#This Row],[soda_ppu]]</f>
        <v>-2.0285604794501033E-5</v>
      </c>
      <c r="M3231">
        <f>dataset[[#This Row],[soda_sales]]/dataset[[#This Row],[total_sales]]</f>
        <v>6.312246603191142E-2</v>
      </c>
      <c r="N3231">
        <f>LN(dataset[[#This Row],[soda_units_sold]])</f>
        <v>12.143569385176885</v>
      </c>
      <c r="O3231">
        <f>LN(dataset[[#This Row],[soda_sales]])</f>
        <v>11.725140176679695</v>
      </c>
      <c r="P3231">
        <f>LN(dataset[[#This Row],[soda_ppu]])</f>
        <v>-0.41839838352006359</v>
      </c>
      <c r="Q3231">
        <f>IF(dataset[[#This Row],[state]]="VA",1,0)</f>
        <v>0</v>
      </c>
    </row>
    <row r="3232" spans="1:17" x14ac:dyDescent="0.35">
      <c r="A3232">
        <v>202403</v>
      </c>
      <c r="B3232">
        <v>13</v>
      </c>
      <c r="C3232" s="2">
        <v>2153540.0254000002</v>
      </c>
      <c r="D3232" s="2">
        <v>0.67090000000000005</v>
      </c>
      <c r="E3232" s="3">
        <v>212462</v>
      </c>
      <c r="F3232" s="2">
        <v>142544.08540000001</v>
      </c>
      <c r="G3232" t="s">
        <v>426</v>
      </c>
      <c r="H3232" t="s">
        <v>5</v>
      </c>
      <c r="I3232">
        <f>HLOOKUP(G3232,zip_tiers!$A$1:$EON$2,2,FALSE)</f>
        <v>58271.666666666664</v>
      </c>
      <c r="J3232" t="str">
        <f t="shared" si="50"/>
        <v>Med</v>
      </c>
      <c r="K3232">
        <f>dataset[[#This Row],[soda_sales]]/dataset[[#This Row],[soda_units_sold]]</f>
        <v>0.67091567150831688</v>
      </c>
      <c r="L3232" s="29">
        <f>dataset[[#This Row],[implied_soda_ppu]]-dataset[[#This Row],[soda_ppu]]</f>
        <v>1.5671508316827953E-5</v>
      </c>
      <c r="M3232">
        <f>dataset[[#This Row],[soda_sales]]/dataset[[#This Row],[total_sales]]</f>
        <v>6.619059024618025E-2</v>
      </c>
      <c r="N3232">
        <f>LN(dataset[[#This Row],[soda_units_sold]])</f>
        <v>12.266518427826362</v>
      </c>
      <c r="O3232">
        <f>LN(dataset[[#This Row],[soda_sales]])</f>
        <v>11.867406602073501</v>
      </c>
      <c r="P3232">
        <f>LN(dataset[[#This Row],[soda_ppu]])</f>
        <v>-0.3991351844132946</v>
      </c>
      <c r="Q3232">
        <f>IF(dataset[[#This Row],[state]]="VA",1,0)</f>
        <v>0</v>
      </c>
    </row>
    <row r="3233" spans="1:17" x14ac:dyDescent="0.35">
      <c r="A3233">
        <v>202404</v>
      </c>
      <c r="B3233">
        <v>13</v>
      </c>
      <c r="C3233" s="2">
        <v>2286169.2673999998</v>
      </c>
      <c r="D3233" s="2">
        <v>0.66169999999999995</v>
      </c>
      <c r="E3233" s="3">
        <v>248772</v>
      </c>
      <c r="F3233" s="2">
        <v>164618.7648</v>
      </c>
      <c r="G3233" t="s">
        <v>426</v>
      </c>
      <c r="H3233" t="s">
        <v>5</v>
      </c>
      <c r="I3233">
        <f>HLOOKUP(G3233,zip_tiers!$A$1:$EON$2,2,FALSE)</f>
        <v>58271.666666666664</v>
      </c>
      <c r="J3233" t="str">
        <f t="shared" si="50"/>
        <v>Med</v>
      </c>
      <c r="K3233">
        <f>dataset[[#This Row],[soda_sales]]/dataset[[#This Row],[soda_units_sold]]</f>
        <v>0.66172545463315813</v>
      </c>
      <c r="L3233" s="29">
        <f>dataset[[#This Row],[implied_soda_ppu]]-dataset[[#This Row],[soda_ppu]]</f>
        <v>2.5454633158172868E-5</v>
      </c>
      <c r="M3233">
        <f>dataset[[#This Row],[soda_sales]]/dataset[[#This Row],[total_sales]]</f>
        <v>7.2006376407647454E-2</v>
      </c>
      <c r="N3233">
        <f>LN(dataset[[#This Row],[soda_units_sold]])</f>
        <v>12.424292093321112</v>
      </c>
      <c r="O3233">
        <f>LN(dataset[[#This Row],[soda_sales]])</f>
        <v>12.011387563157458</v>
      </c>
      <c r="P3233">
        <f>LN(dataset[[#This Row],[soda_ppu]])</f>
        <v>-0.41294299796412332</v>
      </c>
      <c r="Q3233">
        <f>IF(dataset[[#This Row],[state]]="VA",1,0)</f>
        <v>0</v>
      </c>
    </row>
    <row r="3234" spans="1:17" x14ac:dyDescent="0.35">
      <c r="A3234">
        <v>202405</v>
      </c>
      <c r="B3234">
        <v>13</v>
      </c>
      <c r="C3234" s="2">
        <v>2438786.0162</v>
      </c>
      <c r="D3234" s="2">
        <v>0.68179999999999996</v>
      </c>
      <c r="E3234" s="3">
        <v>275564</v>
      </c>
      <c r="F3234" s="2">
        <v>187875.9002</v>
      </c>
      <c r="G3234" t="s">
        <v>426</v>
      </c>
      <c r="H3234" t="s">
        <v>5</v>
      </c>
      <c r="I3234">
        <f>HLOOKUP(G3234,zip_tiers!$A$1:$EON$2,2,FALSE)</f>
        <v>58271.666666666664</v>
      </c>
      <c r="J3234" t="str">
        <f t="shared" si="50"/>
        <v>Med</v>
      </c>
      <c r="K3234">
        <f>dataset[[#This Row],[soda_sales]]/dataset[[#This Row],[soda_units_sold]]</f>
        <v>0.68178680887198617</v>
      </c>
      <c r="L3234" s="29">
        <f>dataset[[#This Row],[implied_soda_ppu]]-dataset[[#This Row],[soda_ppu]]</f>
        <v>-1.3191128013789744E-5</v>
      </c>
      <c r="M3234">
        <f>dataset[[#This Row],[soda_sales]]/dataset[[#This Row],[total_sales]]</f>
        <v>7.7036648132311036E-2</v>
      </c>
      <c r="N3234">
        <f>LN(dataset[[#This Row],[soda_units_sold]])</f>
        <v>12.526575185496682</v>
      </c>
      <c r="O3234">
        <f>LN(dataset[[#This Row],[soda_sales]])</f>
        <v>12.143536918527495</v>
      </c>
      <c r="P3234">
        <f>LN(dataset[[#This Row],[soda_ppu]])</f>
        <v>-0.38301891927833437</v>
      </c>
      <c r="Q3234">
        <f>IF(dataset[[#This Row],[state]]="VA",1,0)</f>
        <v>0</v>
      </c>
    </row>
    <row r="3235" spans="1:17" x14ac:dyDescent="0.35">
      <c r="A3235">
        <v>202406</v>
      </c>
      <c r="B3235">
        <v>13</v>
      </c>
      <c r="C3235" s="2">
        <v>2285652.159</v>
      </c>
      <c r="D3235" s="2">
        <v>0.67800000000000005</v>
      </c>
      <c r="E3235" s="3">
        <v>285349</v>
      </c>
      <c r="F3235" s="2">
        <v>193479.32750000001</v>
      </c>
      <c r="G3235" t="s">
        <v>426</v>
      </c>
      <c r="H3235" t="s">
        <v>5</v>
      </c>
      <c r="I3235">
        <f>HLOOKUP(G3235,zip_tiers!$A$1:$EON$2,2,FALSE)</f>
        <v>58271.666666666664</v>
      </c>
      <c r="J3235" t="str">
        <f t="shared" si="50"/>
        <v>Med</v>
      </c>
      <c r="K3235">
        <f>dataset[[#This Row],[soda_sales]]/dataset[[#This Row],[soda_units_sold]]</f>
        <v>0.67804452617671696</v>
      </c>
      <c r="L3235" s="29">
        <f>dataset[[#This Row],[implied_soda_ppu]]-dataset[[#This Row],[soda_ppu]]</f>
        <v>4.4526176716908061E-5</v>
      </c>
      <c r="M3235">
        <f>dataset[[#This Row],[soda_sales]]/dataset[[#This Row],[total_sales]]</f>
        <v>8.4649506591873327E-2</v>
      </c>
      <c r="N3235">
        <f>LN(dataset[[#This Row],[soda_units_sold]])</f>
        <v>12.561468271490517</v>
      </c>
      <c r="O3235">
        <f>LN(dataset[[#This Row],[soda_sales]])</f>
        <v>12.172925951119426</v>
      </c>
      <c r="P3235">
        <f>LN(dataset[[#This Row],[soda_ppu]])</f>
        <v>-0.38860799104174143</v>
      </c>
      <c r="Q3235">
        <f>IF(dataset[[#This Row],[state]]="VA",1,0)</f>
        <v>0</v>
      </c>
    </row>
    <row r="3236" spans="1:17" x14ac:dyDescent="0.35">
      <c r="A3236">
        <v>202407</v>
      </c>
      <c r="B3236">
        <v>13</v>
      </c>
      <c r="C3236" s="2">
        <v>2188419.3840999999</v>
      </c>
      <c r="D3236" s="2">
        <v>0.6603</v>
      </c>
      <c r="E3236" s="3">
        <v>298391</v>
      </c>
      <c r="F3236" s="2">
        <v>197040.5705</v>
      </c>
      <c r="G3236" t="s">
        <v>426</v>
      </c>
      <c r="H3236" t="s">
        <v>5</v>
      </c>
      <c r="I3236">
        <f>HLOOKUP(G3236,zip_tiers!$A$1:$EON$2,2,FALSE)</f>
        <v>58271.666666666664</v>
      </c>
      <c r="J3236" t="str">
        <f t="shared" si="50"/>
        <v>Med</v>
      </c>
      <c r="K3236">
        <f>dataset[[#This Row],[soda_sales]]/dataset[[#This Row],[soda_units_sold]]</f>
        <v>0.66034354420877306</v>
      </c>
      <c r="L3236" s="29">
        <f>dataset[[#This Row],[implied_soda_ppu]]-dataset[[#This Row],[soda_ppu]]</f>
        <v>4.3544208773060866E-5</v>
      </c>
      <c r="M3236">
        <f>dataset[[#This Row],[soda_sales]]/dataset[[#This Row],[total_sales]]</f>
        <v>9.0037847375874017E-2</v>
      </c>
      <c r="N3236">
        <f>LN(dataset[[#This Row],[soda_units_sold]])</f>
        <v>12.606159985998985</v>
      </c>
      <c r="O3236">
        <f>LN(dataset[[#This Row],[soda_sales]])</f>
        <v>12.191164928141426</v>
      </c>
      <c r="P3236">
        <f>LN(dataset[[#This Row],[soda_ppu]])</f>
        <v>-0.41506100178161137</v>
      </c>
      <c r="Q3236">
        <f>IF(dataset[[#This Row],[state]]="VA",1,0)</f>
        <v>0</v>
      </c>
    </row>
    <row r="3237" spans="1:17" x14ac:dyDescent="0.35">
      <c r="A3237">
        <v>202408</v>
      </c>
      <c r="B3237">
        <v>13</v>
      </c>
      <c r="C3237" s="2">
        <v>2098142.7207999998</v>
      </c>
      <c r="D3237" s="2">
        <v>0.65859999999999996</v>
      </c>
      <c r="E3237" s="3">
        <v>267302</v>
      </c>
      <c r="F3237" s="2">
        <v>176039.3352</v>
      </c>
      <c r="G3237" t="s">
        <v>426</v>
      </c>
      <c r="H3237" t="s">
        <v>5</v>
      </c>
      <c r="I3237">
        <f>HLOOKUP(G3237,zip_tiers!$A$1:$EON$2,2,FALSE)</f>
        <v>58271.666666666664</v>
      </c>
      <c r="J3237" t="str">
        <f t="shared" si="50"/>
        <v>Med</v>
      </c>
      <c r="K3237">
        <f>dataset[[#This Row],[soda_sales]]/dataset[[#This Row],[soda_units_sold]]</f>
        <v>0.65857844385750952</v>
      </c>
      <c r="L3237" s="29">
        <f>dataset[[#This Row],[implied_soda_ppu]]-dataset[[#This Row],[soda_ppu]]</f>
        <v>-2.1556142490442021E-5</v>
      </c>
      <c r="M3237">
        <f>dataset[[#This Row],[soda_sales]]/dataset[[#This Row],[total_sales]]</f>
        <v>8.3902459758732742E-2</v>
      </c>
      <c r="N3237">
        <f>LN(dataset[[#This Row],[soda_units_sold]])</f>
        <v>12.496134384328723</v>
      </c>
      <c r="O3237">
        <f>LN(dataset[[#This Row],[soda_sales]])</f>
        <v>12.078462744503446</v>
      </c>
      <c r="P3237">
        <f>LN(dataset[[#This Row],[soda_ppu]])</f>
        <v>-0.41763890903987322</v>
      </c>
      <c r="Q3237">
        <f>IF(dataset[[#This Row],[state]]="VA",1,0)</f>
        <v>0</v>
      </c>
    </row>
    <row r="3238" spans="1:17" x14ac:dyDescent="0.35">
      <c r="A3238">
        <v>202409</v>
      </c>
      <c r="B3238">
        <v>13</v>
      </c>
      <c r="C3238" s="2">
        <v>2123275.7178000002</v>
      </c>
      <c r="D3238" s="2">
        <v>0.69720000000000004</v>
      </c>
      <c r="E3238" s="3">
        <v>240488</v>
      </c>
      <c r="F3238" s="2">
        <v>167669.43479999999</v>
      </c>
      <c r="G3238" t="s">
        <v>426</v>
      </c>
      <c r="H3238" t="s">
        <v>5</v>
      </c>
      <c r="I3238">
        <f>HLOOKUP(G3238,zip_tiers!$A$1:$EON$2,2,FALSE)</f>
        <v>58271.666666666664</v>
      </c>
      <c r="J3238" t="str">
        <f t="shared" si="50"/>
        <v>Med</v>
      </c>
      <c r="K3238">
        <f>dataset[[#This Row],[soda_sales]]/dataset[[#This Row],[soda_units_sold]]</f>
        <v>0.69720499484381748</v>
      </c>
      <c r="L3238" s="29">
        <f>dataset[[#This Row],[implied_soda_ppu]]-dataset[[#This Row],[soda_ppu]]</f>
        <v>4.9948438174407528E-6</v>
      </c>
      <c r="M3238">
        <f>dataset[[#This Row],[soda_sales]]/dataset[[#This Row],[total_sales]]</f>
        <v>7.8967339660309457E-2</v>
      </c>
      <c r="N3238">
        <f>LN(dataset[[#This Row],[soda_units_sold]])</f>
        <v>12.390425471233208</v>
      </c>
      <c r="O3238">
        <f>LN(dataset[[#This Row],[soda_sales]])</f>
        <v>12.029749670019033</v>
      </c>
      <c r="P3238">
        <f>LN(dataset[[#This Row],[soda_ppu]])</f>
        <v>-0.36068296533627114</v>
      </c>
      <c r="Q3238">
        <f>IF(dataset[[#This Row],[state]]="VA",1,0)</f>
        <v>0</v>
      </c>
    </row>
    <row r="3239" spans="1:17" x14ac:dyDescent="0.35">
      <c r="A3239">
        <v>202410</v>
      </c>
      <c r="B3239">
        <v>13</v>
      </c>
      <c r="C3239" s="2">
        <v>2538649.4347999999</v>
      </c>
      <c r="D3239" s="2">
        <v>0.67320000000000002</v>
      </c>
      <c r="E3239" s="3">
        <v>234503</v>
      </c>
      <c r="F3239" s="2">
        <v>157862.64509999999</v>
      </c>
      <c r="G3239" t="s">
        <v>426</v>
      </c>
      <c r="H3239" t="s">
        <v>5</v>
      </c>
      <c r="I3239">
        <f>HLOOKUP(G3239,zip_tiers!$A$1:$EON$2,2,FALSE)</f>
        <v>58271.666666666664</v>
      </c>
      <c r="J3239" t="str">
        <f t="shared" si="50"/>
        <v>Med</v>
      </c>
      <c r="K3239">
        <f>dataset[[#This Row],[soda_sales]]/dataset[[#This Row],[soda_units_sold]]</f>
        <v>0.67317963991931873</v>
      </c>
      <c r="L3239" s="29">
        <f>dataset[[#This Row],[implied_soda_ppu]]-dataset[[#This Row],[soda_ppu]]</f>
        <v>-2.0360080681292025E-5</v>
      </c>
      <c r="M3239">
        <f>dataset[[#This Row],[soda_sales]]/dataset[[#This Row],[total_sales]]</f>
        <v>6.2183711912328986E-2</v>
      </c>
      <c r="N3239">
        <f>LN(dataset[[#This Row],[soda_units_sold]])</f>
        <v>12.365223659963611</v>
      </c>
      <c r="O3239">
        <f>LN(dataset[[#This Row],[soda_sales]])</f>
        <v>11.96948059910833</v>
      </c>
      <c r="P3239">
        <f>LN(dataset[[#This Row],[soda_ppu]])</f>
        <v>-0.39571281666548608</v>
      </c>
      <c r="Q3239">
        <f>IF(dataset[[#This Row],[state]]="VA",1,0)</f>
        <v>0</v>
      </c>
    </row>
    <row r="3240" spans="1:17" x14ac:dyDescent="0.35">
      <c r="A3240">
        <v>202411</v>
      </c>
      <c r="B3240">
        <v>13</v>
      </c>
      <c r="C3240" s="2">
        <v>2877261.4339999999</v>
      </c>
      <c r="D3240" s="2">
        <v>0.69089999999999996</v>
      </c>
      <c r="E3240" s="3">
        <v>218226</v>
      </c>
      <c r="F3240" s="2">
        <v>150782.2916</v>
      </c>
      <c r="G3240" t="s">
        <v>426</v>
      </c>
      <c r="H3240" t="s">
        <v>5</v>
      </c>
      <c r="I3240">
        <f>HLOOKUP(G3240,zip_tiers!$A$1:$EON$2,2,FALSE)</f>
        <v>58271.666666666664</v>
      </c>
      <c r="J3240" t="str">
        <f t="shared" si="50"/>
        <v>Med</v>
      </c>
      <c r="K3240">
        <f>dataset[[#This Row],[soda_sales]]/dataset[[#This Row],[soda_units_sold]]</f>
        <v>0.69094558668536288</v>
      </c>
      <c r="L3240" s="29">
        <f>dataset[[#This Row],[implied_soda_ppu]]-dataset[[#This Row],[soda_ppu]]</f>
        <v>4.5586685362919432E-5</v>
      </c>
      <c r="M3240">
        <f>dataset[[#This Row],[soda_sales]]/dataset[[#This Row],[total_sales]]</f>
        <v>5.2404793606252463E-2</v>
      </c>
      <c r="N3240">
        <f>LN(dataset[[#This Row],[soda_units_sold]])</f>
        <v>12.293286502019447</v>
      </c>
      <c r="O3240">
        <f>LN(dataset[[#This Row],[soda_sales]])</f>
        <v>11.923592297952363</v>
      </c>
      <c r="P3240">
        <f>LN(dataset[[#This Row],[soda_ppu]])</f>
        <v>-0.36976018348738793</v>
      </c>
      <c r="Q3240">
        <f>IF(dataset[[#This Row],[state]]="VA",1,0)</f>
        <v>0</v>
      </c>
    </row>
    <row r="3241" spans="1:17" x14ac:dyDescent="0.35">
      <c r="A3241">
        <v>202412</v>
      </c>
      <c r="B3241">
        <v>13</v>
      </c>
      <c r="C3241" s="2">
        <v>2998746.8355999999</v>
      </c>
      <c r="D3241" s="2">
        <v>0.6552</v>
      </c>
      <c r="E3241" s="3">
        <v>221755</v>
      </c>
      <c r="F3241" s="2">
        <v>145292.82620000001</v>
      </c>
      <c r="G3241" t="s">
        <v>426</v>
      </c>
      <c r="H3241" t="s">
        <v>5</v>
      </c>
      <c r="I3241">
        <f>HLOOKUP(G3241,zip_tiers!$A$1:$EON$2,2,FALSE)</f>
        <v>58271.666666666664</v>
      </c>
      <c r="J3241" t="str">
        <f t="shared" si="50"/>
        <v>Med</v>
      </c>
      <c r="K3241">
        <f>dataset[[#This Row],[soda_sales]]/dataset[[#This Row],[soda_units_sold]]</f>
        <v>0.65519526594665289</v>
      </c>
      <c r="L3241" s="29">
        <f>dataset[[#This Row],[implied_soda_ppu]]-dataset[[#This Row],[soda_ppu]]</f>
        <v>-4.7340533471107449E-6</v>
      </c>
      <c r="M3241">
        <f>dataset[[#This Row],[soda_sales]]/dataset[[#This Row],[total_sales]]</f>
        <v>4.8451181165124702E-2</v>
      </c>
      <c r="N3241">
        <f>LN(dataset[[#This Row],[soda_units_sold]])</f>
        <v>12.309328447831943</v>
      </c>
      <c r="O3241">
        <f>LN(dataset[[#This Row],[soda_sales]])</f>
        <v>11.886506476006417</v>
      </c>
      <c r="P3241">
        <f>LN(dataset[[#This Row],[soda_ppu]])</f>
        <v>-0.42281474644327738</v>
      </c>
      <c r="Q3241">
        <f>IF(dataset[[#This Row],[state]]="VA",1,0)</f>
        <v>0</v>
      </c>
    </row>
    <row r="3242" spans="1:17" x14ac:dyDescent="0.35">
      <c r="A3242">
        <v>202201</v>
      </c>
      <c r="B3242">
        <v>95</v>
      </c>
      <c r="C3242" s="2">
        <v>1658072.6111999999</v>
      </c>
      <c r="D3242" s="2">
        <v>0.61140000000000005</v>
      </c>
      <c r="E3242" s="3">
        <v>155212</v>
      </c>
      <c r="F3242" s="2">
        <v>94890.666400000002</v>
      </c>
      <c r="G3242" t="s">
        <v>442</v>
      </c>
      <c r="H3242" t="s">
        <v>5</v>
      </c>
      <c r="I3242">
        <f>HLOOKUP(G3242,zip_tiers!$A$1:$EON$2,2,FALSE)</f>
        <v>56202.666666666664</v>
      </c>
      <c r="J3242" t="str">
        <f t="shared" si="50"/>
        <v>Med</v>
      </c>
      <c r="K3242">
        <f>dataset[[#This Row],[soda_sales]]/dataset[[#This Row],[soda_units_sold]]</f>
        <v>0.61136166275803416</v>
      </c>
      <c r="L3242" s="29">
        <f>dataset[[#This Row],[implied_soda_ppu]]-dataset[[#This Row],[soda_ppu]]</f>
        <v>-3.8337241965891167E-5</v>
      </c>
      <c r="M3242">
        <f>dataset[[#This Row],[soda_sales]]/dataset[[#This Row],[total_sales]]</f>
        <v>5.7229499938078472E-2</v>
      </c>
      <c r="N3242">
        <f>LN(dataset[[#This Row],[soda_units_sold]])</f>
        <v>11.952547203329878</v>
      </c>
      <c r="O3242">
        <f>LN(dataset[[#This Row],[soda_sales]])</f>
        <v>11.460480627811728</v>
      </c>
      <c r="P3242">
        <f>LN(dataset[[#This Row],[soda_ppu]])</f>
        <v>-0.49200386952540281</v>
      </c>
      <c r="Q3242">
        <f>IF(dataset[[#This Row],[state]]="VA",1,0)</f>
        <v>0</v>
      </c>
    </row>
    <row r="3243" spans="1:17" x14ac:dyDescent="0.35">
      <c r="A3243">
        <v>202202</v>
      </c>
      <c r="B3243">
        <v>95</v>
      </c>
      <c r="C3243" s="2">
        <v>1916653.5127999999</v>
      </c>
      <c r="D3243" s="2">
        <v>0.63949999999999996</v>
      </c>
      <c r="E3243" s="3">
        <v>171702</v>
      </c>
      <c r="F3243" s="2">
        <v>109809.8529</v>
      </c>
      <c r="G3243" t="s">
        <v>442</v>
      </c>
      <c r="H3243" t="s">
        <v>5</v>
      </c>
      <c r="I3243">
        <f>HLOOKUP(G3243,zip_tiers!$A$1:$EON$2,2,FALSE)</f>
        <v>56202.666666666664</v>
      </c>
      <c r="J3243" t="str">
        <f t="shared" si="50"/>
        <v>Med</v>
      </c>
      <c r="K3243">
        <f>dataset[[#This Row],[soda_sales]]/dataset[[#This Row],[soda_units_sold]]</f>
        <v>0.63953741307614353</v>
      </c>
      <c r="L3243" s="29">
        <f>dataset[[#This Row],[implied_soda_ppu]]-dataset[[#This Row],[soda_ppu]]</f>
        <v>3.7413076143577584E-5</v>
      </c>
      <c r="M3243">
        <f>dataset[[#This Row],[soda_sales]]/dataset[[#This Row],[total_sales]]</f>
        <v>5.7292490357102169E-2</v>
      </c>
      <c r="N3243">
        <f>LN(dataset[[#This Row],[soda_units_sold]])</f>
        <v>12.053515695041373</v>
      </c>
      <c r="O3243">
        <f>LN(dataset[[#This Row],[soda_sales]])</f>
        <v>11.606505539004303</v>
      </c>
      <c r="P3243">
        <f>LN(dataset[[#This Row],[soda_ppu]])</f>
        <v>-0.44706865796323975</v>
      </c>
      <c r="Q3243">
        <f>IF(dataset[[#This Row],[state]]="VA",1,0)</f>
        <v>0</v>
      </c>
    </row>
    <row r="3244" spans="1:17" x14ac:dyDescent="0.35">
      <c r="A3244">
        <v>202203</v>
      </c>
      <c r="B3244">
        <v>95</v>
      </c>
      <c r="C3244" s="2">
        <v>2098894.0514000002</v>
      </c>
      <c r="D3244" s="2">
        <v>0.61370000000000002</v>
      </c>
      <c r="E3244" s="3">
        <v>206238</v>
      </c>
      <c r="F3244" s="2">
        <v>126577.09940000001</v>
      </c>
      <c r="G3244" t="s">
        <v>442</v>
      </c>
      <c r="H3244" t="s">
        <v>5</v>
      </c>
      <c r="I3244">
        <f>HLOOKUP(G3244,zip_tiers!$A$1:$EON$2,2,FALSE)</f>
        <v>56202.666666666664</v>
      </c>
      <c r="J3244" t="str">
        <f t="shared" si="50"/>
        <v>Med</v>
      </c>
      <c r="K3244">
        <f>dataset[[#This Row],[soda_sales]]/dataset[[#This Row],[soda_units_sold]]</f>
        <v>0.61374285728139333</v>
      </c>
      <c r="L3244" s="29">
        <f>dataset[[#This Row],[implied_soda_ppu]]-dataset[[#This Row],[soda_ppu]]</f>
        <v>4.2857281393304802E-5</v>
      </c>
      <c r="M3244">
        <f>dataset[[#This Row],[soda_sales]]/dataset[[#This Row],[total_sales]]</f>
        <v>6.0306569221810311E-2</v>
      </c>
      <c r="N3244">
        <f>LN(dataset[[#This Row],[soda_units_sold]])</f>
        <v>12.236786120686117</v>
      </c>
      <c r="O3244">
        <f>LN(dataset[[#This Row],[soda_sales]])</f>
        <v>11.748606882914267</v>
      </c>
      <c r="P3244">
        <f>LN(dataset[[#This Row],[soda_ppu]])</f>
        <v>-0.48824906958708569</v>
      </c>
      <c r="Q3244">
        <f>IF(dataset[[#This Row],[state]]="VA",1,0)</f>
        <v>0</v>
      </c>
    </row>
    <row r="3245" spans="1:17" x14ac:dyDescent="0.35">
      <c r="A3245">
        <v>202204</v>
      </c>
      <c r="B3245">
        <v>95</v>
      </c>
      <c r="C3245" s="2">
        <v>2237744.3303</v>
      </c>
      <c r="D3245" s="2">
        <v>0.62229999999999996</v>
      </c>
      <c r="E3245" s="3">
        <v>241457</v>
      </c>
      <c r="F3245" s="2">
        <v>150270.26360000001</v>
      </c>
      <c r="G3245" t="s">
        <v>442</v>
      </c>
      <c r="H3245" t="s">
        <v>5</v>
      </c>
      <c r="I3245">
        <f>HLOOKUP(G3245,zip_tiers!$A$1:$EON$2,2,FALSE)</f>
        <v>56202.666666666664</v>
      </c>
      <c r="J3245" t="str">
        <f t="shared" si="50"/>
        <v>Med</v>
      </c>
      <c r="K3245">
        <f>dataset[[#This Row],[soda_sales]]/dataset[[#This Row],[soda_units_sold]]</f>
        <v>0.62234792778838466</v>
      </c>
      <c r="L3245" s="29">
        <f>dataset[[#This Row],[implied_soda_ppu]]-dataset[[#This Row],[soda_ppu]]</f>
        <v>4.7927788384694026E-5</v>
      </c>
      <c r="M3245">
        <f>dataset[[#This Row],[soda_sales]]/dataset[[#This Row],[total_sales]]</f>
        <v>6.7152561427718707E-2</v>
      </c>
      <c r="N3245">
        <f>LN(dataset[[#This Row],[soda_units_sold]])</f>
        <v>12.394446682391072</v>
      </c>
      <c r="O3245">
        <f>LN(dataset[[#This Row],[soda_sales]])</f>
        <v>11.920190709194051</v>
      </c>
      <c r="P3245">
        <f>LN(dataset[[#This Row],[soda_ppu]])</f>
        <v>-0.47433298740696489</v>
      </c>
      <c r="Q3245">
        <f>IF(dataset[[#This Row],[state]]="VA",1,0)</f>
        <v>0</v>
      </c>
    </row>
    <row r="3246" spans="1:17" x14ac:dyDescent="0.35">
      <c r="A3246">
        <v>202205</v>
      </c>
      <c r="B3246">
        <v>95</v>
      </c>
      <c r="C3246" s="2">
        <v>2356350.5106000002</v>
      </c>
      <c r="D3246" s="2">
        <v>0.61939999999999995</v>
      </c>
      <c r="E3246" s="3">
        <v>265253</v>
      </c>
      <c r="F3246" s="2">
        <v>164288.56770000001</v>
      </c>
      <c r="G3246" t="s">
        <v>442</v>
      </c>
      <c r="H3246" t="s">
        <v>5</v>
      </c>
      <c r="I3246">
        <f>HLOOKUP(G3246,zip_tiers!$A$1:$EON$2,2,FALSE)</f>
        <v>56202.666666666664</v>
      </c>
      <c r="J3246" t="str">
        <f t="shared" si="50"/>
        <v>Med</v>
      </c>
      <c r="K3246">
        <f>dataset[[#This Row],[soda_sales]]/dataset[[#This Row],[soda_units_sold]]</f>
        <v>0.619365540446291</v>
      </c>
      <c r="L3246" s="29">
        <f>dataset[[#This Row],[implied_soda_ppu]]-dataset[[#This Row],[soda_ppu]]</f>
        <v>-3.445955370895426E-5</v>
      </c>
      <c r="M3246">
        <f>dataset[[#This Row],[soda_sales]]/dataset[[#This Row],[total_sales]]</f>
        <v>6.97216169500042E-2</v>
      </c>
      <c r="N3246">
        <f>LN(dataset[[#This Row],[soda_units_sold]])</f>
        <v>12.488439366497097</v>
      </c>
      <c r="O3246">
        <f>LN(dataset[[#This Row],[soda_sales]])</f>
        <v>12.009379719741982</v>
      </c>
      <c r="P3246">
        <f>LN(dataset[[#This Row],[soda_ppu]])</f>
        <v>-0.47900401144303473</v>
      </c>
      <c r="Q3246">
        <f>IF(dataset[[#This Row],[state]]="VA",1,0)</f>
        <v>0</v>
      </c>
    </row>
    <row r="3247" spans="1:17" x14ac:dyDescent="0.35">
      <c r="A3247">
        <v>202206</v>
      </c>
      <c r="B3247">
        <v>95</v>
      </c>
      <c r="C3247" s="2">
        <v>2262583.9810000001</v>
      </c>
      <c r="D3247" s="2">
        <v>0.63580000000000003</v>
      </c>
      <c r="E3247" s="3">
        <v>270494</v>
      </c>
      <c r="F3247" s="2">
        <v>171967.6661</v>
      </c>
      <c r="G3247" t="s">
        <v>442</v>
      </c>
      <c r="H3247" t="s">
        <v>5</v>
      </c>
      <c r="I3247">
        <f>HLOOKUP(G3247,zip_tiers!$A$1:$EON$2,2,FALSE)</f>
        <v>56202.666666666664</v>
      </c>
      <c r="J3247" t="str">
        <f t="shared" si="50"/>
        <v>Med</v>
      </c>
      <c r="K3247">
        <f>dataset[[#This Row],[soda_sales]]/dataset[[#This Row],[soda_units_sold]]</f>
        <v>0.63575408733650285</v>
      </c>
      <c r="L3247" s="29">
        <f>dataset[[#This Row],[implied_soda_ppu]]-dataset[[#This Row],[soda_ppu]]</f>
        <v>-4.5912663497182926E-5</v>
      </c>
      <c r="M3247">
        <f>dataset[[#This Row],[soda_sales]]/dataset[[#This Row],[total_sales]]</f>
        <v>7.6004987016656506E-2</v>
      </c>
      <c r="N3247">
        <f>LN(dataset[[#This Row],[soda_units_sold]])</f>
        <v>12.508005195876642</v>
      </c>
      <c r="O3247">
        <f>LN(dataset[[#This Row],[soda_sales]])</f>
        <v>12.055061750332973</v>
      </c>
      <c r="P3247">
        <f>LN(dataset[[#This Row],[soda_ppu]])</f>
        <v>-0.45287123050543465</v>
      </c>
      <c r="Q3247">
        <f>IF(dataset[[#This Row],[state]]="VA",1,0)</f>
        <v>0</v>
      </c>
    </row>
    <row r="3248" spans="1:17" x14ac:dyDescent="0.35">
      <c r="A3248">
        <v>202207</v>
      </c>
      <c r="B3248">
        <v>95</v>
      </c>
      <c r="C3248" s="2">
        <v>2109260.5641000001</v>
      </c>
      <c r="D3248" s="2">
        <v>0.61240000000000006</v>
      </c>
      <c r="E3248" s="3">
        <v>285479</v>
      </c>
      <c r="F3248" s="2">
        <v>174827.68059999999</v>
      </c>
      <c r="G3248" t="s">
        <v>442</v>
      </c>
      <c r="H3248" t="s">
        <v>5</v>
      </c>
      <c r="I3248">
        <f>HLOOKUP(G3248,zip_tiers!$A$1:$EON$2,2,FALSE)</f>
        <v>56202.666666666664</v>
      </c>
      <c r="J3248" t="str">
        <f t="shared" si="50"/>
        <v>Med</v>
      </c>
      <c r="K3248">
        <f>dataset[[#This Row],[soda_sales]]/dataset[[#This Row],[soda_units_sold]]</f>
        <v>0.61240119448365726</v>
      </c>
      <c r="L3248" s="29">
        <f>dataset[[#This Row],[implied_soda_ppu]]-dataset[[#This Row],[soda_ppu]]</f>
        <v>1.1944836572075346E-6</v>
      </c>
      <c r="M3248">
        <f>dataset[[#This Row],[soda_sales]]/dataset[[#This Row],[total_sales]]</f>
        <v>8.2885767446468694E-2</v>
      </c>
      <c r="N3248">
        <f>LN(dataset[[#This Row],[soda_units_sold]])</f>
        <v>12.561923750206514</v>
      </c>
      <c r="O3248">
        <f>LN(dataset[[#This Row],[soda_sales]])</f>
        <v>12.07155608550185</v>
      </c>
      <c r="P3248">
        <f>LN(dataset[[#This Row],[soda_ppu]])</f>
        <v>-0.49036961519860828</v>
      </c>
      <c r="Q3248">
        <f>IF(dataset[[#This Row],[state]]="VA",1,0)</f>
        <v>0</v>
      </c>
    </row>
    <row r="3249" spans="1:17" x14ac:dyDescent="0.35">
      <c r="A3249">
        <v>202208</v>
      </c>
      <c r="B3249">
        <v>95</v>
      </c>
      <c r="C3249" s="2">
        <v>2036144.7180999999</v>
      </c>
      <c r="D3249" s="2">
        <v>0.62350000000000005</v>
      </c>
      <c r="E3249" s="3">
        <v>251687</v>
      </c>
      <c r="F3249" s="2">
        <v>156936.79010000001</v>
      </c>
      <c r="G3249" t="s">
        <v>442</v>
      </c>
      <c r="H3249" t="s">
        <v>5</v>
      </c>
      <c r="I3249">
        <f>HLOOKUP(G3249,zip_tiers!$A$1:$EON$2,2,FALSE)</f>
        <v>56202.666666666664</v>
      </c>
      <c r="J3249" t="str">
        <f t="shared" si="50"/>
        <v>Med</v>
      </c>
      <c r="K3249">
        <f>dataset[[#This Row],[soda_sales]]/dataset[[#This Row],[soda_units_sold]]</f>
        <v>0.62353951574773436</v>
      </c>
      <c r="L3249" s="29">
        <f>dataset[[#This Row],[implied_soda_ppu]]-dataset[[#This Row],[soda_ppu]]</f>
        <v>3.9515747734308881E-5</v>
      </c>
      <c r="M3249">
        <f>dataset[[#This Row],[soda_sales]]/dataset[[#This Row],[total_sales]]</f>
        <v>7.7075459668919502E-2</v>
      </c>
      <c r="N3249">
        <f>LN(dataset[[#This Row],[soda_units_sold]])</f>
        <v>12.435941531001323</v>
      </c>
      <c r="O3249">
        <f>LN(dataset[[#This Row],[soda_sales]])</f>
        <v>11.963598392432919</v>
      </c>
      <c r="P3249">
        <f>LN(dataset[[#This Row],[soda_ppu]])</f>
        <v>-0.47240651386204585</v>
      </c>
      <c r="Q3249">
        <f>IF(dataset[[#This Row],[state]]="VA",1,0)</f>
        <v>0</v>
      </c>
    </row>
    <row r="3250" spans="1:17" x14ac:dyDescent="0.35">
      <c r="A3250">
        <v>202209</v>
      </c>
      <c r="B3250">
        <v>95</v>
      </c>
      <c r="C3250" s="2">
        <v>1997113.4025999999</v>
      </c>
      <c r="D3250" s="2">
        <v>0.6321</v>
      </c>
      <c r="E3250" s="3">
        <v>229529</v>
      </c>
      <c r="F3250" s="2">
        <v>145074.9889</v>
      </c>
      <c r="G3250" t="s">
        <v>442</v>
      </c>
      <c r="H3250" t="s">
        <v>5</v>
      </c>
      <c r="I3250">
        <f>HLOOKUP(G3250,zip_tiers!$A$1:$EON$2,2,FALSE)</f>
        <v>56202.666666666664</v>
      </c>
      <c r="J3250" t="str">
        <f t="shared" si="50"/>
        <v>Med</v>
      </c>
      <c r="K3250">
        <f>dataset[[#This Row],[soda_sales]]/dataset[[#This Row],[soda_units_sold]]</f>
        <v>0.63205516035010822</v>
      </c>
      <c r="L3250" s="29">
        <f>dataset[[#This Row],[implied_soda_ppu]]-dataset[[#This Row],[soda_ppu]]</f>
        <v>-4.483964989177025E-5</v>
      </c>
      <c r="M3250">
        <f>dataset[[#This Row],[soda_sales]]/dataset[[#This Row],[total_sales]]</f>
        <v>7.2642339043506449E-2</v>
      </c>
      <c r="N3250">
        <f>LN(dataset[[#This Row],[soda_units_sold]])</f>
        <v>12.343784662155549</v>
      </c>
      <c r="O3250">
        <f>LN(dataset[[#This Row],[soda_sales]])</f>
        <v>11.885006052546657</v>
      </c>
      <c r="P3250">
        <f>LN(dataset[[#This Row],[soda_ppu]])</f>
        <v>-0.45870766950388403</v>
      </c>
      <c r="Q3250">
        <f>IF(dataset[[#This Row],[state]]="VA",1,0)</f>
        <v>0</v>
      </c>
    </row>
    <row r="3251" spans="1:17" x14ac:dyDescent="0.35">
      <c r="A3251">
        <v>202210</v>
      </c>
      <c r="B3251">
        <v>95</v>
      </c>
      <c r="C3251" s="2">
        <v>2484309.6674000002</v>
      </c>
      <c r="D3251" s="2">
        <v>0.63680000000000003</v>
      </c>
      <c r="E3251" s="3">
        <v>226655</v>
      </c>
      <c r="F3251" s="2">
        <v>144343.94440000001</v>
      </c>
      <c r="G3251" t="s">
        <v>442</v>
      </c>
      <c r="H3251" t="s">
        <v>5</v>
      </c>
      <c r="I3251">
        <f>HLOOKUP(G3251,zip_tiers!$A$1:$EON$2,2,FALSE)</f>
        <v>56202.666666666664</v>
      </c>
      <c r="J3251" t="str">
        <f t="shared" si="50"/>
        <v>Med</v>
      </c>
      <c r="K3251">
        <f>dataset[[#This Row],[soda_sales]]/dataset[[#This Row],[soda_units_sold]]</f>
        <v>0.6368442981624054</v>
      </c>
      <c r="L3251" s="29">
        <f>dataset[[#This Row],[implied_soda_ppu]]-dataset[[#This Row],[soda_ppu]]</f>
        <v>4.4298162405365105E-5</v>
      </c>
      <c r="M3251">
        <f>dataset[[#This Row],[soda_sales]]/dataset[[#This Row],[total_sales]]</f>
        <v>5.8102235117518906E-2</v>
      </c>
      <c r="N3251">
        <f>LN(dataset[[#This Row],[soda_units_sold]])</f>
        <v>12.331184316571289</v>
      </c>
      <c r="O3251">
        <f>LN(dataset[[#This Row],[soda_sales]])</f>
        <v>11.879954233397127</v>
      </c>
      <c r="P3251">
        <f>LN(dataset[[#This Row],[soda_ppu]])</f>
        <v>-0.45129964445196374</v>
      </c>
      <c r="Q3251">
        <f>IF(dataset[[#This Row],[state]]="VA",1,0)</f>
        <v>0</v>
      </c>
    </row>
    <row r="3252" spans="1:17" x14ac:dyDescent="0.35">
      <c r="A3252">
        <v>202211</v>
      </c>
      <c r="B3252">
        <v>95</v>
      </c>
      <c r="C3252" s="2">
        <v>2789992.5789000001</v>
      </c>
      <c r="D3252" s="2">
        <v>0.6381</v>
      </c>
      <c r="E3252" s="3">
        <v>210514</v>
      </c>
      <c r="F3252" s="2">
        <v>134332.38430000001</v>
      </c>
      <c r="G3252" t="s">
        <v>442</v>
      </c>
      <c r="H3252" t="s">
        <v>5</v>
      </c>
      <c r="I3252">
        <f>HLOOKUP(G3252,zip_tiers!$A$1:$EON$2,2,FALSE)</f>
        <v>56202.666666666664</v>
      </c>
      <c r="J3252" t="str">
        <f t="shared" si="50"/>
        <v>Med</v>
      </c>
      <c r="K3252">
        <f>dataset[[#This Row],[soda_sales]]/dataset[[#This Row],[soda_units_sold]]</f>
        <v>0.63811615522008036</v>
      </c>
      <c r="L3252" s="29">
        <f>dataset[[#This Row],[implied_soda_ppu]]-dataset[[#This Row],[soda_ppu]]</f>
        <v>1.6155220080360522E-5</v>
      </c>
      <c r="M3252">
        <f>dataset[[#This Row],[soda_sales]]/dataset[[#This Row],[total_sales]]</f>
        <v>4.814793606116427E-2</v>
      </c>
      <c r="N3252">
        <f>LN(dataset[[#This Row],[soda_units_sold]])</f>
        <v>12.257307438206533</v>
      </c>
      <c r="O3252">
        <f>LN(dataset[[#This Row],[soda_sales]])</f>
        <v>11.808072487471486</v>
      </c>
      <c r="P3252">
        <f>LN(dataset[[#This Row],[soda_ppu]])</f>
        <v>-0.44926026810783587</v>
      </c>
      <c r="Q3252">
        <f>IF(dataset[[#This Row],[state]]="VA",1,0)</f>
        <v>0</v>
      </c>
    </row>
    <row r="3253" spans="1:17" x14ac:dyDescent="0.35">
      <c r="A3253">
        <v>202212</v>
      </c>
      <c r="B3253">
        <v>95</v>
      </c>
      <c r="C3253" s="2">
        <v>2924635.4086000002</v>
      </c>
      <c r="D3253" s="2">
        <v>0.63949999999999996</v>
      </c>
      <c r="E3253" s="3">
        <v>205201</v>
      </c>
      <c r="F3253" s="2">
        <v>131221.228</v>
      </c>
      <c r="G3253" t="s">
        <v>442</v>
      </c>
      <c r="H3253" t="s">
        <v>5</v>
      </c>
      <c r="I3253">
        <f>HLOOKUP(G3253,zip_tiers!$A$1:$EON$2,2,FALSE)</f>
        <v>56202.666666666664</v>
      </c>
      <c r="J3253" t="str">
        <f t="shared" si="50"/>
        <v>Med</v>
      </c>
      <c r="K3253">
        <f>dataset[[#This Row],[soda_sales]]/dataset[[#This Row],[soda_units_sold]]</f>
        <v>0.63947655225851729</v>
      </c>
      <c r="L3253" s="29">
        <f>dataset[[#This Row],[implied_soda_ppu]]-dataset[[#This Row],[soda_ppu]]</f>
        <v>-2.3447741482662821E-5</v>
      </c>
      <c r="M3253">
        <f>dataset[[#This Row],[soda_sales]]/dataset[[#This Row],[total_sales]]</f>
        <v>4.4867550879723009E-2</v>
      </c>
      <c r="N3253">
        <f>LN(dataset[[#This Row],[soda_units_sold]])</f>
        <v>12.231745265561225</v>
      </c>
      <c r="O3253">
        <f>LN(dataset[[#This Row],[soda_sales]])</f>
        <v>11.784639941184603</v>
      </c>
      <c r="P3253">
        <f>LN(dataset[[#This Row],[soda_ppu]])</f>
        <v>-0.44706865796323975</v>
      </c>
      <c r="Q3253">
        <f>IF(dataset[[#This Row],[state]]="VA",1,0)</f>
        <v>0</v>
      </c>
    </row>
    <row r="3254" spans="1:17" x14ac:dyDescent="0.35">
      <c r="A3254">
        <v>202301</v>
      </c>
      <c r="B3254">
        <v>95</v>
      </c>
      <c r="C3254" s="2">
        <v>1676084.6747000001</v>
      </c>
      <c r="D3254" s="2">
        <v>0.65259999999999996</v>
      </c>
      <c r="E3254" s="3">
        <v>146851</v>
      </c>
      <c r="F3254" s="2">
        <v>95840.770900000003</v>
      </c>
      <c r="G3254" t="s">
        <v>442</v>
      </c>
      <c r="H3254" t="s">
        <v>5</v>
      </c>
      <c r="I3254">
        <f>HLOOKUP(G3254,zip_tiers!$A$1:$EON$2,2,FALSE)</f>
        <v>56202.666666666664</v>
      </c>
      <c r="J3254" t="str">
        <f t="shared" si="50"/>
        <v>Med</v>
      </c>
      <c r="K3254">
        <f>dataset[[#This Row],[soda_sales]]/dataset[[#This Row],[soda_units_sold]]</f>
        <v>0.65263955233536031</v>
      </c>
      <c r="L3254" s="29">
        <f>dataset[[#This Row],[implied_soda_ppu]]-dataset[[#This Row],[soda_ppu]]</f>
        <v>3.9552335360348856E-5</v>
      </c>
      <c r="M3254">
        <f>dataset[[#This Row],[soda_sales]]/dataset[[#This Row],[total_sales]]</f>
        <v>5.7181341937366265E-2</v>
      </c>
      <c r="N3254">
        <f>LN(dataset[[#This Row],[soda_units_sold]])</f>
        <v>11.897173746273312</v>
      </c>
      <c r="O3254">
        <f>LN(dataset[[#This Row],[soda_sales]])</f>
        <v>11.470443456931283</v>
      </c>
      <c r="P3254">
        <f>LN(dataset[[#This Row],[soda_ppu]])</f>
        <v>-0.42679089482291688</v>
      </c>
      <c r="Q3254">
        <f>IF(dataset[[#This Row],[state]]="VA",1,0)</f>
        <v>0</v>
      </c>
    </row>
    <row r="3255" spans="1:17" x14ac:dyDescent="0.35">
      <c r="A3255">
        <v>202302</v>
      </c>
      <c r="B3255">
        <v>95</v>
      </c>
      <c r="C3255" s="2">
        <v>1886754.9234</v>
      </c>
      <c r="D3255" s="2">
        <v>0.67459999999999998</v>
      </c>
      <c r="E3255" s="3">
        <v>160324</v>
      </c>
      <c r="F3255" s="2">
        <v>108148.51059999999</v>
      </c>
      <c r="G3255" t="s">
        <v>442</v>
      </c>
      <c r="H3255" t="s">
        <v>5</v>
      </c>
      <c r="I3255">
        <f>HLOOKUP(G3255,zip_tiers!$A$1:$EON$2,2,FALSE)</f>
        <v>56202.666666666664</v>
      </c>
      <c r="J3255" t="str">
        <f t="shared" si="50"/>
        <v>Med</v>
      </c>
      <c r="K3255">
        <f>dataset[[#This Row],[soda_sales]]/dataset[[#This Row],[soda_units_sold]]</f>
        <v>0.67456220278935153</v>
      </c>
      <c r="L3255" s="29">
        <f>dataset[[#This Row],[implied_soda_ppu]]-dataset[[#This Row],[soda_ppu]]</f>
        <v>-3.7797210648449209E-5</v>
      </c>
      <c r="M3255">
        <f>dataset[[#This Row],[soda_sales]]/dataset[[#This Row],[total_sales]]</f>
        <v>5.7319850744108572E-2</v>
      </c>
      <c r="N3255">
        <f>LN(dataset[[#This Row],[soda_units_sold]])</f>
        <v>11.984952046667189</v>
      </c>
      <c r="O3255">
        <f>LN(dataset[[#This Row],[soda_sales]])</f>
        <v>11.591260659672875</v>
      </c>
      <c r="P3255">
        <f>LN(dataset[[#This Row],[soda_ppu]])</f>
        <v>-0.39363535635458724</v>
      </c>
      <c r="Q3255">
        <f>IF(dataset[[#This Row],[state]]="VA",1,0)</f>
        <v>0</v>
      </c>
    </row>
    <row r="3256" spans="1:17" x14ac:dyDescent="0.35">
      <c r="A3256">
        <v>202303</v>
      </c>
      <c r="B3256">
        <v>95</v>
      </c>
      <c r="C3256" s="2">
        <v>2118003.6693000002</v>
      </c>
      <c r="D3256" s="2">
        <v>0.64859999999999995</v>
      </c>
      <c r="E3256" s="3">
        <v>199496</v>
      </c>
      <c r="F3256" s="2">
        <v>129399.11629999999</v>
      </c>
      <c r="G3256" t="s">
        <v>442</v>
      </c>
      <c r="H3256" t="s">
        <v>5</v>
      </c>
      <c r="I3256">
        <f>HLOOKUP(G3256,zip_tiers!$A$1:$EON$2,2,FALSE)</f>
        <v>56202.666666666664</v>
      </c>
      <c r="J3256" t="str">
        <f t="shared" si="50"/>
        <v>Med</v>
      </c>
      <c r="K3256">
        <f>dataset[[#This Row],[soda_sales]]/dataset[[#This Row],[soda_units_sold]]</f>
        <v>0.64863012942615383</v>
      </c>
      <c r="L3256" s="29">
        <f>dataset[[#This Row],[implied_soda_ppu]]-dataset[[#This Row],[soda_ppu]]</f>
        <v>3.0129426153879812E-5</v>
      </c>
      <c r="M3256">
        <f>dataset[[#This Row],[soda_sales]]/dataset[[#This Row],[total_sales]]</f>
        <v>6.1094849917217746E-2</v>
      </c>
      <c r="N3256">
        <f>LN(dataset[[#This Row],[soda_units_sold]])</f>
        <v>12.203549464985736</v>
      </c>
      <c r="O3256">
        <f>LN(dataset[[#This Row],[soda_sales]])</f>
        <v>11.770656831813872</v>
      </c>
      <c r="P3256">
        <f>LN(dataset[[#This Row],[soda_ppu]])</f>
        <v>-0.43293908510891954</v>
      </c>
      <c r="Q3256">
        <f>IF(dataset[[#This Row],[state]]="VA",1,0)</f>
        <v>0</v>
      </c>
    </row>
    <row r="3257" spans="1:17" x14ac:dyDescent="0.35">
      <c r="A3257">
        <v>202304</v>
      </c>
      <c r="B3257">
        <v>95</v>
      </c>
      <c r="C3257" s="2">
        <v>2231303.9652999998</v>
      </c>
      <c r="D3257" s="2">
        <v>0.61650000000000005</v>
      </c>
      <c r="E3257" s="3">
        <v>239355</v>
      </c>
      <c r="F3257" s="2">
        <v>147560.68780000001</v>
      </c>
      <c r="G3257" t="s">
        <v>442</v>
      </c>
      <c r="H3257" t="s">
        <v>5</v>
      </c>
      <c r="I3257">
        <f>HLOOKUP(G3257,zip_tiers!$A$1:$EON$2,2,FALSE)</f>
        <v>56202.666666666664</v>
      </c>
      <c r="J3257" t="str">
        <f t="shared" si="50"/>
        <v>Med</v>
      </c>
      <c r="K3257">
        <f>dataset[[#This Row],[soda_sales]]/dataset[[#This Row],[soda_units_sold]]</f>
        <v>0.61649302416912122</v>
      </c>
      <c r="L3257" s="29">
        <f>dataset[[#This Row],[implied_soda_ppu]]-dataset[[#This Row],[soda_ppu]]</f>
        <v>-6.975830878830358E-6</v>
      </c>
      <c r="M3257">
        <f>dataset[[#This Row],[soda_sales]]/dataset[[#This Row],[total_sales]]</f>
        <v>6.6132042112944669E-2</v>
      </c>
      <c r="N3257">
        <f>LN(dataset[[#This Row],[soda_units_sold]])</f>
        <v>12.385703084512638</v>
      </c>
      <c r="O3257">
        <f>LN(dataset[[#This Row],[soda_sales]])</f>
        <v>11.901994812854534</v>
      </c>
      <c r="P3257">
        <f>LN(dataset[[#This Row],[soda_ppu]])</f>
        <v>-0.48369695637773796</v>
      </c>
      <c r="Q3257">
        <f>IF(dataset[[#This Row],[state]]="VA",1,0)</f>
        <v>0</v>
      </c>
    </row>
    <row r="3258" spans="1:17" x14ac:dyDescent="0.35">
      <c r="A3258">
        <v>202305</v>
      </c>
      <c r="B3258">
        <v>95</v>
      </c>
      <c r="C3258" s="2">
        <v>2386373.4235</v>
      </c>
      <c r="D3258" s="2">
        <v>0.65680000000000005</v>
      </c>
      <c r="E3258" s="3">
        <v>255735</v>
      </c>
      <c r="F3258" s="2">
        <v>167962.23259999999</v>
      </c>
      <c r="G3258" t="s">
        <v>442</v>
      </c>
      <c r="H3258" t="s">
        <v>5</v>
      </c>
      <c r="I3258">
        <f>HLOOKUP(G3258,zip_tiers!$A$1:$EON$2,2,FALSE)</f>
        <v>56202.666666666664</v>
      </c>
      <c r="J3258" t="str">
        <f t="shared" si="50"/>
        <v>Med</v>
      </c>
      <c r="K3258">
        <f>dataset[[#This Row],[soda_sales]]/dataset[[#This Row],[soda_units_sold]]</f>
        <v>0.65678234344145303</v>
      </c>
      <c r="L3258" s="29">
        <f>dataset[[#This Row],[implied_soda_ppu]]-dataset[[#This Row],[soda_ppu]]</f>
        <v>-1.7656558547018975E-5</v>
      </c>
      <c r="M3258">
        <f>dataset[[#This Row],[soda_sales]]/dataset[[#This Row],[total_sales]]</f>
        <v>7.0383884997200649E-2</v>
      </c>
      <c r="N3258">
        <f>LN(dataset[[#This Row],[soda_units_sold]])</f>
        <v>12.451897031067441</v>
      </c>
      <c r="O3258">
        <f>LN(dataset[[#This Row],[soda_sales]])</f>
        <v>12.03149442716037</v>
      </c>
      <c r="P3258">
        <f>LN(dataset[[#This Row],[soda_ppu]])</f>
        <v>-0.4203757208439185</v>
      </c>
      <c r="Q3258">
        <f>IF(dataset[[#This Row],[state]]="VA",1,0)</f>
        <v>0</v>
      </c>
    </row>
    <row r="3259" spans="1:17" x14ac:dyDescent="0.35">
      <c r="A3259">
        <v>202306</v>
      </c>
      <c r="B3259">
        <v>95</v>
      </c>
      <c r="C3259" s="2">
        <v>2260395.8420000002</v>
      </c>
      <c r="D3259" s="2">
        <v>0.60060000000000002</v>
      </c>
      <c r="E3259" s="3">
        <v>285486</v>
      </c>
      <c r="F3259" s="2">
        <v>171467.32329999999</v>
      </c>
      <c r="G3259" t="s">
        <v>442</v>
      </c>
      <c r="H3259" t="s">
        <v>5</v>
      </c>
      <c r="I3259">
        <f>HLOOKUP(G3259,zip_tiers!$A$1:$EON$2,2,FALSE)</f>
        <v>56202.666666666664</v>
      </c>
      <c r="J3259" t="str">
        <f t="shared" si="50"/>
        <v>Med</v>
      </c>
      <c r="K3259">
        <f>dataset[[#This Row],[soda_sales]]/dataset[[#This Row],[soda_units_sold]]</f>
        <v>0.60061552335315915</v>
      </c>
      <c r="L3259" s="29">
        <f>dataset[[#This Row],[implied_soda_ppu]]-dataset[[#This Row],[soda_ppu]]</f>
        <v>1.5523353159130338E-5</v>
      </c>
      <c r="M3259">
        <f>dataset[[#This Row],[soda_sales]]/dataset[[#This Row],[total_sales]]</f>
        <v>7.585721054427598E-2</v>
      </c>
      <c r="N3259">
        <f>LN(dataset[[#This Row],[soda_units_sold]])</f>
        <v>12.561948270098277</v>
      </c>
      <c r="O3259">
        <f>LN(dataset[[#This Row],[soda_sales]])</f>
        <v>12.052147992740213</v>
      </c>
      <c r="P3259">
        <f>LN(dataset[[#This Row],[soda_ppu]])</f>
        <v>-0.50982612343290712</v>
      </c>
      <c r="Q3259">
        <f>IF(dataset[[#This Row],[state]]="VA",1,0)</f>
        <v>0</v>
      </c>
    </row>
    <row r="3260" spans="1:17" x14ac:dyDescent="0.35">
      <c r="A3260">
        <v>202307</v>
      </c>
      <c r="B3260">
        <v>95</v>
      </c>
      <c r="C3260" s="2">
        <v>2134905.5162999998</v>
      </c>
      <c r="D3260" s="2">
        <v>0.64810000000000001</v>
      </c>
      <c r="E3260" s="3">
        <v>273298</v>
      </c>
      <c r="F3260" s="2">
        <v>177130.8155</v>
      </c>
      <c r="G3260" t="s">
        <v>442</v>
      </c>
      <c r="H3260" t="s">
        <v>5</v>
      </c>
      <c r="I3260">
        <f>HLOOKUP(G3260,zip_tiers!$A$1:$EON$2,2,FALSE)</f>
        <v>56202.666666666664</v>
      </c>
      <c r="J3260" t="str">
        <f t="shared" si="50"/>
        <v>Med</v>
      </c>
      <c r="K3260">
        <f>dataset[[#This Row],[soda_sales]]/dataset[[#This Row],[soda_units_sold]]</f>
        <v>0.64812335070143212</v>
      </c>
      <c r="L3260" s="29">
        <f>dataset[[#This Row],[implied_soda_ppu]]-dataset[[#This Row],[soda_ppu]]</f>
        <v>2.3350701432112153E-5</v>
      </c>
      <c r="M3260">
        <f>dataset[[#This Row],[soda_sales]]/dataset[[#This Row],[total_sales]]</f>
        <v>8.2968924923190523E-2</v>
      </c>
      <c r="N3260">
        <f>LN(dataset[[#This Row],[soda_units_sold]])</f>
        <v>12.518318053923778</v>
      </c>
      <c r="O3260">
        <f>LN(dataset[[#This Row],[soda_sales]])</f>
        <v>12.084643809199235</v>
      </c>
      <c r="P3260">
        <f>LN(dataset[[#This Row],[soda_ppu]])</f>
        <v>-0.43371027354846675</v>
      </c>
      <c r="Q3260">
        <f>IF(dataset[[#This Row],[state]]="VA",1,0)</f>
        <v>0</v>
      </c>
    </row>
    <row r="3261" spans="1:17" x14ac:dyDescent="0.35">
      <c r="A3261">
        <v>202308</v>
      </c>
      <c r="B3261">
        <v>95</v>
      </c>
      <c r="C3261" s="2">
        <v>2068450.1189999999</v>
      </c>
      <c r="D3261" s="2">
        <v>0.66169999999999995</v>
      </c>
      <c r="E3261" s="3">
        <v>240377</v>
      </c>
      <c r="F3261" s="2">
        <v>159066.9748</v>
      </c>
      <c r="G3261" t="s">
        <v>442</v>
      </c>
      <c r="H3261" t="s">
        <v>5</v>
      </c>
      <c r="I3261">
        <f>HLOOKUP(G3261,zip_tiers!$A$1:$EON$2,2,FALSE)</f>
        <v>56202.666666666664</v>
      </c>
      <c r="J3261" t="str">
        <f t="shared" si="50"/>
        <v>Med</v>
      </c>
      <c r="K3261">
        <f>dataset[[#This Row],[soda_sales]]/dataset[[#This Row],[soda_units_sold]]</f>
        <v>0.66173957907786518</v>
      </c>
      <c r="L3261" s="29">
        <f>dataset[[#This Row],[implied_soda_ppu]]-dataset[[#This Row],[soda_ppu]]</f>
        <v>3.9579077865226076E-5</v>
      </c>
      <c r="M3261">
        <f>dataset[[#This Row],[soda_sales]]/dataset[[#This Row],[total_sales]]</f>
        <v>7.6901528027613991E-2</v>
      </c>
      <c r="N3261">
        <f>LN(dataset[[#This Row],[soda_units_sold]])</f>
        <v>12.38996380318928</v>
      </c>
      <c r="O3261">
        <f>LN(dataset[[#This Row],[soda_sales]])</f>
        <v>11.97708061766919</v>
      </c>
      <c r="P3261">
        <f>LN(dataset[[#This Row],[soda_ppu]])</f>
        <v>-0.41294299796412332</v>
      </c>
      <c r="Q3261">
        <f>IF(dataset[[#This Row],[state]]="VA",1,0)</f>
        <v>0</v>
      </c>
    </row>
    <row r="3262" spans="1:17" x14ac:dyDescent="0.35">
      <c r="A3262">
        <v>202309</v>
      </c>
      <c r="B3262">
        <v>95</v>
      </c>
      <c r="C3262" s="2">
        <v>2043944.8086999999</v>
      </c>
      <c r="D3262" s="2">
        <v>0.64239999999999997</v>
      </c>
      <c r="E3262" s="3">
        <v>232657</v>
      </c>
      <c r="F3262" s="2">
        <v>149460.30129999999</v>
      </c>
      <c r="G3262" t="s">
        <v>442</v>
      </c>
      <c r="H3262" t="s">
        <v>5</v>
      </c>
      <c r="I3262">
        <f>HLOOKUP(G3262,zip_tiers!$A$1:$EON$2,2,FALSE)</f>
        <v>56202.666666666664</v>
      </c>
      <c r="J3262" t="str">
        <f t="shared" si="50"/>
        <v>Med</v>
      </c>
      <c r="K3262">
        <f>dataset[[#This Row],[soda_sales]]/dataset[[#This Row],[soda_units_sold]]</f>
        <v>0.64240620871067711</v>
      </c>
      <c r="L3262" s="29">
        <f>dataset[[#This Row],[implied_soda_ppu]]-dataset[[#This Row],[soda_ppu]]</f>
        <v>6.2087106771357981E-6</v>
      </c>
      <c r="M3262">
        <f>dataset[[#This Row],[soda_sales]]/dataset[[#This Row],[total_sales]]</f>
        <v>7.312345258239164E-2</v>
      </c>
      <c r="N3262">
        <f>LN(dataset[[#This Row],[soda_units_sold]])</f>
        <v>12.357320544935352</v>
      </c>
      <c r="O3262">
        <f>LN(dataset[[#This Row],[soda_sales]])</f>
        <v>11.914786093406242</v>
      </c>
      <c r="P3262">
        <f>LN(dataset[[#This Row],[soda_ppu]])</f>
        <v>-0.44254411634958518</v>
      </c>
      <c r="Q3262">
        <f>IF(dataset[[#This Row],[state]]="VA",1,0)</f>
        <v>0</v>
      </c>
    </row>
    <row r="3263" spans="1:17" x14ac:dyDescent="0.35">
      <c r="A3263">
        <v>202310</v>
      </c>
      <c r="B3263">
        <v>95</v>
      </c>
      <c r="C3263" s="2">
        <v>2469558.9997999999</v>
      </c>
      <c r="D3263" s="2">
        <v>0.62060000000000004</v>
      </c>
      <c r="E3263" s="3">
        <v>231475</v>
      </c>
      <c r="F3263" s="2">
        <v>143645.61309999999</v>
      </c>
      <c r="G3263" t="s">
        <v>442</v>
      </c>
      <c r="H3263" t="s">
        <v>5</v>
      </c>
      <c r="I3263">
        <f>HLOOKUP(G3263,zip_tiers!$A$1:$EON$2,2,FALSE)</f>
        <v>56202.666666666664</v>
      </c>
      <c r="J3263" t="str">
        <f t="shared" si="50"/>
        <v>Med</v>
      </c>
      <c r="K3263">
        <f>dataset[[#This Row],[soda_sales]]/dataset[[#This Row],[soda_units_sold]]</f>
        <v>0.62056642445188459</v>
      </c>
      <c r="L3263" s="29">
        <f>dataset[[#This Row],[implied_soda_ppu]]-dataset[[#This Row],[soda_ppu]]</f>
        <v>-3.3575548115449827E-5</v>
      </c>
      <c r="M3263">
        <f>dataset[[#This Row],[soda_sales]]/dataset[[#This Row],[total_sales]]</f>
        <v>5.8166503862282011E-2</v>
      </c>
      <c r="N3263">
        <f>LN(dataset[[#This Row],[soda_units_sold]])</f>
        <v>12.352227155316248</v>
      </c>
      <c r="O3263">
        <f>LN(dataset[[#This Row],[soda_sales]])</f>
        <v>11.87510452513151</v>
      </c>
      <c r="P3263">
        <f>LN(dataset[[#This Row],[soda_ppu]])</f>
        <v>-0.47706852696785718</v>
      </c>
      <c r="Q3263">
        <f>IF(dataset[[#This Row],[state]]="VA",1,0)</f>
        <v>0</v>
      </c>
    </row>
    <row r="3264" spans="1:17" x14ac:dyDescent="0.35">
      <c r="A3264">
        <v>202311</v>
      </c>
      <c r="B3264">
        <v>95</v>
      </c>
      <c r="C3264" s="2">
        <v>2922578.8108999999</v>
      </c>
      <c r="D3264" s="2">
        <v>0.64729999999999999</v>
      </c>
      <c r="E3264" s="3">
        <v>215769</v>
      </c>
      <c r="F3264" s="2">
        <v>139674.2984</v>
      </c>
      <c r="G3264" t="s">
        <v>442</v>
      </c>
      <c r="H3264" t="s">
        <v>5</v>
      </c>
      <c r="I3264">
        <f>HLOOKUP(G3264,zip_tiers!$A$1:$EON$2,2,FALSE)</f>
        <v>56202.666666666664</v>
      </c>
      <c r="J3264" t="str">
        <f t="shared" si="50"/>
        <v>Med</v>
      </c>
      <c r="K3264">
        <f>dataset[[#This Row],[soda_sales]]/dataset[[#This Row],[soda_units_sold]]</f>
        <v>0.64733255657670929</v>
      </c>
      <c r="L3264" s="29">
        <f>dataset[[#This Row],[implied_soda_ppu]]-dataset[[#This Row],[soda_ppu]]</f>
        <v>3.2556576709308338E-5</v>
      </c>
      <c r="M3264">
        <f>dataset[[#This Row],[soda_sales]]/dataset[[#This Row],[total_sales]]</f>
        <v>4.7791456599587022E-2</v>
      </c>
      <c r="N3264">
        <f>LN(dataset[[#This Row],[soda_units_sold]])</f>
        <v>12.281963669958108</v>
      </c>
      <c r="O3264">
        <f>LN(dataset[[#This Row],[soda_sales]])</f>
        <v>11.847068551225419</v>
      </c>
      <c r="P3264">
        <f>LN(dataset[[#This Row],[soda_ppu]])</f>
        <v>-0.43494541343067256</v>
      </c>
      <c r="Q3264">
        <f>IF(dataset[[#This Row],[state]]="VA",1,0)</f>
        <v>0</v>
      </c>
    </row>
    <row r="3265" spans="1:17" x14ac:dyDescent="0.35">
      <c r="A3265">
        <v>202312</v>
      </c>
      <c r="B3265">
        <v>95</v>
      </c>
      <c r="C3265" s="2">
        <v>2946499.9473999999</v>
      </c>
      <c r="D3265" s="2">
        <v>0.6623</v>
      </c>
      <c r="E3265" s="3">
        <v>199466</v>
      </c>
      <c r="F3265" s="2">
        <v>132112.264</v>
      </c>
      <c r="G3265" t="s">
        <v>442</v>
      </c>
      <c r="H3265" t="s">
        <v>5</v>
      </c>
      <c r="I3265">
        <f>HLOOKUP(G3265,zip_tiers!$A$1:$EON$2,2,FALSE)</f>
        <v>56202.666666666664</v>
      </c>
      <c r="J3265" t="str">
        <f t="shared" si="50"/>
        <v>Med</v>
      </c>
      <c r="K3265">
        <f>dataset[[#This Row],[soda_sales]]/dataset[[#This Row],[soda_units_sold]]</f>
        <v>0.66232974040688641</v>
      </c>
      <c r="L3265" s="29">
        <f>dataset[[#This Row],[implied_soda_ppu]]-dataset[[#This Row],[soda_ppu]]</f>
        <v>2.9740406886413773E-5</v>
      </c>
      <c r="M3265">
        <f>dataset[[#This Row],[soda_sales]]/dataset[[#This Row],[total_sales]]</f>
        <v>4.4837015563694897E-2</v>
      </c>
      <c r="N3265">
        <f>LN(dataset[[#This Row],[soda_units_sold]])</f>
        <v>12.20339907472272</v>
      </c>
      <c r="O3265">
        <f>LN(dataset[[#This Row],[soda_sales]])</f>
        <v>11.791407324959682</v>
      </c>
      <c r="P3265">
        <f>LN(dataset[[#This Row],[soda_ppu]])</f>
        <v>-0.41203665349120328</v>
      </c>
      <c r="Q3265">
        <f>IF(dataset[[#This Row],[state]]="VA",1,0)</f>
        <v>0</v>
      </c>
    </row>
    <row r="3266" spans="1:17" x14ac:dyDescent="0.35">
      <c r="A3266">
        <v>202401</v>
      </c>
      <c r="B3266">
        <v>95</v>
      </c>
      <c r="C3266" s="2">
        <v>1735098.9679</v>
      </c>
      <c r="D3266" s="2">
        <v>0.6754</v>
      </c>
      <c r="E3266" s="3">
        <v>148717</v>
      </c>
      <c r="F3266" s="2">
        <v>100437.2142</v>
      </c>
      <c r="G3266" t="s">
        <v>442</v>
      </c>
      <c r="H3266" t="s">
        <v>5</v>
      </c>
      <c r="I3266">
        <f>HLOOKUP(G3266,zip_tiers!$A$1:$EON$2,2,FALSE)</f>
        <v>56202.666666666664</v>
      </c>
      <c r="J3266" t="str">
        <f t="shared" ref="J3266:J3329" si="51">IF(I3266="","No Data",IF(I3266&gt;=100000,"High",IF(I3266&gt;=40000,"Med","Low")))</f>
        <v>Med</v>
      </c>
      <c r="K3266">
        <f>dataset[[#This Row],[soda_sales]]/dataset[[#This Row],[soda_units_sold]]</f>
        <v>0.67535799000786734</v>
      </c>
      <c r="L3266" s="29">
        <f>dataset[[#This Row],[implied_soda_ppu]]-dataset[[#This Row],[soda_ppu]]</f>
        <v>-4.2009992132663321E-5</v>
      </c>
      <c r="M3266">
        <f>dataset[[#This Row],[soda_sales]]/dataset[[#This Row],[total_sales]]</f>
        <v>5.7885582354740103E-2</v>
      </c>
      <c r="N3266">
        <f>LN(dataset[[#This Row],[soda_units_sold]])</f>
        <v>11.909800450056309</v>
      </c>
      <c r="O3266">
        <f>LN(dataset[[#This Row],[soda_sales]])</f>
        <v>11.517288076925103</v>
      </c>
      <c r="P3266">
        <f>LN(dataset[[#This Row],[soda_ppu]])</f>
        <v>-0.3924501710306697</v>
      </c>
      <c r="Q3266">
        <f>IF(dataset[[#This Row],[state]]="VA",1,0)</f>
        <v>0</v>
      </c>
    </row>
    <row r="3267" spans="1:17" x14ac:dyDescent="0.35">
      <c r="A3267">
        <v>202402</v>
      </c>
      <c r="B3267">
        <v>95</v>
      </c>
      <c r="C3267" s="2">
        <v>1961358.0035999999</v>
      </c>
      <c r="D3267" s="2">
        <v>0.67030000000000001</v>
      </c>
      <c r="E3267" s="3">
        <v>170485</v>
      </c>
      <c r="F3267" s="2">
        <v>114275.4467</v>
      </c>
      <c r="G3267" t="s">
        <v>442</v>
      </c>
      <c r="H3267" t="s">
        <v>5</v>
      </c>
      <c r="I3267">
        <f>HLOOKUP(G3267,zip_tiers!$A$1:$EON$2,2,FALSE)</f>
        <v>56202.666666666664</v>
      </c>
      <c r="J3267" t="str">
        <f t="shared" si="51"/>
        <v>Med</v>
      </c>
      <c r="K3267">
        <f>dataset[[#This Row],[soda_sales]]/dataset[[#This Row],[soda_units_sold]]</f>
        <v>0.67029619438660293</v>
      </c>
      <c r="L3267" s="29">
        <f>dataset[[#This Row],[implied_soda_ppu]]-dataset[[#This Row],[soda_ppu]]</f>
        <v>-3.8056133970787442E-6</v>
      </c>
      <c r="M3267">
        <f>dataset[[#This Row],[soda_sales]]/dataset[[#This Row],[total_sales]]</f>
        <v>5.8263430995387715E-2</v>
      </c>
      <c r="N3267">
        <f>LN(dataset[[#This Row],[soda_units_sold]])</f>
        <v>12.046402595295957</v>
      </c>
      <c r="O3267">
        <f>LN(dataset[[#This Row],[soda_sales]])</f>
        <v>11.646367012183774</v>
      </c>
      <c r="P3267">
        <f>LN(dataset[[#This Row],[soda_ppu]])</f>
        <v>-0.40002990561822505</v>
      </c>
      <c r="Q3267">
        <f>IF(dataset[[#This Row],[state]]="VA",1,0)</f>
        <v>0</v>
      </c>
    </row>
    <row r="3268" spans="1:17" x14ac:dyDescent="0.35">
      <c r="A3268">
        <v>202403</v>
      </c>
      <c r="B3268">
        <v>95</v>
      </c>
      <c r="C3268" s="2">
        <v>2123420.7447000002</v>
      </c>
      <c r="D3268" s="2">
        <v>0.65510000000000002</v>
      </c>
      <c r="E3268" s="3">
        <v>196748</v>
      </c>
      <c r="F3268" s="2">
        <v>128898.93180000001</v>
      </c>
      <c r="G3268" t="s">
        <v>442</v>
      </c>
      <c r="H3268" t="s">
        <v>5</v>
      </c>
      <c r="I3268">
        <f>HLOOKUP(G3268,zip_tiers!$A$1:$EON$2,2,FALSE)</f>
        <v>56202.666666666664</v>
      </c>
      <c r="J3268" t="str">
        <f t="shared" si="51"/>
        <v>Med</v>
      </c>
      <c r="K3268">
        <f>dataset[[#This Row],[soda_sales]]/dataset[[#This Row],[soda_units_sold]]</f>
        <v>0.6551473549921728</v>
      </c>
      <c r="L3268" s="29">
        <f>dataset[[#This Row],[implied_soda_ppu]]-dataset[[#This Row],[soda_ppu]]</f>
        <v>4.7354992172787824E-5</v>
      </c>
      <c r="M3268">
        <f>dataset[[#This Row],[soda_sales]]/dataset[[#This Row],[total_sales]]</f>
        <v>6.0703434362562481E-2</v>
      </c>
      <c r="N3268">
        <f>LN(dataset[[#This Row],[soda_units_sold]])</f>
        <v>12.189679001043739</v>
      </c>
      <c r="O3268">
        <f>LN(dataset[[#This Row],[soda_sales]])</f>
        <v>11.76678390184872</v>
      </c>
      <c r="P3268">
        <f>LN(dataset[[#This Row],[soda_ppu]])</f>
        <v>-0.42296738324430638</v>
      </c>
      <c r="Q3268">
        <f>IF(dataset[[#This Row],[state]]="VA",1,0)</f>
        <v>0</v>
      </c>
    </row>
    <row r="3269" spans="1:17" x14ac:dyDescent="0.35">
      <c r="A3269">
        <v>202404</v>
      </c>
      <c r="B3269">
        <v>95</v>
      </c>
      <c r="C3269" s="2">
        <v>2308188.5918000001</v>
      </c>
      <c r="D3269" s="2">
        <v>0.66510000000000002</v>
      </c>
      <c r="E3269" s="3">
        <v>234211</v>
      </c>
      <c r="F3269" s="2">
        <v>155762.0582</v>
      </c>
      <c r="G3269" t="s">
        <v>442</v>
      </c>
      <c r="H3269" t="s">
        <v>5</v>
      </c>
      <c r="I3269">
        <f>HLOOKUP(G3269,zip_tiers!$A$1:$EON$2,2,FALSE)</f>
        <v>56202.666666666664</v>
      </c>
      <c r="J3269" t="str">
        <f t="shared" si="51"/>
        <v>Med</v>
      </c>
      <c r="K3269">
        <f>dataset[[#This Row],[soda_sales]]/dataset[[#This Row],[soda_units_sold]]</f>
        <v>0.66505013940421243</v>
      </c>
      <c r="L3269" s="29">
        <f>dataset[[#This Row],[implied_soda_ppu]]-dataset[[#This Row],[soda_ppu]]</f>
        <v>-4.9860595787598605E-5</v>
      </c>
      <c r="M3269">
        <f>dataset[[#This Row],[soda_sales]]/dataset[[#This Row],[total_sales]]</f>
        <v>6.7482379365947615E-2</v>
      </c>
      <c r="N3269">
        <f>LN(dataset[[#This Row],[soda_units_sold]])</f>
        <v>12.363977697445847</v>
      </c>
      <c r="O3269">
        <f>LN(dataset[[#This Row],[soda_sales]])</f>
        <v>11.956084853877627</v>
      </c>
      <c r="P3269">
        <f>LN(dataset[[#This Row],[soda_ppu]])</f>
        <v>-0.40781787369176153</v>
      </c>
      <c r="Q3269">
        <f>IF(dataset[[#This Row],[state]]="VA",1,0)</f>
        <v>0</v>
      </c>
    </row>
    <row r="3270" spans="1:17" x14ac:dyDescent="0.35">
      <c r="A3270">
        <v>202405</v>
      </c>
      <c r="B3270">
        <v>95</v>
      </c>
      <c r="C3270" s="2">
        <v>2408769.8574000001</v>
      </c>
      <c r="D3270" s="2">
        <v>0.67349999999999999</v>
      </c>
      <c r="E3270" s="3">
        <v>248934</v>
      </c>
      <c r="F3270" s="2">
        <v>167661.11929999999</v>
      </c>
      <c r="G3270" t="s">
        <v>442</v>
      </c>
      <c r="H3270" t="s">
        <v>5</v>
      </c>
      <c r="I3270">
        <f>HLOOKUP(G3270,zip_tiers!$A$1:$EON$2,2,FALSE)</f>
        <v>56202.666666666664</v>
      </c>
      <c r="J3270" t="str">
        <f t="shared" si="51"/>
        <v>Med</v>
      </c>
      <c r="K3270">
        <f>dataset[[#This Row],[soda_sales]]/dataset[[#This Row],[soda_units_sold]]</f>
        <v>0.67351635092032425</v>
      </c>
      <c r="L3270" s="29">
        <f>dataset[[#This Row],[implied_soda_ppu]]-dataset[[#This Row],[soda_ppu]]</f>
        <v>1.6350920324259555E-5</v>
      </c>
      <c r="M3270">
        <f>dataset[[#This Row],[soda_sales]]/dataset[[#This Row],[total_sales]]</f>
        <v>6.9604457555348012E-2</v>
      </c>
      <c r="N3270">
        <f>LN(dataset[[#This Row],[soda_units_sold]])</f>
        <v>12.424943080071207</v>
      </c>
      <c r="O3270">
        <f>LN(dataset[[#This Row],[soda_sales]])</f>
        <v>12.029700074180539</v>
      </c>
      <c r="P3270">
        <f>LN(dataset[[#This Row],[soda_ppu]])</f>
        <v>-0.39526728313171838</v>
      </c>
      <c r="Q3270">
        <f>IF(dataset[[#This Row],[state]]="VA",1,0)</f>
        <v>0</v>
      </c>
    </row>
    <row r="3271" spans="1:17" x14ac:dyDescent="0.35">
      <c r="A3271">
        <v>202406</v>
      </c>
      <c r="B3271">
        <v>95</v>
      </c>
      <c r="C3271" s="2">
        <v>2285972.6280999999</v>
      </c>
      <c r="D3271" s="2">
        <v>0.68430000000000002</v>
      </c>
      <c r="E3271" s="3">
        <v>258694</v>
      </c>
      <c r="F3271" s="2">
        <v>177029.57130000001</v>
      </c>
      <c r="G3271" t="s">
        <v>442</v>
      </c>
      <c r="H3271" t="s">
        <v>5</v>
      </c>
      <c r="I3271">
        <f>HLOOKUP(G3271,zip_tiers!$A$1:$EON$2,2,FALSE)</f>
        <v>56202.666666666664</v>
      </c>
      <c r="J3271" t="str">
        <f t="shared" si="51"/>
        <v>Med</v>
      </c>
      <c r="K3271">
        <f>dataset[[#This Row],[soda_sales]]/dataset[[#This Row],[soda_units_sold]]</f>
        <v>0.68432036034851995</v>
      </c>
      <c r="L3271" s="29">
        <f>dataset[[#This Row],[implied_soda_ppu]]-dataset[[#This Row],[soda_ppu]]</f>
        <v>2.0360348519932181E-5</v>
      </c>
      <c r="M3271">
        <f>dataset[[#This Row],[soda_sales]]/dataset[[#This Row],[total_sales]]</f>
        <v>7.7441684613318934E-2</v>
      </c>
      <c r="N3271">
        <f>LN(dataset[[#This Row],[soda_units_sold]])</f>
        <v>12.463401175017648</v>
      </c>
      <c r="O3271">
        <f>LN(dataset[[#This Row],[soda_sales]])</f>
        <v>12.084072067092938</v>
      </c>
      <c r="P3271">
        <f>LN(dataset[[#This Row],[soda_ppu]])</f>
        <v>-0.37935886102368499</v>
      </c>
      <c r="Q3271">
        <f>IF(dataset[[#This Row],[state]]="VA",1,0)</f>
        <v>0</v>
      </c>
    </row>
    <row r="3272" spans="1:17" x14ac:dyDescent="0.35">
      <c r="A3272">
        <v>202407</v>
      </c>
      <c r="B3272">
        <v>95</v>
      </c>
      <c r="C3272" s="2">
        <v>2194128.0764000001</v>
      </c>
      <c r="D3272" s="2">
        <v>0.67930000000000001</v>
      </c>
      <c r="E3272" s="3">
        <v>272788</v>
      </c>
      <c r="F3272" s="2">
        <v>185313.29519999999</v>
      </c>
      <c r="G3272" t="s">
        <v>442</v>
      </c>
      <c r="H3272" t="s">
        <v>5</v>
      </c>
      <c r="I3272">
        <f>HLOOKUP(G3272,zip_tiers!$A$1:$EON$2,2,FALSE)</f>
        <v>56202.666666666664</v>
      </c>
      <c r="J3272" t="str">
        <f t="shared" si="51"/>
        <v>Med</v>
      </c>
      <c r="K3272">
        <f>dataset[[#This Row],[soda_sales]]/dataset[[#This Row],[soda_units_sold]]</f>
        <v>0.67933081807117612</v>
      </c>
      <c r="L3272" s="29">
        <f>dataset[[#This Row],[implied_soda_ppu]]-dataset[[#This Row],[soda_ppu]]</f>
        <v>3.0818071176108575E-5</v>
      </c>
      <c r="M3272">
        <f>dataset[[#This Row],[soda_sales]]/dataset[[#This Row],[total_sales]]</f>
        <v>8.4458741125108538E-2</v>
      </c>
      <c r="N3272">
        <f>LN(dataset[[#This Row],[soda_units_sold]])</f>
        <v>12.516450215714137</v>
      </c>
      <c r="O3272">
        <f>LN(dataset[[#This Row],[soda_sales]])</f>
        <v>12.129803159294823</v>
      </c>
      <c r="P3272">
        <f>LN(dataset[[#This Row],[soda_ppu]])</f>
        <v>-0.38669242278488081</v>
      </c>
      <c r="Q3272">
        <f>IF(dataset[[#This Row],[state]]="VA",1,0)</f>
        <v>0</v>
      </c>
    </row>
    <row r="3273" spans="1:17" x14ac:dyDescent="0.35">
      <c r="A3273">
        <v>202408</v>
      </c>
      <c r="B3273">
        <v>95</v>
      </c>
      <c r="C3273" s="2">
        <v>2052433.2078</v>
      </c>
      <c r="D3273" s="2">
        <v>0.66720000000000002</v>
      </c>
      <c r="E3273" s="3">
        <v>235383</v>
      </c>
      <c r="F3273" s="2">
        <v>157042.76120000001</v>
      </c>
      <c r="G3273" t="s">
        <v>442</v>
      </c>
      <c r="H3273" t="s">
        <v>5</v>
      </c>
      <c r="I3273">
        <f>HLOOKUP(G3273,zip_tiers!$A$1:$EON$2,2,FALSE)</f>
        <v>56202.666666666664</v>
      </c>
      <c r="J3273" t="str">
        <f t="shared" si="51"/>
        <v>Med</v>
      </c>
      <c r="K3273">
        <f>dataset[[#This Row],[soda_sales]]/dataset[[#This Row],[soda_units_sold]]</f>
        <v>0.66717970796531612</v>
      </c>
      <c r="L3273" s="29">
        <f>dataset[[#This Row],[implied_soda_ppu]]-dataset[[#This Row],[soda_ppu]]</f>
        <v>-2.0292034683899729E-5</v>
      </c>
      <c r="M3273">
        <f>dataset[[#This Row],[soda_sales]]/dataset[[#This Row],[total_sales]]</f>
        <v>7.6515406495655913E-2</v>
      </c>
      <c r="N3273">
        <f>LN(dataset[[#This Row],[soda_units_sold]])</f>
        <v>12.36896925369838</v>
      </c>
      <c r="O3273">
        <f>LN(dataset[[#This Row],[soda_sales]])</f>
        <v>11.964273411577224</v>
      </c>
      <c r="P3273">
        <f>LN(dataset[[#This Row],[soda_ppu]])</f>
        <v>-0.40466542793760002</v>
      </c>
      <c r="Q3273">
        <f>IF(dataset[[#This Row],[state]]="VA",1,0)</f>
        <v>0</v>
      </c>
    </row>
    <row r="3274" spans="1:17" x14ac:dyDescent="0.35">
      <c r="A3274">
        <v>202409</v>
      </c>
      <c r="B3274">
        <v>95</v>
      </c>
      <c r="C3274" s="2">
        <v>2129513.5866</v>
      </c>
      <c r="D3274" s="2">
        <v>0.6774</v>
      </c>
      <c r="E3274" s="3">
        <v>228988</v>
      </c>
      <c r="F3274" s="2">
        <v>155105.28539999999</v>
      </c>
      <c r="G3274" t="s">
        <v>442</v>
      </c>
      <c r="H3274" t="s">
        <v>5</v>
      </c>
      <c r="I3274">
        <f>HLOOKUP(G3274,zip_tiers!$A$1:$EON$2,2,FALSE)</f>
        <v>56202.666666666664</v>
      </c>
      <c r="J3274" t="str">
        <f t="shared" si="51"/>
        <v>Med</v>
      </c>
      <c r="K3274">
        <f>dataset[[#This Row],[soda_sales]]/dataset[[#This Row],[soda_units_sold]]</f>
        <v>0.67735115115202538</v>
      </c>
      <c r="L3274" s="29">
        <f>dataset[[#This Row],[implied_soda_ppu]]-dataset[[#This Row],[soda_ppu]]</f>
        <v>-4.8848847974625187E-5</v>
      </c>
      <c r="M3274">
        <f>dataset[[#This Row],[soda_sales]]/dataset[[#This Row],[total_sales]]</f>
        <v>7.2836015875175728E-2</v>
      </c>
      <c r="N3274">
        <f>LN(dataset[[#This Row],[soda_units_sold]])</f>
        <v>12.341424879416632</v>
      </c>
      <c r="O3274">
        <f>LN(dataset[[#This Row],[soda_sales]])</f>
        <v>11.951859425953449</v>
      </c>
      <c r="P3274">
        <f>LN(dataset[[#This Row],[soda_ppu]])</f>
        <v>-0.38949333859846569</v>
      </c>
      <c r="Q3274">
        <f>IF(dataset[[#This Row],[state]]="VA",1,0)</f>
        <v>0</v>
      </c>
    </row>
    <row r="3275" spans="1:17" x14ac:dyDescent="0.35">
      <c r="A3275">
        <v>202410</v>
      </c>
      <c r="B3275">
        <v>95</v>
      </c>
      <c r="C3275" s="2">
        <v>2557661.7453999999</v>
      </c>
      <c r="D3275" s="2">
        <v>0.70089999999999997</v>
      </c>
      <c r="E3275" s="3">
        <v>210547</v>
      </c>
      <c r="F3275" s="2">
        <v>147566.80499999999</v>
      </c>
      <c r="G3275" t="s">
        <v>442</v>
      </c>
      <c r="H3275" t="s">
        <v>5</v>
      </c>
      <c r="I3275">
        <f>HLOOKUP(G3275,zip_tiers!$A$1:$EON$2,2,FALSE)</f>
        <v>56202.666666666664</v>
      </c>
      <c r="J3275" t="str">
        <f t="shared" si="51"/>
        <v>Med</v>
      </c>
      <c r="K3275">
        <f>dataset[[#This Row],[soda_sales]]/dataset[[#This Row],[soda_units_sold]]</f>
        <v>0.70087346293226682</v>
      </c>
      <c r="L3275" s="29">
        <f>dataset[[#This Row],[implied_soda_ppu]]-dataset[[#This Row],[soda_ppu]]</f>
        <v>-2.653706773314557E-5</v>
      </c>
      <c r="M3275">
        <f>dataset[[#This Row],[soda_sales]]/dataset[[#This Row],[total_sales]]</f>
        <v>5.7695981599365717E-2</v>
      </c>
      <c r="N3275">
        <f>LN(dataset[[#This Row],[soda_units_sold]])</f>
        <v>12.257464185091509</v>
      </c>
      <c r="O3275">
        <f>LN(dataset[[#This Row],[soda_sales]])</f>
        <v>11.902036267481094</v>
      </c>
      <c r="P3275">
        <f>LN(dataset[[#This Row],[soda_ppu]])</f>
        <v>-0.355390055475858</v>
      </c>
      <c r="Q3275">
        <f>IF(dataset[[#This Row],[state]]="VA",1,0)</f>
        <v>0</v>
      </c>
    </row>
    <row r="3276" spans="1:17" x14ac:dyDescent="0.35">
      <c r="A3276">
        <v>202411</v>
      </c>
      <c r="B3276">
        <v>95</v>
      </c>
      <c r="C3276" s="2">
        <v>2886129.8396000001</v>
      </c>
      <c r="D3276" s="2">
        <v>0.67779999999999996</v>
      </c>
      <c r="E3276" s="3">
        <v>203743</v>
      </c>
      <c r="F3276" s="2">
        <v>138103.81599999999</v>
      </c>
      <c r="G3276" t="s">
        <v>442</v>
      </c>
      <c r="H3276" t="s">
        <v>5</v>
      </c>
      <c r="I3276">
        <f>HLOOKUP(G3276,zip_tiers!$A$1:$EON$2,2,FALSE)</f>
        <v>56202.666666666664</v>
      </c>
      <c r="J3276" t="str">
        <f t="shared" si="51"/>
        <v>Med</v>
      </c>
      <c r="K3276">
        <f>dataset[[#This Row],[soda_sales]]/dataset[[#This Row],[soda_units_sold]]</f>
        <v>0.67783342740609487</v>
      </c>
      <c r="L3276" s="29">
        <f>dataset[[#This Row],[implied_soda_ppu]]-dataset[[#This Row],[soda_ppu]]</f>
        <v>3.3427406094910239E-5</v>
      </c>
      <c r="M3276">
        <f>dataset[[#This Row],[soda_sales]]/dataset[[#This Row],[total_sales]]</f>
        <v>4.7850867312033453E-2</v>
      </c>
      <c r="N3276">
        <f>LN(dataset[[#This Row],[soda_units_sold]])</f>
        <v>12.224614674684712</v>
      </c>
      <c r="O3276">
        <f>LN(dataset[[#This Row],[soda_sales]])</f>
        <v>11.835760971166238</v>
      </c>
      <c r="P3276">
        <f>LN(dataset[[#This Row],[soda_ppu]])</f>
        <v>-0.38890301980918618</v>
      </c>
      <c r="Q3276">
        <f>IF(dataset[[#This Row],[state]]="VA",1,0)</f>
        <v>0</v>
      </c>
    </row>
    <row r="3277" spans="1:17" x14ac:dyDescent="0.35">
      <c r="A3277">
        <v>202412</v>
      </c>
      <c r="B3277">
        <v>95</v>
      </c>
      <c r="C3277" s="2">
        <v>3084213.6661</v>
      </c>
      <c r="D3277" s="2">
        <v>0.7056</v>
      </c>
      <c r="E3277" s="3">
        <v>196221</v>
      </c>
      <c r="F3277" s="2">
        <v>138451.71400000001</v>
      </c>
      <c r="G3277" t="s">
        <v>442</v>
      </c>
      <c r="H3277" t="s">
        <v>5</v>
      </c>
      <c r="I3277">
        <f>HLOOKUP(G3277,zip_tiers!$A$1:$EON$2,2,FALSE)</f>
        <v>56202.666666666664</v>
      </c>
      <c r="J3277" t="str">
        <f t="shared" si="51"/>
        <v>Med</v>
      </c>
      <c r="K3277">
        <f>dataset[[#This Row],[soda_sales]]/dataset[[#This Row],[soda_units_sold]]</f>
        <v>0.70559070639737853</v>
      </c>
      <c r="L3277" s="29">
        <f>dataset[[#This Row],[implied_soda_ppu]]-dataset[[#This Row],[soda_ppu]]</f>
        <v>-9.2936026214740508E-6</v>
      </c>
      <c r="M3277">
        <f>dataset[[#This Row],[soda_sales]]/dataset[[#This Row],[total_sales]]</f>
        <v>4.4890441775090349E-2</v>
      </c>
      <c r="N3277">
        <f>LN(dataset[[#This Row],[soda_units_sold]])</f>
        <v>12.186996854024851</v>
      </c>
      <c r="O3277">
        <f>LN(dataset[[#This Row],[soda_sales]])</f>
        <v>11.838276908443026</v>
      </c>
      <c r="P3277">
        <f>LN(dataset[[#This Row],[soda_ppu]])</f>
        <v>-0.34870677428955549</v>
      </c>
      <c r="Q3277">
        <f>IF(dataset[[#This Row],[state]]="VA",1,0)</f>
        <v>0</v>
      </c>
    </row>
    <row r="3278" spans="1:17" x14ac:dyDescent="0.35">
      <c r="A3278">
        <v>202201</v>
      </c>
      <c r="B3278">
        <v>76</v>
      </c>
      <c r="C3278" s="2">
        <v>1935362.2879000001</v>
      </c>
      <c r="D3278" s="2">
        <v>0.63339999999999996</v>
      </c>
      <c r="E3278" s="3">
        <v>159998</v>
      </c>
      <c r="F3278" s="2">
        <v>101346.34450000001</v>
      </c>
      <c r="G3278" t="s">
        <v>486</v>
      </c>
      <c r="H3278" t="s">
        <v>5</v>
      </c>
      <c r="I3278">
        <f>HLOOKUP(G3278,zip_tiers!$A$1:$EON$2,2,FALSE)</f>
        <v>76305.666666666672</v>
      </c>
      <c r="J3278" t="str">
        <f t="shared" si="51"/>
        <v>Med</v>
      </c>
      <c r="K3278">
        <f>dataset[[#This Row],[soda_sales]]/dataset[[#This Row],[soda_units_sold]]</f>
        <v>0.63342257090713638</v>
      </c>
      <c r="L3278" s="29">
        <f>dataset[[#This Row],[implied_soda_ppu]]-dataset[[#This Row],[soda_ppu]]</f>
        <v>2.257090713642107E-5</v>
      </c>
      <c r="M3278">
        <f>dataset[[#This Row],[soda_sales]]/dataset[[#This Row],[total_sales]]</f>
        <v>5.236556748760858E-2</v>
      </c>
      <c r="N3278">
        <f>LN(dataset[[#This Row],[soda_units_sold]])</f>
        <v>11.982916594137839</v>
      </c>
      <c r="O3278">
        <f>LN(dataset[[#This Row],[soda_sales]])</f>
        <v>11.526299083148769</v>
      </c>
      <c r="P3278">
        <f>LN(dataset[[#This Row],[soda_ppu]])</f>
        <v>-0.45665314487759767</v>
      </c>
      <c r="Q3278">
        <f>IF(dataset[[#This Row],[state]]="VA",1,0)</f>
        <v>0</v>
      </c>
    </row>
    <row r="3279" spans="1:17" x14ac:dyDescent="0.35">
      <c r="A3279">
        <v>202202</v>
      </c>
      <c r="B3279">
        <v>76</v>
      </c>
      <c r="C3279" s="2">
        <v>2185665.9797999999</v>
      </c>
      <c r="D3279" s="2">
        <v>0.62760000000000005</v>
      </c>
      <c r="E3279" s="3">
        <v>181643</v>
      </c>
      <c r="F3279" s="2">
        <v>113997.1112</v>
      </c>
      <c r="G3279" t="s">
        <v>486</v>
      </c>
      <c r="H3279" t="s">
        <v>5</v>
      </c>
      <c r="I3279">
        <f>HLOOKUP(G3279,zip_tiers!$A$1:$EON$2,2,FALSE)</f>
        <v>76305.666666666672</v>
      </c>
      <c r="J3279" t="str">
        <f t="shared" si="51"/>
        <v>Med</v>
      </c>
      <c r="K3279">
        <f>dataset[[#This Row],[soda_sales]]/dataset[[#This Row],[soda_units_sold]]</f>
        <v>0.62758879340244322</v>
      </c>
      <c r="L3279" s="29">
        <f>dataset[[#This Row],[implied_soda_ppu]]-dataset[[#This Row],[soda_ppu]]</f>
        <v>-1.1206597556823183E-5</v>
      </c>
      <c r="M3279">
        <f>dataset[[#This Row],[soda_sales]]/dataset[[#This Row],[total_sales]]</f>
        <v>5.2156693773689679E-2</v>
      </c>
      <c r="N3279">
        <f>LN(dataset[[#This Row],[soda_units_sold]])</f>
        <v>12.109798501261359</v>
      </c>
      <c r="O3279">
        <f>LN(dataset[[#This Row],[soda_sales]])</f>
        <v>11.643928386704683</v>
      </c>
      <c r="P3279">
        <f>LN(dataset[[#This Row],[soda_ppu]])</f>
        <v>-0.46585225812325948</v>
      </c>
      <c r="Q3279">
        <f>IF(dataset[[#This Row],[state]]="VA",1,0)</f>
        <v>0</v>
      </c>
    </row>
    <row r="3280" spans="1:17" x14ac:dyDescent="0.35">
      <c r="A3280">
        <v>202203</v>
      </c>
      <c r="B3280">
        <v>76</v>
      </c>
      <c r="C3280" s="2">
        <v>2455730.1790999998</v>
      </c>
      <c r="D3280" s="2">
        <v>0.64910000000000001</v>
      </c>
      <c r="E3280" s="3">
        <v>213575</v>
      </c>
      <c r="F3280" s="2">
        <v>138621.19889999999</v>
      </c>
      <c r="G3280" t="s">
        <v>486</v>
      </c>
      <c r="H3280" t="s">
        <v>5</v>
      </c>
      <c r="I3280">
        <f>HLOOKUP(G3280,zip_tiers!$A$1:$EON$2,2,FALSE)</f>
        <v>76305.666666666672</v>
      </c>
      <c r="J3280" t="str">
        <f t="shared" si="51"/>
        <v>Med</v>
      </c>
      <c r="K3280">
        <f>dataset[[#This Row],[soda_sales]]/dataset[[#This Row],[soda_units_sold]]</f>
        <v>0.649051616059932</v>
      </c>
      <c r="L3280" s="29">
        <f>dataset[[#This Row],[implied_soda_ppu]]-dataset[[#This Row],[soda_ppu]]</f>
        <v>-4.8383940068008613E-5</v>
      </c>
      <c r="M3280">
        <f>dataset[[#This Row],[soda_sales]]/dataset[[#This Row],[total_sales]]</f>
        <v>5.6448057722205965E-2</v>
      </c>
      <c r="N3280">
        <f>LN(dataset[[#This Row],[soda_units_sold]])</f>
        <v>12.271743338019819</v>
      </c>
      <c r="O3280">
        <f>LN(dataset[[#This Row],[soda_sales]])</f>
        <v>11.839500304258697</v>
      </c>
      <c r="P3280">
        <f>LN(dataset[[#This Row],[soda_ppu]])</f>
        <v>-0.43216849094271415</v>
      </c>
      <c r="Q3280">
        <f>IF(dataset[[#This Row],[state]]="VA",1,0)</f>
        <v>0</v>
      </c>
    </row>
    <row r="3281" spans="1:17" x14ac:dyDescent="0.35">
      <c r="A3281">
        <v>202204</v>
      </c>
      <c r="B3281">
        <v>76</v>
      </c>
      <c r="C3281" s="2">
        <v>2558356.2840999998</v>
      </c>
      <c r="D3281" s="2">
        <v>0.66549999999999998</v>
      </c>
      <c r="E3281" s="3">
        <v>232752</v>
      </c>
      <c r="F3281" s="2">
        <v>154885.66320000001</v>
      </c>
      <c r="G3281" t="s">
        <v>486</v>
      </c>
      <c r="H3281" t="s">
        <v>5</v>
      </c>
      <c r="I3281">
        <f>HLOOKUP(G3281,zip_tiers!$A$1:$EON$2,2,FALSE)</f>
        <v>76305.666666666672</v>
      </c>
      <c r="J3281" t="str">
        <f t="shared" si="51"/>
        <v>Med</v>
      </c>
      <c r="K3281">
        <f>dataset[[#This Row],[soda_sales]]/dataset[[#This Row],[soda_units_sold]]</f>
        <v>0.6654536296143535</v>
      </c>
      <c r="L3281" s="29">
        <f>dataset[[#This Row],[implied_soda_ppu]]-dataset[[#This Row],[soda_ppu]]</f>
        <v>-4.6370385646476997E-5</v>
      </c>
      <c r="M3281">
        <f>dataset[[#This Row],[soda_sales]]/dataset[[#This Row],[total_sales]]</f>
        <v>6.0541084196365946E-2</v>
      </c>
      <c r="N3281">
        <f>LN(dataset[[#This Row],[soda_units_sold]])</f>
        <v>12.357728788013244</v>
      </c>
      <c r="O3281">
        <f>LN(dataset[[#This Row],[soda_sales]])</f>
        <v>11.950442466924562</v>
      </c>
      <c r="P3281">
        <f>LN(dataset[[#This Row],[soda_ppu]])</f>
        <v>-0.40721664114697076</v>
      </c>
      <c r="Q3281">
        <f>IF(dataset[[#This Row],[state]]="VA",1,0)</f>
        <v>0</v>
      </c>
    </row>
    <row r="3282" spans="1:17" x14ac:dyDescent="0.35">
      <c r="A3282">
        <v>202205</v>
      </c>
      <c r="B3282">
        <v>76</v>
      </c>
      <c r="C3282" s="2">
        <v>2699274.8772</v>
      </c>
      <c r="D3282" s="2">
        <v>0.64190000000000003</v>
      </c>
      <c r="E3282" s="3">
        <v>263106</v>
      </c>
      <c r="F3282" s="2">
        <v>168883.37940000001</v>
      </c>
      <c r="G3282" t="s">
        <v>486</v>
      </c>
      <c r="H3282" t="s">
        <v>5</v>
      </c>
      <c r="I3282">
        <f>HLOOKUP(G3282,zip_tiers!$A$1:$EON$2,2,FALSE)</f>
        <v>76305.666666666672</v>
      </c>
      <c r="J3282" t="str">
        <f t="shared" si="51"/>
        <v>Med</v>
      </c>
      <c r="K3282">
        <f>dataset[[#This Row],[soda_sales]]/dataset[[#This Row],[soda_units_sold]]</f>
        <v>0.641883421130647</v>
      </c>
      <c r="L3282" s="29">
        <f>dataset[[#This Row],[implied_soda_ppu]]-dataset[[#This Row],[soda_ppu]]</f>
        <v>-1.6578869353023329E-5</v>
      </c>
      <c r="M3282">
        <f>dataset[[#This Row],[soda_sales]]/dataset[[#This Row],[total_sales]]</f>
        <v>6.2566202807468566E-2</v>
      </c>
      <c r="N3282">
        <f>LN(dataset[[#This Row],[soda_units_sold]])</f>
        <v>12.480312271785458</v>
      </c>
      <c r="O3282">
        <f>LN(dataset[[#This Row],[soda_sales]])</f>
        <v>12.036963692980448</v>
      </c>
      <c r="P3282">
        <f>LN(dataset[[#This Row],[soda_ppu]])</f>
        <v>-0.44332275066440452</v>
      </c>
      <c r="Q3282">
        <f>IF(dataset[[#This Row],[state]]="VA",1,0)</f>
        <v>0</v>
      </c>
    </row>
    <row r="3283" spans="1:17" x14ac:dyDescent="0.35">
      <c r="A3283">
        <v>202206</v>
      </c>
      <c r="B3283">
        <v>76</v>
      </c>
      <c r="C3283" s="2">
        <v>2593083.1488999999</v>
      </c>
      <c r="D3283" s="2">
        <v>0.63759999999999994</v>
      </c>
      <c r="E3283" s="3">
        <v>281046</v>
      </c>
      <c r="F3283" s="2">
        <v>179195.36610000001</v>
      </c>
      <c r="G3283" t="s">
        <v>486</v>
      </c>
      <c r="H3283" t="s">
        <v>5</v>
      </c>
      <c r="I3283">
        <f>HLOOKUP(G3283,zip_tiers!$A$1:$EON$2,2,FALSE)</f>
        <v>76305.666666666672</v>
      </c>
      <c r="J3283" t="str">
        <f t="shared" si="51"/>
        <v>Med</v>
      </c>
      <c r="K3283">
        <f>dataset[[#This Row],[soda_sales]]/dataset[[#This Row],[soda_units_sold]]</f>
        <v>0.63760155312653455</v>
      </c>
      <c r="L3283" s="29">
        <f>dataset[[#This Row],[implied_soda_ppu]]-dataset[[#This Row],[soda_ppu]]</f>
        <v>1.5531265346035994E-6</v>
      </c>
      <c r="M3283">
        <f>dataset[[#This Row],[soda_sales]]/dataset[[#This Row],[total_sales]]</f>
        <v>6.9105136939405773E-2</v>
      </c>
      <c r="N3283">
        <f>LN(dataset[[#This Row],[soda_units_sold]])</f>
        <v>12.546273635985941</v>
      </c>
      <c r="O3283">
        <f>LN(dataset[[#This Row],[soda_sales]])</f>
        <v>12.096231920371658</v>
      </c>
      <c r="P3283">
        <f>LN(dataset[[#This Row],[soda_ppu]])</f>
        <v>-0.45004415150613186</v>
      </c>
      <c r="Q3283">
        <f>IF(dataset[[#This Row],[state]]="VA",1,0)</f>
        <v>0</v>
      </c>
    </row>
    <row r="3284" spans="1:17" x14ac:dyDescent="0.35">
      <c r="A3284">
        <v>202207</v>
      </c>
      <c r="B3284">
        <v>76</v>
      </c>
      <c r="C3284" s="2">
        <v>2468397.6984999999</v>
      </c>
      <c r="D3284" s="2">
        <v>0.6573</v>
      </c>
      <c r="E3284" s="3">
        <v>283587</v>
      </c>
      <c r="F3284" s="2">
        <v>186404.53219999999</v>
      </c>
      <c r="G3284" t="s">
        <v>486</v>
      </c>
      <c r="H3284" t="s">
        <v>5</v>
      </c>
      <c r="I3284">
        <f>HLOOKUP(G3284,zip_tiers!$A$1:$EON$2,2,FALSE)</f>
        <v>76305.666666666672</v>
      </c>
      <c r="J3284" t="str">
        <f t="shared" si="51"/>
        <v>Med</v>
      </c>
      <c r="K3284">
        <f>dataset[[#This Row],[soda_sales]]/dataset[[#This Row],[soda_units_sold]]</f>
        <v>0.65730986328710406</v>
      </c>
      <c r="L3284" s="29">
        <f>dataset[[#This Row],[implied_soda_ppu]]-dataset[[#This Row],[soda_ppu]]</f>
        <v>9.863287104061591E-6</v>
      </c>
      <c r="M3284">
        <f>dataset[[#This Row],[soda_sales]]/dataset[[#This Row],[total_sales]]</f>
        <v>7.5516409820538477E-2</v>
      </c>
      <c r="N3284">
        <f>LN(dataset[[#This Row],[soda_units_sold]])</f>
        <v>12.555274233379306</v>
      </c>
      <c r="O3284">
        <f>LN(dataset[[#This Row],[soda_sales]])</f>
        <v>12.135674495315721</v>
      </c>
      <c r="P3284">
        <f>LN(dataset[[#This Row],[soda_ppu]])</f>
        <v>-0.41961474371260654</v>
      </c>
      <c r="Q3284">
        <f>IF(dataset[[#This Row],[state]]="VA",1,0)</f>
        <v>0</v>
      </c>
    </row>
    <row r="3285" spans="1:17" x14ac:dyDescent="0.35">
      <c r="A3285">
        <v>202208</v>
      </c>
      <c r="B3285">
        <v>76</v>
      </c>
      <c r="C3285" s="2">
        <v>2327396.54</v>
      </c>
      <c r="D3285" s="2">
        <v>0.64770000000000005</v>
      </c>
      <c r="E3285" s="3">
        <v>247421</v>
      </c>
      <c r="F3285" s="2">
        <v>160257.5655</v>
      </c>
      <c r="G3285" t="s">
        <v>486</v>
      </c>
      <c r="H3285" t="s">
        <v>5</v>
      </c>
      <c r="I3285">
        <f>HLOOKUP(G3285,zip_tiers!$A$1:$EON$2,2,FALSE)</f>
        <v>76305.666666666672</v>
      </c>
      <c r="J3285" t="str">
        <f t="shared" si="51"/>
        <v>Med</v>
      </c>
      <c r="K3285">
        <f>dataset[[#This Row],[soda_sales]]/dataset[[#This Row],[soda_units_sold]]</f>
        <v>0.64771205960690481</v>
      </c>
      <c r="L3285" s="29">
        <f>dataset[[#This Row],[implied_soda_ppu]]-dataset[[#This Row],[soda_ppu]]</f>
        <v>1.2059606904757381E-5</v>
      </c>
      <c r="M3285">
        <f>dataset[[#This Row],[soda_sales]]/dataset[[#This Row],[total_sales]]</f>
        <v>6.8857009429085084E-2</v>
      </c>
      <c r="N3285">
        <f>LN(dataset[[#This Row],[soda_units_sold]])</f>
        <v>12.418846618119106</v>
      </c>
      <c r="O3285">
        <f>LN(dataset[[#This Row],[soda_sales]])</f>
        <v>11.984537584276955</v>
      </c>
      <c r="P3285">
        <f>LN(dataset[[#This Row],[soda_ppu]])</f>
        <v>-0.43432765279326563</v>
      </c>
      <c r="Q3285">
        <f>IF(dataset[[#This Row],[state]]="VA",1,0)</f>
        <v>0</v>
      </c>
    </row>
    <row r="3286" spans="1:17" x14ac:dyDescent="0.35">
      <c r="A3286">
        <v>202209</v>
      </c>
      <c r="B3286">
        <v>76</v>
      </c>
      <c r="C3286" s="2">
        <v>2284213.3958000001</v>
      </c>
      <c r="D3286" s="2">
        <v>0.65820000000000001</v>
      </c>
      <c r="E3286" s="3">
        <v>230933</v>
      </c>
      <c r="F3286" s="2">
        <v>152006.61960000001</v>
      </c>
      <c r="G3286" t="s">
        <v>486</v>
      </c>
      <c r="H3286" t="s">
        <v>5</v>
      </c>
      <c r="I3286">
        <f>HLOOKUP(G3286,zip_tiers!$A$1:$EON$2,2,FALSE)</f>
        <v>76305.666666666672</v>
      </c>
      <c r="J3286" t="str">
        <f t="shared" si="51"/>
        <v>Med</v>
      </c>
      <c r="K3286">
        <f>dataset[[#This Row],[soda_sales]]/dataset[[#This Row],[soda_units_sold]]</f>
        <v>0.65822822896684319</v>
      </c>
      <c r="L3286" s="29">
        <f>dataset[[#This Row],[implied_soda_ppu]]-dataset[[#This Row],[soda_ppu]]</f>
        <v>2.8228966843180103E-5</v>
      </c>
      <c r="M3286">
        <f>dataset[[#This Row],[soda_sales]]/dataset[[#This Row],[total_sales]]</f>
        <v>6.6546593185862452E-2</v>
      </c>
      <c r="N3286">
        <f>LN(dataset[[#This Row],[soda_units_sold]])</f>
        <v>12.349882904143197</v>
      </c>
      <c r="O3286">
        <f>LN(dataset[[#This Row],[soda_sales]])</f>
        <v>11.93167934888014</v>
      </c>
      <c r="P3286">
        <f>LN(dataset[[#This Row],[soda_ppu]])</f>
        <v>-0.41824644247289749</v>
      </c>
      <c r="Q3286">
        <f>IF(dataset[[#This Row],[state]]="VA",1,0)</f>
        <v>0</v>
      </c>
    </row>
    <row r="3287" spans="1:17" x14ac:dyDescent="0.35">
      <c r="A3287">
        <v>202210</v>
      </c>
      <c r="B3287">
        <v>76</v>
      </c>
      <c r="C3287" s="2">
        <v>2802738.7086</v>
      </c>
      <c r="D3287" s="2">
        <v>0.65100000000000002</v>
      </c>
      <c r="E3287" s="3">
        <v>222397</v>
      </c>
      <c r="F3287" s="2">
        <v>144776.15030000001</v>
      </c>
      <c r="G3287" t="s">
        <v>486</v>
      </c>
      <c r="H3287" t="s">
        <v>5</v>
      </c>
      <c r="I3287">
        <f>HLOOKUP(G3287,zip_tiers!$A$1:$EON$2,2,FALSE)</f>
        <v>76305.666666666672</v>
      </c>
      <c r="J3287" t="str">
        <f t="shared" si="51"/>
        <v>Med</v>
      </c>
      <c r="K3287">
        <f>dataset[[#This Row],[soda_sales]]/dataset[[#This Row],[soda_units_sold]]</f>
        <v>0.65098068004514453</v>
      </c>
      <c r="L3287" s="29">
        <f>dataset[[#This Row],[implied_soda_ppu]]-dataset[[#This Row],[soda_ppu]]</f>
        <v>-1.9319954855490096E-5</v>
      </c>
      <c r="M3287">
        <f>dataset[[#This Row],[soda_sales]]/dataset[[#This Row],[total_sales]]</f>
        <v>5.1655243443052654E-2</v>
      </c>
      <c r="N3287">
        <f>LN(dataset[[#This Row],[soda_units_sold]])</f>
        <v>12.312219352058952</v>
      </c>
      <c r="O3287">
        <f>LN(dataset[[#This Row],[soda_sales]])</f>
        <v>11.882944037494994</v>
      </c>
      <c r="P3287">
        <f>LN(dataset[[#This Row],[soda_ppu]])</f>
        <v>-0.42924563677356775</v>
      </c>
      <c r="Q3287">
        <f>IF(dataset[[#This Row],[state]]="VA",1,0)</f>
        <v>0</v>
      </c>
    </row>
    <row r="3288" spans="1:17" x14ac:dyDescent="0.35">
      <c r="A3288">
        <v>202211</v>
      </c>
      <c r="B3288">
        <v>76</v>
      </c>
      <c r="C3288" s="2">
        <v>3219602.0093999999</v>
      </c>
      <c r="D3288" s="2">
        <v>0.63619999999999999</v>
      </c>
      <c r="E3288" s="3">
        <v>219290</v>
      </c>
      <c r="F3288" s="2">
        <v>139513.0036</v>
      </c>
      <c r="G3288" t="s">
        <v>486</v>
      </c>
      <c r="H3288" t="s">
        <v>5</v>
      </c>
      <c r="I3288">
        <f>HLOOKUP(G3288,zip_tiers!$A$1:$EON$2,2,FALSE)</f>
        <v>76305.666666666672</v>
      </c>
      <c r="J3288" t="str">
        <f t="shared" si="51"/>
        <v>Med</v>
      </c>
      <c r="K3288">
        <f>dataset[[#This Row],[soda_sales]]/dataset[[#This Row],[soda_units_sold]]</f>
        <v>0.63620321765698384</v>
      </c>
      <c r="L3288" s="29">
        <f>dataset[[#This Row],[implied_soda_ppu]]-dataset[[#This Row],[soda_ppu]]</f>
        <v>3.2176569838560098E-6</v>
      </c>
      <c r="M3288">
        <f>dataset[[#This Row],[soda_sales]]/dataset[[#This Row],[total_sales]]</f>
        <v>4.3332375614338565E-2</v>
      </c>
      <c r="N3288">
        <f>LN(dataset[[#This Row],[soda_units_sold]])</f>
        <v>12.298150333731082</v>
      </c>
      <c r="O3288">
        <f>LN(dataset[[#This Row],[soda_sales]])</f>
        <v>11.845913091669846</v>
      </c>
      <c r="P3288">
        <f>LN(dataset[[#This Row],[soda_ppu]])</f>
        <v>-0.45224229966709334</v>
      </c>
      <c r="Q3288">
        <f>IF(dataset[[#This Row],[state]]="VA",1,0)</f>
        <v>0</v>
      </c>
    </row>
    <row r="3289" spans="1:17" x14ac:dyDescent="0.35">
      <c r="A3289">
        <v>202212</v>
      </c>
      <c r="B3289">
        <v>76</v>
      </c>
      <c r="C3289" s="2">
        <v>3362341.1431</v>
      </c>
      <c r="D3289" s="2">
        <v>0.65610000000000002</v>
      </c>
      <c r="E3289" s="3">
        <v>209312</v>
      </c>
      <c r="F3289" s="2">
        <v>137322.36790000001</v>
      </c>
      <c r="G3289" t="s">
        <v>486</v>
      </c>
      <c r="H3289" t="s">
        <v>5</v>
      </c>
      <c r="I3289">
        <f>HLOOKUP(G3289,zip_tiers!$A$1:$EON$2,2,FALSE)</f>
        <v>76305.666666666672</v>
      </c>
      <c r="J3289" t="str">
        <f t="shared" si="51"/>
        <v>Med</v>
      </c>
      <c r="K3289">
        <f>dataset[[#This Row],[soda_sales]]/dataset[[#This Row],[soda_units_sold]]</f>
        <v>0.65606543294221076</v>
      </c>
      <c r="L3289" s="29">
        <f>dataset[[#This Row],[implied_soda_ppu]]-dataset[[#This Row],[soda_ppu]]</f>
        <v>-3.4567057789258726E-5</v>
      </c>
      <c r="M3289">
        <f>dataset[[#This Row],[soda_sales]]/dataset[[#This Row],[total_sales]]</f>
        <v>4.0841295411622631E-2</v>
      </c>
      <c r="N3289">
        <f>LN(dataset[[#This Row],[soda_units_sold]])</f>
        <v>12.25158124076094</v>
      </c>
      <c r="O3289">
        <f>LN(dataset[[#This Row],[soda_sales]])</f>
        <v>11.830086491087391</v>
      </c>
      <c r="P3289">
        <f>LN(dataset[[#This Row],[soda_ppu]])</f>
        <v>-0.42144206263130518</v>
      </c>
      <c r="Q3289">
        <f>IF(dataset[[#This Row],[state]]="VA",1,0)</f>
        <v>0</v>
      </c>
    </row>
    <row r="3290" spans="1:17" x14ac:dyDescent="0.35">
      <c r="A3290">
        <v>202301</v>
      </c>
      <c r="B3290">
        <v>76</v>
      </c>
      <c r="C3290" s="2">
        <v>1955329.3555999999</v>
      </c>
      <c r="D3290" s="2">
        <v>0.66369999999999996</v>
      </c>
      <c r="E3290" s="3">
        <v>154219</v>
      </c>
      <c r="F3290" s="2">
        <v>102348.6636</v>
      </c>
      <c r="G3290" t="s">
        <v>486</v>
      </c>
      <c r="H3290" t="s">
        <v>5</v>
      </c>
      <c r="I3290">
        <f>HLOOKUP(G3290,zip_tiers!$A$1:$EON$2,2,FALSE)</f>
        <v>76305.666666666672</v>
      </c>
      <c r="J3290" t="str">
        <f t="shared" si="51"/>
        <v>Med</v>
      </c>
      <c r="K3290">
        <f>dataset[[#This Row],[soda_sales]]/dataset[[#This Row],[soda_units_sold]]</f>
        <v>0.6636579383863207</v>
      </c>
      <c r="L3290" s="29">
        <f>dataset[[#This Row],[implied_soda_ppu]]-dataset[[#This Row],[soda_ppu]]</f>
        <v>-4.2061613679256205E-5</v>
      </c>
      <c r="M3290">
        <f>dataset[[#This Row],[soda_sales]]/dataset[[#This Row],[total_sales]]</f>
        <v>5.2343439383690911E-2</v>
      </c>
      <c r="N3290">
        <f>LN(dataset[[#This Row],[soda_units_sold]])</f>
        <v>11.94612894912264</v>
      </c>
      <c r="O3290">
        <f>LN(dataset[[#This Row],[soda_sales]])</f>
        <v>11.536140533847375</v>
      </c>
      <c r="P3290">
        <f>LN(dataset[[#This Row],[soda_ppu]])</f>
        <v>-0.40992503883025783</v>
      </c>
      <c r="Q3290">
        <f>IF(dataset[[#This Row],[state]]="VA",1,0)</f>
        <v>0</v>
      </c>
    </row>
    <row r="3291" spans="1:17" x14ac:dyDescent="0.35">
      <c r="A3291">
        <v>202302</v>
      </c>
      <c r="B3291">
        <v>76</v>
      </c>
      <c r="C3291" s="2">
        <v>2187815.4213999999</v>
      </c>
      <c r="D3291" s="2">
        <v>0.65629999999999999</v>
      </c>
      <c r="E3291" s="3">
        <v>172625</v>
      </c>
      <c r="F3291" s="2">
        <v>113286.1041</v>
      </c>
      <c r="G3291" t="s">
        <v>486</v>
      </c>
      <c r="H3291" t="s">
        <v>5</v>
      </c>
      <c r="I3291">
        <f>HLOOKUP(G3291,zip_tiers!$A$1:$EON$2,2,FALSE)</f>
        <v>76305.666666666672</v>
      </c>
      <c r="J3291" t="str">
        <f t="shared" si="51"/>
        <v>Med</v>
      </c>
      <c r="K3291">
        <f>dataset[[#This Row],[soda_sales]]/dataset[[#This Row],[soda_units_sold]]</f>
        <v>0.65625549080376533</v>
      </c>
      <c r="L3291" s="29">
        <f>dataset[[#This Row],[implied_soda_ppu]]-dataset[[#This Row],[soda_ppu]]</f>
        <v>-4.4509196234665538E-5</v>
      </c>
      <c r="M3291">
        <f>dataset[[#This Row],[soda_sales]]/dataset[[#This Row],[total_sales]]</f>
        <v>5.1780466940628544E-2</v>
      </c>
      <c r="N3291">
        <f>LN(dataset[[#This Row],[soda_units_sold]])</f>
        <v>12.058876890711593</v>
      </c>
      <c r="O3291">
        <f>LN(dataset[[#This Row],[soda_sales]])</f>
        <v>11.637671792539358</v>
      </c>
      <c r="P3291">
        <f>LN(dataset[[#This Row],[soda_ppu]])</f>
        <v>-0.42113727750245999</v>
      </c>
      <c r="Q3291">
        <f>IF(dataset[[#This Row],[state]]="VA",1,0)</f>
        <v>0</v>
      </c>
    </row>
    <row r="3292" spans="1:17" x14ac:dyDescent="0.35">
      <c r="A3292">
        <v>202303</v>
      </c>
      <c r="B3292">
        <v>76</v>
      </c>
      <c r="C3292" s="2">
        <v>2471204.6612999998</v>
      </c>
      <c r="D3292" s="2">
        <v>0.65169999999999995</v>
      </c>
      <c r="E3292" s="3">
        <v>207019</v>
      </c>
      <c r="F3292" s="2">
        <v>134922.56899999999</v>
      </c>
      <c r="G3292" t="s">
        <v>486</v>
      </c>
      <c r="H3292" t="s">
        <v>5</v>
      </c>
      <c r="I3292">
        <f>HLOOKUP(G3292,zip_tiers!$A$1:$EON$2,2,FALSE)</f>
        <v>76305.666666666672</v>
      </c>
      <c r="J3292" t="str">
        <f t="shared" si="51"/>
        <v>Med</v>
      </c>
      <c r="K3292">
        <f>dataset[[#This Row],[soda_sales]]/dataset[[#This Row],[soda_units_sold]]</f>
        <v>0.6517400286930185</v>
      </c>
      <c r="L3292" s="29">
        <f>dataset[[#This Row],[implied_soda_ppu]]-dataset[[#This Row],[soda_ppu]]</f>
        <v>4.0028693018556716E-5</v>
      </c>
      <c r="M3292">
        <f>dataset[[#This Row],[soda_sales]]/dataset[[#This Row],[total_sales]]</f>
        <v>5.4597893534654766E-2</v>
      </c>
      <c r="N3292">
        <f>LN(dataset[[#This Row],[soda_units_sold]])</f>
        <v>12.240565855474911</v>
      </c>
      <c r="O3292">
        <f>LN(dataset[[#This Row],[soda_sales]])</f>
        <v>11.812456329907445</v>
      </c>
      <c r="P3292">
        <f>LN(dataset[[#This Row],[soda_ppu]])</f>
        <v>-0.42817094564380243</v>
      </c>
      <c r="Q3292">
        <f>IF(dataset[[#This Row],[state]]="VA",1,0)</f>
        <v>0</v>
      </c>
    </row>
    <row r="3293" spans="1:17" x14ac:dyDescent="0.35">
      <c r="A3293">
        <v>202304</v>
      </c>
      <c r="B3293">
        <v>76</v>
      </c>
      <c r="C3293" s="2">
        <v>2610216.4451000001</v>
      </c>
      <c r="D3293" s="2">
        <v>0.65680000000000005</v>
      </c>
      <c r="E3293" s="3">
        <v>242445</v>
      </c>
      <c r="F3293" s="2">
        <v>159237.38430000001</v>
      </c>
      <c r="G3293" t="s">
        <v>486</v>
      </c>
      <c r="H3293" t="s">
        <v>5</v>
      </c>
      <c r="I3293">
        <f>HLOOKUP(G3293,zip_tiers!$A$1:$EON$2,2,FALSE)</f>
        <v>76305.666666666672</v>
      </c>
      <c r="J3293" t="str">
        <f t="shared" si="51"/>
        <v>Med</v>
      </c>
      <c r="K3293">
        <f>dataset[[#This Row],[soda_sales]]/dataset[[#This Row],[soda_units_sold]]</f>
        <v>0.65679797191115508</v>
      </c>
      <c r="L3293" s="29">
        <f>dataset[[#This Row],[implied_soda_ppu]]-dataset[[#This Row],[soda_ppu]]</f>
        <v>-2.0280888449741852E-6</v>
      </c>
      <c r="M3293">
        <f>dataset[[#This Row],[soda_sales]]/dataset[[#This Row],[total_sales]]</f>
        <v>6.1005432939834021E-2</v>
      </c>
      <c r="N3293">
        <f>LN(dataset[[#This Row],[soda_units_sold]])</f>
        <v>12.398530159512019</v>
      </c>
      <c r="O3293">
        <f>LN(dataset[[#This Row],[soda_sales]])</f>
        <v>11.978151350830133</v>
      </c>
      <c r="P3293">
        <f>LN(dataset[[#This Row],[soda_ppu]])</f>
        <v>-0.4203757208439185</v>
      </c>
      <c r="Q3293">
        <f>IF(dataset[[#This Row],[state]]="VA",1,0)</f>
        <v>0</v>
      </c>
    </row>
    <row r="3294" spans="1:17" x14ac:dyDescent="0.35">
      <c r="A3294">
        <v>202305</v>
      </c>
      <c r="B3294">
        <v>76</v>
      </c>
      <c r="C3294" s="2">
        <v>2759232.1346</v>
      </c>
      <c r="D3294" s="2">
        <v>0.64349999999999996</v>
      </c>
      <c r="E3294" s="3">
        <v>275926</v>
      </c>
      <c r="F3294" s="2">
        <v>177566.14199999999</v>
      </c>
      <c r="G3294" t="s">
        <v>486</v>
      </c>
      <c r="H3294" t="s">
        <v>5</v>
      </c>
      <c r="I3294">
        <f>HLOOKUP(G3294,zip_tiers!$A$1:$EON$2,2,FALSE)</f>
        <v>76305.666666666672</v>
      </c>
      <c r="J3294" t="str">
        <f t="shared" si="51"/>
        <v>Med</v>
      </c>
      <c r="K3294">
        <f>dataset[[#This Row],[soda_sales]]/dataset[[#This Row],[soda_units_sold]]</f>
        <v>0.64352812710654306</v>
      </c>
      <c r="L3294" s="29">
        <f>dataset[[#This Row],[implied_soda_ppu]]-dataset[[#This Row],[soda_ppu]]</f>
        <v>2.8127106543096581E-5</v>
      </c>
      <c r="M3294">
        <f>dataset[[#This Row],[soda_sales]]/dataset[[#This Row],[total_sales]]</f>
        <v>6.4353462607719805E-2</v>
      </c>
      <c r="N3294">
        <f>LN(dataset[[#This Row],[soda_units_sold]])</f>
        <v>12.527887992807752</v>
      </c>
      <c r="O3294">
        <f>LN(dataset[[#This Row],[soda_sales]])</f>
        <v>12.087098449473839</v>
      </c>
      <c r="P3294">
        <f>LN(dataset[[#This Row],[soda_ppu]])</f>
        <v>-0.44083325194595574</v>
      </c>
      <c r="Q3294">
        <f>IF(dataset[[#This Row],[state]]="VA",1,0)</f>
        <v>0</v>
      </c>
    </row>
    <row r="3295" spans="1:17" x14ac:dyDescent="0.35">
      <c r="A3295">
        <v>202306</v>
      </c>
      <c r="B3295">
        <v>76</v>
      </c>
      <c r="C3295" s="2">
        <v>2624739.1321999999</v>
      </c>
      <c r="D3295" s="2">
        <v>0.64149999999999996</v>
      </c>
      <c r="E3295" s="3">
        <v>285892</v>
      </c>
      <c r="F3295" s="2">
        <v>183404.80179999999</v>
      </c>
      <c r="G3295" t="s">
        <v>486</v>
      </c>
      <c r="H3295" t="s">
        <v>5</v>
      </c>
      <c r="I3295">
        <f>HLOOKUP(G3295,zip_tiers!$A$1:$EON$2,2,FALSE)</f>
        <v>76305.666666666672</v>
      </c>
      <c r="J3295" t="str">
        <f t="shared" si="51"/>
        <v>Med</v>
      </c>
      <c r="K3295">
        <f>dataset[[#This Row],[soda_sales]]/dataset[[#This Row],[soda_units_sold]]</f>
        <v>0.641517782239447</v>
      </c>
      <c r="L3295" s="29">
        <f>dataset[[#This Row],[implied_soda_ppu]]-dataset[[#This Row],[soda_ppu]]</f>
        <v>1.7782239447039494E-5</v>
      </c>
      <c r="M3295">
        <f>dataset[[#This Row],[soda_sales]]/dataset[[#This Row],[total_sales]]</f>
        <v>6.9875440019928389E-2</v>
      </c>
      <c r="N3295">
        <f>LN(dataset[[#This Row],[soda_units_sold]])</f>
        <v>12.563369396107083</v>
      </c>
      <c r="O3295">
        <f>LN(dataset[[#This Row],[soda_sales]])</f>
        <v>12.119451020577349</v>
      </c>
      <c r="P3295">
        <f>LN(dataset[[#This Row],[soda_ppu]])</f>
        <v>-0.44394609492644599</v>
      </c>
      <c r="Q3295">
        <f>IF(dataset[[#This Row],[state]]="VA",1,0)</f>
        <v>0</v>
      </c>
    </row>
    <row r="3296" spans="1:17" x14ac:dyDescent="0.35">
      <c r="A3296">
        <v>202307</v>
      </c>
      <c r="B3296">
        <v>76</v>
      </c>
      <c r="C3296" s="2">
        <v>2501913.0888</v>
      </c>
      <c r="D3296" s="2">
        <v>0.64159999999999995</v>
      </c>
      <c r="E3296" s="3">
        <v>288266</v>
      </c>
      <c r="F3296" s="2">
        <v>184954.3388</v>
      </c>
      <c r="G3296" t="s">
        <v>486</v>
      </c>
      <c r="H3296" t="s">
        <v>5</v>
      </c>
      <c r="I3296">
        <f>HLOOKUP(G3296,zip_tiers!$A$1:$EON$2,2,FALSE)</f>
        <v>76305.666666666672</v>
      </c>
      <c r="J3296" t="str">
        <f t="shared" si="51"/>
        <v>Med</v>
      </c>
      <c r="K3296">
        <f>dataset[[#This Row],[soda_sales]]/dataset[[#This Row],[soda_units_sold]]</f>
        <v>0.64160996718308783</v>
      </c>
      <c r="L3296" s="29">
        <f>dataset[[#This Row],[implied_soda_ppu]]-dataset[[#This Row],[soda_ppu]]</f>
        <v>9.9671830878778067E-6</v>
      </c>
      <c r="M3296">
        <f>dataset[[#This Row],[soda_sales]]/dataset[[#This Row],[total_sales]]</f>
        <v>7.3925165357646455E-2</v>
      </c>
      <c r="N3296">
        <f>LN(dataset[[#This Row],[soda_units_sold]])</f>
        <v>12.571638943962901</v>
      </c>
      <c r="O3296">
        <f>LN(dataset[[#This Row],[soda_sales]])</f>
        <v>12.127864256298762</v>
      </c>
      <c r="P3296">
        <f>LN(dataset[[#This Row],[soda_ppu]])</f>
        <v>-0.4437902224298324</v>
      </c>
      <c r="Q3296">
        <f>IF(dataset[[#This Row],[state]]="VA",1,0)</f>
        <v>0</v>
      </c>
    </row>
    <row r="3297" spans="1:17" x14ac:dyDescent="0.35">
      <c r="A3297">
        <v>202308</v>
      </c>
      <c r="B3297">
        <v>76</v>
      </c>
      <c r="C3297" s="2">
        <v>2332768.8253000001</v>
      </c>
      <c r="D3297" s="2">
        <v>0.65469999999999995</v>
      </c>
      <c r="E3297" s="3">
        <v>249671</v>
      </c>
      <c r="F3297" s="2">
        <v>163459.9192</v>
      </c>
      <c r="G3297" t="s">
        <v>486</v>
      </c>
      <c r="H3297" t="s">
        <v>5</v>
      </c>
      <c r="I3297">
        <f>HLOOKUP(G3297,zip_tiers!$A$1:$EON$2,2,FALSE)</f>
        <v>76305.666666666672</v>
      </c>
      <c r="J3297" t="str">
        <f t="shared" si="51"/>
        <v>Med</v>
      </c>
      <c r="K3297">
        <f>dataset[[#This Row],[soda_sales]]/dataset[[#This Row],[soda_units_sold]]</f>
        <v>0.65470126366298054</v>
      </c>
      <c r="L3297" s="29">
        <f>dataset[[#This Row],[implied_soda_ppu]]-dataset[[#This Row],[soda_ppu]]</f>
        <v>1.2636629805884425E-6</v>
      </c>
      <c r="M3297">
        <f>dataset[[#This Row],[soda_sales]]/dataset[[#This Row],[total_sales]]</f>
        <v>7.0071203553133316E-2</v>
      </c>
      <c r="N3297">
        <f>LN(dataset[[#This Row],[soda_units_sold]])</f>
        <v>12.427899330155926</v>
      </c>
      <c r="O3297">
        <f>LN(dataset[[#This Row],[soda_sales]])</f>
        <v>12.004323096759464</v>
      </c>
      <c r="P3297">
        <f>LN(dataset[[#This Row],[soda_ppu]])</f>
        <v>-0.42357816353509142</v>
      </c>
      <c r="Q3297">
        <f>IF(dataset[[#This Row],[state]]="VA",1,0)</f>
        <v>0</v>
      </c>
    </row>
    <row r="3298" spans="1:17" x14ac:dyDescent="0.35">
      <c r="A3298">
        <v>202309</v>
      </c>
      <c r="B3298">
        <v>76</v>
      </c>
      <c r="C3298" s="2">
        <v>2375314.9304</v>
      </c>
      <c r="D3298" s="2">
        <v>0.65210000000000001</v>
      </c>
      <c r="E3298" s="3">
        <v>241759</v>
      </c>
      <c r="F3298" s="2">
        <v>157657.55720000001</v>
      </c>
      <c r="G3298" t="s">
        <v>486</v>
      </c>
      <c r="H3298" t="s">
        <v>5</v>
      </c>
      <c r="I3298">
        <f>HLOOKUP(G3298,zip_tiers!$A$1:$EON$2,2,FALSE)</f>
        <v>76305.666666666672</v>
      </c>
      <c r="J3298" t="str">
        <f t="shared" si="51"/>
        <v>Med</v>
      </c>
      <c r="K3298">
        <f>dataset[[#This Row],[soda_sales]]/dataset[[#This Row],[soda_units_sold]]</f>
        <v>0.65212694129277504</v>
      </c>
      <c r="L3298" s="29">
        <f>dataset[[#This Row],[implied_soda_ppu]]-dataset[[#This Row],[soda_ppu]]</f>
        <v>2.6941292775028991E-5</v>
      </c>
      <c r="M3298">
        <f>dataset[[#This Row],[soda_sales]]/dataset[[#This Row],[total_sales]]</f>
        <v>6.6373328093151288E-2</v>
      </c>
      <c r="N3298">
        <f>LN(dataset[[#This Row],[soda_units_sold]])</f>
        <v>12.395696641164458</v>
      </c>
      <c r="O3298">
        <f>LN(dataset[[#This Row],[soda_sales]])</f>
        <v>11.968180600392634</v>
      </c>
      <c r="P3298">
        <f>LN(dataset[[#This Row],[soda_ppu]])</f>
        <v>-0.42755735458298044</v>
      </c>
      <c r="Q3298">
        <f>IF(dataset[[#This Row],[state]]="VA",1,0)</f>
        <v>0</v>
      </c>
    </row>
    <row r="3299" spans="1:17" x14ac:dyDescent="0.35">
      <c r="A3299">
        <v>202310</v>
      </c>
      <c r="B3299">
        <v>76</v>
      </c>
      <c r="C3299" s="2">
        <v>2853396.9369999999</v>
      </c>
      <c r="D3299" s="2">
        <v>0.69059999999999999</v>
      </c>
      <c r="E3299" s="3">
        <v>214689</v>
      </c>
      <c r="F3299" s="2">
        <v>148271.2176</v>
      </c>
      <c r="G3299" t="s">
        <v>486</v>
      </c>
      <c r="H3299" t="s">
        <v>5</v>
      </c>
      <c r="I3299">
        <f>HLOOKUP(G3299,zip_tiers!$A$1:$EON$2,2,FALSE)</f>
        <v>76305.666666666672</v>
      </c>
      <c r="J3299" t="str">
        <f t="shared" si="51"/>
        <v>Med</v>
      </c>
      <c r="K3299">
        <f>dataset[[#This Row],[soda_sales]]/dataset[[#This Row],[soda_units_sold]]</f>
        <v>0.69063257828766267</v>
      </c>
      <c r="L3299" s="29">
        <f>dataset[[#This Row],[implied_soda_ppu]]-dataset[[#This Row],[soda_ppu]]</f>
        <v>3.2578287662676786E-5</v>
      </c>
      <c r="M3299">
        <f>dataset[[#This Row],[soda_sales]]/dataset[[#This Row],[total_sales]]</f>
        <v>5.1963053467033289E-2</v>
      </c>
      <c r="N3299">
        <f>LN(dataset[[#This Row],[soda_units_sold]])</f>
        <v>12.276945748273961</v>
      </c>
      <c r="O3299">
        <f>LN(dataset[[#This Row],[soda_sales]])</f>
        <v>11.906798427023945</v>
      </c>
      <c r="P3299">
        <f>LN(dataset[[#This Row],[soda_ppu]])</f>
        <v>-0.3701944940262451</v>
      </c>
      <c r="Q3299">
        <f>IF(dataset[[#This Row],[state]]="VA",1,0)</f>
        <v>0</v>
      </c>
    </row>
    <row r="3300" spans="1:17" x14ac:dyDescent="0.35">
      <c r="A3300">
        <v>202311</v>
      </c>
      <c r="B3300">
        <v>76</v>
      </c>
      <c r="C3300" s="2">
        <v>3308385.3975999998</v>
      </c>
      <c r="D3300" s="2">
        <v>0.68210000000000004</v>
      </c>
      <c r="E3300" s="3">
        <v>212595</v>
      </c>
      <c r="F3300" s="2">
        <v>145003.6905</v>
      </c>
      <c r="G3300" t="s">
        <v>486</v>
      </c>
      <c r="H3300" t="s">
        <v>5</v>
      </c>
      <c r="I3300">
        <f>HLOOKUP(G3300,zip_tiers!$A$1:$EON$2,2,FALSE)</f>
        <v>76305.666666666672</v>
      </c>
      <c r="J3300" t="str">
        <f t="shared" si="51"/>
        <v>Med</v>
      </c>
      <c r="K3300">
        <f>dataset[[#This Row],[soda_sales]]/dataset[[#This Row],[soda_units_sold]]</f>
        <v>0.6820653848867565</v>
      </c>
      <c r="L3300" s="29">
        <f>dataset[[#This Row],[implied_soda_ppu]]-dataset[[#This Row],[soda_ppu]]</f>
        <v>-3.4615113243541273E-5</v>
      </c>
      <c r="M3300">
        <f>dataset[[#This Row],[soda_sales]]/dataset[[#This Row],[total_sales]]</f>
        <v>4.3829141128838844E-2</v>
      </c>
      <c r="N3300">
        <f>LN(dataset[[#This Row],[soda_units_sold]])</f>
        <v>12.267144226269115</v>
      </c>
      <c r="O3300">
        <f>LN(dataset[[#This Row],[soda_sales]])</f>
        <v>11.884514472802961</v>
      </c>
      <c r="P3300">
        <f>LN(dataset[[#This Row],[soda_ppu]])</f>
        <v>-0.38257900432146336</v>
      </c>
      <c r="Q3300">
        <f>IF(dataset[[#This Row],[state]]="VA",1,0)</f>
        <v>0</v>
      </c>
    </row>
    <row r="3301" spans="1:17" x14ac:dyDescent="0.35">
      <c r="A3301">
        <v>202312</v>
      </c>
      <c r="B3301">
        <v>76</v>
      </c>
      <c r="C3301" s="2">
        <v>3414161.7411000002</v>
      </c>
      <c r="D3301" s="2">
        <v>0.66900000000000004</v>
      </c>
      <c r="E3301" s="3">
        <v>204202</v>
      </c>
      <c r="F3301" s="2">
        <v>136601.3873</v>
      </c>
      <c r="G3301" t="s">
        <v>486</v>
      </c>
      <c r="H3301" t="s">
        <v>5</v>
      </c>
      <c r="I3301">
        <f>HLOOKUP(G3301,zip_tiers!$A$1:$EON$2,2,FALSE)</f>
        <v>76305.666666666672</v>
      </c>
      <c r="J3301" t="str">
        <f t="shared" si="51"/>
        <v>Med</v>
      </c>
      <c r="K3301">
        <f>dataset[[#This Row],[soda_sales]]/dataset[[#This Row],[soda_units_sold]]</f>
        <v>0.66895224973310741</v>
      </c>
      <c r="L3301" s="29">
        <f>dataset[[#This Row],[implied_soda_ppu]]-dataset[[#This Row],[soda_ppu]]</f>
        <v>-4.7750266892632176E-5</v>
      </c>
      <c r="M3301">
        <f>dataset[[#This Row],[soda_sales]]/dataset[[#This Row],[total_sales]]</f>
        <v>4.0010227299890233E-2</v>
      </c>
      <c r="N3301">
        <f>LN(dataset[[#This Row],[soda_units_sold]])</f>
        <v>12.226864978984032</v>
      </c>
      <c r="O3301">
        <f>LN(dataset[[#This Row],[soda_sales]])</f>
        <v>11.824822381996977</v>
      </c>
      <c r="P3301">
        <f>LN(dataset[[#This Row],[soda_ppu]])</f>
        <v>-0.40197121885390852</v>
      </c>
      <c r="Q3301">
        <f>IF(dataset[[#This Row],[state]]="VA",1,0)</f>
        <v>0</v>
      </c>
    </row>
    <row r="3302" spans="1:17" x14ac:dyDescent="0.35">
      <c r="A3302">
        <v>202401</v>
      </c>
      <c r="B3302">
        <v>76</v>
      </c>
      <c r="C3302" s="2">
        <v>1970368.5519999999</v>
      </c>
      <c r="D3302" s="2">
        <v>0.67810000000000004</v>
      </c>
      <c r="E3302" s="3">
        <v>152217</v>
      </c>
      <c r="F3302" s="2">
        <v>103211.51549999999</v>
      </c>
      <c r="G3302" t="s">
        <v>486</v>
      </c>
      <c r="H3302" t="s">
        <v>5</v>
      </c>
      <c r="I3302">
        <f>HLOOKUP(G3302,zip_tiers!$A$1:$EON$2,2,FALSE)</f>
        <v>76305.666666666672</v>
      </c>
      <c r="J3302" t="str">
        <f t="shared" si="51"/>
        <v>Med</v>
      </c>
      <c r="K3302">
        <f>dataset[[#This Row],[soda_sales]]/dataset[[#This Row],[soda_units_sold]]</f>
        <v>0.67805511539446972</v>
      </c>
      <c r="L3302" s="29">
        <f>dataset[[#This Row],[implied_soda_ppu]]-dataset[[#This Row],[soda_ppu]]</f>
        <v>-4.4884605530315369E-5</v>
      </c>
      <c r="M3302">
        <f>dataset[[#This Row],[soda_sales]]/dataset[[#This Row],[total_sales]]</f>
        <v>5.2381832523279125E-2</v>
      </c>
      <c r="N3302">
        <f>LN(dataset[[#This Row],[soda_units_sold]])</f>
        <v>11.933062413310262</v>
      </c>
      <c r="O3302">
        <f>LN(dataset[[#This Row],[soda_sales]])</f>
        <v>11.54453571010686</v>
      </c>
      <c r="P3302">
        <f>LN(dataset[[#This Row],[soda_ppu]])</f>
        <v>-0.38846050929234055</v>
      </c>
      <c r="Q3302">
        <f>IF(dataset[[#This Row],[state]]="VA",1,0)</f>
        <v>0</v>
      </c>
    </row>
    <row r="3303" spans="1:17" x14ac:dyDescent="0.35">
      <c r="A3303">
        <v>202402</v>
      </c>
      <c r="B3303">
        <v>76</v>
      </c>
      <c r="C3303" s="2">
        <v>2232727.2677000002</v>
      </c>
      <c r="D3303" s="2">
        <v>0.67279999999999995</v>
      </c>
      <c r="E3303" s="3">
        <v>173487</v>
      </c>
      <c r="F3303" s="2">
        <v>116730.4667</v>
      </c>
      <c r="G3303" t="s">
        <v>486</v>
      </c>
      <c r="H3303" t="s">
        <v>5</v>
      </c>
      <c r="I3303">
        <f>HLOOKUP(G3303,zip_tiers!$A$1:$EON$2,2,FALSE)</f>
        <v>76305.666666666672</v>
      </c>
      <c r="J3303" t="str">
        <f t="shared" si="51"/>
        <v>Med</v>
      </c>
      <c r="K3303">
        <f>dataset[[#This Row],[soda_sales]]/dataset[[#This Row],[soda_units_sold]]</f>
        <v>0.67284849412347902</v>
      </c>
      <c r="L3303" s="29">
        <f>dataset[[#This Row],[implied_soda_ppu]]-dataset[[#This Row],[soda_ppu]]</f>
        <v>4.8494123479070339E-5</v>
      </c>
      <c r="M3303">
        <f>dataset[[#This Row],[soda_sales]]/dataset[[#This Row],[total_sales]]</f>
        <v>5.2281560936122566E-2</v>
      </c>
      <c r="N3303">
        <f>LN(dataset[[#This Row],[soda_units_sold]])</f>
        <v>12.063857947607922</v>
      </c>
      <c r="O3303">
        <f>LN(dataset[[#This Row],[soda_sales]])</f>
        <v>11.667622852754025</v>
      </c>
      <c r="P3303">
        <f>LN(dataset[[#This Row],[soda_ppu]])</f>
        <v>-0.39630717032339885</v>
      </c>
      <c r="Q3303">
        <f>IF(dataset[[#This Row],[state]]="VA",1,0)</f>
        <v>0</v>
      </c>
    </row>
    <row r="3304" spans="1:17" x14ac:dyDescent="0.35">
      <c r="A3304">
        <v>202403</v>
      </c>
      <c r="B3304">
        <v>76</v>
      </c>
      <c r="C3304" s="2">
        <v>2551833.9411999998</v>
      </c>
      <c r="D3304" s="2">
        <v>0.69040000000000001</v>
      </c>
      <c r="E3304" s="3">
        <v>204244</v>
      </c>
      <c r="F3304" s="2">
        <v>141013.62719999999</v>
      </c>
      <c r="G3304" t="s">
        <v>486</v>
      </c>
      <c r="H3304" t="s">
        <v>5</v>
      </c>
      <c r="I3304">
        <f>HLOOKUP(G3304,zip_tiers!$A$1:$EON$2,2,FALSE)</f>
        <v>76305.666666666672</v>
      </c>
      <c r="J3304" t="str">
        <f t="shared" si="51"/>
        <v>Med</v>
      </c>
      <c r="K3304">
        <f>dataset[[#This Row],[soda_sales]]/dataset[[#This Row],[soda_units_sold]]</f>
        <v>0.69041747713519119</v>
      </c>
      <c r="L3304" s="29">
        <f>dataset[[#This Row],[implied_soda_ppu]]-dataset[[#This Row],[soda_ppu]]</f>
        <v>1.7477135191179549E-5</v>
      </c>
      <c r="M3304">
        <f>dataset[[#This Row],[soda_sales]]/dataset[[#This Row],[total_sales]]</f>
        <v>5.525971926436888E-2</v>
      </c>
      <c r="N3304">
        <f>LN(dataset[[#This Row],[soda_units_sold]])</f>
        <v>12.227070636525779</v>
      </c>
      <c r="O3304">
        <f>LN(dataset[[#This Row],[soda_sales]])</f>
        <v>11.856611811498814</v>
      </c>
      <c r="P3304">
        <f>LN(dataset[[#This Row],[soda_ppu]])</f>
        <v>-0.37048413921291884</v>
      </c>
      <c r="Q3304">
        <f>IF(dataset[[#This Row],[state]]="VA",1,0)</f>
        <v>0</v>
      </c>
    </row>
    <row r="3305" spans="1:17" x14ac:dyDescent="0.35">
      <c r="A3305">
        <v>202404</v>
      </c>
      <c r="B3305">
        <v>76</v>
      </c>
      <c r="C3305" s="2">
        <v>2576918.1161000002</v>
      </c>
      <c r="D3305" s="2">
        <v>0.65359999999999996</v>
      </c>
      <c r="E3305" s="3">
        <v>234915</v>
      </c>
      <c r="F3305" s="2">
        <v>153543.97949999999</v>
      </c>
      <c r="G3305" t="s">
        <v>486</v>
      </c>
      <c r="H3305" t="s">
        <v>5</v>
      </c>
      <c r="I3305">
        <f>HLOOKUP(G3305,zip_tiers!$A$1:$EON$2,2,FALSE)</f>
        <v>76305.666666666672</v>
      </c>
      <c r="J3305" t="str">
        <f t="shared" si="51"/>
        <v>Med</v>
      </c>
      <c r="K3305">
        <f>dataset[[#This Row],[soda_sales]]/dataset[[#This Row],[soda_units_sold]]</f>
        <v>0.65361505012451304</v>
      </c>
      <c r="L3305" s="29">
        <f>dataset[[#This Row],[implied_soda_ppu]]-dataset[[#This Row],[soda_ppu]]</f>
        <v>1.5050124513082963E-5</v>
      </c>
      <c r="M3305">
        <f>dataset[[#This Row],[soda_sales]]/dataset[[#This Row],[total_sales]]</f>
        <v>5.9584345556303091E-2</v>
      </c>
      <c r="N3305">
        <f>LN(dataset[[#This Row],[soda_units_sold]])</f>
        <v>12.366979025568645</v>
      </c>
      <c r="O3305">
        <f>LN(dataset[[#This Row],[soda_sales]])</f>
        <v>11.941742316373487</v>
      </c>
      <c r="P3305">
        <f>LN(dataset[[#This Row],[soda_ppu]])</f>
        <v>-0.42525973543634399</v>
      </c>
      <c r="Q3305">
        <f>IF(dataset[[#This Row],[state]]="VA",1,0)</f>
        <v>0</v>
      </c>
    </row>
    <row r="3306" spans="1:17" x14ac:dyDescent="0.35">
      <c r="A3306">
        <v>202405</v>
      </c>
      <c r="B3306">
        <v>76</v>
      </c>
      <c r="C3306" s="2">
        <v>2787979.8031000001</v>
      </c>
      <c r="D3306" s="2">
        <v>0.65590000000000004</v>
      </c>
      <c r="E3306" s="3">
        <v>270104</v>
      </c>
      <c r="F3306" s="2">
        <v>177169.9945</v>
      </c>
      <c r="G3306" t="s">
        <v>486</v>
      </c>
      <c r="H3306" t="s">
        <v>5</v>
      </c>
      <c r="I3306">
        <f>HLOOKUP(G3306,zip_tiers!$A$1:$EON$2,2,FALSE)</f>
        <v>76305.666666666672</v>
      </c>
      <c r="J3306" t="str">
        <f t="shared" si="51"/>
        <v>Med</v>
      </c>
      <c r="K3306">
        <f>dataset[[#This Row],[soda_sales]]/dataset[[#This Row],[soda_units_sold]]</f>
        <v>0.65593250932973968</v>
      </c>
      <c r="L3306" s="29">
        <f>dataset[[#This Row],[implied_soda_ppu]]-dataset[[#This Row],[soda_ppu]]</f>
        <v>3.2509329739638382E-5</v>
      </c>
      <c r="M3306">
        <f>dataset[[#This Row],[soda_sales]]/dataset[[#This Row],[total_sales]]</f>
        <v>6.3547804149442472E-2</v>
      </c>
      <c r="N3306">
        <f>LN(dataset[[#This Row],[soda_units_sold]])</f>
        <v>12.506562349000928</v>
      </c>
      <c r="O3306">
        <f>LN(dataset[[#This Row],[soda_sales]])</f>
        <v>12.084864971550852</v>
      </c>
      <c r="P3306">
        <f>LN(dataset[[#This Row],[soda_ppu]])</f>
        <v>-0.42174694068244717</v>
      </c>
      <c r="Q3306">
        <f>IF(dataset[[#This Row],[state]]="VA",1,0)</f>
        <v>0</v>
      </c>
    </row>
    <row r="3307" spans="1:17" x14ac:dyDescent="0.35">
      <c r="A3307">
        <v>202406</v>
      </c>
      <c r="B3307">
        <v>76</v>
      </c>
      <c r="C3307" s="2">
        <v>2675207.0929999999</v>
      </c>
      <c r="D3307" s="2">
        <v>0.69930000000000003</v>
      </c>
      <c r="E3307" s="3">
        <v>266817</v>
      </c>
      <c r="F3307" s="2">
        <v>186590.7556</v>
      </c>
      <c r="G3307" t="s">
        <v>486</v>
      </c>
      <c r="H3307" t="s">
        <v>5</v>
      </c>
      <c r="I3307">
        <f>HLOOKUP(G3307,zip_tiers!$A$1:$EON$2,2,FALSE)</f>
        <v>76305.666666666672</v>
      </c>
      <c r="J3307" t="str">
        <f t="shared" si="51"/>
        <v>Med</v>
      </c>
      <c r="K3307">
        <f>dataset[[#This Row],[soda_sales]]/dataset[[#This Row],[soda_units_sold]]</f>
        <v>0.69932109123481634</v>
      </c>
      <c r="L3307" s="29">
        <f>dataset[[#This Row],[implied_soda_ppu]]-dataset[[#This Row],[soda_ppu]]</f>
        <v>2.1091234816306148E-5</v>
      </c>
      <c r="M3307">
        <f>dataset[[#This Row],[soda_sales]]/dataset[[#This Row],[total_sales]]</f>
        <v>6.974815373667223E-2</v>
      </c>
      <c r="N3307">
        <f>LN(dataset[[#This Row],[soda_units_sold]])</f>
        <v>12.49431830913462</v>
      </c>
      <c r="O3307">
        <f>LN(dataset[[#This Row],[soda_sales]])</f>
        <v>12.136673024903434</v>
      </c>
      <c r="P3307">
        <f>LN(dataset[[#This Row],[soda_ppu]])</f>
        <v>-0.35767544427231585</v>
      </c>
      <c r="Q3307">
        <f>IF(dataset[[#This Row],[state]]="VA",1,0)</f>
        <v>0</v>
      </c>
    </row>
    <row r="3308" spans="1:17" x14ac:dyDescent="0.35">
      <c r="A3308">
        <v>202407</v>
      </c>
      <c r="B3308">
        <v>76</v>
      </c>
      <c r="C3308" s="2">
        <v>2562711.6620999998</v>
      </c>
      <c r="D3308" s="2">
        <v>0.71309999999999996</v>
      </c>
      <c r="E3308" s="3">
        <v>270399</v>
      </c>
      <c r="F3308" s="2">
        <v>192809.95499999999</v>
      </c>
      <c r="G3308" t="s">
        <v>486</v>
      </c>
      <c r="H3308" t="s">
        <v>5</v>
      </c>
      <c r="I3308">
        <f>HLOOKUP(G3308,zip_tiers!$A$1:$EON$2,2,FALSE)</f>
        <v>76305.666666666672</v>
      </c>
      <c r="J3308" t="str">
        <f t="shared" si="51"/>
        <v>Med</v>
      </c>
      <c r="K3308">
        <f>dataset[[#This Row],[soda_sales]]/dataset[[#This Row],[soda_units_sold]]</f>
        <v>0.71305720435356634</v>
      </c>
      <c r="L3308" s="29">
        <f>dataset[[#This Row],[implied_soda_ppu]]-dataset[[#This Row],[soda_ppu]]</f>
        <v>-4.2795646433613221E-5</v>
      </c>
      <c r="M3308">
        <f>dataset[[#This Row],[soda_sales]]/dataset[[#This Row],[total_sales]]</f>
        <v>7.5236694729052325E-2</v>
      </c>
      <c r="N3308">
        <f>LN(dataset[[#This Row],[soda_units_sold]])</f>
        <v>12.507653924919255</v>
      </c>
      <c r="O3308">
        <f>LN(dataset[[#This Row],[soda_sales]])</f>
        <v>12.169460293643031</v>
      </c>
      <c r="P3308">
        <f>LN(dataset[[#This Row],[soda_ppu]])</f>
        <v>-0.33813361594787916</v>
      </c>
      <c r="Q3308">
        <f>IF(dataset[[#This Row],[state]]="VA",1,0)</f>
        <v>0</v>
      </c>
    </row>
    <row r="3309" spans="1:17" x14ac:dyDescent="0.35">
      <c r="A3309">
        <v>202408</v>
      </c>
      <c r="B3309">
        <v>76</v>
      </c>
      <c r="C3309" s="2">
        <v>2388336.5125000002</v>
      </c>
      <c r="D3309" s="2">
        <v>0.69589999999999996</v>
      </c>
      <c r="E3309" s="3">
        <v>238045</v>
      </c>
      <c r="F3309" s="2">
        <v>165650.89139999999</v>
      </c>
      <c r="G3309" t="s">
        <v>486</v>
      </c>
      <c r="H3309" t="s">
        <v>5</v>
      </c>
      <c r="I3309">
        <f>HLOOKUP(G3309,zip_tiers!$A$1:$EON$2,2,FALSE)</f>
        <v>76305.666666666672</v>
      </c>
      <c r="J3309" t="str">
        <f t="shared" si="51"/>
        <v>Med</v>
      </c>
      <c r="K3309">
        <f>dataset[[#This Row],[soda_sales]]/dataset[[#This Row],[soda_units_sold]]</f>
        <v>0.69588057468125775</v>
      </c>
      <c r="L3309" s="29">
        <f>dataset[[#This Row],[implied_soda_ppu]]-dataset[[#This Row],[soda_ppu]]</f>
        <v>-1.9425318742216646E-5</v>
      </c>
      <c r="M3309">
        <f>dataset[[#This Row],[soda_sales]]/dataset[[#This Row],[total_sales]]</f>
        <v>6.9358271136844243E-2</v>
      </c>
      <c r="N3309">
        <f>LN(dataset[[#This Row],[soda_units_sold]])</f>
        <v>12.38021501041132</v>
      </c>
      <c r="O3309">
        <f>LN(dataset[[#This Row],[soda_sales]])</f>
        <v>12.017637788939039</v>
      </c>
      <c r="P3309">
        <f>LN(dataset[[#This Row],[soda_ppu]])</f>
        <v>-0.36254930713133271</v>
      </c>
      <c r="Q3309">
        <f>IF(dataset[[#This Row],[state]]="VA",1,0)</f>
        <v>0</v>
      </c>
    </row>
    <row r="3310" spans="1:17" x14ac:dyDescent="0.35">
      <c r="A3310">
        <v>202409</v>
      </c>
      <c r="B3310">
        <v>76</v>
      </c>
      <c r="C3310" s="2">
        <v>2394213.1718000001</v>
      </c>
      <c r="D3310" s="2">
        <v>0.68920000000000003</v>
      </c>
      <c r="E3310" s="3">
        <v>229308</v>
      </c>
      <c r="F3310" s="2">
        <v>158036.66620000001</v>
      </c>
      <c r="G3310" t="s">
        <v>486</v>
      </c>
      <c r="H3310" t="s">
        <v>5</v>
      </c>
      <c r="I3310">
        <f>HLOOKUP(G3310,zip_tiers!$A$1:$EON$2,2,FALSE)</f>
        <v>76305.666666666672</v>
      </c>
      <c r="J3310" t="str">
        <f t="shared" si="51"/>
        <v>Med</v>
      </c>
      <c r="K3310">
        <f>dataset[[#This Row],[soda_sales]]/dataset[[#This Row],[soda_units_sold]]</f>
        <v>0.68918950145655633</v>
      </c>
      <c r="L3310" s="29">
        <f>dataset[[#This Row],[implied_soda_ppu]]-dataset[[#This Row],[soda_ppu]]</f>
        <v>-1.0498543443704378E-5</v>
      </c>
      <c r="M3310">
        <f>dataset[[#This Row],[soda_sales]]/dataset[[#This Row],[total_sales]]</f>
        <v>6.6007767420804067E-2</v>
      </c>
      <c r="N3310">
        <f>LN(dataset[[#This Row],[soda_units_sold]])</f>
        <v>12.342821357029372</v>
      </c>
      <c r="O3310">
        <f>LN(dataset[[#This Row],[soda_sales]])</f>
        <v>11.970582349643252</v>
      </c>
      <c r="P3310">
        <f>LN(dataset[[#This Row],[soda_ppu]])</f>
        <v>-0.37222377432836246</v>
      </c>
      <c r="Q3310">
        <f>IF(dataset[[#This Row],[state]]="VA",1,0)</f>
        <v>0</v>
      </c>
    </row>
    <row r="3311" spans="1:17" x14ac:dyDescent="0.35">
      <c r="A3311">
        <v>202410</v>
      </c>
      <c r="B3311">
        <v>76</v>
      </c>
      <c r="C3311" s="2">
        <v>2923200.6902999999</v>
      </c>
      <c r="D3311" s="2">
        <v>0.69950000000000001</v>
      </c>
      <c r="E3311" s="3">
        <v>215190</v>
      </c>
      <c r="F3311" s="2">
        <v>150534.75169999999</v>
      </c>
      <c r="G3311" t="s">
        <v>486</v>
      </c>
      <c r="H3311" t="s">
        <v>5</v>
      </c>
      <c r="I3311">
        <f>HLOOKUP(G3311,zip_tiers!$A$1:$EON$2,2,FALSE)</f>
        <v>76305.666666666672</v>
      </c>
      <c r="J3311" t="str">
        <f t="shared" si="51"/>
        <v>Med</v>
      </c>
      <c r="K3311">
        <f>dataset[[#This Row],[soda_sales]]/dataset[[#This Row],[soda_units_sold]]</f>
        <v>0.69954343463915603</v>
      </c>
      <c r="L3311" s="29">
        <f>dataset[[#This Row],[implied_soda_ppu]]-dataset[[#This Row],[soda_ppu]]</f>
        <v>4.3434639156014754E-5</v>
      </c>
      <c r="M3311">
        <f>dataset[[#This Row],[soda_sales]]/dataset[[#This Row],[total_sales]]</f>
        <v>5.1496550407748788E-2</v>
      </c>
      <c r="N3311">
        <f>LN(dataset[[#This Row],[soda_units_sold]])</f>
        <v>12.279276637788589</v>
      </c>
      <c r="O3311">
        <f>LN(dataset[[#This Row],[soda_sales]])</f>
        <v>11.921949244821496</v>
      </c>
      <c r="P3311">
        <f>LN(dataset[[#This Row],[soda_ppu]])</f>
        <v>-0.35738948487660116</v>
      </c>
      <c r="Q3311">
        <f>IF(dataset[[#This Row],[state]]="VA",1,0)</f>
        <v>0</v>
      </c>
    </row>
    <row r="3312" spans="1:17" x14ac:dyDescent="0.35">
      <c r="A3312">
        <v>202411</v>
      </c>
      <c r="B3312">
        <v>76</v>
      </c>
      <c r="C3312" s="2">
        <v>3312463.5402000002</v>
      </c>
      <c r="D3312" s="2">
        <v>0.68720000000000003</v>
      </c>
      <c r="E3312" s="3">
        <v>210226</v>
      </c>
      <c r="F3312" s="2">
        <v>144467.79800000001</v>
      </c>
      <c r="G3312" t="s">
        <v>486</v>
      </c>
      <c r="H3312" t="s">
        <v>5</v>
      </c>
      <c r="I3312">
        <f>HLOOKUP(G3312,zip_tiers!$A$1:$EON$2,2,FALSE)</f>
        <v>76305.666666666672</v>
      </c>
      <c r="J3312" t="str">
        <f t="shared" si="51"/>
        <v>Med</v>
      </c>
      <c r="K3312">
        <f>dataset[[#This Row],[soda_sales]]/dataset[[#This Row],[soda_units_sold]]</f>
        <v>0.68720233463035019</v>
      </c>
      <c r="L3312" s="29">
        <f>dataset[[#This Row],[implied_soda_ppu]]-dataset[[#This Row],[soda_ppu]]</f>
        <v>2.334630350153688E-6</v>
      </c>
      <c r="M3312">
        <f>dataset[[#This Row],[soda_sales]]/dataset[[#This Row],[total_sales]]</f>
        <v>4.3613400191954213E-2</v>
      </c>
      <c r="N3312">
        <f>LN(dataset[[#This Row],[soda_units_sold]])</f>
        <v>12.255938421497968</v>
      </c>
      <c r="O3312">
        <f>LN(dataset[[#This Row],[soda_sales]])</f>
        <v>11.88081191048853</v>
      </c>
      <c r="P3312">
        <f>LN(dataset[[#This Row],[soda_ppu]])</f>
        <v>-0.37512990831209136</v>
      </c>
      <c r="Q3312">
        <f>IF(dataset[[#This Row],[state]]="VA",1,0)</f>
        <v>0</v>
      </c>
    </row>
    <row r="3313" spans="1:17" x14ac:dyDescent="0.35">
      <c r="A3313">
        <v>202412</v>
      </c>
      <c r="B3313">
        <v>76</v>
      </c>
      <c r="C3313" s="2">
        <v>3477960.4945999999</v>
      </c>
      <c r="D3313" s="2">
        <v>0.69799999999999995</v>
      </c>
      <c r="E3313" s="3">
        <v>202652</v>
      </c>
      <c r="F3313" s="2">
        <v>141456.4063</v>
      </c>
      <c r="G3313" t="s">
        <v>486</v>
      </c>
      <c r="H3313" t="s">
        <v>5</v>
      </c>
      <c r="I3313">
        <f>HLOOKUP(G3313,zip_tiers!$A$1:$EON$2,2,FALSE)</f>
        <v>76305.666666666672</v>
      </c>
      <c r="J3313" t="str">
        <f t="shared" si="51"/>
        <v>Med</v>
      </c>
      <c r="K3313">
        <f>dataset[[#This Row],[soda_sales]]/dataset[[#This Row],[soda_units_sold]]</f>
        <v>0.69802620403450255</v>
      </c>
      <c r="L3313" s="29">
        <f>dataset[[#This Row],[implied_soda_ppu]]-dataset[[#This Row],[soda_ppu]]</f>
        <v>2.6204034502597118E-5</v>
      </c>
      <c r="M3313">
        <f>dataset[[#This Row],[soda_sales]]/dataset[[#This Row],[total_sales]]</f>
        <v>4.0672229175584385E-2</v>
      </c>
      <c r="N3313">
        <f>LN(dataset[[#This Row],[soda_units_sold]])</f>
        <v>12.219245501240421</v>
      </c>
      <c r="O3313">
        <f>LN(dataset[[#This Row],[soda_sales]])</f>
        <v>11.859746865912697</v>
      </c>
      <c r="P3313">
        <f>LN(dataset[[#This Row],[soda_ppu]])</f>
        <v>-0.35953617621976464</v>
      </c>
      <c r="Q3313">
        <f>IF(dataset[[#This Row],[state]]="VA",1,0)</f>
        <v>0</v>
      </c>
    </row>
    <row r="3314" spans="1:17" x14ac:dyDescent="0.35">
      <c r="A3314">
        <v>202201</v>
      </c>
      <c r="B3314">
        <v>78</v>
      </c>
      <c r="C3314" s="2">
        <v>1644087.2971999999</v>
      </c>
      <c r="D3314" s="2">
        <v>0.62329999999999997</v>
      </c>
      <c r="E3314" s="3">
        <v>175465</v>
      </c>
      <c r="F3314" s="2">
        <v>109367.7631</v>
      </c>
      <c r="G3314" t="s">
        <v>529</v>
      </c>
      <c r="H3314" t="s">
        <v>5</v>
      </c>
      <c r="I3314">
        <f>HLOOKUP(G3314,zip_tiers!$A$1:$EON$2,2,FALSE)</f>
        <v>52832</v>
      </c>
      <c r="J3314" t="str">
        <f t="shared" si="51"/>
        <v>Med</v>
      </c>
      <c r="K3314">
        <f>dataset[[#This Row],[soda_sales]]/dataset[[#This Row],[soda_units_sold]]</f>
        <v>0.62330244265238077</v>
      </c>
      <c r="L3314" s="29">
        <f>dataset[[#This Row],[implied_soda_ppu]]-dataset[[#This Row],[soda_ppu]]</f>
        <v>2.4426523808074307E-6</v>
      </c>
      <c r="M3314">
        <f>dataset[[#This Row],[soda_sales]]/dataset[[#This Row],[total_sales]]</f>
        <v>6.6521871001777852E-2</v>
      </c>
      <c r="N3314">
        <f>LN(dataset[[#This Row],[soda_units_sold]])</f>
        <v>12.075194871799781</v>
      </c>
      <c r="O3314">
        <f>LN(dataset[[#This Row],[soda_sales]])</f>
        <v>11.602471455527995</v>
      </c>
      <c r="P3314">
        <f>LN(dataset[[#This Row],[soda_ppu]])</f>
        <v>-0.47272733516733217</v>
      </c>
      <c r="Q3314">
        <f>IF(dataset[[#This Row],[state]]="VA",1,0)</f>
        <v>0</v>
      </c>
    </row>
    <row r="3315" spans="1:17" x14ac:dyDescent="0.35">
      <c r="A3315">
        <v>202202</v>
      </c>
      <c r="B3315">
        <v>78</v>
      </c>
      <c r="C3315" s="2">
        <v>1910017.544</v>
      </c>
      <c r="D3315" s="2">
        <v>0.64380000000000004</v>
      </c>
      <c r="E3315" s="3">
        <v>193687</v>
      </c>
      <c r="F3315" s="2">
        <v>124696.3792</v>
      </c>
      <c r="G3315" t="s">
        <v>529</v>
      </c>
      <c r="H3315" t="s">
        <v>5</v>
      </c>
      <c r="I3315">
        <f>HLOOKUP(G3315,zip_tiers!$A$1:$EON$2,2,FALSE)</f>
        <v>52832</v>
      </c>
      <c r="J3315" t="str">
        <f t="shared" si="51"/>
        <v>Med</v>
      </c>
      <c r="K3315">
        <f>dataset[[#This Row],[soda_sales]]/dataset[[#This Row],[soda_units_sold]]</f>
        <v>0.64380355522053623</v>
      </c>
      <c r="L3315" s="29">
        <f>dataset[[#This Row],[implied_soda_ppu]]-dataset[[#This Row],[soda_ppu]]</f>
        <v>3.5552205361888412E-6</v>
      </c>
      <c r="M3315">
        <f>dataset[[#This Row],[soda_sales]]/dataset[[#This Row],[total_sales]]</f>
        <v>6.5285462739184133E-2</v>
      </c>
      <c r="N3315">
        <f>LN(dataset[[#This Row],[soda_units_sold]])</f>
        <v>12.173998733048876</v>
      </c>
      <c r="O3315">
        <f>LN(dataset[[#This Row],[soda_sales]])</f>
        <v>11.733637095159965</v>
      </c>
      <c r="P3315">
        <f>LN(dataset[[#This Row],[soda_ppu]])</f>
        <v>-0.44036716011742921</v>
      </c>
      <c r="Q3315">
        <f>IF(dataset[[#This Row],[state]]="VA",1,0)</f>
        <v>0</v>
      </c>
    </row>
    <row r="3316" spans="1:17" x14ac:dyDescent="0.35">
      <c r="A3316">
        <v>202203</v>
      </c>
      <c r="B3316">
        <v>78</v>
      </c>
      <c r="C3316" s="2">
        <v>2151228.9383</v>
      </c>
      <c r="D3316" s="2">
        <v>0.6431</v>
      </c>
      <c r="E3316" s="3">
        <v>233119</v>
      </c>
      <c r="F3316" s="2">
        <v>149907.6703</v>
      </c>
      <c r="G3316" t="s">
        <v>529</v>
      </c>
      <c r="H3316" t="s">
        <v>5</v>
      </c>
      <c r="I3316">
        <f>HLOOKUP(G3316,zip_tiers!$A$1:$EON$2,2,FALSE)</f>
        <v>52832</v>
      </c>
      <c r="J3316" t="str">
        <f t="shared" si="51"/>
        <v>Med</v>
      </c>
      <c r="K3316">
        <f>dataset[[#This Row],[soda_sales]]/dataset[[#This Row],[soda_units_sold]]</f>
        <v>0.64305213345973511</v>
      </c>
      <c r="L3316" s="29">
        <f>dataset[[#This Row],[implied_soda_ppu]]-dataset[[#This Row],[soda_ppu]]</f>
        <v>-4.7866540264895896E-5</v>
      </c>
      <c r="M3316">
        <f>dataset[[#This Row],[soda_sales]]/dataset[[#This Row],[total_sales]]</f>
        <v>6.9684666113902283E-2</v>
      </c>
      <c r="N3316">
        <f>LN(dataset[[#This Row],[soda_units_sold]])</f>
        <v>12.359304331783592</v>
      </c>
      <c r="O3316">
        <f>LN(dataset[[#This Row],[soda_sales]])</f>
        <v>11.917774852227875</v>
      </c>
      <c r="P3316">
        <f>LN(dataset[[#This Row],[soda_ppu]])</f>
        <v>-0.44145504584131956</v>
      </c>
      <c r="Q3316">
        <f>IF(dataset[[#This Row],[state]]="VA",1,0)</f>
        <v>0</v>
      </c>
    </row>
    <row r="3317" spans="1:17" x14ac:dyDescent="0.35">
      <c r="A3317">
        <v>202204</v>
      </c>
      <c r="B3317">
        <v>78</v>
      </c>
      <c r="C3317" s="2">
        <v>2187069.6485000001</v>
      </c>
      <c r="D3317" s="2">
        <v>0.63139999999999996</v>
      </c>
      <c r="E3317" s="3">
        <v>263689</v>
      </c>
      <c r="F3317" s="2">
        <v>166499.4559</v>
      </c>
      <c r="G3317" t="s">
        <v>529</v>
      </c>
      <c r="H3317" t="s">
        <v>5</v>
      </c>
      <c r="I3317">
        <f>HLOOKUP(G3317,zip_tiers!$A$1:$EON$2,2,FALSE)</f>
        <v>52832</v>
      </c>
      <c r="J3317" t="str">
        <f t="shared" si="51"/>
        <v>Med</v>
      </c>
      <c r="K3317">
        <f>dataset[[#This Row],[soda_sales]]/dataset[[#This Row],[soda_units_sold]]</f>
        <v>0.63142359332395359</v>
      </c>
      <c r="L3317" s="29">
        <f>dataset[[#This Row],[implied_soda_ppu]]-dataset[[#This Row],[soda_ppu]]</f>
        <v>2.3593323953630119E-5</v>
      </c>
      <c r="M3317">
        <f>dataset[[#This Row],[soda_sales]]/dataset[[#This Row],[total_sales]]</f>
        <v>7.6129014004740772E-2</v>
      </c>
      <c r="N3317">
        <f>LN(dataset[[#This Row],[soda_units_sold]])</f>
        <v>12.482525657402304</v>
      </c>
      <c r="O3317">
        <f>LN(dataset[[#This Row],[soda_sales]])</f>
        <v>12.022747320529428</v>
      </c>
      <c r="P3317">
        <f>LN(dataset[[#This Row],[soda_ppu]])</f>
        <v>-0.45981570285824586</v>
      </c>
      <c r="Q3317">
        <f>IF(dataset[[#This Row],[state]]="VA",1,0)</f>
        <v>0</v>
      </c>
    </row>
    <row r="3318" spans="1:17" x14ac:dyDescent="0.35">
      <c r="A3318">
        <v>202205</v>
      </c>
      <c r="B3318">
        <v>78</v>
      </c>
      <c r="C3318" s="2">
        <v>2373727.0488999998</v>
      </c>
      <c r="D3318" s="2">
        <v>0.62390000000000001</v>
      </c>
      <c r="E3318" s="3">
        <v>301536</v>
      </c>
      <c r="F3318" s="2">
        <v>188137.04930000001</v>
      </c>
      <c r="G3318" t="s">
        <v>529</v>
      </c>
      <c r="H3318" t="s">
        <v>5</v>
      </c>
      <c r="I3318">
        <f>HLOOKUP(G3318,zip_tiers!$A$1:$EON$2,2,FALSE)</f>
        <v>52832</v>
      </c>
      <c r="J3318" t="str">
        <f t="shared" si="51"/>
        <v>Med</v>
      </c>
      <c r="K3318">
        <f>dataset[[#This Row],[soda_sales]]/dataset[[#This Row],[soda_units_sold]]</f>
        <v>0.62392898128250029</v>
      </c>
      <c r="L3318" s="29">
        <f>dataset[[#This Row],[implied_soda_ppu]]-dataset[[#This Row],[soda_ppu]]</f>
        <v>2.8981282500284422E-5</v>
      </c>
      <c r="M3318">
        <f>dataset[[#This Row],[soda_sales]]/dataset[[#This Row],[total_sales]]</f>
        <v>7.9258080404477807E-2</v>
      </c>
      <c r="N3318">
        <f>LN(dataset[[#This Row],[soda_units_sold]])</f>
        <v>12.616644691006483</v>
      </c>
      <c r="O3318">
        <f>LN(dataset[[#This Row],[soda_sales]])</f>
        <v>12.144925961869415</v>
      </c>
      <c r="P3318">
        <f>LN(dataset[[#This Row],[soda_ppu]])</f>
        <v>-0.47176517986539634</v>
      </c>
      <c r="Q3318">
        <f>IF(dataset[[#This Row],[state]]="VA",1,0)</f>
        <v>0</v>
      </c>
    </row>
    <row r="3319" spans="1:17" x14ac:dyDescent="0.35">
      <c r="A3319">
        <v>202206</v>
      </c>
      <c r="B3319">
        <v>78</v>
      </c>
      <c r="C3319" s="2">
        <v>2199293.0279999999</v>
      </c>
      <c r="D3319" s="2">
        <v>0.63070000000000004</v>
      </c>
      <c r="E3319" s="3">
        <v>305610</v>
      </c>
      <c r="F3319" s="2">
        <v>192750.79149999999</v>
      </c>
      <c r="G3319" t="s">
        <v>529</v>
      </c>
      <c r="H3319" t="s">
        <v>5</v>
      </c>
      <c r="I3319">
        <f>HLOOKUP(G3319,zip_tiers!$A$1:$EON$2,2,FALSE)</f>
        <v>52832</v>
      </c>
      <c r="J3319" t="str">
        <f t="shared" si="51"/>
        <v>Med</v>
      </c>
      <c r="K3319">
        <f>dataset[[#This Row],[soda_sales]]/dataset[[#This Row],[soda_units_sold]]</f>
        <v>0.63070839141389345</v>
      </c>
      <c r="L3319" s="29">
        <f>dataset[[#This Row],[implied_soda_ppu]]-dataset[[#This Row],[soda_ppu]]</f>
        <v>8.3914138934160221E-6</v>
      </c>
      <c r="M3319">
        <f>dataset[[#This Row],[soda_sales]]/dataset[[#This Row],[total_sales]]</f>
        <v>8.7642160024162086E-2</v>
      </c>
      <c r="N3319">
        <f>LN(dataset[[#This Row],[soda_units_sold]])</f>
        <v>12.630065058252221</v>
      </c>
      <c r="O3319">
        <f>LN(dataset[[#This Row],[soda_sales]])</f>
        <v>12.169153397772527</v>
      </c>
      <c r="P3319">
        <f>LN(dataset[[#This Row],[soda_ppu]])</f>
        <v>-0.46092496531253146</v>
      </c>
      <c r="Q3319">
        <f>IF(dataset[[#This Row],[state]]="VA",1,0)</f>
        <v>0</v>
      </c>
    </row>
    <row r="3320" spans="1:17" x14ac:dyDescent="0.35">
      <c r="A3320">
        <v>202207</v>
      </c>
      <c r="B3320">
        <v>78</v>
      </c>
      <c r="C3320" s="2">
        <v>2124211.3039000002</v>
      </c>
      <c r="D3320" s="2">
        <v>0.63</v>
      </c>
      <c r="E3320" s="3">
        <v>328920</v>
      </c>
      <c r="F3320" s="2">
        <v>207207.14360000001</v>
      </c>
      <c r="G3320" t="s">
        <v>529</v>
      </c>
      <c r="H3320" t="s">
        <v>5</v>
      </c>
      <c r="I3320">
        <f>HLOOKUP(G3320,zip_tiers!$A$1:$EON$2,2,FALSE)</f>
        <v>52832</v>
      </c>
      <c r="J3320" t="str">
        <f t="shared" si="51"/>
        <v>Med</v>
      </c>
      <c r="K3320">
        <f>dataset[[#This Row],[soda_sales]]/dataset[[#This Row],[soda_units_sold]]</f>
        <v>0.62996212939316554</v>
      </c>
      <c r="L3320" s="29">
        <f>dataset[[#This Row],[implied_soda_ppu]]-dataset[[#This Row],[soda_ppu]]</f>
        <v>-3.7870606834466969E-5</v>
      </c>
      <c r="M3320">
        <f>dataset[[#This Row],[soda_sales]]/dataset[[#This Row],[total_sales]]</f>
        <v>9.7545448148012748E-2</v>
      </c>
      <c r="N3320">
        <f>LN(dataset[[#This Row],[soda_units_sold]])</f>
        <v>12.703569839084832</v>
      </c>
      <c r="O3320">
        <f>LN(dataset[[#This Row],[soda_sales]])</f>
        <v>12.241474265607129</v>
      </c>
      <c r="P3320">
        <f>LN(dataset[[#This Row],[soda_ppu]])</f>
        <v>-0.46203545959655867</v>
      </c>
      <c r="Q3320">
        <f>IF(dataset[[#This Row],[state]]="VA",1,0)</f>
        <v>0</v>
      </c>
    </row>
    <row r="3321" spans="1:17" x14ac:dyDescent="0.35">
      <c r="A3321">
        <v>202208</v>
      </c>
      <c r="B3321">
        <v>78</v>
      </c>
      <c r="C3321" s="2">
        <v>1986270.0196</v>
      </c>
      <c r="D3321" s="2">
        <v>0.6421</v>
      </c>
      <c r="E3321" s="3">
        <v>270412</v>
      </c>
      <c r="F3321" s="2">
        <v>173626.83189999999</v>
      </c>
      <c r="G3321" t="s">
        <v>529</v>
      </c>
      <c r="H3321" t="s">
        <v>5</v>
      </c>
      <c r="I3321">
        <f>HLOOKUP(G3321,zip_tiers!$A$1:$EON$2,2,FALSE)</f>
        <v>52832</v>
      </c>
      <c r="J3321" t="str">
        <f t="shared" si="51"/>
        <v>Med</v>
      </c>
      <c r="K3321">
        <f>dataset[[#This Row],[soda_sales]]/dataset[[#This Row],[soda_units_sold]]</f>
        <v>0.64208256993032853</v>
      </c>
      <c r="L3321" s="29">
        <f>dataset[[#This Row],[implied_soda_ppu]]-dataset[[#This Row],[soda_ppu]]</f>
        <v>-1.7430069671475756E-5</v>
      </c>
      <c r="M3321">
        <f>dataset[[#This Row],[soda_sales]]/dataset[[#This Row],[total_sales]]</f>
        <v>8.7413508831475695E-2</v>
      </c>
      <c r="N3321">
        <f>LN(dataset[[#This Row],[soda_units_sold]])</f>
        <v>12.507702000864466</v>
      </c>
      <c r="O3321">
        <f>LN(dataset[[#This Row],[soda_sales]])</f>
        <v>12.064663630900913</v>
      </c>
      <c r="P3321">
        <f>LN(dataset[[#This Row],[soda_ppu]])</f>
        <v>-0.44301122418213434</v>
      </c>
      <c r="Q3321">
        <f>IF(dataset[[#This Row],[state]]="VA",1,0)</f>
        <v>0</v>
      </c>
    </row>
    <row r="3322" spans="1:17" x14ac:dyDescent="0.35">
      <c r="A3322">
        <v>202209</v>
      </c>
      <c r="B3322">
        <v>78</v>
      </c>
      <c r="C3322" s="2">
        <v>2014444.1805</v>
      </c>
      <c r="D3322" s="2">
        <v>0.6512</v>
      </c>
      <c r="E3322" s="3">
        <v>263938</v>
      </c>
      <c r="F3322" s="2">
        <v>171870.67199999999</v>
      </c>
      <c r="G3322" t="s">
        <v>529</v>
      </c>
      <c r="H3322" t="s">
        <v>5</v>
      </c>
      <c r="I3322">
        <f>HLOOKUP(G3322,zip_tiers!$A$1:$EON$2,2,FALSE)</f>
        <v>52832</v>
      </c>
      <c r="J3322" t="str">
        <f t="shared" si="51"/>
        <v>Med</v>
      </c>
      <c r="K3322">
        <f>dataset[[#This Row],[soda_sales]]/dataset[[#This Row],[soda_units_sold]]</f>
        <v>0.6511782009411301</v>
      </c>
      <c r="L3322" s="29">
        <f>dataset[[#This Row],[implied_soda_ppu]]-dataset[[#This Row],[soda_ppu]]</f>
        <v>-2.1799058869897969E-5</v>
      </c>
      <c r="M3322">
        <f>dataset[[#This Row],[soda_sales]]/dataset[[#This Row],[total_sales]]</f>
        <v>8.5319153374277368E-2</v>
      </c>
      <c r="N3322">
        <f>LN(dataset[[#This Row],[soda_units_sold]])</f>
        <v>12.483469506062381</v>
      </c>
      <c r="O3322">
        <f>LN(dataset[[#This Row],[soda_sales]])</f>
        <v>12.054497565995014</v>
      </c>
      <c r="P3322">
        <f>LN(dataset[[#This Row],[soda_ppu]])</f>
        <v>-0.4289384642938065</v>
      </c>
      <c r="Q3322">
        <f>IF(dataset[[#This Row],[state]]="VA",1,0)</f>
        <v>0</v>
      </c>
    </row>
    <row r="3323" spans="1:17" x14ac:dyDescent="0.35">
      <c r="A3323">
        <v>202210</v>
      </c>
      <c r="B3323">
        <v>78</v>
      </c>
      <c r="C3323" s="2">
        <v>2414517.6249000002</v>
      </c>
      <c r="D3323" s="2">
        <v>0.64939999999999998</v>
      </c>
      <c r="E3323" s="3">
        <v>243917</v>
      </c>
      <c r="F3323" s="2">
        <v>158407.11960000001</v>
      </c>
      <c r="G3323" t="s">
        <v>529</v>
      </c>
      <c r="H3323" t="s">
        <v>5</v>
      </c>
      <c r="I3323">
        <f>HLOOKUP(G3323,zip_tiers!$A$1:$EON$2,2,FALSE)</f>
        <v>52832</v>
      </c>
      <c r="J3323" t="str">
        <f t="shared" si="51"/>
        <v>Med</v>
      </c>
      <c r="K3323">
        <f>dataset[[#This Row],[soda_sales]]/dataset[[#This Row],[soda_units_sold]]</f>
        <v>0.64943041936396395</v>
      </c>
      <c r="L3323" s="29">
        <f>dataset[[#This Row],[implied_soda_ppu]]-dataset[[#This Row],[soda_ppu]]</f>
        <v>3.0419363963973822E-5</v>
      </c>
      <c r="M3323">
        <f>dataset[[#This Row],[soda_sales]]/dataset[[#This Row],[total_sales]]</f>
        <v>6.5606114433130552E-2</v>
      </c>
      <c r="N3323">
        <f>LN(dataset[[#This Row],[soda_units_sold]])</f>
        <v>12.404583282472037</v>
      </c>
      <c r="O3323">
        <f>LN(dataset[[#This Row],[soda_sales]])</f>
        <v>11.972923704322074</v>
      </c>
      <c r="P3323">
        <f>LN(dataset[[#This Row],[soda_ppu]])</f>
        <v>-0.43170641931339149</v>
      </c>
      <c r="Q3323">
        <f>IF(dataset[[#This Row],[state]]="VA",1,0)</f>
        <v>0</v>
      </c>
    </row>
    <row r="3324" spans="1:17" x14ac:dyDescent="0.35">
      <c r="A3324">
        <v>202211</v>
      </c>
      <c r="B3324">
        <v>78</v>
      </c>
      <c r="C3324" s="2">
        <v>2795277.8184000002</v>
      </c>
      <c r="D3324" s="2">
        <v>0.63270000000000004</v>
      </c>
      <c r="E3324" s="3">
        <v>246163</v>
      </c>
      <c r="F3324" s="2">
        <v>155752.84529999999</v>
      </c>
      <c r="G3324" t="s">
        <v>529</v>
      </c>
      <c r="H3324" t="s">
        <v>5</v>
      </c>
      <c r="I3324">
        <f>HLOOKUP(G3324,zip_tiers!$A$1:$EON$2,2,FALSE)</f>
        <v>52832</v>
      </c>
      <c r="J3324" t="str">
        <f t="shared" si="51"/>
        <v>Med</v>
      </c>
      <c r="K3324">
        <f>dataset[[#This Row],[soda_sales]]/dataset[[#This Row],[soda_units_sold]]</f>
        <v>0.63272240466682639</v>
      </c>
      <c r="L3324" s="29">
        <f>dataset[[#This Row],[implied_soda_ppu]]-dataset[[#This Row],[soda_ppu]]</f>
        <v>2.2404666826347786E-5</v>
      </c>
      <c r="M3324">
        <f>dataset[[#This Row],[soda_sales]]/dataset[[#This Row],[total_sales]]</f>
        <v>5.5719987571450753E-2</v>
      </c>
      <c r="N3324">
        <f>LN(dataset[[#This Row],[soda_units_sold]])</f>
        <v>12.41374919711698</v>
      </c>
      <c r="O3324">
        <f>LN(dataset[[#This Row],[soda_sales]])</f>
        <v>11.956025704861647</v>
      </c>
      <c r="P3324">
        <f>LN(dataset[[#This Row],[soda_ppu]])</f>
        <v>-0.45775890282929838</v>
      </c>
      <c r="Q3324">
        <f>IF(dataset[[#This Row],[state]]="VA",1,0)</f>
        <v>0</v>
      </c>
    </row>
    <row r="3325" spans="1:17" x14ac:dyDescent="0.35">
      <c r="A3325">
        <v>202212</v>
      </c>
      <c r="B3325">
        <v>78</v>
      </c>
      <c r="C3325" s="2">
        <v>2920026.5721</v>
      </c>
      <c r="D3325" s="2">
        <v>0.64859999999999995</v>
      </c>
      <c r="E3325" s="3">
        <v>229031</v>
      </c>
      <c r="F3325" s="2">
        <v>148546.91219999999</v>
      </c>
      <c r="G3325" t="s">
        <v>529</v>
      </c>
      <c r="H3325" t="s">
        <v>5</v>
      </c>
      <c r="I3325">
        <f>HLOOKUP(G3325,zip_tiers!$A$1:$EON$2,2,FALSE)</f>
        <v>52832</v>
      </c>
      <c r="J3325" t="str">
        <f t="shared" si="51"/>
        <v>Med</v>
      </c>
      <c r="K3325">
        <f>dataset[[#This Row],[soda_sales]]/dataset[[#This Row],[soda_units_sold]]</f>
        <v>0.64858867227580541</v>
      </c>
      <c r="L3325" s="29">
        <f>dataset[[#This Row],[implied_soda_ppu]]-dataset[[#This Row],[soda_ppu]]</f>
        <v>-1.1327724194543087E-5</v>
      </c>
      <c r="M3325">
        <f>dataset[[#This Row],[soda_sales]]/dataset[[#This Row],[total_sales]]</f>
        <v>5.0871767270655101E-2</v>
      </c>
      <c r="N3325">
        <f>LN(dataset[[#This Row],[soda_units_sold]])</f>
        <v>12.341612644553564</v>
      </c>
      <c r="O3325">
        <f>LN(dataset[[#This Row],[soda_sales]])</f>
        <v>11.908656094407466</v>
      </c>
      <c r="P3325">
        <f>LN(dataset[[#This Row],[soda_ppu]])</f>
        <v>-0.43293908510891954</v>
      </c>
      <c r="Q3325">
        <f>IF(dataset[[#This Row],[state]]="VA",1,0)</f>
        <v>0</v>
      </c>
    </row>
    <row r="3326" spans="1:17" x14ac:dyDescent="0.35">
      <c r="A3326">
        <v>202301</v>
      </c>
      <c r="B3326">
        <v>78</v>
      </c>
      <c r="C3326" s="2">
        <v>1649613.7734999999</v>
      </c>
      <c r="D3326" s="2">
        <v>0.64490000000000003</v>
      </c>
      <c r="E3326" s="3">
        <v>167730</v>
      </c>
      <c r="F3326" s="2">
        <v>108165.5236</v>
      </c>
      <c r="G3326" t="s">
        <v>529</v>
      </c>
      <c r="H3326" t="s">
        <v>5</v>
      </c>
      <c r="I3326">
        <f>HLOOKUP(G3326,zip_tiers!$A$1:$EON$2,2,FALSE)</f>
        <v>52832</v>
      </c>
      <c r="J3326" t="str">
        <f t="shared" si="51"/>
        <v>Med</v>
      </c>
      <c r="K3326">
        <f>dataset[[#This Row],[soda_sales]]/dataset[[#This Row],[soda_units_sold]]</f>
        <v>0.64487881476181963</v>
      </c>
      <c r="L3326" s="29">
        <f>dataset[[#This Row],[implied_soda_ppu]]-dataset[[#This Row],[soda_ppu]]</f>
        <v>-2.1185238180398969E-5</v>
      </c>
      <c r="M3326">
        <f>dataset[[#This Row],[soda_sales]]/dataset[[#This Row],[total_sales]]</f>
        <v>6.5570211244359508E-2</v>
      </c>
      <c r="N3326">
        <f>LN(dataset[[#This Row],[soda_units_sold]])</f>
        <v>12.030110822688801</v>
      </c>
      <c r="O3326">
        <f>LN(dataset[[#This Row],[soda_sales]])</f>
        <v>11.591417958759807</v>
      </c>
      <c r="P3326">
        <f>LN(dataset[[#This Row],[soda_ppu]])</f>
        <v>-0.43866001296580531</v>
      </c>
      <c r="Q3326">
        <f>IF(dataset[[#This Row],[state]]="VA",1,0)</f>
        <v>0</v>
      </c>
    </row>
    <row r="3327" spans="1:17" x14ac:dyDescent="0.35">
      <c r="A3327">
        <v>202302</v>
      </c>
      <c r="B3327">
        <v>78</v>
      </c>
      <c r="C3327" s="2">
        <v>1902456.8171000001</v>
      </c>
      <c r="D3327" s="2">
        <v>0.66100000000000003</v>
      </c>
      <c r="E3327" s="3">
        <v>189229</v>
      </c>
      <c r="F3327" s="2">
        <v>125082.3904</v>
      </c>
      <c r="G3327" t="s">
        <v>529</v>
      </c>
      <c r="H3327" t="s">
        <v>5</v>
      </c>
      <c r="I3327">
        <f>HLOOKUP(G3327,zip_tiers!$A$1:$EON$2,2,FALSE)</f>
        <v>52832</v>
      </c>
      <c r="J3327" t="str">
        <f t="shared" si="51"/>
        <v>Med</v>
      </c>
      <c r="K3327">
        <f>dataset[[#This Row],[soda_sales]]/dataset[[#This Row],[soda_units_sold]]</f>
        <v>0.66101068229499704</v>
      </c>
      <c r="L3327" s="29">
        <f>dataset[[#This Row],[implied_soda_ppu]]-dataset[[#This Row],[soda_ppu]]</f>
        <v>1.0682294997010899E-5</v>
      </c>
      <c r="M3327">
        <f>dataset[[#This Row],[soda_sales]]/dataset[[#This Row],[total_sales]]</f>
        <v>6.5747821067848822E-2</v>
      </c>
      <c r="N3327">
        <f>LN(dataset[[#This Row],[soda_units_sold]])</f>
        <v>12.150713200809806</v>
      </c>
      <c r="O3327">
        <f>LN(dataset[[#This Row],[soda_sales]])</f>
        <v>11.736727922358146</v>
      </c>
      <c r="P3327">
        <f>LN(dataset[[#This Row],[soda_ppu]])</f>
        <v>-0.41400143913045073</v>
      </c>
      <c r="Q3327">
        <f>IF(dataset[[#This Row],[state]]="VA",1,0)</f>
        <v>0</v>
      </c>
    </row>
    <row r="3328" spans="1:17" x14ac:dyDescent="0.35">
      <c r="A3328">
        <v>202303</v>
      </c>
      <c r="B3328">
        <v>78</v>
      </c>
      <c r="C3328" s="2">
        <v>2112532.2866000002</v>
      </c>
      <c r="D3328" s="2">
        <v>0.67500000000000004</v>
      </c>
      <c r="E3328" s="3">
        <v>215055</v>
      </c>
      <c r="F3328" s="2">
        <v>145159.98989999999</v>
      </c>
      <c r="G3328" t="s">
        <v>529</v>
      </c>
      <c r="H3328" t="s">
        <v>5</v>
      </c>
      <c r="I3328">
        <f>HLOOKUP(G3328,zip_tiers!$A$1:$EON$2,2,FALSE)</f>
        <v>52832</v>
      </c>
      <c r="J3328" t="str">
        <f t="shared" si="51"/>
        <v>Med</v>
      </c>
      <c r="K3328">
        <f>dataset[[#This Row],[soda_sales]]/dataset[[#This Row],[soda_units_sold]]</f>
        <v>0.67499007184208681</v>
      </c>
      <c r="L3328" s="29">
        <f>dataset[[#This Row],[implied_soda_ppu]]-dataset[[#This Row],[soda_ppu]]</f>
        <v>-9.9281579132304287E-6</v>
      </c>
      <c r="M3328">
        <f>dataset[[#This Row],[soda_sales]]/dataset[[#This Row],[total_sales]]</f>
        <v>6.8713737925220869E-2</v>
      </c>
      <c r="N3328">
        <f>LN(dataset[[#This Row],[soda_units_sold]])</f>
        <v>12.278649088348478</v>
      </c>
      <c r="O3328">
        <f>LN(dataset[[#This Row],[soda_sales]])</f>
        <v>11.885591791748608</v>
      </c>
      <c r="P3328">
        <f>LN(dataset[[#This Row],[soda_ppu]])</f>
        <v>-0.39304258810960718</v>
      </c>
      <c r="Q3328">
        <f>IF(dataset[[#This Row],[state]]="VA",1,0)</f>
        <v>0</v>
      </c>
    </row>
    <row r="3329" spans="1:17" x14ac:dyDescent="0.35">
      <c r="A3329">
        <v>202304</v>
      </c>
      <c r="B3329">
        <v>78</v>
      </c>
      <c r="C3329" s="2">
        <v>2297201.7921000002</v>
      </c>
      <c r="D3329" s="2">
        <v>0.65529999999999999</v>
      </c>
      <c r="E3329" s="3">
        <v>270591</v>
      </c>
      <c r="F3329" s="2">
        <v>177320.85920000001</v>
      </c>
      <c r="G3329" t="s">
        <v>529</v>
      </c>
      <c r="H3329" t="s">
        <v>5</v>
      </c>
      <c r="I3329">
        <f>HLOOKUP(G3329,zip_tiers!$A$1:$EON$2,2,FALSE)</f>
        <v>52832</v>
      </c>
      <c r="J3329" t="str">
        <f t="shared" si="51"/>
        <v>Med</v>
      </c>
      <c r="K3329">
        <f>dataset[[#This Row],[soda_sales]]/dataset[[#This Row],[soda_units_sold]]</f>
        <v>0.65530952322878444</v>
      </c>
      <c r="L3329" s="29">
        <f>dataset[[#This Row],[implied_soda_ppu]]-dataset[[#This Row],[soda_ppu]]</f>
        <v>9.5232287844471131E-6</v>
      </c>
      <c r="M3329">
        <f>dataset[[#This Row],[soda_sales]]/dataset[[#This Row],[total_sales]]</f>
        <v>7.7189935951556585E-2</v>
      </c>
      <c r="N3329">
        <f>LN(dataset[[#This Row],[soda_units_sold]])</f>
        <v>12.508363734742215</v>
      </c>
      <c r="O3329">
        <f>LN(dataset[[#This Row],[soda_sales]])</f>
        <v>12.085716134324354</v>
      </c>
      <c r="P3329">
        <f>LN(dataset[[#This Row],[soda_ppu]])</f>
        <v>-0.42266213293668586</v>
      </c>
      <c r="Q3329">
        <f>IF(dataset[[#This Row],[state]]="VA",1,0)</f>
        <v>0</v>
      </c>
    </row>
    <row r="3330" spans="1:17" x14ac:dyDescent="0.35">
      <c r="A3330">
        <v>202305</v>
      </c>
      <c r="B3330">
        <v>78</v>
      </c>
      <c r="C3330" s="2">
        <v>2365839.7286</v>
      </c>
      <c r="D3330" s="2">
        <v>0.66290000000000004</v>
      </c>
      <c r="E3330" s="3">
        <v>284512</v>
      </c>
      <c r="F3330" s="2">
        <v>188611.41889999999</v>
      </c>
      <c r="G3330" t="s">
        <v>529</v>
      </c>
      <c r="H3330" t="s">
        <v>5</v>
      </c>
      <c r="I3330">
        <f>HLOOKUP(G3330,zip_tiers!$A$1:$EON$2,2,FALSE)</f>
        <v>52832</v>
      </c>
      <c r="J3330" t="str">
        <f t="shared" ref="J3330:J3393" si="52">IF(I3330="","No Data",IF(I3330&gt;=100000,"High",IF(I3330&gt;=40000,"Med","Low")))</f>
        <v>Med</v>
      </c>
      <c r="K3330">
        <f>dataset[[#This Row],[soda_sales]]/dataset[[#This Row],[soda_units_sold]]</f>
        <v>0.66292957379653583</v>
      </c>
      <c r="L3330" s="29">
        <f>dataset[[#This Row],[implied_soda_ppu]]-dataset[[#This Row],[soda_ppu]]</f>
        <v>2.9573796535786734E-5</v>
      </c>
      <c r="M3330">
        <f>dataset[[#This Row],[soda_sales]]/dataset[[#This Row],[total_sales]]</f>
        <v>7.9722821719462766E-2</v>
      </c>
      <c r="N3330">
        <f>LN(dataset[[#This Row],[soda_units_sold]])</f>
        <v>12.558530710920866</v>
      </c>
      <c r="O3330">
        <f>LN(dataset[[#This Row],[soda_sales]])</f>
        <v>12.147444192947836</v>
      </c>
      <c r="P3330">
        <f>LN(dataset[[#This Row],[soda_ppu]])</f>
        <v>-0.4111311297347911</v>
      </c>
      <c r="Q3330">
        <f>IF(dataset[[#This Row],[state]]="VA",1,0)</f>
        <v>0</v>
      </c>
    </row>
    <row r="3331" spans="1:17" x14ac:dyDescent="0.35">
      <c r="A3331">
        <v>202306</v>
      </c>
      <c r="B3331">
        <v>78</v>
      </c>
      <c r="C3331" s="2">
        <v>2212518.4254999999</v>
      </c>
      <c r="D3331" s="2">
        <v>0.67779999999999996</v>
      </c>
      <c r="E3331" s="3">
        <v>281470</v>
      </c>
      <c r="F3331" s="2">
        <v>190789.67310000001</v>
      </c>
      <c r="G3331" t="s">
        <v>529</v>
      </c>
      <c r="H3331" t="s">
        <v>5</v>
      </c>
      <c r="I3331">
        <f>HLOOKUP(G3331,zip_tiers!$A$1:$EON$2,2,FALSE)</f>
        <v>52832</v>
      </c>
      <c r="J3331" t="str">
        <f t="shared" si="52"/>
        <v>Med</v>
      </c>
      <c r="K3331">
        <f>dataset[[#This Row],[soda_sales]]/dataset[[#This Row],[soda_units_sold]]</f>
        <v>0.67783306604611504</v>
      </c>
      <c r="L3331" s="29">
        <f>dataset[[#This Row],[implied_soda_ppu]]-dataset[[#This Row],[soda_ppu]]</f>
        <v>3.3066046115082237E-5</v>
      </c>
      <c r="M3331">
        <f>dataset[[#This Row],[soda_sales]]/dataset[[#This Row],[total_sales]]</f>
        <v>8.6231902478680636E-2</v>
      </c>
      <c r="N3331">
        <f>LN(dataset[[#This Row],[soda_units_sold]])</f>
        <v>12.547781148946633</v>
      </c>
      <c r="O3331">
        <f>LN(dataset[[#This Row],[soda_sales]])</f>
        <v>12.158926912317719</v>
      </c>
      <c r="P3331">
        <f>LN(dataset[[#This Row],[soda_ppu]])</f>
        <v>-0.38890301980918618</v>
      </c>
      <c r="Q3331">
        <f>IF(dataset[[#This Row],[state]]="VA",1,0)</f>
        <v>0</v>
      </c>
    </row>
    <row r="3332" spans="1:17" x14ac:dyDescent="0.35">
      <c r="A3332">
        <v>202307</v>
      </c>
      <c r="B3332">
        <v>78</v>
      </c>
      <c r="C3332" s="2">
        <v>2116655.0518999998</v>
      </c>
      <c r="D3332" s="2">
        <v>0.64870000000000005</v>
      </c>
      <c r="E3332" s="3">
        <v>307667</v>
      </c>
      <c r="F3332" s="2">
        <v>199579.20819999999</v>
      </c>
      <c r="G3332" t="s">
        <v>529</v>
      </c>
      <c r="H3332" t="s">
        <v>5</v>
      </c>
      <c r="I3332">
        <f>HLOOKUP(G3332,zip_tiers!$A$1:$EON$2,2,FALSE)</f>
        <v>52832</v>
      </c>
      <c r="J3332" t="str">
        <f t="shared" si="52"/>
        <v>Med</v>
      </c>
      <c r="K3332">
        <f>dataset[[#This Row],[soda_sales]]/dataset[[#This Row],[soda_units_sold]]</f>
        <v>0.64868578105549179</v>
      </c>
      <c r="L3332" s="29">
        <f>dataset[[#This Row],[implied_soda_ppu]]-dataset[[#This Row],[soda_ppu]]</f>
        <v>-1.4218944508259668E-5</v>
      </c>
      <c r="M3332">
        <f>dataset[[#This Row],[soda_sales]]/dataset[[#This Row],[total_sales]]</f>
        <v>9.4289907096977932E-2</v>
      </c>
      <c r="N3332">
        <f>LN(dataset[[#This Row],[soda_units_sold]])</f>
        <v>12.636773308239912</v>
      </c>
      <c r="O3332">
        <f>LN(dataset[[#This Row],[soda_sales]])</f>
        <v>12.203966470099038</v>
      </c>
      <c r="P3332">
        <f>LN(dataset[[#This Row],[soda_ppu]])</f>
        <v>-0.43278491876312725</v>
      </c>
      <c r="Q3332">
        <f>IF(dataset[[#This Row],[state]]="VA",1,0)</f>
        <v>0</v>
      </c>
    </row>
    <row r="3333" spans="1:17" x14ac:dyDescent="0.35">
      <c r="A3333">
        <v>202308</v>
      </c>
      <c r="B3333">
        <v>78</v>
      </c>
      <c r="C3333" s="2">
        <v>2010566.9458000001</v>
      </c>
      <c r="D3333" s="2">
        <v>0.65539999999999998</v>
      </c>
      <c r="E3333" s="3">
        <v>270674</v>
      </c>
      <c r="F3333" s="2">
        <v>177402.3401</v>
      </c>
      <c r="G3333" t="s">
        <v>529</v>
      </c>
      <c r="H3333" t="s">
        <v>5</v>
      </c>
      <c r="I3333">
        <f>HLOOKUP(G3333,zip_tiers!$A$1:$EON$2,2,FALSE)</f>
        <v>52832</v>
      </c>
      <c r="J3333" t="str">
        <f t="shared" si="52"/>
        <v>Med</v>
      </c>
      <c r="K3333">
        <f>dataset[[#This Row],[soda_sales]]/dataset[[#This Row],[soda_units_sold]]</f>
        <v>0.655409607498319</v>
      </c>
      <c r="L3333" s="29">
        <f>dataset[[#This Row],[implied_soda_ppu]]-dataset[[#This Row],[soda_ppu]]</f>
        <v>9.6074983190197472E-6</v>
      </c>
      <c r="M3333">
        <f>dataset[[#This Row],[soda_sales]]/dataset[[#This Row],[total_sales]]</f>
        <v>8.8234982908968501E-2</v>
      </c>
      <c r="N3333">
        <f>LN(dataset[[#This Row],[soda_units_sold]])</f>
        <v>12.508670423704739</v>
      </c>
      <c r="O3333">
        <f>LN(dataset[[#This Row],[soda_sales]])</f>
        <v>12.086175539864188</v>
      </c>
      <c r="P3333">
        <f>LN(dataset[[#This Row],[soda_ppu]])</f>
        <v>-0.42250954271742286</v>
      </c>
      <c r="Q3333">
        <f>IF(dataset[[#This Row],[state]]="VA",1,0)</f>
        <v>0</v>
      </c>
    </row>
    <row r="3334" spans="1:17" x14ac:dyDescent="0.35">
      <c r="A3334">
        <v>202309</v>
      </c>
      <c r="B3334">
        <v>78</v>
      </c>
      <c r="C3334" s="2">
        <v>2038808.2596</v>
      </c>
      <c r="D3334" s="2">
        <v>0.62919999999999998</v>
      </c>
      <c r="E3334" s="3">
        <v>274033</v>
      </c>
      <c r="F3334" s="2">
        <v>172414.03169999999</v>
      </c>
      <c r="G3334" t="s">
        <v>529</v>
      </c>
      <c r="H3334" t="s">
        <v>5</v>
      </c>
      <c r="I3334">
        <f>HLOOKUP(G3334,zip_tiers!$A$1:$EON$2,2,FALSE)</f>
        <v>52832</v>
      </c>
      <c r="J3334" t="str">
        <f t="shared" si="52"/>
        <v>Med</v>
      </c>
      <c r="K3334">
        <f>dataset[[#This Row],[soda_sales]]/dataset[[#This Row],[soda_units_sold]]</f>
        <v>0.62917251462415102</v>
      </c>
      <c r="L3334" s="29">
        <f>dataset[[#This Row],[implied_soda_ppu]]-dataset[[#This Row],[soda_ppu]]</f>
        <v>-2.7485375848956828E-5</v>
      </c>
      <c r="M3334">
        <f>dataset[[#This Row],[soda_sales]]/dataset[[#This Row],[total_sales]]</f>
        <v>8.4566084568357805E-2</v>
      </c>
      <c r="N3334">
        <f>LN(dataset[[#This Row],[soda_units_sold]])</f>
        <v>12.521003816074343</v>
      </c>
      <c r="O3334">
        <f>LN(dataset[[#This Row],[soda_sales]])</f>
        <v>12.057654024270942</v>
      </c>
      <c r="P3334">
        <f>LN(dataset[[#This Row],[soda_ppu]])</f>
        <v>-0.46330610779801434</v>
      </c>
      <c r="Q3334">
        <f>IF(dataset[[#This Row],[state]]="VA",1,0)</f>
        <v>0</v>
      </c>
    </row>
    <row r="3335" spans="1:17" x14ac:dyDescent="0.35">
      <c r="A3335">
        <v>202310</v>
      </c>
      <c r="B3335">
        <v>78</v>
      </c>
      <c r="C3335" s="2">
        <v>2514893.5367999999</v>
      </c>
      <c r="D3335" s="2">
        <v>0.66710000000000003</v>
      </c>
      <c r="E3335" s="3">
        <v>251053</v>
      </c>
      <c r="F3335" s="2">
        <v>167477.01360000001</v>
      </c>
      <c r="G3335" t="s">
        <v>529</v>
      </c>
      <c r="H3335" t="s">
        <v>5</v>
      </c>
      <c r="I3335">
        <f>HLOOKUP(G3335,zip_tiers!$A$1:$EON$2,2,FALSE)</f>
        <v>52832</v>
      </c>
      <c r="J3335" t="str">
        <f t="shared" si="52"/>
        <v>Med</v>
      </c>
      <c r="K3335">
        <f>dataset[[#This Row],[soda_sales]]/dataset[[#This Row],[soda_units_sold]]</f>
        <v>0.6670982366273257</v>
      </c>
      <c r="L3335" s="29">
        <f>dataset[[#This Row],[implied_soda_ppu]]-dataset[[#This Row],[soda_ppu]]</f>
        <v>-1.7633726743238043E-6</v>
      </c>
      <c r="M3335">
        <f>dataset[[#This Row],[soda_sales]]/dataset[[#This Row],[total_sales]]</f>
        <v>6.6594076905975533E-2</v>
      </c>
      <c r="N3335">
        <f>LN(dataset[[#This Row],[soda_units_sold]])</f>
        <v>12.433419351202248</v>
      </c>
      <c r="O3335">
        <f>LN(dataset[[#This Row],[soda_sales]])</f>
        <v>12.028601388591246</v>
      </c>
      <c r="P3335">
        <f>LN(dataset[[#This Row],[soda_ppu]])</f>
        <v>-0.40481531926666731</v>
      </c>
      <c r="Q3335">
        <f>IF(dataset[[#This Row],[state]]="VA",1,0)</f>
        <v>0</v>
      </c>
    </row>
    <row r="3336" spans="1:17" x14ac:dyDescent="0.35">
      <c r="A3336">
        <v>202311</v>
      </c>
      <c r="B3336">
        <v>78</v>
      </c>
      <c r="C3336" s="2">
        <v>2801746.8184000002</v>
      </c>
      <c r="D3336" s="2">
        <v>0.66769999999999996</v>
      </c>
      <c r="E3336" s="3">
        <v>232175</v>
      </c>
      <c r="F3336" s="2">
        <v>155017.40210000001</v>
      </c>
      <c r="G3336" t="s">
        <v>529</v>
      </c>
      <c r="H3336" t="s">
        <v>5</v>
      </c>
      <c r="I3336">
        <f>HLOOKUP(G3336,zip_tiers!$A$1:$EON$2,2,FALSE)</f>
        <v>52832</v>
      </c>
      <c r="J3336" t="str">
        <f t="shared" si="52"/>
        <v>Med</v>
      </c>
      <c r="K3336">
        <f>dataset[[#This Row],[soda_sales]]/dataset[[#This Row],[soda_units_sold]]</f>
        <v>0.66767482330138905</v>
      </c>
      <c r="L3336" s="29">
        <f>dataset[[#This Row],[implied_soda_ppu]]-dataset[[#This Row],[soda_ppu]]</f>
        <v>-2.5176698610906989E-5</v>
      </c>
      <c r="M3336">
        <f>dataset[[#This Row],[soda_sales]]/dataset[[#This Row],[total_sales]]</f>
        <v>5.5328840237079714E-2</v>
      </c>
      <c r="N3336">
        <f>LN(dataset[[#This Row],[soda_units_sold]])</f>
        <v>12.355246676644208</v>
      </c>
      <c r="O3336">
        <f>LN(dataset[[#This Row],[soda_sales]])</f>
        <v>11.951292661212301</v>
      </c>
      <c r="P3336">
        <f>LN(dataset[[#This Row],[soda_ppu]])</f>
        <v>-0.40391630811831397</v>
      </c>
      <c r="Q3336">
        <f>IF(dataset[[#This Row],[state]]="VA",1,0)</f>
        <v>0</v>
      </c>
    </row>
    <row r="3337" spans="1:17" x14ac:dyDescent="0.35">
      <c r="A3337">
        <v>202312</v>
      </c>
      <c r="B3337">
        <v>78</v>
      </c>
      <c r="C3337" s="2">
        <v>2959800.3036000002</v>
      </c>
      <c r="D3337" s="2">
        <v>0.64359999999999995</v>
      </c>
      <c r="E3337" s="3">
        <v>237245</v>
      </c>
      <c r="F3337" s="2">
        <v>152685.02650000001</v>
      </c>
      <c r="G3337" t="s">
        <v>529</v>
      </c>
      <c r="H3337" t="s">
        <v>5</v>
      </c>
      <c r="I3337">
        <f>HLOOKUP(G3337,zip_tiers!$A$1:$EON$2,2,FALSE)</f>
        <v>52832</v>
      </c>
      <c r="J3337" t="str">
        <f t="shared" si="52"/>
        <v>Med</v>
      </c>
      <c r="K3337">
        <f>dataset[[#This Row],[soda_sales]]/dataset[[#This Row],[soda_units_sold]]</f>
        <v>0.64357531876330376</v>
      </c>
      <c r="L3337" s="29">
        <f>dataset[[#This Row],[implied_soda_ppu]]-dataset[[#This Row],[soda_ppu]]</f>
        <v>-2.4681236696189046E-5</v>
      </c>
      <c r="M3337">
        <f>dataset[[#This Row],[soda_sales]]/dataset[[#This Row],[total_sales]]</f>
        <v>5.1586259489969463E-2</v>
      </c>
      <c r="N3337">
        <f>LN(dataset[[#This Row],[soda_units_sold]])</f>
        <v>12.376848641434503</v>
      </c>
      <c r="O3337">
        <f>LN(dataset[[#This Row],[soda_sales]])</f>
        <v>11.936132428114478</v>
      </c>
      <c r="P3337">
        <f>LN(dataset[[#This Row],[soda_ppu]])</f>
        <v>-0.440677863863909</v>
      </c>
      <c r="Q3337">
        <f>IF(dataset[[#This Row],[state]]="VA",1,0)</f>
        <v>0</v>
      </c>
    </row>
    <row r="3338" spans="1:17" x14ac:dyDescent="0.35">
      <c r="A3338">
        <v>202401</v>
      </c>
      <c r="B3338">
        <v>78</v>
      </c>
      <c r="C3338" s="2">
        <v>1687437.7784</v>
      </c>
      <c r="D3338" s="2">
        <v>0.67630000000000001</v>
      </c>
      <c r="E3338" s="3">
        <v>165140</v>
      </c>
      <c r="F3338" s="2">
        <v>111688.442</v>
      </c>
      <c r="G3338" t="s">
        <v>529</v>
      </c>
      <c r="H3338" t="s">
        <v>5</v>
      </c>
      <c r="I3338">
        <f>HLOOKUP(G3338,zip_tiers!$A$1:$EON$2,2,FALSE)</f>
        <v>52832</v>
      </c>
      <c r="J3338" t="str">
        <f t="shared" si="52"/>
        <v>Med</v>
      </c>
      <c r="K3338">
        <f>dataset[[#This Row],[soda_sales]]/dataset[[#This Row],[soda_units_sold]]</f>
        <v>0.67632579629405354</v>
      </c>
      <c r="L3338" s="29">
        <f>dataset[[#This Row],[implied_soda_ppu]]-dataset[[#This Row],[soda_ppu]]</f>
        <v>2.5796294053526125E-5</v>
      </c>
      <c r="M3338">
        <f>dataset[[#This Row],[soda_sales]]/dataset[[#This Row],[total_sales]]</f>
        <v>6.6188183902046505E-2</v>
      </c>
      <c r="N3338">
        <f>LN(dataset[[#This Row],[soda_units_sold]])</f>
        <v>12.01454887797142</v>
      </c>
      <c r="O3338">
        <f>LN(dataset[[#This Row],[soda_sales]])</f>
        <v>11.623468506113557</v>
      </c>
      <c r="P3338">
        <f>LN(dataset[[#This Row],[soda_ppu]])</f>
        <v>-0.39111851440124279</v>
      </c>
      <c r="Q3338">
        <f>IF(dataset[[#This Row],[state]]="VA",1,0)</f>
        <v>0</v>
      </c>
    </row>
    <row r="3339" spans="1:17" x14ac:dyDescent="0.35">
      <c r="A3339">
        <v>202402</v>
      </c>
      <c r="B3339">
        <v>78</v>
      </c>
      <c r="C3339" s="2">
        <v>1926676.6817000001</v>
      </c>
      <c r="D3339" s="2">
        <v>0.67379999999999995</v>
      </c>
      <c r="E3339" s="3">
        <v>188587</v>
      </c>
      <c r="F3339" s="2">
        <v>127075.735</v>
      </c>
      <c r="G3339" t="s">
        <v>529</v>
      </c>
      <c r="H3339" t="s">
        <v>5</v>
      </c>
      <c r="I3339">
        <f>HLOOKUP(G3339,zip_tiers!$A$1:$EON$2,2,FALSE)</f>
        <v>52832</v>
      </c>
      <c r="J3339" t="str">
        <f t="shared" si="52"/>
        <v>Med</v>
      </c>
      <c r="K3339">
        <f>dataset[[#This Row],[soda_sales]]/dataset[[#This Row],[soda_units_sold]]</f>
        <v>0.67383083139346822</v>
      </c>
      <c r="L3339" s="29">
        <f>dataset[[#This Row],[implied_soda_ppu]]-dataset[[#This Row],[soda_ppu]]</f>
        <v>3.083139346826691E-5</v>
      </c>
      <c r="M3339">
        <f>dataset[[#This Row],[soda_sales]]/dataset[[#This Row],[total_sales]]</f>
        <v>6.5955920994421824E-2</v>
      </c>
      <c r="N3339">
        <f>LN(dataset[[#This Row],[soda_units_sold]])</f>
        <v>12.147314717855625</v>
      </c>
      <c r="O3339">
        <f>LN(dataset[[#This Row],[soda_sales]])</f>
        <v>11.75253852628421</v>
      </c>
      <c r="P3339">
        <f>LN(dataset[[#This Row],[soda_ppu]])</f>
        <v>-0.39482194800968462</v>
      </c>
      <c r="Q3339">
        <f>IF(dataset[[#This Row],[state]]="VA",1,0)</f>
        <v>0</v>
      </c>
    </row>
    <row r="3340" spans="1:17" x14ac:dyDescent="0.35">
      <c r="A3340">
        <v>202403</v>
      </c>
      <c r="B3340">
        <v>78</v>
      </c>
      <c r="C3340" s="2">
        <v>2168691.2217000001</v>
      </c>
      <c r="D3340" s="2">
        <v>0.68269999999999997</v>
      </c>
      <c r="E3340" s="3">
        <v>220585</v>
      </c>
      <c r="F3340" s="2">
        <v>150603.71729999999</v>
      </c>
      <c r="G3340" t="s">
        <v>529</v>
      </c>
      <c r="H3340" t="s">
        <v>5</v>
      </c>
      <c r="I3340">
        <f>HLOOKUP(G3340,zip_tiers!$A$1:$EON$2,2,FALSE)</f>
        <v>52832</v>
      </c>
      <c r="J3340" t="str">
        <f t="shared" si="52"/>
        <v>Med</v>
      </c>
      <c r="K3340">
        <f>dataset[[#This Row],[soda_sales]]/dataset[[#This Row],[soda_units_sold]]</f>
        <v>0.68274686538069218</v>
      </c>
      <c r="L3340" s="29">
        <f>dataset[[#This Row],[implied_soda_ppu]]-dataset[[#This Row],[soda_ppu]]</f>
        <v>4.6865380692207026E-5</v>
      </c>
      <c r="M3340">
        <f>dataset[[#This Row],[soda_sales]]/dataset[[#This Row],[total_sales]]</f>
        <v>6.9444518331173169E-2</v>
      </c>
      <c r="N3340">
        <f>LN(dataset[[#This Row],[soda_units_sold]])</f>
        <v>12.304038387116154</v>
      </c>
      <c r="O3340">
        <f>LN(dataset[[#This Row],[soda_sales]])</f>
        <v>11.922407277310235</v>
      </c>
      <c r="P3340">
        <f>LN(dataset[[#This Row],[soda_ppu]])</f>
        <v>-0.38169975455790245</v>
      </c>
      <c r="Q3340">
        <f>IF(dataset[[#This Row],[state]]="VA",1,0)</f>
        <v>0</v>
      </c>
    </row>
    <row r="3341" spans="1:17" x14ac:dyDescent="0.35">
      <c r="A3341">
        <v>202404</v>
      </c>
      <c r="B3341">
        <v>78</v>
      </c>
      <c r="C3341" s="2">
        <v>2301324.5279999999</v>
      </c>
      <c r="D3341" s="2">
        <v>0.66159999999999997</v>
      </c>
      <c r="E3341" s="3">
        <v>267258</v>
      </c>
      <c r="F3341" s="2">
        <v>176807.5191</v>
      </c>
      <c r="G3341" t="s">
        <v>529</v>
      </c>
      <c r="H3341" t="s">
        <v>5</v>
      </c>
      <c r="I3341">
        <f>HLOOKUP(G3341,zip_tiers!$A$1:$EON$2,2,FALSE)</f>
        <v>52832</v>
      </c>
      <c r="J3341" t="str">
        <f t="shared" si="52"/>
        <v>Med</v>
      </c>
      <c r="K3341">
        <f>dataset[[#This Row],[soda_sales]]/dataset[[#This Row],[soda_units_sold]]</f>
        <v>0.66156118469793235</v>
      </c>
      <c r="L3341" s="29">
        <f>dataset[[#This Row],[implied_soda_ppu]]-dataset[[#This Row],[soda_ppu]]</f>
        <v>-3.8815302067618518E-5</v>
      </c>
      <c r="M3341">
        <f>dataset[[#This Row],[soda_sales]]/dataset[[#This Row],[total_sales]]</f>
        <v>7.6828590209159761E-2</v>
      </c>
      <c r="N3341">
        <f>LN(dataset[[#This Row],[soda_units_sold]])</f>
        <v>12.495969762957504</v>
      </c>
      <c r="O3341">
        <f>LN(dataset[[#This Row],[soda_sales]])</f>
        <v>12.082816957127509</v>
      </c>
      <c r="P3341">
        <f>LN(dataset[[#This Row],[soda_ppu]])</f>
        <v>-0.41309413527265554</v>
      </c>
      <c r="Q3341">
        <f>IF(dataset[[#This Row],[state]]="VA",1,0)</f>
        <v>0</v>
      </c>
    </row>
    <row r="3342" spans="1:17" x14ac:dyDescent="0.35">
      <c r="A3342">
        <v>202405</v>
      </c>
      <c r="B3342">
        <v>78</v>
      </c>
      <c r="C3342" s="2">
        <v>2395471.8147999998</v>
      </c>
      <c r="D3342" s="2">
        <v>0.69259999999999999</v>
      </c>
      <c r="E3342" s="3">
        <v>284991</v>
      </c>
      <c r="F3342" s="2">
        <v>197398.30799999999</v>
      </c>
      <c r="G3342" t="s">
        <v>529</v>
      </c>
      <c r="H3342" t="s">
        <v>5</v>
      </c>
      <c r="I3342">
        <f>HLOOKUP(G3342,zip_tiers!$A$1:$EON$2,2,FALSE)</f>
        <v>52832</v>
      </c>
      <c r="J3342" t="str">
        <f t="shared" si="52"/>
        <v>Med</v>
      </c>
      <c r="K3342">
        <f>dataset[[#This Row],[soda_sales]]/dataset[[#This Row],[soda_units_sold]]</f>
        <v>0.69264751518469003</v>
      </c>
      <c r="L3342" s="29">
        <f>dataset[[#This Row],[implied_soda_ppu]]-dataset[[#This Row],[soda_ppu]]</f>
        <v>4.7515184690039014E-5</v>
      </c>
      <c r="M3342">
        <f>dataset[[#This Row],[soda_sales]]/dataset[[#This Row],[total_sales]]</f>
        <v>8.2404771694832471E-2</v>
      </c>
      <c r="N3342">
        <f>LN(dataset[[#This Row],[soda_units_sold]])</f>
        <v>12.560212879804794</v>
      </c>
      <c r="O3342">
        <f>LN(dataset[[#This Row],[soda_sales]])</f>
        <v>12.192978834516213</v>
      </c>
      <c r="P3342">
        <f>LN(dataset[[#This Row],[soda_ppu]])</f>
        <v>-0.36730264701381549</v>
      </c>
      <c r="Q3342">
        <f>IF(dataset[[#This Row],[state]]="VA",1,0)</f>
        <v>0</v>
      </c>
    </row>
    <row r="3343" spans="1:17" x14ac:dyDescent="0.35">
      <c r="A3343">
        <v>202406</v>
      </c>
      <c r="B3343">
        <v>78</v>
      </c>
      <c r="C3343" s="2">
        <v>2305539.4511000002</v>
      </c>
      <c r="D3343" s="2">
        <v>0.69540000000000002</v>
      </c>
      <c r="E3343" s="3">
        <v>291539</v>
      </c>
      <c r="F3343" s="2">
        <v>202728.07149999999</v>
      </c>
      <c r="G3343" t="s">
        <v>529</v>
      </c>
      <c r="H3343" t="s">
        <v>5</v>
      </c>
      <c r="I3343">
        <f>HLOOKUP(G3343,zip_tiers!$A$1:$EON$2,2,FALSE)</f>
        <v>52832</v>
      </c>
      <c r="J3343" t="str">
        <f t="shared" si="52"/>
        <v>Med</v>
      </c>
      <c r="K3343">
        <f>dataset[[#This Row],[soda_sales]]/dataset[[#This Row],[soda_units_sold]]</f>
        <v>0.69537204799357888</v>
      </c>
      <c r="L3343" s="29">
        <f>dataset[[#This Row],[implied_soda_ppu]]-dataset[[#This Row],[soda_ppu]]</f>
        <v>-2.7952006421139153E-5</v>
      </c>
      <c r="M3343">
        <f>dataset[[#This Row],[soda_sales]]/dataset[[#This Row],[total_sales]]</f>
        <v>8.7930862082310504E-2</v>
      </c>
      <c r="N3343">
        <f>LN(dataset[[#This Row],[soda_units_sold]])</f>
        <v>12.582929066561066</v>
      </c>
      <c r="O3343">
        <f>LN(dataset[[#This Row],[soda_sales]])</f>
        <v>12.219620810764697</v>
      </c>
      <c r="P3343">
        <f>LN(dataset[[#This Row],[soda_ppu]])</f>
        <v>-0.36326805940837598</v>
      </c>
      <c r="Q3343">
        <f>IF(dataset[[#This Row],[state]]="VA",1,0)</f>
        <v>0</v>
      </c>
    </row>
    <row r="3344" spans="1:17" x14ac:dyDescent="0.35">
      <c r="A3344">
        <v>202407</v>
      </c>
      <c r="B3344">
        <v>78</v>
      </c>
      <c r="C3344" s="2">
        <v>2178013.1491</v>
      </c>
      <c r="D3344" s="2">
        <v>0.67600000000000005</v>
      </c>
      <c r="E3344" s="3">
        <v>302170</v>
      </c>
      <c r="F3344" s="2">
        <v>204253.66589999999</v>
      </c>
      <c r="G3344" t="s">
        <v>529</v>
      </c>
      <c r="H3344" t="s">
        <v>5</v>
      </c>
      <c r="I3344">
        <f>HLOOKUP(G3344,zip_tiers!$A$1:$EON$2,2,FALSE)</f>
        <v>52832</v>
      </c>
      <c r="J3344" t="str">
        <f t="shared" si="52"/>
        <v>Med</v>
      </c>
      <c r="K3344">
        <f>dataset[[#This Row],[soda_sales]]/dataset[[#This Row],[soda_units_sold]]</f>
        <v>0.67595613694278056</v>
      </c>
      <c r="L3344" s="29">
        <f>dataset[[#This Row],[implied_soda_ppu]]-dataset[[#This Row],[soda_ppu]]</f>
        <v>-4.3863057219484247E-5</v>
      </c>
      <c r="M3344">
        <f>dataset[[#This Row],[soda_sales]]/dataset[[#This Row],[total_sales]]</f>
        <v>9.3779813030238968E-2</v>
      </c>
      <c r="N3344">
        <f>LN(dataset[[#This Row],[soda_units_sold]])</f>
        <v>12.618745051887689</v>
      </c>
      <c r="O3344">
        <f>LN(dataset[[#This Row],[soda_sales]])</f>
        <v>12.227117960664</v>
      </c>
      <c r="P3344">
        <f>LN(dataset[[#This Row],[soda_ppu]])</f>
        <v>-0.39156220293917288</v>
      </c>
      <c r="Q3344">
        <f>IF(dataset[[#This Row],[state]]="VA",1,0)</f>
        <v>0</v>
      </c>
    </row>
    <row r="3345" spans="1:17" x14ac:dyDescent="0.35">
      <c r="A3345">
        <v>202408</v>
      </c>
      <c r="B3345">
        <v>78</v>
      </c>
      <c r="C3345" s="2">
        <v>2061735.1617999999</v>
      </c>
      <c r="D3345" s="2">
        <v>0.68589999999999995</v>
      </c>
      <c r="E3345" s="3">
        <v>263015</v>
      </c>
      <c r="F3345" s="2">
        <v>180398.59719999999</v>
      </c>
      <c r="G3345" t="s">
        <v>529</v>
      </c>
      <c r="H3345" t="s">
        <v>5</v>
      </c>
      <c r="I3345">
        <f>HLOOKUP(G3345,zip_tiers!$A$1:$EON$2,2,FALSE)</f>
        <v>52832</v>
      </c>
      <c r="J3345" t="str">
        <f t="shared" si="52"/>
        <v>Med</v>
      </c>
      <c r="K3345">
        <f>dataset[[#This Row],[soda_sales]]/dataset[[#This Row],[soda_units_sold]]</f>
        <v>0.68588710605858982</v>
      </c>
      <c r="L3345" s="29">
        <f>dataset[[#This Row],[implied_soda_ppu]]-dataset[[#This Row],[soda_ppu]]</f>
        <v>-1.2893941410130338E-5</v>
      </c>
      <c r="M3345">
        <f>dataset[[#This Row],[soda_sales]]/dataset[[#This Row],[total_sales]]</f>
        <v>8.7498433621563121E-2</v>
      </c>
      <c r="N3345">
        <f>LN(dataset[[#This Row],[soda_units_sold]])</f>
        <v>12.479966343754045</v>
      </c>
      <c r="O3345">
        <f>LN(dataset[[#This Row],[soda_sales]])</f>
        <v>12.102924110527212</v>
      </c>
      <c r="P3345">
        <f>LN(dataset[[#This Row],[soda_ppu]])</f>
        <v>-0.37702343447686143</v>
      </c>
      <c r="Q3345">
        <f>IF(dataset[[#This Row],[state]]="VA",1,0)</f>
        <v>0</v>
      </c>
    </row>
    <row r="3346" spans="1:17" x14ac:dyDescent="0.35">
      <c r="A3346">
        <v>202409</v>
      </c>
      <c r="B3346">
        <v>78</v>
      </c>
      <c r="C3346" s="2">
        <v>2102665.4855</v>
      </c>
      <c r="D3346" s="2">
        <v>0.6885</v>
      </c>
      <c r="E3346" s="3">
        <v>264411</v>
      </c>
      <c r="F3346" s="2">
        <v>182052.06520000001</v>
      </c>
      <c r="G3346" t="s">
        <v>529</v>
      </c>
      <c r="H3346" t="s">
        <v>5</v>
      </c>
      <c r="I3346">
        <f>HLOOKUP(G3346,zip_tiers!$A$1:$EON$2,2,FALSE)</f>
        <v>52832</v>
      </c>
      <c r="J3346" t="str">
        <f t="shared" si="52"/>
        <v>Med</v>
      </c>
      <c r="K3346">
        <f>dataset[[#This Row],[soda_sales]]/dataset[[#This Row],[soda_units_sold]]</f>
        <v>0.68851925676314529</v>
      </c>
      <c r="L3346" s="29">
        <f>dataset[[#This Row],[implied_soda_ppu]]-dataset[[#This Row],[soda_ppu]]</f>
        <v>1.9256763145292233E-5</v>
      </c>
      <c r="M3346">
        <f>dataset[[#This Row],[soda_sales]]/dataset[[#This Row],[total_sales]]</f>
        <v>8.6581563475233075E-2</v>
      </c>
      <c r="N3346">
        <f>LN(dataset[[#This Row],[soda_units_sold]])</f>
        <v>12.485259989725124</v>
      </c>
      <c r="O3346">
        <f>LN(dataset[[#This Row],[soda_sales]])</f>
        <v>12.112047997675461</v>
      </c>
      <c r="P3346">
        <f>LN(dataset[[#This Row],[soda_ppu]])</f>
        <v>-0.37323996081342753</v>
      </c>
      <c r="Q3346">
        <f>IF(dataset[[#This Row],[state]]="VA",1,0)</f>
        <v>0</v>
      </c>
    </row>
    <row r="3347" spans="1:17" x14ac:dyDescent="0.35">
      <c r="A3347">
        <v>202410</v>
      </c>
      <c r="B3347">
        <v>78</v>
      </c>
      <c r="C3347" s="2">
        <v>2540696.21</v>
      </c>
      <c r="D3347" s="2">
        <v>0.66790000000000005</v>
      </c>
      <c r="E3347" s="3">
        <v>245911</v>
      </c>
      <c r="F3347" s="2">
        <v>164244.55540000001</v>
      </c>
      <c r="G3347" t="s">
        <v>529</v>
      </c>
      <c r="H3347" t="s">
        <v>5</v>
      </c>
      <c r="I3347">
        <f>HLOOKUP(G3347,zip_tiers!$A$1:$EON$2,2,FALSE)</f>
        <v>52832</v>
      </c>
      <c r="J3347" t="str">
        <f t="shared" si="52"/>
        <v>Med</v>
      </c>
      <c r="K3347">
        <f>dataset[[#This Row],[soda_sales]]/dataset[[#This Row],[soda_units_sold]]</f>
        <v>0.66790243380735315</v>
      </c>
      <c r="L3347" s="29">
        <f>dataset[[#This Row],[implied_soda_ppu]]-dataset[[#This Row],[soda_ppu]]</f>
        <v>2.4338073530971727E-6</v>
      </c>
      <c r="M3347">
        <f>dataset[[#This Row],[soda_sales]]/dataset[[#This Row],[total_sales]]</f>
        <v>6.4645491559968918E-2</v>
      </c>
      <c r="N3347">
        <f>LN(dataset[[#This Row],[soda_units_sold]])</f>
        <v>12.412724960835323</v>
      </c>
      <c r="O3347">
        <f>LN(dataset[[#This Row],[soda_sales]])</f>
        <v>12.009111787547821</v>
      </c>
      <c r="P3347">
        <f>LN(dataset[[#This Row],[soda_ppu]])</f>
        <v>-0.40361681725054671</v>
      </c>
      <c r="Q3347">
        <f>IF(dataset[[#This Row],[state]]="VA",1,0)</f>
        <v>0</v>
      </c>
    </row>
    <row r="3348" spans="1:17" x14ac:dyDescent="0.35">
      <c r="A3348">
        <v>202411</v>
      </c>
      <c r="B3348">
        <v>78</v>
      </c>
      <c r="C3348" s="2">
        <v>2843061.3513000002</v>
      </c>
      <c r="D3348" s="2">
        <v>0.67879999999999996</v>
      </c>
      <c r="E3348" s="3">
        <v>233817</v>
      </c>
      <c r="F3348" s="2">
        <v>158706.8174</v>
      </c>
      <c r="G3348" t="s">
        <v>529</v>
      </c>
      <c r="H3348" t="s">
        <v>5</v>
      </c>
      <c r="I3348">
        <f>HLOOKUP(G3348,zip_tiers!$A$1:$EON$2,2,FALSE)</f>
        <v>52832</v>
      </c>
      <c r="J3348" t="str">
        <f t="shared" si="52"/>
        <v>Med</v>
      </c>
      <c r="K3348">
        <f>dataset[[#This Row],[soda_sales]]/dataset[[#This Row],[soda_units_sold]]</f>
        <v>0.67876509150318409</v>
      </c>
      <c r="L3348" s="29">
        <f>dataset[[#This Row],[implied_soda_ppu]]-dataset[[#This Row],[soda_ppu]]</f>
        <v>-3.4908496815866386E-5</v>
      </c>
      <c r="M3348">
        <f>dataset[[#This Row],[soda_sales]]/dataset[[#This Row],[total_sales]]</f>
        <v>5.5822508834510634E-2</v>
      </c>
      <c r="N3348">
        <f>LN(dataset[[#This Row],[soda_units_sold]])</f>
        <v>12.362294037096154</v>
      </c>
      <c r="O3348">
        <f>LN(dataset[[#This Row],[soda_sales]])</f>
        <v>11.97481386337382</v>
      </c>
      <c r="P3348">
        <f>LN(dataset[[#This Row],[soda_ppu]])</f>
        <v>-0.38742874562206586</v>
      </c>
      <c r="Q3348">
        <f>IF(dataset[[#This Row],[state]]="VA",1,0)</f>
        <v>0</v>
      </c>
    </row>
    <row r="3349" spans="1:17" x14ac:dyDescent="0.35">
      <c r="A3349">
        <v>202412</v>
      </c>
      <c r="B3349">
        <v>78</v>
      </c>
      <c r="C3349" s="2">
        <v>3020715.8531999998</v>
      </c>
      <c r="D3349" s="2">
        <v>0.65769999999999995</v>
      </c>
      <c r="E3349" s="3">
        <v>236444</v>
      </c>
      <c r="F3349" s="2">
        <v>155507.08799999999</v>
      </c>
      <c r="G3349" t="s">
        <v>529</v>
      </c>
      <c r="H3349" t="s">
        <v>5</v>
      </c>
      <c r="I3349">
        <f>HLOOKUP(G3349,zip_tiers!$A$1:$EON$2,2,FALSE)</f>
        <v>52832</v>
      </c>
      <c r="J3349" t="str">
        <f t="shared" si="52"/>
        <v>Med</v>
      </c>
      <c r="K3349">
        <f>dataset[[#This Row],[soda_sales]]/dataset[[#This Row],[soda_units_sold]]</f>
        <v>0.65769098814095506</v>
      </c>
      <c r="L3349" s="29">
        <f>dataset[[#This Row],[implied_soda_ppu]]-dataset[[#This Row],[soda_ppu]]</f>
        <v>-9.0118590448939884E-6</v>
      </c>
      <c r="M3349">
        <f>dataset[[#This Row],[soda_sales]]/dataset[[#This Row],[total_sales]]</f>
        <v>5.148021050548774E-2</v>
      </c>
      <c r="N3349">
        <f>LN(dataset[[#This Row],[soda_units_sold]])</f>
        <v>12.373466672406439</v>
      </c>
      <c r="O3349">
        <f>LN(dataset[[#This Row],[soda_sales]])</f>
        <v>11.954446591556167</v>
      </c>
      <c r="P3349">
        <f>LN(dataset[[#This Row],[soda_ppu]])</f>
        <v>-0.41900637867483181</v>
      </c>
      <c r="Q3349">
        <f>IF(dataset[[#This Row],[state]]="VA",1,0)</f>
        <v>0</v>
      </c>
    </row>
    <row r="3350" spans="1:17" x14ac:dyDescent="0.35">
      <c r="A3350">
        <v>202201</v>
      </c>
      <c r="B3350">
        <v>47</v>
      </c>
      <c r="C3350" s="2">
        <v>1570846.0331999999</v>
      </c>
      <c r="D3350" s="2">
        <v>0.65369999999999995</v>
      </c>
      <c r="E3350" s="3">
        <v>162694</v>
      </c>
      <c r="F3350" s="2">
        <v>106358.1409</v>
      </c>
      <c r="G3350" t="s">
        <v>533</v>
      </c>
      <c r="H3350" t="s">
        <v>5</v>
      </c>
      <c r="I3350">
        <f>HLOOKUP(G3350,zip_tiers!$A$1:$EON$2,2,FALSE)</f>
        <v>48417.666666666664</v>
      </c>
      <c r="J3350" t="str">
        <f t="shared" si="52"/>
        <v>Med</v>
      </c>
      <c r="K3350">
        <f>dataset[[#This Row],[soda_sales]]/dataset[[#This Row],[soda_units_sold]]</f>
        <v>0.65373118185059065</v>
      </c>
      <c r="L3350" s="29">
        <f>dataset[[#This Row],[implied_soda_ppu]]-dataset[[#This Row],[soda_ppu]]</f>
        <v>3.1181850590700222E-5</v>
      </c>
      <c r="M3350">
        <f>dataset[[#This Row],[soda_sales]]/dataset[[#This Row],[total_sales]]</f>
        <v>6.7707552905955926E-2</v>
      </c>
      <c r="N3350">
        <f>LN(dataset[[#This Row],[soda_units_sold]])</f>
        <v>11.999626414838133</v>
      </c>
      <c r="O3350">
        <f>LN(dataset[[#This Row],[soda_sales]])</f>
        <v>11.574567365888658</v>
      </c>
      <c r="P3350">
        <f>LN(dataset[[#This Row],[soda_ppu]])</f>
        <v>-0.42510674836345325</v>
      </c>
      <c r="Q3350">
        <f>IF(dataset[[#This Row],[state]]="VA",1,0)</f>
        <v>0</v>
      </c>
    </row>
    <row r="3351" spans="1:17" x14ac:dyDescent="0.35">
      <c r="A3351">
        <v>202202</v>
      </c>
      <c r="B3351">
        <v>47</v>
      </c>
      <c r="C3351" s="2">
        <v>1754994.6439</v>
      </c>
      <c r="D3351" s="2">
        <v>0.69440000000000002</v>
      </c>
      <c r="E3351" s="3">
        <v>168326</v>
      </c>
      <c r="F3351" s="2">
        <v>116886.7176</v>
      </c>
      <c r="G3351" t="s">
        <v>533</v>
      </c>
      <c r="H3351" t="s">
        <v>5</v>
      </c>
      <c r="I3351">
        <f>HLOOKUP(G3351,zip_tiers!$A$1:$EON$2,2,FALSE)</f>
        <v>48417.666666666664</v>
      </c>
      <c r="J3351" t="str">
        <f t="shared" si="52"/>
        <v>Med</v>
      </c>
      <c r="K3351">
        <f>dataset[[#This Row],[soda_sales]]/dataset[[#This Row],[soda_units_sold]]</f>
        <v>0.69440679158299967</v>
      </c>
      <c r="L3351" s="29">
        <f>dataset[[#This Row],[implied_soda_ppu]]-dataset[[#This Row],[soda_ppu]]</f>
        <v>6.791582999654544E-6</v>
      </c>
      <c r="M3351">
        <f>dataset[[#This Row],[soda_sales]]/dataset[[#This Row],[total_sales]]</f>
        <v>6.6602321554811675E-2</v>
      </c>
      <c r="N3351">
        <f>LN(dataset[[#This Row],[soda_units_sold]])</f>
        <v>12.033657854283998</v>
      </c>
      <c r="O3351">
        <f>LN(dataset[[#This Row],[soda_sales]])</f>
        <v>11.668960519105644</v>
      </c>
      <c r="P3351">
        <f>LN(dataset[[#This Row],[soda_ppu]])</f>
        <v>-0.36470711563599661</v>
      </c>
      <c r="Q3351">
        <f>IF(dataset[[#This Row],[state]]="VA",1,0)</f>
        <v>0</v>
      </c>
    </row>
    <row r="3352" spans="1:17" x14ac:dyDescent="0.35">
      <c r="A3352">
        <v>202203</v>
      </c>
      <c r="B3352">
        <v>47</v>
      </c>
      <c r="C3352" s="2">
        <v>1994084.9336999999</v>
      </c>
      <c r="D3352" s="2">
        <v>0.69030000000000002</v>
      </c>
      <c r="E3352" s="3">
        <v>200652</v>
      </c>
      <c r="F3352" s="2">
        <v>138516.85</v>
      </c>
      <c r="G3352" t="s">
        <v>533</v>
      </c>
      <c r="H3352" t="s">
        <v>5</v>
      </c>
      <c r="I3352">
        <f>HLOOKUP(G3352,zip_tiers!$A$1:$EON$2,2,FALSE)</f>
        <v>48417.666666666664</v>
      </c>
      <c r="J3352" t="str">
        <f t="shared" si="52"/>
        <v>Med</v>
      </c>
      <c r="K3352">
        <f>dataset[[#This Row],[soda_sales]]/dataset[[#This Row],[soda_units_sold]]</f>
        <v>0.69033376193608842</v>
      </c>
      <c r="L3352" s="29">
        <f>dataset[[#This Row],[implied_soda_ppu]]-dataset[[#This Row],[soda_ppu]]</f>
        <v>3.3761936088394506E-5</v>
      </c>
      <c r="M3352">
        <f>dataset[[#This Row],[soda_sales]]/dataset[[#This Row],[total_sales]]</f>
        <v>6.9463866688458303E-2</v>
      </c>
      <c r="N3352">
        <f>LN(dataset[[#This Row],[soda_units_sold]])</f>
        <v>12.209327343250669</v>
      </c>
      <c r="O3352">
        <f>LN(dataset[[#This Row],[soda_sales]])</f>
        <v>11.838747257859293</v>
      </c>
      <c r="P3352">
        <f>LN(dataset[[#This Row],[soda_ppu]])</f>
        <v>-0.37062899327270715</v>
      </c>
      <c r="Q3352">
        <f>IF(dataset[[#This Row],[state]]="VA",1,0)</f>
        <v>0</v>
      </c>
    </row>
    <row r="3353" spans="1:17" x14ac:dyDescent="0.35">
      <c r="A3353">
        <v>202204</v>
      </c>
      <c r="B3353">
        <v>47</v>
      </c>
      <c r="C3353" s="2">
        <v>2109071.4238</v>
      </c>
      <c r="D3353" s="2">
        <v>0.66049999999999998</v>
      </c>
      <c r="E3353" s="3">
        <v>256062</v>
      </c>
      <c r="F3353" s="2">
        <v>169130.0025</v>
      </c>
      <c r="G3353" t="s">
        <v>533</v>
      </c>
      <c r="H3353" t="s">
        <v>5</v>
      </c>
      <c r="I3353">
        <f>HLOOKUP(G3353,zip_tiers!$A$1:$EON$2,2,FALSE)</f>
        <v>48417.666666666664</v>
      </c>
      <c r="J3353" t="str">
        <f t="shared" si="52"/>
        <v>Med</v>
      </c>
      <c r="K3353">
        <f>dataset[[#This Row],[soda_sales]]/dataset[[#This Row],[soda_units_sold]]</f>
        <v>0.66050410642734958</v>
      </c>
      <c r="L3353" s="29">
        <f>dataset[[#This Row],[implied_soda_ppu]]-dataset[[#This Row],[soda_ppu]]</f>
        <v>4.1064273496038695E-6</v>
      </c>
      <c r="M3353">
        <f>dataset[[#This Row],[soda_sales]]/dataset[[#This Row],[total_sales]]</f>
        <v>8.0191690329420695E-2</v>
      </c>
      <c r="N3353">
        <f>LN(dataset[[#This Row],[soda_units_sold]])</f>
        <v>12.453174881639042</v>
      </c>
      <c r="O3353">
        <f>LN(dataset[[#This Row],[soda_sales]])</f>
        <v>12.038422943749616</v>
      </c>
      <c r="P3353">
        <f>LN(dataset[[#This Row],[soda_ppu]])</f>
        <v>-0.4147581550197571</v>
      </c>
      <c r="Q3353">
        <f>IF(dataset[[#This Row],[state]]="VA",1,0)</f>
        <v>0</v>
      </c>
    </row>
    <row r="3354" spans="1:17" x14ac:dyDescent="0.35">
      <c r="A3354">
        <v>202205</v>
      </c>
      <c r="B3354">
        <v>47</v>
      </c>
      <c r="C3354" s="2">
        <v>2251372.3829000001</v>
      </c>
      <c r="D3354" s="2">
        <v>0.68389999999999995</v>
      </c>
      <c r="E3354" s="3">
        <v>267992</v>
      </c>
      <c r="F3354" s="2">
        <v>183275.57980000001</v>
      </c>
      <c r="G3354" t="s">
        <v>533</v>
      </c>
      <c r="H3354" t="s">
        <v>5</v>
      </c>
      <c r="I3354">
        <f>HLOOKUP(G3354,zip_tiers!$A$1:$EON$2,2,FALSE)</f>
        <v>48417.666666666664</v>
      </c>
      <c r="J3354" t="str">
        <f t="shared" si="52"/>
        <v>Med</v>
      </c>
      <c r="K3354">
        <f>dataset[[#This Row],[soda_sales]]/dataset[[#This Row],[soda_units_sold]]</f>
        <v>0.68388451819457297</v>
      </c>
      <c r="L3354" s="29">
        <f>dataset[[#This Row],[implied_soda_ppu]]-dataset[[#This Row],[soda_ppu]]</f>
        <v>-1.5481805426986739E-5</v>
      </c>
      <c r="M3354">
        <f>dataset[[#This Row],[soda_sales]]/dataset[[#This Row],[total_sales]]</f>
        <v>8.1406159723751315E-2</v>
      </c>
      <c r="N3354">
        <f>LN(dataset[[#This Row],[soda_units_sold]])</f>
        <v>12.498712408301182</v>
      </c>
      <c r="O3354">
        <f>LN(dataset[[#This Row],[soda_sales]])</f>
        <v>12.118746199638823</v>
      </c>
      <c r="P3354">
        <f>LN(dataset[[#This Row],[soda_ppu]])</f>
        <v>-0.37994357087808678</v>
      </c>
      <c r="Q3354">
        <f>IF(dataset[[#This Row],[state]]="VA",1,0)</f>
        <v>0</v>
      </c>
    </row>
    <row r="3355" spans="1:17" x14ac:dyDescent="0.35">
      <c r="A3355">
        <v>202206</v>
      </c>
      <c r="B3355">
        <v>47</v>
      </c>
      <c r="C3355" s="2">
        <v>2169279.8911000001</v>
      </c>
      <c r="D3355" s="2">
        <v>0.66520000000000001</v>
      </c>
      <c r="E3355" s="3">
        <v>290555</v>
      </c>
      <c r="F3355" s="2">
        <v>193290.1819</v>
      </c>
      <c r="G3355" t="s">
        <v>533</v>
      </c>
      <c r="H3355" t="s">
        <v>5</v>
      </c>
      <c r="I3355">
        <f>HLOOKUP(G3355,zip_tiers!$A$1:$EON$2,2,FALSE)</f>
        <v>48417.666666666664</v>
      </c>
      <c r="J3355" t="str">
        <f t="shared" si="52"/>
        <v>Med</v>
      </c>
      <c r="K3355">
        <f>dataset[[#This Row],[soda_sales]]/dataset[[#This Row],[soda_units_sold]]</f>
        <v>0.66524472784842803</v>
      </c>
      <c r="L3355" s="29">
        <f>dataset[[#This Row],[implied_soda_ppu]]-dataset[[#This Row],[soda_ppu]]</f>
        <v>4.4727848428016692E-5</v>
      </c>
      <c r="M3355">
        <f>dataset[[#This Row],[soda_sales]]/dataset[[#This Row],[total_sales]]</f>
        <v>8.9103385272237171E-2</v>
      </c>
      <c r="N3355">
        <f>LN(dataset[[#This Row],[soda_units_sold]])</f>
        <v>12.579548166097224</v>
      </c>
      <c r="O3355">
        <f>LN(dataset[[#This Row],[soda_sales]])</f>
        <v>12.171947871873353</v>
      </c>
      <c r="P3355">
        <f>LN(dataset[[#This Row],[soda_ppu]])</f>
        <v>-0.40766753166336445</v>
      </c>
      <c r="Q3355">
        <f>IF(dataset[[#This Row],[state]]="VA",1,0)</f>
        <v>0</v>
      </c>
    </row>
    <row r="3356" spans="1:17" x14ac:dyDescent="0.35">
      <c r="A3356">
        <v>202207</v>
      </c>
      <c r="B3356">
        <v>47</v>
      </c>
      <c r="C3356" s="2">
        <v>2042603.4772999999</v>
      </c>
      <c r="D3356" s="2">
        <v>0.65029999999999999</v>
      </c>
      <c r="E3356" s="3">
        <v>310055</v>
      </c>
      <c r="F3356" s="2">
        <v>201614.90400000001</v>
      </c>
      <c r="G3356" t="s">
        <v>533</v>
      </c>
      <c r="H3356" t="s">
        <v>5</v>
      </c>
      <c r="I3356">
        <f>HLOOKUP(G3356,zip_tiers!$A$1:$EON$2,2,FALSE)</f>
        <v>48417.666666666664</v>
      </c>
      <c r="J3356" t="str">
        <f t="shared" si="52"/>
        <v>Med</v>
      </c>
      <c r="K3356">
        <f>dataset[[#This Row],[soda_sales]]/dataset[[#This Row],[soda_units_sold]]</f>
        <v>0.65025529019045014</v>
      </c>
      <c r="L3356" s="29">
        <f>dataset[[#This Row],[implied_soda_ppu]]-dataset[[#This Row],[soda_ppu]]</f>
        <v>-4.4709809549847712E-5</v>
      </c>
      <c r="M3356">
        <f>dataset[[#This Row],[soda_sales]]/dataset[[#This Row],[total_sales]]</f>
        <v>9.8704866725529694E-2</v>
      </c>
      <c r="N3356">
        <f>LN(dataset[[#This Row],[soda_units_sold]])</f>
        <v>12.644504980079216</v>
      </c>
      <c r="O3356">
        <f>LN(dataset[[#This Row],[soda_sales]])</f>
        <v>12.214114741018196</v>
      </c>
      <c r="P3356">
        <f>LN(dataset[[#This Row],[soda_ppu]])</f>
        <v>-0.43032148410703092</v>
      </c>
      <c r="Q3356">
        <f>IF(dataset[[#This Row],[state]]="VA",1,0)</f>
        <v>0</v>
      </c>
    </row>
    <row r="3357" spans="1:17" x14ac:dyDescent="0.35">
      <c r="A3357">
        <v>202208</v>
      </c>
      <c r="B3357">
        <v>47</v>
      </c>
      <c r="C3357" s="2">
        <v>1938352.4793</v>
      </c>
      <c r="D3357" s="2">
        <v>0.67859999999999998</v>
      </c>
      <c r="E3357" s="3">
        <v>256565</v>
      </c>
      <c r="F3357" s="2">
        <v>174107.71299999999</v>
      </c>
      <c r="G3357" t="s">
        <v>533</v>
      </c>
      <c r="H3357" t="s">
        <v>5</v>
      </c>
      <c r="I3357">
        <f>HLOOKUP(G3357,zip_tiers!$A$1:$EON$2,2,FALSE)</f>
        <v>48417.666666666664</v>
      </c>
      <c r="J3357" t="str">
        <f t="shared" si="52"/>
        <v>Med</v>
      </c>
      <c r="K3357">
        <f>dataset[[#This Row],[soda_sales]]/dataset[[#This Row],[soda_units_sold]]</f>
        <v>0.67861053923956882</v>
      </c>
      <c r="L3357" s="29">
        <f>dataset[[#This Row],[implied_soda_ppu]]-dataset[[#This Row],[soda_ppu]]</f>
        <v>1.0539239568840841E-5</v>
      </c>
      <c r="M3357">
        <f>dataset[[#This Row],[soda_sales]]/dataset[[#This Row],[total_sales]]</f>
        <v>8.9822524468241072E-2</v>
      </c>
      <c r="N3357">
        <f>LN(dataset[[#This Row],[soda_units_sold]])</f>
        <v>12.455137322795782</v>
      </c>
      <c r="O3357">
        <f>LN(dataset[[#This Row],[soda_sales]])</f>
        <v>12.067429426900185</v>
      </c>
      <c r="P3357">
        <f>LN(dataset[[#This Row],[soda_ppu]])</f>
        <v>-0.38772342663200732</v>
      </c>
      <c r="Q3357">
        <f>IF(dataset[[#This Row],[state]]="VA",1,0)</f>
        <v>0</v>
      </c>
    </row>
    <row r="3358" spans="1:17" x14ac:dyDescent="0.35">
      <c r="A3358">
        <v>202209</v>
      </c>
      <c r="B3358">
        <v>47</v>
      </c>
      <c r="C3358" s="2">
        <v>1921648.1085999999</v>
      </c>
      <c r="D3358" s="2">
        <v>0.67159999999999997</v>
      </c>
      <c r="E3358" s="3">
        <v>243992</v>
      </c>
      <c r="F3358" s="2">
        <v>163864.31200000001</v>
      </c>
      <c r="G3358" t="s">
        <v>533</v>
      </c>
      <c r="H3358" t="s">
        <v>5</v>
      </c>
      <c r="I3358">
        <f>HLOOKUP(G3358,zip_tiers!$A$1:$EON$2,2,FALSE)</f>
        <v>48417.666666666664</v>
      </c>
      <c r="J3358" t="str">
        <f t="shared" si="52"/>
        <v>Med</v>
      </c>
      <c r="K3358">
        <f>dataset[[#This Row],[soda_sales]]/dataset[[#This Row],[soda_units_sold]]</f>
        <v>0.67159706875635272</v>
      </c>
      <c r="L3358" s="29">
        <f>dataset[[#This Row],[implied_soda_ppu]]-dataset[[#This Row],[soda_ppu]]</f>
        <v>-2.9312436472528347E-6</v>
      </c>
      <c r="M3358">
        <f>dataset[[#This Row],[soda_sales]]/dataset[[#This Row],[total_sales]]</f>
        <v>8.5272798524690316E-2</v>
      </c>
      <c r="N3358">
        <f>LN(dataset[[#This Row],[soda_units_sold]])</f>
        <v>12.404890716852591</v>
      </c>
      <c r="O3358">
        <f>LN(dataset[[#This Row],[soda_sales]])</f>
        <v>12.006793998496645</v>
      </c>
      <c r="P3358">
        <f>LN(dataset[[#This Row],[soda_ppu]])</f>
        <v>-0.39809235377875135</v>
      </c>
      <c r="Q3358">
        <f>IF(dataset[[#This Row],[state]]="VA",1,0)</f>
        <v>0</v>
      </c>
    </row>
    <row r="3359" spans="1:17" x14ac:dyDescent="0.35">
      <c r="A3359">
        <v>202210</v>
      </c>
      <c r="B3359">
        <v>47</v>
      </c>
      <c r="C3359" s="2">
        <v>2360086.7869000002</v>
      </c>
      <c r="D3359" s="2">
        <v>0.68259999999999998</v>
      </c>
      <c r="E3359" s="3">
        <v>229694</v>
      </c>
      <c r="F3359" s="2">
        <v>156785.98069999999</v>
      </c>
      <c r="G3359" t="s">
        <v>533</v>
      </c>
      <c r="H3359" t="s">
        <v>5</v>
      </c>
      <c r="I3359">
        <f>HLOOKUP(G3359,zip_tiers!$A$1:$EON$2,2,FALSE)</f>
        <v>48417.666666666664</v>
      </c>
      <c r="J3359" t="str">
        <f t="shared" si="52"/>
        <v>Med</v>
      </c>
      <c r="K3359">
        <f>dataset[[#This Row],[soda_sales]]/dataset[[#This Row],[soda_units_sold]]</f>
        <v>0.68258631353017485</v>
      </c>
      <c r="L3359" s="29">
        <f>dataset[[#This Row],[implied_soda_ppu]]-dataset[[#This Row],[soda_ppu]]</f>
        <v>-1.3686469825135994E-5</v>
      </c>
      <c r="M3359">
        <f>dataset[[#This Row],[soda_sales]]/dataset[[#This Row],[total_sales]]</f>
        <v>6.6432294596225461E-2</v>
      </c>
      <c r="N3359">
        <f>LN(dataset[[#This Row],[soda_units_sold]])</f>
        <v>12.344503267308603</v>
      </c>
      <c r="O3359">
        <f>LN(dataset[[#This Row],[soda_sales]])</f>
        <v>11.962636974100219</v>
      </c>
      <c r="P3359">
        <f>LN(dataset[[#This Row],[soda_ppu]])</f>
        <v>-0.38184624250953042</v>
      </c>
      <c r="Q3359">
        <f>IF(dataset[[#This Row],[state]]="VA",1,0)</f>
        <v>0</v>
      </c>
    </row>
    <row r="3360" spans="1:17" x14ac:dyDescent="0.35">
      <c r="A3360">
        <v>202211</v>
      </c>
      <c r="B3360">
        <v>47</v>
      </c>
      <c r="C3360" s="2">
        <v>2683765.3388</v>
      </c>
      <c r="D3360" s="2">
        <v>0.66790000000000005</v>
      </c>
      <c r="E3360" s="3">
        <v>229744</v>
      </c>
      <c r="F3360" s="2">
        <v>153453.46419999999</v>
      </c>
      <c r="G3360" t="s">
        <v>533</v>
      </c>
      <c r="H3360" t="s">
        <v>5</v>
      </c>
      <c r="I3360">
        <f>HLOOKUP(G3360,zip_tiers!$A$1:$EON$2,2,FALSE)</f>
        <v>48417.666666666664</v>
      </c>
      <c r="J3360" t="str">
        <f t="shared" si="52"/>
        <v>Med</v>
      </c>
      <c r="K3360">
        <f>dataset[[#This Row],[soda_sales]]/dataset[[#This Row],[soda_units_sold]]</f>
        <v>0.66793241259837033</v>
      </c>
      <c r="L3360" s="29">
        <f>dataset[[#This Row],[implied_soda_ppu]]-dataset[[#This Row],[soda_ppu]]</f>
        <v>3.2412598370279433E-5</v>
      </c>
      <c r="M3360">
        <f>dataset[[#This Row],[soda_sales]]/dataset[[#This Row],[total_sales]]</f>
        <v>5.7178420922827065E-2</v>
      </c>
      <c r="N3360">
        <f>LN(dataset[[#This Row],[soda_units_sold]])</f>
        <v>12.344720924534158</v>
      </c>
      <c r="O3360">
        <f>LN(dataset[[#This Row],[soda_sales]])</f>
        <v>11.941152635224798</v>
      </c>
      <c r="P3360">
        <f>LN(dataset[[#This Row],[soda_ppu]])</f>
        <v>-0.40361681725054671</v>
      </c>
      <c r="Q3360">
        <f>IF(dataset[[#This Row],[state]]="VA",1,0)</f>
        <v>0</v>
      </c>
    </row>
    <row r="3361" spans="1:17" x14ac:dyDescent="0.35">
      <c r="A3361">
        <v>202212</v>
      </c>
      <c r="B3361">
        <v>47</v>
      </c>
      <c r="C3361" s="2">
        <v>2824586.9766000002</v>
      </c>
      <c r="D3361" s="2">
        <v>0.65290000000000004</v>
      </c>
      <c r="E3361" s="3">
        <v>226032</v>
      </c>
      <c r="F3361" s="2">
        <v>147584.13740000001</v>
      </c>
      <c r="G3361" t="s">
        <v>533</v>
      </c>
      <c r="H3361" t="s">
        <v>5</v>
      </c>
      <c r="I3361">
        <f>HLOOKUP(G3361,zip_tiers!$A$1:$EON$2,2,FALSE)</f>
        <v>48417.666666666664</v>
      </c>
      <c r="J3361" t="str">
        <f t="shared" si="52"/>
        <v>Med</v>
      </c>
      <c r="K3361">
        <f>dataset[[#This Row],[soda_sales]]/dataset[[#This Row],[soda_units_sold]]</f>
        <v>0.65293470570538692</v>
      </c>
      <c r="L3361" s="29">
        <f>dataset[[#This Row],[implied_soda_ppu]]-dataset[[#This Row],[soda_ppu]]</f>
        <v>3.4705705386883778E-5</v>
      </c>
      <c r="M3361">
        <f>dataset[[#This Row],[soda_sales]]/dataset[[#This Row],[total_sales]]</f>
        <v>5.2249811608792926E-2</v>
      </c>
      <c r="N3361">
        <f>LN(dataset[[#This Row],[soda_units_sold]])</f>
        <v>12.328431861151445</v>
      </c>
      <c r="O3361">
        <f>LN(dataset[[#This Row],[soda_sales]])</f>
        <v>11.902153715183474</v>
      </c>
      <c r="P3361">
        <f>LN(dataset[[#This Row],[soda_ppu]])</f>
        <v>-0.42633130078954923</v>
      </c>
      <c r="Q3361">
        <f>IF(dataset[[#This Row],[state]]="VA",1,0)</f>
        <v>0</v>
      </c>
    </row>
    <row r="3362" spans="1:17" x14ac:dyDescent="0.35">
      <c r="A3362">
        <v>202301</v>
      </c>
      <c r="B3362">
        <v>47</v>
      </c>
      <c r="C3362" s="2">
        <v>1581790.7238</v>
      </c>
      <c r="D3362" s="2">
        <v>0.68530000000000002</v>
      </c>
      <c r="E3362" s="3">
        <v>157428</v>
      </c>
      <c r="F3362" s="2">
        <v>107879.57520000001</v>
      </c>
      <c r="G3362" t="s">
        <v>533</v>
      </c>
      <c r="H3362" t="s">
        <v>5</v>
      </c>
      <c r="I3362">
        <f>HLOOKUP(G3362,zip_tiers!$A$1:$EON$2,2,FALSE)</f>
        <v>48417.666666666664</v>
      </c>
      <c r="J3362" t="str">
        <f t="shared" si="52"/>
        <v>Med</v>
      </c>
      <c r="K3362">
        <f>dataset[[#This Row],[soda_sales]]/dataset[[#This Row],[soda_units_sold]]</f>
        <v>0.68526294687095057</v>
      </c>
      <c r="L3362" s="29">
        <f>dataset[[#This Row],[implied_soda_ppu]]-dataset[[#This Row],[soda_ppu]]</f>
        <v>-3.7053129049446909E-5</v>
      </c>
      <c r="M3362">
        <f>dataset[[#This Row],[soda_sales]]/dataset[[#This Row],[total_sales]]</f>
        <v>6.8200915315040245E-2</v>
      </c>
      <c r="N3362">
        <f>LN(dataset[[#This Row],[soda_units_sold]])</f>
        <v>11.966723489869031</v>
      </c>
      <c r="O3362">
        <f>LN(dataset[[#This Row],[soda_sales]])</f>
        <v>11.588770839537348</v>
      </c>
      <c r="P3362">
        <f>LN(dataset[[#This Row],[soda_ppu]])</f>
        <v>-0.37789858039035901</v>
      </c>
      <c r="Q3362">
        <f>IF(dataset[[#This Row],[state]]="VA",1,0)</f>
        <v>0</v>
      </c>
    </row>
    <row r="3363" spans="1:17" x14ac:dyDescent="0.35">
      <c r="A3363">
        <v>202302</v>
      </c>
      <c r="B3363">
        <v>47</v>
      </c>
      <c r="C3363" s="2">
        <v>1880312.9887000001</v>
      </c>
      <c r="D3363" s="2">
        <v>0.66220000000000001</v>
      </c>
      <c r="E3363" s="3">
        <v>191896</v>
      </c>
      <c r="F3363" s="2">
        <v>127065.12179999999</v>
      </c>
      <c r="G3363" t="s">
        <v>533</v>
      </c>
      <c r="H3363" t="s">
        <v>5</v>
      </c>
      <c r="I3363">
        <f>HLOOKUP(G3363,zip_tiers!$A$1:$EON$2,2,FALSE)</f>
        <v>48417.666666666664</v>
      </c>
      <c r="J3363" t="str">
        <f t="shared" si="52"/>
        <v>Med</v>
      </c>
      <c r="K3363">
        <f>dataset[[#This Row],[soda_sales]]/dataset[[#This Row],[soda_units_sold]]</f>
        <v>0.66215617730437315</v>
      </c>
      <c r="L3363" s="29">
        <f>dataset[[#This Row],[implied_soda_ppu]]-dataset[[#This Row],[soda_ppu]]</f>
        <v>-4.3822695626860586E-5</v>
      </c>
      <c r="M3363">
        <f>dataset[[#This Row],[soda_sales]]/dataset[[#This Row],[total_sales]]</f>
        <v>6.7576580369127559E-2</v>
      </c>
      <c r="N3363">
        <f>LN(dataset[[#This Row],[soda_units_sold]])</f>
        <v>12.164708837588867</v>
      </c>
      <c r="O3363">
        <f>LN(dataset[[#This Row],[soda_sales]])</f>
        <v>11.752455004097817</v>
      </c>
      <c r="P3363">
        <f>LN(dataset[[#This Row],[soda_ppu]])</f>
        <v>-0.41218765386899114</v>
      </c>
      <c r="Q3363">
        <f>IF(dataset[[#This Row],[state]]="VA",1,0)</f>
        <v>0</v>
      </c>
    </row>
    <row r="3364" spans="1:17" x14ac:dyDescent="0.35">
      <c r="A3364">
        <v>202303</v>
      </c>
      <c r="B3364">
        <v>47</v>
      </c>
      <c r="C3364" s="2">
        <v>2002899.7161000001</v>
      </c>
      <c r="D3364" s="2">
        <v>0.69720000000000004</v>
      </c>
      <c r="E3364" s="3">
        <v>204405</v>
      </c>
      <c r="F3364" s="2">
        <v>142507.9926</v>
      </c>
      <c r="G3364" t="s">
        <v>533</v>
      </c>
      <c r="H3364" t="s">
        <v>5</v>
      </c>
      <c r="I3364">
        <f>HLOOKUP(G3364,zip_tiers!$A$1:$EON$2,2,FALSE)</f>
        <v>48417.666666666664</v>
      </c>
      <c r="J3364" t="str">
        <f t="shared" si="52"/>
        <v>Med</v>
      </c>
      <c r="K3364">
        <f>dataset[[#This Row],[soda_sales]]/dataset[[#This Row],[soda_units_sold]]</f>
        <v>0.69718447493945845</v>
      </c>
      <c r="L3364" s="29">
        <f>dataset[[#This Row],[implied_soda_ppu]]-dataset[[#This Row],[soda_ppu]]</f>
        <v>-1.5525060541587976E-5</v>
      </c>
      <c r="M3364">
        <f>dataset[[#This Row],[soda_sales]]/dataset[[#This Row],[total_sales]]</f>
        <v>7.1150837685217835E-2</v>
      </c>
      <c r="N3364">
        <f>LN(dataset[[#This Row],[soda_units_sold]])</f>
        <v>12.227858598852031</v>
      </c>
      <c r="O3364">
        <f>LN(dataset[[#This Row],[soda_sales]])</f>
        <v>11.867153365538998</v>
      </c>
      <c r="P3364">
        <f>LN(dataset[[#This Row],[soda_ppu]])</f>
        <v>-0.36068296533627114</v>
      </c>
      <c r="Q3364">
        <f>IF(dataset[[#This Row],[state]]="VA",1,0)</f>
        <v>0</v>
      </c>
    </row>
    <row r="3365" spans="1:17" x14ac:dyDescent="0.35">
      <c r="A3365">
        <v>202304</v>
      </c>
      <c r="B3365">
        <v>47</v>
      </c>
      <c r="C3365" s="2">
        <v>2117298.2045</v>
      </c>
      <c r="D3365" s="2">
        <v>0.68710000000000004</v>
      </c>
      <c r="E3365" s="3">
        <v>241469</v>
      </c>
      <c r="F3365" s="2">
        <v>165908.42439999999</v>
      </c>
      <c r="G3365" t="s">
        <v>533</v>
      </c>
      <c r="H3365" t="s">
        <v>5</v>
      </c>
      <c r="I3365">
        <f>HLOOKUP(G3365,zip_tiers!$A$1:$EON$2,2,FALSE)</f>
        <v>48417.666666666664</v>
      </c>
      <c r="J3365" t="str">
        <f t="shared" si="52"/>
        <v>Med</v>
      </c>
      <c r="K3365">
        <f>dataset[[#This Row],[soda_sales]]/dataset[[#This Row],[soda_units_sold]]</f>
        <v>0.68707960193648043</v>
      </c>
      <c r="L3365" s="29">
        <f>dataset[[#This Row],[implied_soda_ppu]]-dataset[[#This Row],[soda_ppu]]</f>
        <v>-2.0398063519611043E-5</v>
      </c>
      <c r="M3365">
        <f>dataset[[#This Row],[soda_sales]]/dataset[[#This Row],[total_sales]]</f>
        <v>7.8358553390064048E-2</v>
      </c>
      <c r="N3365">
        <f>LN(dataset[[#This Row],[soda_units_sold]])</f>
        <v>12.394496379446117</v>
      </c>
      <c r="O3365">
        <f>LN(dataset[[#This Row],[soda_sales]])</f>
        <v>12.019191254877221</v>
      </c>
      <c r="P3365">
        <f>LN(dataset[[#This Row],[soda_ppu]])</f>
        <v>-0.37527543694510673</v>
      </c>
      <c r="Q3365">
        <f>IF(dataset[[#This Row],[state]]="VA",1,0)</f>
        <v>0</v>
      </c>
    </row>
    <row r="3366" spans="1:17" x14ac:dyDescent="0.35">
      <c r="A3366">
        <v>202305</v>
      </c>
      <c r="B3366">
        <v>47</v>
      </c>
      <c r="C3366" s="2">
        <v>2252212.997</v>
      </c>
      <c r="D3366" s="2">
        <v>0.6724</v>
      </c>
      <c r="E3366" s="3">
        <v>278239</v>
      </c>
      <c r="F3366" s="2">
        <v>187086.35380000001</v>
      </c>
      <c r="G3366" t="s">
        <v>533</v>
      </c>
      <c r="H3366" t="s">
        <v>5</v>
      </c>
      <c r="I3366">
        <f>HLOOKUP(G3366,zip_tiers!$A$1:$EON$2,2,FALSE)</f>
        <v>48417.666666666664</v>
      </c>
      <c r="J3366" t="str">
        <f t="shared" si="52"/>
        <v>Med</v>
      </c>
      <c r="K3366">
        <f>dataset[[#This Row],[soda_sales]]/dataset[[#This Row],[soda_units_sold]]</f>
        <v>0.67239442996848042</v>
      </c>
      <c r="L3366" s="29">
        <f>dataset[[#This Row],[implied_soda_ppu]]-dataset[[#This Row],[soda_ppu]]</f>
        <v>-5.570031519575025E-6</v>
      </c>
      <c r="M3366">
        <f>dataset[[#This Row],[soda_sales]]/dataset[[#This Row],[total_sales]]</f>
        <v>8.3067788903271308E-2</v>
      </c>
      <c r="N3366">
        <f>LN(dataset[[#This Row],[soda_units_sold]])</f>
        <v>12.5362357355621</v>
      </c>
      <c r="O3366">
        <f>LN(dataset[[#This Row],[soda_sales]])</f>
        <v>12.139325574273569</v>
      </c>
      <c r="P3366">
        <f>LN(dataset[[#This Row],[soda_ppu]])</f>
        <v>-0.39690187744767652</v>
      </c>
      <c r="Q3366">
        <f>IF(dataset[[#This Row],[state]]="VA",1,0)</f>
        <v>0</v>
      </c>
    </row>
    <row r="3367" spans="1:17" x14ac:dyDescent="0.35">
      <c r="A3367">
        <v>202306</v>
      </c>
      <c r="B3367">
        <v>47</v>
      </c>
      <c r="C3367" s="2">
        <v>2169446.5493000001</v>
      </c>
      <c r="D3367" s="2">
        <v>0.70989999999999998</v>
      </c>
      <c r="E3367" s="3">
        <v>269760</v>
      </c>
      <c r="F3367" s="2">
        <v>191498.1496</v>
      </c>
      <c r="G3367" t="s">
        <v>533</v>
      </c>
      <c r="H3367" t="s">
        <v>5</v>
      </c>
      <c r="I3367">
        <f>HLOOKUP(G3367,zip_tiers!$A$1:$EON$2,2,FALSE)</f>
        <v>48417.666666666664</v>
      </c>
      <c r="J3367" t="str">
        <f t="shared" si="52"/>
        <v>Med</v>
      </c>
      <c r="K3367">
        <f>dataset[[#This Row],[soda_sales]]/dataset[[#This Row],[soda_units_sold]]</f>
        <v>0.70988341340450778</v>
      </c>
      <c r="L3367" s="29">
        <f>dataset[[#This Row],[implied_soda_ppu]]-dataset[[#This Row],[soda_ppu]]</f>
        <v>-1.658659549219621E-5</v>
      </c>
      <c r="M3367">
        <f>dataset[[#This Row],[soda_sales]]/dataset[[#This Row],[total_sales]]</f>
        <v>8.8270508283225205E-2</v>
      </c>
      <c r="N3367">
        <f>LN(dataset[[#This Row],[soda_units_sold]])</f>
        <v>12.505287953795628</v>
      </c>
      <c r="O3367">
        <f>LN(dataset[[#This Row],[soda_sales]])</f>
        <v>12.162633424892968</v>
      </c>
      <c r="P3367">
        <f>LN(dataset[[#This Row],[soda_ppu]])</f>
        <v>-0.34263116393679688</v>
      </c>
      <c r="Q3367">
        <f>IF(dataset[[#This Row],[state]]="VA",1,0)</f>
        <v>0</v>
      </c>
    </row>
    <row r="3368" spans="1:17" x14ac:dyDescent="0.35">
      <c r="A3368">
        <v>202307</v>
      </c>
      <c r="B3368">
        <v>47</v>
      </c>
      <c r="C3368" s="2">
        <v>2061151.9678</v>
      </c>
      <c r="D3368" s="2">
        <v>0.67589999999999995</v>
      </c>
      <c r="E3368" s="3">
        <v>292735</v>
      </c>
      <c r="F3368" s="2">
        <v>197862.0006</v>
      </c>
      <c r="G3368" t="s">
        <v>533</v>
      </c>
      <c r="H3368" t="s">
        <v>5</v>
      </c>
      <c r="I3368">
        <f>HLOOKUP(G3368,zip_tiers!$A$1:$EON$2,2,FALSE)</f>
        <v>48417.666666666664</v>
      </c>
      <c r="J3368" t="str">
        <f t="shared" si="52"/>
        <v>Med</v>
      </c>
      <c r="K3368">
        <f>dataset[[#This Row],[soda_sales]]/dataset[[#This Row],[soda_units_sold]]</f>
        <v>0.67590824670777327</v>
      </c>
      <c r="L3368" s="29">
        <f>dataset[[#This Row],[implied_soda_ppu]]-dataset[[#This Row],[soda_ppu]]</f>
        <v>8.2467077733294758E-6</v>
      </c>
      <c r="M3368">
        <f>dataset[[#This Row],[soda_sales]]/dataset[[#This Row],[total_sales]]</f>
        <v>9.5995833248137846E-2</v>
      </c>
      <c r="N3368">
        <f>LN(dataset[[#This Row],[soda_units_sold]])</f>
        <v>12.58702304188934</v>
      </c>
      <c r="O3368">
        <f>LN(dataset[[#This Row],[soda_sales]])</f>
        <v>12.195325100015825</v>
      </c>
      <c r="P3368">
        <f>LN(dataset[[#This Row],[soda_ppu]])</f>
        <v>-0.39171014287582867</v>
      </c>
      <c r="Q3368">
        <f>IF(dataset[[#This Row],[state]]="VA",1,0)</f>
        <v>0</v>
      </c>
    </row>
    <row r="3369" spans="1:17" x14ac:dyDescent="0.35">
      <c r="A3369">
        <v>202308</v>
      </c>
      <c r="B3369">
        <v>47</v>
      </c>
      <c r="C3369" s="2">
        <v>1948092.3141000001</v>
      </c>
      <c r="D3369" s="2">
        <v>0.66120000000000001</v>
      </c>
      <c r="E3369" s="3">
        <v>268813</v>
      </c>
      <c r="F3369" s="2">
        <v>177751.30619999999</v>
      </c>
      <c r="G3369" t="s">
        <v>533</v>
      </c>
      <c r="H3369" t="s">
        <v>5</v>
      </c>
      <c r="I3369">
        <f>HLOOKUP(G3369,zip_tiers!$A$1:$EON$2,2,FALSE)</f>
        <v>48417.666666666664</v>
      </c>
      <c r="J3369" t="str">
        <f t="shared" si="52"/>
        <v>Med</v>
      </c>
      <c r="K3369">
        <f>dataset[[#This Row],[soda_sales]]/dataset[[#This Row],[soda_units_sold]]</f>
        <v>0.66124520093894268</v>
      </c>
      <c r="L3369" s="29">
        <f>dataset[[#This Row],[implied_soda_ppu]]-dataset[[#This Row],[soda_ppu]]</f>
        <v>4.5200938942668856E-5</v>
      </c>
      <c r="M3369">
        <f>dataset[[#This Row],[soda_sales]]/dataset[[#This Row],[total_sales]]</f>
        <v>9.124377983192207E-2</v>
      </c>
      <c r="N3369">
        <f>LN(dataset[[#This Row],[soda_units_sold]])</f>
        <v>12.501771249556914</v>
      </c>
      <c r="O3369">
        <f>LN(dataset[[#This Row],[soda_sales]])</f>
        <v>12.088140696161695</v>
      </c>
      <c r="P3369">
        <f>LN(dataset[[#This Row],[soda_ppu]])</f>
        <v>-0.4136989130352679</v>
      </c>
      <c r="Q3369">
        <f>IF(dataset[[#This Row],[state]]="VA",1,0)</f>
        <v>0</v>
      </c>
    </row>
    <row r="3370" spans="1:17" x14ac:dyDescent="0.35">
      <c r="A3370">
        <v>202309</v>
      </c>
      <c r="B3370">
        <v>47</v>
      </c>
      <c r="C3370" s="2">
        <v>1938282.3285000001</v>
      </c>
      <c r="D3370" s="2">
        <v>0.64710000000000001</v>
      </c>
      <c r="E3370" s="3">
        <v>260117</v>
      </c>
      <c r="F3370" s="2">
        <v>168313.54149999999</v>
      </c>
      <c r="G3370" t="s">
        <v>533</v>
      </c>
      <c r="H3370" t="s">
        <v>5</v>
      </c>
      <c r="I3370">
        <f>HLOOKUP(G3370,zip_tiers!$A$1:$EON$2,2,FALSE)</f>
        <v>48417.666666666664</v>
      </c>
      <c r="J3370" t="str">
        <f t="shared" si="52"/>
        <v>Med</v>
      </c>
      <c r="K3370">
        <f>dataset[[#This Row],[soda_sales]]/dataset[[#This Row],[soda_units_sold]]</f>
        <v>0.64706859413264028</v>
      </c>
      <c r="L3370" s="29">
        <f>dataset[[#This Row],[implied_soda_ppu]]-dataset[[#This Row],[soda_ppu]]</f>
        <v>-3.1405867359723949E-5</v>
      </c>
      <c r="M3370">
        <f>dataset[[#This Row],[soda_sales]]/dataset[[#This Row],[total_sales]]</f>
        <v>8.6836442258777985E-2</v>
      </c>
      <c r="N3370">
        <f>LN(dataset[[#This Row],[soda_units_sold]])</f>
        <v>12.468886808778029</v>
      </c>
      <c r="O3370">
        <f>LN(dataset[[#This Row],[soda_sales]])</f>
        <v>12.033583837429351</v>
      </c>
      <c r="P3370">
        <f>LN(dataset[[#This Row],[soda_ppu]])</f>
        <v>-0.43525443691891663</v>
      </c>
      <c r="Q3370">
        <f>IF(dataset[[#This Row],[state]]="VA",1,0)</f>
        <v>0</v>
      </c>
    </row>
    <row r="3371" spans="1:17" x14ac:dyDescent="0.35">
      <c r="A3371">
        <v>202310</v>
      </c>
      <c r="B3371">
        <v>47</v>
      </c>
      <c r="C3371" s="2">
        <v>2396429.5899</v>
      </c>
      <c r="D3371" s="2">
        <v>0.6895</v>
      </c>
      <c r="E3371" s="3">
        <v>230637</v>
      </c>
      <c r="F3371" s="2">
        <v>159032.1728</v>
      </c>
      <c r="G3371" t="s">
        <v>533</v>
      </c>
      <c r="H3371" t="s">
        <v>5</v>
      </c>
      <c r="I3371">
        <f>HLOOKUP(G3371,zip_tiers!$A$1:$EON$2,2,FALSE)</f>
        <v>48417.666666666664</v>
      </c>
      <c r="J3371" t="str">
        <f t="shared" si="52"/>
        <v>Med</v>
      </c>
      <c r="K3371">
        <f>dataset[[#This Row],[soda_sales]]/dataset[[#This Row],[soda_units_sold]]</f>
        <v>0.6895345187459081</v>
      </c>
      <c r="L3371" s="29">
        <f>dataset[[#This Row],[implied_soda_ppu]]-dataset[[#This Row],[soda_ppu]]</f>
        <v>3.4518745908096449E-5</v>
      </c>
      <c r="M3371">
        <f>dataset[[#This Row],[soda_sales]]/dataset[[#This Row],[total_sales]]</f>
        <v>6.6362130341845849E-2</v>
      </c>
      <c r="N3371">
        <f>LN(dataset[[#This Row],[soda_units_sold]])</f>
        <v>12.348600324943609</v>
      </c>
      <c r="O3371">
        <f>LN(dataset[[#This Row],[soda_sales]])</f>
        <v>11.976861805387538</v>
      </c>
      <c r="P3371">
        <f>LN(dataset[[#This Row],[soda_ppu]])</f>
        <v>-0.37178858174878054</v>
      </c>
      <c r="Q3371">
        <f>IF(dataset[[#This Row],[state]]="VA",1,0)</f>
        <v>0</v>
      </c>
    </row>
    <row r="3372" spans="1:17" x14ac:dyDescent="0.35">
      <c r="A3372">
        <v>202311</v>
      </c>
      <c r="B3372">
        <v>47</v>
      </c>
      <c r="C3372" s="2">
        <v>2698661.9846000001</v>
      </c>
      <c r="D3372" s="2">
        <v>0.70089999999999997</v>
      </c>
      <c r="E3372" s="3">
        <v>213914</v>
      </c>
      <c r="F3372" s="2">
        <v>149938.27590000001</v>
      </c>
      <c r="G3372" t="s">
        <v>533</v>
      </c>
      <c r="H3372" t="s">
        <v>5</v>
      </c>
      <c r="I3372">
        <f>HLOOKUP(G3372,zip_tiers!$A$1:$EON$2,2,FALSE)</f>
        <v>48417.666666666664</v>
      </c>
      <c r="J3372" t="str">
        <f t="shared" si="52"/>
        <v>Med</v>
      </c>
      <c r="K3372">
        <f>dataset[[#This Row],[soda_sales]]/dataset[[#This Row],[soda_units_sold]]</f>
        <v>0.70092783034303507</v>
      </c>
      <c r="L3372" s="29">
        <f>dataset[[#This Row],[implied_soda_ppu]]-dataset[[#This Row],[soda_ppu]]</f>
        <v>2.7830343035106786E-5</v>
      </c>
      <c r="M3372">
        <f>dataset[[#This Row],[soda_sales]]/dataset[[#This Row],[total_sales]]</f>
        <v>5.5560228274466203E-2</v>
      </c>
      <c r="N3372">
        <f>LN(dataset[[#This Row],[soda_units_sold]])</f>
        <v>12.273329344074059</v>
      </c>
      <c r="O3372">
        <f>LN(dataset[[#This Row],[soda_sales]])</f>
        <v>11.917978994391504</v>
      </c>
      <c r="P3372">
        <f>LN(dataset[[#This Row],[soda_ppu]])</f>
        <v>-0.355390055475858</v>
      </c>
      <c r="Q3372">
        <f>IF(dataset[[#This Row],[state]]="VA",1,0)</f>
        <v>0</v>
      </c>
    </row>
    <row r="3373" spans="1:17" x14ac:dyDescent="0.35">
      <c r="A3373">
        <v>202312</v>
      </c>
      <c r="B3373">
        <v>47</v>
      </c>
      <c r="C3373" s="2">
        <v>2843058.0496</v>
      </c>
      <c r="D3373" s="2">
        <v>0.69140000000000001</v>
      </c>
      <c r="E3373" s="3">
        <v>213024</v>
      </c>
      <c r="F3373" s="2">
        <v>147287.2665</v>
      </c>
      <c r="G3373" t="s">
        <v>533</v>
      </c>
      <c r="H3373" t="s">
        <v>5</v>
      </c>
      <c r="I3373">
        <f>HLOOKUP(G3373,zip_tiers!$A$1:$EON$2,2,FALSE)</f>
        <v>48417.666666666664</v>
      </c>
      <c r="J3373" t="str">
        <f t="shared" si="52"/>
        <v>Med</v>
      </c>
      <c r="K3373">
        <f>dataset[[#This Row],[soda_sales]]/dataset[[#This Row],[soda_units_sold]]</f>
        <v>0.69141160855114914</v>
      </c>
      <c r="L3373" s="29">
        <f>dataset[[#This Row],[implied_soda_ppu]]-dataset[[#This Row],[soda_ppu]]</f>
        <v>1.1608551149122626E-5</v>
      </c>
      <c r="M3373">
        <f>dataset[[#This Row],[soda_sales]]/dataset[[#This Row],[total_sales]]</f>
        <v>5.1805930069110745E-2</v>
      </c>
      <c r="N3373">
        <f>LN(dataset[[#This Row],[soda_units_sold]])</f>
        <v>12.26916011440043</v>
      </c>
      <c r="O3373">
        <f>LN(dataset[[#This Row],[soda_sales]])</f>
        <v>11.900140152685536</v>
      </c>
      <c r="P3373">
        <f>LN(dataset[[#This Row],[soda_ppu]])</f>
        <v>-0.36903675149461285</v>
      </c>
      <c r="Q3373">
        <f>IF(dataset[[#This Row],[state]]="VA",1,0)</f>
        <v>0</v>
      </c>
    </row>
    <row r="3374" spans="1:17" x14ac:dyDescent="0.35">
      <c r="A3374">
        <v>202401</v>
      </c>
      <c r="B3374">
        <v>47</v>
      </c>
      <c r="C3374" s="2">
        <v>1667607.0459</v>
      </c>
      <c r="D3374" s="2">
        <v>0.69740000000000002</v>
      </c>
      <c r="E3374" s="3">
        <v>159590</v>
      </c>
      <c r="F3374" s="2">
        <v>111295.8882</v>
      </c>
      <c r="G3374" t="s">
        <v>533</v>
      </c>
      <c r="H3374" t="s">
        <v>5</v>
      </c>
      <c r="I3374">
        <f>HLOOKUP(G3374,zip_tiers!$A$1:$EON$2,2,FALSE)</f>
        <v>48417.666666666664</v>
      </c>
      <c r="J3374" t="str">
        <f t="shared" si="52"/>
        <v>Med</v>
      </c>
      <c r="K3374">
        <f>dataset[[#This Row],[soda_sales]]/dataset[[#This Row],[soda_units_sold]]</f>
        <v>0.69738635378156522</v>
      </c>
      <c r="L3374" s="29">
        <f>dataset[[#This Row],[implied_soda_ppu]]-dataset[[#This Row],[soda_ppu]]</f>
        <v>-1.3646218434804069E-5</v>
      </c>
      <c r="M3374">
        <f>dataset[[#This Row],[soda_sales]]/dataset[[#This Row],[total_sales]]</f>
        <v>6.6739876443694265E-2</v>
      </c>
      <c r="N3374">
        <f>LN(dataset[[#This Row],[soda_units_sold]])</f>
        <v>11.980363305393231</v>
      </c>
      <c r="O3374">
        <f>LN(dataset[[#This Row],[soda_sales]])</f>
        <v>11.619947593184985</v>
      </c>
      <c r="P3374">
        <f>LN(dataset[[#This Row],[soda_ppu]])</f>
        <v>-0.36039614474058623</v>
      </c>
      <c r="Q3374">
        <f>IF(dataset[[#This Row],[state]]="VA",1,0)</f>
        <v>0</v>
      </c>
    </row>
    <row r="3375" spans="1:17" x14ac:dyDescent="0.35">
      <c r="A3375">
        <v>202402</v>
      </c>
      <c r="B3375">
        <v>47</v>
      </c>
      <c r="C3375" s="2">
        <v>1864499.3981000001</v>
      </c>
      <c r="D3375" s="2">
        <v>0.69679999999999997</v>
      </c>
      <c r="E3375" s="3">
        <v>178981</v>
      </c>
      <c r="F3375" s="2">
        <v>124714.2586</v>
      </c>
      <c r="G3375" t="s">
        <v>533</v>
      </c>
      <c r="H3375" t="s">
        <v>5</v>
      </c>
      <c r="I3375">
        <f>HLOOKUP(G3375,zip_tiers!$A$1:$EON$2,2,FALSE)</f>
        <v>48417.666666666664</v>
      </c>
      <c r="J3375" t="str">
        <f t="shared" si="52"/>
        <v>Med</v>
      </c>
      <c r="K3375">
        <f>dataset[[#This Row],[soda_sales]]/dataset[[#This Row],[soda_units_sold]]</f>
        <v>0.69680166386376208</v>
      </c>
      <c r="L3375" s="29">
        <f>dataset[[#This Row],[implied_soda_ppu]]-dataset[[#This Row],[soda_ppu]]</f>
        <v>1.6638637621024799E-6</v>
      </c>
      <c r="M3375">
        <f>dataset[[#This Row],[soda_sales]]/dataset[[#This Row],[total_sales]]</f>
        <v>6.6888870399791411E-2</v>
      </c>
      <c r="N3375">
        <f>LN(dataset[[#This Row],[soda_units_sold]])</f>
        <v>12.09503493393769</v>
      </c>
      <c r="O3375">
        <f>LN(dataset[[#This Row],[soda_sales]])</f>
        <v>11.733780468355176</v>
      </c>
      <c r="P3375">
        <f>LN(dataset[[#This Row],[soda_ppu]])</f>
        <v>-0.36125685344384406</v>
      </c>
      <c r="Q3375">
        <f>IF(dataset[[#This Row],[state]]="VA",1,0)</f>
        <v>0</v>
      </c>
    </row>
    <row r="3376" spans="1:17" x14ac:dyDescent="0.35">
      <c r="A3376">
        <v>202403</v>
      </c>
      <c r="B3376">
        <v>47</v>
      </c>
      <c r="C3376" s="2">
        <v>2095137.5911999999</v>
      </c>
      <c r="D3376" s="2">
        <v>0.69669999999999999</v>
      </c>
      <c r="E3376" s="3">
        <v>214241</v>
      </c>
      <c r="F3376" s="2">
        <v>149260.51209999999</v>
      </c>
      <c r="G3376" t="s">
        <v>533</v>
      </c>
      <c r="H3376" t="s">
        <v>5</v>
      </c>
      <c r="I3376">
        <f>HLOOKUP(G3376,zip_tiers!$A$1:$EON$2,2,FALSE)</f>
        <v>48417.666666666664</v>
      </c>
      <c r="J3376" t="str">
        <f t="shared" si="52"/>
        <v>Med</v>
      </c>
      <c r="K3376">
        <f>dataset[[#This Row],[soda_sales]]/dataset[[#This Row],[soda_units_sold]]</f>
        <v>0.69669443337176351</v>
      </c>
      <c r="L3376" s="29">
        <f>dataset[[#This Row],[implied_soda_ppu]]-dataset[[#This Row],[soda_ppu]]</f>
        <v>-5.5666282364752462E-6</v>
      </c>
      <c r="M3376">
        <f>dataset[[#This Row],[soda_sales]]/dataset[[#This Row],[total_sales]]</f>
        <v>7.1241388979379788E-2</v>
      </c>
      <c r="N3376">
        <f>LN(dataset[[#This Row],[soda_units_sold]])</f>
        <v>12.27485682857654</v>
      </c>
      <c r="O3376">
        <f>LN(dataset[[#This Row],[soda_sales]])</f>
        <v>11.913448461605395</v>
      </c>
      <c r="P3376">
        <f>LN(dataset[[#This Row],[soda_ppu]])</f>
        <v>-0.36140037694606386</v>
      </c>
      <c r="Q3376">
        <f>IF(dataset[[#This Row],[state]]="VA",1,0)</f>
        <v>0</v>
      </c>
    </row>
    <row r="3377" spans="1:17" x14ac:dyDescent="0.35">
      <c r="A3377">
        <v>202404</v>
      </c>
      <c r="B3377">
        <v>47</v>
      </c>
      <c r="C3377" s="2">
        <v>2185470.9207000001</v>
      </c>
      <c r="D3377" s="2">
        <v>0.72560000000000002</v>
      </c>
      <c r="E3377" s="3">
        <v>237255</v>
      </c>
      <c r="F3377" s="2">
        <v>172141.2855</v>
      </c>
      <c r="G3377" t="s">
        <v>533</v>
      </c>
      <c r="H3377" t="s">
        <v>5</v>
      </c>
      <c r="I3377">
        <f>HLOOKUP(G3377,zip_tiers!$A$1:$EON$2,2,FALSE)</f>
        <v>48417.666666666664</v>
      </c>
      <c r="J3377" t="str">
        <f t="shared" si="52"/>
        <v>Med</v>
      </c>
      <c r="K3377">
        <f>dataset[[#This Row],[soda_sales]]/dataset[[#This Row],[soda_units_sold]]</f>
        <v>0.72555387873806665</v>
      </c>
      <c r="L3377" s="29">
        <f>dataset[[#This Row],[implied_soda_ppu]]-dataset[[#This Row],[soda_ppu]]</f>
        <v>-4.6121261933373958E-5</v>
      </c>
      <c r="M3377">
        <f>dataset[[#This Row],[soda_sales]]/dataset[[#This Row],[total_sales]]</f>
        <v>7.8766220986762725E-2</v>
      </c>
      <c r="N3377">
        <f>LN(dataset[[#This Row],[soda_units_sold]])</f>
        <v>12.3768907910657</v>
      </c>
      <c r="O3377">
        <f>LN(dataset[[#This Row],[soda_sales]])</f>
        <v>12.056070845934382</v>
      </c>
      <c r="P3377">
        <f>LN(dataset[[#This Row],[soda_ppu]])</f>
        <v>-0.32075638018121017</v>
      </c>
      <c r="Q3377">
        <f>IF(dataset[[#This Row],[state]]="VA",1,0)</f>
        <v>0</v>
      </c>
    </row>
    <row r="3378" spans="1:17" x14ac:dyDescent="0.35">
      <c r="A3378">
        <v>202405</v>
      </c>
      <c r="B3378">
        <v>47</v>
      </c>
      <c r="C3378" s="2">
        <v>2289228.0545999999</v>
      </c>
      <c r="D3378" s="2">
        <v>0.69220000000000004</v>
      </c>
      <c r="E3378" s="3">
        <v>270443</v>
      </c>
      <c r="F3378" s="2">
        <v>187196.2697</v>
      </c>
      <c r="G3378" t="s">
        <v>533</v>
      </c>
      <c r="H3378" t="s">
        <v>5</v>
      </c>
      <c r="I3378">
        <f>HLOOKUP(G3378,zip_tiers!$A$1:$EON$2,2,FALSE)</f>
        <v>48417.666666666664</v>
      </c>
      <c r="J3378" t="str">
        <f t="shared" si="52"/>
        <v>Med</v>
      </c>
      <c r="K3378">
        <f>dataset[[#This Row],[soda_sales]]/dataset[[#This Row],[soda_units_sold]]</f>
        <v>0.6921838232085874</v>
      </c>
      <c r="L3378" s="29">
        <f>dataset[[#This Row],[implied_soda_ppu]]-dataset[[#This Row],[soda_ppu]]</f>
        <v>-1.6176791412636504E-5</v>
      </c>
      <c r="M3378">
        <f>dataset[[#This Row],[soda_sales]]/dataset[[#This Row],[total_sales]]</f>
        <v>8.177266101725679E-2</v>
      </c>
      <c r="N3378">
        <f>LN(dataset[[#This Row],[soda_units_sold]])</f>
        <v>12.507816634176661</v>
      </c>
      <c r="O3378">
        <f>LN(dataset[[#This Row],[soda_sales]])</f>
        <v>12.139912916010848</v>
      </c>
      <c r="P3378">
        <f>LN(dataset[[#This Row],[soda_ppu]])</f>
        <v>-0.36788034778089312</v>
      </c>
      <c r="Q3378">
        <f>IF(dataset[[#This Row],[state]]="VA",1,0)</f>
        <v>0</v>
      </c>
    </row>
    <row r="3379" spans="1:17" x14ac:dyDescent="0.35">
      <c r="A3379">
        <v>202406</v>
      </c>
      <c r="B3379">
        <v>47</v>
      </c>
      <c r="C3379" s="2">
        <v>2185890.7066000002</v>
      </c>
      <c r="D3379" s="2">
        <v>0.71630000000000005</v>
      </c>
      <c r="E3379" s="3">
        <v>272441</v>
      </c>
      <c r="F3379" s="2">
        <v>195158.72940000001</v>
      </c>
      <c r="G3379" t="s">
        <v>533</v>
      </c>
      <c r="H3379" t="s">
        <v>5</v>
      </c>
      <c r="I3379">
        <f>HLOOKUP(G3379,zip_tiers!$A$1:$EON$2,2,FALSE)</f>
        <v>48417.666666666664</v>
      </c>
      <c r="J3379" t="str">
        <f t="shared" si="52"/>
        <v>Med</v>
      </c>
      <c r="K3379">
        <f>dataset[[#This Row],[soda_sales]]/dataset[[#This Row],[soda_units_sold]]</f>
        <v>0.71633391963764637</v>
      </c>
      <c r="L3379" s="29">
        <f>dataset[[#This Row],[implied_soda_ppu]]-dataset[[#This Row],[soda_ppu]]</f>
        <v>3.3919637646318002E-5</v>
      </c>
      <c r="M3379">
        <f>dataset[[#This Row],[soda_sales]]/dataset[[#This Row],[total_sales]]</f>
        <v>8.9281101205446703E-2</v>
      </c>
      <c r="N3379">
        <f>LN(dataset[[#This Row],[soda_units_sold]])</f>
        <v>12.51517735588148</v>
      </c>
      <c r="O3379">
        <f>LN(dataset[[#This Row],[soda_sales]])</f>
        <v>12.181568503353137</v>
      </c>
      <c r="P3379">
        <f>LN(dataset[[#This Row],[soda_ppu]])</f>
        <v>-0.33365620536173146</v>
      </c>
      <c r="Q3379">
        <f>IF(dataset[[#This Row],[state]]="VA",1,0)</f>
        <v>0</v>
      </c>
    </row>
    <row r="3380" spans="1:17" x14ac:dyDescent="0.35">
      <c r="A3380">
        <v>202407</v>
      </c>
      <c r="B3380">
        <v>47</v>
      </c>
      <c r="C3380" s="2">
        <v>2110923.3067000001</v>
      </c>
      <c r="D3380" s="2">
        <v>0.71419999999999995</v>
      </c>
      <c r="E3380" s="3">
        <v>282102</v>
      </c>
      <c r="F3380" s="2">
        <v>201488.64799999999</v>
      </c>
      <c r="G3380" t="s">
        <v>533</v>
      </c>
      <c r="H3380" t="s">
        <v>5</v>
      </c>
      <c r="I3380">
        <f>HLOOKUP(G3380,zip_tiers!$A$1:$EON$2,2,FALSE)</f>
        <v>48417.666666666664</v>
      </c>
      <c r="J3380" t="str">
        <f t="shared" si="52"/>
        <v>Med</v>
      </c>
      <c r="K3380">
        <f>dataset[[#This Row],[soda_sales]]/dataset[[#This Row],[soda_units_sold]]</f>
        <v>0.71424040949727396</v>
      </c>
      <c r="L3380" s="29">
        <f>dataset[[#This Row],[implied_soda_ppu]]-dataset[[#This Row],[soda_ppu]]</f>
        <v>4.0409497274018769E-5</v>
      </c>
      <c r="M3380">
        <f>dataset[[#This Row],[soda_sales]]/dataset[[#This Row],[total_sales]]</f>
        <v>9.5450482431304703E-2</v>
      </c>
      <c r="N3380">
        <f>LN(dataset[[#This Row],[soda_units_sold]])</f>
        <v>12.550023986649466</v>
      </c>
      <c r="O3380">
        <f>LN(dataset[[#This Row],[soda_sales]])</f>
        <v>12.213488321312877</v>
      </c>
      <c r="P3380">
        <f>LN(dataset[[#This Row],[soda_ppu]])</f>
        <v>-0.33659224382178904</v>
      </c>
      <c r="Q3380">
        <f>IF(dataset[[#This Row],[state]]="VA",1,0)</f>
        <v>0</v>
      </c>
    </row>
    <row r="3381" spans="1:17" x14ac:dyDescent="0.35">
      <c r="A3381">
        <v>202408</v>
      </c>
      <c r="B3381">
        <v>47</v>
      </c>
      <c r="C3381" s="2">
        <v>1953095.1333999999</v>
      </c>
      <c r="D3381" s="2">
        <v>0.70240000000000002</v>
      </c>
      <c r="E3381" s="3">
        <v>251490</v>
      </c>
      <c r="F3381" s="2">
        <v>176643.9278</v>
      </c>
      <c r="G3381" t="s">
        <v>533</v>
      </c>
      <c r="H3381" t="s">
        <v>5</v>
      </c>
      <c r="I3381">
        <f>HLOOKUP(G3381,zip_tiers!$A$1:$EON$2,2,FALSE)</f>
        <v>48417.666666666664</v>
      </c>
      <c r="J3381" t="str">
        <f t="shared" si="52"/>
        <v>Med</v>
      </c>
      <c r="K3381">
        <f>dataset[[#This Row],[soda_sales]]/dataset[[#This Row],[soda_units_sold]]</f>
        <v>0.70238946995904417</v>
      </c>
      <c r="L3381" s="29">
        <f>dataset[[#This Row],[implied_soda_ppu]]-dataset[[#This Row],[soda_ppu]]</f>
        <v>-1.0530040955858411E-5</v>
      </c>
      <c r="M3381">
        <f>dataset[[#This Row],[soda_sales]]/dataset[[#This Row],[total_sales]]</f>
        <v>9.0443074061883288E-2</v>
      </c>
      <c r="N3381">
        <f>LN(dataset[[#This Row],[soda_units_sold]])</f>
        <v>12.435158506300013</v>
      </c>
      <c r="O3381">
        <f>LN(dataset[[#This Row],[soda_sales]])</f>
        <v>12.081891278010241</v>
      </c>
      <c r="P3381">
        <f>LN(dataset[[#This Row],[soda_ppu]])</f>
        <v>-0.35325223666123012</v>
      </c>
      <c r="Q3381">
        <f>IF(dataset[[#This Row],[state]]="VA",1,0)</f>
        <v>0</v>
      </c>
    </row>
    <row r="3382" spans="1:17" x14ac:dyDescent="0.35">
      <c r="A3382">
        <v>202409</v>
      </c>
      <c r="B3382">
        <v>47</v>
      </c>
      <c r="C3382" s="2">
        <v>1963450.0515000001</v>
      </c>
      <c r="D3382" s="2">
        <v>0.72519999999999996</v>
      </c>
      <c r="E3382" s="3">
        <v>233778</v>
      </c>
      <c r="F3382" s="2">
        <v>169530.5379</v>
      </c>
      <c r="G3382" t="s">
        <v>533</v>
      </c>
      <c r="H3382" t="s">
        <v>5</v>
      </c>
      <c r="I3382">
        <f>HLOOKUP(G3382,zip_tiers!$A$1:$EON$2,2,FALSE)</f>
        <v>48417.666666666664</v>
      </c>
      <c r="J3382" t="str">
        <f t="shared" si="52"/>
        <v>Med</v>
      </c>
      <c r="K3382">
        <f>dataset[[#This Row],[soda_sales]]/dataset[[#This Row],[soda_units_sold]]</f>
        <v>0.72517746708415676</v>
      </c>
      <c r="L3382" s="29">
        <f>dataset[[#This Row],[implied_soda_ppu]]-dataset[[#This Row],[soda_ppu]]</f>
        <v>-2.2532915843198609E-5</v>
      </c>
      <c r="M3382">
        <f>dataset[[#This Row],[soda_sales]]/dataset[[#This Row],[total_sales]]</f>
        <v>8.6343188496435241E-2</v>
      </c>
      <c r="N3382">
        <f>LN(dataset[[#This Row],[soda_units_sold]])</f>
        <v>12.362127226073408</v>
      </c>
      <c r="O3382">
        <f>LN(dataset[[#This Row],[soda_sales]])</f>
        <v>12.040788354176719</v>
      </c>
      <c r="P3382">
        <f>LN(dataset[[#This Row],[soda_ppu]])</f>
        <v>-0.32130780010144111</v>
      </c>
      <c r="Q3382">
        <f>IF(dataset[[#This Row],[state]]="VA",1,0)</f>
        <v>0</v>
      </c>
    </row>
    <row r="3383" spans="1:17" x14ac:dyDescent="0.35">
      <c r="A3383">
        <v>202410</v>
      </c>
      <c r="B3383">
        <v>47</v>
      </c>
      <c r="C3383" s="2">
        <v>2391857.3161999998</v>
      </c>
      <c r="D3383" s="2">
        <v>0.71020000000000005</v>
      </c>
      <c r="E3383" s="3">
        <v>227935</v>
      </c>
      <c r="F3383" s="2">
        <v>161888.12340000001</v>
      </c>
      <c r="G3383" t="s">
        <v>533</v>
      </c>
      <c r="H3383" t="s">
        <v>5</v>
      </c>
      <c r="I3383">
        <f>HLOOKUP(G3383,zip_tiers!$A$1:$EON$2,2,FALSE)</f>
        <v>48417.666666666664</v>
      </c>
      <c r="J3383" t="str">
        <f t="shared" si="52"/>
        <v>Med</v>
      </c>
      <c r="K3383">
        <f>dataset[[#This Row],[soda_sales]]/dataset[[#This Row],[soda_units_sold]]</f>
        <v>0.71023810911005336</v>
      </c>
      <c r="L3383" s="29">
        <f>dataset[[#This Row],[implied_soda_ppu]]-dataset[[#This Row],[soda_ppu]]</f>
        <v>3.8109110053308193E-5</v>
      </c>
      <c r="M3383">
        <f>dataset[[#This Row],[soda_sales]]/dataset[[#This Row],[total_sales]]</f>
        <v>6.7683018674874598E-2</v>
      </c>
      <c r="N3383">
        <f>LN(dataset[[#This Row],[soda_units_sold]])</f>
        <v>12.336815779572051</v>
      </c>
      <c r="O3383">
        <f>LN(dataset[[#This Row],[soda_sales]])</f>
        <v>11.994660779346759</v>
      </c>
      <c r="P3383">
        <f>LN(dataset[[#This Row],[soda_ppu]])</f>
        <v>-0.34220865847314946</v>
      </c>
      <c r="Q3383">
        <f>IF(dataset[[#This Row],[state]]="VA",1,0)</f>
        <v>0</v>
      </c>
    </row>
    <row r="3384" spans="1:17" x14ac:dyDescent="0.35">
      <c r="A3384">
        <v>202411</v>
      </c>
      <c r="B3384">
        <v>47</v>
      </c>
      <c r="C3384" s="2">
        <v>2784813.3084</v>
      </c>
      <c r="D3384" s="2">
        <v>0.71319999999999995</v>
      </c>
      <c r="E3384" s="3">
        <v>218784</v>
      </c>
      <c r="F3384" s="2">
        <v>156039.50870000001</v>
      </c>
      <c r="G3384" t="s">
        <v>533</v>
      </c>
      <c r="H3384" t="s">
        <v>5</v>
      </c>
      <c r="I3384">
        <f>HLOOKUP(G3384,zip_tiers!$A$1:$EON$2,2,FALSE)</f>
        <v>48417.666666666664</v>
      </c>
      <c r="J3384" t="str">
        <f t="shared" si="52"/>
        <v>Med</v>
      </c>
      <c r="K3384">
        <f>dataset[[#This Row],[soda_sales]]/dataset[[#This Row],[soda_units_sold]]</f>
        <v>0.71321261472502562</v>
      </c>
      <c r="L3384" s="29">
        <f>dataset[[#This Row],[implied_soda_ppu]]-dataset[[#This Row],[soda_ppu]]</f>
        <v>1.2614725025672513E-5</v>
      </c>
      <c r="M3384">
        <f>dataset[[#This Row],[soda_sales]]/dataset[[#This Row],[total_sales]]</f>
        <v>5.6032305012809529E-2</v>
      </c>
      <c r="N3384">
        <f>LN(dataset[[#This Row],[soda_units_sold]])</f>
        <v>12.29584022071352</v>
      </c>
      <c r="O3384">
        <f>LN(dataset[[#This Row],[soda_sales]])</f>
        <v>11.957864515063983</v>
      </c>
      <c r="P3384">
        <f>LN(dataset[[#This Row],[soda_ppu]])</f>
        <v>-0.33799339299315179</v>
      </c>
      <c r="Q3384">
        <f>IF(dataset[[#This Row],[state]]="VA",1,0)</f>
        <v>0</v>
      </c>
    </row>
    <row r="3385" spans="1:17" x14ac:dyDescent="0.35">
      <c r="A3385">
        <v>202412</v>
      </c>
      <c r="B3385">
        <v>47</v>
      </c>
      <c r="C3385" s="2">
        <v>2887703.1140000001</v>
      </c>
      <c r="D3385" s="2">
        <v>0.73850000000000005</v>
      </c>
      <c r="E3385" s="3">
        <v>200023</v>
      </c>
      <c r="F3385" s="2">
        <v>147725.6617</v>
      </c>
      <c r="G3385" t="s">
        <v>533</v>
      </c>
      <c r="H3385" t="s">
        <v>5</v>
      </c>
      <c r="I3385">
        <f>HLOOKUP(G3385,zip_tiers!$A$1:$EON$2,2,FALSE)</f>
        <v>48417.666666666664</v>
      </c>
      <c r="J3385" t="str">
        <f t="shared" si="52"/>
        <v>Med</v>
      </c>
      <c r="K3385">
        <f>dataset[[#This Row],[soda_sales]]/dataset[[#This Row],[soda_units_sold]]</f>
        <v>0.73854337601175868</v>
      </c>
      <c r="L3385" s="29">
        <f>dataset[[#This Row],[implied_soda_ppu]]-dataset[[#This Row],[soda_ppu]]</f>
        <v>4.3376011758633481E-5</v>
      </c>
      <c r="M3385">
        <f>dataset[[#This Row],[soda_sales]]/dataset[[#This Row],[total_sales]]</f>
        <v>5.1156803822319803E-2</v>
      </c>
      <c r="N3385">
        <f>LN(dataset[[#This Row],[soda_units_sold]])</f>
        <v>12.20618763891818</v>
      </c>
      <c r="O3385">
        <f>LN(dataset[[#This Row],[soda_sales]])</f>
        <v>11.903112195472755</v>
      </c>
      <c r="P3385">
        <f>LN(dataset[[#This Row],[soda_ppu]])</f>
        <v>-0.3031341770107025</v>
      </c>
      <c r="Q3385">
        <f>IF(dataset[[#This Row],[state]]="VA",1,0)</f>
        <v>0</v>
      </c>
    </row>
    <row r="3386" spans="1:17" x14ac:dyDescent="0.35">
      <c r="A3386">
        <v>202201</v>
      </c>
      <c r="B3386">
        <v>96</v>
      </c>
      <c r="C3386" s="2">
        <v>1804189.0437</v>
      </c>
      <c r="D3386" s="2">
        <v>0.68269999999999997</v>
      </c>
      <c r="E3386" s="3">
        <v>155600</v>
      </c>
      <c r="F3386" s="2">
        <v>106225.8803</v>
      </c>
      <c r="G3386" t="s">
        <v>654</v>
      </c>
      <c r="H3386" t="s">
        <v>5</v>
      </c>
      <c r="I3386">
        <f>HLOOKUP(G3386,zip_tiers!$A$1:$EON$2,2,FALSE)</f>
        <v>66036.333333333328</v>
      </c>
      <c r="J3386" t="str">
        <f t="shared" si="52"/>
        <v>Med</v>
      </c>
      <c r="K3386">
        <f>dataset[[#This Row],[soda_sales]]/dataset[[#This Row],[soda_units_sold]]</f>
        <v>0.68268560604113115</v>
      </c>
      <c r="L3386" s="29">
        <f>dataset[[#This Row],[implied_soda_ppu]]-dataset[[#This Row],[soda_ppu]]</f>
        <v>-1.4393958868819112E-5</v>
      </c>
      <c r="M3386">
        <f>dataset[[#This Row],[soda_sales]]/dataset[[#This Row],[total_sales]]</f>
        <v>5.8877355824173382E-2</v>
      </c>
      <c r="N3386">
        <f>LN(dataset[[#This Row],[soda_units_sold]])</f>
        <v>11.955043890726428</v>
      </c>
      <c r="O3386">
        <f>LN(dataset[[#This Row],[soda_sales]])</f>
        <v>11.573323052075057</v>
      </c>
      <c r="P3386">
        <f>LN(dataset[[#This Row],[soda_ppu]])</f>
        <v>-0.38169975455790245</v>
      </c>
      <c r="Q3386">
        <f>IF(dataset[[#This Row],[state]]="VA",1,0)</f>
        <v>0</v>
      </c>
    </row>
    <row r="3387" spans="1:17" x14ac:dyDescent="0.35">
      <c r="A3387">
        <v>202202</v>
      </c>
      <c r="B3387">
        <v>96</v>
      </c>
      <c r="C3387" s="2">
        <v>2048358.0803</v>
      </c>
      <c r="D3387" s="2">
        <v>0.70499999999999996</v>
      </c>
      <c r="E3387" s="3">
        <v>173431</v>
      </c>
      <c r="F3387" s="2">
        <v>122266.1195</v>
      </c>
      <c r="G3387" t="s">
        <v>654</v>
      </c>
      <c r="H3387" t="s">
        <v>5</v>
      </c>
      <c r="I3387">
        <f>HLOOKUP(G3387,zip_tiers!$A$1:$EON$2,2,FALSE)</f>
        <v>66036.333333333328</v>
      </c>
      <c r="J3387" t="str">
        <f t="shared" si="52"/>
        <v>Med</v>
      </c>
      <c r="K3387">
        <f>dataset[[#This Row],[soda_sales]]/dataset[[#This Row],[soda_units_sold]]</f>
        <v>0.70498422715662135</v>
      </c>
      <c r="L3387" s="29">
        <f>dataset[[#This Row],[implied_soda_ppu]]-dataset[[#This Row],[soda_ppu]]</f>
        <v>-1.5772843378614176E-5</v>
      </c>
      <c r="M3387">
        <f>dataset[[#This Row],[soda_sales]]/dataset[[#This Row],[total_sales]]</f>
        <v>5.9689817261878865E-2</v>
      </c>
      <c r="N3387">
        <f>LN(dataset[[#This Row],[soda_units_sold]])</f>
        <v>12.063535104743115</v>
      </c>
      <c r="O3387">
        <f>LN(dataset[[#This Row],[soda_sales]])</f>
        <v>11.713955255495483</v>
      </c>
      <c r="P3387">
        <f>LN(dataset[[#This Row],[soda_ppu]])</f>
        <v>-0.34955747616986843</v>
      </c>
      <c r="Q3387">
        <f>IF(dataset[[#This Row],[state]]="VA",1,0)</f>
        <v>0</v>
      </c>
    </row>
    <row r="3388" spans="1:17" x14ac:dyDescent="0.35">
      <c r="A3388">
        <v>202203</v>
      </c>
      <c r="B3388">
        <v>96</v>
      </c>
      <c r="C3388" s="2">
        <v>2289521.8769999999</v>
      </c>
      <c r="D3388" s="2">
        <v>0.68210000000000004</v>
      </c>
      <c r="E3388" s="3">
        <v>211551</v>
      </c>
      <c r="F3388" s="2">
        <v>144304.44200000001</v>
      </c>
      <c r="G3388" t="s">
        <v>654</v>
      </c>
      <c r="H3388" t="s">
        <v>5</v>
      </c>
      <c r="I3388">
        <f>HLOOKUP(G3388,zip_tiers!$A$1:$EON$2,2,FALSE)</f>
        <v>66036.333333333328</v>
      </c>
      <c r="J3388" t="str">
        <f t="shared" si="52"/>
        <v>Med</v>
      </c>
      <c r="K3388">
        <f>dataset[[#This Row],[soda_sales]]/dataset[[#This Row],[soda_units_sold]]</f>
        <v>0.6821260216212639</v>
      </c>
      <c r="L3388" s="29">
        <f>dataset[[#This Row],[implied_soda_ppu]]-dataset[[#This Row],[soda_ppu]]</f>
        <v>2.6021621263860872E-5</v>
      </c>
      <c r="M3388">
        <f>dataset[[#This Row],[soda_sales]]/dataset[[#This Row],[total_sales]]</f>
        <v>6.3028199664588752E-2</v>
      </c>
      <c r="N3388">
        <f>LN(dataset[[#This Row],[soda_units_sold]])</f>
        <v>12.262221383151932</v>
      </c>
      <c r="O3388">
        <f>LN(dataset[[#This Row],[soda_sales]])</f>
        <v>11.879680527378955</v>
      </c>
      <c r="P3388">
        <f>LN(dataset[[#This Row],[soda_ppu]])</f>
        <v>-0.38257900432146336</v>
      </c>
      <c r="Q3388">
        <f>IF(dataset[[#This Row],[state]]="VA",1,0)</f>
        <v>0</v>
      </c>
    </row>
    <row r="3389" spans="1:17" x14ac:dyDescent="0.35">
      <c r="A3389">
        <v>202204</v>
      </c>
      <c r="B3389">
        <v>96</v>
      </c>
      <c r="C3389" s="2">
        <v>2415373.2708000001</v>
      </c>
      <c r="D3389" s="2">
        <v>0.65980000000000005</v>
      </c>
      <c r="E3389" s="3">
        <v>252136</v>
      </c>
      <c r="F3389" s="2">
        <v>166356.57670000001</v>
      </c>
      <c r="G3389" t="s">
        <v>654</v>
      </c>
      <c r="H3389" t="s">
        <v>5</v>
      </c>
      <c r="I3389">
        <f>HLOOKUP(G3389,zip_tiers!$A$1:$EON$2,2,FALSE)</f>
        <v>66036.333333333328</v>
      </c>
      <c r="J3389" t="str">
        <f t="shared" si="52"/>
        <v>Med</v>
      </c>
      <c r="K3389">
        <f>dataset[[#This Row],[soda_sales]]/dataset[[#This Row],[soda_units_sold]]</f>
        <v>0.65978906899451095</v>
      </c>
      <c r="L3389" s="29">
        <f>dataset[[#This Row],[implied_soda_ppu]]-dataset[[#This Row],[soda_ppu]]</f>
        <v>-1.0931005489100976E-5</v>
      </c>
      <c r="M3389">
        <f>dataset[[#This Row],[soda_sales]]/dataset[[#This Row],[total_sales]]</f>
        <v>6.8874065433745871E-2</v>
      </c>
      <c r="N3389">
        <f>LN(dataset[[#This Row],[soda_units_sold]])</f>
        <v>12.437723903456995</v>
      </c>
      <c r="O3389">
        <f>LN(dataset[[#This Row],[soda_sales]])</f>
        <v>12.021888815982225</v>
      </c>
      <c r="P3389">
        <f>LN(dataset[[#This Row],[soda_ppu]])</f>
        <v>-0.41581852018765592</v>
      </c>
      <c r="Q3389">
        <f>IF(dataset[[#This Row],[state]]="VA",1,0)</f>
        <v>0</v>
      </c>
    </row>
    <row r="3390" spans="1:17" x14ac:dyDescent="0.35">
      <c r="A3390">
        <v>202205</v>
      </c>
      <c r="B3390">
        <v>96</v>
      </c>
      <c r="C3390" s="2">
        <v>2542649.1549999998</v>
      </c>
      <c r="D3390" s="2">
        <v>0.68799999999999994</v>
      </c>
      <c r="E3390" s="3">
        <v>260086</v>
      </c>
      <c r="F3390" s="2">
        <v>178942.49590000001</v>
      </c>
      <c r="G3390" t="s">
        <v>654</v>
      </c>
      <c r="H3390" t="s">
        <v>5</v>
      </c>
      <c r="I3390">
        <f>HLOOKUP(G3390,zip_tiers!$A$1:$EON$2,2,FALSE)</f>
        <v>66036.333333333328</v>
      </c>
      <c r="J3390" t="str">
        <f t="shared" si="52"/>
        <v>Med</v>
      </c>
      <c r="K3390">
        <f>dataset[[#This Row],[soda_sales]]/dataset[[#This Row],[soda_units_sold]]</f>
        <v>0.68801279538306559</v>
      </c>
      <c r="L3390" s="29">
        <f>dataset[[#This Row],[implied_soda_ppu]]-dataset[[#This Row],[soda_ppu]]</f>
        <v>1.279538306564465E-5</v>
      </c>
      <c r="M3390">
        <f>dataset[[#This Row],[soda_sales]]/dataset[[#This Row],[total_sales]]</f>
        <v>7.0376400750421272E-2</v>
      </c>
      <c r="N3390">
        <f>LN(dataset[[#This Row],[soda_units_sold]])</f>
        <v>12.468767624536351</v>
      </c>
      <c r="O3390">
        <f>LN(dataset[[#This Row],[soda_sales]])</f>
        <v>12.094819781255122</v>
      </c>
      <c r="P3390">
        <f>LN(dataset[[#This Row],[soda_ppu]])</f>
        <v>-0.37396644104879345</v>
      </c>
      <c r="Q3390">
        <f>IF(dataset[[#This Row],[state]]="VA",1,0)</f>
        <v>0</v>
      </c>
    </row>
    <row r="3391" spans="1:17" x14ac:dyDescent="0.35">
      <c r="A3391">
        <v>202206</v>
      </c>
      <c r="B3391">
        <v>96</v>
      </c>
      <c r="C3391" s="2">
        <v>2417301.5003999998</v>
      </c>
      <c r="D3391" s="2">
        <v>0.69830000000000003</v>
      </c>
      <c r="E3391" s="3">
        <v>271924</v>
      </c>
      <c r="F3391" s="2">
        <v>189875.38440000001</v>
      </c>
      <c r="G3391" t="s">
        <v>654</v>
      </c>
      <c r="H3391" t="s">
        <v>5</v>
      </c>
      <c r="I3391">
        <f>HLOOKUP(G3391,zip_tiers!$A$1:$EON$2,2,FALSE)</f>
        <v>66036.333333333328</v>
      </c>
      <c r="J3391" t="str">
        <f t="shared" si="52"/>
        <v>Med</v>
      </c>
      <c r="K3391">
        <f>dataset[[#This Row],[soda_sales]]/dataset[[#This Row],[soda_units_sold]]</f>
        <v>0.69826637001515135</v>
      </c>
      <c r="L3391" s="29">
        <f>dataset[[#This Row],[implied_soda_ppu]]-dataset[[#This Row],[soda_ppu]]</f>
        <v>-3.3629984848682071E-5</v>
      </c>
      <c r="M3391">
        <f>dataset[[#This Row],[soda_sales]]/dataset[[#This Row],[total_sales]]</f>
        <v>7.8548490690375464E-2</v>
      </c>
      <c r="N3391">
        <f>LN(dataset[[#This Row],[soda_units_sold]])</f>
        <v>12.513277894470688</v>
      </c>
      <c r="O3391">
        <f>LN(dataset[[#This Row],[soda_sales]])</f>
        <v>12.15412326438582</v>
      </c>
      <c r="P3391">
        <f>LN(dataset[[#This Row],[soda_ppu]])</f>
        <v>-0.35910646913014738</v>
      </c>
      <c r="Q3391">
        <f>IF(dataset[[#This Row],[state]]="VA",1,0)</f>
        <v>0</v>
      </c>
    </row>
    <row r="3392" spans="1:17" x14ac:dyDescent="0.35">
      <c r="A3392">
        <v>202207</v>
      </c>
      <c r="B3392">
        <v>96</v>
      </c>
      <c r="C3392" s="2">
        <v>2283225.5537999999</v>
      </c>
      <c r="D3392" s="2">
        <v>0.71130000000000004</v>
      </c>
      <c r="E3392" s="3">
        <v>276459</v>
      </c>
      <c r="F3392" s="2">
        <v>196652.02220000001</v>
      </c>
      <c r="G3392" t="s">
        <v>654</v>
      </c>
      <c r="H3392" t="s">
        <v>5</v>
      </c>
      <c r="I3392">
        <f>HLOOKUP(G3392,zip_tiers!$A$1:$EON$2,2,FALSE)</f>
        <v>66036.333333333328</v>
      </c>
      <c r="J3392" t="str">
        <f t="shared" si="52"/>
        <v>Med</v>
      </c>
      <c r="K3392">
        <f>dataset[[#This Row],[soda_sales]]/dataset[[#This Row],[soda_units_sold]]</f>
        <v>0.71132436346800065</v>
      </c>
      <c r="L3392" s="29">
        <f>dataset[[#This Row],[implied_soda_ppu]]-dataset[[#This Row],[soda_ppu]]</f>
        <v>2.4363468000609956E-5</v>
      </c>
      <c r="M3392">
        <f>dataset[[#This Row],[soda_sales]]/dataset[[#This Row],[total_sales]]</f>
        <v>8.6129038750775044E-2</v>
      </c>
      <c r="N3392">
        <f>LN(dataset[[#This Row],[soda_units_sold]])</f>
        <v>12.529817806852</v>
      </c>
      <c r="O3392">
        <f>LN(dataset[[#This Row],[soda_sales]])</f>
        <v>12.189191061051426</v>
      </c>
      <c r="P3392">
        <f>LN(dataset[[#This Row],[soda_ppu]])</f>
        <v>-0.34066099724266752</v>
      </c>
      <c r="Q3392">
        <f>IF(dataset[[#This Row],[state]]="VA",1,0)</f>
        <v>0</v>
      </c>
    </row>
    <row r="3393" spans="1:17" x14ac:dyDescent="0.35">
      <c r="A3393">
        <v>202208</v>
      </c>
      <c r="B3393">
        <v>96</v>
      </c>
      <c r="C3393" s="2">
        <v>2200954.2074000002</v>
      </c>
      <c r="D3393" s="2">
        <v>0.70220000000000005</v>
      </c>
      <c r="E3393" s="3">
        <v>245817</v>
      </c>
      <c r="F3393" s="2">
        <v>172609.42</v>
      </c>
      <c r="G3393" t="s">
        <v>654</v>
      </c>
      <c r="H3393" t="s">
        <v>5</v>
      </c>
      <c r="I3393">
        <f>HLOOKUP(G3393,zip_tiers!$A$1:$EON$2,2,FALSE)</f>
        <v>66036.333333333328</v>
      </c>
      <c r="J3393" t="str">
        <f t="shared" si="52"/>
        <v>Med</v>
      </c>
      <c r="K3393">
        <f>dataset[[#This Row],[soda_sales]]/dataset[[#This Row],[soda_units_sold]]</f>
        <v>0.70218666731755741</v>
      </c>
      <c r="L3393" s="29">
        <f>dataset[[#This Row],[implied_soda_ppu]]-dataset[[#This Row],[soda_ppu]]</f>
        <v>-1.3332682442634969E-5</v>
      </c>
      <c r="M3393">
        <f>dataset[[#This Row],[soda_sales]]/dataset[[#This Row],[total_sales]]</f>
        <v>7.8424812029099192E-2</v>
      </c>
      <c r="N3393">
        <f>LN(dataset[[#This Row],[soda_units_sold]])</f>
        <v>12.412342635642757</v>
      </c>
      <c r="O3393">
        <f>LN(dataset[[#This Row],[soda_sales]])</f>
        <v>12.05878663319897</v>
      </c>
      <c r="P3393">
        <f>LN(dataset[[#This Row],[soda_ppu]])</f>
        <v>-0.35353701524780512</v>
      </c>
      <c r="Q3393">
        <f>IF(dataset[[#This Row],[state]]="VA",1,0)</f>
        <v>0</v>
      </c>
    </row>
    <row r="3394" spans="1:17" x14ac:dyDescent="0.35">
      <c r="A3394">
        <v>202209</v>
      </c>
      <c r="B3394">
        <v>96</v>
      </c>
      <c r="C3394" s="2">
        <v>2199161.6449000002</v>
      </c>
      <c r="D3394" s="2">
        <v>0.70179999999999998</v>
      </c>
      <c r="E3394" s="3">
        <v>233785</v>
      </c>
      <c r="F3394" s="2">
        <v>164061.02290000001</v>
      </c>
      <c r="G3394" t="s">
        <v>654</v>
      </c>
      <c r="H3394" t="s">
        <v>5</v>
      </c>
      <c r="I3394">
        <f>HLOOKUP(G3394,zip_tiers!$A$1:$EON$2,2,FALSE)</f>
        <v>66036.333333333328</v>
      </c>
      <c r="J3394" t="str">
        <f t="shared" ref="J3394:J3457" si="53">IF(I3394="","No Data",IF(I3394&gt;=100000,"High",IF(I3394&gt;=40000,"Med","Low")))</f>
        <v>Med</v>
      </c>
      <c r="K3394">
        <f>dataset[[#This Row],[soda_sales]]/dataset[[#This Row],[soda_units_sold]]</f>
        <v>0.70176026220672849</v>
      </c>
      <c r="L3394" s="29">
        <f>dataset[[#This Row],[implied_soda_ppu]]-dataset[[#This Row],[soda_ppu]]</f>
        <v>-3.9737793271488187E-5</v>
      </c>
      <c r="M3394">
        <f>dataset[[#This Row],[soda_sales]]/dataset[[#This Row],[total_sales]]</f>
        <v>7.4601620704175281E-2</v>
      </c>
      <c r="N3394">
        <f>LN(dataset[[#This Row],[soda_units_sold]])</f>
        <v>12.362157168562444</v>
      </c>
      <c r="O3394">
        <f>LN(dataset[[#This Row],[soda_sales]])</f>
        <v>12.00799372845136</v>
      </c>
      <c r="P3394">
        <f>LN(dataset[[#This Row],[soda_ppu]])</f>
        <v>-0.35410681583302234</v>
      </c>
      <c r="Q3394">
        <f>IF(dataset[[#This Row],[state]]="VA",1,0)</f>
        <v>0</v>
      </c>
    </row>
    <row r="3395" spans="1:17" x14ac:dyDescent="0.35">
      <c r="A3395">
        <v>202210</v>
      </c>
      <c r="B3395">
        <v>96</v>
      </c>
      <c r="C3395" s="2">
        <v>2709814.9948999998</v>
      </c>
      <c r="D3395" s="2">
        <v>0.6915</v>
      </c>
      <c r="E3395" s="3">
        <v>233597</v>
      </c>
      <c r="F3395" s="2">
        <v>161526.2488</v>
      </c>
      <c r="G3395" t="s">
        <v>654</v>
      </c>
      <c r="H3395" t="s">
        <v>5</v>
      </c>
      <c r="I3395">
        <f>HLOOKUP(G3395,zip_tiers!$A$1:$EON$2,2,FALSE)</f>
        <v>66036.333333333328</v>
      </c>
      <c r="J3395" t="str">
        <f t="shared" si="53"/>
        <v>Med</v>
      </c>
      <c r="K3395">
        <f>dataset[[#This Row],[soda_sales]]/dataset[[#This Row],[soda_units_sold]]</f>
        <v>0.69147398639537327</v>
      </c>
      <c r="L3395" s="29">
        <f>dataset[[#This Row],[implied_soda_ppu]]-dataset[[#This Row],[soda_ppu]]</f>
        <v>-2.601360462672897E-5</v>
      </c>
      <c r="M3395">
        <f>dataset[[#This Row],[soda_sales]]/dataset[[#This Row],[total_sales]]</f>
        <v>5.9607851127844537E-2</v>
      </c>
      <c r="N3395">
        <f>LN(dataset[[#This Row],[soda_units_sold]])</f>
        <v>12.36135268738799</v>
      </c>
      <c r="O3395">
        <f>LN(dataset[[#This Row],[soda_sales]])</f>
        <v>11.992422939707422</v>
      </c>
      <c r="P3395">
        <f>LN(dataset[[#This Row],[soda_ppu]])</f>
        <v>-0.36889212787732417</v>
      </c>
      <c r="Q3395">
        <f>IF(dataset[[#This Row],[state]]="VA",1,0)</f>
        <v>0</v>
      </c>
    </row>
    <row r="3396" spans="1:17" x14ac:dyDescent="0.35">
      <c r="A3396">
        <v>202211</v>
      </c>
      <c r="B3396">
        <v>96</v>
      </c>
      <c r="C3396" s="2">
        <v>3024180.5030999999</v>
      </c>
      <c r="D3396" s="2">
        <v>0.66739999999999999</v>
      </c>
      <c r="E3396" s="3">
        <v>222522</v>
      </c>
      <c r="F3396" s="2">
        <v>148512.59270000001</v>
      </c>
      <c r="G3396" t="s">
        <v>654</v>
      </c>
      <c r="H3396" t="s">
        <v>5</v>
      </c>
      <c r="I3396">
        <f>HLOOKUP(G3396,zip_tiers!$A$1:$EON$2,2,FALSE)</f>
        <v>66036.333333333328</v>
      </c>
      <c r="J3396" t="str">
        <f t="shared" si="53"/>
        <v>Med</v>
      </c>
      <c r="K3396">
        <f>dataset[[#This Row],[soda_sales]]/dataset[[#This Row],[soda_units_sold]]</f>
        <v>0.66740633600273236</v>
      </c>
      <c r="L3396" s="29">
        <f>dataset[[#This Row],[implied_soda_ppu]]-dataset[[#This Row],[soda_ppu]]</f>
        <v>6.3360027323655643E-6</v>
      </c>
      <c r="M3396">
        <f>dataset[[#This Row],[soda_sales]]/dataset[[#This Row],[total_sales]]</f>
        <v>4.9108375822066196E-2</v>
      </c>
      <c r="N3396">
        <f>LN(dataset[[#This Row],[soda_units_sold]])</f>
        <v>12.312781252104976</v>
      </c>
      <c r="O3396">
        <f>LN(dataset[[#This Row],[soda_sales]])</f>
        <v>11.908425032956231</v>
      </c>
      <c r="P3396">
        <f>LN(dataset[[#This Row],[soda_ppu]])</f>
        <v>-0.40436571266486343</v>
      </c>
      <c r="Q3396">
        <f>IF(dataset[[#This Row],[state]]="VA",1,0)</f>
        <v>0</v>
      </c>
    </row>
    <row r="3397" spans="1:17" x14ac:dyDescent="0.35">
      <c r="A3397">
        <v>202212</v>
      </c>
      <c r="B3397">
        <v>96</v>
      </c>
      <c r="C3397" s="2">
        <v>3107433.0033999998</v>
      </c>
      <c r="D3397" s="2">
        <v>0.68289999999999995</v>
      </c>
      <c r="E3397" s="3">
        <v>210487</v>
      </c>
      <c r="F3397" s="2">
        <v>143747.4504</v>
      </c>
      <c r="G3397" t="s">
        <v>654</v>
      </c>
      <c r="H3397" t="s">
        <v>5</v>
      </c>
      <c r="I3397">
        <f>HLOOKUP(G3397,zip_tiers!$A$1:$EON$2,2,FALSE)</f>
        <v>66036.333333333328</v>
      </c>
      <c r="J3397" t="str">
        <f t="shared" si="53"/>
        <v>Med</v>
      </c>
      <c r="K3397">
        <f>dataset[[#This Row],[soda_sales]]/dataset[[#This Row],[soda_units_sold]]</f>
        <v>0.68292792619021603</v>
      </c>
      <c r="L3397" s="29">
        <f>dataset[[#This Row],[implied_soda_ppu]]-dataset[[#This Row],[soda_ppu]]</f>
        <v>2.7926190216076563E-5</v>
      </c>
      <c r="M3397">
        <f>dataset[[#This Row],[soda_sales]]/dataset[[#This Row],[total_sales]]</f>
        <v>4.6259227549787438E-2</v>
      </c>
      <c r="N3397">
        <f>LN(dataset[[#This Row],[soda_units_sold]])</f>
        <v>12.257179172477771</v>
      </c>
      <c r="O3397">
        <f>LN(dataset[[#This Row],[soda_sales]])</f>
        <v>11.875813222154481</v>
      </c>
      <c r="P3397">
        <f>LN(dataset[[#This Row],[soda_ppu]])</f>
        <v>-0.38140684301509353</v>
      </c>
      <c r="Q3397">
        <f>IF(dataset[[#This Row],[state]]="VA",1,0)</f>
        <v>0</v>
      </c>
    </row>
    <row r="3398" spans="1:17" x14ac:dyDescent="0.35">
      <c r="A3398">
        <v>202301</v>
      </c>
      <c r="B3398">
        <v>96</v>
      </c>
      <c r="C3398" s="2">
        <v>1805502.7649000001</v>
      </c>
      <c r="D3398" s="2">
        <v>0.69869999999999999</v>
      </c>
      <c r="E3398" s="3">
        <v>155859</v>
      </c>
      <c r="F3398" s="2">
        <v>108897.0291</v>
      </c>
      <c r="G3398" t="s">
        <v>654</v>
      </c>
      <c r="H3398" t="s">
        <v>5</v>
      </c>
      <c r="I3398">
        <f>HLOOKUP(G3398,zip_tiers!$A$1:$EON$2,2,FALSE)</f>
        <v>66036.333333333328</v>
      </c>
      <c r="J3398" t="str">
        <f t="shared" si="53"/>
        <v>Med</v>
      </c>
      <c r="K3398">
        <f>dataset[[#This Row],[soda_sales]]/dataset[[#This Row],[soda_units_sold]]</f>
        <v>0.69868938656093005</v>
      </c>
      <c r="L3398" s="29">
        <f>dataset[[#This Row],[implied_soda_ppu]]-dataset[[#This Row],[soda_ppu]]</f>
        <v>-1.0613439069939723E-5</v>
      </c>
      <c r="M3398">
        <f>dataset[[#This Row],[soda_sales]]/dataset[[#This Row],[total_sales]]</f>
        <v>6.0313964186053955E-2</v>
      </c>
      <c r="N3398">
        <f>LN(dataset[[#This Row],[soda_units_sold]])</f>
        <v>11.956707031362598</v>
      </c>
      <c r="O3398">
        <f>LN(dataset[[#This Row],[soda_sales]])</f>
        <v>11.598158027557183</v>
      </c>
      <c r="P3398">
        <f>LN(dataset[[#This Row],[soda_ppu]])</f>
        <v>-0.35853381342373208</v>
      </c>
      <c r="Q3398">
        <f>IF(dataset[[#This Row],[state]]="VA",1,0)</f>
        <v>0</v>
      </c>
    </row>
    <row r="3399" spans="1:17" x14ac:dyDescent="0.35">
      <c r="A3399">
        <v>202302</v>
      </c>
      <c r="B3399">
        <v>96</v>
      </c>
      <c r="C3399" s="2">
        <v>2060479.8489000001</v>
      </c>
      <c r="D3399" s="2">
        <v>0.70879999999999999</v>
      </c>
      <c r="E3399" s="3">
        <v>171896</v>
      </c>
      <c r="F3399" s="2">
        <v>121845.387</v>
      </c>
      <c r="G3399" t="s">
        <v>654</v>
      </c>
      <c r="H3399" t="s">
        <v>5</v>
      </c>
      <c r="I3399">
        <f>HLOOKUP(G3399,zip_tiers!$A$1:$EON$2,2,FALSE)</f>
        <v>66036.333333333328</v>
      </c>
      <c r="J3399" t="str">
        <f t="shared" si="53"/>
        <v>Med</v>
      </c>
      <c r="K3399">
        <f>dataset[[#This Row],[soda_sales]]/dataset[[#This Row],[soda_units_sold]]</f>
        <v>0.7088320088890957</v>
      </c>
      <c r="L3399" s="29">
        <f>dataset[[#This Row],[implied_soda_ppu]]-dataset[[#This Row],[soda_ppu]]</f>
        <v>3.2008889095713755E-5</v>
      </c>
      <c r="M3399">
        <f>dataset[[#This Row],[soda_sales]]/dataset[[#This Row],[total_sales]]</f>
        <v>5.913447154799787E-2</v>
      </c>
      <c r="N3399">
        <f>LN(dataset[[#This Row],[soda_units_sold]])</f>
        <v>12.054644921757564</v>
      </c>
      <c r="O3399">
        <f>LN(dataset[[#This Row],[soda_sales]])</f>
        <v>11.71050820031456</v>
      </c>
      <c r="P3399">
        <f>LN(dataset[[#This Row],[soda_ppu]])</f>
        <v>-0.3441818796912659</v>
      </c>
      <c r="Q3399">
        <f>IF(dataset[[#This Row],[state]]="VA",1,0)</f>
        <v>0</v>
      </c>
    </row>
    <row r="3400" spans="1:17" x14ac:dyDescent="0.35">
      <c r="A3400">
        <v>202303</v>
      </c>
      <c r="B3400">
        <v>96</v>
      </c>
      <c r="C3400" s="2">
        <v>2311242.17</v>
      </c>
      <c r="D3400" s="2">
        <v>0.70479999999999998</v>
      </c>
      <c r="E3400" s="3">
        <v>206722</v>
      </c>
      <c r="F3400" s="2">
        <v>145688.82010000001</v>
      </c>
      <c r="G3400" t="s">
        <v>654</v>
      </c>
      <c r="H3400" t="s">
        <v>5</v>
      </c>
      <c r="I3400">
        <f>HLOOKUP(G3400,zip_tiers!$A$1:$EON$2,2,FALSE)</f>
        <v>66036.333333333328</v>
      </c>
      <c r="J3400" t="str">
        <f t="shared" si="53"/>
        <v>Med</v>
      </c>
      <c r="K3400">
        <f>dataset[[#This Row],[soda_sales]]/dataset[[#This Row],[soda_units_sold]]</f>
        <v>0.70475721065005181</v>
      </c>
      <c r="L3400" s="29">
        <f>dataset[[#This Row],[implied_soda_ppu]]-dataset[[#This Row],[soda_ppu]]</f>
        <v>-4.2789349948169075E-5</v>
      </c>
      <c r="M3400">
        <f>dataset[[#This Row],[soda_sales]]/dataset[[#This Row],[total_sales]]</f>
        <v>6.3034857182447487E-2</v>
      </c>
      <c r="N3400">
        <f>LN(dataset[[#This Row],[soda_units_sold]])</f>
        <v>12.239130174452173</v>
      </c>
      <c r="O3400">
        <f>LN(dataset[[#This Row],[soda_sales]])</f>
        <v>11.889228256912522</v>
      </c>
      <c r="P3400">
        <f>LN(dataset[[#This Row],[soda_ppu]])</f>
        <v>-0.3498412043601673</v>
      </c>
      <c r="Q3400">
        <f>IF(dataset[[#This Row],[state]]="VA",1,0)</f>
        <v>0</v>
      </c>
    </row>
    <row r="3401" spans="1:17" x14ac:dyDescent="0.35">
      <c r="A3401">
        <v>202304</v>
      </c>
      <c r="B3401">
        <v>96</v>
      </c>
      <c r="C3401" s="2">
        <v>2423855.2725</v>
      </c>
      <c r="D3401" s="2">
        <v>0.69689999999999996</v>
      </c>
      <c r="E3401" s="3">
        <v>245302</v>
      </c>
      <c r="F3401" s="2">
        <v>170959.65169999999</v>
      </c>
      <c r="G3401" t="s">
        <v>654</v>
      </c>
      <c r="H3401" t="s">
        <v>5</v>
      </c>
      <c r="I3401">
        <f>HLOOKUP(G3401,zip_tiers!$A$1:$EON$2,2,FALSE)</f>
        <v>66036.333333333328</v>
      </c>
      <c r="J3401" t="str">
        <f t="shared" si="53"/>
        <v>Med</v>
      </c>
      <c r="K3401">
        <f>dataset[[#This Row],[soda_sales]]/dataset[[#This Row],[soda_units_sold]]</f>
        <v>0.69693541715925666</v>
      </c>
      <c r="L3401" s="29">
        <f>dataset[[#This Row],[implied_soda_ppu]]-dataset[[#This Row],[soda_ppu]]</f>
        <v>3.541715925670097E-5</v>
      </c>
      <c r="M3401">
        <f>dataset[[#This Row],[soda_sales]]/dataset[[#This Row],[total_sales]]</f>
        <v>7.0532120312476285E-2</v>
      </c>
      <c r="N3401">
        <f>LN(dataset[[#This Row],[soda_units_sold]])</f>
        <v>12.410245383495038</v>
      </c>
      <c r="O3401">
        <f>LN(dataset[[#This Row],[soda_sales]])</f>
        <v>12.049182852672283</v>
      </c>
      <c r="P3401">
        <f>LN(dataset[[#This Row],[soda_ppu]])</f>
        <v>-0.36111335053766397</v>
      </c>
      <c r="Q3401">
        <f>IF(dataset[[#This Row],[state]]="VA",1,0)</f>
        <v>0</v>
      </c>
    </row>
    <row r="3402" spans="1:17" x14ac:dyDescent="0.35">
      <c r="A3402">
        <v>202305</v>
      </c>
      <c r="B3402">
        <v>96</v>
      </c>
      <c r="C3402" s="2">
        <v>2597973.3144999999</v>
      </c>
      <c r="D3402" s="2">
        <v>0.6804</v>
      </c>
      <c r="E3402" s="3">
        <v>274555</v>
      </c>
      <c r="F3402" s="2">
        <v>186820.247</v>
      </c>
      <c r="G3402" t="s">
        <v>654</v>
      </c>
      <c r="H3402" t="s">
        <v>5</v>
      </c>
      <c r="I3402">
        <f>HLOOKUP(G3402,zip_tiers!$A$1:$EON$2,2,FALSE)</f>
        <v>66036.333333333328</v>
      </c>
      <c r="J3402" t="str">
        <f t="shared" si="53"/>
        <v>Med</v>
      </c>
      <c r="K3402">
        <f>dataset[[#This Row],[soda_sales]]/dataset[[#This Row],[soda_units_sold]]</f>
        <v>0.68044744040356209</v>
      </c>
      <c r="L3402" s="29">
        <f>dataset[[#This Row],[implied_soda_ppu]]-dataset[[#This Row],[soda_ppu]]</f>
        <v>4.7440403562082345E-5</v>
      </c>
      <c r="M3402">
        <f>dataset[[#This Row],[soda_sales]]/dataset[[#This Row],[total_sales]]</f>
        <v>7.1909994593595358E-2</v>
      </c>
      <c r="N3402">
        <f>LN(dataset[[#This Row],[soda_units_sold]])</f>
        <v>12.522906884160202</v>
      </c>
      <c r="O3402">
        <f>LN(dataset[[#This Row],[soda_sales]])</f>
        <v>12.137902187554218</v>
      </c>
      <c r="P3402">
        <f>LN(dataset[[#This Row],[soda_ppu]])</f>
        <v>-0.38507441846043033</v>
      </c>
      <c r="Q3402">
        <f>IF(dataset[[#This Row],[state]]="VA",1,0)</f>
        <v>0</v>
      </c>
    </row>
    <row r="3403" spans="1:17" x14ac:dyDescent="0.35">
      <c r="A3403">
        <v>202306</v>
      </c>
      <c r="B3403">
        <v>96</v>
      </c>
      <c r="C3403" s="2">
        <v>2437926.409</v>
      </c>
      <c r="D3403" s="2">
        <v>0.71009999999999995</v>
      </c>
      <c r="E3403" s="3">
        <v>274140</v>
      </c>
      <c r="F3403" s="2">
        <v>194672.0448</v>
      </c>
      <c r="G3403" t="s">
        <v>654</v>
      </c>
      <c r="H3403" t="s">
        <v>5</v>
      </c>
      <c r="I3403">
        <f>HLOOKUP(G3403,zip_tiers!$A$1:$EON$2,2,FALSE)</f>
        <v>66036.333333333328</v>
      </c>
      <c r="J3403" t="str">
        <f t="shared" si="53"/>
        <v>Med</v>
      </c>
      <c r="K3403">
        <f>dataset[[#This Row],[soda_sales]]/dataset[[#This Row],[soda_units_sold]]</f>
        <v>0.71011908076165464</v>
      </c>
      <c r="L3403" s="29">
        <f>dataset[[#This Row],[implied_soda_ppu]]-dataset[[#This Row],[soda_ppu]]</f>
        <v>1.9080761654688416E-5</v>
      </c>
      <c r="M3403">
        <f>dataset[[#This Row],[soda_sales]]/dataset[[#This Row],[total_sales]]</f>
        <v>7.9851485295592453E-2</v>
      </c>
      <c r="N3403">
        <f>LN(dataset[[#This Row],[soda_units_sold]])</f>
        <v>12.521394203785372</v>
      </c>
      <c r="O3403">
        <f>LN(dataset[[#This Row],[soda_sales]])</f>
        <v>12.179071600157885</v>
      </c>
      <c r="P3403">
        <f>LN(dataset[[#This Row],[soda_ppu]])</f>
        <v>-0.3423494737940892</v>
      </c>
      <c r="Q3403">
        <f>IF(dataset[[#This Row],[state]]="VA",1,0)</f>
        <v>0</v>
      </c>
    </row>
    <row r="3404" spans="1:17" x14ac:dyDescent="0.35">
      <c r="A3404">
        <v>202307</v>
      </c>
      <c r="B3404">
        <v>96</v>
      </c>
      <c r="C3404" s="2">
        <v>2325481.9194999998</v>
      </c>
      <c r="D3404" s="2">
        <v>0.69</v>
      </c>
      <c r="E3404" s="3">
        <v>288713</v>
      </c>
      <c r="F3404" s="2">
        <v>199213.05170000001</v>
      </c>
      <c r="G3404" t="s">
        <v>654</v>
      </c>
      <c r="H3404" t="s">
        <v>5</v>
      </c>
      <c r="I3404">
        <f>HLOOKUP(G3404,zip_tiers!$A$1:$EON$2,2,FALSE)</f>
        <v>66036.333333333328</v>
      </c>
      <c r="J3404" t="str">
        <f t="shared" si="53"/>
        <v>Med</v>
      </c>
      <c r="K3404">
        <f>dataset[[#This Row],[soda_sales]]/dataset[[#This Row],[soda_units_sold]]</f>
        <v>0.69000374662727348</v>
      </c>
      <c r="L3404" s="29">
        <f>dataset[[#This Row],[implied_soda_ppu]]-dataset[[#This Row],[soda_ppu]]</f>
        <v>3.7466272735375838E-6</v>
      </c>
      <c r="M3404">
        <f>dataset[[#This Row],[soda_sales]]/dataset[[#This Row],[total_sales]]</f>
        <v>8.5665276530222462E-2</v>
      </c>
      <c r="N3404">
        <f>LN(dataset[[#This Row],[soda_units_sold]])</f>
        <v>12.573188394079558</v>
      </c>
      <c r="O3404">
        <f>LN(dataset[[#This Row],[soda_sales]])</f>
        <v>12.202130142568585</v>
      </c>
      <c r="P3404">
        <f>LN(dataset[[#This Row],[soda_ppu]])</f>
        <v>-0.37106368139083207</v>
      </c>
      <c r="Q3404">
        <f>IF(dataset[[#This Row],[state]]="VA",1,0)</f>
        <v>0</v>
      </c>
    </row>
    <row r="3405" spans="1:17" x14ac:dyDescent="0.35">
      <c r="A3405">
        <v>202308</v>
      </c>
      <c r="B3405">
        <v>96</v>
      </c>
      <c r="C3405" s="2">
        <v>2185354.2655000002</v>
      </c>
      <c r="D3405" s="2">
        <v>0.69110000000000005</v>
      </c>
      <c r="E3405" s="3">
        <v>250287</v>
      </c>
      <c r="F3405" s="2">
        <v>172964.68340000001</v>
      </c>
      <c r="G3405" t="s">
        <v>654</v>
      </c>
      <c r="H3405" t="s">
        <v>5</v>
      </c>
      <c r="I3405">
        <f>HLOOKUP(G3405,zip_tiers!$A$1:$EON$2,2,FALSE)</f>
        <v>66036.333333333328</v>
      </c>
      <c r="J3405" t="str">
        <f t="shared" si="53"/>
        <v>Med</v>
      </c>
      <c r="K3405">
        <f>dataset[[#This Row],[soda_sales]]/dataset[[#This Row],[soda_units_sold]]</f>
        <v>0.69106539053166971</v>
      </c>
      <c r="L3405" s="29">
        <f>dataset[[#This Row],[implied_soda_ppu]]-dataset[[#This Row],[soda_ppu]]</f>
        <v>-3.4609468330337734E-5</v>
      </c>
      <c r="M3405">
        <f>dataset[[#This Row],[soda_sales]]/dataset[[#This Row],[total_sales]]</f>
        <v>7.9147205618136415E-2</v>
      </c>
      <c r="N3405">
        <f>LN(dataset[[#This Row],[soda_units_sold]])</f>
        <v>12.430363538396268</v>
      </c>
      <c r="O3405">
        <f>LN(dataset[[#This Row],[soda_sales]])</f>
        <v>12.060842710443529</v>
      </c>
      <c r="P3405">
        <f>LN(dataset[[#This Row],[soda_ppu]])</f>
        <v>-0.36947074788478834</v>
      </c>
      <c r="Q3405">
        <f>IF(dataset[[#This Row],[state]]="VA",1,0)</f>
        <v>0</v>
      </c>
    </row>
    <row r="3406" spans="1:17" x14ac:dyDescent="0.35">
      <c r="A3406">
        <v>202309</v>
      </c>
      <c r="B3406">
        <v>96</v>
      </c>
      <c r="C3406" s="2">
        <v>2181583.2017999999</v>
      </c>
      <c r="D3406" s="2">
        <v>0.68859999999999999</v>
      </c>
      <c r="E3406" s="3">
        <v>240577</v>
      </c>
      <c r="F3406" s="2">
        <v>165662.0698</v>
      </c>
      <c r="G3406" t="s">
        <v>654</v>
      </c>
      <c r="H3406" t="s">
        <v>5</v>
      </c>
      <c r="I3406">
        <f>HLOOKUP(G3406,zip_tiers!$A$1:$EON$2,2,FALSE)</f>
        <v>66036.333333333328</v>
      </c>
      <c r="J3406" t="str">
        <f t="shared" si="53"/>
        <v>Med</v>
      </c>
      <c r="K3406">
        <f>dataset[[#This Row],[soda_sales]]/dataset[[#This Row],[soda_units_sold]]</f>
        <v>0.68860310752898235</v>
      </c>
      <c r="L3406" s="29">
        <f>dataset[[#This Row],[implied_soda_ppu]]-dataset[[#This Row],[soda_ppu]]</f>
        <v>3.1075289823601082E-6</v>
      </c>
      <c r="M3406">
        <f>dataset[[#This Row],[soda_sales]]/dataset[[#This Row],[total_sales]]</f>
        <v>7.5936626970410329E-2</v>
      </c>
      <c r="N3406">
        <f>LN(dataset[[#This Row],[soda_units_sold]])</f>
        <v>12.390795483605819</v>
      </c>
      <c r="O3406">
        <f>LN(dataset[[#This Row],[soda_sales]])</f>
        <v>12.017705268339565</v>
      </c>
      <c r="P3406">
        <f>LN(dataset[[#This Row],[soda_ppu]])</f>
        <v>-0.37309472807771366</v>
      </c>
      <c r="Q3406">
        <f>IF(dataset[[#This Row],[state]]="VA",1,0)</f>
        <v>0</v>
      </c>
    </row>
    <row r="3407" spans="1:17" x14ac:dyDescent="0.35">
      <c r="A3407">
        <v>202310</v>
      </c>
      <c r="B3407">
        <v>96</v>
      </c>
      <c r="C3407" s="2">
        <v>2679805.0748000001</v>
      </c>
      <c r="D3407" s="2">
        <v>0.71030000000000004</v>
      </c>
      <c r="E3407" s="3">
        <v>223285</v>
      </c>
      <c r="F3407" s="2">
        <v>158591.8873</v>
      </c>
      <c r="G3407" t="s">
        <v>654</v>
      </c>
      <c r="H3407" t="s">
        <v>5</v>
      </c>
      <c r="I3407">
        <f>HLOOKUP(G3407,zip_tiers!$A$1:$EON$2,2,FALSE)</f>
        <v>66036.333333333328</v>
      </c>
      <c r="J3407" t="str">
        <f t="shared" si="53"/>
        <v>Med</v>
      </c>
      <c r="K3407">
        <f>dataset[[#This Row],[soda_sales]]/dataset[[#This Row],[soda_units_sold]]</f>
        <v>0.71026664263161432</v>
      </c>
      <c r="L3407" s="29">
        <f>dataset[[#This Row],[implied_soda_ppu]]-dataset[[#This Row],[soda_ppu]]</f>
        <v>-3.3357368385722452E-5</v>
      </c>
      <c r="M3407">
        <f>dataset[[#This Row],[soda_sales]]/dataset[[#This Row],[total_sales]]</f>
        <v>5.9180381734233442E-2</v>
      </c>
      <c r="N3407">
        <f>LN(dataset[[#This Row],[soda_units_sold]])</f>
        <v>12.316204261366856</v>
      </c>
      <c r="O3407">
        <f>LN(dataset[[#This Row],[soda_sales]])</f>
        <v>11.974089434919977</v>
      </c>
      <c r="P3407">
        <f>LN(dataset[[#This Row],[soda_ppu]])</f>
        <v>-0.34206786297837272</v>
      </c>
      <c r="Q3407">
        <f>IF(dataset[[#This Row],[state]]="VA",1,0)</f>
        <v>0</v>
      </c>
    </row>
    <row r="3408" spans="1:17" x14ac:dyDescent="0.35">
      <c r="A3408">
        <v>202311</v>
      </c>
      <c r="B3408">
        <v>96</v>
      </c>
      <c r="C3408" s="2">
        <v>3100027.9164999998</v>
      </c>
      <c r="D3408" s="2">
        <v>0.68659999999999999</v>
      </c>
      <c r="E3408" s="3">
        <v>220816</v>
      </c>
      <c r="F3408" s="2">
        <v>151617.7794</v>
      </c>
      <c r="G3408" t="s">
        <v>654</v>
      </c>
      <c r="H3408" t="s">
        <v>5</v>
      </c>
      <c r="I3408">
        <f>HLOOKUP(G3408,zip_tiers!$A$1:$EON$2,2,FALSE)</f>
        <v>66036.333333333328</v>
      </c>
      <c r="J3408" t="str">
        <f t="shared" si="53"/>
        <v>Med</v>
      </c>
      <c r="K3408">
        <f>dataset[[#This Row],[soda_sales]]/dataset[[#This Row],[soda_units_sold]]</f>
        <v>0.68662497011086154</v>
      </c>
      <c r="L3408" s="29">
        <f>dataset[[#This Row],[implied_soda_ppu]]-dataset[[#This Row],[soda_ppu]]</f>
        <v>2.4970110861555206E-5</v>
      </c>
      <c r="M3408">
        <f>dataset[[#This Row],[soda_sales]]/dataset[[#This Row],[total_sales]]</f>
        <v>4.8908520659768716E-2</v>
      </c>
      <c r="N3408">
        <f>LN(dataset[[#This Row],[soda_units_sold]])</f>
        <v>12.305085054527821</v>
      </c>
      <c r="O3408">
        <f>LN(dataset[[#This Row],[soda_sales]])</f>
        <v>11.929118023677955</v>
      </c>
      <c r="P3408">
        <f>LN(dataset[[#This Row],[soda_ppu]])</f>
        <v>-0.37600339795854537</v>
      </c>
      <c r="Q3408">
        <f>IF(dataset[[#This Row],[state]]="VA",1,0)</f>
        <v>0</v>
      </c>
    </row>
    <row r="3409" spans="1:17" x14ac:dyDescent="0.35">
      <c r="A3409">
        <v>202312</v>
      </c>
      <c r="B3409">
        <v>96</v>
      </c>
      <c r="C3409" s="2">
        <v>3179720.9086000002</v>
      </c>
      <c r="D3409" s="2">
        <v>0.72150000000000003</v>
      </c>
      <c r="E3409" s="3">
        <v>201854</v>
      </c>
      <c r="F3409" s="2">
        <v>145646.9326</v>
      </c>
      <c r="G3409" t="s">
        <v>654</v>
      </c>
      <c r="H3409" t="s">
        <v>5</v>
      </c>
      <c r="I3409">
        <f>HLOOKUP(G3409,zip_tiers!$A$1:$EON$2,2,FALSE)</f>
        <v>66036.333333333328</v>
      </c>
      <c r="J3409" t="str">
        <f t="shared" si="53"/>
        <v>Med</v>
      </c>
      <c r="K3409">
        <f>dataset[[#This Row],[soda_sales]]/dataset[[#This Row],[soda_units_sold]]</f>
        <v>0.72154593220842789</v>
      </c>
      <c r="L3409" s="29">
        <f>dataset[[#This Row],[implied_soda_ppu]]-dataset[[#This Row],[soda_ppu]]</f>
        <v>4.5932208427856835E-5</v>
      </c>
      <c r="M3409">
        <f>dataset[[#This Row],[soda_sales]]/dataset[[#This Row],[total_sales]]</f>
        <v>4.5804942253289425E-2</v>
      </c>
      <c r="N3409">
        <f>LN(dataset[[#This Row],[soda_units_sold]])</f>
        <v>12.215299942780305</v>
      </c>
      <c r="O3409">
        <f>LN(dataset[[#This Row],[soda_sales]])</f>
        <v>11.888940702090292</v>
      </c>
      <c r="P3409">
        <f>LN(dataset[[#This Row],[soda_ppu]])</f>
        <v>-0.32642290076821145</v>
      </c>
      <c r="Q3409">
        <f>IF(dataset[[#This Row],[state]]="VA",1,0)</f>
        <v>0</v>
      </c>
    </row>
    <row r="3410" spans="1:17" x14ac:dyDescent="0.35">
      <c r="A3410">
        <v>202401</v>
      </c>
      <c r="B3410">
        <v>96</v>
      </c>
      <c r="C3410" s="2">
        <v>1865193.8703000001</v>
      </c>
      <c r="D3410" s="2">
        <v>0.67910000000000004</v>
      </c>
      <c r="E3410" s="3">
        <v>160977</v>
      </c>
      <c r="F3410" s="2">
        <v>109324.9709</v>
      </c>
      <c r="G3410" t="s">
        <v>654</v>
      </c>
      <c r="H3410" t="s">
        <v>5</v>
      </c>
      <c r="I3410">
        <f>HLOOKUP(G3410,zip_tiers!$A$1:$EON$2,2,FALSE)</f>
        <v>66036.333333333328</v>
      </c>
      <c r="J3410" t="str">
        <f t="shared" si="53"/>
        <v>Med</v>
      </c>
      <c r="K3410">
        <f>dataset[[#This Row],[soda_sales]]/dataset[[#This Row],[soda_units_sold]]</f>
        <v>0.67913410549333131</v>
      </c>
      <c r="L3410" s="29">
        <f>dataset[[#This Row],[implied_soda_ppu]]-dataset[[#This Row],[soda_ppu]]</f>
        <v>3.4105493331271219E-5</v>
      </c>
      <c r="M3410">
        <f>dataset[[#This Row],[soda_sales]]/dataset[[#This Row],[total_sales]]</f>
        <v>5.8613194392718025E-2</v>
      </c>
      <c r="N3410">
        <f>LN(dataset[[#This Row],[soda_units_sold]])</f>
        <v>11.989016776618689</v>
      </c>
      <c r="O3410">
        <f>LN(dataset[[#This Row],[soda_sales]])</f>
        <v>11.602080110102261</v>
      </c>
      <c r="P3410">
        <f>LN(dataset[[#This Row],[soda_ppu]])</f>
        <v>-0.3869868868623913</v>
      </c>
      <c r="Q3410">
        <f>IF(dataset[[#This Row],[state]]="VA",1,0)</f>
        <v>0</v>
      </c>
    </row>
    <row r="3411" spans="1:17" x14ac:dyDescent="0.35">
      <c r="A3411">
        <v>202402</v>
      </c>
      <c r="B3411">
        <v>96</v>
      </c>
      <c r="C3411" s="2">
        <v>2075875.2575999999</v>
      </c>
      <c r="D3411" s="2">
        <v>0.71189999999999998</v>
      </c>
      <c r="E3411" s="3">
        <v>172630</v>
      </c>
      <c r="F3411" s="2">
        <v>122894.30190000001</v>
      </c>
      <c r="G3411" t="s">
        <v>654</v>
      </c>
      <c r="H3411" t="s">
        <v>5</v>
      </c>
      <c r="I3411">
        <f>HLOOKUP(G3411,zip_tiers!$A$1:$EON$2,2,FALSE)</f>
        <v>66036.333333333328</v>
      </c>
      <c r="J3411" t="str">
        <f t="shared" si="53"/>
        <v>Med</v>
      </c>
      <c r="K3411">
        <f>dataset[[#This Row],[soda_sales]]/dataset[[#This Row],[soda_units_sold]]</f>
        <v>0.71189423564849685</v>
      </c>
      <c r="L3411" s="29">
        <f>dataset[[#This Row],[implied_soda_ppu]]-dataset[[#This Row],[soda_ppu]]</f>
        <v>-5.7643515031235992E-6</v>
      </c>
      <c r="M3411">
        <f>dataset[[#This Row],[soda_sales]]/dataset[[#This Row],[total_sales]]</f>
        <v>5.9201197880301773E-2</v>
      </c>
      <c r="N3411">
        <f>LN(dataset[[#This Row],[soda_units_sold]])</f>
        <v>12.058905854810595</v>
      </c>
      <c r="O3411">
        <f>LN(dataset[[#This Row],[soda_sales]])</f>
        <v>11.719079930768963</v>
      </c>
      <c r="P3411">
        <f>LN(dataset[[#This Row],[soda_ppu]])</f>
        <v>-0.33981782687230949</v>
      </c>
      <c r="Q3411">
        <f>IF(dataset[[#This Row],[state]]="VA",1,0)</f>
        <v>0</v>
      </c>
    </row>
    <row r="3412" spans="1:17" x14ac:dyDescent="0.35">
      <c r="A3412">
        <v>202403</v>
      </c>
      <c r="B3412">
        <v>96</v>
      </c>
      <c r="C3412" s="2">
        <v>2325507.6085999999</v>
      </c>
      <c r="D3412" s="2">
        <v>0.69720000000000004</v>
      </c>
      <c r="E3412" s="3">
        <v>208323</v>
      </c>
      <c r="F3412" s="2">
        <v>145241.62040000001</v>
      </c>
      <c r="G3412" t="s">
        <v>654</v>
      </c>
      <c r="H3412" t="s">
        <v>5</v>
      </c>
      <c r="I3412">
        <f>HLOOKUP(G3412,zip_tiers!$A$1:$EON$2,2,FALSE)</f>
        <v>66036.333333333328</v>
      </c>
      <c r="J3412" t="str">
        <f t="shared" si="53"/>
        <v>Med</v>
      </c>
      <c r="K3412">
        <f>dataset[[#This Row],[soda_sales]]/dataset[[#This Row],[soda_units_sold]]</f>
        <v>0.69719435876019453</v>
      </c>
      <c r="L3412" s="29">
        <f>dataset[[#This Row],[implied_soda_ppu]]-dataset[[#This Row],[soda_ppu]]</f>
        <v>-5.641239805509457E-6</v>
      </c>
      <c r="M3412">
        <f>dataset[[#This Row],[soda_sales]]/dataset[[#This Row],[total_sales]]</f>
        <v>6.2455878390971276E-2</v>
      </c>
      <c r="N3412">
        <f>LN(dataset[[#This Row],[soda_units_sold]])</f>
        <v>12.246845038820307</v>
      </c>
      <c r="O3412">
        <f>LN(dataset[[#This Row],[soda_sales]])</f>
        <v>11.886153982172178</v>
      </c>
      <c r="P3412">
        <f>LN(dataset[[#This Row],[soda_ppu]])</f>
        <v>-0.36068296533627114</v>
      </c>
      <c r="Q3412">
        <f>IF(dataset[[#This Row],[state]]="VA",1,0)</f>
        <v>0</v>
      </c>
    </row>
    <row r="3413" spans="1:17" x14ac:dyDescent="0.35">
      <c r="A3413">
        <v>202404</v>
      </c>
      <c r="B3413">
        <v>96</v>
      </c>
      <c r="C3413" s="2">
        <v>2428034.5888</v>
      </c>
      <c r="D3413" s="2">
        <v>0.7238</v>
      </c>
      <c r="E3413" s="3">
        <v>228636</v>
      </c>
      <c r="F3413" s="2">
        <v>165492.29060000001</v>
      </c>
      <c r="G3413" t="s">
        <v>654</v>
      </c>
      <c r="H3413" t="s">
        <v>5</v>
      </c>
      <c r="I3413">
        <f>HLOOKUP(G3413,zip_tiers!$A$1:$EON$2,2,FALSE)</f>
        <v>66036.333333333328</v>
      </c>
      <c r="J3413" t="str">
        <f t="shared" si="53"/>
        <v>Med</v>
      </c>
      <c r="K3413">
        <f>dataset[[#This Row],[soda_sales]]/dataset[[#This Row],[soda_units_sold]]</f>
        <v>0.72382429101278889</v>
      </c>
      <c r="L3413" s="29">
        <f>dataset[[#This Row],[implied_soda_ppu]]-dataset[[#This Row],[soda_ppu]]</f>
        <v>2.4291012788890676E-5</v>
      </c>
      <c r="M3413">
        <f>dataset[[#This Row],[soda_sales]]/dataset[[#This Row],[total_sales]]</f>
        <v>6.8158951014693228E-2</v>
      </c>
      <c r="N3413">
        <f>LN(dataset[[#This Row],[soda_units_sold]])</f>
        <v>12.339886498259085</v>
      </c>
      <c r="O3413">
        <f>LN(dataset[[#This Row],[soda_sales]])</f>
        <v>12.016679890236915</v>
      </c>
      <c r="P3413">
        <f>LN(dataset[[#This Row],[soda_ppu]])</f>
        <v>-0.32324016785249499</v>
      </c>
      <c r="Q3413">
        <f>IF(dataset[[#This Row],[state]]="VA",1,0)</f>
        <v>0</v>
      </c>
    </row>
    <row r="3414" spans="1:17" x14ac:dyDescent="0.35">
      <c r="A3414">
        <v>202405</v>
      </c>
      <c r="B3414">
        <v>96</v>
      </c>
      <c r="C3414" s="2">
        <v>2588197.0205999999</v>
      </c>
      <c r="D3414" s="2">
        <v>0.73119999999999996</v>
      </c>
      <c r="E3414" s="3">
        <v>253412</v>
      </c>
      <c r="F3414" s="2">
        <v>185292.663</v>
      </c>
      <c r="G3414" t="s">
        <v>654</v>
      </c>
      <c r="H3414" t="s">
        <v>5</v>
      </c>
      <c r="I3414">
        <f>HLOOKUP(G3414,zip_tiers!$A$1:$EON$2,2,FALSE)</f>
        <v>66036.333333333328</v>
      </c>
      <c r="J3414" t="str">
        <f t="shared" si="53"/>
        <v>Med</v>
      </c>
      <c r="K3414">
        <f>dataset[[#This Row],[soda_sales]]/dataset[[#This Row],[soda_units_sold]]</f>
        <v>0.73119135242214262</v>
      </c>
      <c r="L3414" s="29">
        <f>dataset[[#This Row],[implied_soda_ppu]]-dataset[[#This Row],[soda_ppu]]</f>
        <v>-8.6475778573458228E-6</v>
      </c>
      <c r="M3414">
        <f>dataset[[#This Row],[soda_sales]]/dataset[[#This Row],[total_sales]]</f>
        <v>7.1591405725768581E-2</v>
      </c>
      <c r="N3414">
        <f>LN(dataset[[#This Row],[soda_units_sold]])</f>
        <v>12.442771901706877</v>
      </c>
      <c r="O3414">
        <f>LN(dataset[[#This Row],[soda_sales]])</f>
        <v>12.129691816238594</v>
      </c>
      <c r="P3414">
        <f>LN(dataset[[#This Row],[soda_ppu]])</f>
        <v>-0.31306825884219686</v>
      </c>
      <c r="Q3414">
        <f>IF(dataset[[#This Row],[state]]="VA",1,0)</f>
        <v>0</v>
      </c>
    </row>
    <row r="3415" spans="1:17" x14ac:dyDescent="0.35">
      <c r="A3415">
        <v>202406</v>
      </c>
      <c r="B3415">
        <v>96</v>
      </c>
      <c r="C3415" s="2">
        <v>2535045.3593000001</v>
      </c>
      <c r="D3415" s="2">
        <v>0.74429999999999996</v>
      </c>
      <c r="E3415" s="3">
        <v>267675</v>
      </c>
      <c r="F3415" s="2">
        <v>199239.07680000001</v>
      </c>
      <c r="G3415" t="s">
        <v>654</v>
      </c>
      <c r="H3415" t="s">
        <v>5</v>
      </c>
      <c r="I3415">
        <f>HLOOKUP(G3415,zip_tiers!$A$1:$EON$2,2,FALSE)</f>
        <v>66036.333333333328</v>
      </c>
      <c r="J3415" t="str">
        <f t="shared" si="53"/>
        <v>Med</v>
      </c>
      <c r="K3415">
        <f>dataset[[#This Row],[soda_sales]]/dataset[[#This Row],[soda_units_sold]]</f>
        <v>0.74433203250210145</v>
      </c>
      <c r="L3415" s="29">
        <f>dataset[[#This Row],[implied_soda_ppu]]-dataset[[#This Row],[soda_ppu]]</f>
        <v>3.2032502101486671E-5</v>
      </c>
      <c r="M3415">
        <f>dataset[[#This Row],[soda_sales]]/dataset[[#This Row],[total_sales]]</f>
        <v>7.8593890270671818E-2</v>
      </c>
      <c r="N3415">
        <f>LN(dataset[[#This Row],[soda_units_sold]])</f>
        <v>12.49752883702647</v>
      </c>
      <c r="O3415">
        <f>LN(dataset[[#This Row],[soda_sales]])</f>
        <v>12.202260773568776</v>
      </c>
      <c r="P3415">
        <f>LN(dataset[[#This Row],[soda_ppu]])</f>
        <v>-0.29531109961627211</v>
      </c>
      <c r="Q3415">
        <f>IF(dataset[[#This Row],[state]]="VA",1,0)</f>
        <v>0</v>
      </c>
    </row>
    <row r="3416" spans="1:17" x14ac:dyDescent="0.35">
      <c r="A3416">
        <v>202407</v>
      </c>
      <c r="B3416">
        <v>96</v>
      </c>
      <c r="C3416" s="2">
        <v>2341552.9514000001</v>
      </c>
      <c r="D3416" s="2">
        <v>0.76029999999999998</v>
      </c>
      <c r="E3416" s="3">
        <v>262337</v>
      </c>
      <c r="F3416" s="2">
        <v>199455.74720000001</v>
      </c>
      <c r="G3416" t="s">
        <v>654</v>
      </c>
      <c r="H3416" t="s">
        <v>5</v>
      </c>
      <c r="I3416">
        <f>HLOOKUP(G3416,zip_tiers!$A$1:$EON$2,2,FALSE)</f>
        <v>66036.333333333328</v>
      </c>
      <c r="J3416" t="str">
        <f t="shared" si="53"/>
        <v>Med</v>
      </c>
      <c r="K3416">
        <f>dataset[[#This Row],[soda_sales]]/dataset[[#This Row],[soda_units_sold]]</f>
        <v>0.76030353019208119</v>
      </c>
      <c r="L3416" s="29">
        <f>dataset[[#This Row],[implied_soda_ppu]]-dataset[[#This Row],[soda_ppu]]</f>
        <v>3.5301920812136345E-6</v>
      </c>
      <c r="M3416">
        <f>dataset[[#This Row],[soda_sales]]/dataset[[#This Row],[total_sales]]</f>
        <v>8.5180968075373509E-2</v>
      </c>
      <c r="N3416">
        <f>LN(dataset[[#This Row],[soda_units_sold]])</f>
        <v>12.477385215762087</v>
      </c>
      <c r="O3416">
        <f>LN(dataset[[#This Row],[soda_sales]])</f>
        <v>12.203347672160318</v>
      </c>
      <c r="P3416">
        <f>LN(dataset[[#This Row],[soda_ppu]])</f>
        <v>-0.27404218674774611</v>
      </c>
      <c r="Q3416">
        <f>IF(dataset[[#This Row],[state]]="VA",1,0)</f>
        <v>0</v>
      </c>
    </row>
    <row r="3417" spans="1:17" x14ac:dyDescent="0.35">
      <c r="A3417">
        <v>202408</v>
      </c>
      <c r="B3417">
        <v>96</v>
      </c>
      <c r="C3417" s="2">
        <v>2290253.4213999999</v>
      </c>
      <c r="D3417" s="2">
        <v>0.72629999999999995</v>
      </c>
      <c r="E3417" s="3">
        <v>245463</v>
      </c>
      <c r="F3417" s="2">
        <v>178271.38939999999</v>
      </c>
      <c r="G3417" t="s">
        <v>654</v>
      </c>
      <c r="H3417" t="s">
        <v>5</v>
      </c>
      <c r="I3417">
        <f>HLOOKUP(G3417,zip_tiers!$A$1:$EON$2,2,FALSE)</f>
        <v>66036.333333333328</v>
      </c>
      <c r="J3417" t="str">
        <f t="shared" si="53"/>
        <v>Med</v>
      </c>
      <c r="K3417">
        <f>dataset[[#This Row],[soda_sales]]/dataset[[#This Row],[soda_units_sold]]</f>
        <v>0.72626582988067445</v>
      </c>
      <c r="L3417" s="29">
        <f>dataset[[#This Row],[implied_soda_ppu]]-dataset[[#This Row],[soda_ppu]]</f>
        <v>-3.4170119325493964E-5</v>
      </c>
      <c r="M3417">
        <f>dataset[[#This Row],[soda_sales]]/dataset[[#This Row],[total_sales]]</f>
        <v>7.7839154276222053E-2</v>
      </c>
      <c r="N3417">
        <f>LN(dataset[[#This Row],[soda_units_sold]])</f>
        <v>12.410901502027436</v>
      </c>
      <c r="O3417">
        <f>LN(dataset[[#This Row],[soda_sales]])</f>
        <v>12.091062327711462</v>
      </c>
      <c r="P3417">
        <f>LN(dataset[[#This Row],[soda_ppu]])</f>
        <v>-0.31979212637001464</v>
      </c>
      <c r="Q3417">
        <f>IF(dataset[[#This Row],[state]]="VA",1,0)</f>
        <v>0</v>
      </c>
    </row>
    <row r="3418" spans="1:17" x14ac:dyDescent="0.35">
      <c r="A3418">
        <v>202409</v>
      </c>
      <c r="B3418">
        <v>96</v>
      </c>
      <c r="C3418" s="2">
        <v>2260524.2708000001</v>
      </c>
      <c r="D3418" s="2">
        <v>0.74860000000000004</v>
      </c>
      <c r="E3418" s="3">
        <v>230646</v>
      </c>
      <c r="F3418" s="2">
        <v>172656.79790000001</v>
      </c>
      <c r="G3418" t="s">
        <v>654</v>
      </c>
      <c r="H3418" t="s">
        <v>5</v>
      </c>
      <c r="I3418">
        <f>HLOOKUP(G3418,zip_tiers!$A$1:$EON$2,2,FALSE)</f>
        <v>66036.333333333328</v>
      </c>
      <c r="J3418" t="str">
        <f t="shared" si="53"/>
        <v>Med</v>
      </c>
      <c r="K3418">
        <f>dataset[[#This Row],[soda_sales]]/dataset[[#This Row],[soda_units_sold]]</f>
        <v>0.74857919885885726</v>
      </c>
      <c r="L3418" s="29">
        <f>dataset[[#This Row],[implied_soda_ppu]]-dataset[[#This Row],[soda_ppu]]</f>
        <v>-2.0801141142778867E-5</v>
      </c>
      <c r="M3418">
        <f>dataset[[#This Row],[soda_sales]]/dataset[[#This Row],[total_sales]]</f>
        <v>7.6379094942827894E-2</v>
      </c>
      <c r="N3418">
        <f>LN(dataset[[#This Row],[soda_units_sold]])</f>
        <v>12.348639346542068</v>
      </c>
      <c r="O3418">
        <f>LN(dataset[[#This Row],[soda_sales]])</f>
        <v>12.059061075920795</v>
      </c>
      <c r="P3418">
        <f>LN(dataset[[#This Row],[soda_ppu]])</f>
        <v>-0.2895504835118084</v>
      </c>
      <c r="Q3418">
        <f>IF(dataset[[#This Row],[state]]="VA",1,0)</f>
        <v>0</v>
      </c>
    </row>
    <row r="3419" spans="1:17" x14ac:dyDescent="0.35">
      <c r="A3419">
        <v>202410</v>
      </c>
      <c r="B3419">
        <v>96</v>
      </c>
      <c r="C3419" s="2">
        <v>2782743.5469</v>
      </c>
      <c r="D3419" s="2">
        <v>0.74219999999999997</v>
      </c>
      <c r="E3419" s="3">
        <v>222258</v>
      </c>
      <c r="F3419" s="2">
        <v>164952.58840000001</v>
      </c>
      <c r="G3419" t="s">
        <v>654</v>
      </c>
      <c r="H3419" t="s">
        <v>5</v>
      </c>
      <c r="I3419">
        <f>HLOOKUP(G3419,zip_tiers!$A$1:$EON$2,2,FALSE)</f>
        <v>66036.333333333328</v>
      </c>
      <c r="J3419" t="str">
        <f t="shared" si="53"/>
        <v>Med</v>
      </c>
      <c r="K3419">
        <f>dataset[[#This Row],[soda_sales]]/dataset[[#This Row],[soda_units_sold]]</f>
        <v>0.74216715888741913</v>
      </c>
      <c r="L3419" s="29">
        <f>dataset[[#This Row],[implied_soda_ppu]]-dataset[[#This Row],[soda_ppu]]</f>
        <v>-3.2841112580839216E-5</v>
      </c>
      <c r="M3419">
        <f>dataset[[#This Row],[soda_sales]]/dataset[[#This Row],[total_sales]]</f>
        <v>5.9276963766121606E-2</v>
      </c>
      <c r="N3419">
        <f>LN(dataset[[#This Row],[soda_units_sold]])</f>
        <v>12.311594148228892</v>
      </c>
      <c r="O3419">
        <f>LN(dataset[[#This Row],[soda_sales]])</f>
        <v>12.013413368561496</v>
      </c>
      <c r="P3419">
        <f>LN(dataset[[#This Row],[soda_ppu]])</f>
        <v>-0.29813653035563986</v>
      </c>
      <c r="Q3419">
        <f>IF(dataset[[#This Row],[state]]="VA",1,0)</f>
        <v>0</v>
      </c>
    </row>
    <row r="3420" spans="1:17" x14ac:dyDescent="0.35">
      <c r="A3420">
        <v>202411</v>
      </c>
      <c r="B3420">
        <v>96</v>
      </c>
      <c r="C3420" s="2">
        <v>3143987.0477999998</v>
      </c>
      <c r="D3420" s="2">
        <v>0.76390000000000002</v>
      </c>
      <c r="E3420" s="3">
        <v>206246</v>
      </c>
      <c r="F3420" s="2">
        <v>157556.7745</v>
      </c>
      <c r="G3420" t="s">
        <v>654</v>
      </c>
      <c r="H3420" t="s">
        <v>5</v>
      </c>
      <c r="I3420">
        <f>HLOOKUP(G3420,zip_tiers!$A$1:$EON$2,2,FALSE)</f>
        <v>66036.333333333328</v>
      </c>
      <c r="J3420" t="str">
        <f t="shared" si="53"/>
        <v>Med</v>
      </c>
      <c r="K3420">
        <f>dataset[[#This Row],[soda_sales]]/dataset[[#This Row],[soda_units_sold]]</f>
        <v>0.76392644948265664</v>
      </c>
      <c r="L3420" s="29">
        <f>dataset[[#This Row],[implied_soda_ppu]]-dataset[[#This Row],[soda_ppu]]</f>
        <v>2.6449482656620837E-5</v>
      </c>
      <c r="M3420">
        <f>dataset[[#This Row],[soda_sales]]/dataset[[#This Row],[total_sales]]</f>
        <v>5.0113684345566921E-2</v>
      </c>
      <c r="N3420">
        <f>LN(dataset[[#This Row],[soda_units_sold]])</f>
        <v>12.236824910069469</v>
      </c>
      <c r="O3420">
        <f>LN(dataset[[#This Row],[soda_sales]])</f>
        <v>11.967541145308909</v>
      </c>
      <c r="P3420">
        <f>LN(dataset[[#This Row],[soda_ppu]])</f>
        <v>-0.26931838843482303</v>
      </c>
      <c r="Q3420">
        <f>IF(dataset[[#This Row],[state]]="VA",1,0)</f>
        <v>0</v>
      </c>
    </row>
    <row r="3421" spans="1:17" x14ac:dyDescent="0.35">
      <c r="A3421">
        <v>202412</v>
      </c>
      <c r="B3421">
        <v>96</v>
      </c>
      <c r="C3421" s="2">
        <v>3285068.4457</v>
      </c>
      <c r="D3421" s="2">
        <v>0.73870000000000002</v>
      </c>
      <c r="E3421" s="3">
        <v>205185</v>
      </c>
      <c r="F3421" s="2">
        <v>151567.6415</v>
      </c>
      <c r="G3421" t="s">
        <v>654</v>
      </c>
      <c r="H3421" t="s">
        <v>5</v>
      </c>
      <c r="I3421">
        <f>HLOOKUP(G3421,zip_tiers!$A$1:$EON$2,2,FALSE)</f>
        <v>66036.333333333328</v>
      </c>
      <c r="J3421" t="str">
        <f t="shared" si="53"/>
        <v>Med</v>
      </c>
      <c r="K3421">
        <f>dataset[[#This Row],[soda_sales]]/dataset[[#This Row],[soda_units_sold]]</f>
        <v>0.73868772814776906</v>
      </c>
      <c r="L3421" s="29">
        <f>dataset[[#This Row],[implied_soda_ppu]]-dataset[[#This Row],[soda_ppu]]</f>
        <v>-1.2271852230960612E-5</v>
      </c>
      <c r="M3421">
        <f>dataset[[#This Row],[soda_sales]]/dataset[[#This Row],[total_sales]]</f>
        <v>4.6138351150154848E-2</v>
      </c>
      <c r="N3421">
        <f>LN(dataset[[#This Row],[soda_units_sold]])</f>
        <v>12.231667290191654</v>
      </c>
      <c r="O3421">
        <f>LN(dataset[[#This Row],[soda_sales]])</f>
        <v>11.928787282837526</v>
      </c>
      <c r="P3421">
        <f>LN(dataset[[#This Row],[soda_ppu]])</f>
        <v>-0.30286339444744492</v>
      </c>
      <c r="Q3421">
        <f>IF(dataset[[#This Row],[state]]="VA",1,0)</f>
        <v>0</v>
      </c>
    </row>
    <row r="3422" spans="1:17" x14ac:dyDescent="0.35">
      <c r="A3422">
        <v>202201</v>
      </c>
      <c r="B3422">
        <v>94</v>
      </c>
      <c r="C3422" s="2">
        <v>1628877.6446</v>
      </c>
      <c r="D3422" s="2">
        <v>0.65759999999999996</v>
      </c>
      <c r="E3422" s="3">
        <v>155130</v>
      </c>
      <c r="F3422" s="2">
        <v>102015.7738</v>
      </c>
      <c r="G3422" t="s">
        <v>675</v>
      </c>
      <c r="H3422" t="s">
        <v>5</v>
      </c>
      <c r="I3422">
        <f>HLOOKUP(G3422,zip_tiers!$A$1:$EON$2,2,FALSE)</f>
        <v>58181.333333333336</v>
      </c>
      <c r="J3422" t="str">
        <f t="shared" si="53"/>
        <v>Med</v>
      </c>
      <c r="K3422">
        <f>dataset[[#This Row],[soda_sales]]/dataset[[#This Row],[soda_units_sold]]</f>
        <v>0.65761473473860632</v>
      </c>
      <c r="L3422" s="29">
        <f>dataset[[#This Row],[implied_soda_ppu]]-dataset[[#This Row],[soda_ppu]]</f>
        <v>1.4734738606358988E-5</v>
      </c>
      <c r="M3422">
        <f>dataset[[#This Row],[soda_sales]]/dataset[[#This Row],[total_sales]]</f>
        <v>6.2629488555017765E-2</v>
      </c>
      <c r="N3422">
        <f>LN(dataset[[#This Row],[soda_units_sold]])</f>
        <v>11.952018754058377</v>
      </c>
      <c r="O3422">
        <f>LN(dataset[[#This Row],[soda_sales]])</f>
        <v>11.532882725408127</v>
      </c>
      <c r="P3422">
        <f>LN(dataset[[#This Row],[soda_ppu]])</f>
        <v>-0.41915843524016694</v>
      </c>
      <c r="Q3422">
        <f>IF(dataset[[#This Row],[state]]="VA",1,0)</f>
        <v>0</v>
      </c>
    </row>
    <row r="3423" spans="1:17" x14ac:dyDescent="0.35">
      <c r="A3423">
        <v>202202</v>
      </c>
      <c r="B3423">
        <v>94</v>
      </c>
      <c r="C3423" s="2">
        <v>1841829.3436</v>
      </c>
      <c r="D3423" s="2">
        <v>0.66949999999999998</v>
      </c>
      <c r="E3423" s="3">
        <v>171348</v>
      </c>
      <c r="F3423" s="2">
        <v>114716.29120000001</v>
      </c>
      <c r="G3423" t="s">
        <v>675</v>
      </c>
      <c r="H3423" t="s">
        <v>5</v>
      </c>
      <c r="I3423">
        <f>HLOOKUP(G3423,zip_tiers!$A$1:$EON$2,2,FALSE)</f>
        <v>58181.333333333336</v>
      </c>
      <c r="J3423" t="str">
        <f t="shared" si="53"/>
        <v>Med</v>
      </c>
      <c r="K3423">
        <f>dataset[[#This Row],[soda_sales]]/dataset[[#This Row],[soda_units_sold]]</f>
        <v>0.66949302705604974</v>
      </c>
      <c r="L3423" s="29">
        <f>dataset[[#This Row],[implied_soda_ppu]]-dataset[[#This Row],[soda_ppu]]</f>
        <v>-6.9729439502452806E-6</v>
      </c>
      <c r="M3423">
        <f>dataset[[#This Row],[soda_sales]]/dataset[[#This Row],[total_sales]]</f>
        <v>6.2283887266003708E-2</v>
      </c>
      <c r="N3423">
        <f>LN(dataset[[#This Row],[soda_units_sold]])</f>
        <v>12.051451855218296</v>
      </c>
      <c r="O3423">
        <f>LN(dataset[[#This Row],[soda_sales]])</f>
        <v>11.650217326161616</v>
      </c>
      <c r="P3423">
        <f>LN(dataset[[#This Row],[soda_ppu]])</f>
        <v>-0.40122411385090989</v>
      </c>
      <c r="Q3423">
        <f>IF(dataset[[#This Row],[state]]="VA",1,0)</f>
        <v>0</v>
      </c>
    </row>
    <row r="3424" spans="1:17" x14ac:dyDescent="0.35">
      <c r="A3424">
        <v>202203</v>
      </c>
      <c r="B3424">
        <v>94</v>
      </c>
      <c r="C3424" s="2">
        <v>2103120.1011000001</v>
      </c>
      <c r="D3424" s="2">
        <v>0.68600000000000005</v>
      </c>
      <c r="E3424" s="3">
        <v>197685</v>
      </c>
      <c r="F3424" s="2">
        <v>135621.2464</v>
      </c>
      <c r="G3424" t="s">
        <v>675</v>
      </c>
      <c r="H3424" t="s">
        <v>5</v>
      </c>
      <c r="I3424">
        <f>HLOOKUP(G3424,zip_tiers!$A$1:$EON$2,2,FALSE)</f>
        <v>58181.333333333336</v>
      </c>
      <c r="J3424" t="str">
        <f t="shared" si="53"/>
        <v>Med</v>
      </c>
      <c r="K3424">
        <f>dataset[[#This Row],[soda_sales]]/dataset[[#This Row],[soda_units_sold]]</f>
        <v>0.68604722867187695</v>
      </c>
      <c r="L3424" s="29">
        <f>dataset[[#This Row],[implied_soda_ppu]]-dataset[[#This Row],[soda_ppu]]</f>
        <v>4.7228671876897721E-5</v>
      </c>
      <c r="M3424">
        <f>dataset[[#This Row],[soda_sales]]/dataset[[#This Row],[total_sales]]</f>
        <v>6.4485735421893259E-2</v>
      </c>
      <c r="N3424">
        <f>LN(dataset[[#This Row],[soda_units_sold]])</f>
        <v>12.194430133746099</v>
      </c>
      <c r="O3424">
        <f>LN(dataset[[#This Row],[soda_sales]])</f>
        <v>11.8176213265805</v>
      </c>
      <c r="P3424">
        <f>LN(dataset[[#This Row],[soda_ppu]])</f>
        <v>-0.37687765125625172</v>
      </c>
      <c r="Q3424">
        <f>IF(dataset[[#This Row],[state]]="VA",1,0)</f>
        <v>0</v>
      </c>
    </row>
    <row r="3425" spans="1:17" x14ac:dyDescent="0.35">
      <c r="A3425">
        <v>202204</v>
      </c>
      <c r="B3425">
        <v>94</v>
      </c>
      <c r="C3425" s="2">
        <v>2175664.6068000002</v>
      </c>
      <c r="D3425" s="2">
        <v>0.65510000000000002</v>
      </c>
      <c r="E3425" s="3">
        <v>239205</v>
      </c>
      <c r="F3425" s="2">
        <v>156706.26300000001</v>
      </c>
      <c r="G3425" t="s">
        <v>675</v>
      </c>
      <c r="H3425" t="s">
        <v>5</v>
      </c>
      <c r="I3425">
        <f>HLOOKUP(G3425,zip_tiers!$A$1:$EON$2,2,FALSE)</f>
        <v>58181.333333333336</v>
      </c>
      <c r="J3425" t="str">
        <f t="shared" si="53"/>
        <v>Med</v>
      </c>
      <c r="K3425">
        <f>dataset[[#This Row],[soda_sales]]/dataset[[#This Row],[soda_units_sold]]</f>
        <v>0.65511282372860102</v>
      </c>
      <c r="L3425" s="29">
        <f>dataset[[#This Row],[implied_soda_ppu]]-dataset[[#This Row],[soda_ppu]]</f>
        <v>1.2823728601008E-5</v>
      </c>
      <c r="M3425">
        <f>dataset[[#This Row],[soda_sales]]/dataset[[#This Row],[total_sales]]</f>
        <v>7.2026847571182356E-2</v>
      </c>
      <c r="N3425">
        <f>LN(dataset[[#This Row],[soda_units_sold]])</f>
        <v>12.385076203850183</v>
      </c>
      <c r="O3425">
        <f>LN(dataset[[#This Row],[soda_sales]])</f>
        <v>11.962128395637304</v>
      </c>
      <c r="P3425">
        <f>LN(dataset[[#This Row],[soda_ppu]])</f>
        <v>-0.42296738324430638</v>
      </c>
      <c r="Q3425">
        <f>IF(dataset[[#This Row],[state]]="VA",1,0)</f>
        <v>0</v>
      </c>
    </row>
    <row r="3426" spans="1:17" x14ac:dyDescent="0.35">
      <c r="A3426">
        <v>202205</v>
      </c>
      <c r="B3426">
        <v>94</v>
      </c>
      <c r="C3426" s="2">
        <v>2253012.2499000002</v>
      </c>
      <c r="D3426" s="2">
        <v>0.67630000000000001</v>
      </c>
      <c r="E3426" s="3">
        <v>253489</v>
      </c>
      <c r="F3426" s="2">
        <v>171426.48850000001</v>
      </c>
      <c r="G3426" t="s">
        <v>675</v>
      </c>
      <c r="H3426" t="s">
        <v>5</v>
      </c>
      <c r="I3426">
        <f>HLOOKUP(G3426,zip_tiers!$A$1:$EON$2,2,FALSE)</f>
        <v>58181.333333333336</v>
      </c>
      <c r="J3426" t="str">
        <f t="shared" si="53"/>
        <v>Med</v>
      </c>
      <c r="K3426">
        <f>dataset[[#This Row],[soda_sales]]/dataset[[#This Row],[soda_units_sold]]</f>
        <v>0.67626795837294718</v>
      </c>
      <c r="L3426" s="29">
        <f>dataset[[#This Row],[implied_soda_ppu]]-dataset[[#This Row],[soda_ppu]]</f>
        <v>-3.2041627052836752E-5</v>
      </c>
      <c r="M3426">
        <f>dataset[[#This Row],[soda_sales]]/dataset[[#This Row],[total_sales]]</f>
        <v>7.608768594472079E-2</v>
      </c>
      <c r="N3426">
        <f>LN(dataset[[#This Row],[soda_units_sold]])</f>
        <v>12.443075708566962</v>
      </c>
      <c r="O3426">
        <f>LN(dataset[[#This Row],[soda_sales]])</f>
        <v>12.051909815212431</v>
      </c>
      <c r="P3426">
        <f>LN(dataset[[#This Row],[soda_ppu]])</f>
        <v>-0.39111851440124279</v>
      </c>
      <c r="Q3426">
        <f>IF(dataset[[#This Row],[state]]="VA",1,0)</f>
        <v>0</v>
      </c>
    </row>
    <row r="3427" spans="1:17" x14ac:dyDescent="0.35">
      <c r="A3427">
        <v>202206</v>
      </c>
      <c r="B3427">
        <v>94</v>
      </c>
      <c r="C3427" s="2">
        <v>2199370.7500999998</v>
      </c>
      <c r="D3427" s="2">
        <v>0.69410000000000005</v>
      </c>
      <c r="E3427" s="3">
        <v>264139</v>
      </c>
      <c r="F3427" s="2">
        <v>183342.6686</v>
      </c>
      <c r="G3427" t="s">
        <v>675</v>
      </c>
      <c r="H3427" t="s">
        <v>5</v>
      </c>
      <c r="I3427">
        <f>HLOOKUP(G3427,zip_tiers!$A$1:$EON$2,2,FALSE)</f>
        <v>58181.333333333336</v>
      </c>
      <c r="J3427" t="str">
        <f t="shared" si="53"/>
        <v>Med</v>
      </c>
      <c r="K3427">
        <f>dataset[[#This Row],[soda_sales]]/dataset[[#This Row],[soda_units_sold]]</f>
        <v>0.69411434358424917</v>
      </c>
      <c r="L3427" s="29">
        <f>dataset[[#This Row],[implied_soda_ppu]]-dataset[[#This Row],[soda_ppu]]</f>
        <v>1.4343584249121299E-5</v>
      </c>
      <c r="M3427">
        <f>dataset[[#This Row],[soda_sales]]/dataset[[#This Row],[total_sales]]</f>
        <v>8.3361419893241681E-2</v>
      </c>
      <c r="N3427">
        <f>LN(dataset[[#This Row],[soda_units_sold]])</f>
        <v>12.4842307587195</v>
      </c>
      <c r="O3427">
        <f>LN(dataset[[#This Row],[soda_sales]])</f>
        <v>12.119112186880548</v>
      </c>
      <c r="P3427">
        <f>LN(dataset[[#This Row],[soda_ppu]])</f>
        <v>-0.36513923663659897</v>
      </c>
      <c r="Q3427">
        <f>IF(dataset[[#This Row],[state]]="VA",1,0)</f>
        <v>0</v>
      </c>
    </row>
    <row r="3428" spans="1:17" x14ac:dyDescent="0.35">
      <c r="A3428">
        <v>202207</v>
      </c>
      <c r="B3428">
        <v>94</v>
      </c>
      <c r="C3428" s="2">
        <v>2059421.1632000001</v>
      </c>
      <c r="D3428" s="2">
        <v>0.66459999999999997</v>
      </c>
      <c r="E3428" s="3">
        <v>281979</v>
      </c>
      <c r="F3428" s="2">
        <v>187404.52050000001</v>
      </c>
      <c r="G3428" t="s">
        <v>675</v>
      </c>
      <c r="H3428" t="s">
        <v>5</v>
      </c>
      <c r="I3428">
        <f>HLOOKUP(G3428,zip_tiers!$A$1:$EON$2,2,FALSE)</f>
        <v>58181.333333333336</v>
      </c>
      <c r="J3428" t="str">
        <f t="shared" si="53"/>
        <v>Med</v>
      </c>
      <c r="K3428">
        <f>dataset[[#This Row],[soda_sales]]/dataset[[#This Row],[soda_units_sold]]</f>
        <v>0.6646045290606748</v>
      </c>
      <c r="L3428" s="29">
        <f>dataset[[#This Row],[implied_soda_ppu]]-dataset[[#This Row],[soda_ppu]]</f>
        <v>4.5290606748293882E-6</v>
      </c>
      <c r="M3428">
        <f>dataset[[#This Row],[soda_sales]]/dataset[[#This Row],[total_sales]]</f>
        <v>9.0998637796265228E-2</v>
      </c>
      <c r="N3428">
        <f>LN(dataset[[#This Row],[soda_units_sold]])</f>
        <v>12.549587879062258</v>
      </c>
      <c r="O3428">
        <f>LN(dataset[[#This Row],[soda_sales]])</f>
        <v>12.141024770694029</v>
      </c>
      <c r="P3428">
        <f>LN(dataset[[#This Row],[soda_ppu]])</f>
        <v>-0.40856992306164319</v>
      </c>
      <c r="Q3428">
        <f>IF(dataset[[#This Row],[state]]="VA",1,0)</f>
        <v>0</v>
      </c>
    </row>
    <row r="3429" spans="1:17" x14ac:dyDescent="0.35">
      <c r="A3429">
        <v>202208</v>
      </c>
      <c r="B3429">
        <v>94</v>
      </c>
      <c r="C3429" s="2">
        <v>1983009.9609000001</v>
      </c>
      <c r="D3429" s="2">
        <v>0.66830000000000001</v>
      </c>
      <c r="E3429" s="3">
        <v>246061</v>
      </c>
      <c r="F3429" s="2">
        <v>164437.14199999999</v>
      </c>
      <c r="G3429" t="s">
        <v>675</v>
      </c>
      <c r="H3429" t="s">
        <v>5</v>
      </c>
      <c r="I3429">
        <f>HLOOKUP(G3429,zip_tiers!$A$1:$EON$2,2,FALSE)</f>
        <v>58181.333333333336</v>
      </c>
      <c r="J3429" t="str">
        <f t="shared" si="53"/>
        <v>Med</v>
      </c>
      <c r="K3429">
        <f>dataset[[#This Row],[soda_sales]]/dataset[[#This Row],[soda_units_sold]]</f>
        <v>0.6682779554663274</v>
      </c>
      <c r="L3429" s="29">
        <f>dataset[[#This Row],[implied_soda_ppu]]-dataset[[#This Row],[soda_ppu]]</f>
        <v>-2.2044533672604949E-5</v>
      </c>
      <c r="M3429">
        <f>dataset[[#This Row],[soda_sales]]/dataset[[#This Row],[total_sales]]</f>
        <v>8.2923003536184606E-2</v>
      </c>
      <c r="N3429">
        <f>LN(dataset[[#This Row],[soda_units_sold]])</f>
        <v>12.41333475165532</v>
      </c>
      <c r="O3429">
        <f>LN(dataset[[#This Row],[soda_sales]])</f>
        <v>12.010283660661312</v>
      </c>
      <c r="P3429">
        <f>LN(dataset[[#This Row],[soda_ppu]])</f>
        <v>-0.4030181044651126</v>
      </c>
      <c r="Q3429">
        <f>IF(dataset[[#This Row],[state]]="VA",1,0)</f>
        <v>0</v>
      </c>
    </row>
    <row r="3430" spans="1:17" x14ac:dyDescent="0.35">
      <c r="A3430">
        <v>202209</v>
      </c>
      <c r="B3430">
        <v>94</v>
      </c>
      <c r="C3430" s="2">
        <v>1929394.9024</v>
      </c>
      <c r="D3430" s="2">
        <v>0.65610000000000002</v>
      </c>
      <c r="E3430" s="3">
        <v>233086</v>
      </c>
      <c r="F3430" s="2">
        <v>152929.47450000001</v>
      </c>
      <c r="G3430" t="s">
        <v>675</v>
      </c>
      <c r="H3430" t="s">
        <v>5</v>
      </c>
      <c r="I3430">
        <f>HLOOKUP(G3430,zip_tiers!$A$1:$EON$2,2,FALSE)</f>
        <v>58181.333333333336</v>
      </c>
      <c r="J3430" t="str">
        <f t="shared" si="53"/>
        <v>Med</v>
      </c>
      <c r="K3430">
        <f>dataset[[#This Row],[soda_sales]]/dataset[[#This Row],[soda_units_sold]]</f>
        <v>0.65610750752940983</v>
      </c>
      <c r="L3430" s="29">
        <f>dataset[[#This Row],[implied_soda_ppu]]-dataset[[#This Row],[soda_ppu]]</f>
        <v>7.5075294098114753E-6</v>
      </c>
      <c r="M3430">
        <f>dataset[[#This Row],[soda_sales]]/dataset[[#This Row],[total_sales]]</f>
        <v>7.9262920364187237E-2</v>
      </c>
      <c r="N3430">
        <f>LN(dataset[[#This Row],[soda_units_sold]])</f>
        <v>12.359162763160111</v>
      </c>
      <c r="O3430">
        <f>LN(dataset[[#This Row],[soda_sales]])</f>
        <v>11.937732143123618</v>
      </c>
      <c r="P3430">
        <f>LN(dataset[[#This Row],[soda_ppu]])</f>
        <v>-0.42144206263130518</v>
      </c>
      <c r="Q3430">
        <f>IF(dataset[[#This Row],[state]]="VA",1,0)</f>
        <v>0</v>
      </c>
    </row>
    <row r="3431" spans="1:17" x14ac:dyDescent="0.35">
      <c r="A3431">
        <v>202210</v>
      </c>
      <c r="B3431">
        <v>94</v>
      </c>
      <c r="C3431" s="2">
        <v>2439090.9759999998</v>
      </c>
      <c r="D3431" s="2">
        <v>0.66080000000000005</v>
      </c>
      <c r="E3431" s="3">
        <v>229879</v>
      </c>
      <c r="F3431" s="2">
        <v>151902.60519999999</v>
      </c>
      <c r="G3431" t="s">
        <v>675</v>
      </c>
      <c r="H3431" t="s">
        <v>5</v>
      </c>
      <c r="I3431">
        <f>HLOOKUP(G3431,zip_tiers!$A$1:$EON$2,2,FALSE)</f>
        <v>58181.333333333336</v>
      </c>
      <c r="J3431" t="str">
        <f t="shared" si="53"/>
        <v>Med</v>
      </c>
      <c r="K3431">
        <f>dataset[[#This Row],[soda_sales]]/dataset[[#This Row],[soda_units_sold]]</f>
        <v>0.66079374453516848</v>
      </c>
      <c r="L3431" s="29">
        <f>dataset[[#This Row],[implied_soda_ppu]]-dataset[[#This Row],[soda_ppu]]</f>
        <v>-6.255464831572688E-6</v>
      </c>
      <c r="M3431">
        <f>dataset[[#This Row],[soda_sales]]/dataset[[#This Row],[total_sales]]</f>
        <v>6.2278367922591178E-2</v>
      </c>
      <c r="N3431">
        <f>LN(dataset[[#This Row],[soda_units_sold]])</f>
        <v>12.345308362516514</v>
      </c>
      <c r="O3431">
        <f>LN(dataset[[#This Row],[soda_sales]])</f>
        <v>11.930994839193868</v>
      </c>
      <c r="P3431">
        <f>LN(dataset[[#This Row],[soda_ppu]])</f>
        <v>-0.41430405677536863</v>
      </c>
      <c r="Q3431">
        <f>IF(dataset[[#This Row],[state]]="VA",1,0)</f>
        <v>0</v>
      </c>
    </row>
    <row r="3432" spans="1:17" x14ac:dyDescent="0.35">
      <c r="A3432">
        <v>202211</v>
      </c>
      <c r="B3432">
        <v>94</v>
      </c>
      <c r="C3432" s="2">
        <v>2729286.3983</v>
      </c>
      <c r="D3432" s="2">
        <v>0.69450000000000001</v>
      </c>
      <c r="E3432" s="3">
        <v>203243</v>
      </c>
      <c r="F3432" s="2">
        <v>141162.0747</v>
      </c>
      <c r="G3432" t="s">
        <v>675</v>
      </c>
      <c r="H3432" t="s">
        <v>5</v>
      </c>
      <c r="I3432">
        <f>HLOOKUP(G3432,zip_tiers!$A$1:$EON$2,2,FALSE)</f>
        <v>58181.333333333336</v>
      </c>
      <c r="J3432" t="str">
        <f t="shared" si="53"/>
        <v>Med</v>
      </c>
      <c r="K3432">
        <f>dataset[[#This Row],[soda_sales]]/dataset[[#This Row],[soda_units_sold]]</f>
        <v>0.69454827324926316</v>
      </c>
      <c r="L3432" s="29">
        <f>dataset[[#This Row],[implied_soda_ppu]]-dataset[[#This Row],[soda_ppu]]</f>
        <v>4.8273249263153239E-5</v>
      </c>
      <c r="M3432">
        <f>dataset[[#This Row],[soda_sales]]/dataset[[#This Row],[total_sales]]</f>
        <v>5.1721239217667338E-2</v>
      </c>
      <c r="N3432">
        <f>LN(dataset[[#This Row],[soda_units_sold]])</f>
        <v>12.222157586472571</v>
      </c>
      <c r="O3432">
        <f>LN(dataset[[#This Row],[soda_sales]])</f>
        <v>11.857663975187576</v>
      </c>
      <c r="P3432">
        <f>LN(dataset[[#This Row],[soda_ppu]])</f>
        <v>-0.36456311678773856</v>
      </c>
      <c r="Q3432">
        <f>IF(dataset[[#This Row],[state]]="VA",1,0)</f>
        <v>0</v>
      </c>
    </row>
    <row r="3433" spans="1:17" x14ac:dyDescent="0.35">
      <c r="A3433">
        <v>202212</v>
      </c>
      <c r="B3433">
        <v>94</v>
      </c>
      <c r="C3433" s="2">
        <v>2843838.9386999998</v>
      </c>
      <c r="D3433" s="2">
        <v>0.67520000000000002</v>
      </c>
      <c r="E3433" s="3">
        <v>206243</v>
      </c>
      <c r="F3433" s="2">
        <v>139254.19380000001</v>
      </c>
      <c r="G3433" t="s">
        <v>675</v>
      </c>
      <c r="H3433" t="s">
        <v>5</v>
      </c>
      <c r="I3433">
        <f>HLOOKUP(G3433,zip_tiers!$A$1:$EON$2,2,FALSE)</f>
        <v>58181.333333333336</v>
      </c>
      <c r="J3433" t="str">
        <f t="shared" si="53"/>
        <v>Med</v>
      </c>
      <c r="K3433">
        <f>dataset[[#This Row],[soda_sales]]/dataset[[#This Row],[soda_units_sold]]</f>
        <v>0.67519476442836857</v>
      </c>
      <c r="L3433" s="29">
        <f>dataset[[#This Row],[implied_soda_ppu]]-dataset[[#This Row],[soda_ppu]]</f>
        <v>-5.2355716314567147E-6</v>
      </c>
      <c r="M3433">
        <f>dataset[[#This Row],[soda_sales]]/dataset[[#This Row],[total_sales]]</f>
        <v>4.896697626049705E-2</v>
      </c>
      <c r="N3433">
        <f>LN(dataset[[#This Row],[soda_units_sold]])</f>
        <v>12.236810364227034</v>
      </c>
      <c r="O3433">
        <f>LN(dataset[[#This Row],[soda_sales]])</f>
        <v>11.844056274391676</v>
      </c>
      <c r="P3433">
        <f>LN(dataset[[#This Row],[soda_ppu]])</f>
        <v>-0.39274633570038964</v>
      </c>
      <c r="Q3433">
        <f>IF(dataset[[#This Row],[state]]="VA",1,0)</f>
        <v>0</v>
      </c>
    </row>
    <row r="3434" spans="1:17" x14ac:dyDescent="0.35">
      <c r="A3434">
        <v>202301</v>
      </c>
      <c r="B3434">
        <v>94</v>
      </c>
      <c r="C3434" s="2">
        <v>1642224.5519999999</v>
      </c>
      <c r="D3434" s="2">
        <v>0.69810000000000005</v>
      </c>
      <c r="E3434" s="3">
        <v>147075</v>
      </c>
      <c r="F3434" s="2">
        <v>102678.6685</v>
      </c>
      <c r="G3434" t="s">
        <v>675</v>
      </c>
      <c r="H3434" t="s">
        <v>5</v>
      </c>
      <c r="I3434">
        <f>HLOOKUP(G3434,zip_tiers!$A$1:$EON$2,2,FALSE)</f>
        <v>58181.333333333336</v>
      </c>
      <c r="J3434" t="str">
        <f t="shared" si="53"/>
        <v>Med</v>
      </c>
      <c r="K3434">
        <f>dataset[[#This Row],[soda_sales]]/dataset[[#This Row],[soda_units_sold]]</f>
        <v>0.69813815060343365</v>
      </c>
      <c r="L3434" s="29">
        <f>dataset[[#This Row],[implied_soda_ppu]]-dataset[[#This Row],[soda_ppu]]</f>
        <v>3.8150603433595442E-5</v>
      </c>
      <c r="M3434">
        <f>dataset[[#This Row],[soda_sales]]/dataset[[#This Row],[total_sales]]</f>
        <v>6.2524134336532561E-2</v>
      </c>
      <c r="N3434">
        <f>LN(dataset[[#This Row],[soda_units_sold]])</f>
        <v>11.898697939732656</v>
      </c>
      <c r="O3434">
        <f>LN(dataset[[#This Row],[soda_sales]])</f>
        <v>11.539359667429242</v>
      </c>
      <c r="P3434">
        <f>LN(dataset[[#This Row],[soda_ppu]])</f>
        <v>-0.35939292000578121</v>
      </c>
      <c r="Q3434">
        <f>IF(dataset[[#This Row],[state]]="VA",1,0)</f>
        <v>0</v>
      </c>
    </row>
    <row r="3435" spans="1:17" x14ac:dyDescent="0.35">
      <c r="A3435">
        <v>202302</v>
      </c>
      <c r="B3435">
        <v>94</v>
      </c>
      <c r="C3435" s="2">
        <v>1860871.8256999999</v>
      </c>
      <c r="D3435" s="2">
        <v>0.68879999999999997</v>
      </c>
      <c r="E3435" s="3">
        <v>166816</v>
      </c>
      <c r="F3435" s="2">
        <v>114902.08409999999</v>
      </c>
      <c r="G3435" t="s">
        <v>675</v>
      </c>
      <c r="H3435" t="s">
        <v>5</v>
      </c>
      <c r="I3435">
        <f>HLOOKUP(G3435,zip_tiers!$A$1:$EON$2,2,FALSE)</f>
        <v>58181.333333333336</v>
      </c>
      <c r="J3435" t="str">
        <f t="shared" si="53"/>
        <v>Med</v>
      </c>
      <c r="K3435">
        <f>dataset[[#This Row],[soda_sales]]/dataset[[#This Row],[soda_units_sold]]</f>
        <v>0.6887953439718012</v>
      </c>
      <c r="L3435" s="29">
        <f>dataset[[#This Row],[implied_soda_ppu]]-dataset[[#This Row],[soda_ppu]]</f>
        <v>-4.6560281987684249E-6</v>
      </c>
      <c r="M3435">
        <f>dataset[[#This Row],[soda_sales]]/dataset[[#This Row],[total_sales]]</f>
        <v>6.1746372056967189E-2</v>
      </c>
      <c r="N3435">
        <f>LN(dataset[[#This Row],[soda_units_sold]])</f>
        <v>12.024646687567833</v>
      </c>
      <c r="O3435">
        <f>LN(dataset[[#This Row],[soda_sales]])</f>
        <v>11.65183560205355</v>
      </c>
      <c r="P3435">
        <f>LN(dataset[[#This Row],[soda_ppu]])</f>
        <v>-0.37280432586861606</v>
      </c>
      <c r="Q3435">
        <f>IF(dataset[[#This Row],[state]]="VA",1,0)</f>
        <v>0</v>
      </c>
    </row>
    <row r="3436" spans="1:17" x14ac:dyDescent="0.35">
      <c r="A3436">
        <v>202303</v>
      </c>
      <c r="B3436">
        <v>94</v>
      </c>
      <c r="C3436" s="2">
        <v>2070384.9297</v>
      </c>
      <c r="D3436" s="2">
        <v>0.68189999999999995</v>
      </c>
      <c r="E3436" s="3">
        <v>201609</v>
      </c>
      <c r="F3436" s="2">
        <v>137483.20189999999</v>
      </c>
      <c r="G3436" t="s">
        <v>675</v>
      </c>
      <c r="H3436" t="s">
        <v>5</v>
      </c>
      <c r="I3436">
        <f>HLOOKUP(G3436,zip_tiers!$A$1:$EON$2,2,FALSE)</f>
        <v>58181.333333333336</v>
      </c>
      <c r="J3436" t="str">
        <f t="shared" si="53"/>
        <v>Med</v>
      </c>
      <c r="K3436">
        <f>dataset[[#This Row],[soda_sales]]/dataset[[#This Row],[soda_units_sold]]</f>
        <v>0.68192988358654616</v>
      </c>
      <c r="L3436" s="29">
        <f>dataset[[#This Row],[implied_soda_ppu]]-dataset[[#This Row],[soda_ppu]]</f>
        <v>2.9883586546208818E-5</v>
      </c>
      <c r="M3436">
        <f>dataset[[#This Row],[soda_sales]]/dataset[[#This Row],[total_sales]]</f>
        <v>6.6404657379302595E-2</v>
      </c>
      <c r="N3436">
        <f>LN(dataset[[#This Row],[soda_units_sold]])</f>
        <v>12.214085457040031</v>
      </c>
      <c r="O3436">
        <f>LN(dataset[[#This Row],[soda_sales]])</f>
        <v>11.831257020625644</v>
      </c>
      <c r="P3436">
        <f>LN(dataset[[#This Row],[soda_ppu]])</f>
        <v>-0.38287225945552988</v>
      </c>
      <c r="Q3436">
        <f>IF(dataset[[#This Row],[state]]="VA",1,0)</f>
        <v>0</v>
      </c>
    </row>
    <row r="3437" spans="1:17" x14ac:dyDescent="0.35">
      <c r="A3437">
        <v>202304</v>
      </c>
      <c r="B3437">
        <v>94</v>
      </c>
      <c r="C3437" s="2">
        <v>2177533.5628</v>
      </c>
      <c r="D3437" s="2">
        <v>0.68310000000000004</v>
      </c>
      <c r="E3437" s="3">
        <v>230740</v>
      </c>
      <c r="F3437" s="2">
        <v>157607.54130000001</v>
      </c>
      <c r="G3437" t="s">
        <v>675</v>
      </c>
      <c r="H3437" t="s">
        <v>5</v>
      </c>
      <c r="I3437">
        <f>HLOOKUP(G3437,zip_tiers!$A$1:$EON$2,2,FALSE)</f>
        <v>58181.333333333336</v>
      </c>
      <c r="J3437" t="str">
        <f t="shared" si="53"/>
        <v>Med</v>
      </c>
      <c r="K3437">
        <f>dataset[[#This Row],[soda_sales]]/dataset[[#This Row],[soda_units_sold]]</f>
        <v>0.68305253228742313</v>
      </c>
      <c r="L3437" s="29">
        <f>dataset[[#This Row],[implied_soda_ppu]]-dataset[[#This Row],[soda_ppu]]</f>
        <v>-4.7467712576909626E-5</v>
      </c>
      <c r="M3437">
        <f>dataset[[#This Row],[soda_sales]]/dataset[[#This Row],[total_sales]]</f>
        <v>7.2378926319435932E-2</v>
      </c>
      <c r="N3437">
        <f>LN(dataset[[#This Row],[soda_units_sold]])</f>
        <v>12.34904681448128</v>
      </c>
      <c r="O3437">
        <f>LN(dataset[[#This Row],[soda_sales]])</f>
        <v>11.967863306149424</v>
      </c>
      <c r="P3437">
        <f>LN(dataset[[#This Row],[soda_ppu]])</f>
        <v>-0.38111401724433336</v>
      </c>
      <c r="Q3437">
        <f>IF(dataset[[#This Row],[state]]="VA",1,0)</f>
        <v>0</v>
      </c>
    </row>
    <row r="3438" spans="1:17" x14ac:dyDescent="0.35">
      <c r="A3438">
        <v>202305</v>
      </c>
      <c r="B3438">
        <v>94</v>
      </c>
      <c r="C3438" s="2">
        <v>2344096.9925000002</v>
      </c>
      <c r="D3438" s="2">
        <v>0.66469999999999996</v>
      </c>
      <c r="E3438" s="3">
        <v>275850</v>
      </c>
      <c r="F3438" s="2">
        <v>183358.742</v>
      </c>
      <c r="G3438" t="s">
        <v>675</v>
      </c>
      <c r="H3438" t="s">
        <v>5</v>
      </c>
      <c r="I3438">
        <f>HLOOKUP(G3438,zip_tiers!$A$1:$EON$2,2,FALSE)</f>
        <v>58181.333333333336</v>
      </c>
      <c r="J3438" t="str">
        <f t="shared" si="53"/>
        <v>Med</v>
      </c>
      <c r="K3438">
        <f>dataset[[#This Row],[soda_sales]]/dataset[[#This Row],[soda_units_sold]]</f>
        <v>0.66470452057277507</v>
      </c>
      <c r="L3438" s="29">
        <f>dataset[[#This Row],[implied_soda_ppu]]-dataset[[#This Row],[soda_ppu]]</f>
        <v>4.5205727751129743E-6</v>
      </c>
      <c r="M3438">
        <f>dataset[[#This Row],[soda_sales]]/dataset[[#This Row],[total_sales]]</f>
        <v>7.8221482552411917E-2</v>
      </c>
      <c r="N3438">
        <f>LN(dataset[[#This Row],[soda_units_sold]])</f>
        <v>12.527612518700577</v>
      </c>
      <c r="O3438">
        <f>LN(dataset[[#This Row],[soda_sales]])</f>
        <v>12.119199851664732</v>
      </c>
      <c r="P3438">
        <f>LN(dataset[[#This Row],[soda_ppu]])</f>
        <v>-0.40841946793460093</v>
      </c>
      <c r="Q3438">
        <f>IF(dataset[[#This Row],[state]]="VA",1,0)</f>
        <v>0</v>
      </c>
    </row>
    <row r="3439" spans="1:17" x14ac:dyDescent="0.35">
      <c r="A3439">
        <v>202306</v>
      </c>
      <c r="B3439">
        <v>94</v>
      </c>
      <c r="C3439" s="2">
        <v>2204047.3324000002</v>
      </c>
      <c r="D3439" s="2">
        <v>0.70660000000000001</v>
      </c>
      <c r="E3439" s="3">
        <v>254559</v>
      </c>
      <c r="F3439" s="2">
        <v>179859.61199999999</v>
      </c>
      <c r="G3439" t="s">
        <v>675</v>
      </c>
      <c r="H3439" t="s">
        <v>5</v>
      </c>
      <c r="I3439">
        <f>HLOOKUP(G3439,zip_tiers!$A$1:$EON$2,2,FALSE)</f>
        <v>58181.333333333336</v>
      </c>
      <c r="J3439" t="str">
        <f t="shared" si="53"/>
        <v>Med</v>
      </c>
      <c r="K3439">
        <f>dataset[[#This Row],[soda_sales]]/dataset[[#This Row],[soda_units_sold]]</f>
        <v>0.70655373410486366</v>
      </c>
      <c r="L3439" s="29">
        <f>dataset[[#This Row],[implied_soda_ppu]]-dataset[[#This Row],[soda_ppu]]</f>
        <v>-4.6265895136343715E-5</v>
      </c>
      <c r="M3439">
        <f>dataset[[#This Row],[soda_sales]]/dataset[[#This Row],[total_sales]]</f>
        <v>8.1604242048717621E-2</v>
      </c>
      <c r="N3439">
        <f>LN(dataset[[#This Row],[soda_units_sold]])</f>
        <v>12.447287915216947</v>
      </c>
      <c r="O3439">
        <f>LN(dataset[[#This Row],[soda_sales]])</f>
        <v>12.099931892232776</v>
      </c>
      <c r="P3439">
        <f>LN(dataset[[#This Row],[soda_ppu]])</f>
        <v>-0.3472905440570922</v>
      </c>
      <c r="Q3439">
        <f>IF(dataset[[#This Row],[state]]="VA",1,0)</f>
        <v>0</v>
      </c>
    </row>
    <row r="3440" spans="1:17" x14ac:dyDescent="0.35">
      <c r="A3440">
        <v>202307</v>
      </c>
      <c r="B3440">
        <v>94</v>
      </c>
      <c r="C3440" s="2">
        <v>2074874.8984999999</v>
      </c>
      <c r="D3440" s="2">
        <v>0.71279999999999999</v>
      </c>
      <c r="E3440" s="3">
        <v>258571</v>
      </c>
      <c r="F3440" s="2">
        <v>184315.63649999999</v>
      </c>
      <c r="G3440" t="s">
        <v>675</v>
      </c>
      <c r="H3440" t="s">
        <v>5</v>
      </c>
      <c r="I3440">
        <f>HLOOKUP(G3440,zip_tiers!$A$1:$EON$2,2,FALSE)</f>
        <v>58181.333333333336</v>
      </c>
      <c r="J3440" t="str">
        <f t="shared" si="53"/>
        <v>Med</v>
      </c>
      <c r="K3440">
        <f>dataset[[#This Row],[soda_sales]]/dataset[[#This Row],[soda_units_sold]]</f>
        <v>0.71282408506754424</v>
      </c>
      <c r="L3440" s="29">
        <f>dataset[[#This Row],[implied_soda_ppu]]-dataset[[#This Row],[soda_ppu]]</f>
        <v>2.408506754425499E-5</v>
      </c>
      <c r="M3440">
        <f>dataset[[#This Row],[soda_sales]]/dataset[[#This Row],[total_sales]]</f>
        <v>8.8832168451817628E-2</v>
      </c>
      <c r="N3440">
        <f>LN(dataset[[#This Row],[soda_units_sold]])</f>
        <v>12.462925596726759</v>
      </c>
      <c r="O3440">
        <f>LN(dataset[[#This Row],[soda_sales]])</f>
        <v>12.124404982706837</v>
      </c>
      <c r="P3440">
        <f>LN(dataset[[#This Row],[soda_ppu]])</f>
        <v>-0.3385544028255375</v>
      </c>
      <c r="Q3440">
        <f>IF(dataset[[#This Row],[state]]="VA",1,0)</f>
        <v>0</v>
      </c>
    </row>
    <row r="3441" spans="1:17" x14ac:dyDescent="0.35">
      <c r="A3441">
        <v>202308</v>
      </c>
      <c r="B3441">
        <v>94</v>
      </c>
      <c r="C3441" s="2">
        <v>2017907.2056</v>
      </c>
      <c r="D3441" s="2">
        <v>0.68489999999999995</v>
      </c>
      <c r="E3441" s="3">
        <v>243340</v>
      </c>
      <c r="F3441" s="2">
        <v>166673.2733</v>
      </c>
      <c r="G3441" t="s">
        <v>675</v>
      </c>
      <c r="H3441" t="s">
        <v>5</v>
      </c>
      <c r="I3441">
        <f>HLOOKUP(G3441,zip_tiers!$A$1:$EON$2,2,FALSE)</f>
        <v>58181.333333333336</v>
      </c>
      <c r="J3441" t="str">
        <f t="shared" si="53"/>
        <v>Med</v>
      </c>
      <c r="K3441">
        <f>dataset[[#This Row],[soda_sales]]/dataset[[#This Row],[soda_units_sold]]</f>
        <v>0.68493989192076932</v>
      </c>
      <c r="L3441" s="29">
        <f>dataset[[#This Row],[implied_soda_ppu]]-dataset[[#This Row],[soda_ppu]]</f>
        <v>3.9891920769363765E-5</v>
      </c>
      <c r="M3441">
        <f>dataset[[#This Row],[soda_sales]]/dataset[[#This Row],[total_sales]]</f>
        <v>8.2597095068324383E-2</v>
      </c>
      <c r="N3441">
        <f>LN(dataset[[#This Row],[soda_units_sold]])</f>
        <v>12.402214921341439</v>
      </c>
      <c r="O3441">
        <f>LN(dataset[[#This Row],[soda_sales]])</f>
        <v>12.023790727750583</v>
      </c>
      <c r="P3441">
        <f>LN(dataset[[#This Row],[soda_ppu]])</f>
        <v>-0.37848243677827759</v>
      </c>
      <c r="Q3441">
        <f>IF(dataset[[#This Row],[state]]="VA",1,0)</f>
        <v>0</v>
      </c>
    </row>
    <row r="3442" spans="1:17" x14ac:dyDescent="0.35">
      <c r="A3442">
        <v>202309</v>
      </c>
      <c r="B3442">
        <v>94</v>
      </c>
      <c r="C3442" s="2">
        <v>2006575.7378</v>
      </c>
      <c r="D3442" s="2">
        <v>0.6804</v>
      </c>
      <c r="E3442" s="3">
        <v>236037</v>
      </c>
      <c r="F3442" s="2">
        <v>160607.26250000001</v>
      </c>
      <c r="G3442" t="s">
        <v>675</v>
      </c>
      <c r="H3442" t="s">
        <v>5</v>
      </c>
      <c r="I3442">
        <f>HLOOKUP(G3442,zip_tiers!$A$1:$EON$2,2,FALSE)</f>
        <v>58181.333333333336</v>
      </c>
      <c r="J3442" t="str">
        <f t="shared" si="53"/>
        <v>Med</v>
      </c>
      <c r="K3442">
        <f>dataset[[#This Row],[soda_sales]]/dataset[[#This Row],[soda_units_sold]]</f>
        <v>0.68043256989370315</v>
      </c>
      <c r="L3442" s="29">
        <f>dataset[[#This Row],[implied_soda_ppu]]-dataset[[#This Row],[soda_ppu]]</f>
        <v>3.2569893703149333E-5</v>
      </c>
      <c r="M3442">
        <f>dataset[[#This Row],[soda_sales]]/dataset[[#This Row],[total_sales]]</f>
        <v>8.0040468682278126E-2</v>
      </c>
      <c r="N3442">
        <f>LN(dataset[[#This Row],[soda_units_sold]])</f>
        <v>12.371743851380117</v>
      </c>
      <c r="O3442">
        <f>LN(dataset[[#This Row],[soda_sales]])</f>
        <v>11.986717300518436</v>
      </c>
      <c r="P3442">
        <f>LN(dataset[[#This Row],[soda_ppu]])</f>
        <v>-0.38507441846043033</v>
      </c>
      <c r="Q3442">
        <f>IF(dataset[[#This Row],[state]]="VA",1,0)</f>
        <v>0</v>
      </c>
    </row>
    <row r="3443" spans="1:17" x14ac:dyDescent="0.35">
      <c r="A3443">
        <v>202310</v>
      </c>
      <c r="B3443">
        <v>94</v>
      </c>
      <c r="C3443" s="2">
        <v>2461705.6601</v>
      </c>
      <c r="D3443" s="2">
        <v>0.68879999999999997</v>
      </c>
      <c r="E3443" s="3">
        <v>223390</v>
      </c>
      <c r="F3443" s="2">
        <v>153867.22889999999</v>
      </c>
      <c r="G3443" t="s">
        <v>675</v>
      </c>
      <c r="H3443" t="s">
        <v>5</v>
      </c>
      <c r="I3443">
        <f>HLOOKUP(G3443,zip_tiers!$A$1:$EON$2,2,FALSE)</f>
        <v>58181.333333333336</v>
      </c>
      <c r="J3443" t="str">
        <f t="shared" si="53"/>
        <v>Med</v>
      </c>
      <c r="K3443">
        <f>dataset[[#This Row],[soda_sales]]/dataset[[#This Row],[soda_units_sold]]</f>
        <v>0.68878297551367562</v>
      </c>
      <c r="L3443" s="29">
        <f>dataset[[#This Row],[implied_soda_ppu]]-dataset[[#This Row],[soda_ppu]]</f>
        <v>-1.7024486324346277E-5</v>
      </c>
      <c r="M3443">
        <f>dataset[[#This Row],[soda_sales]]/dataset[[#This Row],[total_sales]]</f>
        <v>6.2504316171475005E-2</v>
      </c>
      <c r="N3443">
        <f>LN(dataset[[#This Row],[soda_units_sold]])</f>
        <v>12.31667440185797</v>
      </c>
      <c r="O3443">
        <f>LN(dataset[[#This Row],[soda_sales]])</f>
        <v>11.943845359530703</v>
      </c>
      <c r="P3443">
        <f>LN(dataset[[#This Row],[soda_ppu]])</f>
        <v>-0.37280432586861606</v>
      </c>
      <c r="Q3443">
        <f>IF(dataset[[#This Row],[state]]="VA",1,0)</f>
        <v>0</v>
      </c>
    </row>
    <row r="3444" spans="1:17" x14ac:dyDescent="0.35">
      <c r="A3444">
        <v>202311</v>
      </c>
      <c r="B3444">
        <v>94</v>
      </c>
      <c r="C3444" s="2">
        <v>2787804.1883999999</v>
      </c>
      <c r="D3444" s="2">
        <v>0.68910000000000005</v>
      </c>
      <c r="E3444" s="3">
        <v>210063</v>
      </c>
      <c r="F3444" s="2">
        <v>144756.73860000001</v>
      </c>
      <c r="G3444" t="s">
        <v>675</v>
      </c>
      <c r="H3444" t="s">
        <v>5</v>
      </c>
      <c r="I3444">
        <f>HLOOKUP(G3444,zip_tiers!$A$1:$EON$2,2,FALSE)</f>
        <v>58181.333333333336</v>
      </c>
      <c r="J3444" t="str">
        <f t="shared" si="53"/>
        <v>Med</v>
      </c>
      <c r="K3444">
        <f>dataset[[#This Row],[soda_sales]]/dataset[[#This Row],[soda_units_sold]]</f>
        <v>0.68911106953628198</v>
      </c>
      <c r="L3444" s="29">
        <f>dataset[[#This Row],[implied_soda_ppu]]-dataset[[#This Row],[soda_ppu]]</f>
        <v>1.1069536281937964E-5</v>
      </c>
      <c r="M3444">
        <f>dataset[[#This Row],[soda_sales]]/dataset[[#This Row],[total_sales]]</f>
        <v>5.19250021943184E-2</v>
      </c>
      <c r="N3444">
        <f>LN(dataset[[#This Row],[soda_units_sold]])</f>
        <v>12.255162764708604</v>
      </c>
      <c r="O3444">
        <f>LN(dataset[[#This Row],[soda_sales]])</f>
        <v>11.882809947719544</v>
      </c>
      <c r="P3444">
        <f>LN(dataset[[#This Row],[soda_ppu]])</f>
        <v>-0.37236888061897472</v>
      </c>
      <c r="Q3444">
        <f>IF(dataset[[#This Row],[state]]="VA",1,0)</f>
        <v>0</v>
      </c>
    </row>
    <row r="3445" spans="1:17" x14ac:dyDescent="0.35">
      <c r="A3445">
        <v>202312</v>
      </c>
      <c r="B3445">
        <v>94</v>
      </c>
      <c r="C3445" s="2">
        <v>2895931.8297000001</v>
      </c>
      <c r="D3445" s="2">
        <v>0.68179999999999996</v>
      </c>
      <c r="E3445" s="3">
        <v>206457</v>
      </c>
      <c r="F3445" s="2">
        <v>140756.0024</v>
      </c>
      <c r="G3445" t="s">
        <v>675</v>
      </c>
      <c r="H3445" t="s">
        <v>5</v>
      </c>
      <c r="I3445">
        <f>HLOOKUP(G3445,zip_tiers!$A$1:$EON$2,2,FALSE)</f>
        <v>58181.333333333336</v>
      </c>
      <c r="J3445" t="str">
        <f t="shared" si="53"/>
        <v>Med</v>
      </c>
      <c r="K3445">
        <f>dataset[[#This Row],[soda_sales]]/dataset[[#This Row],[soda_units_sold]]</f>
        <v>0.68176909671263264</v>
      </c>
      <c r="L3445" s="29">
        <f>dataset[[#This Row],[implied_soda_ppu]]-dataset[[#This Row],[soda_ppu]]</f>
        <v>-3.0903287367323173E-5</v>
      </c>
      <c r="M3445">
        <f>dataset[[#This Row],[soda_sales]]/dataset[[#This Row],[total_sales]]</f>
        <v>4.8604736118592062E-2</v>
      </c>
      <c r="N3445">
        <f>LN(dataset[[#This Row],[soda_units_sold]])</f>
        <v>12.237847437254318</v>
      </c>
      <c r="O3445">
        <f>LN(dataset[[#This Row],[soda_sales]])</f>
        <v>11.854783190918562</v>
      </c>
      <c r="P3445">
        <f>LN(dataset[[#This Row],[soda_ppu]])</f>
        <v>-0.38301891927833437</v>
      </c>
      <c r="Q3445">
        <f>IF(dataset[[#This Row],[state]]="VA",1,0)</f>
        <v>0</v>
      </c>
    </row>
    <row r="3446" spans="1:17" x14ac:dyDescent="0.35">
      <c r="A3446">
        <v>202401</v>
      </c>
      <c r="B3446">
        <v>94</v>
      </c>
      <c r="C3446" s="2">
        <v>1689586.9413000001</v>
      </c>
      <c r="D3446" s="2">
        <v>0.71889999999999998</v>
      </c>
      <c r="E3446" s="3">
        <v>147653</v>
      </c>
      <c r="F3446" s="2">
        <v>106140.96649999999</v>
      </c>
      <c r="G3446" t="s">
        <v>675</v>
      </c>
      <c r="H3446" t="s">
        <v>5</v>
      </c>
      <c r="I3446">
        <f>HLOOKUP(G3446,zip_tiers!$A$1:$EON$2,2,FALSE)</f>
        <v>58181.333333333336</v>
      </c>
      <c r="J3446" t="str">
        <f t="shared" si="53"/>
        <v>Med</v>
      </c>
      <c r="K3446">
        <f>dataset[[#This Row],[soda_sales]]/dataset[[#This Row],[soda_units_sold]]</f>
        <v>0.71885411403764232</v>
      </c>
      <c r="L3446" s="29">
        <f>dataset[[#This Row],[implied_soda_ppu]]-dataset[[#This Row],[soda_ppu]]</f>
        <v>-4.5885962357661292E-5</v>
      </c>
      <c r="M3446">
        <f>dataset[[#This Row],[soda_sales]]/dataset[[#This Row],[total_sales]]</f>
        <v>6.2820659834369422E-2</v>
      </c>
      <c r="N3446">
        <f>LN(dataset[[#This Row],[soda_units_sold]])</f>
        <v>11.902620205286008</v>
      </c>
      <c r="O3446">
        <f>LN(dataset[[#This Row],[soda_sales]])</f>
        <v>11.572523362238298</v>
      </c>
      <c r="P3446">
        <f>LN(dataset[[#This Row],[soda_ppu]])</f>
        <v>-0.33003301299231125</v>
      </c>
      <c r="Q3446">
        <f>IF(dataset[[#This Row],[state]]="VA",1,0)</f>
        <v>0</v>
      </c>
    </row>
    <row r="3447" spans="1:17" x14ac:dyDescent="0.35">
      <c r="A3447">
        <v>202402</v>
      </c>
      <c r="B3447">
        <v>94</v>
      </c>
      <c r="C3447" s="2">
        <v>1900879.277</v>
      </c>
      <c r="D3447" s="2">
        <v>0.7026</v>
      </c>
      <c r="E3447" s="3">
        <v>172531</v>
      </c>
      <c r="F3447" s="2">
        <v>121222.7157</v>
      </c>
      <c r="G3447" t="s">
        <v>675</v>
      </c>
      <c r="H3447" t="s">
        <v>5</v>
      </c>
      <c r="I3447">
        <f>HLOOKUP(G3447,zip_tiers!$A$1:$EON$2,2,FALSE)</f>
        <v>58181.333333333336</v>
      </c>
      <c r="J3447" t="str">
        <f t="shared" si="53"/>
        <v>Med</v>
      </c>
      <c r="K3447">
        <f>dataset[[#This Row],[soda_sales]]/dataset[[#This Row],[soda_units_sold]]</f>
        <v>0.70261411398531282</v>
      </c>
      <c r="L3447" s="29">
        <f>dataset[[#This Row],[implied_soda_ppu]]-dataset[[#This Row],[soda_ppu]]</f>
        <v>1.4113985312813604E-5</v>
      </c>
      <c r="M3447">
        <f>dataset[[#This Row],[soda_sales]]/dataset[[#This Row],[total_sales]]</f>
        <v>6.3771917115807458E-2</v>
      </c>
      <c r="N3447">
        <f>LN(dataset[[#This Row],[soda_units_sold]])</f>
        <v>12.058332209452546</v>
      </c>
      <c r="O3447">
        <f>LN(dataset[[#This Row],[soda_sales]])</f>
        <v>11.705384758323131</v>
      </c>
      <c r="P3447">
        <f>LN(dataset[[#This Row],[soda_ppu]])</f>
        <v>-0.3529675391504104</v>
      </c>
      <c r="Q3447">
        <f>IF(dataset[[#This Row],[state]]="VA",1,0)</f>
        <v>0</v>
      </c>
    </row>
    <row r="3448" spans="1:17" x14ac:dyDescent="0.35">
      <c r="A3448">
        <v>202403</v>
      </c>
      <c r="B3448">
        <v>94</v>
      </c>
      <c r="C3448" s="2">
        <v>2110294.3772</v>
      </c>
      <c r="D3448" s="2">
        <v>0.69410000000000005</v>
      </c>
      <c r="E3448" s="3">
        <v>200359</v>
      </c>
      <c r="F3448" s="2">
        <v>139073.46</v>
      </c>
      <c r="G3448" t="s">
        <v>675</v>
      </c>
      <c r="H3448" t="s">
        <v>5</v>
      </c>
      <c r="I3448">
        <f>HLOOKUP(G3448,zip_tiers!$A$1:$EON$2,2,FALSE)</f>
        <v>58181.333333333336</v>
      </c>
      <c r="J3448" t="str">
        <f t="shared" si="53"/>
        <v>Med</v>
      </c>
      <c r="K3448">
        <f>dataset[[#This Row],[soda_sales]]/dataset[[#This Row],[soda_units_sold]]</f>
        <v>0.69412135217284965</v>
      </c>
      <c r="L3448" s="29">
        <f>dataset[[#This Row],[implied_soda_ppu]]-dataset[[#This Row],[soda_ppu]]</f>
        <v>2.1352172849598006E-5</v>
      </c>
      <c r="M3448">
        <f>dataset[[#This Row],[soda_sales]]/dataset[[#This Row],[total_sales]]</f>
        <v>6.5902398026822545E-2</v>
      </c>
      <c r="N3448">
        <f>LN(dataset[[#This Row],[soda_units_sold]])</f>
        <v>12.207866036442928</v>
      </c>
      <c r="O3448">
        <f>LN(dataset[[#This Row],[soda_sales]])</f>
        <v>11.842757561720223</v>
      </c>
      <c r="P3448">
        <f>LN(dataset[[#This Row],[soda_ppu]])</f>
        <v>-0.36513923663659897</v>
      </c>
      <c r="Q3448">
        <f>IF(dataset[[#This Row],[state]]="VA",1,0)</f>
        <v>0</v>
      </c>
    </row>
    <row r="3449" spans="1:17" x14ac:dyDescent="0.35">
      <c r="A3449">
        <v>202404</v>
      </c>
      <c r="B3449">
        <v>94</v>
      </c>
      <c r="C3449" s="2">
        <v>2266127.9092000001</v>
      </c>
      <c r="D3449" s="2">
        <v>0.73619999999999997</v>
      </c>
      <c r="E3449" s="3">
        <v>221736</v>
      </c>
      <c r="F3449" s="2">
        <v>163231.48639999999</v>
      </c>
      <c r="G3449" t="s">
        <v>675</v>
      </c>
      <c r="H3449" t="s">
        <v>5</v>
      </c>
      <c r="I3449">
        <f>HLOOKUP(G3449,zip_tiers!$A$1:$EON$2,2,FALSE)</f>
        <v>58181.333333333336</v>
      </c>
      <c r="J3449" t="str">
        <f t="shared" si="53"/>
        <v>Med</v>
      </c>
      <c r="K3449">
        <f>dataset[[#This Row],[soda_sales]]/dataset[[#This Row],[soda_units_sold]]</f>
        <v>0.73615239022982282</v>
      </c>
      <c r="L3449" s="29">
        <f>dataset[[#This Row],[implied_soda_ppu]]-dataset[[#This Row],[soda_ppu]]</f>
        <v>-4.7609770177148292E-5</v>
      </c>
      <c r="M3449">
        <f>dataset[[#This Row],[soda_sales]]/dataset[[#This Row],[total_sales]]</f>
        <v>7.2031011902423808E-2</v>
      </c>
      <c r="N3449">
        <f>LN(dataset[[#This Row],[soda_units_sold]])</f>
        <v>12.309242764018691</v>
      </c>
      <c r="O3449">
        <f>LN(dataset[[#This Row],[soda_sales]])</f>
        <v>12.002924634275828</v>
      </c>
      <c r="P3449">
        <f>LN(dataset[[#This Row],[soda_ppu]])</f>
        <v>-0.30625345803721632</v>
      </c>
      <c r="Q3449">
        <f>IF(dataset[[#This Row],[state]]="VA",1,0)</f>
        <v>0</v>
      </c>
    </row>
    <row r="3450" spans="1:17" x14ac:dyDescent="0.35">
      <c r="A3450">
        <v>202405</v>
      </c>
      <c r="B3450">
        <v>94</v>
      </c>
      <c r="C3450" s="2">
        <v>2366365.8593000001</v>
      </c>
      <c r="D3450" s="2">
        <v>0.69940000000000002</v>
      </c>
      <c r="E3450" s="3">
        <v>262066</v>
      </c>
      <c r="F3450" s="2">
        <v>183293.5289</v>
      </c>
      <c r="G3450" t="s">
        <v>675</v>
      </c>
      <c r="H3450" t="s">
        <v>5</v>
      </c>
      <c r="I3450">
        <f>HLOOKUP(G3450,zip_tiers!$A$1:$EON$2,2,FALSE)</f>
        <v>58181.333333333336</v>
      </c>
      <c r="J3450" t="str">
        <f t="shared" si="53"/>
        <v>Med</v>
      </c>
      <c r="K3450">
        <f>dataset[[#This Row],[soda_sales]]/dataset[[#This Row],[soda_units_sold]]</f>
        <v>0.69941743263147449</v>
      </c>
      <c r="L3450" s="29">
        <f>dataset[[#This Row],[implied_soda_ppu]]-dataset[[#This Row],[soda_ppu]]</f>
        <v>1.7432631474467719E-5</v>
      </c>
      <c r="M3450">
        <f>dataset[[#This Row],[soda_sales]]/dataset[[#This Row],[total_sales]]</f>
        <v>7.7457814978035763E-2</v>
      </c>
      <c r="N3450">
        <f>LN(dataset[[#This Row],[soda_units_sold]])</f>
        <v>12.476351659416588</v>
      </c>
      <c r="O3450">
        <f>LN(dataset[[#This Row],[soda_sales]])</f>
        <v>12.118844129876742</v>
      </c>
      <c r="P3450">
        <f>LN(dataset[[#This Row],[soda_ppu]])</f>
        <v>-0.35753245435286157</v>
      </c>
      <c r="Q3450">
        <f>IF(dataset[[#This Row],[state]]="VA",1,0)</f>
        <v>0</v>
      </c>
    </row>
    <row r="3451" spans="1:17" x14ac:dyDescent="0.35">
      <c r="A3451">
        <v>202406</v>
      </c>
      <c r="B3451">
        <v>94</v>
      </c>
      <c r="C3451" s="2">
        <v>2290588.9278000002</v>
      </c>
      <c r="D3451" s="2">
        <v>0.71319999999999995</v>
      </c>
      <c r="E3451" s="3">
        <v>262729</v>
      </c>
      <c r="F3451" s="2">
        <v>187375.28039999999</v>
      </c>
      <c r="G3451" t="s">
        <v>675</v>
      </c>
      <c r="H3451" t="s">
        <v>5</v>
      </c>
      <c r="I3451">
        <f>HLOOKUP(G3451,zip_tiers!$A$1:$EON$2,2,FALSE)</f>
        <v>58181.333333333336</v>
      </c>
      <c r="J3451" t="str">
        <f t="shared" si="53"/>
        <v>Med</v>
      </c>
      <c r="K3451">
        <f>dataset[[#This Row],[soda_sales]]/dataset[[#This Row],[soda_units_sold]]</f>
        <v>0.71318842000692728</v>
      </c>
      <c r="L3451" s="29">
        <f>dataset[[#This Row],[implied_soda_ppu]]-dataset[[#This Row],[soda_ppu]]</f>
        <v>-1.1579993072663441E-5</v>
      </c>
      <c r="M3451">
        <f>dataset[[#This Row],[soda_sales]]/dataset[[#This Row],[total_sales]]</f>
        <v>8.1802229167310642E-2</v>
      </c>
      <c r="N3451">
        <f>LN(dataset[[#This Row],[soda_units_sold]])</f>
        <v>12.478878361663098</v>
      </c>
      <c r="O3451">
        <f>LN(dataset[[#This Row],[soda_sales]])</f>
        <v>12.140868731868089</v>
      </c>
      <c r="P3451">
        <f>LN(dataset[[#This Row],[soda_ppu]])</f>
        <v>-0.33799339299315179</v>
      </c>
      <c r="Q3451">
        <f>IF(dataset[[#This Row],[state]]="VA",1,0)</f>
        <v>0</v>
      </c>
    </row>
    <row r="3452" spans="1:17" x14ac:dyDescent="0.35">
      <c r="A3452">
        <v>202407</v>
      </c>
      <c r="B3452">
        <v>94</v>
      </c>
      <c r="C3452" s="2">
        <v>2135513.7922</v>
      </c>
      <c r="D3452" s="2">
        <v>0.72670000000000001</v>
      </c>
      <c r="E3452" s="3">
        <v>264353</v>
      </c>
      <c r="F3452" s="2">
        <v>192114.40729999999</v>
      </c>
      <c r="G3452" t="s">
        <v>675</v>
      </c>
      <c r="H3452" t="s">
        <v>5</v>
      </c>
      <c r="I3452">
        <f>HLOOKUP(G3452,zip_tiers!$A$1:$EON$2,2,FALSE)</f>
        <v>58181.333333333336</v>
      </c>
      <c r="J3452" t="str">
        <f t="shared" si="53"/>
        <v>Med</v>
      </c>
      <c r="K3452">
        <f>dataset[[#This Row],[soda_sales]]/dataset[[#This Row],[soda_units_sold]]</f>
        <v>0.72673435633414407</v>
      </c>
      <c r="L3452" s="29">
        <f>dataset[[#This Row],[implied_soda_ppu]]-dataset[[#This Row],[soda_ppu]]</f>
        <v>3.435633414405892E-5</v>
      </c>
      <c r="M3452">
        <f>dataset[[#This Row],[soda_sales]]/dataset[[#This Row],[total_sales]]</f>
        <v>8.996167948046091E-2</v>
      </c>
      <c r="N3452">
        <f>LN(dataset[[#This Row],[soda_units_sold]])</f>
        <v>12.485040610190085</v>
      </c>
      <c r="O3452">
        <f>LN(dataset[[#This Row],[soda_sales]])</f>
        <v>12.165846344903242</v>
      </c>
      <c r="P3452">
        <f>LN(dataset[[#This Row],[soda_ppu]])</f>
        <v>-0.3192415413595468</v>
      </c>
      <c r="Q3452">
        <f>IF(dataset[[#This Row],[state]]="VA",1,0)</f>
        <v>0</v>
      </c>
    </row>
    <row r="3453" spans="1:17" x14ac:dyDescent="0.35">
      <c r="A3453">
        <v>202408</v>
      </c>
      <c r="B3453">
        <v>94</v>
      </c>
      <c r="C3453" s="2">
        <v>2065391.7308</v>
      </c>
      <c r="D3453" s="2">
        <v>0.70850000000000002</v>
      </c>
      <c r="E3453" s="3">
        <v>244639</v>
      </c>
      <c r="F3453" s="2">
        <v>173337.15700000001</v>
      </c>
      <c r="G3453" t="s">
        <v>675</v>
      </c>
      <c r="H3453" t="s">
        <v>5</v>
      </c>
      <c r="I3453">
        <f>HLOOKUP(G3453,zip_tiers!$A$1:$EON$2,2,FALSE)</f>
        <v>58181.333333333336</v>
      </c>
      <c r="J3453" t="str">
        <f t="shared" si="53"/>
        <v>Med</v>
      </c>
      <c r="K3453">
        <f>dataset[[#This Row],[soda_sales]]/dataset[[#This Row],[soda_units_sold]]</f>
        <v>0.70854261585438139</v>
      </c>
      <c r="L3453" s="29">
        <f>dataset[[#This Row],[implied_soda_ppu]]-dataset[[#This Row],[soda_ppu]]</f>
        <v>4.2615854381367058E-5</v>
      </c>
      <c r="M3453">
        <f>dataset[[#This Row],[soda_sales]]/dataset[[#This Row],[total_sales]]</f>
        <v>8.3924591357233874E-2</v>
      </c>
      <c r="N3453">
        <f>LN(dataset[[#This Row],[soda_units_sold]])</f>
        <v>12.407538933515555</v>
      </c>
      <c r="O3453">
        <f>LN(dataset[[#This Row],[soda_sales]])</f>
        <v>12.062993861261575</v>
      </c>
      <c r="P3453">
        <f>LN(dataset[[#This Row],[soda_ppu]])</f>
        <v>-0.34460521985140191</v>
      </c>
      <c r="Q3453">
        <f>IF(dataset[[#This Row],[state]]="VA",1,0)</f>
        <v>0</v>
      </c>
    </row>
    <row r="3454" spans="1:17" x14ac:dyDescent="0.35">
      <c r="A3454">
        <v>202409</v>
      </c>
      <c r="B3454">
        <v>94</v>
      </c>
      <c r="C3454" s="2">
        <v>2087384.0907999999</v>
      </c>
      <c r="D3454" s="2">
        <v>0.72860000000000003</v>
      </c>
      <c r="E3454" s="3">
        <v>225946</v>
      </c>
      <c r="F3454" s="2">
        <v>164617.8627</v>
      </c>
      <c r="G3454" t="s">
        <v>675</v>
      </c>
      <c r="H3454" t="s">
        <v>5</v>
      </c>
      <c r="I3454">
        <f>HLOOKUP(G3454,zip_tiers!$A$1:$EON$2,2,FALSE)</f>
        <v>58181.333333333336</v>
      </c>
      <c r="J3454" t="str">
        <f t="shared" si="53"/>
        <v>Med</v>
      </c>
      <c r="K3454">
        <f>dataset[[#This Row],[soda_sales]]/dataset[[#This Row],[soda_units_sold]]</f>
        <v>0.72857170607136212</v>
      </c>
      <c r="L3454" s="29">
        <f>dataset[[#This Row],[implied_soda_ppu]]-dataset[[#This Row],[soda_ppu]]</f>
        <v>-2.8293928637901367E-5</v>
      </c>
      <c r="M3454">
        <f>dataset[[#This Row],[soda_sales]]/dataset[[#This Row],[total_sales]]</f>
        <v>7.8863235293179526E-2</v>
      </c>
      <c r="N3454">
        <f>LN(dataset[[#This Row],[soda_units_sold]])</f>
        <v>12.32805131165108</v>
      </c>
      <c r="O3454">
        <f>LN(dataset[[#This Row],[soda_sales]])</f>
        <v>12.011382083208238</v>
      </c>
      <c r="P3454">
        <f>LN(dataset[[#This Row],[soda_ppu]])</f>
        <v>-0.3166303944076736</v>
      </c>
      <c r="Q3454">
        <f>IF(dataset[[#This Row],[state]]="VA",1,0)</f>
        <v>0</v>
      </c>
    </row>
    <row r="3455" spans="1:17" x14ac:dyDescent="0.35">
      <c r="A3455">
        <v>202410</v>
      </c>
      <c r="B3455">
        <v>94</v>
      </c>
      <c r="C3455" s="2">
        <v>2497258.4701</v>
      </c>
      <c r="D3455" s="2">
        <v>0.68630000000000002</v>
      </c>
      <c r="E3455" s="3">
        <v>228144</v>
      </c>
      <c r="F3455" s="2">
        <v>156577.5099</v>
      </c>
      <c r="G3455" t="s">
        <v>675</v>
      </c>
      <c r="H3455" t="s">
        <v>5</v>
      </c>
      <c r="I3455">
        <f>HLOOKUP(G3455,zip_tiers!$A$1:$EON$2,2,FALSE)</f>
        <v>58181.333333333336</v>
      </c>
      <c r="J3455" t="str">
        <f t="shared" si="53"/>
        <v>Med</v>
      </c>
      <c r="K3455">
        <f>dataset[[#This Row],[soda_sales]]/dataset[[#This Row],[soda_units_sold]]</f>
        <v>0.68631000552282773</v>
      </c>
      <c r="L3455" s="29">
        <f>dataset[[#This Row],[implied_soda_ppu]]-dataset[[#This Row],[soda_ppu]]</f>
        <v>1.0005522827705171E-5</v>
      </c>
      <c r="M3455">
        <f>dataset[[#This Row],[soda_sales]]/dataset[[#This Row],[total_sales]]</f>
        <v>6.2699761268095733E-2</v>
      </c>
      <c r="N3455">
        <f>LN(dataset[[#This Row],[soda_units_sold]])</f>
        <v>12.3377322875219</v>
      </c>
      <c r="O3455">
        <f>LN(dataset[[#This Row],[soda_sales]])</f>
        <v>11.961306437282698</v>
      </c>
      <c r="P3455">
        <f>LN(dataset[[#This Row],[soda_ppu]])</f>
        <v>-0.37644042906754804</v>
      </c>
      <c r="Q3455">
        <f>IF(dataset[[#This Row],[state]]="VA",1,0)</f>
        <v>0</v>
      </c>
    </row>
    <row r="3456" spans="1:17" x14ac:dyDescent="0.35">
      <c r="A3456">
        <v>202411</v>
      </c>
      <c r="B3456">
        <v>94</v>
      </c>
      <c r="C3456" s="2">
        <v>2881958.1296999999</v>
      </c>
      <c r="D3456" s="2">
        <v>0.71879999999999999</v>
      </c>
      <c r="E3456" s="3">
        <v>207585</v>
      </c>
      <c r="F3456" s="2">
        <v>149222.26509999999</v>
      </c>
      <c r="G3456" t="s">
        <v>675</v>
      </c>
      <c r="H3456" t="s">
        <v>5</v>
      </c>
      <c r="I3456">
        <f>HLOOKUP(G3456,zip_tiers!$A$1:$EON$2,2,FALSE)</f>
        <v>58181.333333333336</v>
      </c>
      <c r="J3456" t="str">
        <f t="shared" si="53"/>
        <v>Med</v>
      </c>
      <c r="K3456">
        <f>dataset[[#This Row],[soda_sales]]/dataset[[#This Row],[soda_units_sold]]</f>
        <v>0.71884897800900827</v>
      </c>
      <c r="L3456" s="29">
        <f>dataset[[#This Row],[implied_soda_ppu]]-dataset[[#This Row],[soda_ppu]]</f>
        <v>4.8978009008271428E-5</v>
      </c>
      <c r="M3456">
        <f>dataset[[#This Row],[soda_sales]]/dataset[[#This Row],[total_sales]]</f>
        <v>5.1778082256709754E-2</v>
      </c>
      <c r="N3456">
        <f>LN(dataset[[#This Row],[soda_units_sold]])</f>
        <v>12.24329617332814</v>
      </c>
      <c r="O3456">
        <f>LN(dataset[[#This Row],[soda_sales]])</f>
        <v>11.913192185510885</v>
      </c>
      <c r="P3456">
        <f>LN(dataset[[#This Row],[soda_ppu]])</f>
        <v>-0.33017212407273311</v>
      </c>
      <c r="Q3456">
        <f>IF(dataset[[#This Row],[state]]="VA",1,0)</f>
        <v>0</v>
      </c>
    </row>
    <row r="3457" spans="1:17" x14ac:dyDescent="0.35">
      <c r="A3457">
        <v>202412</v>
      </c>
      <c r="B3457">
        <v>94</v>
      </c>
      <c r="C3457" s="2">
        <v>2971012.0048000002</v>
      </c>
      <c r="D3457" s="2">
        <v>0.7137</v>
      </c>
      <c r="E3457" s="3">
        <v>202536</v>
      </c>
      <c r="F3457" s="2">
        <v>144553.33350000001</v>
      </c>
      <c r="G3457" t="s">
        <v>675</v>
      </c>
      <c r="H3457" t="s">
        <v>5</v>
      </c>
      <c r="I3457">
        <f>HLOOKUP(G3457,zip_tiers!$A$1:$EON$2,2,FALSE)</f>
        <v>58181.333333333336</v>
      </c>
      <c r="J3457" t="str">
        <f t="shared" si="53"/>
        <v>Med</v>
      </c>
      <c r="K3457">
        <f>dataset[[#This Row],[soda_sales]]/dataset[[#This Row],[soda_units_sold]]</f>
        <v>0.71371673924635626</v>
      </c>
      <c r="L3457" s="29">
        <f>dataset[[#This Row],[implied_soda_ppu]]-dataset[[#This Row],[soda_ppu]]</f>
        <v>1.6739246356256565E-5</v>
      </c>
      <c r="M3457">
        <f>dataset[[#This Row],[soda_sales]]/dataset[[#This Row],[total_sales]]</f>
        <v>4.8654577385233724E-2</v>
      </c>
      <c r="N3457">
        <f>LN(dataset[[#This Row],[soda_units_sold]])</f>
        <v>12.218672927505912</v>
      </c>
      <c r="O3457">
        <f>LN(dataset[[#This Row],[soda_sales]])</f>
        <v>11.881403808403077</v>
      </c>
      <c r="P3457">
        <f>LN(dataset[[#This Row],[soda_ppu]])</f>
        <v>-0.33729257300511539</v>
      </c>
      <c r="Q3457">
        <f>IF(dataset[[#This Row],[state]]="VA",1,0)</f>
        <v>0</v>
      </c>
    </row>
    <row r="3458" spans="1:17" x14ac:dyDescent="0.35">
      <c r="A3458">
        <v>202201</v>
      </c>
      <c r="B3458">
        <v>26</v>
      </c>
      <c r="C3458" s="2">
        <v>1413960.4279</v>
      </c>
      <c r="D3458" s="2">
        <v>0.67149999999999999</v>
      </c>
      <c r="E3458" s="3">
        <v>160722</v>
      </c>
      <c r="F3458" s="2">
        <v>107931.5534</v>
      </c>
      <c r="G3458" t="s">
        <v>823</v>
      </c>
      <c r="H3458" t="s">
        <v>5</v>
      </c>
      <c r="I3458">
        <f>HLOOKUP(G3458,zip_tiers!$A$1:$EON$2,2,FALSE)</f>
        <v>37901</v>
      </c>
      <c r="J3458" t="str">
        <f t="shared" ref="J3458:J3521" si="54">IF(I3458="","No Data",IF(I3458&gt;=100000,"High",IF(I3458&gt;=40000,"Med","Low")))</f>
        <v>Low</v>
      </c>
      <c r="K3458">
        <f>dataset[[#This Row],[soda_sales]]/dataset[[#This Row],[soda_units_sold]]</f>
        <v>0.67154187603439486</v>
      </c>
      <c r="L3458" s="29">
        <f>dataset[[#This Row],[implied_soda_ppu]]-dataset[[#This Row],[soda_ppu]]</f>
        <v>4.1876034394872086E-5</v>
      </c>
      <c r="M3458">
        <f>dataset[[#This Row],[soda_sales]]/dataset[[#This Row],[total_sales]]</f>
        <v>7.6332796357178739E-2</v>
      </c>
      <c r="N3458">
        <f>LN(dataset[[#This Row],[soda_units_sold]])</f>
        <v>11.987431443413382</v>
      </c>
      <c r="O3458">
        <f>LN(dataset[[#This Row],[soda_sales]])</f>
        <v>11.589252540377728</v>
      </c>
      <c r="P3458">
        <f>LN(dataset[[#This Row],[soda_ppu]])</f>
        <v>-0.39824126301884483</v>
      </c>
      <c r="Q3458">
        <f>IF(dataset[[#This Row],[state]]="VA",1,0)</f>
        <v>0</v>
      </c>
    </row>
    <row r="3459" spans="1:17" x14ac:dyDescent="0.35">
      <c r="A3459">
        <v>202202</v>
      </c>
      <c r="B3459">
        <v>26</v>
      </c>
      <c r="C3459" s="2">
        <v>1606409.6712</v>
      </c>
      <c r="D3459" s="2">
        <v>0.66369999999999996</v>
      </c>
      <c r="E3459" s="3">
        <v>187304</v>
      </c>
      <c r="F3459" s="2">
        <v>124310.4777</v>
      </c>
      <c r="G3459" t="s">
        <v>823</v>
      </c>
      <c r="H3459" t="s">
        <v>5</v>
      </c>
      <c r="I3459">
        <f>HLOOKUP(G3459,zip_tiers!$A$1:$EON$2,2,FALSE)</f>
        <v>37901</v>
      </c>
      <c r="J3459" t="str">
        <f t="shared" si="54"/>
        <v>Low</v>
      </c>
      <c r="K3459">
        <f>dataset[[#This Row],[soda_sales]]/dataset[[#This Row],[soda_units_sold]]</f>
        <v>0.66368298434630335</v>
      </c>
      <c r="L3459" s="29">
        <f>dataset[[#This Row],[implied_soda_ppu]]-dataset[[#This Row],[soda_ppu]]</f>
        <v>-1.7015653696605959E-5</v>
      </c>
      <c r="M3459">
        <f>dataset[[#This Row],[soda_sales]]/dataset[[#This Row],[total_sales]]</f>
        <v>7.7384044636097812E-2</v>
      </c>
      <c r="N3459">
        <f>LN(dataset[[#This Row],[soda_units_sold]])</f>
        <v>12.140488244317329</v>
      </c>
      <c r="O3459">
        <f>LN(dataset[[#This Row],[soda_sales]])</f>
        <v>11.730537567590702</v>
      </c>
      <c r="P3459">
        <f>LN(dataset[[#This Row],[soda_ppu]])</f>
        <v>-0.40992503883025783</v>
      </c>
      <c r="Q3459">
        <f>IF(dataset[[#This Row],[state]]="VA",1,0)</f>
        <v>0</v>
      </c>
    </row>
    <row r="3460" spans="1:17" x14ac:dyDescent="0.35">
      <c r="A3460">
        <v>202203</v>
      </c>
      <c r="B3460">
        <v>26</v>
      </c>
      <c r="C3460" s="2">
        <v>1814356.4623</v>
      </c>
      <c r="D3460" s="2">
        <v>0.66439999999999999</v>
      </c>
      <c r="E3460" s="3">
        <v>218470</v>
      </c>
      <c r="F3460" s="2">
        <v>145147.55660000001</v>
      </c>
      <c r="G3460" t="s">
        <v>823</v>
      </c>
      <c r="H3460" t="s">
        <v>5</v>
      </c>
      <c r="I3460">
        <f>HLOOKUP(G3460,zip_tiers!$A$1:$EON$2,2,FALSE)</f>
        <v>37901</v>
      </c>
      <c r="J3460" t="str">
        <f t="shared" si="54"/>
        <v>Low</v>
      </c>
      <c r="K3460">
        <f>dataset[[#This Row],[soda_sales]]/dataset[[#This Row],[soda_units_sold]]</f>
        <v>0.66438209639767476</v>
      </c>
      <c r="L3460" s="29">
        <f>dataset[[#This Row],[implied_soda_ppu]]-dataset[[#This Row],[soda_ppu]]</f>
        <v>-1.7903602325231027E-5</v>
      </c>
      <c r="M3460">
        <f>dataset[[#This Row],[soda_sales]]/dataset[[#This Row],[total_sales]]</f>
        <v>7.9999470675129206E-2</v>
      </c>
      <c r="N3460">
        <f>LN(dataset[[#This Row],[soda_units_sold]])</f>
        <v>12.294403984320139</v>
      </c>
      <c r="O3460">
        <f>LN(dataset[[#This Row],[soda_sales]])</f>
        <v>11.885506135690695</v>
      </c>
      <c r="P3460">
        <f>LN(dataset[[#This Row],[soda_ppu]])</f>
        <v>-0.40887090124299724</v>
      </c>
      <c r="Q3460">
        <f>IF(dataset[[#This Row],[state]]="VA",1,0)</f>
        <v>0</v>
      </c>
    </row>
    <row r="3461" spans="1:17" x14ac:dyDescent="0.35">
      <c r="A3461">
        <v>202204</v>
      </c>
      <c r="B3461">
        <v>26</v>
      </c>
      <c r="C3461" s="2">
        <v>1915666.2522</v>
      </c>
      <c r="D3461" s="2">
        <v>0.65190000000000003</v>
      </c>
      <c r="E3461" s="3">
        <v>263906</v>
      </c>
      <c r="F3461" s="2">
        <v>172050.83809999999</v>
      </c>
      <c r="G3461" t="s">
        <v>823</v>
      </c>
      <c r="H3461" t="s">
        <v>5</v>
      </c>
      <c r="I3461">
        <f>HLOOKUP(G3461,zip_tiers!$A$1:$EON$2,2,FALSE)</f>
        <v>37901</v>
      </c>
      <c r="J3461" t="str">
        <f t="shared" si="54"/>
        <v>Low</v>
      </c>
      <c r="K3461">
        <f>dataset[[#This Row],[soda_sales]]/dataset[[#This Row],[soda_units_sold]]</f>
        <v>0.65193985017392553</v>
      </c>
      <c r="L3461" s="29">
        <f>dataset[[#This Row],[implied_soda_ppu]]-dataset[[#This Row],[soda_ppu]]</f>
        <v>3.985017392549306E-5</v>
      </c>
      <c r="M3461">
        <f>dataset[[#This Row],[soda_sales]]/dataset[[#This Row],[total_sales]]</f>
        <v>8.9812532795006658E-2</v>
      </c>
      <c r="N3461">
        <f>LN(dataset[[#This Row],[soda_units_sold]])</f>
        <v>12.483348258117765</v>
      </c>
      <c r="O3461">
        <f>LN(dataset[[#This Row],[soda_sales]])</f>
        <v>12.055545282472117</v>
      </c>
      <c r="P3461">
        <f>LN(dataset[[#This Row],[soda_ppu]])</f>
        <v>-0.42786410305164335</v>
      </c>
      <c r="Q3461">
        <f>IF(dataset[[#This Row],[state]]="VA",1,0)</f>
        <v>0</v>
      </c>
    </row>
    <row r="3462" spans="1:17" x14ac:dyDescent="0.35">
      <c r="A3462">
        <v>202205</v>
      </c>
      <c r="B3462">
        <v>26</v>
      </c>
      <c r="C3462" s="2">
        <v>1997996.6302</v>
      </c>
      <c r="D3462" s="2">
        <v>0.66639999999999999</v>
      </c>
      <c r="E3462" s="3">
        <v>276441</v>
      </c>
      <c r="F3462" s="2">
        <v>184224.4651</v>
      </c>
      <c r="G3462" t="s">
        <v>823</v>
      </c>
      <c r="H3462" t="s">
        <v>5</v>
      </c>
      <c r="I3462">
        <f>HLOOKUP(G3462,zip_tiers!$A$1:$EON$2,2,FALSE)</f>
        <v>37901</v>
      </c>
      <c r="J3462" t="str">
        <f t="shared" si="54"/>
        <v>Low</v>
      </c>
      <c r="K3462">
        <f>dataset[[#This Row],[soda_sales]]/dataset[[#This Row],[soda_units_sold]]</f>
        <v>0.66641513053418266</v>
      </c>
      <c r="L3462" s="29">
        <f>dataset[[#This Row],[implied_soda_ppu]]-dataset[[#This Row],[soda_ppu]]</f>
        <v>1.5130534182672406E-5</v>
      </c>
      <c r="M3462">
        <f>dataset[[#This Row],[soda_sales]]/dataset[[#This Row],[total_sales]]</f>
        <v>9.2204592498015922E-2</v>
      </c>
      <c r="N3462">
        <f>LN(dataset[[#This Row],[soda_units_sold]])</f>
        <v>12.52975269562029</v>
      </c>
      <c r="O3462">
        <f>LN(dataset[[#This Row],[soda_sales]])</f>
        <v>12.123910212116261</v>
      </c>
      <c r="P3462">
        <f>LN(dataset[[#This Row],[soda_ppu]])</f>
        <v>-0.40586518812950412</v>
      </c>
      <c r="Q3462">
        <f>IF(dataset[[#This Row],[state]]="VA",1,0)</f>
        <v>0</v>
      </c>
    </row>
    <row r="3463" spans="1:17" x14ac:dyDescent="0.35">
      <c r="A3463">
        <v>202206</v>
      </c>
      <c r="B3463">
        <v>26</v>
      </c>
      <c r="C3463" s="2">
        <v>1927719.1313</v>
      </c>
      <c r="D3463" s="2">
        <v>0.64990000000000003</v>
      </c>
      <c r="E3463" s="3">
        <v>307335</v>
      </c>
      <c r="F3463" s="2">
        <v>199738.6177</v>
      </c>
      <c r="G3463" t="s">
        <v>823</v>
      </c>
      <c r="H3463" t="s">
        <v>5</v>
      </c>
      <c r="I3463">
        <f>HLOOKUP(G3463,zip_tiers!$A$1:$EON$2,2,FALSE)</f>
        <v>37901</v>
      </c>
      <c r="J3463" t="str">
        <f t="shared" si="54"/>
        <v>Low</v>
      </c>
      <c r="K3463">
        <f>dataset[[#This Row],[soda_sales]]/dataset[[#This Row],[soda_units_sold]]</f>
        <v>0.64990520995005452</v>
      </c>
      <c r="L3463" s="29">
        <f>dataset[[#This Row],[implied_soda_ppu]]-dataset[[#This Row],[soda_ppu]]</f>
        <v>5.2099500544855459E-6</v>
      </c>
      <c r="M3463">
        <f>dataset[[#This Row],[soda_sales]]/dataset[[#This Row],[total_sales]]</f>
        <v>0.10361396245795509</v>
      </c>
      <c r="N3463">
        <f>LN(dataset[[#This Row],[soda_units_sold]])</f>
        <v>12.635693636849409</v>
      </c>
      <c r="O3463">
        <f>LN(dataset[[#This Row],[soda_sales]])</f>
        <v>12.204764879276533</v>
      </c>
      <c r="P3463">
        <f>LN(dataset[[#This Row],[soda_ppu]])</f>
        <v>-0.43093677408183378</v>
      </c>
      <c r="Q3463">
        <f>IF(dataset[[#This Row],[state]]="VA",1,0)</f>
        <v>0</v>
      </c>
    </row>
    <row r="3464" spans="1:17" x14ac:dyDescent="0.35">
      <c r="A3464">
        <v>202207</v>
      </c>
      <c r="B3464">
        <v>26</v>
      </c>
      <c r="C3464" s="2">
        <v>1794583.5832</v>
      </c>
      <c r="D3464" s="2">
        <v>0.64229999999999998</v>
      </c>
      <c r="E3464" s="3">
        <v>311819</v>
      </c>
      <c r="F3464" s="2">
        <v>200267.478</v>
      </c>
      <c r="G3464" t="s">
        <v>823</v>
      </c>
      <c r="H3464" t="s">
        <v>5</v>
      </c>
      <c r="I3464">
        <f>HLOOKUP(G3464,zip_tiers!$A$1:$EON$2,2,FALSE)</f>
        <v>37901</v>
      </c>
      <c r="J3464" t="str">
        <f t="shared" si="54"/>
        <v>Low</v>
      </c>
      <c r="K3464">
        <f>dataset[[#This Row],[soda_sales]]/dataset[[#This Row],[soda_units_sold]]</f>
        <v>0.64225553285720238</v>
      </c>
      <c r="L3464" s="29">
        <f>dataset[[#This Row],[implied_soda_ppu]]-dataset[[#This Row],[soda_ppu]]</f>
        <v>-4.4467142797599557E-5</v>
      </c>
      <c r="M3464">
        <f>dataset[[#This Row],[soda_sales]]/dataset[[#This Row],[total_sales]]</f>
        <v>0.11159551434371999</v>
      </c>
      <c r="N3464">
        <f>LN(dataset[[#This Row],[soda_units_sold]])</f>
        <v>12.650178170247015</v>
      </c>
      <c r="O3464">
        <f>LN(dataset[[#This Row],[soda_sales]])</f>
        <v>12.207409142020726</v>
      </c>
      <c r="P3464">
        <f>LN(dataset[[#This Row],[soda_ppu]])</f>
        <v>-0.44269979471839027</v>
      </c>
      <c r="Q3464">
        <f>IF(dataset[[#This Row],[state]]="VA",1,0)</f>
        <v>0</v>
      </c>
    </row>
    <row r="3465" spans="1:17" x14ac:dyDescent="0.35">
      <c r="A3465">
        <v>202208</v>
      </c>
      <c r="B3465">
        <v>26</v>
      </c>
      <c r="C3465" s="2">
        <v>1729876.7678</v>
      </c>
      <c r="D3465" s="2">
        <v>0.66249999999999998</v>
      </c>
      <c r="E3465" s="3">
        <v>268162</v>
      </c>
      <c r="F3465" s="2">
        <v>177666.38829999999</v>
      </c>
      <c r="G3465" t="s">
        <v>823</v>
      </c>
      <c r="H3465" t="s">
        <v>5</v>
      </c>
      <c r="I3465">
        <f>HLOOKUP(G3465,zip_tiers!$A$1:$EON$2,2,FALSE)</f>
        <v>37901</v>
      </c>
      <c r="J3465" t="str">
        <f t="shared" si="54"/>
        <v>Low</v>
      </c>
      <c r="K3465">
        <f>dataset[[#This Row],[soda_sales]]/dataset[[#This Row],[soda_units_sold]]</f>
        <v>0.66253379785353628</v>
      </c>
      <c r="L3465" s="29">
        <f>dataset[[#This Row],[implied_soda_ppu]]-dataset[[#This Row],[soda_ppu]]</f>
        <v>3.3797853536299272E-5</v>
      </c>
      <c r="M3465">
        <f>dataset[[#This Row],[soda_sales]]/dataset[[#This Row],[total_sales]]</f>
        <v>0.10270465018496677</v>
      </c>
      <c r="N3465">
        <f>LN(dataset[[#This Row],[soda_units_sold]])</f>
        <v>12.499346554481933</v>
      </c>
      <c r="O3465">
        <f>LN(dataset[[#This Row],[soda_sales]])</f>
        <v>12.0876628476869</v>
      </c>
      <c r="P3465">
        <f>LN(dataset[[#This Row],[soda_ppu]])</f>
        <v>-0.41173472112175979</v>
      </c>
      <c r="Q3465">
        <f>IF(dataset[[#This Row],[state]]="VA",1,0)</f>
        <v>0</v>
      </c>
    </row>
    <row r="3466" spans="1:17" x14ac:dyDescent="0.35">
      <c r="A3466">
        <v>202209</v>
      </c>
      <c r="B3466">
        <v>26</v>
      </c>
      <c r="C3466" s="2">
        <v>1731545.2778</v>
      </c>
      <c r="D3466" s="2">
        <v>0.67220000000000002</v>
      </c>
      <c r="E3466" s="3">
        <v>252963</v>
      </c>
      <c r="F3466" s="2">
        <v>170043.06539999999</v>
      </c>
      <c r="G3466" t="s">
        <v>823</v>
      </c>
      <c r="H3466" t="s">
        <v>5</v>
      </c>
      <c r="I3466">
        <f>HLOOKUP(G3466,zip_tiers!$A$1:$EON$2,2,FALSE)</f>
        <v>37901</v>
      </c>
      <c r="J3466" t="str">
        <f t="shared" si="54"/>
        <v>Low</v>
      </c>
      <c r="K3466">
        <f>dataset[[#This Row],[soda_sales]]/dataset[[#This Row],[soda_units_sold]]</f>
        <v>0.67220528456730821</v>
      </c>
      <c r="L3466" s="29">
        <f>dataset[[#This Row],[implied_soda_ppu]]-dataset[[#This Row],[soda_ppu]]</f>
        <v>5.2845673081947098E-6</v>
      </c>
      <c r="M3466">
        <f>dataset[[#This Row],[soda_sales]]/dataset[[#This Row],[total_sales]]</f>
        <v>9.8203071891973137E-2</v>
      </c>
      <c r="N3466">
        <f>LN(dataset[[#This Row],[soda_units_sold]])</f>
        <v>12.440998511955517</v>
      </c>
      <c r="O3466">
        <f>LN(dataset[[#This Row],[soda_sales]])</f>
        <v>12.043807009833168</v>
      </c>
      <c r="P3466">
        <f>LN(dataset[[#This Row],[soda_ppu]])</f>
        <v>-0.39719936369113173</v>
      </c>
      <c r="Q3466">
        <f>IF(dataset[[#This Row],[state]]="VA",1,0)</f>
        <v>0</v>
      </c>
    </row>
    <row r="3467" spans="1:17" x14ac:dyDescent="0.35">
      <c r="A3467">
        <v>202210</v>
      </c>
      <c r="B3467">
        <v>26</v>
      </c>
      <c r="C3467" s="2">
        <v>2067242.0459</v>
      </c>
      <c r="D3467" s="2">
        <v>0.67879999999999996</v>
      </c>
      <c r="E3467" s="3">
        <v>231141</v>
      </c>
      <c r="F3467" s="2">
        <v>156895.28169999999</v>
      </c>
      <c r="G3467" t="s">
        <v>823</v>
      </c>
      <c r="H3467" t="s">
        <v>5</v>
      </c>
      <c r="I3467">
        <f>HLOOKUP(G3467,zip_tiers!$A$1:$EON$2,2,FALSE)</f>
        <v>37901</v>
      </c>
      <c r="J3467" t="str">
        <f t="shared" si="54"/>
        <v>Low</v>
      </c>
      <c r="K3467">
        <f>dataset[[#This Row],[soda_sales]]/dataset[[#This Row],[soda_units_sold]]</f>
        <v>0.67878602973942304</v>
      </c>
      <c r="L3467" s="29">
        <f>dataset[[#This Row],[implied_soda_ppu]]-dataset[[#This Row],[soda_ppu]]</f>
        <v>-1.3970260576923188E-5</v>
      </c>
      <c r="M3467">
        <f>dataset[[#This Row],[soda_sales]]/dataset[[#This Row],[total_sales]]</f>
        <v>7.5895941653844237E-2</v>
      </c>
      <c r="N3467">
        <f>LN(dataset[[#This Row],[soda_units_sold]])</f>
        <v>12.350783192902353</v>
      </c>
      <c r="O3467">
        <f>LN(dataset[[#This Row],[soda_sales]])</f>
        <v>11.963333866248556</v>
      </c>
      <c r="P3467">
        <f>LN(dataset[[#This Row],[soda_ppu]])</f>
        <v>-0.38742874562206586</v>
      </c>
      <c r="Q3467">
        <f>IF(dataset[[#This Row],[state]]="VA",1,0)</f>
        <v>0</v>
      </c>
    </row>
    <row r="3468" spans="1:17" x14ac:dyDescent="0.35">
      <c r="A3468">
        <v>202211</v>
      </c>
      <c r="B3468">
        <v>26</v>
      </c>
      <c r="C3468" s="2">
        <v>2390309.0514000002</v>
      </c>
      <c r="D3468" s="2">
        <v>0.66920000000000002</v>
      </c>
      <c r="E3468" s="3">
        <v>228501</v>
      </c>
      <c r="F3468" s="2">
        <v>152907.38889999999</v>
      </c>
      <c r="G3468" t="s">
        <v>823</v>
      </c>
      <c r="H3468" t="s">
        <v>5</v>
      </c>
      <c r="I3468">
        <f>HLOOKUP(G3468,zip_tiers!$A$1:$EON$2,2,FALSE)</f>
        <v>37901</v>
      </c>
      <c r="J3468" t="str">
        <f t="shared" si="54"/>
        <v>Low</v>
      </c>
      <c r="K3468">
        <f>dataset[[#This Row],[soda_sales]]/dataset[[#This Row],[soda_units_sold]]</f>
        <v>0.66917601629752166</v>
      </c>
      <c r="L3468" s="29">
        <f>dataset[[#This Row],[implied_soda_ppu]]-dataset[[#This Row],[soda_ppu]]</f>
        <v>-2.398370247835846E-5</v>
      </c>
      <c r="M3468">
        <f>dataset[[#This Row],[soda_sales]]/dataset[[#This Row],[total_sales]]</f>
        <v>6.3969715050211762E-2</v>
      </c>
      <c r="N3468">
        <f>LN(dataset[[#This Row],[soda_units_sold]])</f>
        <v>12.339295865674435</v>
      </c>
      <c r="O3468">
        <f>LN(dataset[[#This Row],[soda_sales]])</f>
        <v>11.937587715798587</v>
      </c>
      <c r="P3468">
        <f>LN(dataset[[#This Row],[soda_ppu]])</f>
        <v>-0.40167230986946811</v>
      </c>
      <c r="Q3468">
        <f>IF(dataset[[#This Row],[state]]="VA",1,0)</f>
        <v>0</v>
      </c>
    </row>
    <row r="3469" spans="1:17" x14ac:dyDescent="0.35">
      <c r="A3469">
        <v>202212</v>
      </c>
      <c r="B3469">
        <v>26</v>
      </c>
      <c r="C3469" s="2">
        <v>2504700.2377999998</v>
      </c>
      <c r="D3469" s="2">
        <v>0.67079999999999995</v>
      </c>
      <c r="E3469" s="3">
        <v>219882</v>
      </c>
      <c r="F3469" s="2">
        <v>147496.52849999999</v>
      </c>
      <c r="G3469" t="s">
        <v>823</v>
      </c>
      <c r="H3469" t="s">
        <v>5</v>
      </c>
      <c r="I3469">
        <f>HLOOKUP(G3469,zip_tiers!$A$1:$EON$2,2,FALSE)</f>
        <v>37901</v>
      </c>
      <c r="J3469" t="str">
        <f t="shared" si="54"/>
        <v>Low</v>
      </c>
      <c r="K3469">
        <f>dataset[[#This Row],[soda_sales]]/dataset[[#This Row],[soda_units_sold]]</f>
        <v>0.67079855786285369</v>
      </c>
      <c r="L3469" s="29">
        <f>dataset[[#This Row],[implied_soda_ppu]]-dataset[[#This Row],[soda_ppu]]</f>
        <v>-1.442137146256961E-6</v>
      </c>
      <c r="M3469">
        <f>dataset[[#This Row],[soda_sales]]/dataset[[#This Row],[total_sales]]</f>
        <v>5.8887896553063521E-2</v>
      </c>
      <c r="N3469">
        <f>LN(dataset[[#This Row],[soda_units_sold]])</f>
        <v>12.300846317803705</v>
      </c>
      <c r="O3469">
        <f>LN(dataset[[#This Row],[soda_sales]])</f>
        <v>11.901559918891826</v>
      </c>
      <c r="P3469">
        <f>LN(dataset[[#This Row],[soda_ppu]])</f>
        <v>-0.39928424903308335</v>
      </c>
      <c r="Q3469">
        <f>IF(dataset[[#This Row],[state]]="VA",1,0)</f>
        <v>0</v>
      </c>
    </row>
    <row r="3470" spans="1:17" x14ac:dyDescent="0.35">
      <c r="A3470">
        <v>202301</v>
      </c>
      <c r="B3470">
        <v>26</v>
      </c>
      <c r="C3470" s="2">
        <v>1446553.3807999999</v>
      </c>
      <c r="D3470" s="2">
        <v>0.67779999999999996</v>
      </c>
      <c r="E3470" s="3">
        <v>163147</v>
      </c>
      <c r="F3470" s="2">
        <v>110575.1581</v>
      </c>
      <c r="G3470" t="s">
        <v>823</v>
      </c>
      <c r="H3470" t="s">
        <v>5</v>
      </c>
      <c r="I3470">
        <f>HLOOKUP(G3470,zip_tiers!$A$1:$EON$2,2,FALSE)</f>
        <v>37901</v>
      </c>
      <c r="J3470" t="str">
        <f t="shared" si="54"/>
        <v>Low</v>
      </c>
      <c r="K3470">
        <f>dataset[[#This Row],[soda_sales]]/dataset[[#This Row],[soda_units_sold]]</f>
        <v>0.67776396807786843</v>
      </c>
      <c r="L3470" s="29">
        <f>dataset[[#This Row],[implied_soda_ppu]]-dataset[[#This Row],[soda_ppu]]</f>
        <v>-3.6031922131529726E-5</v>
      </c>
      <c r="M3470">
        <f>dataset[[#This Row],[soda_sales]]/dataset[[#This Row],[total_sales]]</f>
        <v>7.6440426995405916E-2</v>
      </c>
      <c r="N3470">
        <f>LN(dataset[[#This Row],[soda_units_sold]])</f>
        <v>12.00240691386589</v>
      </c>
      <c r="O3470">
        <f>LN(dataset[[#This Row],[soda_sales]])</f>
        <v>11.613450732534284</v>
      </c>
      <c r="P3470">
        <f>LN(dataset[[#This Row],[soda_ppu]])</f>
        <v>-0.38890301980918618</v>
      </c>
      <c r="Q3470">
        <f>IF(dataset[[#This Row],[state]]="VA",1,0)</f>
        <v>0</v>
      </c>
    </row>
    <row r="3471" spans="1:17" x14ac:dyDescent="0.35">
      <c r="A3471">
        <v>202302</v>
      </c>
      <c r="B3471">
        <v>26</v>
      </c>
      <c r="C3471" s="2">
        <v>1601958.9687999999</v>
      </c>
      <c r="D3471" s="2">
        <v>0.65939999999999999</v>
      </c>
      <c r="E3471" s="3">
        <v>192566</v>
      </c>
      <c r="F3471" s="2">
        <v>126984.46829999999</v>
      </c>
      <c r="G3471" t="s">
        <v>823</v>
      </c>
      <c r="H3471" t="s">
        <v>5</v>
      </c>
      <c r="I3471">
        <f>HLOOKUP(G3471,zip_tiers!$A$1:$EON$2,2,FALSE)</f>
        <v>37901</v>
      </c>
      <c r="J3471" t="str">
        <f t="shared" si="54"/>
        <v>Low</v>
      </c>
      <c r="K3471">
        <f>dataset[[#This Row],[soda_sales]]/dataset[[#This Row],[soda_units_sold]]</f>
        <v>0.65943348410415126</v>
      </c>
      <c r="L3471" s="29">
        <f>dataset[[#This Row],[implied_soda_ppu]]-dataset[[#This Row],[soda_ppu]]</f>
        <v>3.3484104151271232E-5</v>
      </c>
      <c r="M3471">
        <f>dataset[[#This Row],[soda_sales]]/dataset[[#This Row],[total_sales]]</f>
        <v>7.9268240181658262E-2</v>
      </c>
      <c r="N3471">
        <f>LN(dataset[[#This Row],[soda_units_sold]])</f>
        <v>12.168194231090753</v>
      </c>
      <c r="O3471">
        <f>LN(dataset[[#This Row],[soda_sales]])</f>
        <v>11.751820061111465</v>
      </c>
      <c r="P3471">
        <f>LN(dataset[[#This Row],[soda_ppu]])</f>
        <v>-0.41642494834450638</v>
      </c>
      <c r="Q3471">
        <f>IF(dataset[[#This Row],[state]]="VA",1,0)</f>
        <v>0</v>
      </c>
    </row>
    <row r="3472" spans="1:17" x14ac:dyDescent="0.35">
      <c r="A3472">
        <v>202303</v>
      </c>
      <c r="B3472">
        <v>26</v>
      </c>
      <c r="C3472" s="2">
        <v>1831628.9531</v>
      </c>
      <c r="D3472" s="2">
        <v>0.70389999999999997</v>
      </c>
      <c r="E3472" s="3">
        <v>205123</v>
      </c>
      <c r="F3472" s="2">
        <v>144390.09539999999</v>
      </c>
      <c r="G3472" t="s">
        <v>823</v>
      </c>
      <c r="H3472" t="s">
        <v>5</v>
      </c>
      <c r="I3472">
        <f>HLOOKUP(G3472,zip_tiers!$A$1:$EON$2,2,FALSE)</f>
        <v>37901</v>
      </c>
      <c r="J3472" t="str">
        <f t="shared" si="54"/>
        <v>Low</v>
      </c>
      <c r="K3472">
        <f>dataset[[#This Row],[soda_sales]]/dataset[[#This Row],[soda_units_sold]]</f>
        <v>0.70391957703426722</v>
      </c>
      <c r="L3472" s="29">
        <f>dataset[[#This Row],[implied_soda_ppu]]-dataset[[#This Row],[soda_ppu]]</f>
        <v>1.957703426724855E-5</v>
      </c>
      <c r="M3472">
        <f>dataset[[#This Row],[soda_sales]]/dataset[[#This Row],[total_sales]]</f>
        <v>7.8831520519274542E-2</v>
      </c>
      <c r="N3472">
        <f>LN(dataset[[#This Row],[soda_units_sold]])</f>
        <v>12.231365078192512</v>
      </c>
      <c r="O3472">
        <f>LN(dataset[[#This Row],[soda_sales]])</f>
        <v>11.880273911675621</v>
      </c>
      <c r="P3472">
        <f>LN(dataset[[#This Row],[soda_ppu]])</f>
        <v>-0.35111897836805117</v>
      </c>
      <c r="Q3472">
        <f>IF(dataset[[#This Row],[state]]="VA",1,0)</f>
        <v>0</v>
      </c>
    </row>
    <row r="3473" spans="1:17" x14ac:dyDescent="0.35">
      <c r="A3473">
        <v>202304</v>
      </c>
      <c r="B3473">
        <v>26</v>
      </c>
      <c r="C3473" s="2">
        <v>1899375.3731</v>
      </c>
      <c r="D3473" s="2">
        <v>0.67269999999999996</v>
      </c>
      <c r="E3473" s="3">
        <v>256294</v>
      </c>
      <c r="F3473" s="2">
        <v>172414.2432</v>
      </c>
      <c r="G3473" t="s">
        <v>823</v>
      </c>
      <c r="H3473" t="s">
        <v>5</v>
      </c>
      <c r="I3473">
        <f>HLOOKUP(G3473,zip_tiers!$A$1:$EON$2,2,FALSE)</f>
        <v>37901</v>
      </c>
      <c r="J3473" t="str">
        <f t="shared" si="54"/>
        <v>Low</v>
      </c>
      <c r="K3473">
        <f>dataset[[#This Row],[soda_sales]]/dataset[[#This Row],[soda_units_sold]]</f>
        <v>0.67272055998189573</v>
      </c>
      <c r="L3473" s="29">
        <f>dataset[[#This Row],[implied_soda_ppu]]-dataset[[#This Row],[soda_ppu]]</f>
        <v>2.0559981895762469E-5</v>
      </c>
      <c r="M3473">
        <f>dataset[[#This Row],[soda_sales]]/dataset[[#This Row],[total_sales]]</f>
        <v>9.0774180628971746E-2</v>
      </c>
      <c r="N3473">
        <f>LN(dataset[[#This Row],[soda_units_sold]])</f>
        <v>12.454080502011815</v>
      </c>
      <c r="O3473">
        <f>LN(dataset[[#This Row],[soda_sales]])</f>
        <v>12.057655250968493</v>
      </c>
      <c r="P3473">
        <f>LN(dataset[[#This Row],[soda_ppu]])</f>
        <v>-0.396455813950577</v>
      </c>
      <c r="Q3473">
        <f>IF(dataset[[#This Row],[state]]="VA",1,0)</f>
        <v>0</v>
      </c>
    </row>
    <row r="3474" spans="1:17" x14ac:dyDescent="0.35">
      <c r="A3474">
        <v>202305</v>
      </c>
      <c r="B3474">
        <v>26</v>
      </c>
      <c r="C3474" s="2">
        <v>2027336.4981</v>
      </c>
      <c r="D3474" s="2">
        <v>0.69769999999999999</v>
      </c>
      <c r="E3474" s="3">
        <v>267083</v>
      </c>
      <c r="F3474" s="2">
        <v>186331.51360000001</v>
      </c>
      <c r="G3474" t="s">
        <v>823</v>
      </c>
      <c r="H3474" t="s">
        <v>5</v>
      </c>
      <c r="I3474">
        <f>HLOOKUP(G3474,zip_tiers!$A$1:$EON$2,2,FALSE)</f>
        <v>37901</v>
      </c>
      <c r="J3474" t="str">
        <f t="shared" si="54"/>
        <v>Low</v>
      </c>
      <c r="K3474">
        <f>dataset[[#This Row],[soda_sales]]/dataset[[#This Row],[soda_units_sold]]</f>
        <v>0.69765396374909672</v>
      </c>
      <c r="L3474" s="29">
        <f>dataset[[#This Row],[implied_soda_ppu]]-dataset[[#This Row],[soda_ppu]]</f>
        <v>-4.6036250903269682E-5</v>
      </c>
      <c r="M3474">
        <f>dataset[[#This Row],[soda_sales]]/dataset[[#This Row],[total_sales]]</f>
        <v>9.1909514663514463E-2</v>
      </c>
      <c r="N3474">
        <f>LN(dataset[[#This Row],[soda_units_sold]])</f>
        <v>12.495314750498206</v>
      </c>
      <c r="O3474">
        <f>LN(dataset[[#This Row],[soda_sales]])</f>
        <v>12.135282697410705</v>
      </c>
      <c r="P3474">
        <f>LN(dataset[[#This Row],[soda_ppu]])</f>
        <v>-0.3599660680369462</v>
      </c>
      <c r="Q3474">
        <f>IF(dataset[[#This Row],[state]]="VA",1,0)</f>
        <v>0</v>
      </c>
    </row>
    <row r="3475" spans="1:17" x14ac:dyDescent="0.35">
      <c r="A3475">
        <v>202306</v>
      </c>
      <c r="B3475">
        <v>26</v>
      </c>
      <c r="C3475" s="2">
        <v>1904258.5133</v>
      </c>
      <c r="D3475" s="2">
        <v>0.6875</v>
      </c>
      <c r="E3475" s="3">
        <v>284428</v>
      </c>
      <c r="F3475" s="2">
        <v>195547.25810000001</v>
      </c>
      <c r="G3475" t="s">
        <v>823</v>
      </c>
      <c r="H3475" t="s">
        <v>5</v>
      </c>
      <c r="I3475">
        <f>HLOOKUP(G3475,zip_tiers!$A$1:$EON$2,2,FALSE)</f>
        <v>37901</v>
      </c>
      <c r="J3475" t="str">
        <f t="shared" si="54"/>
        <v>Low</v>
      </c>
      <c r="K3475">
        <f>dataset[[#This Row],[soda_sales]]/dataset[[#This Row],[soda_units_sold]]</f>
        <v>0.68751057596298537</v>
      </c>
      <c r="L3475" s="29">
        <f>dataset[[#This Row],[implied_soda_ppu]]-dataset[[#This Row],[soda_ppu]]</f>
        <v>1.0575962985370779E-5</v>
      </c>
      <c r="M3475">
        <f>dataset[[#This Row],[soda_sales]]/dataset[[#This Row],[total_sales]]</f>
        <v>0.10268944932330895</v>
      </c>
      <c r="N3475">
        <f>LN(dataset[[#This Row],[soda_units_sold]])</f>
        <v>12.558235424948318</v>
      </c>
      <c r="O3475">
        <f>LN(dataset[[#This Row],[soda_sales]])</f>
        <v>12.183557358607475</v>
      </c>
      <c r="P3475">
        <f>LN(dataset[[#This Row],[soda_ppu]])</f>
        <v>-0.3746934494414107</v>
      </c>
      <c r="Q3475">
        <f>IF(dataset[[#This Row],[state]]="VA",1,0)</f>
        <v>0</v>
      </c>
    </row>
    <row r="3476" spans="1:17" x14ac:dyDescent="0.35">
      <c r="A3476">
        <v>202307</v>
      </c>
      <c r="B3476">
        <v>26</v>
      </c>
      <c r="C3476" s="2">
        <v>1838294.5068000001</v>
      </c>
      <c r="D3476" s="2">
        <v>0.67149999999999999</v>
      </c>
      <c r="E3476" s="3">
        <v>304595</v>
      </c>
      <c r="F3476" s="2">
        <v>204539.24950000001</v>
      </c>
      <c r="G3476" t="s">
        <v>823</v>
      </c>
      <c r="H3476" t="s">
        <v>5</v>
      </c>
      <c r="I3476">
        <f>HLOOKUP(G3476,zip_tiers!$A$1:$EON$2,2,FALSE)</f>
        <v>37901</v>
      </c>
      <c r="J3476" t="str">
        <f t="shared" si="54"/>
        <v>Low</v>
      </c>
      <c r="K3476">
        <f>dataset[[#This Row],[soda_sales]]/dataset[[#This Row],[soda_units_sold]]</f>
        <v>0.67151217025886834</v>
      </c>
      <c r="L3476" s="29">
        <f>dataset[[#This Row],[implied_soda_ppu]]-dataset[[#This Row],[soda_ppu]]</f>
        <v>1.2170258868349215E-5</v>
      </c>
      <c r="M3476">
        <f>dataset[[#This Row],[soda_sales]]/dataset[[#This Row],[total_sales]]</f>
        <v>0.1112657676685606</v>
      </c>
      <c r="N3476">
        <f>LN(dataset[[#This Row],[soda_units_sold]])</f>
        <v>12.626738304338017</v>
      </c>
      <c r="O3476">
        <f>LN(dataset[[#This Row],[soda_sales]])</f>
        <v>12.228515165144316</v>
      </c>
      <c r="P3476">
        <f>LN(dataset[[#This Row],[soda_ppu]])</f>
        <v>-0.39824126301884483</v>
      </c>
      <c r="Q3476">
        <f>IF(dataset[[#This Row],[state]]="VA",1,0)</f>
        <v>0</v>
      </c>
    </row>
    <row r="3477" spans="1:17" x14ac:dyDescent="0.35">
      <c r="A3477">
        <v>202308</v>
      </c>
      <c r="B3477">
        <v>26</v>
      </c>
      <c r="C3477" s="2">
        <v>1726332.0918000001</v>
      </c>
      <c r="D3477" s="2">
        <v>0.67789999999999995</v>
      </c>
      <c r="E3477" s="3">
        <v>264621</v>
      </c>
      <c r="F3477" s="2">
        <v>179385.97640000001</v>
      </c>
      <c r="G3477" t="s">
        <v>823</v>
      </c>
      <c r="H3477" t="s">
        <v>5</v>
      </c>
      <c r="I3477">
        <f>HLOOKUP(G3477,zip_tiers!$A$1:$EON$2,2,FALSE)</f>
        <v>37901</v>
      </c>
      <c r="J3477" t="str">
        <f t="shared" si="54"/>
        <v>Low</v>
      </c>
      <c r="K3477">
        <f>dataset[[#This Row],[soda_sales]]/dataset[[#This Row],[soda_units_sold]]</f>
        <v>0.67789773449575053</v>
      </c>
      <c r="L3477" s="29">
        <f>dataset[[#This Row],[implied_soda_ppu]]-dataset[[#This Row],[soda_ppu]]</f>
        <v>-2.2655042494212907E-6</v>
      </c>
      <c r="M3477">
        <f>dataset[[#This Row],[soda_sales]]/dataset[[#This Row],[total_sales]]</f>
        <v>0.10391162699927514</v>
      </c>
      <c r="N3477">
        <f>LN(dataset[[#This Row],[soda_units_sold]])</f>
        <v>12.486053892593116</v>
      </c>
      <c r="O3477">
        <f>LN(dataset[[#This Row],[soda_sales]])</f>
        <v>12.097295056097707</v>
      </c>
      <c r="P3477">
        <f>LN(dataset[[#This Row],[soda_ppu]])</f>
        <v>-0.38875549454521718</v>
      </c>
      <c r="Q3477">
        <f>IF(dataset[[#This Row],[state]]="VA",1,0)</f>
        <v>0</v>
      </c>
    </row>
    <row r="3478" spans="1:17" x14ac:dyDescent="0.35">
      <c r="A3478">
        <v>202309</v>
      </c>
      <c r="B3478">
        <v>26</v>
      </c>
      <c r="C3478" s="2">
        <v>1754396.4569999999</v>
      </c>
      <c r="D3478" s="2">
        <v>0.66269999999999996</v>
      </c>
      <c r="E3478" s="3">
        <v>265190</v>
      </c>
      <c r="F3478" s="2">
        <v>175733.4786</v>
      </c>
      <c r="G3478" t="s">
        <v>823</v>
      </c>
      <c r="H3478" t="s">
        <v>5</v>
      </c>
      <c r="I3478">
        <f>HLOOKUP(G3478,zip_tiers!$A$1:$EON$2,2,FALSE)</f>
        <v>37901</v>
      </c>
      <c r="J3478" t="str">
        <f t="shared" si="54"/>
        <v>Low</v>
      </c>
      <c r="K3478">
        <f>dataset[[#This Row],[soda_sales]]/dataset[[#This Row],[soda_units_sold]]</f>
        <v>0.6626700803197707</v>
      </c>
      <c r="L3478" s="29">
        <f>dataset[[#This Row],[implied_soda_ppu]]-dataset[[#This Row],[soda_ppu]]</f>
        <v>-2.9919680229251178E-5</v>
      </c>
      <c r="M3478">
        <f>dataset[[#This Row],[soda_sales]]/dataset[[#This Row],[total_sales]]</f>
        <v>0.10016748375136511</v>
      </c>
      <c r="N3478">
        <f>LN(dataset[[#This Row],[soda_units_sold]])</f>
        <v>12.488201829192255</v>
      </c>
      <c r="O3478">
        <f>LN(dataset[[#This Row],[soda_sales]])</f>
        <v>12.076723800133243</v>
      </c>
      <c r="P3478">
        <f>LN(dataset[[#This Row],[soda_ppu]])</f>
        <v>-0.41143287988795596</v>
      </c>
      <c r="Q3478">
        <f>IF(dataset[[#This Row],[state]]="VA",1,0)</f>
        <v>0</v>
      </c>
    </row>
    <row r="3479" spans="1:17" x14ac:dyDescent="0.35">
      <c r="A3479">
        <v>202310</v>
      </c>
      <c r="B3479">
        <v>26</v>
      </c>
      <c r="C3479" s="2">
        <v>2105193.4805000001</v>
      </c>
      <c r="D3479" s="2">
        <v>0.66910000000000003</v>
      </c>
      <c r="E3479" s="3">
        <v>245156</v>
      </c>
      <c r="F3479" s="2">
        <v>164024.6808</v>
      </c>
      <c r="G3479" t="s">
        <v>823</v>
      </c>
      <c r="H3479" t="s">
        <v>5</v>
      </c>
      <c r="I3479">
        <f>HLOOKUP(G3479,zip_tiers!$A$1:$EON$2,2,FALSE)</f>
        <v>37901</v>
      </c>
      <c r="J3479" t="str">
        <f t="shared" si="54"/>
        <v>Low</v>
      </c>
      <c r="K3479">
        <f>dataset[[#This Row],[soda_sales]]/dataset[[#This Row],[soda_units_sold]]</f>
        <v>0.66906247776925709</v>
      </c>
      <c r="L3479" s="29">
        <f>dataset[[#This Row],[implied_soda_ppu]]-dataset[[#This Row],[soda_ppu]]</f>
        <v>-3.7522230742936813E-5</v>
      </c>
      <c r="M3479">
        <f>dataset[[#This Row],[soda_sales]]/dataset[[#This Row],[total_sales]]</f>
        <v>7.791430209115166E-2</v>
      </c>
      <c r="N3479">
        <f>LN(dataset[[#This Row],[soda_units_sold]])</f>
        <v>12.409650021591217</v>
      </c>
      <c r="O3479">
        <f>LN(dataset[[#This Row],[soda_sales]])</f>
        <v>12.007772188166374</v>
      </c>
      <c r="P3479">
        <f>LN(dataset[[#This Row],[soda_ppu]])</f>
        <v>-0.40182175319336577</v>
      </c>
      <c r="Q3479">
        <f>IF(dataset[[#This Row],[state]]="VA",1,0)</f>
        <v>0</v>
      </c>
    </row>
    <row r="3480" spans="1:17" x14ac:dyDescent="0.35">
      <c r="A3480">
        <v>202311</v>
      </c>
      <c r="B3480">
        <v>26</v>
      </c>
      <c r="C3480" s="2">
        <v>2425272.7319999998</v>
      </c>
      <c r="D3480" s="2">
        <v>0.69510000000000005</v>
      </c>
      <c r="E3480" s="3">
        <v>220356</v>
      </c>
      <c r="F3480" s="2">
        <v>153176.85339999999</v>
      </c>
      <c r="G3480" t="s">
        <v>823</v>
      </c>
      <c r="H3480" t="s">
        <v>5</v>
      </c>
      <c r="I3480">
        <f>HLOOKUP(G3480,zip_tiers!$A$1:$EON$2,2,FALSE)</f>
        <v>37901</v>
      </c>
      <c r="J3480" t="str">
        <f t="shared" si="54"/>
        <v>Low</v>
      </c>
      <c r="K3480">
        <f>dataset[[#This Row],[soda_sales]]/dataset[[#This Row],[soda_units_sold]]</f>
        <v>0.69513357203797488</v>
      </c>
      <c r="L3480" s="29">
        <f>dataset[[#This Row],[implied_soda_ppu]]-dataset[[#This Row],[soda_ppu]]</f>
        <v>3.3572037974827218E-5</v>
      </c>
      <c r="M3480">
        <f>dataset[[#This Row],[soda_sales]]/dataset[[#This Row],[total_sales]]</f>
        <v>6.3158609495305204E-2</v>
      </c>
      <c r="N3480">
        <f>LN(dataset[[#This Row],[soda_units_sold]])</f>
        <v>12.302999699307179</v>
      </c>
      <c r="O3480">
        <f>LN(dataset[[#This Row],[soda_sales]])</f>
        <v>11.939348437406403</v>
      </c>
      <c r="P3480">
        <f>LN(dataset[[#This Row],[soda_ppu]])</f>
        <v>-0.36369955887569677</v>
      </c>
      <c r="Q3480">
        <f>IF(dataset[[#This Row],[state]]="VA",1,0)</f>
        <v>0</v>
      </c>
    </row>
    <row r="3481" spans="1:17" x14ac:dyDescent="0.35">
      <c r="A3481">
        <v>202312</v>
      </c>
      <c r="B3481">
        <v>26</v>
      </c>
      <c r="C3481" s="2">
        <v>2502441.2472000001</v>
      </c>
      <c r="D3481" s="2">
        <v>0.68330000000000002</v>
      </c>
      <c r="E3481" s="3">
        <v>218394</v>
      </c>
      <c r="F3481" s="2">
        <v>149230.538</v>
      </c>
      <c r="G3481" t="s">
        <v>823</v>
      </c>
      <c r="H3481" t="s">
        <v>5</v>
      </c>
      <c r="I3481">
        <f>HLOOKUP(G3481,zip_tiers!$A$1:$EON$2,2,FALSE)</f>
        <v>37901</v>
      </c>
      <c r="J3481" t="str">
        <f t="shared" si="54"/>
        <v>Low</v>
      </c>
      <c r="K3481">
        <f>dataset[[#This Row],[soda_sales]]/dataset[[#This Row],[soda_units_sold]]</f>
        <v>0.68330878137677775</v>
      </c>
      <c r="L3481" s="29">
        <f>dataset[[#This Row],[implied_soda_ppu]]-dataset[[#This Row],[soda_ppu]]</f>
        <v>8.7813767777333851E-6</v>
      </c>
      <c r="M3481">
        <f>dataset[[#This Row],[soda_sales]]/dataset[[#This Row],[total_sales]]</f>
        <v>5.9633982682700398E-2</v>
      </c>
      <c r="N3481">
        <f>LN(dataset[[#This Row],[soda_units_sold]])</f>
        <v>12.294056049948038</v>
      </c>
      <c r="O3481">
        <f>LN(dataset[[#This Row],[soda_sales]])</f>
        <v>11.913247624092238</v>
      </c>
      <c r="P3481">
        <f>LN(dataset[[#This Row],[soda_ppu]])</f>
        <v>-0.38082127719540443</v>
      </c>
      <c r="Q3481">
        <f>IF(dataset[[#This Row],[state]]="VA",1,0)</f>
        <v>0</v>
      </c>
    </row>
    <row r="3482" spans="1:17" x14ac:dyDescent="0.35">
      <c r="A3482">
        <v>202401</v>
      </c>
      <c r="B3482">
        <v>26</v>
      </c>
      <c r="C3482" s="2">
        <v>1454381.6518999999</v>
      </c>
      <c r="D3482" s="2">
        <v>0.68600000000000005</v>
      </c>
      <c r="E3482" s="3">
        <v>166822</v>
      </c>
      <c r="F3482" s="2">
        <v>114441.7797</v>
      </c>
      <c r="G3482" t="s">
        <v>823</v>
      </c>
      <c r="H3482" t="s">
        <v>5</v>
      </c>
      <c r="I3482">
        <f>HLOOKUP(G3482,zip_tiers!$A$1:$EON$2,2,FALSE)</f>
        <v>37901</v>
      </c>
      <c r="J3482" t="str">
        <f t="shared" si="54"/>
        <v>Low</v>
      </c>
      <c r="K3482">
        <f>dataset[[#This Row],[soda_sales]]/dataset[[#This Row],[soda_units_sold]]</f>
        <v>0.68601131565381068</v>
      </c>
      <c r="L3482" s="29">
        <f>dataset[[#This Row],[implied_soda_ppu]]-dataset[[#This Row],[soda_ppu]]</f>
        <v>1.131565381062849E-5</v>
      </c>
      <c r="M3482">
        <f>dataset[[#This Row],[soda_sales]]/dataset[[#This Row],[total_sales]]</f>
        <v>7.868758489251676E-2</v>
      </c>
      <c r="N3482">
        <f>LN(dataset[[#This Row],[soda_units_sold]])</f>
        <v>12.024682654693883</v>
      </c>
      <c r="O3482">
        <f>LN(dataset[[#This Row],[soda_sales]])</f>
        <v>11.647821498423761</v>
      </c>
      <c r="P3482">
        <f>LN(dataset[[#This Row],[soda_ppu]])</f>
        <v>-0.37687765125625172</v>
      </c>
      <c r="Q3482">
        <f>IF(dataset[[#This Row],[state]]="VA",1,0)</f>
        <v>0</v>
      </c>
    </row>
    <row r="3483" spans="1:17" x14ac:dyDescent="0.35">
      <c r="A3483">
        <v>202402</v>
      </c>
      <c r="B3483">
        <v>26</v>
      </c>
      <c r="C3483" s="2">
        <v>1686658.1757</v>
      </c>
      <c r="D3483" s="2">
        <v>0.69640000000000002</v>
      </c>
      <c r="E3483" s="3">
        <v>188691</v>
      </c>
      <c r="F3483" s="2">
        <v>131410.78349999999</v>
      </c>
      <c r="G3483" t="s">
        <v>823</v>
      </c>
      <c r="H3483" t="s">
        <v>5</v>
      </c>
      <c r="I3483">
        <f>HLOOKUP(G3483,zip_tiers!$A$1:$EON$2,2,FALSE)</f>
        <v>37901</v>
      </c>
      <c r="J3483" t="str">
        <f t="shared" si="54"/>
        <v>Low</v>
      </c>
      <c r="K3483">
        <f>dataset[[#This Row],[soda_sales]]/dataset[[#This Row],[soda_units_sold]]</f>
        <v>0.69643376472645746</v>
      </c>
      <c r="L3483" s="29">
        <f>dataset[[#This Row],[implied_soda_ppu]]-dataset[[#This Row],[soda_ppu]]</f>
        <v>3.3764726457441441E-5</v>
      </c>
      <c r="M3483">
        <f>dataset[[#This Row],[soda_sales]]/dataset[[#This Row],[total_sales]]</f>
        <v>7.7911923941234654E-2</v>
      </c>
      <c r="N3483">
        <f>LN(dataset[[#This Row],[soda_units_sold]])</f>
        <v>12.147866035465633</v>
      </c>
      <c r="O3483">
        <f>LN(dataset[[#This Row],[soda_sales]])</f>
        <v>11.786083447875445</v>
      </c>
      <c r="P3483">
        <f>LN(dataset[[#This Row],[soda_ppu]])</f>
        <v>-0.36183107108810303</v>
      </c>
      <c r="Q3483">
        <f>IF(dataset[[#This Row],[state]]="VA",1,0)</f>
        <v>0</v>
      </c>
    </row>
    <row r="3484" spans="1:17" x14ac:dyDescent="0.35">
      <c r="A3484">
        <v>202403</v>
      </c>
      <c r="B3484">
        <v>26</v>
      </c>
      <c r="C3484" s="2">
        <v>1849018.3903999999</v>
      </c>
      <c r="D3484" s="2">
        <v>0.67920000000000003</v>
      </c>
      <c r="E3484" s="3">
        <v>221232</v>
      </c>
      <c r="F3484" s="2">
        <v>150255.5894</v>
      </c>
      <c r="G3484" t="s">
        <v>823</v>
      </c>
      <c r="H3484" t="s">
        <v>5</v>
      </c>
      <c r="I3484">
        <f>HLOOKUP(G3484,zip_tiers!$A$1:$EON$2,2,FALSE)</f>
        <v>37901</v>
      </c>
      <c r="J3484" t="str">
        <f t="shared" si="54"/>
        <v>Low</v>
      </c>
      <c r="K3484">
        <f>dataset[[#This Row],[soda_sales]]/dataset[[#This Row],[soda_units_sold]]</f>
        <v>0.67917656306501772</v>
      </c>
      <c r="L3484" s="29">
        <f>dataset[[#This Row],[implied_soda_ppu]]-dataset[[#This Row],[soda_ppu]]</f>
        <v>-2.3436934982301594E-5</v>
      </c>
      <c r="M3484">
        <f>dataset[[#This Row],[soda_sales]]/dataset[[#This Row],[total_sales]]</f>
        <v>8.1262355301666339E-2</v>
      </c>
      <c r="N3484">
        <f>LN(dataset[[#This Row],[soda_units_sold]])</f>
        <v>12.3069672036284</v>
      </c>
      <c r="O3484">
        <f>LN(dataset[[#This Row],[soda_sales]])</f>
        <v>11.920093052371083</v>
      </c>
      <c r="P3484">
        <f>LN(dataset[[#This Row],[soda_ppu]])</f>
        <v>-0.38683964398499943</v>
      </c>
      <c r="Q3484">
        <f>IF(dataset[[#This Row],[state]]="VA",1,0)</f>
        <v>0</v>
      </c>
    </row>
    <row r="3485" spans="1:17" x14ac:dyDescent="0.35">
      <c r="A3485">
        <v>202404</v>
      </c>
      <c r="B3485">
        <v>26</v>
      </c>
      <c r="C3485" s="2">
        <v>1925118.0704000001</v>
      </c>
      <c r="D3485" s="2">
        <v>0.70789999999999997</v>
      </c>
      <c r="E3485" s="3">
        <v>245300</v>
      </c>
      <c r="F3485" s="2">
        <v>173636.3144</v>
      </c>
      <c r="G3485" t="s">
        <v>823</v>
      </c>
      <c r="H3485" t="s">
        <v>5</v>
      </c>
      <c r="I3485">
        <f>HLOOKUP(G3485,zip_tiers!$A$1:$EON$2,2,FALSE)</f>
        <v>37901</v>
      </c>
      <c r="J3485" t="str">
        <f t="shared" si="54"/>
        <v>Low</v>
      </c>
      <c r="K3485">
        <f>dataset[[#This Row],[soda_sales]]/dataset[[#This Row],[soda_units_sold]]</f>
        <v>0.70785289196901757</v>
      </c>
      <c r="L3485" s="29">
        <f>dataset[[#This Row],[implied_soda_ppu]]-dataset[[#This Row],[soda_ppu]]</f>
        <v>-4.7108030982401239E-5</v>
      </c>
      <c r="M3485">
        <f>dataset[[#This Row],[soda_sales]]/dataset[[#This Row],[total_sales]]</f>
        <v>9.0195150661030329E-2</v>
      </c>
      <c r="N3485">
        <f>LN(dataset[[#This Row],[soda_units_sold]])</f>
        <v>12.410237230246581</v>
      </c>
      <c r="O3485">
        <f>LN(dataset[[#This Row],[soda_sales]])</f>
        <v>12.064718243664192</v>
      </c>
      <c r="P3485">
        <f>LN(dataset[[#This Row],[soda_ppu]])</f>
        <v>-0.34545243820199351</v>
      </c>
      <c r="Q3485">
        <f>IF(dataset[[#This Row],[state]]="VA",1,0)</f>
        <v>0</v>
      </c>
    </row>
    <row r="3486" spans="1:17" x14ac:dyDescent="0.35">
      <c r="A3486">
        <v>202405</v>
      </c>
      <c r="B3486">
        <v>26</v>
      </c>
      <c r="C3486" s="2">
        <v>2092151.726</v>
      </c>
      <c r="D3486" s="2">
        <v>0.69399999999999995</v>
      </c>
      <c r="E3486" s="3">
        <v>284082</v>
      </c>
      <c r="F3486" s="2">
        <v>197164.66579999999</v>
      </c>
      <c r="G3486" t="s">
        <v>823</v>
      </c>
      <c r="H3486" t="s">
        <v>5</v>
      </c>
      <c r="I3486">
        <f>HLOOKUP(G3486,zip_tiers!$A$1:$EON$2,2,FALSE)</f>
        <v>37901</v>
      </c>
      <c r="J3486" t="str">
        <f t="shared" si="54"/>
        <v>Low</v>
      </c>
      <c r="K3486">
        <f>dataset[[#This Row],[soda_sales]]/dataset[[#This Row],[soda_units_sold]]</f>
        <v>0.69404138875395127</v>
      </c>
      <c r="L3486" s="29">
        <f>dataset[[#This Row],[implied_soda_ppu]]-dataset[[#This Row],[soda_ppu]]</f>
        <v>4.1388753951321355E-5</v>
      </c>
      <c r="M3486">
        <f>dataset[[#This Row],[soda_sales]]/dataset[[#This Row],[total_sales]]</f>
        <v>9.4240137247101355E-2</v>
      </c>
      <c r="N3486">
        <f>LN(dataset[[#This Row],[soda_units_sold]])</f>
        <v>12.557018207862534</v>
      </c>
      <c r="O3486">
        <f>LN(dataset[[#This Row],[soda_sales]])</f>
        <v>12.191794525582921</v>
      </c>
      <c r="P3486">
        <f>LN(dataset[[#This Row],[soda_ppu]])</f>
        <v>-0.36528331847533263</v>
      </c>
      <c r="Q3486">
        <f>IF(dataset[[#This Row],[state]]="VA",1,0)</f>
        <v>0</v>
      </c>
    </row>
    <row r="3487" spans="1:17" x14ac:dyDescent="0.35">
      <c r="A3487">
        <v>202406</v>
      </c>
      <c r="B3487">
        <v>26</v>
      </c>
      <c r="C3487" s="2">
        <v>1989919.2282</v>
      </c>
      <c r="D3487" s="2">
        <v>0.70189999999999997</v>
      </c>
      <c r="E3487" s="3">
        <v>288347</v>
      </c>
      <c r="F3487" s="2">
        <v>202391.32620000001</v>
      </c>
      <c r="G3487" t="s">
        <v>823</v>
      </c>
      <c r="H3487" t="s">
        <v>5</v>
      </c>
      <c r="I3487">
        <f>HLOOKUP(G3487,zip_tiers!$A$1:$EON$2,2,FALSE)</f>
        <v>37901</v>
      </c>
      <c r="J3487" t="str">
        <f t="shared" si="54"/>
        <v>Low</v>
      </c>
      <c r="K3487">
        <f>dataset[[#This Row],[soda_sales]]/dataset[[#This Row],[soda_units_sold]]</f>
        <v>0.70190196603397992</v>
      </c>
      <c r="L3487" s="29">
        <f>dataset[[#This Row],[implied_soda_ppu]]-dataset[[#This Row],[soda_ppu]]</f>
        <v>1.9660339799498772E-6</v>
      </c>
      <c r="M3487">
        <f>dataset[[#This Row],[soda_sales]]/dataset[[#This Row],[total_sales]]</f>
        <v>0.10170831224294213</v>
      </c>
      <c r="N3487">
        <f>LN(dataset[[#This Row],[soda_units_sold]])</f>
        <v>12.571919894966548</v>
      </c>
      <c r="O3487">
        <f>LN(dataset[[#This Row],[soda_sales]])</f>
        <v>12.217958360734073</v>
      </c>
      <c r="P3487">
        <f>LN(dataset[[#This Row],[soda_ppu]])</f>
        <v>-0.35396433524576132</v>
      </c>
      <c r="Q3487">
        <f>IF(dataset[[#This Row],[state]]="VA",1,0)</f>
        <v>0</v>
      </c>
    </row>
    <row r="3488" spans="1:17" x14ac:dyDescent="0.35">
      <c r="A3488">
        <v>202407</v>
      </c>
      <c r="B3488">
        <v>26</v>
      </c>
      <c r="C3488" s="2">
        <v>1900085.6309</v>
      </c>
      <c r="D3488" s="2">
        <v>0.70350000000000001</v>
      </c>
      <c r="E3488" s="3">
        <v>298855</v>
      </c>
      <c r="F3488" s="2">
        <v>210234.83859999999</v>
      </c>
      <c r="G3488" t="s">
        <v>823</v>
      </c>
      <c r="H3488" t="s">
        <v>5</v>
      </c>
      <c r="I3488">
        <f>HLOOKUP(G3488,zip_tiers!$A$1:$EON$2,2,FALSE)</f>
        <v>37901</v>
      </c>
      <c r="J3488" t="str">
        <f t="shared" si="54"/>
        <v>Low</v>
      </c>
      <c r="K3488">
        <f>dataset[[#This Row],[soda_sales]]/dataset[[#This Row],[soda_units_sold]]</f>
        <v>0.70346769704371681</v>
      </c>
      <c r="L3488" s="29">
        <f>dataset[[#This Row],[implied_soda_ppu]]-dataset[[#This Row],[soda_ppu]]</f>
        <v>-3.2302956283203343E-5</v>
      </c>
      <c r="M3488">
        <f>dataset[[#This Row],[soda_sales]]/dataset[[#This Row],[total_sales]]</f>
        <v>0.11064492840799998</v>
      </c>
      <c r="N3488">
        <f>LN(dataset[[#This Row],[soda_units_sold]])</f>
        <v>12.607713784913848</v>
      </c>
      <c r="O3488">
        <f>LN(dataset[[#This Row],[soda_sales]])</f>
        <v>12.255980463938974</v>
      </c>
      <c r="P3488">
        <f>LN(dataset[[#This Row],[soda_ppu]])</f>
        <v>-0.35168740242769331</v>
      </c>
      <c r="Q3488">
        <f>IF(dataset[[#This Row],[state]]="VA",1,0)</f>
        <v>0</v>
      </c>
    </row>
    <row r="3489" spans="1:17" x14ac:dyDescent="0.35">
      <c r="A3489">
        <v>202408</v>
      </c>
      <c r="B3489">
        <v>26</v>
      </c>
      <c r="C3489" s="2">
        <v>1766638.3651000001</v>
      </c>
      <c r="D3489" s="2">
        <v>0.6946</v>
      </c>
      <c r="E3489" s="3">
        <v>266254</v>
      </c>
      <c r="F3489" s="2">
        <v>184941.15330000001</v>
      </c>
      <c r="G3489" t="s">
        <v>823</v>
      </c>
      <c r="H3489" t="s">
        <v>5</v>
      </c>
      <c r="I3489">
        <f>HLOOKUP(G3489,zip_tiers!$A$1:$EON$2,2,FALSE)</f>
        <v>37901</v>
      </c>
      <c r="J3489" t="str">
        <f t="shared" si="54"/>
        <v>Low</v>
      </c>
      <c r="K3489">
        <f>dataset[[#This Row],[soda_sales]]/dataset[[#This Row],[soda_units_sold]]</f>
        <v>0.69460422491305296</v>
      </c>
      <c r="L3489" s="29">
        <f>dataset[[#This Row],[implied_soda_ppu]]-dataset[[#This Row],[soda_ppu]]</f>
        <v>4.2249130529636858E-6</v>
      </c>
      <c r="M3489">
        <f>dataset[[#This Row],[soda_sales]]/dataset[[#This Row],[total_sales]]</f>
        <v>0.10468534871285412</v>
      </c>
      <c r="N3489">
        <f>LN(dataset[[#This Row],[soda_units_sold]])</f>
        <v>12.492206019367099</v>
      </c>
      <c r="O3489">
        <f>LN(dataset[[#This Row],[soda_sales]])</f>
        <v>12.127792963188751</v>
      </c>
      <c r="P3489">
        <f>LN(dataset[[#This Row],[soda_ppu]])</f>
        <v>-0.36441913867216341</v>
      </c>
      <c r="Q3489">
        <f>IF(dataset[[#This Row],[state]]="VA",1,0)</f>
        <v>0</v>
      </c>
    </row>
    <row r="3490" spans="1:17" x14ac:dyDescent="0.35">
      <c r="A3490">
        <v>202409</v>
      </c>
      <c r="B3490">
        <v>26</v>
      </c>
      <c r="C3490" s="2">
        <v>1777839.3307</v>
      </c>
      <c r="D3490" s="2">
        <v>0.71009999999999995</v>
      </c>
      <c r="E3490" s="3">
        <v>248249</v>
      </c>
      <c r="F3490" s="2">
        <v>176270.21960000001</v>
      </c>
      <c r="G3490" t="s">
        <v>823</v>
      </c>
      <c r="H3490" t="s">
        <v>5</v>
      </c>
      <c r="I3490">
        <f>HLOOKUP(G3490,zip_tiers!$A$1:$EON$2,2,FALSE)</f>
        <v>37901</v>
      </c>
      <c r="J3490" t="str">
        <f t="shared" si="54"/>
        <v>Low</v>
      </c>
      <c r="K3490">
        <f>dataset[[#This Row],[soda_sales]]/dataset[[#This Row],[soda_units_sold]]</f>
        <v>0.71005409729747149</v>
      </c>
      <c r="L3490" s="29">
        <f>dataset[[#This Row],[implied_soda_ppu]]-dataset[[#This Row],[soda_ppu]]</f>
        <v>-4.5902702528466399E-5</v>
      </c>
      <c r="M3490">
        <f>dataset[[#This Row],[soda_sales]]/dataset[[#This Row],[total_sales]]</f>
        <v>9.914856565277809E-2</v>
      </c>
      <c r="N3490">
        <f>LN(dataset[[#This Row],[soda_units_sold]])</f>
        <v>12.422187553701924</v>
      </c>
      <c r="O3490">
        <f>LN(dataset[[#This Row],[soda_sales]])</f>
        <v>12.079773435229301</v>
      </c>
      <c r="P3490">
        <f>LN(dataset[[#This Row],[soda_ppu]])</f>
        <v>-0.3423494737940892</v>
      </c>
      <c r="Q3490">
        <f>IF(dataset[[#This Row],[state]]="VA",1,0)</f>
        <v>0</v>
      </c>
    </row>
    <row r="3491" spans="1:17" x14ac:dyDescent="0.35">
      <c r="A3491">
        <v>202410</v>
      </c>
      <c r="B3491">
        <v>26</v>
      </c>
      <c r="C3491" s="2">
        <v>2178591.588</v>
      </c>
      <c r="D3491" s="2">
        <v>0.71819999999999995</v>
      </c>
      <c r="E3491" s="3">
        <v>230611</v>
      </c>
      <c r="F3491" s="2">
        <v>165630.72930000001</v>
      </c>
      <c r="G3491" t="s">
        <v>823</v>
      </c>
      <c r="H3491" t="s">
        <v>5</v>
      </c>
      <c r="I3491">
        <f>HLOOKUP(G3491,zip_tiers!$A$1:$EON$2,2,FALSE)</f>
        <v>37901</v>
      </c>
      <c r="J3491" t="str">
        <f t="shared" si="54"/>
        <v>Low</v>
      </c>
      <c r="K3491">
        <f>dataset[[#This Row],[soda_sales]]/dataset[[#This Row],[soda_units_sold]]</f>
        <v>0.71822562366929599</v>
      </c>
      <c r="L3491" s="29">
        <f>dataset[[#This Row],[implied_soda_ppu]]-dataset[[#This Row],[soda_ppu]]</f>
        <v>2.5623669296037654E-5</v>
      </c>
      <c r="M3491">
        <f>dataset[[#This Row],[soda_sales]]/dataset[[#This Row],[total_sales]]</f>
        <v>7.6026516494563837E-2</v>
      </c>
      <c r="N3491">
        <f>LN(dataset[[#This Row],[soda_units_sold]])</f>
        <v>12.348487587327284</v>
      </c>
      <c r="O3491">
        <f>LN(dataset[[#This Row],[soda_sales]])</f>
        <v>12.017516067124335</v>
      </c>
      <c r="P3491">
        <f>LN(dataset[[#This Row],[soda_ppu]])</f>
        <v>-0.33100719719015465</v>
      </c>
      <c r="Q3491">
        <f>IF(dataset[[#This Row],[state]]="VA",1,0)</f>
        <v>0</v>
      </c>
    </row>
    <row r="3492" spans="1:17" x14ac:dyDescent="0.35">
      <c r="A3492">
        <v>202411</v>
      </c>
      <c r="B3492">
        <v>26</v>
      </c>
      <c r="C3492" s="2">
        <v>2485897.0181</v>
      </c>
      <c r="D3492" s="2">
        <v>0.71940000000000004</v>
      </c>
      <c r="E3492" s="3">
        <v>222046</v>
      </c>
      <c r="F3492" s="2">
        <v>159744.0485</v>
      </c>
      <c r="G3492" t="s">
        <v>823</v>
      </c>
      <c r="H3492" t="s">
        <v>5</v>
      </c>
      <c r="I3492">
        <f>HLOOKUP(G3492,zip_tiers!$A$1:$EON$2,2,FALSE)</f>
        <v>37901</v>
      </c>
      <c r="J3492" t="str">
        <f t="shared" si="54"/>
        <v>Low</v>
      </c>
      <c r="K3492">
        <f>dataset[[#This Row],[soda_sales]]/dataset[[#This Row],[soda_units_sold]]</f>
        <v>0.71941871729281326</v>
      </c>
      <c r="L3492" s="29">
        <f>dataset[[#This Row],[implied_soda_ppu]]-dataset[[#This Row],[soda_ppu]]</f>
        <v>1.8717292813219544E-5</v>
      </c>
      <c r="M3492">
        <f>dataset[[#This Row],[soda_sales]]/dataset[[#This Row],[total_sales]]</f>
        <v>6.4260123141422099E-2</v>
      </c>
      <c r="N3492">
        <f>LN(dataset[[#This Row],[soda_units_sold]])</f>
        <v>12.310639846597175</v>
      </c>
      <c r="O3492">
        <f>LN(dataset[[#This Row],[soda_sales]])</f>
        <v>11.981328116459721</v>
      </c>
      <c r="P3492">
        <f>LN(dataset[[#This Row],[soda_ppu]])</f>
        <v>-0.32933774772061342</v>
      </c>
      <c r="Q3492">
        <f>IF(dataset[[#This Row],[state]]="VA",1,0)</f>
        <v>0</v>
      </c>
    </row>
    <row r="3493" spans="1:17" x14ac:dyDescent="0.35">
      <c r="A3493">
        <v>202412</v>
      </c>
      <c r="B3493">
        <v>26</v>
      </c>
      <c r="C3493" s="2">
        <v>2589442.7757999999</v>
      </c>
      <c r="D3493" s="2">
        <v>0.68259999999999998</v>
      </c>
      <c r="E3493" s="3">
        <v>230580</v>
      </c>
      <c r="F3493" s="2">
        <v>157396.03270000001</v>
      </c>
      <c r="G3493" t="s">
        <v>823</v>
      </c>
      <c r="H3493" t="s">
        <v>5</v>
      </c>
      <c r="I3493">
        <f>HLOOKUP(G3493,zip_tiers!$A$1:$EON$2,2,FALSE)</f>
        <v>37901</v>
      </c>
      <c r="J3493" t="str">
        <f t="shared" si="54"/>
        <v>Low</v>
      </c>
      <c r="K3493">
        <f>dataset[[#This Row],[soda_sales]]/dataset[[#This Row],[soda_units_sold]]</f>
        <v>0.68260921458929658</v>
      </c>
      <c r="L3493" s="29">
        <f>dataset[[#This Row],[implied_soda_ppu]]-dataset[[#This Row],[soda_ppu]]</f>
        <v>9.2145892965911358E-6</v>
      </c>
      <c r="M3493">
        <f>dataset[[#This Row],[soda_sales]]/dataset[[#This Row],[total_sales]]</f>
        <v>6.078374628355053E-2</v>
      </c>
      <c r="N3493">
        <f>LN(dataset[[#This Row],[soda_units_sold]])</f>
        <v>12.348353152786945</v>
      </c>
      <c r="O3493">
        <f>LN(dataset[[#This Row],[soda_sales]])</f>
        <v>11.966520409438127</v>
      </c>
      <c r="P3493">
        <f>LN(dataset[[#This Row],[soda_ppu]])</f>
        <v>-0.38184624250953042</v>
      </c>
      <c r="Q3493">
        <f>IF(dataset[[#This Row],[state]]="VA",1,0)</f>
        <v>0</v>
      </c>
    </row>
    <row r="3494" spans="1:17" x14ac:dyDescent="0.35">
      <c r="A3494">
        <v>202201</v>
      </c>
      <c r="B3494">
        <v>79</v>
      </c>
      <c r="C3494" s="2">
        <v>1857660.1155000001</v>
      </c>
      <c r="D3494" s="2">
        <v>0.62980000000000003</v>
      </c>
      <c r="E3494" s="3">
        <v>153651</v>
      </c>
      <c r="F3494" s="2">
        <v>96776.982900000003</v>
      </c>
      <c r="G3494" t="s">
        <v>828</v>
      </c>
      <c r="H3494" t="s">
        <v>5</v>
      </c>
      <c r="I3494" t="str">
        <f>HLOOKUP(G3494,zip_tiers!$A$1:$EON$2,2,FALSE)</f>
        <v/>
      </c>
      <c r="J3494" t="str">
        <f t="shared" si="54"/>
        <v>No Data</v>
      </c>
      <c r="K3494">
        <f>dataset[[#This Row],[soda_sales]]/dataset[[#This Row],[soda_units_sold]]</f>
        <v>0.62984935275396847</v>
      </c>
      <c r="L3494" s="29">
        <f>dataset[[#This Row],[implied_soda_ppu]]-dataset[[#This Row],[soda_ppu]]</f>
        <v>4.9352753968445739E-5</v>
      </c>
      <c r="M3494">
        <f>dataset[[#This Row],[soda_sales]]/dataset[[#This Row],[total_sales]]</f>
        <v>5.2096173079515092E-2</v>
      </c>
      <c r="N3494">
        <f>LN(dataset[[#This Row],[soda_units_sold]])</f>
        <v>11.942439075835532</v>
      </c>
      <c r="O3494">
        <f>LN(dataset[[#This Row],[soda_sales]])</f>
        <v>11.480164465031855</v>
      </c>
      <c r="P3494">
        <f>LN(dataset[[#This Row],[soda_ppu]])</f>
        <v>-0.46235297031521272</v>
      </c>
      <c r="Q3494">
        <f>IF(dataset[[#This Row],[state]]="VA",1,0)</f>
        <v>0</v>
      </c>
    </row>
    <row r="3495" spans="1:17" x14ac:dyDescent="0.35">
      <c r="A3495">
        <v>202202</v>
      </c>
      <c r="B3495">
        <v>79</v>
      </c>
      <c r="C3495" s="2">
        <v>2110544.3163999999</v>
      </c>
      <c r="D3495" s="2">
        <v>0.65980000000000005</v>
      </c>
      <c r="E3495" s="3">
        <v>169322</v>
      </c>
      <c r="F3495" s="2">
        <v>111722.8667</v>
      </c>
      <c r="G3495" t="s">
        <v>828</v>
      </c>
      <c r="H3495" t="s">
        <v>5</v>
      </c>
      <c r="I3495" t="str">
        <f>HLOOKUP(G3495,zip_tiers!$A$1:$EON$2,2,FALSE)</f>
        <v/>
      </c>
      <c r="J3495" t="str">
        <f t="shared" si="54"/>
        <v>No Data</v>
      </c>
      <c r="K3495">
        <f>dataset[[#This Row],[soda_sales]]/dataset[[#This Row],[soda_units_sold]]</f>
        <v>0.65982487036533943</v>
      </c>
      <c r="L3495" s="29">
        <f>dataset[[#This Row],[implied_soda_ppu]]-dataset[[#This Row],[soda_ppu]]</f>
        <v>2.4870365339380029E-5</v>
      </c>
      <c r="M3495">
        <f>dataset[[#This Row],[soda_sales]]/dataset[[#This Row],[total_sales]]</f>
        <v>5.2935570142667296E-2</v>
      </c>
      <c r="N3495">
        <f>LN(dataset[[#This Row],[soda_units_sold]])</f>
        <v>12.039557506518797</v>
      </c>
      <c r="O3495">
        <f>LN(dataset[[#This Row],[soda_sales]])</f>
        <v>11.623776679414835</v>
      </c>
      <c r="P3495">
        <f>LN(dataset[[#This Row],[soda_ppu]])</f>
        <v>-0.41581852018765592</v>
      </c>
      <c r="Q3495">
        <f>IF(dataset[[#This Row],[state]]="VA",1,0)</f>
        <v>0</v>
      </c>
    </row>
    <row r="3496" spans="1:17" x14ac:dyDescent="0.35">
      <c r="A3496">
        <v>202203</v>
      </c>
      <c r="B3496">
        <v>79</v>
      </c>
      <c r="C3496" s="2">
        <v>2353456.1327999998</v>
      </c>
      <c r="D3496" s="2">
        <v>0.63400000000000001</v>
      </c>
      <c r="E3496" s="3">
        <v>200809</v>
      </c>
      <c r="F3496" s="2">
        <v>127314.7675</v>
      </c>
      <c r="G3496" t="s">
        <v>828</v>
      </c>
      <c r="H3496" t="s">
        <v>5</v>
      </c>
      <c r="I3496" t="str">
        <f>HLOOKUP(G3496,zip_tiers!$A$1:$EON$2,2,FALSE)</f>
        <v/>
      </c>
      <c r="J3496" t="str">
        <f t="shared" si="54"/>
        <v>No Data</v>
      </c>
      <c r="K3496">
        <f>dataset[[#This Row],[soda_sales]]/dataset[[#This Row],[soda_units_sold]]</f>
        <v>0.63400927000283858</v>
      </c>
      <c r="L3496" s="29">
        <f>dataset[[#This Row],[implied_soda_ppu]]-dataset[[#This Row],[soda_ppu]]</f>
        <v>9.2700028385683808E-6</v>
      </c>
      <c r="M3496">
        <f>dataset[[#This Row],[soda_sales]]/dataset[[#This Row],[total_sales]]</f>
        <v>5.4096936724513572E-2</v>
      </c>
      <c r="N3496">
        <f>LN(dataset[[#This Row],[soda_units_sold]])</f>
        <v>12.210109486512424</v>
      </c>
      <c r="O3496">
        <f>LN(dataset[[#This Row],[soda_sales]])</f>
        <v>11.754417783316201</v>
      </c>
      <c r="P3496">
        <f>LN(dataset[[#This Row],[soda_ppu]])</f>
        <v>-0.45570632454491111</v>
      </c>
      <c r="Q3496">
        <f>IF(dataset[[#This Row],[state]]="VA",1,0)</f>
        <v>0</v>
      </c>
    </row>
    <row r="3497" spans="1:17" x14ac:dyDescent="0.35">
      <c r="A3497">
        <v>202204</v>
      </c>
      <c r="B3497">
        <v>79</v>
      </c>
      <c r="C3497" s="2">
        <v>2473141.7270999998</v>
      </c>
      <c r="D3497" s="2">
        <v>0.63129999999999997</v>
      </c>
      <c r="E3497" s="3">
        <v>236212</v>
      </c>
      <c r="F3497" s="2">
        <v>149120.81349999999</v>
      </c>
      <c r="G3497" t="s">
        <v>828</v>
      </c>
      <c r="H3497" t="s">
        <v>5</v>
      </c>
      <c r="I3497" t="str">
        <f>HLOOKUP(G3497,zip_tiers!$A$1:$EON$2,2,FALSE)</f>
        <v/>
      </c>
      <c r="J3497" t="str">
        <f t="shared" si="54"/>
        <v>No Data</v>
      </c>
      <c r="K3497">
        <f>dataset[[#This Row],[soda_sales]]/dataset[[#This Row],[soda_units_sold]]</f>
        <v>0.6313007531370125</v>
      </c>
      <c r="L3497" s="29">
        <f>dataset[[#This Row],[implied_soda_ppu]]-dataset[[#This Row],[soda_ppu]]</f>
        <v>7.5313701253243437E-7</v>
      </c>
      <c r="M3497">
        <f>dataset[[#This Row],[soda_sales]]/dataset[[#This Row],[total_sales]]</f>
        <v>6.0296105098213967E-2</v>
      </c>
      <c r="N3497">
        <f>LN(dataset[[#This Row],[soda_units_sold]])</f>
        <v>12.372484985857946</v>
      </c>
      <c r="O3497">
        <f>LN(dataset[[#This Row],[soda_sales]])</f>
        <v>11.91251208524252</v>
      </c>
      <c r="P3497">
        <f>LN(dataset[[#This Row],[soda_ppu]])</f>
        <v>-0.45997409360855718</v>
      </c>
      <c r="Q3497">
        <f>IF(dataset[[#This Row],[state]]="VA",1,0)</f>
        <v>0</v>
      </c>
    </row>
    <row r="3498" spans="1:17" x14ac:dyDescent="0.35">
      <c r="A3498">
        <v>202205</v>
      </c>
      <c r="B3498">
        <v>79</v>
      </c>
      <c r="C3498" s="2">
        <v>2625847.7851</v>
      </c>
      <c r="D3498" s="2">
        <v>0.64490000000000003</v>
      </c>
      <c r="E3498" s="3">
        <v>261839</v>
      </c>
      <c r="F3498" s="2">
        <v>168862.26680000001</v>
      </c>
      <c r="G3498" t="s">
        <v>828</v>
      </c>
      <c r="H3498" t="s">
        <v>5</v>
      </c>
      <c r="I3498" t="str">
        <f>HLOOKUP(G3498,zip_tiers!$A$1:$EON$2,2,FALSE)</f>
        <v/>
      </c>
      <c r="J3498" t="str">
        <f t="shared" si="54"/>
        <v>No Data</v>
      </c>
      <c r="K3498">
        <f>dataset[[#This Row],[soda_sales]]/dataset[[#This Row],[soda_units_sold]]</f>
        <v>0.64490876760146509</v>
      </c>
      <c r="L3498" s="29">
        <f>dataset[[#This Row],[implied_soda_ppu]]-dataset[[#This Row],[soda_ppu]]</f>
        <v>8.7676014650650558E-6</v>
      </c>
      <c r="M3498">
        <f>dataset[[#This Row],[soda_sales]]/dataset[[#This Row],[total_sales]]</f>
        <v>6.4307713401433597E-2</v>
      </c>
      <c r="N3498">
        <f>LN(dataset[[#This Row],[soda_units_sold]])</f>
        <v>12.475485090041586</v>
      </c>
      <c r="O3498">
        <f>LN(dataset[[#This Row],[soda_sales]])</f>
        <v>12.036838672271728</v>
      </c>
      <c r="P3498">
        <f>LN(dataset[[#This Row],[soda_ppu]])</f>
        <v>-0.43866001296580531</v>
      </c>
      <c r="Q3498">
        <f>IF(dataset[[#This Row],[state]]="VA",1,0)</f>
        <v>0</v>
      </c>
    </row>
    <row r="3499" spans="1:17" x14ac:dyDescent="0.35">
      <c r="A3499">
        <v>202206</v>
      </c>
      <c r="B3499">
        <v>79</v>
      </c>
      <c r="C3499" s="2">
        <v>2454313.9841</v>
      </c>
      <c r="D3499" s="2">
        <v>0.61880000000000002</v>
      </c>
      <c r="E3499" s="3">
        <v>280027</v>
      </c>
      <c r="F3499" s="2">
        <v>173282.3057</v>
      </c>
      <c r="G3499" t="s">
        <v>828</v>
      </c>
      <c r="H3499" t="s">
        <v>5</v>
      </c>
      <c r="I3499" t="str">
        <f>HLOOKUP(G3499,zip_tiers!$A$1:$EON$2,2,FALSE)</f>
        <v/>
      </c>
      <c r="J3499" t="str">
        <f t="shared" si="54"/>
        <v>No Data</v>
      </c>
      <c r="K3499">
        <f>dataset[[#This Row],[soda_sales]]/dataset[[#This Row],[soda_units_sold]]</f>
        <v>0.61880570694968695</v>
      </c>
      <c r="L3499" s="29">
        <f>dataset[[#This Row],[implied_soda_ppu]]-dataset[[#This Row],[soda_ppu]]</f>
        <v>5.706949686934415E-6</v>
      </c>
      <c r="M3499">
        <f>dataset[[#This Row],[soda_sales]]/dataset[[#This Row],[total_sales]]</f>
        <v>7.0603152987999962E-2</v>
      </c>
      <c r="N3499">
        <f>LN(dataset[[#This Row],[soda_units_sold]])</f>
        <v>12.542641306073879</v>
      </c>
      <c r="O3499">
        <f>LN(dataset[[#This Row],[soda_sales]])</f>
        <v>12.062677368355894</v>
      </c>
      <c r="P3499">
        <f>LN(dataset[[#This Row],[soda_ppu]])</f>
        <v>-0.47997316028322595</v>
      </c>
      <c r="Q3499">
        <f>IF(dataset[[#This Row],[state]]="VA",1,0)</f>
        <v>0</v>
      </c>
    </row>
    <row r="3500" spans="1:17" x14ac:dyDescent="0.35">
      <c r="A3500">
        <v>202207</v>
      </c>
      <c r="B3500">
        <v>79</v>
      </c>
      <c r="C3500" s="2">
        <v>2398701.4630999998</v>
      </c>
      <c r="D3500" s="2">
        <v>0.63749999999999996</v>
      </c>
      <c r="E3500" s="3">
        <v>278980</v>
      </c>
      <c r="F3500" s="2">
        <v>177844.96960000001</v>
      </c>
      <c r="G3500" t="s">
        <v>828</v>
      </c>
      <c r="H3500" t="s">
        <v>5</v>
      </c>
      <c r="I3500" t="str">
        <f>HLOOKUP(G3500,zip_tiers!$A$1:$EON$2,2,FALSE)</f>
        <v/>
      </c>
      <c r="J3500" t="str">
        <f t="shared" si="54"/>
        <v>No Data</v>
      </c>
      <c r="K3500">
        <f>dataset[[#This Row],[soda_sales]]/dataset[[#This Row],[soda_units_sold]]</f>
        <v>0.63748286472148541</v>
      </c>
      <c r="L3500" s="29">
        <f>dataset[[#This Row],[implied_soda_ppu]]-dataset[[#This Row],[soda_ppu]]</f>
        <v>-1.7135278514546215E-5</v>
      </c>
      <c r="M3500">
        <f>dataset[[#This Row],[soda_sales]]/dataset[[#This Row],[total_sales]]</f>
        <v>7.4142185818388273E-2</v>
      </c>
      <c r="N3500">
        <f>LN(dataset[[#This Row],[soda_units_sold]])</f>
        <v>12.538895373646227</v>
      </c>
      <c r="O3500">
        <f>LN(dataset[[#This Row],[soda_sales]])</f>
        <v>12.088667492467168</v>
      </c>
      <c r="P3500">
        <f>LN(dataset[[#This Row],[soda_ppu]])</f>
        <v>-0.45020100194955592</v>
      </c>
      <c r="Q3500">
        <f>IF(dataset[[#This Row],[state]]="VA",1,0)</f>
        <v>0</v>
      </c>
    </row>
    <row r="3501" spans="1:17" x14ac:dyDescent="0.35">
      <c r="A3501">
        <v>202208</v>
      </c>
      <c r="B3501">
        <v>79</v>
      </c>
      <c r="C3501" s="2">
        <v>2244379.2302000001</v>
      </c>
      <c r="D3501" s="2">
        <v>0.64610000000000001</v>
      </c>
      <c r="E3501" s="3">
        <v>239517</v>
      </c>
      <c r="F3501" s="2">
        <v>154741.95319999999</v>
      </c>
      <c r="G3501" t="s">
        <v>828</v>
      </c>
      <c r="H3501" t="s">
        <v>5</v>
      </c>
      <c r="I3501" t="str">
        <f>HLOOKUP(G3501,zip_tiers!$A$1:$EON$2,2,FALSE)</f>
        <v/>
      </c>
      <c r="J3501" t="str">
        <f t="shared" si="54"/>
        <v>No Data</v>
      </c>
      <c r="K3501">
        <f>dataset[[#This Row],[soda_sales]]/dataset[[#This Row],[soda_units_sold]]</f>
        <v>0.64605833072391516</v>
      </c>
      <c r="L3501" s="29">
        <f>dataset[[#This Row],[implied_soda_ppu]]-dataset[[#This Row],[soda_ppu]]</f>
        <v>-4.1669276084843609E-5</v>
      </c>
      <c r="M3501">
        <f>dataset[[#This Row],[soda_sales]]/dataset[[#This Row],[total_sales]]</f>
        <v>6.8946437891519205E-2</v>
      </c>
      <c r="N3501">
        <f>LN(dataset[[#This Row],[soda_units_sold]])</f>
        <v>12.386379674524916</v>
      </c>
      <c r="O3501">
        <f>LN(dataset[[#This Row],[soda_sales]])</f>
        <v>11.949514190487269</v>
      </c>
      <c r="P3501">
        <f>LN(dataset[[#This Row],[soda_ppu]])</f>
        <v>-0.43680098841801729</v>
      </c>
      <c r="Q3501">
        <f>IF(dataset[[#This Row],[state]]="VA",1,0)</f>
        <v>0</v>
      </c>
    </row>
    <row r="3502" spans="1:17" x14ac:dyDescent="0.35">
      <c r="A3502">
        <v>202209</v>
      </c>
      <c r="B3502">
        <v>79</v>
      </c>
      <c r="C3502" s="2">
        <v>2257380.8794</v>
      </c>
      <c r="D3502" s="2">
        <v>0.6593</v>
      </c>
      <c r="E3502" s="3">
        <v>229687</v>
      </c>
      <c r="F3502" s="2">
        <v>151428.17850000001</v>
      </c>
      <c r="G3502" t="s">
        <v>828</v>
      </c>
      <c r="H3502" t="s">
        <v>5</v>
      </c>
      <c r="I3502" t="str">
        <f>HLOOKUP(G3502,zip_tiers!$A$1:$EON$2,2,FALSE)</f>
        <v/>
      </c>
      <c r="J3502" t="str">
        <f t="shared" si="54"/>
        <v>No Data</v>
      </c>
      <c r="K3502">
        <f>dataset[[#This Row],[soda_sales]]/dataset[[#This Row],[soda_units_sold]]</f>
        <v>0.6592805796584047</v>
      </c>
      <c r="L3502" s="29">
        <f>dataset[[#This Row],[implied_soda_ppu]]-dataset[[#This Row],[soda_ppu]]</f>
        <v>-1.9420341595299817E-5</v>
      </c>
      <c r="M3502">
        <f>dataset[[#This Row],[soda_sales]]/dataset[[#This Row],[total_sales]]</f>
        <v>6.7081359588838554E-2</v>
      </c>
      <c r="N3502">
        <f>LN(dataset[[#This Row],[soda_units_sold]])</f>
        <v>12.344472791516175</v>
      </c>
      <c r="O3502">
        <f>LN(dataset[[#This Row],[soda_sales]])</f>
        <v>11.92786672221825</v>
      </c>
      <c r="P3502">
        <f>LN(dataset[[#This Row],[soda_ppu]])</f>
        <v>-0.41657661286288311</v>
      </c>
      <c r="Q3502">
        <f>IF(dataset[[#This Row],[state]]="VA",1,0)</f>
        <v>0</v>
      </c>
    </row>
    <row r="3503" spans="1:17" x14ac:dyDescent="0.35">
      <c r="A3503">
        <v>202210</v>
      </c>
      <c r="B3503">
        <v>79</v>
      </c>
      <c r="C3503" s="2">
        <v>2740372.5616000001</v>
      </c>
      <c r="D3503" s="2">
        <v>0.62860000000000005</v>
      </c>
      <c r="E3503" s="3">
        <v>225995</v>
      </c>
      <c r="F3503" s="2">
        <v>142067.2009</v>
      </c>
      <c r="G3503" t="s">
        <v>828</v>
      </c>
      <c r="H3503" t="s">
        <v>5</v>
      </c>
      <c r="I3503" t="str">
        <f>HLOOKUP(G3503,zip_tiers!$A$1:$EON$2,2,FALSE)</f>
        <v/>
      </c>
      <c r="J3503" t="str">
        <f t="shared" si="54"/>
        <v>No Data</v>
      </c>
      <c r="K3503">
        <f>dataset[[#This Row],[soda_sales]]/dataset[[#This Row],[soda_units_sold]]</f>
        <v>0.62862984092568419</v>
      </c>
      <c r="L3503" s="29">
        <f>dataset[[#This Row],[implied_soda_ppu]]-dataset[[#This Row],[soda_ppu]]</f>
        <v>2.9840925684143649E-5</v>
      </c>
      <c r="M3503">
        <f>dataset[[#This Row],[soda_sales]]/dataset[[#This Row],[total_sales]]</f>
        <v>5.1842294325503066E-2</v>
      </c>
      <c r="N3503">
        <f>LN(dataset[[#This Row],[soda_units_sold]])</f>
        <v>12.328268154115881</v>
      </c>
      <c r="O3503">
        <f>LN(dataset[[#This Row],[soda_sales]])</f>
        <v>11.86405547041258</v>
      </c>
      <c r="P3503">
        <f>LN(dataset[[#This Row],[soda_ppu]])</f>
        <v>-0.46426015461866976</v>
      </c>
      <c r="Q3503">
        <f>IF(dataset[[#This Row],[state]]="VA",1,0)</f>
        <v>0</v>
      </c>
    </row>
    <row r="3504" spans="1:17" x14ac:dyDescent="0.35">
      <c r="A3504">
        <v>202211</v>
      </c>
      <c r="B3504">
        <v>79</v>
      </c>
      <c r="C3504" s="2">
        <v>3182916.9701</v>
      </c>
      <c r="D3504" s="2">
        <v>0.64429999999999998</v>
      </c>
      <c r="E3504" s="3">
        <v>212680</v>
      </c>
      <c r="F3504" s="2">
        <v>137021.96969999999</v>
      </c>
      <c r="G3504" t="s">
        <v>828</v>
      </c>
      <c r="H3504" t="s">
        <v>5</v>
      </c>
      <c r="I3504" t="str">
        <f>HLOOKUP(G3504,zip_tiers!$A$1:$EON$2,2,FALSE)</f>
        <v/>
      </c>
      <c r="J3504" t="str">
        <f t="shared" si="54"/>
        <v>No Data</v>
      </c>
      <c r="K3504">
        <f>dataset[[#This Row],[soda_sales]]/dataset[[#This Row],[soda_units_sold]]</f>
        <v>0.64426354006018427</v>
      </c>
      <c r="L3504" s="29">
        <f>dataset[[#This Row],[implied_soda_ppu]]-dataset[[#This Row],[soda_ppu]]</f>
        <v>-3.6459939815713938E-5</v>
      </c>
      <c r="M3504">
        <f>dataset[[#This Row],[soda_sales]]/dataset[[#This Row],[total_sales]]</f>
        <v>4.3049181297272442E-2</v>
      </c>
      <c r="N3504">
        <f>LN(dataset[[#This Row],[soda_units_sold]])</f>
        <v>12.267543967618275</v>
      </c>
      <c r="O3504">
        <f>LN(dataset[[#This Row],[soda_sales]])</f>
        <v>11.82789655472725</v>
      </c>
      <c r="P3504">
        <f>LN(dataset[[#This Row],[soda_ppu]])</f>
        <v>-0.43959082283754031</v>
      </c>
      <c r="Q3504">
        <f>IF(dataset[[#This Row],[state]]="VA",1,0)</f>
        <v>0</v>
      </c>
    </row>
    <row r="3505" spans="1:17" x14ac:dyDescent="0.35">
      <c r="A3505">
        <v>202212</v>
      </c>
      <c r="B3505">
        <v>79</v>
      </c>
      <c r="C3505" s="2">
        <v>3236093.1622000001</v>
      </c>
      <c r="D3505" s="2">
        <v>0.62339999999999995</v>
      </c>
      <c r="E3505" s="3">
        <v>211269</v>
      </c>
      <c r="F3505" s="2">
        <v>131697.10219999999</v>
      </c>
      <c r="G3505" t="s">
        <v>828</v>
      </c>
      <c r="H3505" t="s">
        <v>5</v>
      </c>
      <c r="I3505" t="str">
        <f>HLOOKUP(G3505,zip_tiers!$A$1:$EON$2,2,FALSE)</f>
        <v/>
      </c>
      <c r="J3505" t="str">
        <f t="shared" si="54"/>
        <v>No Data</v>
      </c>
      <c r="K3505">
        <f>dataset[[#This Row],[soda_sales]]/dataset[[#This Row],[soda_units_sold]]</f>
        <v>0.6233621695563476</v>
      </c>
      <c r="L3505" s="29">
        <f>dataset[[#This Row],[implied_soda_ppu]]-dataset[[#This Row],[soda_ppu]]</f>
        <v>-3.7830443652353551E-5</v>
      </c>
      <c r="M3505">
        <f>dataset[[#This Row],[soda_sales]]/dataset[[#This Row],[total_sales]]</f>
        <v>4.0696325970562622E-2</v>
      </c>
      <c r="N3505">
        <f>LN(dataset[[#This Row],[soda_units_sold]])</f>
        <v>12.260887482003389</v>
      </c>
      <c r="O3505">
        <f>LN(dataset[[#This Row],[soda_sales]])</f>
        <v>11.788259884452096</v>
      </c>
      <c r="P3505">
        <f>LN(dataset[[#This Row],[soda_ppu]])</f>
        <v>-0.47256691164890041</v>
      </c>
      <c r="Q3505">
        <f>IF(dataset[[#This Row],[state]]="VA",1,0)</f>
        <v>0</v>
      </c>
    </row>
    <row r="3506" spans="1:17" x14ac:dyDescent="0.35">
      <c r="A3506">
        <v>202301</v>
      </c>
      <c r="B3506">
        <v>79</v>
      </c>
      <c r="C3506" s="2">
        <v>1924209.1513</v>
      </c>
      <c r="D3506" s="2">
        <v>0.64190000000000003</v>
      </c>
      <c r="E3506" s="3">
        <v>156773</v>
      </c>
      <c r="F3506" s="2">
        <v>100635.151</v>
      </c>
      <c r="G3506" t="s">
        <v>828</v>
      </c>
      <c r="H3506" t="s">
        <v>5</v>
      </c>
      <c r="I3506" t="str">
        <f>HLOOKUP(G3506,zip_tiers!$A$1:$EON$2,2,FALSE)</f>
        <v/>
      </c>
      <c r="J3506" t="str">
        <f t="shared" si="54"/>
        <v>No Data</v>
      </c>
      <c r="K3506">
        <f>dataset[[#This Row],[soda_sales]]/dataset[[#This Row],[soda_units_sold]]</f>
        <v>0.64191634401331865</v>
      </c>
      <c r="L3506" s="29">
        <f>dataset[[#This Row],[implied_soda_ppu]]-dataset[[#This Row],[soda_ppu]]</f>
        <v>1.634401331862545E-5</v>
      </c>
      <c r="M3506">
        <f>dataset[[#This Row],[soda_sales]]/dataset[[#This Row],[total_sales]]</f>
        <v>5.2299486743429456E-2</v>
      </c>
      <c r="N3506">
        <f>LN(dataset[[#This Row],[soda_units_sold]])</f>
        <v>11.962554178193825</v>
      </c>
      <c r="O3506">
        <f>LN(dataset[[#This Row],[soda_sales]])</f>
        <v>11.519256889135976</v>
      </c>
      <c r="P3506">
        <f>LN(dataset[[#This Row],[soda_ppu]])</f>
        <v>-0.44332275066440452</v>
      </c>
      <c r="Q3506">
        <f>IF(dataset[[#This Row],[state]]="VA",1,0)</f>
        <v>0</v>
      </c>
    </row>
    <row r="3507" spans="1:17" x14ac:dyDescent="0.35">
      <c r="A3507">
        <v>202302</v>
      </c>
      <c r="B3507">
        <v>79</v>
      </c>
      <c r="C3507" s="2">
        <v>2156317.5924999998</v>
      </c>
      <c r="D3507" s="2">
        <v>0.65349999999999997</v>
      </c>
      <c r="E3507" s="3">
        <v>172729</v>
      </c>
      <c r="F3507" s="2">
        <v>112886.3797</v>
      </c>
      <c r="G3507" t="s">
        <v>828</v>
      </c>
      <c r="H3507" t="s">
        <v>5</v>
      </c>
      <c r="I3507" t="str">
        <f>HLOOKUP(G3507,zip_tiers!$A$1:$EON$2,2,FALSE)</f>
        <v/>
      </c>
      <c r="J3507" t="str">
        <f t="shared" si="54"/>
        <v>No Data</v>
      </c>
      <c r="K3507">
        <f>dataset[[#This Row],[soda_sales]]/dataset[[#This Row],[soda_units_sold]]</f>
        <v>0.6535461891170562</v>
      </c>
      <c r="L3507" s="29">
        <f>dataset[[#This Row],[implied_soda_ppu]]-dataset[[#This Row],[soda_ppu]]</f>
        <v>4.6189117056227857E-5</v>
      </c>
      <c r="M3507">
        <f>dataset[[#This Row],[soda_sales]]/dataset[[#This Row],[total_sales]]</f>
        <v>5.2351462554790625E-2</v>
      </c>
      <c r="N3507">
        <f>LN(dataset[[#This Row],[soda_units_sold]])</f>
        <v>12.059479171288299</v>
      </c>
      <c r="O3507">
        <f>LN(dataset[[#This Row],[soda_sales]])</f>
        <v>11.63413710247039</v>
      </c>
      <c r="P3507">
        <f>LN(dataset[[#This Row],[soda_ppu]])</f>
        <v>-0.42541274591786044</v>
      </c>
      <c r="Q3507">
        <f>IF(dataset[[#This Row],[state]]="VA",1,0)</f>
        <v>0</v>
      </c>
    </row>
    <row r="3508" spans="1:17" x14ac:dyDescent="0.35">
      <c r="A3508">
        <v>202303</v>
      </c>
      <c r="B3508">
        <v>79</v>
      </c>
      <c r="C3508" s="2">
        <v>2393121.0361000001</v>
      </c>
      <c r="D3508" s="2">
        <v>0.66690000000000005</v>
      </c>
      <c r="E3508" s="3">
        <v>199380</v>
      </c>
      <c r="F3508" s="2">
        <v>132969.304</v>
      </c>
      <c r="G3508" t="s">
        <v>828</v>
      </c>
      <c r="H3508" t="s">
        <v>5</v>
      </c>
      <c r="I3508" t="str">
        <f>HLOOKUP(G3508,zip_tiers!$A$1:$EON$2,2,FALSE)</f>
        <v/>
      </c>
      <c r="J3508" t="str">
        <f t="shared" si="54"/>
        <v>No Data</v>
      </c>
      <c r="K3508">
        <f>dataset[[#This Row],[soda_sales]]/dataset[[#This Row],[soda_units_sold]]</f>
        <v>0.66691395325509084</v>
      </c>
      <c r="L3508" s="29">
        <f>dataset[[#This Row],[implied_soda_ppu]]-dataset[[#This Row],[soda_ppu]]</f>
        <v>1.3953255090792815E-5</v>
      </c>
      <c r="M3508">
        <f>dataset[[#This Row],[soda_sales]]/dataset[[#This Row],[total_sales]]</f>
        <v>5.5563133662765433E-2</v>
      </c>
      <c r="N3508">
        <f>LN(dataset[[#This Row],[soda_units_sold]])</f>
        <v>12.202967830576695</v>
      </c>
      <c r="O3508">
        <f>LN(dataset[[#This Row],[soda_sales]])</f>
        <v>11.797873583573685</v>
      </c>
      <c r="P3508">
        <f>LN(dataset[[#This Row],[soda_ppu]])</f>
        <v>-0.40511516934387637</v>
      </c>
      <c r="Q3508">
        <f>IF(dataset[[#This Row],[state]]="VA",1,0)</f>
        <v>0</v>
      </c>
    </row>
    <row r="3509" spans="1:17" x14ac:dyDescent="0.35">
      <c r="A3509">
        <v>202304</v>
      </c>
      <c r="B3509">
        <v>79</v>
      </c>
      <c r="C3509" s="2">
        <v>2531669.3207999999</v>
      </c>
      <c r="D3509" s="2">
        <v>0.6583</v>
      </c>
      <c r="E3509" s="3">
        <v>234011</v>
      </c>
      <c r="F3509" s="2">
        <v>154044.71539999999</v>
      </c>
      <c r="G3509" t="s">
        <v>828</v>
      </c>
      <c r="H3509" t="s">
        <v>5</v>
      </c>
      <c r="I3509" t="str">
        <f>HLOOKUP(G3509,zip_tiers!$A$1:$EON$2,2,FALSE)</f>
        <v/>
      </c>
      <c r="J3509" t="str">
        <f t="shared" si="54"/>
        <v>No Data</v>
      </c>
      <c r="K3509">
        <f>dataset[[#This Row],[soda_sales]]/dataset[[#This Row],[soda_units_sold]]</f>
        <v>0.65827980479550097</v>
      </c>
      <c r="L3509" s="29">
        <f>dataset[[#This Row],[implied_soda_ppu]]-dataset[[#This Row],[soda_ppu]]</f>
        <v>-2.0195204499029451E-5</v>
      </c>
      <c r="M3509">
        <f>dataset[[#This Row],[soda_sales]]/dataset[[#This Row],[total_sales]]</f>
        <v>6.0847091732865934E-2</v>
      </c>
      <c r="N3509">
        <f>LN(dataset[[#This Row],[soda_units_sold]])</f>
        <v>12.36312340178198</v>
      </c>
      <c r="O3509">
        <f>LN(dataset[[#This Row],[soda_sales]])</f>
        <v>11.944998198989795</v>
      </c>
      <c r="P3509">
        <f>LN(dataset[[#This Row],[soda_ppu]])</f>
        <v>-0.41809452450830603</v>
      </c>
      <c r="Q3509">
        <f>IF(dataset[[#This Row],[state]]="VA",1,0)</f>
        <v>0</v>
      </c>
    </row>
    <row r="3510" spans="1:17" x14ac:dyDescent="0.35">
      <c r="A3510">
        <v>202305</v>
      </c>
      <c r="B3510">
        <v>79</v>
      </c>
      <c r="C3510" s="2">
        <v>2656060.1318000001</v>
      </c>
      <c r="D3510" s="2">
        <v>0.6542</v>
      </c>
      <c r="E3510" s="3">
        <v>261913</v>
      </c>
      <c r="F3510" s="2">
        <v>171345.60269999999</v>
      </c>
      <c r="G3510" t="s">
        <v>828</v>
      </c>
      <c r="H3510" t="s">
        <v>5</v>
      </c>
      <c r="I3510" t="str">
        <f>HLOOKUP(G3510,zip_tiers!$A$1:$EON$2,2,FALSE)</f>
        <v/>
      </c>
      <c r="J3510" t="str">
        <f t="shared" si="54"/>
        <v>No Data</v>
      </c>
      <c r="K3510">
        <f>dataset[[#This Row],[soda_sales]]/dataset[[#This Row],[soda_units_sold]]</f>
        <v>0.65420808703653499</v>
      </c>
      <c r="L3510" s="29">
        <f>dataset[[#This Row],[implied_soda_ppu]]-dataset[[#This Row],[soda_ppu]]</f>
        <v>8.0870365349872131E-6</v>
      </c>
      <c r="M3510">
        <f>dataset[[#This Row],[soda_sales]]/dataset[[#This Row],[total_sales]]</f>
        <v>6.4511191086581252E-2</v>
      </c>
      <c r="N3510">
        <f>LN(dataset[[#This Row],[soda_units_sold]])</f>
        <v>12.475767666530047</v>
      </c>
      <c r="O3510">
        <f>LN(dataset[[#This Row],[soda_sales]])</f>
        <v>12.051437864294735</v>
      </c>
      <c r="P3510">
        <f>LN(dataset[[#This Row],[soda_ppu]])</f>
        <v>-0.42434216387785351</v>
      </c>
      <c r="Q3510">
        <f>IF(dataset[[#This Row],[state]]="VA",1,0)</f>
        <v>0</v>
      </c>
    </row>
    <row r="3511" spans="1:17" x14ac:dyDescent="0.35">
      <c r="A3511">
        <v>202306</v>
      </c>
      <c r="B3511">
        <v>79</v>
      </c>
      <c r="C3511" s="2">
        <v>2531614.8758999999</v>
      </c>
      <c r="D3511" s="2">
        <v>0.64459999999999995</v>
      </c>
      <c r="E3511" s="3">
        <v>272204</v>
      </c>
      <c r="F3511" s="2">
        <v>175472.84830000001</v>
      </c>
      <c r="G3511" t="s">
        <v>828</v>
      </c>
      <c r="H3511" t="s">
        <v>5</v>
      </c>
      <c r="I3511" t="str">
        <f>HLOOKUP(G3511,zip_tiers!$A$1:$EON$2,2,FALSE)</f>
        <v/>
      </c>
      <c r="J3511" t="str">
        <f t="shared" si="54"/>
        <v>No Data</v>
      </c>
      <c r="K3511">
        <f>dataset[[#This Row],[soda_sales]]/dataset[[#This Row],[soda_units_sold]]</f>
        <v>0.64463728784294139</v>
      </c>
      <c r="L3511" s="29">
        <f>dataset[[#This Row],[implied_soda_ppu]]-dataset[[#This Row],[soda_ppu]]</f>
        <v>3.7287842941435834E-5</v>
      </c>
      <c r="M3511">
        <f>dataset[[#This Row],[soda_sales]]/dataset[[#This Row],[total_sales]]</f>
        <v>6.9312615426001034E-2</v>
      </c>
      <c r="N3511">
        <f>LN(dataset[[#This Row],[soda_units_sold]])</f>
        <v>12.51430706416868</v>
      </c>
      <c r="O3511">
        <f>LN(dataset[[#This Row],[soda_sales]])</f>
        <v>12.075239599377836</v>
      </c>
      <c r="P3511">
        <f>LN(dataset[[#This Row],[soda_ppu]])</f>
        <v>-0.43912530960079965</v>
      </c>
      <c r="Q3511">
        <f>IF(dataset[[#This Row],[state]]="VA",1,0)</f>
        <v>0</v>
      </c>
    </row>
    <row r="3512" spans="1:17" x14ac:dyDescent="0.35">
      <c r="A3512">
        <v>202307</v>
      </c>
      <c r="B3512">
        <v>79</v>
      </c>
      <c r="C3512" s="2">
        <v>2466916.4155999999</v>
      </c>
      <c r="D3512" s="2">
        <v>0.66180000000000005</v>
      </c>
      <c r="E3512" s="3">
        <v>282851</v>
      </c>
      <c r="F3512" s="2">
        <v>187192.033</v>
      </c>
      <c r="G3512" t="s">
        <v>828</v>
      </c>
      <c r="H3512" t="s">
        <v>5</v>
      </c>
      <c r="I3512" t="str">
        <f>HLOOKUP(G3512,zip_tiers!$A$1:$EON$2,2,FALSE)</f>
        <v/>
      </c>
      <c r="J3512" t="str">
        <f t="shared" si="54"/>
        <v>No Data</v>
      </c>
      <c r="K3512">
        <f>dataset[[#This Row],[soda_sales]]/dataset[[#This Row],[soda_units_sold]]</f>
        <v>0.66180438817610687</v>
      </c>
      <c r="L3512" s="29">
        <f>dataset[[#This Row],[implied_soda_ppu]]-dataset[[#This Row],[soda_ppu]]</f>
        <v>4.3881761068176317E-6</v>
      </c>
      <c r="M3512">
        <f>dataset[[#This Row],[soda_sales]]/dataset[[#This Row],[total_sales]]</f>
        <v>7.588097911070546E-2</v>
      </c>
      <c r="N3512">
        <f>LN(dataset[[#This Row],[soda_units_sold]])</f>
        <v>12.552675536207866</v>
      </c>
      <c r="O3512">
        <f>LN(dataset[[#This Row],[soda_sales]])</f>
        <v>12.139890283359295</v>
      </c>
      <c r="P3512">
        <f>LN(dataset[[#This Row],[soda_ppu]])</f>
        <v>-0.4127918834946252</v>
      </c>
      <c r="Q3512">
        <f>IF(dataset[[#This Row],[state]]="VA",1,0)</f>
        <v>0</v>
      </c>
    </row>
    <row r="3513" spans="1:17" x14ac:dyDescent="0.35">
      <c r="A3513">
        <v>202308</v>
      </c>
      <c r="B3513">
        <v>79</v>
      </c>
      <c r="C3513" s="2">
        <v>2308822.4643999999</v>
      </c>
      <c r="D3513" s="2">
        <v>0.69620000000000004</v>
      </c>
      <c r="E3513" s="3">
        <v>232778</v>
      </c>
      <c r="F3513" s="2">
        <v>162068.16880000001</v>
      </c>
      <c r="G3513" t="s">
        <v>828</v>
      </c>
      <c r="H3513" t="s">
        <v>5</v>
      </c>
      <c r="I3513" t="str">
        <f>HLOOKUP(G3513,zip_tiers!$A$1:$EON$2,2,FALSE)</f>
        <v/>
      </c>
      <c r="J3513" t="str">
        <f t="shared" si="54"/>
        <v>No Data</v>
      </c>
      <c r="K3513">
        <f>dataset[[#This Row],[soda_sales]]/dataset[[#This Row],[soda_units_sold]]</f>
        <v>0.69623490536047228</v>
      </c>
      <c r="L3513" s="29">
        <f>dataset[[#This Row],[implied_soda_ppu]]-dataset[[#This Row],[soda_ppu]]</f>
        <v>3.4905360472237135E-5</v>
      </c>
      <c r="M3513">
        <f>dataset[[#This Row],[soda_sales]]/dataset[[#This Row],[total_sales]]</f>
        <v>7.0195162815221965E-2</v>
      </c>
      <c r="N3513">
        <f>LN(dataset[[#This Row],[soda_units_sold]])</f>
        <v>12.357840488655638</v>
      </c>
      <c r="O3513">
        <f>LN(dataset[[#This Row],[soda_sales]])</f>
        <v>11.995772320766836</v>
      </c>
      <c r="P3513">
        <f>LN(dataset[[#This Row],[soda_ppu]])</f>
        <v>-0.36211830360479846</v>
      </c>
      <c r="Q3513">
        <f>IF(dataset[[#This Row],[state]]="VA",1,0)</f>
        <v>0</v>
      </c>
    </row>
    <row r="3514" spans="1:17" x14ac:dyDescent="0.35">
      <c r="A3514">
        <v>202309</v>
      </c>
      <c r="B3514">
        <v>79</v>
      </c>
      <c r="C3514" s="2">
        <v>2267055.7390000001</v>
      </c>
      <c r="D3514" s="2">
        <v>0.6704</v>
      </c>
      <c r="E3514" s="3">
        <v>224189</v>
      </c>
      <c r="F3514" s="2">
        <v>150291.9705</v>
      </c>
      <c r="G3514" t="s">
        <v>828</v>
      </c>
      <c r="H3514" t="s">
        <v>5</v>
      </c>
      <c r="I3514" t="str">
        <f>HLOOKUP(G3514,zip_tiers!$A$1:$EON$2,2,FALSE)</f>
        <v/>
      </c>
      <c r="J3514" t="str">
        <f t="shared" si="54"/>
        <v>No Data</v>
      </c>
      <c r="K3514">
        <f>dataset[[#This Row],[soda_sales]]/dataset[[#This Row],[soda_units_sold]]</f>
        <v>0.6703806631904331</v>
      </c>
      <c r="L3514" s="29">
        <f>dataset[[#This Row],[implied_soda_ppu]]-dataset[[#This Row],[soda_ppu]]</f>
        <v>-1.9336809566894431E-5</v>
      </c>
      <c r="M3514">
        <f>dataset[[#This Row],[soda_sales]]/dataset[[#This Row],[total_sales]]</f>
        <v>6.6293901783947271E-2</v>
      </c>
      <c r="N3514">
        <f>LN(dataset[[#This Row],[soda_units_sold]])</f>
        <v>12.320244725080245</v>
      </c>
      <c r="O3514">
        <f>LN(dataset[[#This Row],[soda_sales]])</f>
        <v>11.920335151160305</v>
      </c>
      <c r="P3514">
        <f>LN(dataset[[#This Row],[soda_ppu]])</f>
        <v>-0.39988072981426376</v>
      </c>
      <c r="Q3514">
        <f>IF(dataset[[#This Row],[state]]="VA",1,0)</f>
        <v>0</v>
      </c>
    </row>
    <row r="3515" spans="1:17" x14ac:dyDescent="0.35">
      <c r="A3515">
        <v>202310</v>
      </c>
      <c r="B3515">
        <v>79</v>
      </c>
      <c r="C3515" s="2">
        <v>2806491.8739</v>
      </c>
      <c r="D3515" s="2">
        <v>0.64249999999999996</v>
      </c>
      <c r="E3515" s="3">
        <v>229147</v>
      </c>
      <c r="F3515" s="2">
        <v>147233.06229999999</v>
      </c>
      <c r="G3515" t="s">
        <v>828</v>
      </c>
      <c r="H3515" t="s">
        <v>5</v>
      </c>
      <c r="I3515" t="str">
        <f>HLOOKUP(G3515,zip_tiers!$A$1:$EON$2,2,FALSE)</f>
        <v/>
      </c>
      <c r="J3515" t="str">
        <f t="shared" si="54"/>
        <v>No Data</v>
      </c>
      <c r="K3515">
        <f>dataset[[#This Row],[soda_sales]]/dataset[[#This Row],[soda_units_sold]]</f>
        <v>0.64252668505369914</v>
      </c>
      <c r="L3515" s="29">
        <f>dataset[[#This Row],[implied_soda_ppu]]-dataset[[#This Row],[soda_ppu]]</f>
        <v>2.6685053699182504E-5</v>
      </c>
      <c r="M3515">
        <f>dataset[[#This Row],[soda_sales]]/dataset[[#This Row],[total_sales]]</f>
        <v>5.2461602924721726E-2</v>
      </c>
      <c r="N3515">
        <f>LN(dataset[[#This Row],[soda_units_sold]])</f>
        <v>12.342118997990344</v>
      </c>
      <c r="O3515">
        <f>LN(dataset[[#This Row],[soda_sales]])</f>
        <v>11.899772068072613</v>
      </c>
      <c r="P3515">
        <f>LN(dataset[[#This Row],[soda_ppu]])</f>
        <v>-0.44238846221276223</v>
      </c>
      <c r="Q3515">
        <f>IF(dataset[[#This Row],[state]]="VA",1,0)</f>
        <v>0</v>
      </c>
    </row>
    <row r="3516" spans="1:17" x14ac:dyDescent="0.35">
      <c r="A3516">
        <v>202311</v>
      </c>
      <c r="B3516">
        <v>79</v>
      </c>
      <c r="C3516" s="2">
        <v>3159347.5186999999</v>
      </c>
      <c r="D3516" s="2">
        <v>0.65339999999999998</v>
      </c>
      <c r="E3516" s="3">
        <v>212011</v>
      </c>
      <c r="F3516" s="2">
        <v>138525.96369999999</v>
      </c>
      <c r="G3516" t="s">
        <v>828</v>
      </c>
      <c r="H3516" t="s">
        <v>5</v>
      </c>
      <c r="I3516" t="str">
        <f>HLOOKUP(G3516,zip_tiers!$A$1:$EON$2,2,FALSE)</f>
        <v/>
      </c>
      <c r="J3516" t="str">
        <f t="shared" si="54"/>
        <v>No Data</v>
      </c>
      <c r="K3516">
        <f>dataset[[#This Row],[soda_sales]]/dataset[[#This Row],[soda_units_sold]]</f>
        <v>0.6533904547405559</v>
      </c>
      <c r="L3516" s="29">
        <f>dataset[[#This Row],[implied_soda_ppu]]-dataset[[#This Row],[soda_ppu]]</f>
        <v>-9.5452594440770255E-6</v>
      </c>
      <c r="M3516">
        <f>dataset[[#This Row],[soda_sales]]/dataset[[#This Row],[total_sales]]</f>
        <v>4.3846383748566004E-2</v>
      </c>
      <c r="N3516">
        <f>LN(dataset[[#This Row],[soda_units_sold]])</f>
        <v>12.264393439100528</v>
      </c>
      <c r="O3516">
        <f>LN(dataset[[#This Row],[soda_sales]])</f>
        <v>11.838813050578343</v>
      </c>
      <c r="P3516">
        <f>LN(dataset[[#This Row],[soda_ppu]])</f>
        <v>-0.4255657798151673</v>
      </c>
      <c r="Q3516">
        <f>IF(dataset[[#This Row],[state]]="VA",1,0)</f>
        <v>0</v>
      </c>
    </row>
    <row r="3517" spans="1:17" x14ac:dyDescent="0.35">
      <c r="A3517">
        <v>202312</v>
      </c>
      <c r="B3517">
        <v>79</v>
      </c>
      <c r="C3517" s="2">
        <v>3308020.5057999999</v>
      </c>
      <c r="D3517" s="2">
        <v>0.66300000000000003</v>
      </c>
      <c r="E3517" s="3">
        <v>199866</v>
      </c>
      <c r="F3517" s="2">
        <v>132507.5882</v>
      </c>
      <c r="G3517" t="s">
        <v>828</v>
      </c>
      <c r="H3517" t="s">
        <v>5</v>
      </c>
      <c r="I3517" t="str">
        <f>HLOOKUP(G3517,zip_tiers!$A$1:$EON$2,2,FALSE)</f>
        <v/>
      </c>
      <c r="J3517" t="str">
        <f t="shared" si="54"/>
        <v>No Data</v>
      </c>
      <c r="K3517">
        <f>dataset[[#This Row],[soda_sales]]/dataset[[#This Row],[soda_units_sold]]</f>
        <v>0.66298213903315217</v>
      </c>
      <c r="L3517" s="29">
        <f>dataset[[#This Row],[implied_soda_ppu]]-dataset[[#This Row],[soda_ppu]]</f>
        <v>-1.7860966847860205E-5</v>
      </c>
      <c r="M3517">
        <f>dataset[[#This Row],[soda_sales]]/dataset[[#This Row],[total_sales]]</f>
        <v>4.0056459132484984E-2</v>
      </c>
      <c r="N3517">
        <f>LN(dataset[[#This Row],[soda_units_sold]])</f>
        <v>12.205402420979869</v>
      </c>
      <c r="O3517">
        <f>LN(dataset[[#This Row],[soda_sales]])</f>
        <v>11.794395192202545</v>
      </c>
      <c r="P3517">
        <f>LN(dataset[[#This Row],[soda_ppu]])</f>
        <v>-0.41098028879627452</v>
      </c>
      <c r="Q3517">
        <f>IF(dataset[[#This Row],[state]]="VA",1,0)</f>
        <v>0</v>
      </c>
    </row>
    <row r="3518" spans="1:17" x14ac:dyDescent="0.35">
      <c r="A3518">
        <v>202401</v>
      </c>
      <c r="B3518">
        <v>79</v>
      </c>
      <c r="C3518" s="2">
        <v>1903760.2231000001</v>
      </c>
      <c r="D3518" s="2">
        <v>0.6905</v>
      </c>
      <c r="E3518" s="3">
        <v>144377</v>
      </c>
      <c r="F3518" s="2">
        <v>99689.633300000001</v>
      </c>
      <c r="G3518" t="s">
        <v>828</v>
      </c>
      <c r="H3518" t="s">
        <v>5</v>
      </c>
      <c r="I3518" t="str">
        <f>HLOOKUP(G3518,zip_tiers!$A$1:$EON$2,2,FALSE)</f>
        <v/>
      </c>
      <c r="J3518" t="str">
        <f t="shared" si="54"/>
        <v>No Data</v>
      </c>
      <c r="K3518">
        <f>dataset[[#This Row],[soda_sales]]/dataset[[#This Row],[soda_units_sold]]</f>
        <v>0.69048140146976322</v>
      </c>
      <c r="L3518" s="29">
        <f>dataset[[#This Row],[implied_soda_ppu]]-dataset[[#This Row],[soda_ppu]]</f>
        <v>-1.8598530236779709E-5</v>
      </c>
      <c r="M3518">
        <f>dataset[[#This Row],[soda_sales]]/dataset[[#This Row],[total_sales]]</f>
        <v>5.2364595126202264E-2</v>
      </c>
      <c r="N3518">
        <f>LN(dataset[[#This Row],[soda_units_sold]])</f>
        <v>11.880183212976098</v>
      </c>
      <c r="O3518">
        <f>LN(dataset[[#This Row],[soda_sales]])</f>
        <v>11.509816971606934</v>
      </c>
      <c r="P3518">
        <f>LN(dataset[[#This Row],[soda_ppu]])</f>
        <v>-0.37033930613279026</v>
      </c>
      <c r="Q3518">
        <f>IF(dataset[[#This Row],[state]]="VA",1,0)</f>
        <v>0</v>
      </c>
    </row>
    <row r="3519" spans="1:17" x14ac:dyDescent="0.35">
      <c r="A3519">
        <v>202402</v>
      </c>
      <c r="B3519">
        <v>79</v>
      </c>
      <c r="C3519" s="2">
        <v>2201915.9857999999</v>
      </c>
      <c r="D3519" s="2">
        <v>0.69040000000000001</v>
      </c>
      <c r="E3519" s="3">
        <v>169136</v>
      </c>
      <c r="F3519" s="2">
        <v>116778.2539</v>
      </c>
      <c r="G3519" t="s">
        <v>828</v>
      </c>
      <c r="H3519" t="s">
        <v>5</v>
      </c>
      <c r="I3519" t="str">
        <f>HLOOKUP(G3519,zip_tiers!$A$1:$EON$2,2,FALSE)</f>
        <v/>
      </c>
      <c r="J3519" t="str">
        <f t="shared" si="54"/>
        <v>No Data</v>
      </c>
      <c r="K3519">
        <f>dataset[[#This Row],[soda_sales]]/dataset[[#This Row],[soda_units_sold]]</f>
        <v>0.69043996488033299</v>
      </c>
      <c r="L3519" s="29">
        <f>dataset[[#This Row],[implied_soda_ppu]]-dataset[[#This Row],[soda_ppu]]</f>
        <v>3.9964880332976627E-5</v>
      </c>
      <c r="M3519">
        <f>dataset[[#This Row],[soda_sales]]/dataset[[#This Row],[total_sales]]</f>
        <v>5.3034836321228726E-2</v>
      </c>
      <c r="N3519">
        <f>LN(dataset[[#This Row],[soda_units_sold]])</f>
        <v>12.038458404008445</v>
      </c>
      <c r="O3519">
        <f>LN(dataset[[#This Row],[soda_sales]])</f>
        <v>11.668032149679162</v>
      </c>
      <c r="P3519">
        <f>LN(dataset[[#This Row],[soda_ppu]])</f>
        <v>-0.37048413921291884</v>
      </c>
      <c r="Q3519">
        <f>IF(dataset[[#This Row],[state]]="VA",1,0)</f>
        <v>0</v>
      </c>
    </row>
    <row r="3520" spans="1:17" x14ac:dyDescent="0.35">
      <c r="A3520">
        <v>202403</v>
      </c>
      <c r="B3520">
        <v>79</v>
      </c>
      <c r="C3520" s="2">
        <v>2446723.2796</v>
      </c>
      <c r="D3520" s="2">
        <v>0.67120000000000002</v>
      </c>
      <c r="E3520" s="3">
        <v>204116</v>
      </c>
      <c r="F3520" s="2">
        <v>137007.34239999999</v>
      </c>
      <c r="G3520" t="s">
        <v>828</v>
      </c>
      <c r="H3520" t="s">
        <v>5</v>
      </c>
      <c r="I3520" t="str">
        <f>HLOOKUP(G3520,zip_tiers!$A$1:$EON$2,2,FALSE)</f>
        <v/>
      </c>
      <c r="J3520" t="str">
        <f t="shared" si="54"/>
        <v>No Data</v>
      </c>
      <c r="K3520">
        <f>dataset[[#This Row],[soda_sales]]/dataset[[#This Row],[soda_units_sold]]</f>
        <v>0.67122294381626135</v>
      </c>
      <c r="L3520" s="29">
        <f>dataset[[#This Row],[implied_soda_ppu]]-dataset[[#This Row],[soda_ppu]]</f>
        <v>2.2943816261333794E-5</v>
      </c>
      <c r="M3520">
        <f>dataset[[#This Row],[soda_sales]]/dataset[[#This Row],[total_sales]]</f>
        <v>5.5996255703423273E-2</v>
      </c>
      <c r="N3520">
        <f>LN(dataset[[#This Row],[soda_units_sold]])</f>
        <v>12.226443738670005</v>
      </c>
      <c r="O3520">
        <f>LN(dataset[[#This Row],[soda_sales]])</f>
        <v>11.827789797534731</v>
      </c>
      <c r="P3520">
        <f>LN(dataset[[#This Row],[soda_ppu]])</f>
        <v>-0.39868812382914059</v>
      </c>
      <c r="Q3520">
        <f>IF(dataset[[#This Row],[state]]="VA",1,0)</f>
        <v>0</v>
      </c>
    </row>
    <row r="3521" spans="1:17" x14ac:dyDescent="0.35">
      <c r="A3521">
        <v>202404</v>
      </c>
      <c r="B3521">
        <v>79</v>
      </c>
      <c r="C3521" s="2">
        <v>2503762.4533000002</v>
      </c>
      <c r="D3521" s="2">
        <v>0.68430000000000002</v>
      </c>
      <c r="E3521" s="3">
        <v>221221</v>
      </c>
      <c r="F3521" s="2">
        <v>151380.81890000001</v>
      </c>
      <c r="G3521" t="s">
        <v>828</v>
      </c>
      <c r="H3521" t="s">
        <v>5</v>
      </c>
      <c r="I3521" t="str">
        <f>HLOOKUP(G3521,zip_tiers!$A$1:$EON$2,2,FALSE)</f>
        <v/>
      </c>
      <c r="J3521" t="str">
        <f t="shared" si="54"/>
        <v>No Data</v>
      </c>
      <c r="K3521">
        <f>dataset[[#This Row],[soda_sales]]/dataset[[#This Row],[soda_units_sold]]</f>
        <v>0.68429678421126394</v>
      </c>
      <c r="L3521" s="29">
        <f>dataset[[#This Row],[implied_soda_ppu]]-dataset[[#This Row],[soda_ppu]]</f>
        <v>-3.2157887360773074E-6</v>
      </c>
      <c r="M3521">
        <f>dataset[[#This Row],[soda_sales]]/dataset[[#This Row],[total_sales]]</f>
        <v>6.0461334381174063E-2</v>
      </c>
      <c r="N3521">
        <f>LN(dataset[[#This Row],[soda_units_sold]])</f>
        <v>12.306917480832974</v>
      </c>
      <c r="O3521">
        <f>LN(dataset[[#This Row],[soda_sales]])</f>
        <v>11.927553920413859</v>
      </c>
      <c r="P3521">
        <f>LN(dataset[[#This Row],[soda_ppu]])</f>
        <v>-0.37935886102368499</v>
      </c>
      <c r="Q3521">
        <f>IF(dataset[[#This Row],[state]]="VA",1,0)</f>
        <v>0</v>
      </c>
    </row>
    <row r="3522" spans="1:17" x14ac:dyDescent="0.35">
      <c r="A3522">
        <v>202405</v>
      </c>
      <c r="B3522">
        <v>79</v>
      </c>
      <c r="C3522" s="2">
        <v>2693244.3418000001</v>
      </c>
      <c r="D3522" s="2">
        <v>0.67559999999999998</v>
      </c>
      <c r="E3522" s="3">
        <v>254503</v>
      </c>
      <c r="F3522" s="2">
        <v>171931.08249999999</v>
      </c>
      <c r="G3522" t="s">
        <v>828</v>
      </c>
      <c r="H3522" t="s">
        <v>5</v>
      </c>
      <c r="I3522" t="str">
        <f>HLOOKUP(G3522,zip_tiers!$A$1:$EON$2,2,FALSE)</f>
        <v/>
      </c>
      <c r="J3522" t="str">
        <f t="shared" ref="J3522:J3585" si="55">IF(I3522="","No Data",IF(I3522&gt;=100000,"High",IF(I3522&gt;=40000,"Med","Low")))</f>
        <v>No Data</v>
      </c>
      <c r="K3522">
        <f>dataset[[#This Row],[soda_sales]]/dataset[[#This Row],[soda_units_sold]]</f>
        <v>0.67555621151813527</v>
      </c>
      <c r="L3522" s="29">
        <f>dataset[[#This Row],[implied_soda_ppu]]-dataset[[#This Row],[soda_ppu]]</f>
        <v>-4.3788481864703854E-5</v>
      </c>
      <c r="M3522">
        <f>dataset[[#This Row],[soda_sales]]/dataset[[#This Row],[total_sales]]</f>
        <v>6.3837907252444745E-2</v>
      </c>
      <c r="N3522">
        <f>LN(dataset[[#This Row],[soda_units_sold]])</f>
        <v>12.447067902722493</v>
      </c>
      <c r="O3522">
        <f>LN(dataset[[#This Row],[soda_sales]])</f>
        <v>12.054848992361118</v>
      </c>
      <c r="P3522">
        <f>LN(dataset[[#This Row],[soda_ppu]])</f>
        <v>-0.39215409404849205</v>
      </c>
      <c r="Q3522">
        <f>IF(dataset[[#This Row],[state]]="VA",1,0)</f>
        <v>0</v>
      </c>
    </row>
    <row r="3523" spans="1:17" x14ac:dyDescent="0.35">
      <c r="A3523">
        <v>202406</v>
      </c>
      <c r="B3523">
        <v>79</v>
      </c>
      <c r="C3523" s="2">
        <v>2599117.8605999998</v>
      </c>
      <c r="D3523" s="2">
        <v>0.69420000000000004</v>
      </c>
      <c r="E3523" s="3">
        <v>260512</v>
      </c>
      <c r="F3523" s="2">
        <v>180851.1036</v>
      </c>
      <c r="G3523" t="s">
        <v>828</v>
      </c>
      <c r="H3523" t="s">
        <v>5</v>
      </c>
      <c r="I3523" t="str">
        <f>HLOOKUP(G3523,zip_tiers!$A$1:$EON$2,2,FALSE)</f>
        <v/>
      </c>
      <c r="J3523" t="str">
        <f t="shared" si="55"/>
        <v>No Data</v>
      </c>
      <c r="K3523">
        <f>dataset[[#This Row],[soda_sales]]/dataset[[#This Row],[soda_units_sold]]</f>
        <v>0.69421409992629901</v>
      </c>
      <c r="L3523" s="29">
        <f>dataset[[#This Row],[implied_soda_ppu]]-dataset[[#This Row],[soda_ppu]]</f>
        <v>1.409992629897161E-5</v>
      </c>
      <c r="M3523">
        <f>dataset[[#This Row],[soda_sales]]/dataset[[#This Row],[total_sales]]</f>
        <v>6.9581724761897099E-2</v>
      </c>
      <c r="N3523">
        <f>LN(dataset[[#This Row],[soda_units_sold]])</f>
        <v>12.470404204373704</v>
      </c>
      <c r="O3523">
        <f>LN(dataset[[#This Row],[soda_sales]])</f>
        <v>12.105429339656345</v>
      </c>
      <c r="P3523">
        <f>LN(dataset[[#This Row],[soda_ppu]])</f>
        <v>-0.3649951755544511</v>
      </c>
      <c r="Q3523">
        <f>IF(dataset[[#This Row],[state]]="VA",1,0)</f>
        <v>0</v>
      </c>
    </row>
    <row r="3524" spans="1:17" x14ac:dyDescent="0.35">
      <c r="A3524">
        <v>202407</v>
      </c>
      <c r="B3524">
        <v>79</v>
      </c>
      <c r="C3524" s="2">
        <v>2438492.7211000002</v>
      </c>
      <c r="D3524" s="2">
        <v>0.67100000000000004</v>
      </c>
      <c r="E3524" s="3">
        <v>275555</v>
      </c>
      <c r="F3524" s="2">
        <v>184908.4154</v>
      </c>
      <c r="G3524" t="s">
        <v>828</v>
      </c>
      <c r="H3524" t="s">
        <v>5</v>
      </c>
      <c r="I3524" t="str">
        <f>HLOOKUP(G3524,zip_tiers!$A$1:$EON$2,2,FALSE)</f>
        <v/>
      </c>
      <c r="J3524" t="str">
        <f t="shared" si="55"/>
        <v>No Data</v>
      </c>
      <c r="K3524">
        <f>dataset[[#This Row],[soda_sales]]/dataset[[#This Row],[soda_units_sold]]</f>
        <v>0.671039957177333</v>
      </c>
      <c r="L3524" s="29">
        <f>dataset[[#This Row],[implied_soda_ppu]]-dataset[[#This Row],[soda_ppu]]</f>
        <v>3.9957177332961002E-5</v>
      </c>
      <c r="M3524">
        <f>dataset[[#This Row],[soda_sales]]/dataset[[#This Row],[total_sales]]</f>
        <v>7.5828979844806799E-2</v>
      </c>
      <c r="N3524">
        <f>LN(dataset[[#This Row],[soda_units_sold]])</f>
        <v>12.52654252467388</v>
      </c>
      <c r="O3524">
        <f>LN(dataset[[#This Row],[soda_sales]])</f>
        <v>12.127615929589926</v>
      </c>
      <c r="P3524">
        <f>LN(dataset[[#This Row],[soda_ppu]])</f>
        <v>-0.39898614201045518</v>
      </c>
      <c r="Q3524">
        <f>IF(dataset[[#This Row],[state]]="VA",1,0)</f>
        <v>0</v>
      </c>
    </row>
    <row r="3525" spans="1:17" x14ac:dyDescent="0.35">
      <c r="A3525">
        <v>202408</v>
      </c>
      <c r="B3525">
        <v>79</v>
      </c>
      <c r="C3525" s="2">
        <v>2351130.4358999999</v>
      </c>
      <c r="D3525" s="2">
        <v>0.68879999999999997</v>
      </c>
      <c r="E3525" s="3">
        <v>237772</v>
      </c>
      <c r="F3525" s="2">
        <v>163787.4607</v>
      </c>
      <c r="G3525" t="s">
        <v>828</v>
      </c>
      <c r="H3525" t="s">
        <v>5</v>
      </c>
      <c r="I3525" t="str">
        <f>HLOOKUP(G3525,zip_tiers!$A$1:$EON$2,2,FALSE)</f>
        <v/>
      </c>
      <c r="J3525" t="str">
        <f t="shared" si="55"/>
        <v>No Data</v>
      </c>
      <c r="K3525">
        <f>dataset[[#This Row],[soda_sales]]/dataset[[#This Row],[soda_units_sold]]</f>
        <v>0.68884250752822029</v>
      </c>
      <c r="L3525" s="29">
        <f>dataset[[#This Row],[implied_soda_ppu]]-dataset[[#This Row],[soda_ppu]]</f>
        <v>4.2507528220325774E-5</v>
      </c>
      <c r="M3525">
        <f>dataset[[#This Row],[soda_sales]]/dataset[[#This Row],[total_sales]]</f>
        <v>6.9663281202560351E-2</v>
      </c>
      <c r="N3525">
        <f>LN(dataset[[#This Row],[soda_units_sold]])</f>
        <v>12.379067510301168</v>
      </c>
      <c r="O3525">
        <f>LN(dataset[[#This Row],[soda_sales]])</f>
        <v>12.006324894967761</v>
      </c>
      <c r="P3525">
        <f>LN(dataset[[#This Row],[soda_ppu]])</f>
        <v>-0.37280432586861606</v>
      </c>
      <c r="Q3525">
        <f>IF(dataset[[#This Row],[state]]="VA",1,0)</f>
        <v>0</v>
      </c>
    </row>
    <row r="3526" spans="1:17" x14ac:dyDescent="0.35">
      <c r="A3526">
        <v>202409</v>
      </c>
      <c r="B3526">
        <v>79</v>
      </c>
      <c r="C3526" s="2">
        <v>2312070.2047000001</v>
      </c>
      <c r="D3526" s="2">
        <v>0.70309999999999995</v>
      </c>
      <c r="E3526" s="3">
        <v>221998</v>
      </c>
      <c r="F3526" s="2">
        <v>156080.6355</v>
      </c>
      <c r="G3526" t="s">
        <v>828</v>
      </c>
      <c r="H3526" t="s">
        <v>5</v>
      </c>
      <c r="I3526" t="str">
        <f>HLOOKUP(G3526,zip_tiers!$A$1:$EON$2,2,FALSE)</f>
        <v/>
      </c>
      <c r="J3526" t="str">
        <f t="shared" si="55"/>
        <v>No Data</v>
      </c>
      <c r="K3526">
        <f>dataset[[#This Row],[soda_sales]]/dataset[[#This Row],[soda_units_sold]]</f>
        <v>0.70307225965999698</v>
      </c>
      <c r="L3526" s="29">
        <f>dataset[[#This Row],[implied_soda_ppu]]-dataset[[#This Row],[soda_ppu]]</f>
        <v>-2.7740340002968544E-5</v>
      </c>
      <c r="M3526">
        <f>dataset[[#This Row],[soda_sales]]/dataset[[#This Row],[total_sales]]</f>
        <v>6.7506875519055473E-2</v>
      </c>
      <c r="N3526">
        <f>LN(dataset[[#This Row],[soda_units_sold]])</f>
        <v>12.310423651804825</v>
      </c>
      <c r="O3526">
        <f>LN(dataset[[#This Row],[soda_sales]])</f>
        <v>11.958128046918636</v>
      </c>
      <c r="P3526">
        <f>LN(dataset[[#This Row],[soda_ppu]])</f>
        <v>-0.35225614977702147</v>
      </c>
      <c r="Q3526">
        <f>IF(dataset[[#This Row],[state]]="VA",1,0)</f>
        <v>0</v>
      </c>
    </row>
    <row r="3527" spans="1:17" x14ac:dyDescent="0.35">
      <c r="A3527">
        <v>202410</v>
      </c>
      <c r="B3527">
        <v>79</v>
      </c>
      <c r="C3527" s="2">
        <v>2880856.2149</v>
      </c>
      <c r="D3527" s="2">
        <v>0.67610000000000003</v>
      </c>
      <c r="E3527" s="3">
        <v>221311</v>
      </c>
      <c r="F3527" s="2">
        <v>149632.4375</v>
      </c>
      <c r="G3527" t="s">
        <v>828</v>
      </c>
      <c r="H3527" t="s">
        <v>5</v>
      </c>
      <c r="I3527" t="str">
        <f>HLOOKUP(G3527,zip_tiers!$A$1:$EON$2,2,FALSE)</f>
        <v/>
      </c>
      <c r="J3527" t="str">
        <f t="shared" si="55"/>
        <v>No Data</v>
      </c>
      <c r="K3527">
        <f>dataset[[#This Row],[soda_sales]]/dataset[[#This Row],[soda_units_sold]]</f>
        <v>0.67611839221728698</v>
      </c>
      <c r="L3527" s="29">
        <f>dataset[[#This Row],[implied_soda_ppu]]-dataset[[#This Row],[soda_ppu]]</f>
        <v>1.8392217286944401E-5</v>
      </c>
      <c r="M3527">
        <f>dataset[[#This Row],[soda_sales]]/dataset[[#This Row],[total_sales]]</f>
        <v>5.1940265788375704E-2</v>
      </c>
      <c r="N3527">
        <f>LN(dataset[[#This Row],[soda_units_sold]])</f>
        <v>12.307324231084891</v>
      </c>
      <c r="O3527">
        <f>LN(dataset[[#This Row],[soda_sales]])</f>
        <v>11.915937149227231</v>
      </c>
      <c r="P3527">
        <f>LN(dataset[[#This Row],[soda_ppu]])</f>
        <v>-0.39141428488550478</v>
      </c>
      <c r="Q3527">
        <f>IF(dataset[[#This Row],[state]]="VA",1,0)</f>
        <v>0</v>
      </c>
    </row>
    <row r="3528" spans="1:17" x14ac:dyDescent="0.35">
      <c r="A3528">
        <v>202411</v>
      </c>
      <c r="B3528">
        <v>79</v>
      </c>
      <c r="C3528" s="2">
        <v>3304596.0592</v>
      </c>
      <c r="D3528" s="2">
        <v>0.70350000000000001</v>
      </c>
      <c r="E3528" s="3">
        <v>208969</v>
      </c>
      <c r="F3528" s="2">
        <v>147017.75409999999</v>
      </c>
      <c r="G3528" t="s">
        <v>828</v>
      </c>
      <c r="H3528" t="s">
        <v>5</v>
      </c>
      <c r="I3528" t="str">
        <f>HLOOKUP(G3528,zip_tiers!$A$1:$EON$2,2,FALSE)</f>
        <v/>
      </c>
      <c r="J3528" t="str">
        <f t="shared" si="55"/>
        <v>No Data</v>
      </c>
      <c r="K3528">
        <f>dataset[[#This Row],[soda_sales]]/dataset[[#This Row],[soda_units_sold]]</f>
        <v>0.703538582756294</v>
      </c>
      <c r="L3528" s="29">
        <f>dataset[[#This Row],[implied_soda_ppu]]-dataset[[#This Row],[soda_ppu]]</f>
        <v>3.8582756293981113E-5</v>
      </c>
      <c r="M3528">
        <f>dataset[[#This Row],[soda_sales]]/dataset[[#This Row],[total_sales]]</f>
        <v>4.4488872911018086E-2</v>
      </c>
      <c r="N3528">
        <f>LN(dataset[[#This Row],[soda_units_sold]])</f>
        <v>12.249941194586803</v>
      </c>
      <c r="O3528">
        <f>LN(dataset[[#This Row],[soda_sales]])</f>
        <v>11.898308634658493</v>
      </c>
      <c r="P3528">
        <f>LN(dataset[[#This Row],[soda_ppu]])</f>
        <v>-0.35168740242769331</v>
      </c>
      <c r="Q3528">
        <f>IF(dataset[[#This Row],[state]]="VA",1,0)</f>
        <v>0</v>
      </c>
    </row>
    <row r="3529" spans="1:17" x14ac:dyDescent="0.35">
      <c r="A3529">
        <v>202412</v>
      </c>
      <c r="B3529">
        <v>79</v>
      </c>
      <c r="C3529" s="2">
        <v>3365921.8646</v>
      </c>
      <c r="D3529" s="2">
        <v>0.69069999999999998</v>
      </c>
      <c r="E3529" s="3">
        <v>198557</v>
      </c>
      <c r="F3529" s="2">
        <v>137146.58540000001</v>
      </c>
      <c r="G3529" t="s">
        <v>828</v>
      </c>
      <c r="H3529" t="s">
        <v>5</v>
      </c>
      <c r="I3529" t="str">
        <f>HLOOKUP(G3529,zip_tiers!$A$1:$EON$2,2,FALSE)</f>
        <v/>
      </c>
      <c r="J3529" t="str">
        <f t="shared" si="55"/>
        <v>No Data</v>
      </c>
      <c r="K3529">
        <f>dataset[[#This Row],[soda_sales]]/dataset[[#This Row],[soda_units_sold]]</f>
        <v>0.69071644615903749</v>
      </c>
      <c r="L3529" s="29">
        <f>dataset[[#This Row],[implied_soda_ppu]]-dataset[[#This Row],[soda_ppu]]</f>
        <v>1.6446159037508679E-5</v>
      </c>
      <c r="M3529">
        <f>dataset[[#This Row],[soda_sales]]/dataset[[#This Row],[total_sales]]</f>
        <v>4.0745623611289104E-2</v>
      </c>
      <c r="N3529">
        <f>LN(dataset[[#This Row],[soda_units_sold]])</f>
        <v>12.198831491541055</v>
      </c>
      <c r="O3529">
        <f>LN(dataset[[#This Row],[soda_sales]])</f>
        <v>11.828805599227527</v>
      </c>
      <c r="P3529">
        <f>LN(dataset[[#This Row],[soda_ppu]])</f>
        <v>-0.37004970288720984</v>
      </c>
      <c r="Q3529">
        <f>IF(dataset[[#This Row],[state]]="VA",1,0)</f>
        <v>0</v>
      </c>
    </row>
    <row r="3530" spans="1:17" x14ac:dyDescent="0.35">
      <c r="A3530">
        <v>202201</v>
      </c>
      <c r="B3530">
        <v>35</v>
      </c>
      <c r="C3530" s="2">
        <v>2279516.3912</v>
      </c>
      <c r="D3530" s="2">
        <v>0.65180000000000005</v>
      </c>
      <c r="E3530" s="3">
        <v>143275</v>
      </c>
      <c r="F3530" s="2">
        <v>93393.6826</v>
      </c>
      <c r="G3530" t="s">
        <v>859</v>
      </c>
      <c r="H3530" t="s">
        <v>5</v>
      </c>
      <c r="I3530">
        <f>HLOOKUP(G3530,zip_tiers!$A$1:$EON$2,2,FALSE)</f>
        <v>100405.66666666667</v>
      </c>
      <c r="J3530" t="str">
        <f t="shared" si="55"/>
        <v>High</v>
      </c>
      <c r="K3530">
        <f>dataset[[#This Row],[soda_sales]]/dataset[[#This Row],[soda_units_sold]]</f>
        <v>0.65184911952538827</v>
      </c>
      <c r="L3530" s="29">
        <f>dataset[[#This Row],[implied_soda_ppu]]-dataset[[#This Row],[soda_ppu]]</f>
        <v>4.9119525388219287E-5</v>
      </c>
      <c r="M3530">
        <f>dataset[[#This Row],[soda_sales]]/dataset[[#This Row],[total_sales]]</f>
        <v>4.0970831778417267E-2</v>
      </c>
      <c r="N3530">
        <f>LN(dataset[[#This Row],[soda_units_sold]])</f>
        <v>11.872521139419938</v>
      </c>
      <c r="O3530">
        <f>LN(dataset[[#This Row],[soda_sales]])</f>
        <v>11.444578983813742</v>
      </c>
      <c r="P3530">
        <f>LN(dataset[[#This Row],[soda_ppu]])</f>
        <v>-0.42801751257867582</v>
      </c>
      <c r="Q3530">
        <f>IF(dataset[[#This Row],[state]]="VA",1,0)</f>
        <v>0</v>
      </c>
    </row>
    <row r="3531" spans="1:17" x14ac:dyDescent="0.35">
      <c r="A3531">
        <v>202202</v>
      </c>
      <c r="B3531">
        <v>35</v>
      </c>
      <c r="C3531" s="2">
        <v>2562367.4128</v>
      </c>
      <c r="D3531" s="2">
        <v>0.68459999999999999</v>
      </c>
      <c r="E3531" s="3">
        <v>152948</v>
      </c>
      <c r="F3531" s="2">
        <v>104701.1942</v>
      </c>
      <c r="G3531" t="s">
        <v>859</v>
      </c>
      <c r="H3531" t="s">
        <v>5</v>
      </c>
      <c r="I3531">
        <f>HLOOKUP(G3531,zip_tiers!$A$1:$EON$2,2,FALSE)</f>
        <v>100405.66666666667</v>
      </c>
      <c r="J3531" t="str">
        <f t="shared" si="55"/>
        <v>High</v>
      </c>
      <c r="K3531">
        <f>dataset[[#This Row],[soda_sales]]/dataset[[#This Row],[soda_units_sold]]</f>
        <v>0.68455418965923054</v>
      </c>
      <c r="L3531" s="29">
        <f>dataset[[#This Row],[implied_soda_ppu]]-dataset[[#This Row],[soda_ppu]]</f>
        <v>-4.5810340769447677E-5</v>
      </c>
      <c r="M3531">
        <f>dataset[[#This Row],[soda_sales]]/dataset[[#This Row],[total_sales]]</f>
        <v>4.0861116823831624E-2</v>
      </c>
      <c r="N3531">
        <f>LN(dataset[[#This Row],[soda_units_sold]])</f>
        <v>11.937853273324873</v>
      </c>
      <c r="O3531">
        <f>LN(dataset[[#This Row],[soda_sales]])</f>
        <v>11.558865802715262</v>
      </c>
      <c r="P3531">
        <f>LN(dataset[[#This Row],[soda_ppu]])</f>
        <v>-0.37892055288605214</v>
      </c>
      <c r="Q3531">
        <f>IF(dataset[[#This Row],[state]]="VA",1,0)</f>
        <v>0</v>
      </c>
    </row>
    <row r="3532" spans="1:17" x14ac:dyDescent="0.35">
      <c r="A3532">
        <v>202203</v>
      </c>
      <c r="B3532">
        <v>35</v>
      </c>
      <c r="C3532" s="2">
        <v>2846266.3406000002</v>
      </c>
      <c r="D3532" s="2">
        <v>0.65280000000000005</v>
      </c>
      <c r="E3532" s="3">
        <v>182568</v>
      </c>
      <c r="F3532" s="2">
        <v>119173.55439999999</v>
      </c>
      <c r="G3532" t="s">
        <v>859</v>
      </c>
      <c r="H3532" t="s">
        <v>5</v>
      </c>
      <c r="I3532">
        <f>HLOOKUP(G3532,zip_tiers!$A$1:$EON$2,2,FALSE)</f>
        <v>100405.66666666667</v>
      </c>
      <c r="J3532" t="str">
        <f t="shared" si="55"/>
        <v>High</v>
      </c>
      <c r="K3532">
        <f>dataset[[#This Row],[soda_sales]]/dataset[[#This Row],[soda_units_sold]]</f>
        <v>0.65276255641733483</v>
      </c>
      <c r="L3532" s="29">
        <f>dataset[[#This Row],[implied_soda_ppu]]-dataset[[#This Row],[soda_ppu]]</f>
        <v>-3.7443582665219743E-5</v>
      </c>
      <c r="M3532">
        <f>dataset[[#This Row],[soda_sales]]/dataset[[#This Row],[total_sales]]</f>
        <v>4.1870134463550555E-2</v>
      </c>
      <c r="N3532">
        <f>LN(dataset[[#This Row],[soda_units_sold]])</f>
        <v>12.114877985345247</v>
      </c>
      <c r="O3532">
        <f>LN(dataset[[#This Row],[soda_sales]])</f>
        <v>11.688336149938621</v>
      </c>
      <c r="P3532">
        <f>LN(dataset[[#This Row],[soda_ppu]])</f>
        <v>-0.42648447533223971</v>
      </c>
      <c r="Q3532">
        <f>IF(dataset[[#This Row],[state]]="VA",1,0)</f>
        <v>0</v>
      </c>
    </row>
    <row r="3533" spans="1:17" x14ac:dyDescent="0.35">
      <c r="A3533">
        <v>202204</v>
      </c>
      <c r="B3533">
        <v>35</v>
      </c>
      <c r="C3533" s="2">
        <v>3005773.6601</v>
      </c>
      <c r="D3533" s="2">
        <v>0.67090000000000005</v>
      </c>
      <c r="E3533" s="3">
        <v>214639</v>
      </c>
      <c r="F3533" s="2">
        <v>143994.29639999999</v>
      </c>
      <c r="G3533" t="s">
        <v>859</v>
      </c>
      <c r="H3533" t="s">
        <v>5</v>
      </c>
      <c r="I3533">
        <f>HLOOKUP(G3533,zip_tiers!$A$1:$EON$2,2,FALSE)</f>
        <v>100405.66666666667</v>
      </c>
      <c r="J3533" t="str">
        <f t="shared" si="55"/>
        <v>High</v>
      </c>
      <c r="K3533">
        <f>dataset[[#This Row],[soda_sales]]/dataset[[#This Row],[soda_units_sold]]</f>
        <v>0.67086734656795821</v>
      </c>
      <c r="L3533" s="29">
        <f>dataset[[#This Row],[implied_soda_ppu]]-dataset[[#This Row],[soda_ppu]]</f>
        <v>-3.2653432041840347E-5</v>
      </c>
      <c r="M3533">
        <f>dataset[[#This Row],[soda_sales]]/dataset[[#This Row],[total_sales]]</f>
        <v>4.7905901336300023E-2</v>
      </c>
      <c r="N3533">
        <f>LN(dataset[[#This Row],[soda_units_sold]])</f>
        <v>12.276712826124806</v>
      </c>
      <c r="O3533">
        <f>LN(dataset[[#This Row],[soda_sales]])</f>
        <v>11.877528969440373</v>
      </c>
      <c r="P3533">
        <f>LN(dataset[[#This Row],[soda_ppu]])</f>
        <v>-0.3991351844132946</v>
      </c>
      <c r="Q3533">
        <f>IF(dataset[[#This Row],[state]]="VA",1,0)</f>
        <v>0</v>
      </c>
    </row>
    <row r="3534" spans="1:17" x14ac:dyDescent="0.35">
      <c r="A3534">
        <v>202205</v>
      </c>
      <c r="B3534">
        <v>35</v>
      </c>
      <c r="C3534" s="2">
        <v>3180786.4153999998</v>
      </c>
      <c r="D3534" s="2">
        <v>0.66080000000000005</v>
      </c>
      <c r="E3534" s="3">
        <v>242658</v>
      </c>
      <c r="F3534" s="2">
        <v>160337.44279999999</v>
      </c>
      <c r="G3534" t="s">
        <v>859</v>
      </c>
      <c r="H3534" t="s">
        <v>5</v>
      </c>
      <c r="I3534">
        <f>HLOOKUP(G3534,zip_tiers!$A$1:$EON$2,2,FALSE)</f>
        <v>100405.66666666667</v>
      </c>
      <c r="J3534" t="str">
        <f t="shared" si="55"/>
        <v>High</v>
      </c>
      <c r="K3534">
        <f>dataset[[#This Row],[soda_sales]]/dataset[[#This Row],[soda_units_sold]]</f>
        <v>0.66075481871605302</v>
      </c>
      <c r="L3534" s="29">
        <f>dataset[[#This Row],[implied_soda_ppu]]-dataset[[#This Row],[soda_ppu]]</f>
        <v>-4.5181283947037798E-5</v>
      </c>
      <c r="M3534">
        <f>dataset[[#This Row],[soda_sales]]/dataset[[#This Row],[total_sales]]</f>
        <v>5.0408113548182629E-2</v>
      </c>
      <c r="N3534">
        <f>LN(dataset[[#This Row],[soda_units_sold]])</f>
        <v>12.399408323587229</v>
      </c>
      <c r="O3534">
        <f>LN(dataset[[#This Row],[soda_sales]])</f>
        <v>11.985035890860557</v>
      </c>
      <c r="P3534">
        <f>LN(dataset[[#This Row],[soda_ppu]])</f>
        <v>-0.41430405677536863</v>
      </c>
      <c r="Q3534">
        <f>IF(dataset[[#This Row],[state]]="VA",1,0)</f>
        <v>0</v>
      </c>
    </row>
    <row r="3535" spans="1:17" x14ac:dyDescent="0.35">
      <c r="A3535">
        <v>202206</v>
      </c>
      <c r="B3535">
        <v>35</v>
      </c>
      <c r="C3535" s="2">
        <v>2987143.7932000002</v>
      </c>
      <c r="D3535" s="2">
        <v>0.67449999999999999</v>
      </c>
      <c r="E3535" s="3">
        <v>241629</v>
      </c>
      <c r="F3535" s="2">
        <v>162984.51990000001</v>
      </c>
      <c r="G3535" t="s">
        <v>859</v>
      </c>
      <c r="H3535" t="s">
        <v>5</v>
      </c>
      <c r="I3535">
        <f>HLOOKUP(G3535,zip_tiers!$A$1:$EON$2,2,FALSE)</f>
        <v>100405.66666666667</v>
      </c>
      <c r="J3535" t="str">
        <f t="shared" si="55"/>
        <v>High</v>
      </c>
      <c r="K3535">
        <f>dataset[[#This Row],[soda_sales]]/dataset[[#This Row],[soda_units_sold]]</f>
        <v>0.6745238357150839</v>
      </c>
      <c r="L3535" s="29">
        <f>dataset[[#This Row],[implied_soda_ppu]]-dataset[[#This Row],[soda_ppu]]</f>
        <v>2.3835715083908582E-5</v>
      </c>
      <c r="M3535">
        <f>dataset[[#This Row],[soda_sales]]/dataset[[#This Row],[total_sales]]</f>
        <v>5.4561993390147993E-2</v>
      </c>
      <c r="N3535">
        <f>LN(dataset[[#This Row],[soda_units_sold]])</f>
        <v>12.395158770951982</v>
      </c>
      <c r="O3535">
        <f>LN(dataset[[#This Row],[soda_sales]])</f>
        <v>12.001410505340319</v>
      </c>
      <c r="P3535">
        <f>LN(dataset[[#This Row],[soda_ppu]])</f>
        <v>-0.39378360333432649</v>
      </c>
      <c r="Q3535">
        <f>IF(dataset[[#This Row],[state]]="VA",1,0)</f>
        <v>0</v>
      </c>
    </row>
    <row r="3536" spans="1:17" x14ac:dyDescent="0.35">
      <c r="A3536">
        <v>202207</v>
      </c>
      <c r="B3536">
        <v>35</v>
      </c>
      <c r="C3536" s="2">
        <v>2931469.7080999999</v>
      </c>
      <c r="D3536" s="2">
        <v>0.67</v>
      </c>
      <c r="E3536" s="3">
        <v>259859</v>
      </c>
      <c r="F3536" s="2">
        <v>174109.64540000001</v>
      </c>
      <c r="G3536" t="s">
        <v>859</v>
      </c>
      <c r="H3536" t="s">
        <v>5</v>
      </c>
      <c r="I3536">
        <f>HLOOKUP(G3536,zip_tiers!$A$1:$EON$2,2,FALSE)</f>
        <v>100405.66666666667</v>
      </c>
      <c r="J3536" t="str">
        <f t="shared" si="55"/>
        <v>High</v>
      </c>
      <c r="K3536">
        <f>dataset[[#This Row],[soda_sales]]/dataset[[#This Row],[soda_units_sold]]</f>
        <v>0.6700158370500926</v>
      </c>
      <c r="L3536" s="29">
        <f>dataset[[#This Row],[implied_soda_ppu]]-dataset[[#This Row],[soda_ppu]]</f>
        <v>1.5837050092559757E-5</v>
      </c>
      <c r="M3536">
        <f>dataset[[#This Row],[soda_sales]]/dataset[[#This Row],[total_sales]]</f>
        <v>5.9393295082979816E-2</v>
      </c>
      <c r="N3536">
        <f>LN(dataset[[#This Row],[soda_units_sold]])</f>
        <v>12.467894455203355</v>
      </c>
      <c r="O3536">
        <f>LN(dataset[[#This Row],[soda_sales]])</f>
        <v>12.067440525715069</v>
      </c>
      <c r="P3536">
        <f>LN(dataset[[#This Row],[soda_ppu]])</f>
        <v>-0.40047756659712525</v>
      </c>
      <c r="Q3536">
        <f>IF(dataset[[#This Row],[state]]="VA",1,0)</f>
        <v>0</v>
      </c>
    </row>
    <row r="3537" spans="1:17" x14ac:dyDescent="0.35">
      <c r="A3537">
        <v>202208</v>
      </c>
      <c r="B3537">
        <v>35</v>
      </c>
      <c r="C3537" s="2">
        <v>2698227.1634</v>
      </c>
      <c r="D3537" s="2">
        <v>0.66069999999999995</v>
      </c>
      <c r="E3537" s="3">
        <v>219847</v>
      </c>
      <c r="F3537" s="2">
        <v>145243.98240000001</v>
      </c>
      <c r="G3537" t="s">
        <v>859</v>
      </c>
      <c r="H3537" t="s">
        <v>5</v>
      </c>
      <c r="I3537">
        <f>HLOOKUP(G3537,zip_tiers!$A$1:$EON$2,2,FALSE)</f>
        <v>100405.66666666667</v>
      </c>
      <c r="J3537" t="str">
        <f t="shared" si="55"/>
        <v>High</v>
      </c>
      <c r="K3537">
        <f>dataset[[#This Row],[soda_sales]]/dataset[[#This Row],[soda_units_sold]]</f>
        <v>0.6606593785678222</v>
      </c>
      <c r="L3537" s="29">
        <f>dataset[[#This Row],[implied_soda_ppu]]-dataset[[#This Row],[soda_ppu]]</f>
        <v>-4.0621432177756489E-5</v>
      </c>
      <c r="M3537">
        <f>dataset[[#This Row],[soda_sales]]/dataset[[#This Row],[total_sales]]</f>
        <v>5.3829412278608893E-2</v>
      </c>
      <c r="N3537">
        <f>LN(dataset[[#This Row],[soda_units_sold]])</f>
        <v>12.300687128848352</v>
      </c>
      <c r="O3537">
        <f>LN(dataset[[#This Row],[soda_sales]])</f>
        <v>11.886170244596045</v>
      </c>
      <c r="P3537">
        <f>LN(dataset[[#This Row],[soda_ppu]])</f>
        <v>-0.4144553999462971</v>
      </c>
      <c r="Q3537">
        <f>IF(dataset[[#This Row],[state]]="VA",1,0)</f>
        <v>0</v>
      </c>
    </row>
    <row r="3538" spans="1:17" x14ac:dyDescent="0.35">
      <c r="A3538">
        <v>202209</v>
      </c>
      <c r="B3538">
        <v>35</v>
      </c>
      <c r="C3538" s="2">
        <v>2699287.4722000002</v>
      </c>
      <c r="D3538" s="2">
        <v>0.7</v>
      </c>
      <c r="E3538" s="3">
        <v>201819</v>
      </c>
      <c r="F3538" s="2">
        <v>141263.52429999999</v>
      </c>
      <c r="G3538" t="s">
        <v>859</v>
      </c>
      <c r="H3538" t="s">
        <v>5</v>
      </c>
      <c r="I3538">
        <f>HLOOKUP(G3538,zip_tiers!$A$1:$EON$2,2,FALSE)</f>
        <v>100405.66666666667</v>
      </c>
      <c r="J3538" t="str">
        <f t="shared" si="55"/>
        <v>High</v>
      </c>
      <c r="K3538">
        <f>dataset[[#This Row],[soda_sales]]/dataset[[#This Row],[soda_units_sold]]</f>
        <v>0.69995156204321685</v>
      </c>
      <c r="L3538" s="29">
        <f>dataset[[#This Row],[implied_soda_ppu]]-dataset[[#This Row],[soda_ppu]]</f>
        <v>-4.843795678310947E-5</v>
      </c>
      <c r="M3538">
        <f>dataset[[#This Row],[soda_sales]]/dataset[[#This Row],[total_sales]]</f>
        <v>5.2333634618348369E-2</v>
      </c>
      <c r="N3538">
        <f>LN(dataset[[#This Row],[soda_units_sold]])</f>
        <v>12.215126535095928</v>
      </c>
      <c r="O3538">
        <f>LN(dataset[[#This Row],[soda_sales]])</f>
        <v>11.858382391681848</v>
      </c>
      <c r="P3538">
        <f>LN(dataset[[#This Row],[soda_ppu]])</f>
        <v>-0.35667494393873245</v>
      </c>
      <c r="Q3538">
        <f>IF(dataset[[#This Row],[state]]="VA",1,0)</f>
        <v>0</v>
      </c>
    </row>
    <row r="3539" spans="1:17" x14ac:dyDescent="0.35">
      <c r="A3539">
        <v>202210</v>
      </c>
      <c r="B3539">
        <v>35</v>
      </c>
      <c r="C3539" s="2">
        <v>3349673.0514000002</v>
      </c>
      <c r="D3539" s="2">
        <v>0.67190000000000005</v>
      </c>
      <c r="E3539" s="3">
        <v>199808</v>
      </c>
      <c r="F3539" s="2">
        <v>134246.3553</v>
      </c>
      <c r="G3539" t="s">
        <v>859</v>
      </c>
      <c r="H3539" t="s">
        <v>5</v>
      </c>
      <c r="I3539">
        <f>HLOOKUP(G3539,zip_tiers!$A$1:$EON$2,2,FALSE)</f>
        <v>100405.66666666667</v>
      </c>
      <c r="J3539" t="str">
        <f t="shared" si="55"/>
        <v>High</v>
      </c>
      <c r="K3539">
        <f>dataset[[#This Row],[soda_sales]]/dataset[[#This Row],[soda_units_sold]]</f>
        <v>0.67187677820707881</v>
      </c>
      <c r="L3539" s="29">
        <f>dataset[[#This Row],[implied_soda_ppu]]-dataset[[#This Row],[soda_ppu]]</f>
        <v>-2.3221792921246376E-5</v>
      </c>
      <c r="M3539">
        <f>dataset[[#This Row],[soda_sales]]/dataset[[#This Row],[total_sales]]</f>
        <v>4.0077450318290485E-2</v>
      </c>
      <c r="N3539">
        <f>LN(dataset[[#This Row],[soda_units_sold]])</f>
        <v>12.20511218443505</v>
      </c>
      <c r="O3539">
        <f>LN(dataset[[#This Row],[soda_sales]])</f>
        <v>11.807431863399229</v>
      </c>
      <c r="P3539">
        <f>LN(dataset[[#This Row],[soda_ppu]])</f>
        <v>-0.39764575905603267</v>
      </c>
      <c r="Q3539">
        <f>IF(dataset[[#This Row],[state]]="VA",1,0)</f>
        <v>0</v>
      </c>
    </row>
    <row r="3540" spans="1:17" x14ac:dyDescent="0.35">
      <c r="A3540">
        <v>202211</v>
      </c>
      <c r="B3540">
        <v>35</v>
      </c>
      <c r="C3540" s="2">
        <v>3723461.4726999998</v>
      </c>
      <c r="D3540" s="2">
        <v>0.66720000000000002</v>
      </c>
      <c r="E3540" s="3">
        <v>189471</v>
      </c>
      <c r="F3540" s="2">
        <v>126412.0073</v>
      </c>
      <c r="G3540" t="s">
        <v>859</v>
      </c>
      <c r="H3540" t="s">
        <v>5</v>
      </c>
      <c r="I3540">
        <f>HLOOKUP(G3540,zip_tiers!$A$1:$EON$2,2,FALSE)</f>
        <v>100405.66666666667</v>
      </c>
      <c r="J3540" t="str">
        <f t="shared" si="55"/>
        <v>High</v>
      </c>
      <c r="K3540">
        <f>dataset[[#This Row],[soda_sales]]/dataset[[#This Row],[soda_units_sold]]</f>
        <v>0.66718393474463111</v>
      </c>
      <c r="L3540" s="29">
        <f>dataset[[#This Row],[implied_soda_ppu]]-dataset[[#This Row],[soda_ppu]]</f>
        <v>-1.6065255368902243E-5</v>
      </c>
      <c r="M3540">
        <f>dataset[[#This Row],[soda_sales]]/dataset[[#This Row],[total_sales]]</f>
        <v>3.3950131679040756E-2</v>
      </c>
      <c r="N3540">
        <f>LN(dataset[[#This Row],[soda_units_sold]])</f>
        <v>12.151991257492883</v>
      </c>
      <c r="O3540">
        <f>LN(dataset[[#This Row],[soda_sales]])</f>
        <v>11.747301750645232</v>
      </c>
      <c r="P3540">
        <f>LN(dataset[[#This Row],[soda_ppu]])</f>
        <v>-0.40466542793760002</v>
      </c>
      <c r="Q3540">
        <f>IF(dataset[[#This Row],[state]]="VA",1,0)</f>
        <v>0</v>
      </c>
    </row>
    <row r="3541" spans="1:17" x14ac:dyDescent="0.35">
      <c r="A3541">
        <v>202212</v>
      </c>
      <c r="B3541">
        <v>35</v>
      </c>
      <c r="C3541" s="2">
        <v>3928213.7082000002</v>
      </c>
      <c r="D3541" s="2">
        <v>0.68579999999999997</v>
      </c>
      <c r="E3541" s="3">
        <v>184874</v>
      </c>
      <c r="F3541" s="2">
        <v>126780.3129</v>
      </c>
      <c r="G3541" t="s">
        <v>859</v>
      </c>
      <c r="H3541" t="s">
        <v>5</v>
      </c>
      <c r="I3541">
        <f>HLOOKUP(G3541,zip_tiers!$A$1:$EON$2,2,FALSE)</f>
        <v>100405.66666666667</v>
      </c>
      <c r="J3541" t="str">
        <f t="shared" si="55"/>
        <v>High</v>
      </c>
      <c r="K3541">
        <f>dataset[[#This Row],[soda_sales]]/dataset[[#This Row],[soda_units_sold]]</f>
        <v>0.68576605093198617</v>
      </c>
      <c r="L3541" s="29">
        <f>dataset[[#This Row],[implied_soda_ppu]]-dataset[[#This Row],[soda_ppu]]</f>
        <v>-3.3949068013794381E-5</v>
      </c>
      <c r="M3541">
        <f>dataset[[#This Row],[soda_sales]]/dataset[[#This Row],[total_sales]]</f>
        <v>3.2274291145451384E-2</v>
      </c>
      <c r="N3541">
        <f>LN(dataset[[#This Row],[soda_units_sold]])</f>
        <v>12.127429790938296</v>
      </c>
      <c r="O3541">
        <f>LN(dataset[[#This Row],[soda_sales]])</f>
        <v>11.75021104789001</v>
      </c>
      <c r="P3541">
        <f>LN(dataset[[#This Row],[soda_ppu]])</f>
        <v>-0.37716923895331711</v>
      </c>
      <c r="Q3541">
        <f>IF(dataset[[#This Row],[state]]="VA",1,0)</f>
        <v>0</v>
      </c>
    </row>
    <row r="3542" spans="1:17" x14ac:dyDescent="0.35">
      <c r="A3542">
        <v>202301</v>
      </c>
      <c r="B3542">
        <v>35</v>
      </c>
      <c r="C3542" s="2">
        <v>2303664.7451999998</v>
      </c>
      <c r="D3542" s="2">
        <v>0.68269999999999997</v>
      </c>
      <c r="E3542" s="3">
        <v>134600</v>
      </c>
      <c r="F3542" s="2">
        <v>91893.641699999993</v>
      </c>
      <c r="G3542" t="s">
        <v>859</v>
      </c>
      <c r="H3542" t="s">
        <v>5</v>
      </c>
      <c r="I3542">
        <f>HLOOKUP(G3542,zip_tiers!$A$1:$EON$2,2,FALSE)</f>
        <v>100405.66666666667</v>
      </c>
      <c r="J3542" t="str">
        <f t="shared" si="55"/>
        <v>High</v>
      </c>
      <c r="K3542">
        <f>dataset[[#This Row],[soda_sales]]/dataset[[#This Row],[soda_units_sold]]</f>
        <v>0.68271650594353639</v>
      </c>
      <c r="L3542" s="29">
        <f>dataset[[#This Row],[implied_soda_ppu]]-dataset[[#This Row],[soda_ppu]]</f>
        <v>1.6505943536415657E-5</v>
      </c>
      <c r="M3542">
        <f>dataset[[#This Row],[soda_sales]]/dataset[[#This Row],[total_sales]]</f>
        <v>3.9890197517443868E-2</v>
      </c>
      <c r="N3542">
        <f>LN(dataset[[#This Row],[soda_units_sold]])</f>
        <v>11.810062696192764</v>
      </c>
      <c r="O3542">
        <f>LN(dataset[[#This Row],[soda_sales]])</f>
        <v>11.42838711879028</v>
      </c>
      <c r="P3542">
        <f>LN(dataset[[#This Row],[soda_ppu]])</f>
        <v>-0.38169975455790245</v>
      </c>
      <c r="Q3542">
        <f>IF(dataset[[#This Row],[state]]="VA",1,0)</f>
        <v>0</v>
      </c>
    </row>
    <row r="3543" spans="1:17" x14ac:dyDescent="0.35">
      <c r="A3543">
        <v>202302</v>
      </c>
      <c r="B3543">
        <v>35</v>
      </c>
      <c r="C3543" s="2">
        <v>2608941.8409000002</v>
      </c>
      <c r="D3543" s="2">
        <v>0.67669999999999997</v>
      </c>
      <c r="E3543" s="3">
        <v>154997</v>
      </c>
      <c r="F3543" s="2">
        <v>104887.29610000001</v>
      </c>
      <c r="G3543" t="s">
        <v>859</v>
      </c>
      <c r="H3543" t="s">
        <v>5</v>
      </c>
      <c r="I3543">
        <f>HLOOKUP(G3543,zip_tiers!$A$1:$EON$2,2,FALSE)</f>
        <v>100405.66666666667</v>
      </c>
      <c r="J3543" t="str">
        <f t="shared" si="55"/>
        <v>High</v>
      </c>
      <c r="K3543">
        <f>dataset[[#This Row],[soda_sales]]/dataset[[#This Row],[soda_units_sold]]</f>
        <v>0.67670533042575021</v>
      </c>
      <c r="L3543" s="29">
        <f>dataset[[#This Row],[implied_soda_ppu]]-dataset[[#This Row],[soda_ppu]]</f>
        <v>5.3304257502384544E-6</v>
      </c>
      <c r="M3543">
        <f>dataset[[#This Row],[soda_sales]]/dataset[[#This Row],[total_sales]]</f>
        <v>4.020300278668431E-2</v>
      </c>
      <c r="N3543">
        <f>LN(dataset[[#This Row],[soda_units_sold]])</f>
        <v>11.951161040875366</v>
      </c>
      <c r="O3543">
        <f>LN(dataset[[#This Row],[soda_sales]])</f>
        <v>11.56064168218883</v>
      </c>
      <c r="P3543">
        <f>LN(dataset[[#This Row],[soda_ppu]])</f>
        <v>-0.39052723574395726</v>
      </c>
      <c r="Q3543">
        <f>IF(dataset[[#This Row],[state]]="VA",1,0)</f>
        <v>0</v>
      </c>
    </row>
    <row r="3544" spans="1:17" x14ac:dyDescent="0.35">
      <c r="A3544">
        <v>202303</v>
      </c>
      <c r="B3544">
        <v>35</v>
      </c>
      <c r="C3544" s="2">
        <v>2932356.4934</v>
      </c>
      <c r="D3544" s="2">
        <v>0.70720000000000005</v>
      </c>
      <c r="E3544" s="3">
        <v>178784</v>
      </c>
      <c r="F3544" s="2">
        <v>126436.5328</v>
      </c>
      <c r="G3544" t="s">
        <v>859</v>
      </c>
      <c r="H3544" t="s">
        <v>5</v>
      </c>
      <c r="I3544">
        <f>HLOOKUP(G3544,zip_tiers!$A$1:$EON$2,2,FALSE)</f>
        <v>100405.66666666667</v>
      </c>
      <c r="J3544" t="str">
        <f t="shared" si="55"/>
        <v>High</v>
      </c>
      <c r="K3544">
        <f>dataset[[#This Row],[soda_sales]]/dataset[[#This Row],[soda_units_sold]]</f>
        <v>0.70720272955074281</v>
      </c>
      <c r="L3544" s="29">
        <f>dataset[[#This Row],[implied_soda_ppu]]-dataset[[#This Row],[soda_ppu]]</f>
        <v>2.7295507427638199E-6</v>
      </c>
      <c r="M3544">
        <f>dataset[[#This Row],[soda_sales]]/dataset[[#This Row],[total_sales]]</f>
        <v>4.3117722243041376E-2</v>
      </c>
      <c r="N3544">
        <f>LN(dataset[[#This Row],[soda_units_sold]])</f>
        <v>12.093933652258876</v>
      </c>
      <c r="O3544">
        <f>LN(dataset[[#This Row],[soda_sales]])</f>
        <v>11.747495744251578</v>
      </c>
      <c r="P3544">
        <f>LN(dataset[[#This Row],[soda_ppu]])</f>
        <v>-0.34644176765870333</v>
      </c>
      <c r="Q3544">
        <f>IF(dataset[[#This Row],[state]]="VA",1,0)</f>
        <v>0</v>
      </c>
    </row>
    <row r="3545" spans="1:17" x14ac:dyDescent="0.35">
      <c r="A3545">
        <v>202304</v>
      </c>
      <c r="B3545">
        <v>35</v>
      </c>
      <c r="C3545" s="2">
        <v>3014582.5230999999</v>
      </c>
      <c r="D3545" s="2">
        <v>0.69410000000000005</v>
      </c>
      <c r="E3545" s="3">
        <v>204344</v>
      </c>
      <c r="F3545" s="2">
        <v>141834.82180000001</v>
      </c>
      <c r="G3545" t="s">
        <v>859</v>
      </c>
      <c r="H3545" t="s">
        <v>5</v>
      </c>
      <c r="I3545">
        <f>HLOOKUP(G3545,zip_tiers!$A$1:$EON$2,2,FALSE)</f>
        <v>100405.66666666667</v>
      </c>
      <c r="J3545" t="str">
        <f t="shared" si="55"/>
        <v>High</v>
      </c>
      <c r="K3545">
        <f>dataset[[#This Row],[soda_sales]]/dataset[[#This Row],[soda_units_sold]]</f>
        <v>0.69409829405316525</v>
      </c>
      <c r="L3545" s="29">
        <f>dataset[[#This Row],[implied_soda_ppu]]-dataset[[#This Row],[soda_ppu]]</f>
        <v>-1.7059468347957463E-6</v>
      </c>
      <c r="M3545">
        <f>dataset[[#This Row],[soda_sales]]/dataset[[#This Row],[total_sales]]</f>
        <v>4.7049573436173955E-2</v>
      </c>
      <c r="N3545">
        <f>LN(dataset[[#This Row],[soda_units_sold]])</f>
        <v>12.227560127171596</v>
      </c>
      <c r="O3545">
        <f>LN(dataset[[#This Row],[soda_sales]])</f>
        <v>11.862418432749475</v>
      </c>
      <c r="P3545">
        <f>LN(dataset[[#This Row],[soda_ppu]])</f>
        <v>-0.36513923663659897</v>
      </c>
      <c r="Q3545">
        <f>IF(dataset[[#This Row],[state]]="VA",1,0)</f>
        <v>0</v>
      </c>
    </row>
    <row r="3546" spans="1:17" x14ac:dyDescent="0.35">
      <c r="A3546">
        <v>202305</v>
      </c>
      <c r="B3546">
        <v>35</v>
      </c>
      <c r="C3546" s="2">
        <v>3152621.2333999998</v>
      </c>
      <c r="D3546" s="2">
        <v>0.65620000000000001</v>
      </c>
      <c r="E3546" s="3">
        <v>235521</v>
      </c>
      <c r="F3546" s="2">
        <v>154556.7475</v>
      </c>
      <c r="G3546" t="s">
        <v>859</v>
      </c>
      <c r="H3546" t="s">
        <v>5</v>
      </c>
      <c r="I3546">
        <f>HLOOKUP(G3546,zip_tiers!$A$1:$EON$2,2,FALSE)</f>
        <v>100405.66666666667</v>
      </c>
      <c r="J3546" t="str">
        <f t="shared" si="55"/>
        <v>High</v>
      </c>
      <c r="K3546">
        <f>dataset[[#This Row],[soda_sales]]/dataset[[#This Row],[soda_units_sold]]</f>
        <v>0.65623340381537099</v>
      </c>
      <c r="L3546" s="29">
        <f>dataset[[#This Row],[implied_soda_ppu]]-dataset[[#This Row],[soda_ppu]]</f>
        <v>3.3403815370980361E-5</v>
      </c>
      <c r="M3546">
        <f>dataset[[#This Row],[soda_sales]]/dataset[[#This Row],[total_sales]]</f>
        <v>4.9024838715977168E-2</v>
      </c>
      <c r="N3546">
        <f>LN(dataset[[#This Row],[soda_units_sold]])</f>
        <v>12.369555360437548</v>
      </c>
      <c r="O3546">
        <f>LN(dataset[[#This Row],[soda_sales]])</f>
        <v>11.948316605617265</v>
      </c>
      <c r="P3546">
        <f>LN(dataset[[#This Row],[soda_ppu]])</f>
        <v>-0.42128965845513577</v>
      </c>
      <c r="Q3546">
        <f>IF(dataset[[#This Row],[state]]="VA",1,0)</f>
        <v>0</v>
      </c>
    </row>
    <row r="3547" spans="1:17" x14ac:dyDescent="0.35">
      <c r="A3547">
        <v>202306</v>
      </c>
      <c r="B3547">
        <v>35</v>
      </c>
      <c r="C3547" s="2">
        <v>3007517.3240999999</v>
      </c>
      <c r="D3547" s="2">
        <v>0.69899999999999995</v>
      </c>
      <c r="E3547" s="3">
        <v>233972</v>
      </c>
      <c r="F3547" s="2">
        <v>163543.5863</v>
      </c>
      <c r="G3547" t="s">
        <v>859</v>
      </c>
      <c r="H3547" t="s">
        <v>5</v>
      </c>
      <c r="I3547">
        <f>HLOOKUP(G3547,zip_tiers!$A$1:$EON$2,2,FALSE)</f>
        <v>100405.66666666667</v>
      </c>
      <c r="J3547" t="str">
        <f t="shared" si="55"/>
        <v>High</v>
      </c>
      <c r="K3547">
        <f>dataset[[#This Row],[soda_sales]]/dataset[[#This Row],[soda_units_sold]]</f>
        <v>0.69898785452960177</v>
      </c>
      <c r="L3547" s="29">
        <f>dataset[[#This Row],[implied_soda_ppu]]-dataset[[#This Row],[soda_ppu]]</f>
        <v>-1.2145470398183811E-5</v>
      </c>
      <c r="M3547">
        <f>dataset[[#This Row],[soda_sales]]/dataset[[#This Row],[total_sales]]</f>
        <v>5.4378269075786766E-2</v>
      </c>
      <c r="N3547">
        <f>LN(dataset[[#This Row],[soda_units_sold]])</f>
        <v>12.362956729060576</v>
      </c>
      <c r="O3547">
        <f>LN(dataset[[#This Row],[soda_sales]])</f>
        <v>12.004834816667161</v>
      </c>
      <c r="P3547">
        <f>LN(dataset[[#This Row],[soda_ppu]])</f>
        <v>-0.35810453674832687</v>
      </c>
      <c r="Q3547">
        <f>IF(dataset[[#This Row],[state]]="VA",1,0)</f>
        <v>0</v>
      </c>
    </row>
    <row r="3548" spans="1:17" x14ac:dyDescent="0.35">
      <c r="A3548">
        <v>202307</v>
      </c>
      <c r="B3548">
        <v>35</v>
      </c>
      <c r="C3548" s="2">
        <v>2889660.1650999999</v>
      </c>
      <c r="D3548" s="2">
        <v>0.69310000000000005</v>
      </c>
      <c r="E3548" s="3">
        <v>247470</v>
      </c>
      <c r="F3548" s="2">
        <v>171521.02470000001</v>
      </c>
      <c r="G3548" t="s">
        <v>859</v>
      </c>
      <c r="H3548" t="s">
        <v>5</v>
      </c>
      <c r="I3548">
        <f>HLOOKUP(G3548,zip_tiers!$A$1:$EON$2,2,FALSE)</f>
        <v>100405.66666666667</v>
      </c>
      <c r="J3548" t="str">
        <f t="shared" si="55"/>
        <v>High</v>
      </c>
      <c r="K3548">
        <f>dataset[[#This Row],[soda_sales]]/dataset[[#This Row],[soda_units_sold]]</f>
        <v>0.69309825312159057</v>
      </c>
      <c r="L3548" s="29">
        <f>dataset[[#This Row],[implied_soda_ppu]]-dataset[[#This Row],[soda_ppu]]</f>
        <v>-1.7468784094809564E-6</v>
      </c>
      <c r="M3548">
        <f>dataset[[#This Row],[soda_sales]]/dataset[[#This Row],[total_sales]]</f>
        <v>5.935681530013559E-2</v>
      </c>
      <c r="N3548">
        <f>LN(dataset[[#This Row],[soda_units_sold]])</f>
        <v>12.419044641522888</v>
      </c>
      <c r="O3548">
        <f>LN(dataset[[#This Row],[soda_sales]])</f>
        <v>12.052461131077139</v>
      </c>
      <c r="P3548">
        <f>LN(dataset[[#This Row],[soda_ppu]])</f>
        <v>-0.366580990058198</v>
      </c>
      <c r="Q3548">
        <f>IF(dataset[[#This Row],[state]]="VA",1,0)</f>
        <v>0</v>
      </c>
    </row>
    <row r="3549" spans="1:17" x14ac:dyDescent="0.35">
      <c r="A3549">
        <v>202308</v>
      </c>
      <c r="B3549">
        <v>35</v>
      </c>
      <c r="C3549" s="2">
        <v>2765158.4210000001</v>
      </c>
      <c r="D3549" s="2">
        <v>0.68589999999999995</v>
      </c>
      <c r="E3549" s="3">
        <v>217292</v>
      </c>
      <c r="F3549" s="2">
        <v>149047.82430000001</v>
      </c>
      <c r="G3549" t="s">
        <v>859</v>
      </c>
      <c r="H3549" t="s">
        <v>5</v>
      </c>
      <c r="I3549">
        <f>HLOOKUP(G3549,zip_tiers!$A$1:$EON$2,2,FALSE)</f>
        <v>100405.66666666667</v>
      </c>
      <c r="J3549" t="str">
        <f t="shared" si="55"/>
        <v>High</v>
      </c>
      <c r="K3549">
        <f>dataset[[#This Row],[soda_sales]]/dataset[[#This Row],[soda_units_sold]]</f>
        <v>0.68593332612337321</v>
      </c>
      <c r="L3549" s="29">
        <f>dataset[[#This Row],[implied_soda_ppu]]-dataset[[#This Row],[soda_ppu]]</f>
        <v>3.3326123373256245E-5</v>
      </c>
      <c r="M3549">
        <f>dataset[[#This Row],[soda_sales]]/dataset[[#This Row],[total_sales]]</f>
        <v>5.3902092251950584E-2</v>
      </c>
      <c r="N3549">
        <f>LN(dataset[[#This Row],[soda_units_sold]])</f>
        <v>12.288997350104321</v>
      </c>
      <c r="O3549">
        <f>LN(dataset[[#This Row],[soda_sales]])</f>
        <v>11.912022501884616</v>
      </c>
      <c r="P3549">
        <f>LN(dataset[[#This Row],[soda_ppu]])</f>
        <v>-0.37702343447686143</v>
      </c>
      <c r="Q3549">
        <f>IF(dataset[[#This Row],[state]]="VA",1,0)</f>
        <v>0</v>
      </c>
    </row>
    <row r="3550" spans="1:17" x14ac:dyDescent="0.35">
      <c r="A3550">
        <v>202309</v>
      </c>
      <c r="B3550">
        <v>35</v>
      </c>
      <c r="C3550" s="2">
        <v>2754635.0628</v>
      </c>
      <c r="D3550" s="2">
        <v>0.67800000000000005</v>
      </c>
      <c r="E3550" s="3">
        <v>206692</v>
      </c>
      <c r="F3550" s="2">
        <v>140147.13099999999</v>
      </c>
      <c r="G3550" t="s">
        <v>859</v>
      </c>
      <c r="H3550" t="s">
        <v>5</v>
      </c>
      <c r="I3550">
        <f>HLOOKUP(G3550,zip_tiers!$A$1:$EON$2,2,FALSE)</f>
        <v>100405.66666666667</v>
      </c>
      <c r="J3550" t="str">
        <f t="shared" si="55"/>
        <v>High</v>
      </c>
      <c r="K3550">
        <f>dataset[[#This Row],[soda_sales]]/dataset[[#This Row],[soda_units_sold]]</f>
        <v>0.67804816345093177</v>
      </c>
      <c r="L3550" s="29">
        <f>dataset[[#This Row],[implied_soda_ppu]]-dataset[[#This Row],[soda_ppu]]</f>
        <v>4.8163450931726359E-5</v>
      </c>
      <c r="M3550">
        <f>dataset[[#This Row],[soda_sales]]/dataset[[#This Row],[total_sales]]</f>
        <v>5.0876841325596445E-2</v>
      </c>
      <c r="N3550">
        <f>LN(dataset[[#This Row],[soda_units_sold]])</f>
        <v>12.238985041485932</v>
      </c>
      <c r="O3550">
        <f>LN(dataset[[#This Row],[soda_sales]])</f>
        <v>11.850448085459393</v>
      </c>
      <c r="P3550">
        <f>LN(dataset[[#This Row],[soda_ppu]])</f>
        <v>-0.38860799104174143</v>
      </c>
      <c r="Q3550">
        <f>IF(dataset[[#This Row],[state]]="VA",1,0)</f>
        <v>0</v>
      </c>
    </row>
    <row r="3551" spans="1:17" x14ac:dyDescent="0.35">
      <c r="A3551">
        <v>202310</v>
      </c>
      <c r="B3551">
        <v>35</v>
      </c>
      <c r="C3551" s="2">
        <v>3388913.0704999999</v>
      </c>
      <c r="D3551" s="2">
        <v>0.68420000000000003</v>
      </c>
      <c r="E3551" s="3">
        <v>200408</v>
      </c>
      <c r="F3551" s="2">
        <v>137110.75390000001</v>
      </c>
      <c r="G3551" t="s">
        <v>859</v>
      </c>
      <c r="H3551" t="s">
        <v>5</v>
      </c>
      <c r="I3551">
        <f>HLOOKUP(G3551,zip_tiers!$A$1:$EON$2,2,FALSE)</f>
        <v>100405.66666666667</v>
      </c>
      <c r="J3551" t="str">
        <f t="shared" si="55"/>
        <v>High</v>
      </c>
      <c r="K3551">
        <f>dataset[[#This Row],[soda_sales]]/dataset[[#This Row],[soda_units_sold]]</f>
        <v>0.6841580870025149</v>
      </c>
      <c r="L3551" s="29">
        <f>dataset[[#This Row],[implied_soda_ppu]]-dataset[[#This Row],[soda_ppu]]</f>
        <v>-4.1912997485127335E-5</v>
      </c>
      <c r="M3551">
        <f>dataset[[#This Row],[soda_sales]]/dataset[[#This Row],[total_sales]]</f>
        <v>4.045862229206449E-2</v>
      </c>
      <c r="N3551">
        <f>LN(dataset[[#This Row],[soda_units_sold]])</f>
        <v>12.208110567555739</v>
      </c>
      <c r="O3551">
        <f>LN(dataset[[#This Row],[soda_sales]])</f>
        <v>11.828544300840434</v>
      </c>
      <c r="P3551">
        <f>LN(dataset[[#This Row],[soda_ppu]])</f>
        <v>-0.37950500643863272</v>
      </c>
      <c r="Q3551">
        <f>IF(dataset[[#This Row],[state]]="VA",1,0)</f>
        <v>0</v>
      </c>
    </row>
    <row r="3552" spans="1:17" x14ac:dyDescent="0.35">
      <c r="A3552">
        <v>202311</v>
      </c>
      <c r="B3552">
        <v>35</v>
      </c>
      <c r="C3552" s="2">
        <v>3827456.0628</v>
      </c>
      <c r="D3552" s="2">
        <v>0.67410000000000003</v>
      </c>
      <c r="E3552" s="3">
        <v>190796</v>
      </c>
      <c r="F3552" s="2">
        <v>128606.18889999999</v>
      </c>
      <c r="G3552" t="s">
        <v>859</v>
      </c>
      <c r="H3552" t="s">
        <v>5</v>
      </c>
      <c r="I3552">
        <f>HLOOKUP(G3552,zip_tiers!$A$1:$EON$2,2,FALSE)</f>
        <v>100405.66666666667</v>
      </c>
      <c r="J3552" t="str">
        <f t="shared" si="55"/>
        <v>High</v>
      </c>
      <c r="K3552">
        <f>dataset[[#This Row],[soda_sales]]/dataset[[#This Row],[soda_units_sold]]</f>
        <v>0.67405076049812362</v>
      </c>
      <c r="L3552" s="29">
        <f>dataset[[#This Row],[implied_soda_ppu]]-dataset[[#This Row],[soda_ppu]]</f>
        <v>-4.9239501876408021E-5</v>
      </c>
      <c r="M3552">
        <f>dataset[[#This Row],[soda_sales]]/dataset[[#This Row],[total_sales]]</f>
        <v>3.3600957604701359E-2</v>
      </c>
      <c r="N3552">
        <f>LN(dataset[[#This Row],[soda_units_sold]])</f>
        <v>12.158960073415981</v>
      </c>
      <c r="O3552">
        <f>LN(dataset[[#This Row],[soda_sales]])</f>
        <v>11.764510214822078</v>
      </c>
      <c r="P3552">
        <f>LN(dataset[[#This Row],[soda_ppu]])</f>
        <v>-0.39437681112274381</v>
      </c>
      <c r="Q3552">
        <f>IF(dataset[[#This Row],[state]]="VA",1,0)</f>
        <v>0</v>
      </c>
    </row>
    <row r="3553" spans="1:17" x14ac:dyDescent="0.35">
      <c r="A3553">
        <v>202312</v>
      </c>
      <c r="B3553">
        <v>35</v>
      </c>
      <c r="C3553" s="2">
        <v>4032413.2829999998</v>
      </c>
      <c r="D3553" s="2">
        <v>0.68959999999999999</v>
      </c>
      <c r="E3553" s="3">
        <v>186819</v>
      </c>
      <c r="F3553" s="2">
        <v>128826.7245</v>
      </c>
      <c r="G3553" t="s">
        <v>859</v>
      </c>
      <c r="H3553" t="s">
        <v>5</v>
      </c>
      <c r="I3553">
        <f>HLOOKUP(G3553,zip_tiers!$A$1:$EON$2,2,FALSE)</f>
        <v>100405.66666666667</v>
      </c>
      <c r="J3553" t="str">
        <f t="shared" si="55"/>
        <v>High</v>
      </c>
      <c r="K3553">
        <f>dataset[[#This Row],[soda_sales]]/dataset[[#This Row],[soda_units_sold]]</f>
        <v>0.68958042008575138</v>
      </c>
      <c r="L3553" s="29">
        <f>dataset[[#This Row],[implied_soda_ppu]]-dataset[[#This Row],[soda_ppu]]</f>
        <v>-1.9579914248613051E-5</v>
      </c>
      <c r="M3553">
        <f>dataset[[#This Row],[soda_sales]]/dataset[[#This Row],[total_sales]]</f>
        <v>3.1947797871590335E-2</v>
      </c>
      <c r="N3553">
        <f>LN(dataset[[#This Row],[soda_units_sold]])</f>
        <v>12.137895512666555</v>
      </c>
      <c r="O3553">
        <f>LN(dataset[[#This Row],[soda_sales]])</f>
        <v>11.766223559483697</v>
      </c>
      <c r="P3553">
        <f>LN(dataset[[#This Row],[soda_ppu]])</f>
        <v>-0.37164355963265372</v>
      </c>
      <c r="Q3553">
        <f>IF(dataset[[#This Row],[state]]="VA",1,0)</f>
        <v>0</v>
      </c>
    </row>
    <row r="3554" spans="1:17" x14ac:dyDescent="0.35">
      <c r="A3554">
        <v>202401</v>
      </c>
      <c r="B3554">
        <v>35</v>
      </c>
      <c r="C3554" s="2">
        <v>2279943.0781</v>
      </c>
      <c r="D3554" s="2">
        <v>0.70889999999999997</v>
      </c>
      <c r="E3554" s="3">
        <v>132263</v>
      </c>
      <c r="F3554" s="2">
        <v>93760.273000000001</v>
      </c>
      <c r="G3554" t="s">
        <v>859</v>
      </c>
      <c r="H3554" t="s">
        <v>5</v>
      </c>
      <c r="I3554">
        <f>HLOOKUP(G3554,zip_tiers!$A$1:$EON$2,2,FALSE)</f>
        <v>100405.66666666667</v>
      </c>
      <c r="J3554" t="str">
        <f t="shared" si="55"/>
        <v>High</v>
      </c>
      <c r="K3554">
        <f>dataset[[#This Row],[soda_sales]]/dataset[[#This Row],[soda_units_sold]]</f>
        <v>0.70889268351693213</v>
      </c>
      <c r="L3554" s="29">
        <f>dataset[[#This Row],[implied_soda_ppu]]-dataset[[#This Row],[soda_ppu]]</f>
        <v>-7.3164830678429382E-6</v>
      </c>
      <c r="M3554">
        <f>dataset[[#This Row],[soda_sales]]/dataset[[#This Row],[total_sales]]</f>
        <v>4.1123953444546307E-2</v>
      </c>
      <c r="N3554">
        <f>LN(dataset[[#This Row],[soda_units_sold]])</f>
        <v>11.792547643566296</v>
      </c>
      <c r="O3554">
        <f>LN(dataset[[#This Row],[soda_sales]])</f>
        <v>11.44849651649602</v>
      </c>
      <c r="P3554">
        <f>LN(dataset[[#This Row],[soda_ppu]])</f>
        <v>-0.34404080612116522</v>
      </c>
      <c r="Q3554">
        <f>IF(dataset[[#This Row],[state]]="VA",1,0)</f>
        <v>0</v>
      </c>
    </row>
    <row r="3555" spans="1:17" x14ac:dyDescent="0.35">
      <c r="A3555">
        <v>202402</v>
      </c>
      <c r="B3555">
        <v>35</v>
      </c>
      <c r="C3555" s="2">
        <v>2670929.8714999999</v>
      </c>
      <c r="D3555" s="2">
        <v>0.6865</v>
      </c>
      <c r="E3555" s="3">
        <v>156691</v>
      </c>
      <c r="F3555" s="2">
        <v>107563.74460000001</v>
      </c>
      <c r="G3555" t="s">
        <v>859</v>
      </c>
      <c r="H3555" t="s">
        <v>5</v>
      </c>
      <c r="I3555">
        <f>HLOOKUP(G3555,zip_tiers!$A$1:$EON$2,2,FALSE)</f>
        <v>100405.66666666667</v>
      </c>
      <c r="J3555" t="str">
        <f t="shared" si="55"/>
        <v>High</v>
      </c>
      <c r="K3555">
        <f>dataset[[#This Row],[soda_sales]]/dataset[[#This Row],[soda_units_sold]]</f>
        <v>0.68647047118213556</v>
      </c>
      <c r="L3555" s="29">
        <f>dataset[[#This Row],[implied_soda_ppu]]-dataset[[#This Row],[soda_ppu]]</f>
        <v>-2.9528817864443724E-5</v>
      </c>
      <c r="M3555">
        <f>dataset[[#This Row],[soda_sales]]/dataset[[#This Row],[total_sales]]</f>
        <v>4.027202127160006E-2</v>
      </c>
      <c r="N3555">
        <f>LN(dataset[[#This Row],[soda_units_sold]])</f>
        <v>11.962030992106298</v>
      </c>
      <c r="O3555">
        <f>LN(dataset[[#This Row],[soda_sales]])</f>
        <v>11.585838923834077</v>
      </c>
      <c r="P3555">
        <f>LN(dataset[[#This Row],[soda_ppu]])</f>
        <v>-0.37614905377411129</v>
      </c>
      <c r="Q3555">
        <f>IF(dataset[[#This Row],[state]]="VA",1,0)</f>
        <v>0</v>
      </c>
    </row>
    <row r="3556" spans="1:17" x14ac:dyDescent="0.35">
      <c r="A3556">
        <v>202403</v>
      </c>
      <c r="B3556">
        <v>35</v>
      </c>
      <c r="C3556" s="2">
        <v>2976047.8851999999</v>
      </c>
      <c r="D3556" s="2">
        <v>0.70620000000000005</v>
      </c>
      <c r="E3556" s="3">
        <v>181167</v>
      </c>
      <c r="F3556" s="2">
        <v>127941.2519</v>
      </c>
      <c r="G3556" t="s">
        <v>859</v>
      </c>
      <c r="H3556" t="s">
        <v>5</v>
      </c>
      <c r="I3556">
        <f>HLOOKUP(G3556,zip_tiers!$A$1:$EON$2,2,FALSE)</f>
        <v>100405.66666666667</v>
      </c>
      <c r="J3556" t="str">
        <f t="shared" si="55"/>
        <v>High</v>
      </c>
      <c r="K3556">
        <f>dataset[[#This Row],[soda_sales]]/dataset[[#This Row],[soda_units_sold]]</f>
        <v>0.70620616282214754</v>
      </c>
      <c r="L3556" s="29">
        <f>dataset[[#This Row],[implied_soda_ppu]]-dataset[[#This Row],[soda_ppu]]</f>
        <v>6.1628221474929745E-6</v>
      </c>
      <c r="M3556">
        <f>dataset[[#This Row],[soda_sales]]/dataset[[#This Row],[total_sales]]</f>
        <v>4.2990320329271831E-2</v>
      </c>
      <c r="N3556">
        <f>LN(dataset[[#This Row],[soda_units_sold]])</f>
        <v>12.107174536800002</v>
      </c>
      <c r="O3556">
        <f>LN(dataset[[#This Row],[soda_sales]])</f>
        <v>11.75932646801175</v>
      </c>
      <c r="P3556">
        <f>LN(dataset[[#This Row],[soda_ppu]])</f>
        <v>-0.34785679548785092</v>
      </c>
      <c r="Q3556">
        <f>IF(dataset[[#This Row],[state]]="VA",1,0)</f>
        <v>0</v>
      </c>
    </row>
    <row r="3557" spans="1:17" x14ac:dyDescent="0.35">
      <c r="A3557">
        <v>202404</v>
      </c>
      <c r="B3557">
        <v>35</v>
      </c>
      <c r="C3557" s="2">
        <v>3107436.9975999999</v>
      </c>
      <c r="D3557" s="2">
        <v>0.69059999999999999</v>
      </c>
      <c r="E3557" s="3">
        <v>210361</v>
      </c>
      <c r="F3557" s="2">
        <v>145281.60870000001</v>
      </c>
      <c r="G3557" t="s">
        <v>859</v>
      </c>
      <c r="H3557" t="s">
        <v>5</v>
      </c>
      <c r="I3557">
        <f>HLOOKUP(G3557,zip_tiers!$A$1:$EON$2,2,FALSE)</f>
        <v>100405.66666666667</v>
      </c>
      <c r="J3557" t="str">
        <f t="shared" si="55"/>
        <v>High</v>
      </c>
      <c r="K3557">
        <f>dataset[[#This Row],[soda_sales]]/dataset[[#This Row],[soda_units_sold]]</f>
        <v>0.69062995849991216</v>
      </c>
      <c r="L3557" s="29">
        <f>dataset[[#This Row],[implied_soda_ppu]]-dataset[[#This Row],[soda_ppu]]</f>
        <v>2.9958499912163816E-5</v>
      </c>
      <c r="M3557">
        <f>dataset[[#This Row],[soda_sales]]/dataset[[#This Row],[total_sales]]</f>
        <v>4.675287344915019E-2</v>
      </c>
      <c r="N3557">
        <f>LN(dataset[[#This Row],[soda_units_sold]])</f>
        <v>12.256580381447447</v>
      </c>
      <c r="O3557">
        <f>LN(dataset[[#This Row],[soda_sales]])</f>
        <v>11.886429266874034</v>
      </c>
      <c r="P3557">
        <f>LN(dataset[[#This Row],[soda_ppu]])</f>
        <v>-0.3701944940262451</v>
      </c>
      <c r="Q3557">
        <f>IF(dataset[[#This Row],[state]]="VA",1,0)</f>
        <v>0</v>
      </c>
    </row>
    <row r="3558" spans="1:17" x14ac:dyDescent="0.35">
      <c r="A3558">
        <v>202405</v>
      </c>
      <c r="B3558">
        <v>35</v>
      </c>
      <c r="C3558" s="2">
        <v>3234473.2977</v>
      </c>
      <c r="D3558" s="2">
        <v>0.66869999999999996</v>
      </c>
      <c r="E3558" s="3">
        <v>237878</v>
      </c>
      <c r="F3558" s="2">
        <v>159076.2752</v>
      </c>
      <c r="G3558" t="s">
        <v>859</v>
      </c>
      <c r="H3558" t="s">
        <v>5</v>
      </c>
      <c r="I3558">
        <f>HLOOKUP(G3558,zip_tiers!$A$1:$EON$2,2,FALSE)</f>
        <v>100405.66666666667</v>
      </c>
      <c r="J3558" t="str">
        <f t="shared" si="55"/>
        <v>High</v>
      </c>
      <c r="K3558">
        <f>dataset[[#This Row],[soda_sales]]/dataset[[#This Row],[soda_units_sold]]</f>
        <v>0.66873050555326685</v>
      </c>
      <c r="L3558" s="29">
        <f>dataset[[#This Row],[implied_soda_ppu]]-dataset[[#This Row],[soda_ppu]]</f>
        <v>3.050555326689075E-5</v>
      </c>
      <c r="M3558">
        <f>dataset[[#This Row],[soda_sales]]/dataset[[#This Row],[total_sales]]</f>
        <v>4.9181508257655882E-2</v>
      </c>
      <c r="N3558">
        <f>LN(dataset[[#This Row],[soda_units_sold]])</f>
        <v>12.379513216184716</v>
      </c>
      <c r="O3558">
        <f>LN(dataset[[#This Row],[soda_sales]])</f>
        <v>11.977139084413354</v>
      </c>
      <c r="P3558">
        <f>LN(dataset[[#This Row],[soda_ppu]])</f>
        <v>-0.40241974992220425</v>
      </c>
      <c r="Q3558">
        <f>IF(dataset[[#This Row],[state]]="VA",1,0)</f>
        <v>0</v>
      </c>
    </row>
    <row r="3559" spans="1:17" x14ac:dyDescent="0.35">
      <c r="A3559">
        <v>202406</v>
      </c>
      <c r="B3559">
        <v>35</v>
      </c>
      <c r="C3559" s="2">
        <v>3115118.1606999999</v>
      </c>
      <c r="D3559" s="2">
        <v>0.69840000000000002</v>
      </c>
      <c r="E3559" s="3">
        <v>236530</v>
      </c>
      <c r="F3559" s="2">
        <v>165200.60819999999</v>
      </c>
      <c r="G3559" t="s">
        <v>859</v>
      </c>
      <c r="H3559" t="s">
        <v>5</v>
      </c>
      <c r="I3559">
        <f>HLOOKUP(G3559,zip_tiers!$A$1:$EON$2,2,FALSE)</f>
        <v>100405.66666666667</v>
      </c>
      <c r="J3559" t="str">
        <f t="shared" si="55"/>
        <v>High</v>
      </c>
      <c r="K3559">
        <f>dataset[[#This Row],[soda_sales]]/dataset[[#This Row],[soda_units_sold]]</f>
        <v>0.69843405995011199</v>
      </c>
      <c r="L3559" s="29">
        <f>dataset[[#This Row],[implied_soda_ppu]]-dataset[[#This Row],[soda_ppu]]</f>
        <v>3.4059950111964277E-5</v>
      </c>
      <c r="M3559">
        <f>dataset[[#This Row],[soda_sales]]/dataset[[#This Row],[total_sales]]</f>
        <v>5.3031891465355419E-2</v>
      </c>
      <c r="N3559">
        <f>LN(dataset[[#This Row],[soda_units_sold]])</f>
        <v>12.373830328763649</v>
      </c>
      <c r="O3559">
        <f>LN(dataset[[#This Row],[soda_sales]])</f>
        <v>12.014915821660301</v>
      </c>
      <c r="P3559">
        <f>LN(dataset[[#This Row],[soda_ppu]])</f>
        <v>-0.35896327445674459</v>
      </c>
      <c r="Q3559">
        <f>IF(dataset[[#This Row],[state]]="VA",1,0)</f>
        <v>0</v>
      </c>
    </row>
    <row r="3560" spans="1:17" x14ac:dyDescent="0.35">
      <c r="A3560">
        <v>202407</v>
      </c>
      <c r="B3560">
        <v>35</v>
      </c>
      <c r="C3560" s="2">
        <v>3012050.1151000001</v>
      </c>
      <c r="D3560" s="2">
        <v>0.67769999999999997</v>
      </c>
      <c r="E3560" s="3">
        <v>254437</v>
      </c>
      <c r="F3560" s="2">
        <v>172421.61060000001</v>
      </c>
      <c r="G3560" t="s">
        <v>859</v>
      </c>
      <c r="H3560" t="s">
        <v>5</v>
      </c>
      <c r="I3560">
        <f>HLOOKUP(G3560,zip_tiers!$A$1:$EON$2,2,FALSE)</f>
        <v>100405.66666666667</v>
      </c>
      <c r="J3560" t="str">
        <f t="shared" si="55"/>
        <v>High</v>
      </c>
      <c r="K3560">
        <f>dataset[[#This Row],[soda_sales]]/dataset[[#This Row],[soda_units_sold]]</f>
        <v>0.67765934435636332</v>
      </c>
      <c r="L3560" s="29">
        <f>dataset[[#This Row],[implied_soda_ppu]]-dataset[[#This Row],[soda_ppu]]</f>
        <v>-4.0655643636644534E-5</v>
      </c>
      <c r="M3560">
        <f>dataset[[#This Row],[soda_sales]]/dataset[[#This Row],[total_sales]]</f>
        <v>5.7243938185363032E-2</v>
      </c>
      <c r="N3560">
        <f>LN(dataset[[#This Row],[soda_units_sold]])</f>
        <v>12.446808540124268</v>
      </c>
      <c r="O3560">
        <f>LN(dataset[[#This Row],[soda_sales]])</f>
        <v>12.057697980864006</v>
      </c>
      <c r="P3560">
        <f>LN(dataset[[#This Row],[soda_ppu]])</f>
        <v>-0.38905056684006983</v>
      </c>
      <c r="Q3560">
        <f>IF(dataset[[#This Row],[state]]="VA",1,0)</f>
        <v>0</v>
      </c>
    </row>
    <row r="3561" spans="1:17" x14ac:dyDescent="0.35">
      <c r="A3561">
        <v>202408</v>
      </c>
      <c r="B3561">
        <v>35</v>
      </c>
      <c r="C3561" s="2">
        <v>2769689.3744999999</v>
      </c>
      <c r="D3561" s="2">
        <v>0.71679999999999999</v>
      </c>
      <c r="E3561" s="3">
        <v>205123</v>
      </c>
      <c r="F3561" s="2">
        <v>147031.11259999999</v>
      </c>
      <c r="G3561" t="s">
        <v>859</v>
      </c>
      <c r="H3561" t="s">
        <v>5</v>
      </c>
      <c r="I3561">
        <f>HLOOKUP(G3561,zip_tiers!$A$1:$EON$2,2,FALSE)</f>
        <v>100405.66666666667</v>
      </c>
      <c r="J3561" t="str">
        <f t="shared" si="55"/>
        <v>High</v>
      </c>
      <c r="K3561">
        <f>dataset[[#This Row],[soda_sales]]/dataset[[#This Row],[soda_units_sold]]</f>
        <v>0.71679486259463832</v>
      </c>
      <c r="L3561" s="29">
        <f>dataset[[#This Row],[implied_soda_ppu]]-dataset[[#This Row],[soda_ppu]]</f>
        <v>-5.137405361677061E-6</v>
      </c>
      <c r="M3561">
        <f>dataset[[#This Row],[soda_sales]]/dataset[[#This Row],[total_sales]]</f>
        <v>5.3085777038279928E-2</v>
      </c>
      <c r="N3561">
        <f>LN(dataset[[#This Row],[soda_units_sold]])</f>
        <v>12.231365078192512</v>
      </c>
      <c r="O3561">
        <f>LN(dataset[[#This Row],[soda_sales]])</f>
        <v>11.898399493706236</v>
      </c>
      <c r="P3561">
        <f>LN(dataset[[#This Row],[soda_ppu]])</f>
        <v>-0.33295841732141634</v>
      </c>
      <c r="Q3561">
        <f>IF(dataset[[#This Row],[state]]="VA",1,0)</f>
        <v>0</v>
      </c>
    </row>
    <row r="3562" spans="1:17" x14ac:dyDescent="0.35">
      <c r="A3562">
        <v>202409</v>
      </c>
      <c r="B3562">
        <v>35</v>
      </c>
      <c r="C3562" s="2">
        <v>2877136.2763999999</v>
      </c>
      <c r="D3562" s="2">
        <v>0.71989999999999998</v>
      </c>
      <c r="E3562" s="3">
        <v>205981</v>
      </c>
      <c r="F3562" s="2">
        <v>148278.6263</v>
      </c>
      <c r="G3562" t="s">
        <v>859</v>
      </c>
      <c r="H3562" t="s">
        <v>5</v>
      </c>
      <c r="I3562">
        <f>HLOOKUP(G3562,zip_tiers!$A$1:$EON$2,2,FALSE)</f>
        <v>100405.66666666667</v>
      </c>
      <c r="J3562" t="str">
        <f t="shared" si="55"/>
        <v>High</v>
      </c>
      <c r="K3562">
        <f>dataset[[#This Row],[soda_sales]]/dataset[[#This Row],[soda_units_sold]]</f>
        <v>0.71986555216257808</v>
      </c>
      <c r="L3562" s="29">
        <f>dataset[[#This Row],[implied_soda_ppu]]-dataset[[#This Row],[soda_ppu]]</f>
        <v>-3.4447837421902605E-5</v>
      </c>
      <c r="M3562">
        <f>dataset[[#This Row],[soda_sales]]/dataset[[#This Row],[total_sales]]</f>
        <v>5.1536879749586553E-2</v>
      </c>
      <c r="N3562">
        <f>LN(dataset[[#This Row],[soda_units_sold]])</f>
        <v>12.235539210508284</v>
      </c>
      <c r="O3562">
        <f>LN(dataset[[#This Row],[soda_sales]])</f>
        <v>11.90684839299192</v>
      </c>
      <c r="P3562">
        <f>LN(dataset[[#This Row],[soda_ppu]])</f>
        <v>-0.32864296550687983</v>
      </c>
      <c r="Q3562">
        <f>IF(dataset[[#This Row],[state]]="VA",1,0)</f>
        <v>0</v>
      </c>
    </row>
    <row r="3563" spans="1:17" x14ac:dyDescent="0.35">
      <c r="A3563">
        <v>202410</v>
      </c>
      <c r="B3563">
        <v>35</v>
      </c>
      <c r="C3563" s="2">
        <v>3485039.6129000001</v>
      </c>
      <c r="D3563" s="2">
        <v>0.70399999999999996</v>
      </c>
      <c r="E3563" s="3">
        <v>203646</v>
      </c>
      <c r="F3563" s="2">
        <v>143372.3021</v>
      </c>
      <c r="G3563" t="s">
        <v>859</v>
      </c>
      <c r="H3563" t="s">
        <v>5</v>
      </c>
      <c r="I3563">
        <f>HLOOKUP(G3563,zip_tiers!$A$1:$EON$2,2,FALSE)</f>
        <v>100405.66666666667</v>
      </c>
      <c r="J3563" t="str">
        <f t="shared" si="55"/>
        <v>High</v>
      </c>
      <c r="K3563">
        <f>dataset[[#This Row],[soda_sales]]/dataset[[#This Row],[soda_units_sold]]</f>
        <v>0.70402709653025353</v>
      </c>
      <c r="L3563" s="29">
        <f>dataset[[#This Row],[implied_soda_ppu]]-dataset[[#This Row],[soda_ppu]]</f>
        <v>2.7096530253567508E-5</v>
      </c>
      <c r="M3563">
        <f>dataset[[#This Row],[soda_sales]]/dataset[[#This Row],[total_sales]]</f>
        <v>4.1139360817966673E-2</v>
      </c>
      <c r="N3563">
        <f>LN(dataset[[#This Row],[soda_units_sold]])</f>
        <v>12.224138471341799</v>
      </c>
      <c r="O3563">
        <f>LN(dataset[[#This Row],[soda_sales]])</f>
        <v>11.873200037166573</v>
      </c>
      <c r="P3563">
        <f>LN(dataset[[#This Row],[soda_ppu]])</f>
        <v>-0.35097692282409471</v>
      </c>
      <c r="Q3563">
        <f>IF(dataset[[#This Row],[state]]="VA",1,0)</f>
        <v>0</v>
      </c>
    </row>
    <row r="3564" spans="1:17" x14ac:dyDescent="0.35">
      <c r="A3564">
        <v>202411</v>
      </c>
      <c r="B3564">
        <v>35</v>
      </c>
      <c r="C3564" s="2">
        <v>4005730.9471999998</v>
      </c>
      <c r="D3564" s="2">
        <v>0.73140000000000005</v>
      </c>
      <c r="E3564" s="3">
        <v>187325</v>
      </c>
      <c r="F3564" s="2">
        <v>137007.0128</v>
      </c>
      <c r="G3564" t="s">
        <v>859</v>
      </c>
      <c r="H3564" t="s">
        <v>5</v>
      </c>
      <c r="I3564">
        <f>HLOOKUP(G3564,zip_tiers!$A$1:$EON$2,2,FALSE)</f>
        <v>100405.66666666667</v>
      </c>
      <c r="J3564" t="str">
        <f t="shared" si="55"/>
        <v>High</v>
      </c>
      <c r="K3564">
        <f>dataset[[#This Row],[soda_sales]]/dataset[[#This Row],[soda_units_sold]]</f>
        <v>0.73138669584945948</v>
      </c>
      <c r="L3564" s="29">
        <f>dataset[[#This Row],[implied_soda_ppu]]-dataset[[#This Row],[soda_ppu]]</f>
        <v>-1.3304150540571769E-5</v>
      </c>
      <c r="M3564">
        <f>dataset[[#This Row],[soda_sales]]/dataset[[#This Row],[total_sales]]</f>
        <v>3.4202749661898214E-2</v>
      </c>
      <c r="N3564">
        <f>LN(dataset[[#This Row],[soda_units_sold]])</f>
        <v>12.140600355232511</v>
      </c>
      <c r="O3564">
        <f>LN(dataset[[#This Row],[soda_sales]])</f>
        <v>11.827787391821353</v>
      </c>
      <c r="P3564">
        <f>LN(dataset[[#This Row],[soda_ppu]])</f>
        <v>-0.31279477326685612</v>
      </c>
      <c r="Q3564">
        <f>IF(dataset[[#This Row],[state]]="VA",1,0)</f>
        <v>0</v>
      </c>
    </row>
    <row r="3565" spans="1:17" x14ac:dyDescent="0.35">
      <c r="A3565">
        <v>202412</v>
      </c>
      <c r="B3565">
        <v>35</v>
      </c>
      <c r="C3565" s="2">
        <v>4148836.3536999999</v>
      </c>
      <c r="D3565" s="2">
        <v>0.71079999999999999</v>
      </c>
      <c r="E3565" s="3">
        <v>186419</v>
      </c>
      <c r="F3565" s="2">
        <v>132498.60490000001</v>
      </c>
      <c r="G3565" t="s">
        <v>859</v>
      </c>
      <c r="H3565" t="s">
        <v>5</v>
      </c>
      <c r="I3565">
        <f>HLOOKUP(G3565,zip_tiers!$A$1:$EON$2,2,FALSE)</f>
        <v>100405.66666666667</v>
      </c>
      <c r="J3565" t="str">
        <f t="shared" si="55"/>
        <v>High</v>
      </c>
      <c r="K3565">
        <f>dataset[[#This Row],[soda_sales]]/dataset[[#This Row],[soda_units_sold]]</f>
        <v>0.71075697702487406</v>
      </c>
      <c r="L3565" s="29">
        <f>dataset[[#This Row],[implied_soda_ppu]]-dataset[[#This Row],[soda_ppu]]</f>
        <v>-4.302297512592812E-5</v>
      </c>
      <c r="M3565">
        <f>dataset[[#This Row],[soda_sales]]/dataset[[#This Row],[total_sales]]</f>
        <v>3.1936329516066737E-2</v>
      </c>
      <c r="N3565">
        <f>LN(dataset[[#This Row],[soda_units_sold]])</f>
        <v>12.135752107369456</v>
      </c>
      <c r="O3565">
        <f>LN(dataset[[#This Row],[soda_sales]])</f>
        <v>11.79432739529638</v>
      </c>
      <c r="P3565">
        <f>LN(dataset[[#This Row],[soda_ppu]])</f>
        <v>-0.34136418270164082</v>
      </c>
      <c r="Q3565">
        <f>IF(dataset[[#This Row],[state]]="VA",1,0)</f>
        <v>0</v>
      </c>
    </row>
    <row r="3566" spans="1:17" x14ac:dyDescent="0.35">
      <c r="A3566">
        <v>202201</v>
      </c>
      <c r="B3566">
        <v>30</v>
      </c>
      <c r="C3566" s="2">
        <v>1742083.3666000001</v>
      </c>
      <c r="D3566" s="2">
        <v>0.65959999999999996</v>
      </c>
      <c r="E3566" s="3">
        <v>167697</v>
      </c>
      <c r="F3566" s="2">
        <v>110609.79889999999</v>
      </c>
      <c r="G3566" t="s">
        <v>879</v>
      </c>
      <c r="H3566" t="s">
        <v>5</v>
      </c>
      <c r="I3566">
        <f>HLOOKUP(G3566,zip_tiers!$A$1:$EON$2,2,FALSE)</f>
        <v>59536.333333333336</v>
      </c>
      <c r="J3566" t="str">
        <f t="shared" si="55"/>
        <v>Med</v>
      </c>
      <c r="K3566">
        <f>dataset[[#This Row],[soda_sales]]/dataset[[#This Row],[soda_units_sold]]</f>
        <v>0.65958126203808054</v>
      </c>
      <c r="L3566" s="29">
        <f>dataset[[#This Row],[implied_soda_ppu]]-dataset[[#This Row],[soda_ppu]]</f>
        <v>-1.8737961919423896E-5</v>
      </c>
      <c r="M3566">
        <f>dataset[[#This Row],[soda_sales]]/dataset[[#This Row],[total_sales]]</f>
        <v>6.3492827622753559E-2</v>
      </c>
      <c r="N3566">
        <f>LN(dataset[[#This Row],[soda_units_sold]])</f>
        <v>12.029914058563632</v>
      </c>
      <c r="O3566">
        <f>LN(dataset[[#This Row],[soda_sales]])</f>
        <v>11.613763961795017</v>
      </c>
      <c r="P3566">
        <f>LN(dataset[[#This Row],[soda_ppu]])</f>
        <v>-0.41612168829669327</v>
      </c>
      <c r="Q3566">
        <f>IF(dataset[[#This Row],[state]]="VA",1,0)</f>
        <v>0</v>
      </c>
    </row>
    <row r="3567" spans="1:17" x14ac:dyDescent="0.35">
      <c r="A3567">
        <v>202202</v>
      </c>
      <c r="B3567">
        <v>30</v>
      </c>
      <c r="C3567" s="2">
        <v>1966794.9164</v>
      </c>
      <c r="D3567" s="2">
        <v>0.68079999999999996</v>
      </c>
      <c r="E3567" s="3">
        <v>176627</v>
      </c>
      <c r="F3567" s="2">
        <v>120253.2562</v>
      </c>
      <c r="G3567" t="s">
        <v>879</v>
      </c>
      <c r="H3567" t="s">
        <v>5</v>
      </c>
      <c r="I3567">
        <f>HLOOKUP(G3567,zip_tiers!$A$1:$EON$2,2,FALSE)</f>
        <v>59536.333333333336</v>
      </c>
      <c r="J3567" t="str">
        <f t="shared" si="55"/>
        <v>Med</v>
      </c>
      <c r="K3567">
        <f>dataset[[#This Row],[soda_sales]]/dataset[[#This Row],[soda_units_sold]]</f>
        <v>0.68083167465902727</v>
      </c>
      <c r="L3567" s="29">
        <f>dataset[[#This Row],[implied_soda_ppu]]-dataset[[#This Row],[soda_ppu]]</f>
        <v>3.1674659027314256E-5</v>
      </c>
      <c r="M3567">
        <f>dataset[[#This Row],[soda_sales]]/dataset[[#This Row],[total_sales]]</f>
        <v>6.1141736333196472E-2</v>
      </c>
      <c r="N3567">
        <f>LN(dataset[[#This Row],[soda_units_sold]])</f>
        <v>12.081795443348055</v>
      </c>
      <c r="O3567">
        <f>LN(dataset[[#This Row],[soda_sales]])</f>
        <v>11.697355266187667</v>
      </c>
      <c r="P3567">
        <f>LN(dataset[[#This Row],[soda_ppu]])</f>
        <v>-0.38448670172297272</v>
      </c>
      <c r="Q3567">
        <f>IF(dataset[[#This Row],[state]]="VA",1,0)</f>
        <v>0</v>
      </c>
    </row>
    <row r="3568" spans="1:17" x14ac:dyDescent="0.35">
      <c r="A3568">
        <v>202203</v>
      </c>
      <c r="B3568">
        <v>30</v>
      </c>
      <c r="C3568" s="2">
        <v>2229098.8835999998</v>
      </c>
      <c r="D3568" s="2">
        <v>0.66559999999999997</v>
      </c>
      <c r="E3568" s="3">
        <v>225418</v>
      </c>
      <c r="F3568" s="2">
        <v>150027.269</v>
      </c>
      <c r="G3568" t="s">
        <v>879</v>
      </c>
      <c r="H3568" t="s">
        <v>5</v>
      </c>
      <c r="I3568">
        <f>HLOOKUP(G3568,zip_tiers!$A$1:$EON$2,2,FALSE)</f>
        <v>59536.333333333336</v>
      </c>
      <c r="J3568" t="str">
        <f t="shared" si="55"/>
        <v>Med</v>
      </c>
      <c r="K3568">
        <f>dataset[[#This Row],[soda_sales]]/dataset[[#This Row],[soda_units_sold]]</f>
        <v>0.66555141559236619</v>
      </c>
      <c r="L3568" s="29">
        <f>dataset[[#This Row],[implied_soda_ppu]]-dataset[[#This Row],[soda_ppu]]</f>
        <v>-4.8584407633778248E-5</v>
      </c>
      <c r="M3568">
        <f>dataset[[#This Row],[soda_sales]]/dataset[[#This Row],[total_sales]]</f>
        <v>6.7303998985323438E-2</v>
      </c>
      <c r="N3568">
        <f>LN(dataset[[#This Row],[soda_units_sold]])</f>
        <v>12.325711735429499</v>
      </c>
      <c r="O3568">
        <f>LN(dataset[[#This Row],[soda_sales]])</f>
        <v>11.91857234988932</v>
      </c>
      <c r="P3568">
        <f>LN(dataset[[#This Row],[soda_ppu]])</f>
        <v>-0.40706638947513824</v>
      </c>
      <c r="Q3568">
        <f>IF(dataset[[#This Row],[state]]="VA",1,0)</f>
        <v>0</v>
      </c>
    </row>
    <row r="3569" spans="1:17" x14ac:dyDescent="0.35">
      <c r="A3569">
        <v>202204</v>
      </c>
      <c r="B3569">
        <v>30</v>
      </c>
      <c r="C3569" s="2">
        <v>2274437.5935999998</v>
      </c>
      <c r="D3569" s="2">
        <v>0.65890000000000004</v>
      </c>
      <c r="E3569" s="3">
        <v>254618</v>
      </c>
      <c r="F3569" s="2">
        <v>167762.21830000001</v>
      </c>
      <c r="G3569" t="s">
        <v>879</v>
      </c>
      <c r="H3569" t="s">
        <v>5</v>
      </c>
      <c r="I3569">
        <f>HLOOKUP(G3569,zip_tiers!$A$1:$EON$2,2,FALSE)</f>
        <v>59536.333333333336</v>
      </c>
      <c r="J3569" t="str">
        <f t="shared" si="55"/>
        <v>Med</v>
      </c>
      <c r="K3569">
        <f>dataset[[#This Row],[soda_sales]]/dataset[[#This Row],[soda_units_sold]]</f>
        <v>0.65887807735509674</v>
      </c>
      <c r="L3569" s="29">
        <f>dataset[[#This Row],[implied_soda_ppu]]-dataset[[#This Row],[soda_ppu]]</f>
        <v>-2.1922644903304978E-5</v>
      </c>
      <c r="M3569">
        <f>dataset[[#This Row],[soda_sales]]/dataset[[#This Row],[total_sales]]</f>
        <v>7.3759868713067001E-2</v>
      </c>
      <c r="N3569">
        <f>LN(dataset[[#This Row],[soda_units_sold]])</f>
        <v>12.447519661742277</v>
      </c>
      <c r="O3569">
        <f>LN(dataset[[#This Row],[soda_sales]])</f>
        <v>12.030302888545126</v>
      </c>
      <c r="P3569">
        <f>LN(dataset[[#This Row],[soda_ppu]])</f>
        <v>-0.41718350106236279</v>
      </c>
      <c r="Q3569">
        <f>IF(dataset[[#This Row],[state]]="VA",1,0)</f>
        <v>0</v>
      </c>
    </row>
    <row r="3570" spans="1:17" x14ac:dyDescent="0.35">
      <c r="A3570">
        <v>202205</v>
      </c>
      <c r="B3570">
        <v>30</v>
      </c>
      <c r="C3570" s="2">
        <v>2412349.2067999998</v>
      </c>
      <c r="D3570" s="2">
        <v>0.68049999999999999</v>
      </c>
      <c r="E3570" s="3">
        <v>271746</v>
      </c>
      <c r="F3570" s="2">
        <v>184912.3535</v>
      </c>
      <c r="G3570" t="s">
        <v>879</v>
      </c>
      <c r="H3570" t="s">
        <v>5</v>
      </c>
      <c r="I3570">
        <f>HLOOKUP(G3570,zip_tiers!$A$1:$EON$2,2,FALSE)</f>
        <v>59536.333333333336</v>
      </c>
      <c r="J3570" t="str">
        <f t="shared" si="55"/>
        <v>Med</v>
      </c>
      <c r="K3570">
        <f>dataset[[#This Row],[soda_sales]]/dataset[[#This Row],[soda_units_sold]]</f>
        <v>0.68046025884465644</v>
      </c>
      <c r="L3570" s="29">
        <f>dataset[[#This Row],[implied_soda_ppu]]-dataset[[#This Row],[soda_ppu]]</f>
        <v>-3.974115534355338E-5</v>
      </c>
      <c r="M3570">
        <f>dataset[[#This Row],[soda_sales]]/dataset[[#This Row],[total_sales]]</f>
        <v>7.6652398823007756E-2</v>
      </c>
      <c r="N3570">
        <f>LN(dataset[[#This Row],[soda_units_sold]])</f>
        <v>12.5126230854639</v>
      </c>
      <c r="O3570">
        <f>LN(dataset[[#This Row],[soda_sales]])</f>
        <v>12.127637226933565</v>
      </c>
      <c r="P3570">
        <f>LN(dataset[[#This Row],[soda_ppu]])</f>
        <v>-0.3849274568906163</v>
      </c>
      <c r="Q3570">
        <f>IF(dataset[[#This Row],[state]]="VA",1,0)</f>
        <v>0</v>
      </c>
    </row>
    <row r="3571" spans="1:17" x14ac:dyDescent="0.35">
      <c r="A3571">
        <v>202206</v>
      </c>
      <c r="B3571">
        <v>30</v>
      </c>
      <c r="C3571" s="2">
        <v>2310477.9482</v>
      </c>
      <c r="D3571" s="2">
        <v>0.63880000000000003</v>
      </c>
      <c r="E3571" s="3">
        <v>305653</v>
      </c>
      <c r="F3571" s="2">
        <v>195248.76920000001</v>
      </c>
      <c r="G3571" t="s">
        <v>879</v>
      </c>
      <c r="H3571" t="s">
        <v>5</v>
      </c>
      <c r="I3571">
        <f>HLOOKUP(G3571,zip_tiers!$A$1:$EON$2,2,FALSE)</f>
        <v>59536.333333333336</v>
      </c>
      <c r="J3571" t="str">
        <f t="shared" si="55"/>
        <v>Med</v>
      </c>
      <c r="K3571">
        <f>dataset[[#This Row],[soda_sales]]/dataset[[#This Row],[soda_units_sold]]</f>
        <v>0.63879225526986483</v>
      </c>
      <c r="L3571" s="29">
        <f>dataset[[#This Row],[implied_soda_ppu]]-dataset[[#This Row],[soda_ppu]]</f>
        <v>-7.7447301352062681E-6</v>
      </c>
      <c r="M3571">
        <f>dataset[[#This Row],[soda_sales]]/dataset[[#This Row],[total_sales]]</f>
        <v>8.4505792125006182E-2</v>
      </c>
      <c r="N3571">
        <f>LN(dataset[[#This Row],[soda_units_sold]])</f>
        <v>12.630205750556748</v>
      </c>
      <c r="O3571">
        <f>LN(dataset[[#This Row],[soda_sales]])</f>
        <v>12.182029763968876</v>
      </c>
      <c r="P3571">
        <f>LN(dataset[[#This Row],[soda_ppu]])</f>
        <v>-0.44816386264127961</v>
      </c>
      <c r="Q3571">
        <f>IF(dataset[[#This Row],[state]]="VA",1,0)</f>
        <v>0</v>
      </c>
    </row>
    <row r="3572" spans="1:17" x14ac:dyDescent="0.35">
      <c r="A3572">
        <v>202207</v>
      </c>
      <c r="B3572">
        <v>30</v>
      </c>
      <c r="C3572" s="2">
        <v>2184112.19</v>
      </c>
      <c r="D3572" s="2">
        <v>0.66669999999999996</v>
      </c>
      <c r="E3572" s="3">
        <v>300840</v>
      </c>
      <c r="F3572" s="2">
        <v>200572.28890000001</v>
      </c>
      <c r="G3572" t="s">
        <v>879</v>
      </c>
      <c r="H3572" t="s">
        <v>5</v>
      </c>
      <c r="I3572">
        <f>HLOOKUP(G3572,zip_tiers!$A$1:$EON$2,2,FALSE)</f>
        <v>59536.333333333336</v>
      </c>
      <c r="J3572" t="str">
        <f t="shared" si="55"/>
        <v>Med</v>
      </c>
      <c r="K3572">
        <f>dataset[[#This Row],[soda_sales]]/dataset[[#This Row],[soda_units_sold]]</f>
        <v>0.66670751529051997</v>
      </c>
      <c r="L3572" s="29">
        <f>dataset[[#This Row],[implied_soda_ppu]]-dataset[[#This Row],[soda_ppu]]</f>
        <v>7.5152905200104314E-6</v>
      </c>
      <c r="M3572">
        <f>dataset[[#This Row],[soda_sales]]/dataset[[#This Row],[total_sales]]</f>
        <v>9.1832411273708434E-2</v>
      </c>
      <c r="N3572">
        <f>LN(dataset[[#This Row],[soda_units_sold]])</f>
        <v>12.61433384094034</v>
      </c>
      <c r="O3572">
        <f>LN(dataset[[#This Row],[soda_sales]])</f>
        <v>12.208930003890845</v>
      </c>
      <c r="P3572">
        <f>LN(dataset[[#This Row],[soda_ppu]])</f>
        <v>-0.4054151093581228</v>
      </c>
      <c r="Q3572">
        <f>IF(dataset[[#This Row],[state]]="VA",1,0)</f>
        <v>0</v>
      </c>
    </row>
    <row r="3573" spans="1:17" x14ac:dyDescent="0.35">
      <c r="A3573">
        <v>202208</v>
      </c>
      <c r="B3573">
        <v>30</v>
      </c>
      <c r="C3573" s="2">
        <v>2114374.6586000002</v>
      </c>
      <c r="D3573" s="2">
        <v>0.67449999999999999</v>
      </c>
      <c r="E3573" s="3">
        <v>258288</v>
      </c>
      <c r="F3573" s="2">
        <v>174222.31640000001</v>
      </c>
      <c r="G3573" t="s">
        <v>879</v>
      </c>
      <c r="H3573" t="s">
        <v>5</v>
      </c>
      <c r="I3573">
        <f>HLOOKUP(G3573,zip_tiers!$A$1:$EON$2,2,FALSE)</f>
        <v>59536.333333333336</v>
      </c>
      <c r="J3573" t="str">
        <f t="shared" si="55"/>
        <v>Med</v>
      </c>
      <c r="K3573">
        <f>dataset[[#This Row],[soda_sales]]/dataset[[#This Row],[soda_units_sold]]</f>
        <v>0.67452733537756304</v>
      </c>
      <c r="L3573" s="29">
        <f>dataset[[#This Row],[implied_soda_ppu]]-dataset[[#This Row],[soda_ppu]]</f>
        <v>2.7335377563053598E-5</v>
      </c>
      <c r="M3573">
        <f>dataset[[#This Row],[soda_sales]]/dataset[[#This Row],[total_sales]]</f>
        <v>8.2398980564475061E-2</v>
      </c>
      <c r="N3573">
        <f>LN(dataset[[#This Row],[soda_units_sold]])</f>
        <v>12.46183052039731</v>
      </c>
      <c r="O3573">
        <f>LN(dataset[[#This Row],[soda_sales]])</f>
        <v>12.068087443117349</v>
      </c>
      <c r="P3573">
        <f>LN(dataset[[#This Row],[soda_ppu]])</f>
        <v>-0.39378360333432649</v>
      </c>
      <c r="Q3573">
        <f>IF(dataset[[#This Row],[state]]="VA",1,0)</f>
        <v>0</v>
      </c>
    </row>
    <row r="3574" spans="1:17" x14ac:dyDescent="0.35">
      <c r="A3574">
        <v>202209</v>
      </c>
      <c r="B3574">
        <v>30</v>
      </c>
      <c r="C3574" s="2">
        <v>2090716.7124000001</v>
      </c>
      <c r="D3574" s="2">
        <v>0.66</v>
      </c>
      <c r="E3574" s="3">
        <v>250644</v>
      </c>
      <c r="F3574" s="2">
        <v>165422.698</v>
      </c>
      <c r="G3574" t="s">
        <v>879</v>
      </c>
      <c r="H3574" t="s">
        <v>5</v>
      </c>
      <c r="I3574">
        <f>HLOOKUP(G3574,zip_tiers!$A$1:$EON$2,2,FALSE)</f>
        <v>59536.333333333336</v>
      </c>
      <c r="J3574" t="str">
        <f t="shared" si="55"/>
        <v>Med</v>
      </c>
      <c r="K3574">
        <f>dataset[[#This Row],[soda_sales]]/dataset[[#This Row],[soda_units_sold]]</f>
        <v>0.65999065606996377</v>
      </c>
      <c r="L3574" s="29">
        <f>dataset[[#This Row],[implied_soda_ppu]]-dataset[[#This Row],[soda_ppu]]</f>
        <v>-9.3439300362652133E-6</v>
      </c>
      <c r="M3574">
        <f>dataset[[#This Row],[soda_sales]]/dataset[[#This Row],[total_sales]]</f>
        <v>7.912248322256249E-2</v>
      </c>
      <c r="N3574">
        <f>LN(dataset[[#This Row],[soda_units_sold]])</f>
        <v>12.431788884643318</v>
      </c>
      <c r="O3574">
        <f>LN(dataset[[#This Row],[soda_sales]])</f>
        <v>12.016259283111681</v>
      </c>
      <c r="P3574">
        <f>LN(dataset[[#This Row],[soda_ppu]])</f>
        <v>-0.41551544396166579</v>
      </c>
      <c r="Q3574">
        <f>IF(dataset[[#This Row],[state]]="VA",1,0)</f>
        <v>0</v>
      </c>
    </row>
    <row r="3575" spans="1:17" x14ac:dyDescent="0.35">
      <c r="A3575">
        <v>202210</v>
      </c>
      <c r="B3575">
        <v>30</v>
      </c>
      <c r="C3575" s="2">
        <v>2557976.0430999999</v>
      </c>
      <c r="D3575" s="2">
        <v>0.64639999999999997</v>
      </c>
      <c r="E3575" s="3">
        <v>252490</v>
      </c>
      <c r="F3575" s="2">
        <v>163197.96830000001</v>
      </c>
      <c r="G3575" t="s">
        <v>879</v>
      </c>
      <c r="H3575" t="s">
        <v>5</v>
      </c>
      <c r="I3575">
        <f>HLOOKUP(G3575,zip_tiers!$A$1:$EON$2,2,FALSE)</f>
        <v>59536.333333333336</v>
      </c>
      <c r="J3575" t="str">
        <f t="shared" si="55"/>
        <v>Med</v>
      </c>
      <c r="K3575">
        <f>dataset[[#This Row],[soda_sales]]/dataset[[#This Row],[soda_units_sold]]</f>
        <v>0.64635418551229751</v>
      </c>
      <c r="L3575" s="29">
        <f>dataset[[#This Row],[implied_soda_ppu]]-dataset[[#This Row],[soda_ppu]]</f>
        <v>-4.5814487702466877E-5</v>
      </c>
      <c r="M3575">
        <f>dataset[[#This Row],[soda_sales]]/dataset[[#This Row],[total_sales]]</f>
        <v>6.3799646888882164E-2</v>
      </c>
      <c r="N3575">
        <f>LN(dataset[[#This Row],[soda_units_sold]])</f>
        <v>12.439126922952898</v>
      </c>
      <c r="O3575">
        <f>LN(dataset[[#This Row],[soda_sales]])</f>
        <v>12.002719272292495</v>
      </c>
      <c r="P3575">
        <f>LN(dataset[[#This Row],[soda_ppu]])</f>
        <v>-0.43633677177525149</v>
      </c>
      <c r="Q3575">
        <f>IF(dataset[[#This Row],[state]]="VA",1,0)</f>
        <v>0</v>
      </c>
    </row>
    <row r="3576" spans="1:17" x14ac:dyDescent="0.35">
      <c r="A3576">
        <v>202211</v>
      </c>
      <c r="B3576">
        <v>30</v>
      </c>
      <c r="C3576" s="2">
        <v>2867444.5754999998</v>
      </c>
      <c r="D3576" s="2">
        <v>0.65990000000000004</v>
      </c>
      <c r="E3576" s="3">
        <v>223783</v>
      </c>
      <c r="F3576" s="2">
        <v>147679.67420000001</v>
      </c>
      <c r="G3576" t="s">
        <v>879</v>
      </c>
      <c r="H3576" t="s">
        <v>5</v>
      </c>
      <c r="I3576">
        <f>HLOOKUP(G3576,zip_tiers!$A$1:$EON$2,2,FALSE)</f>
        <v>59536.333333333336</v>
      </c>
      <c r="J3576" t="str">
        <f t="shared" si="55"/>
        <v>Med</v>
      </c>
      <c r="K3576">
        <f>dataset[[#This Row],[soda_sales]]/dataset[[#This Row],[soda_units_sold]]</f>
        <v>0.6599235607709254</v>
      </c>
      <c r="L3576" s="29">
        <f>dataset[[#This Row],[implied_soda_ppu]]-dataset[[#This Row],[soda_ppu]]</f>
        <v>2.3560770925357133E-5</v>
      </c>
      <c r="M3576">
        <f>dataset[[#This Row],[soda_sales]]/dataset[[#This Row],[total_sales]]</f>
        <v>5.1502189601781205E-2</v>
      </c>
      <c r="N3576">
        <f>LN(dataset[[#This Row],[soda_units_sold]])</f>
        <v>12.318432111295625</v>
      </c>
      <c r="O3576">
        <f>LN(dataset[[#This Row],[soda_sales]])</f>
        <v>11.902800843612901</v>
      </c>
      <c r="P3576">
        <f>LN(dataset[[#This Row],[soda_ppu]])</f>
        <v>-0.41566697059276103</v>
      </c>
      <c r="Q3576">
        <f>IF(dataset[[#This Row],[state]]="VA",1,0)</f>
        <v>0</v>
      </c>
    </row>
    <row r="3577" spans="1:17" x14ac:dyDescent="0.35">
      <c r="A3577">
        <v>202212</v>
      </c>
      <c r="B3577">
        <v>30</v>
      </c>
      <c r="C3577" s="2">
        <v>3033589.2689</v>
      </c>
      <c r="D3577" s="2">
        <v>0.6492</v>
      </c>
      <c r="E3577" s="3">
        <v>225021</v>
      </c>
      <c r="F3577" s="2">
        <v>146078.0496</v>
      </c>
      <c r="G3577" t="s">
        <v>879</v>
      </c>
      <c r="H3577" t="s">
        <v>5</v>
      </c>
      <c r="I3577">
        <f>HLOOKUP(G3577,zip_tiers!$A$1:$EON$2,2,FALSE)</f>
        <v>59536.333333333336</v>
      </c>
      <c r="J3577" t="str">
        <f t="shared" si="55"/>
        <v>Med</v>
      </c>
      <c r="K3577">
        <f>dataset[[#This Row],[soda_sales]]/dataset[[#This Row],[soda_units_sold]]</f>
        <v>0.64917518631594384</v>
      </c>
      <c r="L3577" s="29">
        <f>dataset[[#This Row],[implied_soda_ppu]]-dataset[[#This Row],[soda_ppu]]</f>
        <v>-2.481368405615747E-5</v>
      </c>
      <c r="M3577">
        <f>dataset[[#This Row],[soda_sales]]/dataset[[#This Row],[total_sales]]</f>
        <v>4.8153535845335084E-2</v>
      </c>
      <c r="N3577">
        <f>LN(dataset[[#This Row],[soda_units_sold]])</f>
        <v>12.323949010164606</v>
      </c>
      <c r="O3577">
        <f>LN(dataset[[#This Row],[soda_sales]])</f>
        <v>11.89189634415149</v>
      </c>
      <c r="P3577">
        <f>LN(dataset[[#This Row],[soda_ppu]])</f>
        <v>-0.43201444334170092</v>
      </c>
      <c r="Q3577">
        <f>IF(dataset[[#This Row],[state]]="VA",1,0)</f>
        <v>0</v>
      </c>
    </row>
    <row r="3578" spans="1:17" x14ac:dyDescent="0.35">
      <c r="A3578">
        <v>202301</v>
      </c>
      <c r="B3578">
        <v>30</v>
      </c>
      <c r="C3578" s="2">
        <v>1762353.8136</v>
      </c>
      <c r="D3578" s="2">
        <v>0.66769999999999996</v>
      </c>
      <c r="E3578" s="3">
        <v>166629</v>
      </c>
      <c r="F3578" s="2">
        <v>111257.84480000001</v>
      </c>
      <c r="G3578" t="s">
        <v>879</v>
      </c>
      <c r="H3578" t="s">
        <v>5</v>
      </c>
      <c r="I3578">
        <f>HLOOKUP(G3578,zip_tiers!$A$1:$EON$2,2,FALSE)</f>
        <v>59536.333333333336</v>
      </c>
      <c r="J3578" t="str">
        <f t="shared" si="55"/>
        <v>Med</v>
      </c>
      <c r="K3578">
        <f>dataset[[#This Row],[soda_sales]]/dataset[[#This Row],[soda_units_sold]]</f>
        <v>0.66769796854089025</v>
      </c>
      <c r="L3578" s="29">
        <f>dataset[[#This Row],[implied_soda_ppu]]-dataset[[#This Row],[soda_ppu]]</f>
        <v>-2.0314591097081447E-6</v>
      </c>
      <c r="M3578">
        <f>dataset[[#This Row],[soda_sales]]/dataset[[#This Row],[total_sales]]</f>
        <v>6.3130254516107126E-2</v>
      </c>
      <c r="N3578">
        <f>LN(dataset[[#This Row],[soda_units_sold]])</f>
        <v>12.02352506319437</v>
      </c>
      <c r="O3578">
        <f>LN(dataset[[#This Row],[soda_sales]])</f>
        <v>11.619605712598597</v>
      </c>
      <c r="P3578">
        <f>LN(dataset[[#This Row],[soda_ppu]])</f>
        <v>-0.40391630811831397</v>
      </c>
      <c r="Q3578">
        <f>IF(dataset[[#This Row],[state]]="VA",1,0)</f>
        <v>0</v>
      </c>
    </row>
    <row r="3579" spans="1:17" x14ac:dyDescent="0.35">
      <c r="A3579">
        <v>202302</v>
      </c>
      <c r="B3579">
        <v>30</v>
      </c>
      <c r="C3579" s="2">
        <v>1970984.9138</v>
      </c>
      <c r="D3579" s="2">
        <v>0.69450000000000001</v>
      </c>
      <c r="E3579" s="3">
        <v>178617</v>
      </c>
      <c r="F3579" s="2">
        <v>124046.37699999999</v>
      </c>
      <c r="G3579" t="s">
        <v>879</v>
      </c>
      <c r="H3579" t="s">
        <v>5</v>
      </c>
      <c r="I3579">
        <f>HLOOKUP(G3579,zip_tiers!$A$1:$EON$2,2,FALSE)</f>
        <v>59536.333333333336</v>
      </c>
      <c r="J3579" t="str">
        <f t="shared" si="55"/>
        <v>Med</v>
      </c>
      <c r="K3579">
        <f>dataset[[#This Row],[soda_sales]]/dataset[[#This Row],[soda_units_sold]]</f>
        <v>0.69448247927128992</v>
      </c>
      <c r="L3579" s="29">
        <f>dataset[[#This Row],[implied_soda_ppu]]-dataset[[#This Row],[soda_ppu]]</f>
        <v>-1.7520728710085365E-5</v>
      </c>
      <c r="M3579">
        <f>dataset[[#This Row],[soda_sales]]/dataset[[#This Row],[total_sales]]</f>
        <v>6.2936238695425778E-2</v>
      </c>
      <c r="N3579">
        <f>LN(dataset[[#This Row],[soda_units_sold]])</f>
        <v>12.092999127665189</v>
      </c>
      <c r="O3579">
        <f>LN(dataset[[#This Row],[soda_sales]])</f>
        <v>11.728410782728108</v>
      </c>
      <c r="P3579">
        <f>LN(dataset[[#This Row],[soda_ppu]])</f>
        <v>-0.36456311678773856</v>
      </c>
      <c r="Q3579">
        <f>IF(dataset[[#This Row],[state]]="VA",1,0)</f>
        <v>0</v>
      </c>
    </row>
    <row r="3580" spans="1:17" x14ac:dyDescent="0.35">
      <c r="A3580">
        <v>202303</v>
      </c>
      <c r="B3580">
        <v>30</v>
      </c>
      <c r="C3580" s="2">
        <v>2227448.8785999999</v>
      </c>
      <c r="D3580" s="2">
        <v>0.66210000000000002</v>
      </c>
      <c r="E3580" s="3">
        <v>228620</v>
      </c>
      <c r="F3580" s="2">
        <v>151358.8113</v>
      </c>
      <c r="G3580" t="s">
        <v>879</v>
      </c>
      <c r="H3580" t="s">
        <v>5</v>
      </c>
      <c r="I3580">
        <f>HLOOKUP(G3580,zip_tiers!$A$1:$EON$2,2,FALSE)</f>
        <v>59536.333333333336</v>
      </c>
      <c r="J3580" t="str">
        <f t="shared" si="55"/>
        <v>Med</v>
      </c>
      <c r="K3580">
        <f>dataset[[#This Row],[soda_sales]]/dataset[[#This Row],[soda_units_sold]]</f>
        <v>0.66205411293850058</v>
      </c>
      <c r="L3580" s="29">
        <f>dataset[[#This Row],[implied_soda_ppu]]-dataset[[#This Row],[soda_ppu]]</f>
        <v>-4.5887061499438886E-5</v>
      </c>
      <c r="M3580">
        <f>dataset[[#This Row],[soda_sales]]/dataset[[#This Row],[total_sales]]</f>
        <v>6.7951643134962672E-2</v>
      </c>
      <c r="N3580">
        <f>LN(dataset[[#This Row],[soda_units_sold]])</f>
        <v>12.33981651557977</v>
      </c>
      <c r="O3580">
        <f>LN(dataset[[#This Row],[soda_sales]])</f>
        <v>11.927408530792922</v>
      </c>
      <c r="P3580">
        <f>LN(dataset[[#This Row],[soda_ppu]])</f>
        <v>-0.41233867705133659</v>
      </c>
      <c r="Q3580">
        <f>IF(dataset[[#This Row],[state]]="VA",1,0)</f>
        <v>0</v>
      </c>
    </row>
    <row r="3581" spans="1:17" x14ac:dyDescent="0.35">
      <c r="A3581">
        <v>202304</v>
      </c>
      <c r="B3581">
        <v>30</v>
      </c>
      <c r="C3581" s="2">
        <v>2311880.3269000002</v>
      </c>
      <c r="D3581" s="2">
        <v>0.68469999999999998</v>
      </c>
      <c r="E3581" s="3">
        <v>248647</v>
      </c>
      <c r="F3581" s="2">
        <v>170249.13800000001</v>
      </c>
      <c r="G3581" t="s">
        <v>879</v>
      </c>
      <c r="H3581" t="s">
        <v>5</v>
      </c>
      <c r="I3581">
        <f>HLOOKUP(G3581,zip_tiers!$A$1:$EON$2,2,FALSE)</f>
        <v>59536.333333333336</v>
      </c>
      <c r="J3581" t="str">
        <f t="shared" si="55"/>
        <v>Med</v>
      </c>
      <c r="K3581">
        <f>dataset[[#This Row],[soda_sales]]/dataset[[#This Row],[soda_units_sold]]</f>
        <v>0.6847021600904093</v>
      </c>
      <c r="L3581" s="29">
        <f>dataset[[#This Row],[implied_soda_ppu]]-dataset[[#This Row],[soda_ppu]]</f>
        <v>2.1600904093199702E-6</v>
      </c>
      <c r="M3581">
        <f>dataset[[#This Row],[soda_sales]]/dataset[[#This Row],[total_sales]]</f>
        <v>7.3640982199233054E-2</v>
      </c>
      <c r="N3581">
        <f>LN(dataset[[#This Row],[soda_units_sold]])</f>
        <v>12.42378949891828</v>
      </c>
      <c r="O3581">
        <f>LN(dataset[[#This Row],[soda_sales]])</f>
        <v>12.045018160856504</v>
      </c>
      <c r="P3581">
        <f>LN(dataset[[#This Row],[soda_ppu]])</f>
        <v>-0.37877449285511988</v>
      </c>
      <c r="Q3581">
        <f>IF(dataset[[#This Row],[state]]="VA",1,0)</f>
        <v>0</v>
      </c>
    </row>
    <row r="3582" spans="1:17" x14ac:dyDescent="0.35">
      <c r="A3582">
        <v>202305</v>
      </c>
      <c r="B3582">
        <v>30</v>
      </c>
      <c r="C3582" s="2">
        <v>2483150.8728</v>
      </c>
      <c r="D3582" s="2">
        <v>0.67520000000000002</v>
      </c>
      <c r="E3582" s="3">
        <v>286794</v>
      </c>
      <c r="F3582" s="2">
        <v>193649.6832</v>
      </c>
      <c r="G3582" t="s">
        <v>879</v>
      </c>
      <c r="H3582" t="s">
        <v>5</v>
      </c>
      <c r="I3582">
        <f>HLOOKUP(G3582,zip_tiers!$A$1:$EON$2,2,FALSE)</f>
        <v>59536.333333333336</v>
      </c>
      <c r="J3582" t="str">
        <f t="shared" si="55"/>
        <v>Med</v>
      </c>
      <c r="K3582">
        <f>dataset[[#This Row],[soda_sales]]/dataset[[#This Row],[soda_units_sold]]</f>
        <v>0.67522222640641016</v>
      </c>
      <c r="L3582" s="29">
        <f>dataset[[#This Row],[implied_soda_ppu]]-dataset[[#This Row],[soda_ppu]]</f>
        <v>2.2226406410141841E-5</v>
      </c>
      <c r="M3582">
        <f>dataset[[#This Row],[soda_sales]]/dataset[[#This Row],[total_sales]]</f>
        <v>7.7985468108766456E-2</v>
      </c>
      <c r="N3582">
        <f>LN(dataset[[#This Row],[soda_units_sold]])</f>
        <v>12.566519466986673</v>
      </c>
      <c r="O3582">
        <f>LN(dataset[[#This Row],[soda_sales]])</f>
        <v>12.173806049000429</v>
      </c>
      <c r="P3582">
        <f>LN(dataset[[#This Row],[soda_ppu]])</f>
        <v>-0.39274633570038964</v>
      </c>
      <c r="Q3582">
        <f>IF(dataset[[#This Row],[state]]="VA",1,0)</f>
        <v>0</v>
      </c>
    </row>
    <row r="3583" spans="1:17" x14ac:dyDescent="0.35">
      <c r="A3583">
        <v>202306</v>
      </c>
      <c r="B3583">
        <v>30</v>
      </c>
      <c r="C3583" s="2">
        <v>2337079.0899</v>
      </c>
      <c r="D3583" s="2">
        <v>0.6734</v>
      </c>
      <c r="E3583" s="3">
        <v>289550</v>
      </c>
      <c r="F3583" s="2">
        <v>194986.2157</v>
      </c>
      <c r="G3583" t="s">
        <v>879</v>
      </c>
      <c r="H3583" t="s">
        <v>5</v>
      </c>
      <c r="I3583">
        <f>HLOOKUP(G3583,zip_tiers!$A$1:$EON$2,2,FALSE)</f>
        <v>59536.333333333336</v>
      </c>
      <c r="J3583" t="str">
        <f t="shared" si="55"/>
        <v>Med</v>
      </c>
      <c r="K3583">
        <f>dataset[[#This Row],[soda_sales]]/dataset[[#This Row],[soda_units_sold]]</f>
        <v>0.67341120946295974</v>
      </c>
      <c r="L3583" s="29">
        <f>dataset[[#This Row],[implied_soda_ppu]]-dataset[[#This Row],[soda_ppu]]</f>
        <v>1.1209462959738126E-5</v>
      </c>
      <c r="M3583">
        <f>dataset[[#This Row],[soda_sales]]/dataset[[#This Row],[total_sales]]</f>
        <v>8.343158626623251E-2</v>
      </c>
      <c r="N3583">
        <f>LN(dataset[[#This Row],[soda_units_sold]])</f>
        <v>12.576083272653936</v>
      </c>
      <c r="O3583">
        <f>LN(dataset[[#This Row],[soda_sales]])</f>
        <v>12.180684146329369</v>
      </c>
      <c r="P3583">
        <f>LN(dataset[[#This Row],[soda_ppu]])</f>
        <v>-0.39541577225516295</v>
      </c>
      <c r="Q3583">
        <f>IF(dataset[[#This Row],[state]]="VA",1,0)</f>
        <v>0</v>
      </c>
    </row>
    <row r="3584" spans="1:17" x14ac:dyDescent="0.35">
      <c r="A3584">
        <v>202307</v>
      </c>
      <c r="B3584">
        <v>30</v>
      </c>
      <c r="C3584" s="2">
        <v>2225383.8642000002</v>
      </c>
      <c r="D3584" s="2">
        <v>0.67559999999999998</v>
      </c>
      <c r="E3584" s="3">
        <v>298091</v>
      </c>
      <c r="F3584" s="2">
        <v>201396.33749999999</v>
      </c>
      <c r="G3584" t="s">
        <v>879</v>
      </c>
      <c r="H3584" t="s">
        <v>5</v>
      </c>
      <c r="I3584">
        <f>HLOOKUP(G3584,zip_tiers!$A$1:$EON$2,2,FALSE)</f>
        <v>59536.333333333336</v>
      </c>
      <c r="J3584" t="str">
        <f t="shared" si="55"/>
        <v>Med</v>
      </c>
      <c r="K3584">
        <f>dataset[[#This Row],[soda_sales]]/dataset[[#This Row],[soda_units_sold]]</f>
        <v>0.67562032231768154</v>
      </c>
      <c r="L3584" s="29">
        <f>dataset[[#This Row],[implied_soda_ppu]]-dataset[[#This Row],[soda_ppu]]</f>
        <v>2.0322317681564783E-5</v>
      </c>
      <c r="M3584">
        <f>dataset[[#This Row],[soda_sales]]/dataset[[#This Row],[total_sales]]</f>
        <v>9.0499594582258577E-2</v>
      </c>
      <c r="N3584">
        <f>LN(dataset[[#This Row],[soda_units_sold]])</f>
        <v>12.605154087999397</v>
      </c>
      <c r="O3584">
        <f>LN(dataset[[#This Row],[soda_sales]])</f>
        <v>12.213030073897672</v>
      </c>
      <c r="P3584">
        <f>LN(dataset[[#This Row],[soda_ppu]])</f>
        <v>-0.39215409404849205</v>
      </c>
      <c r="Q3584">
        <f>IF(dataset[[#This Row],[state]]="VA",1,0)</f>
        <v>0</v>
      </c>
    </row>
    <row r="3585" spans="1:17" x14ac:dyDescent="0.35">
      <c r="A3585">
        <v>202308</v>
      </c>
      <c r="B3585">
        <v>30</v>
      </c>
      <c r="C3585" s="2">
        <v>2091720.2109999999</v>
      </c>
      <c r="D3585" s="2">
        <v>0.68179999999999996</v>
      </c>
      <c r="E3585" s="3">
        <v>259427</v>
      </c>
      <c r="F3585" s="2">
        <v>176878.2145</v>
      </c>
      <c r="G3585" t="s">
        <v>879</v>
      </c>
      <c r="H3585" t="s">
        <v>5</v>
      </c>
      <c r="I3585">
        <f>HLOOKUP(G3585,zip_tiers!$A$1:$EON$2,2,FALSE)</f>
        <v>59536.333333333336</v>
      </c>
      <c r="J3585" t="str">
        <f t="shared" si="55"/>
        <v>Med</v>
      </c>
      <c r="K3585">
        <f>dataset[[#This Row],[soda_sales]]/dataset[[#This Row],[soda_units_sold]]</f>
        <v>0.68180341483345985</v>
      </c>
      <c r="L3585" s="29">
        <f>dataset[[#This Row],[implied_soda_ppu]]-dataset[[#This Row],[soda_ppu]]</f>
        <v>3.4148334598915753E-6</v>
      </c>
      <c r="M3585">
        <f>dataset[[#This Row],[soda_sales]]/dataset[[#This Row],[total_sales]]</f>
        <v>8.4561125130324613E-2</v>
      </c>
      <c r="N3585">
        <f>LN(dataset[[#This Row],[soda_units_sold]])</f>
        <v>12.466230631800995</v>
      </c>
      <c r="O3585">
        <f>LN(dataset[[#This Row],[soda_sales]])</f>
        <v>12.083216721066087</v>
      </c>
      <c r="P3585">
        <f>LN(dataset[[#This Row],[soda_ppu]])</f>
        <v>-0.38301891927833437</v>
      </c>
      <c r="Q3585">
        <f>IF(dataset[[#This Row],[state]]="VA",1,0)</f>
        <v>0</v>
      </c>
    </row>
    <row r="3586" spans="1:17" x14ac:dyDescent="0.35">
      <c r="A3586">
        <v>202309</v>
      </c>
      <c r="B3586">
        <v>30</v>
      </c>
      <c r="C3586" s="2">
        <v>2123003.7958</v>
      </c>
      <c r="D3586" s="2">
        <v>0.66300000000000003</v>
      </c>
      <c r="E3586" s="3">
        <v>256014</v>
      </c>
      <c r="F3586" s="2">
        <v>169732.59479999999</v>
      </c>
      <c r="G3586" t="s">
        <v>879</v>
      </c>
      <c r="H3586" t="s">
        <v>5</v>
      </c>
      <c r="I3586">
        <f>HLOOKUP(G3586,zip_tiers!$A$1:$EON$2,2,FALSE)</f>
        <v>59536.333333333336</v>
      </c>
      <c r="J3586" t="str">
        <f t="shared" ref="J3586:J3601" si="56">IF(I3586="","No Data",IF(I3586&gt;=100000,"High",IF(I3586&gt;=40000,"Med","Low")))</f>
        <v>Med</v>
      </c>
      <c r="K3586">
        <f>dataset[[#This Row],[soda_sales]]/dataset[[#This Row],[soda_units_sold]]</f>
        <v>0.66298169162623921</v>
      </c>
      <c r="L3586" s="29">
        <f>dataset[[#This Row],[implied_soda_ppu]]-dataset[[#This Row],[soda_ppu]]</f>
        <v>-1.8308373760822505E-5</v>
      </c>
      <c r="M3586">
        <f>dataset[[#This Row],[soda_sales]]/dataset[[#This Row],[total_sales]]</f>
        <v>7.9949265816569387E-2</v>
      </c>
      <c r="N3586">
        <f>LN(dataset[[#This Row],[soda_units_sold]])</f>
        <v>12.452987409466393</v>
      </c>
      <c r="O3586">
        <f>LN(dataset[[#This Row],[soda_sales]])</f>
        <v>12.04197950584877</v>
      </c>
      <c r="P3586">
        <f>LN(dataset[[#This Row],[soda_ppu]])</f>
        <v>-0.41098028879627452</v>
      </c>
      <c r="Q3586">
        <f>IF(dataset[[#This Row],[state]]="VA",1,0)</f>
        <v>0</v>
      </c>
    </row>
    <row r="3587" spans="1:17" x14ac:dyDescent="0.35">
      <c r="A3587">
        <v>202310</v>
      </c>
      <c r="B3587">
        <v>30</v>
      </c>
      <c r="C3587" s="2">
        <v>2615321.0684000002</v>
      </c>
      <c r="D3587" s="2">
        <v>0.68459999999999999</v>
      </c>
      <c r="E3587" s="3">
        <v>235948</v>
      </c>
      <c r="F3587" s="2">
        <v>161537.8542</v>
      </c>
      <c r="G3587" t="s">
        <v>879</v>
      </c>
      <c r="H3587" t="s">
        <v>5</v>
      </c>
      <c r="I3587">
        <f>HLOOKUP(G3587,zip_tiers!$A$1:$EON$2,2,FALSE)</f>
        <v>59536.333333333336</v>
      </c>
      <c r="J3587" t="str">
        <f t="shared" si="56"/>
        <v>Med</v>
      </c>
      <c r="K3587">
        <f>dataset[[#This Row],[soda_sales]]/dataset[[#This Row],[soda_units_sold]]</f>
        <v>0.68463328445250649</v>
      </c>
      <c r="L3587" s="29">
        <f>dataset[[#This Row],[implied_soda_ppu]]-dataset[[#This Row],[soda_ppu]]</f>
        <v>3.3284452506499029E-5</v>
      </c>
      <c r="M3587">
        <f>dataset[[#This Row],[soda_sales]]/dataset[[#This Row],[total_sales]]</f>
        <v>6.176597441583933E-2</v>
      </c>
      <c r="N3587">
        <f>LN(dataset[[#This Row],[soda_units_sold]])</f>
        <v>12.371366720746495</v>
      </c>
      <c r="O3587">
        <f>LN(dataset[[#This Row],[soda_sales]])</f>
        <v>11.992494785510761</v>
      </c>
      <c r="P3587">
        <f>LN(dataset[[#This Row],[soda_ppu]])</f>
        <v>-0.37892055288605214</v>
      </c>
      <c r="Q3587">
        <f>IF(dataset[[#This Row],[state]]="VA",1,0)</f>
        <v>0</v>
      </c>
    </row>
    <row r="3588" spans="1:17" x14ac:dyDescent="0.35">
      <c r="A3588">
        <v>202311</v>
      </c>
      <c r="B3588">
        <v>30</v>
      </c>
      <c r="C3588" s="2">
        <v>2931210.8240999999</v>
      </c>
      <c r="D3588" s="2">
        <v>0.70309999999999995</v>
      </c>
      <c r="E3588" s="3">
        <v>218859</v>
      </c>
      <c r="F3588" s="2">
        <v>153874.34160000001</v>
      </c>
      <c r="G3588" t="s">
        <v>879</v>
      </c>
      <c r="H3588" t="s">
        <v>5</v>
      </c>
      <c r="I3588">
        <f>HLOOKUP(G3588,zip_tiers!$A$1:$EON$2,2,FALSE)</f>
        <v>59536.333333333336</v>
      </c>
      <c r="J3588" t="str">
        <f t="shared" si="56"/>
        <v>Med</v>
      </c>
      <c r="K3588">
        <f>dataset[[#This Row],[soda_sales]]/dataset[[#This Row],[soda_units_sold]]</f>
        <v>0.70307522925719301</v>
      </c>
      <c r="L3588" s="29">
        <f>dataset[[#This Row],[implied_soda_ppu]]-dataset[[#This Row],[soda_ppu]]</f>
        <v>-2.4770742806934365E-5</v>
      </c>
      <c r="M3588">
        <f>dataset[[#This Row],[soda_sales]]/dataset[[#This Row],[total_sales]]</f>
        <v>5.249514648856609E-2</v>
      </c>
      <c r="N3588">
        <f>LN(dataset[[#This Row],[soda_units_sold]])</f>
        <v>12.296182965831044</v>
      </c>
      <c r="O3588">
        <f>LN(dataset[[#This Row],[soda_sales]])</f>
        <v>11.943891584679875</v>
      </c>
      <c r="P3588">
        <f>LN(dataset[[#This Row],[soda_ppu]])</f>
        <v>-0.35225614977702147</v>
      </c>
      <c r="Q3588">
        <f>IF(dataset[[#This Row],[state]]="VA",1,0)</f>
        <v>0</v>
      </c>
    </row>
    <row r="3589" spans="1:17" x14ac:dyDescent="0.35">
      <c r="A3589">
        <v>202312</v>
      </c>
      <c r="B3589">
        <v>30</v>
      </c>
      <c r="C3589" s="2">
        <v>3024377.7801999999</v>
      </c>
      <c r="D3589" s="2">
        <v>0.68920000000000003</v>
      </c>
      <c r="E3589" s="3">
        <v>214026</v>
      </c>
      <c r="F3589" s="2">
        <v>147499.00140000001</v>
      </c>
      <c r="G3589" t="s">
        <v>879</v>
      </c>
      <c r="H3589" t="s">
        <v>5</v>
      </c>
      <c r="I3589">
        <f>HLOOKUP(G3589,zip_tiers!$A$1:$EON$2,2,FALSE)</f>
        <v>59536.333333333336</v>
      </c>
      <c r="J3589" t="str">
        <f t="shared" si="56"/>
        <v>Med</v>
      </c>
      <c r="K3589">
        <f>dataset[[#This Row],[soda_sales]]/dataset[[#This Row],[soda_units_sold]]</f>
        <v>0.68916393989515301</v>
      </c>
      <c r="L3589" s="29">
        <f>dataset[[#This Row],[implied_soda_ppu]]-dataset[[#This Row],[soda_ppu]]</f>
        <v>-3.6060104847024377E-5</v>
      </c>
      <c r="M3589">
        <f>dataset[[#This Row],[soda_sales]]/dataset[[#This Row],[total_sales]]</f>
        <v>4.8770032092434565E-2</v>
      </c>
      <c r="N3589">
        <f>LN(dataset[[#This Row],[soda_units_sold]])</f>
        <v>12.273852781951131</v>
      </c>
      <c r="O3589">
        <f>LN(dataset[[#This Row],[soda_sales]])</f>
        <v>11.901576684569603</v>
      </c>
      <c r="P3589">
        <f>LN(dataset[[#This Row],[soda_ppu]])</f>
        <v>-0.37222377432836246</v>
      </c>
      <c r="Q3589">
        <f>IF(dataset[[#This Row],[state]]="VA",1,0)</f>
        <v>0</v>
      </c>
    </row>
    <row r="3590" spans="1:17" x14ac:dyDescent="0.35">
      <c r="A3590">
        <v>202401</v>
      </c>
      <c r="B3590">
        <v>30</v>
      </c>
      <c r="C3590" s="2">
        <v>1776308.7346000001</v>
      </c>
      <c r="D3590" s="2">
        <v>0.69230000000000003</v>
      </c>
      <c r="E3590" s="3">
        <v>164505</v>
      </c>
      <c r="F3590" s="2">
        <v>113884.7604</v>
      </c>
      <c r="G3590" t="s">
        <v>879</v>
      </c>
      <c r="H3590" t="s">
        <v>5</v>
      </c>
      <c r="I3590">
        <f>HLOOKUP(G3590,zip_tiers!$A$1:$EON$2,2,FALSE)</f>
        <v>59536.333333333336</v>
      </c>
      <c r="J3590" t="str">
        <f t="shared" si="56"/>
        <v>Med</v>
      </c>
      <c r="K3590">
        <f>dataset[[#This Row],[soda_sales]]/dataset[[#This Row],[soda_units_sold]]</f>
        <v>0.69228753168596702</v>
      </c>
      <c r="L3590" s="29">
        <f>dataset[[#This Row],[implied_soda_ppu]]-dataset[[#This Row],[soda_ppu]]</f>
        <v>-1.246831403300952E-5</v>
      </c>
      <c r="M3590">
        <f>dataset[[#This Row],[soda_sales]]/dataset[[#This Row],[total_sales]]</f>
        <v>6.4113156785014211E-2</v>
      </c>
      <c r="N3590">
        <f>LN(dataset[[#This Row],[soda_units_sold]])</f>
        <v>12.010696243862419</v>
      </c>
      <c r="O3590">
        <f>LN(dataset[[#This Row],[soda_sales]])</f>
        <v>11.642942342415033</v>
      </c>
      <c r="P3590">
        <f>LN(dataset[[#This Row],[soda_ppu]])</f>
        <v>-0.36773589129815726</v>
      </c>
      <c r="Q3590">
        <f>IF(dataset[[#This Row],[state]]="VA",1,0)</f>
        <v>0</v>
      </c>
    </row>
    <row r="3591" spans="1:17" x14ac:dyDescent="0.35">
      <c r="A3591">
        <v>202402</v>
      </c>
      <c r="B3591">
        <v>30</v>
      </c>
      <c r="C3591" s="2">
        <v>2038609.9158999999</v>
      </c>
      <c r="D3591" s="2">
        <v>0.6855</v>
      </c>
      <c r="E3591" s="3">
        <v>189147</v>
      </c>
      <c r="F3591" s="2">
        <v>129664.7392</v>
      </c>
      <c r="G3591" t="s">
        <v>879</v>
      </c>
      <c r="H3591" t="s">
        <v>5</v>
      </c>
      <c r="I3591">
        <f>HLOOKUP(G3591,zip_tiers!$A$1:$EON$2,2,FALSE)</f>
        <v>59536.333333333336</v>
      </c>
      <c r="J3591" t="str">
        <f t="shared" si="56"/>
        <v>Med</v>
      </c>
      <c r="K3591">
        <f>dataset[[#This Row],[soda_sales]]/dataset[[#This Row],[soda_units_sold]]</f>
        <v>0.68552363611371048</v>
      </c>
      <c r="L3591" s="29">
        <f>dataset[[#This Row],[implied_soda_ppu]]-dataset[[#This Row],[soda_ppu]]</f>
        <v>2.3636113710479023E-5</v>
      </c>
      <c r="M3591">
        <f>dataset[[#This Row],[soda_sales]]/dataset[[#This Row],[total_sales]]</f>
        <v>6.3604487640665661E-2</v>
      </c>
      <c r="N3591">
        <f>LN(dataset[[#This Row],[soda_units_sold]])</f>
        <v>12.150279769507167</v>
      </c>
      <c r="O3591">
        <f>LN(dataset[[#This Row],[soda_sales]])</f>
        <v>11.772707469040501</v>
      </c>
      <c r="P3591">
        <f>LN(dataset[[#This Row],[soda_ppu]])</f>
        <v>-0.37760677997976799</v>
      </c>
      <c r="Q3591">
        <f>IF(dataset[[#This Row],[state]]="VA",1,0)</f>
        <v>0</v>
      </c>
    </row>
    <row r="3592" spans="1:17" x14ac:dyDescent="0.35">
      <c r="A3592">
        <v>202403</v>
      </c>
      <c r="B3592">
        <v>30</v>
      </c>
      <c r="C3592" s="2">
        <v>2264294.9197</v>
      </c>
      <c r="D3592" s="2">
        <v>0.70140000000000002</v>
      </c>
      <c r="E3592" s="3">
        <v>214867</v>
      </c>
      <c r="F3592" s="2">
        <v>150701.1378</v>
      </c>
      <c r="G3592" t="s">
        <v>879</v>
      </c>
      <c r="H3592" t="s">
        <v>5</v>
      </c>
      <c r="I3592">
        <f>HLOOKUP(G3592,zip_tiers!$A$1:$EON$2,2,FALSE)</f>
        <v>59536.333333333336</v>
      </c>
      <c r="J3592" t="str">
        <f t="shared" si="56"/>
        <v>Med</v>
      </c>
      <c r="K3592">
        <f>dataset[[#This Row],[soda_sales]]/dataset[[#This Row],[soda_units_sold]]</f>
        <v>0.70136939502110607</v>
      </c>
      <c r="L3592" s="29">
        <f>dataset[[#This Row],[implied_soda_ppu]]-dataset[[#This Row],[soda_ppu]]</f>
        <v>-3.0604978893955526E-5</v>
      </c>
      <c r="M3592">
        <f>dataset[[#This Row],[soda_sales]]/dataset[[#This Row],[total_sales]]</f>
        <v>6.6555436965767087E-2</v>
      </c>
      <c r="N3592">
        <f>LN(dataset[[#This Row],[soda_units_sold]])</f>
        <v>12.277774511043836</v>
      </c>
      <c r="O3592">
        <f>LN(dataset[[#This Row],[soda_sales]])</f>
        <v>11.923053934685621</v>
      </c>
      <c r="P3592">
        <f>LN(dataset[[#This Row],[soda_ppu]])</f>
        <v>-0.35467694127605931</v>
      </c>
      <c r="Q3592">
        <f>IF(dataset[[#This Row],[state]]="VA",1,0)</f>
        <v>0</v>
      </c>
    </row>
    <row r="3593" spans="1:17" x14ac:dyDescent="0.35">
      <c r="A3593">
        <v>202404</v>
      </c>
      <c r="B3593">
        <v>30</v>
      </c>
      <c r="C3593" s="2">
        <v>2374758.2333</v>
      </c>
      <c r="D3593" s="2">
        <v>0.69940000000000002</v>
      </c>
      <c r="E3593" s="3">
        <v>247216</v>
      </c>
      <c r="F3593" s="2">
        <v>172906.4903</v>
      </c>
      <c r="G3593" t="s">
        <v>879</v>
      </c>
      <c r="H3593" t="s">
        <v>5</v>
      </c>
      <c r="I3593">
        <f>HLOOKUP(G3593,zip_tiers!$A$1:$EON$2,2,FALSE)</f>
        <v>59536.333333333336</v>
      </c>
      <c r="J3593" t="str">
        <f t="shared" si="56"/>
        <v>Med</v>
      </c>
      <c r="K3593">
        <f>dataset[[#This Row],[soda_sales]]/dataset[[#This Row],[soda_units_sold]]</f>
        <v>0.69941464266066922</v>
      </c>
      <c r="L3593" s="29">
        <f>dataset[[#This Row],[implied_soda_ppu]]-dataset[[#This Row],[soda_ppu]]</f>
        <v>1.4642660669195173E-5</v>
      </c>
      <c r="M3593">
        <f>dataset[[#This Row],[soda_sales]]/dataset[[#This Row],[total_sales]]</f>
        <v>7.2810144576160293E-2</v>
      </c>
      <c r="N3593">
        <f>LN(dataset[[#This Row],[soda_units_sold]])</f>
        <v>12.418017727390199</v>
      </c>
      <c r="O3593">
        <f>LN(dataset[[#This Row],[soda_sales]])</f>
        <v>12.060506208850022</v>
      </c>
      <c r="P3593">
        <f>LN(dataset[[#This Row],[soda_ppu]])</f>
        <v>-0.35753245435286157</v>
      </c>
      <c r="Q3593">
        <f>IF(dataset[[#This Row],[state]]="VA",1,0)</f>
        <v>0</v>
      </c>
    </row>
    <row r="3594" spans="1:17" x14ac:dyDescent="0.35">
      <c r="A3594">
        <v>202405</v>
      </c>
      <c r="B3594">
        <v>30</v>
      </c>
      <c r="C3594" s="2">
        <v>2527321.7703</v>
      </c>
      <c r="D3594" s="2">
        <v>0.69679999999999997</v>
      </c>
      <c r="E3594" s="3">
        <v>276447</v>
      </c>
      <c r="F3594" s="2">
        <v>192619.36420000001</v>
      </c>
      <c r="G3594" t="s">
        <v>879</v>
      </c>
      <c r="H3594" t="s">
        <v>5</v>
      </c>
      <c r="I3594">
        <f>HLOOKUP(G3594,zip_tiers!$A$1:$EON$2,2,FALSE)</f>
        <v>59536.333333333336</v>
      </c>
      <c r="J3594" t="str">
        <f t="shared" si="56"/>
        <v>Med</v>
      </c>
      <c r="K3594">
        <f>dataset[[#This Row],[soda_sales]]/dataset[[#This Row],[soda_units_sold]]</f>
        <v>0.69676778623027202</v>
      </c>
      <c r="L3594" s="29">
        <f>dataset[[#This Row],[implied_soda_ppu]]-dataset[[#This Row],[soda_ppu]]</f>
        <v>-3.2213769727951203E-5</v>
      </c>
      <c r="M3594">
        <f>dataset[[#This Row],[soda_sales]]/dataset[[#This Row],[total_sales]]</f>
        <v>7.6214816199337995E-2</v>
      </c>
      <c r="N3594">
        <f>LN(dataset[[#This Row],[soda_units_sold]])</f>
        <v>12.529774399835249</v>
      </c>
      <c r="O3594">
        <f>LN(dataset[[#This Row],[soda_sales]])</f>
        <v>12.168471314309906</v>
      </c>
      <c r="P3594">
        <f>LN(dataset[[#This Row],[soda_ppu]])</f>
        <v>-0.36125685344384406</v>
      </c>
      <c r="Q3594">
        <f>IF(dataset[[#This Row],[state]]="VA",1,0)</f>
        <v>0</v>
      </c>
    </row>
    <row r="3595" spans="1:17" x14ac:dyDescent="0.35">
      <c r="A3595">
        <v>202406</v>
      </c>
      <c r="B3595">
        <v>30</v>
      </c>
      <c r="C3595" s="2">
        <v>2427921.5145999999</v>
      </c>
      <c r="D3595" s="2">
        <v>0.7026</v>
      </c>
      <c r="E3595" s="3">
        <v>291400</v>
      </c>
      <c r="F3595" s="2">
        <v>204746.39670000001</v>
      </c>
      <c r="G3595" t="s">
        <v>879</v>
      </c>
      <c r="H3595" t="s">
        <v>5</v>
      </c>
      <c r="I3595">
        <f>HLOOKUP(G3595,zip_tiers!$A$1:$EON$2,2,FALSE)</f>
        <v>59536.333333333336</v>
      </c>
      <c r="J3595" t="str">
        <f t="shared" si="56"/>
        <v>Med</v>
      </c>
      <c r="K3595">
        <f>dataset[[#This Row],[soda_sales]]/dataset[[#This Row],[soda_units_sold]]</f>
        <v>0.70263005044612226</v>
      </c>
      <c r="L3595" s="29">
        <f>dataset[[#This Row],[implied_soda_ppu]]-dataset[[#This Row],[soda_ppu]]</f>
        <v>3.0050446122253938E-5</v>
      </c>
      <c r="M3595">
        <f>dataset[[#This Row],[soda_sales]]/dataset[[#This Row],[total_sales]]</f>
        <v>8.4329907482092556E-2</v>
      </c>
      <c r="N3595">
        <f>LN(dataset[[#This Row],[soda_units_sold]])</f>
        <v>12.582452172743242</v>
      </c>
      <c r="O3595">
        <f>LN(dataset[[#This Row],[soda_sales]])</f>
        <v>12.229527403025662</v>
      </c>
      <c r="P3595">
        <f>LN(dataset[[#This Row],[soda_ppu]])</f>
        <v>-0.3529675391504104</v>
      </c>
      <c r="Q3595">
        <f>IF(dataset[[#This Row],[state]]="VA",1,0)</f>
        <v>0</v>
      </c>
    </row>
    <row r="3596" spans="1:17" x14ac:dyDescent="0.35">
      <c r="A3596">
        <v>202407</v>
      </c>
      <c r="B3596">
        <v>30</v>
      </c>
      <c r="C3596" s="2">
        <v>2272654.0016000001</v>
      </c>
      <c r="D3596" s="2">
        <v>0.70330000000000004</v>
      </c>
      <c r="E3596" s="3">
        <v>291716</v>
      </c>
      <c r="F3596" s="2">
        <v>205164.7211</v>
      </c>
      <c r="G3596" t="s">
        <v>879</v>
      </c>
      <c r="H3596" t="s">
        <v>5</v>
      </c>
      <c r="I3596">
        <f>HLOOKUP(G3596,zip_tiers!$A$1:$EON$2,2,FALSE)</f>
        <v>59536.333333333336</v>
      </c>
      <c r="J3596" t="str">
        <f t="shared" si="56"/>
        <v>Med</v>
      </c>
      <c r="K3596">
        <f>dataset[[#This Row],[soda_sales]]/dataset[[#This Row],[soda_units_sold]]</f>
        <v>0.7033029422451974</v>
      </c>
      <c r="L3596" s="29">
        <f>dataset[[#This Row],[implied_soda_ppu]]-dataset[[#This Row],[soda_ppu]]</f>
        <v>2.9422451973681873E-6</v>
      </c>
      <c r="M3596">
        <f>dataset[[#This Row],[soda_sales]]/dataset[[#This Row],[total_sales]]</f>
        <v>9.0275387698945539E-2</v>
      </c>
      <c r="N3596">
        <f>LN(dataset[[#This Row],[soda_units_sold]])</f>
        <v>12.583536005225744</v>
      </c>
      <c r="O3596">
        <f>LN(dataset[[#This Row],[soda_sales]])</f>
        <v>12.231568453034109</v>
      </c>
      <c r="P3596">
        <f>LN(dataset[[#This Row],[soda_ppu]])</f>
        <v>-0.35197173566816442</v>
      </c>
      <c r="Q3596">
        <f>IF(dataset[[#This Row],[state]]="VA",1,0)</f>
        <v>0</v>
      </c>
    </row>
    <row r="3597" spans="1:17" x14ac:dyDescent="0.35">
      <c r="A3597">
        <v>202408</v>
      </c>
      <c r="B3597">
        <v>30</v>
      </c>
      <c r="C3597" s="2">
        <v>2188459.2795000002</v>
      </c>
      <c r="D3597" s="2">
        <v>0.71419999999999995</v>
      </c>
      <c r="E3597" s="3">
        <v>256042</v>
      </c>
      <c r="F3597" s="2">
        <v>182861.3101</v>
      </c>
      <c r="G3597" t="s">
        <v>879</v>
      </c>
      <c r="H3597" t="s">
        <v>5</v>
      </c>
      <c r="I3597">
        <f>HLOOKUP(G3597,zip_tiers!$A$1:$EON$2,2,FALSE)</f>
        <v>59536.333333333336</v>
      </c>
      <c r="J3597" t="str">
        <f t="shared" si="56"/>
        <v>Med</v>
      </c>
      <c r="K3597">
        <f>dataset[[#This Row],[soda_sales]]/dataset[[#This Row],[soda_units_sold]]</f>
        <v>0.71418482163082619</v>
      </c>
      <c r="L3597" s="29">
        <f>dataset[[#This Row],[implied_soda_ppu]]-dataset[[#This Row],[soda_ppu]]</f>
        <v>-1.5178369173751705E-5</v>
      </c>
      <c r="M3597">
        <f>dataset[[#This Row],[soda_sales]]/dataset[[#This Row],[total_sales]]</f>
        <v>8.3557099651302869E-2</v>
      </c>
      <c r="N3597">
        <f>LN(dataset[[#This Row],[soda_units_sold]])</f>
        <v>12.453096772504919</v>
      </c>
      <c r="O3597">
        <f>LN(dataset[[#This Row],[soda_sales]])</f>
        <v>12.116483276190182</v>
      </c>
      <c r="P3597">
        <f>LN(dataset[[#This Row],[soda_ppu]])</f>
        <v>-0.33659224382178904</v>
      </c>
      <c r="Q3597">
        <f>IF(dataset[[#This Row],[state]]="VA",1,0)</f>
        <v>0</v>
      </c>
    </row>
    <row r="3598" spans="1:17" x14ac:dyDescent="0.35">
      <c r="A3598">
        <v>202409</v>
      </c>
      <c r="B3598">
        <v>30</v>
      </c>
      <c r="C3598" s="2">
        <v>2165780.6623999998</v>
      </c>
      <c r="D3598" s="2">
        <v>0.71309999999999996</v>
      </c>
      <c r="E3598" s="3">
        <v>245643</v>
      </c>
      <c r="F3598" s="2">
        <v>175170.1311</v>
      </c>
      <c r="G3598" t="s">
        <v>879</v>
      </c>
      <c r="H3598" t="s">
        <v>5</v>
      </c>
      <c r="I3598">
        <f>HLOOKUP(G3598,zip_tiers!$A$1:$EON$2,2,FALSE)</f>
        <v>59536.333333333336</v>
      </c>
      <c r="J3598" t="str">
        <f t="shared" si="56"/>
        <v>Med</v>
      </c>
      <c r="K3598">
        <f>dataset[[#This Row],[soda_sales]]/dataset[[#This Row],[soda_units_sold]]</f>
        <v>0.71310858074522787</v>
      </c>
      <c r="L3598" s="29">
        <f>dataset[[#This Row],[implied_soda_ppu]]-dataset[[#This Row],[soda_ppu]]</f>
        <v>8.5807452279151875E-6</v>
      </c>
      <c r="M3598">
        <f>dataset[[#This Row],[soda_sales]]/dataset[[#This Row],[total_sales]]</f>
        <v>8.0880827011303183E-2</v>
      </c>
      <c r="N3598">
        <f>LN(dataset[[#This Row],[soda_units_sold]])</f>
        <v>12.411634541363384</v>
      </c>
      <c r="O3598">
        <f>LN(dataset[[#This Row],[soda_sales]])</f>
        <v>12.073512958361238</v>
      </c>
      <c r="P3598">
        <f>LN(dataset[[#This Row],[soda_ppu]])</f>
        <v>-0.33813361594787916</v>
      </c>
      <c r="Q3598">
        <f>IF(dataset[[#This Row],[state]]="VA",1,0)</f>
        <v>0</v>
      </c>
    </row>
    <row r="3599" spans="1:17" x14ac:dyDescent="0.35">
      <c r="A3599">
        <v>202410</v>
      </c>
      <c r="B3599">
        <v>30</v>
      </c>
      <c r="C3599" s="2">
        <v>2632161.6781000001</v>
      </c>
      <c r="D3599" s="2">
        <v>0.7087</v>
      </c>
      <c r="E3599" s="3">
        <v>232268</v>
      </c>
      <c r="F3599" s="2">
        <v>164605.71239999999</v>
      </c>
      <c r="G3599" t="s">
        <v>879</v>
      </c>
      <c r="H3599" t="s">
        <v>5</v>
      </c>
      <c r="I3599">
        <f>HLOOKUP(G3599,zip_tiers!$A$1:$EON$2,2,FALSE)</f>
        <v>59536.333333333336</v>
      </c>
      <c r="J3599" t="str">
        <f t="shared" si="56"/>
        <v>Med</v>
      </c>
      <c r="K3599">
        <f>dataset[[#This Row],[soda_sales]]/dataset[[#This Row],[soda_units_sold]]</f>
        <v>0.70868872337127797</v>
      </c>
      <c r="L3599" s="29">
        <f>dataset[[#This Row],[implied_soda_ppu]]-dataset[[#This Row],[soda_ppu]]</f>
        <v>-1.1276628722023396E-5</v>
      </c>
      <c r="M3599">
        <f>dataset[[#This Row],[soda_sales]]/dataset[[#This Row],[total_sales]]</f>
        <v>6.2536322813885423E-2</v>
      </c>
      <c r="N3599">
        <f>LN(dataset[[#This Row],[soda_units_sold]])</f>
        <v>12.355647156363972</v>
      </c>
      <c r="O3599">
        <f>LN(dataset[[#This Row],[soda_sales]])</f>
        <v>12.011308271361672</v>
      </c>
      <c r="P3599">
        <f>LN(dataset[[#This Row],[soda_ppu]])</f>
        <v>-0.34432297316592675</v>
      </c>
      <c r="Q3599">
        <f>IF(dataset[[#This Row],[state]]="VA",1,0)</f>
        <v>0</v>
      </c>
    </row>
    <row r="3600" spans="1:17" x14ac:dyDescent="0.35">
      <c r="A3600">
        <v>202411</v>
      </c>
      <c r="B3600">
        <v>30</v>
      </c>
      <c r="C3600" s="2">
        <v>3002595.9755000002</v>
      </c>
      <c r="D3600" s="2">
        <v>0.69740000000000002</v>
      </c>
      <c r="E3600" s="3">
        <v>225298</v>
      </c>
      <c r="F3600" s="2">
        <v>157122.31330000001</v>
      </c>
      <c r="G3600" t="s">
        <v>879</v>
      </c>
      <c r="H3600" t="s">
        <v>5</v>
      </c>
      <c r="I3600">
        <f>HLOOKUP(G3600,zip_tiers!$A$1:$EON$2,2,FALSE)</f>
        <v>59536.333333333336</v>
      </c>
      <c r="J3600" t="str">
        <f t="shared" si="56"/>
        <v>Med</v>
      </c>
      <c r="K3600">
        <f>dataset[[#This Row],[soda_sales]]/dataset[[#This Row],[soda_units_sold]]</f>
        <v>0.69739772789816157</v>
      </c>
      <c r="L3600" s="29">
        <f>dataset[[#This Row],[implied_soda_ppu]]-dataset[[#This Row],[soda_ppu]]</f>
        <v>-2.2721018384519454E-6</v>
      </c>
      <c r="M3600">
        <f>dataset[[#This Row],[soda_sales]]/dataset[[#This Row],[total_sales]]</f>
        <v>5.2328822985861626E-2</v>
      </c>
      <c r="N3600">
        <f>LN(dataset[[#This Row],[soda_units_sold]])</f>
        <v>12.325179249328116</v>
      </c>
      <c r="O3600">
        <f>LN(dataset[[#This Row],[soda_sales]])</f>
        <v>11.964779846621456</v>
      </c>
      <c r="P3600">
        <f>LN(dataset[[#This Row],[soda_ppu]])</f>
        <v>-0.36039614474058623</v>
      </c>
      <c r="Q3600">
        <f>IF(dataset[[#This Row],[state]]="VA",1,0)</f>
        <v>0</v>
      </c>
    </row>
    <row r="3601" spans="1:17" x14ac:dyDescent="0.35">
      <c r="A3601">
        <v>202412</v>
      </c>
      <c r="B3601">
        <v>30</v>
      </c>
      <c r="C3601" s="2">
        <v>3112228.8188999998</v>
      </c>
      <c r="D3601" s="2">
        <v>0.71330000000000005</v>
      </c>
      <c r="E3601" s="3">
        <v>216190</v>
      </c>
      <c r="F3601" s="2">
        <v>154212.48240000001</v>
      </c>
      <c r="G3601" t="s">
        <v>879</v>
      </c>
      <c r="H3601" t="s">
        <v>5</v>
      </c>
      <c r="I3601">
        <f>HLOOKUP(G3601,zip_tiers!$A$1:$EON$2,2,FALSE)</f>
        <v>59536.333333333336</v>
      </c>
      <c r="J3601" t="str">
        <f t="shared" si="56"/>
        <v>Med</v>
      </c>
      <c r="K3601">
        <f>dataset[[#This Row],[soda_sales]]/dataset[[#This Row],[soda_units_sold]]</f>
        <v>0.71331922105555301</v>
      </c>
      <c r="L3601" s="29">
        <f>dataset[[#This Row],[implied_soda_ppu]]-dataset[[#This Row],[soda_ppu]]</f>
        <v>1.9221055552964827E-5</v>
      </c>
      <c r="M3601">
        <f>dataset[[#This Row],[soda_sales]]/dataset[[#This Row],[total_sales]]</f>
        <v>4.9550496243558839E-2</v>
      </c>
      <c r="N3601">
        <f>LN(dataset[[#This Row],[soda_units_sold]])</f>
        <v>12.28391292964851</v>
      </c>
      <c r="O3601">
        <f>LN(dataset[[#This Row],[soda_sales]])</f>
        <v>11.946086686251482</v>
      </c>
      <c r="P3601">
        <f>LN(dataset[[#This Row],[soda_ppu]])</f>
        <v>-0.33785318969814454</v>
      </c>
      <c r="Q3601">
        <f>IF(dataset[[#This Row],[state]]="VA",1,0)</f>
        <v>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804B8-2344-48E2-9D5F-AFB8A31B0926}">
  <sheetPr codeName="Sheet2">
    <tabColor theme="3" tint="0.749992370372631"/>
  </sheetPr>
  <dimension ref="A2:P17"/>
  <sheetViews>
    <sheetView showGridLines="0" workbookViewId="0"/>
  </sheetViews>
  <sheetFormatPr defaultRowHeight="14.5" x14ac:dyDescent="0.35"/>
  <cols>
    <col min="1" max="1" width="20" customWidth="1"/>
    <col min="2" max="2" width="22.453125" customWidth="1"/>
    <col min="3" max="3" width="13" customWidth="1"/>
    <col min="4" max="4" width="79.26953125" customWidth="1"/>
    <col min="16" max="16" width="18" bestFit="1" customWidth="1"/>
  </cols>
  <sheetData>
    <row r="2" spans="1:16" x14ac:dyDescent="0.35">
      <c r="A2" s="16"/>
      <c r="B2" s="17" t="s">
        <v>3899</v>
      </c>
      <c r="C2" s="17" t="s">
        <v>3901</v>
      </c>
      <c r="D2" s="18" t="s">
        <v>3900</v>
      </c>
    </row>
    <row r="3" spans="1:16" x14ac:dyDescent="0.35">
      <c r="A3" s="197" t="s">
        <v>3916</v>
      </c>
      <c r="B3" s="9" t="s">
        <v>0</v>
      </c>
      <c r="C3" s="9" t="s">
        <v>3902</v>
      </c>
      <c r="D3" s="10" t="s">
        <v>3903</v>
      </c>
    </row>
    <row r="4" spans="1:16" x14ac:dyDescent="0.35">
      <c r="A4" s="198"/>
      <c r="B4" t="s">
        <v>1</v>
      </c>
      <c r="C4" t="s">
        <v>3902</v>
      </c>
      <c r="D4" s="11" t="s">
        <v>3904</v>
      </c>
    </row>
    <row r="5" spans="1:16" x14ac:dyDescent="0.35">
      <c r="A5" s="199"/>
      <c r="B5" s="14" t="s">
        <v>2</v>
      </c>
      <c r="C5" s="14" t="s">
        <v>3902</v>
      </c>
      <c r="D5" s="15" t="s">
        <v>3905</v>
      </c>
    </row>
    <row r="6" spans="1:16" x14ac:dyDescent="0.35">
      <c r="A6" s="197" t="s">
        <v>3917</v>
      </c>
      <c r="B6" s="9" t="s">
        <v>9</v>
      </c>
      <c r="C6" s="9" t="s">
        <v>3902</v>
      </c>
      <c r="D6" s="10" t="s">
        <v>3907</v>
      </c>
    </row>
    <row r="7" spans="1:16" x14ac:dyDescent="0.35">
      <c r="A7" s="198"/>
      <c r="B7" t="s">
        <v>3906</v>
      </c>
      <c r="C7" t="s">
        <v>3908</v>
      </c>
      <c r="D7" s="11" t="s">
        <v>3914</v>
      </c>
    </row>
    <row r="8" spans="1:16" x14ac:dyDescent="0.35">
      <c r="A8" s="198"/>
      <c r="B8" t="s">
        <v>3909</v>
      </c>
      <c r="C8" t="s">
        <v>3908</v>
      </c>
      <c r="D8" s="11" t="s">
        <v>3912</v>
      </c>
    </row>
    <row r="9" spans="1:16" x14ac:dyDescent="0.35">
      <c r="A9" s="198"/>
      <c r="B9" t="s">
        <v>3910</v>
      </c>
      <c r="C9" t="s">
        <v>3902</v>
      </c>
      <c r="D9" s="11" t="s">
        <v>3911</v>
      </c>
    </row>
    <row r="10" spans="1:16" x14ac:dyDescent="0.35">
      <c r="A10" s="199"/>
      <c r="B10" s="14" t="s">
        <v>3913</v>
      </c>
      <c r="C10" s="14" t="s">
        <v>3908</v>
      </c>
      <c r="D10" s="15" t="s">
        <v>3915</v>
      </c>
    </row>
    <row r="11" spans="1:16" x14ac:dyDescent="0.35">
      <c r="A11" s="8" t="s">
        <v>3918</v>
      </c>
      <c r="B11" s="9" t="s">
        <v>3919</v>
      </c>
      <c r="C11" s="9" t="s">
        <v>3921</v>
      </c>
      <c r="D11" s="10" t="s">
        <v>3923</v>
      </c>
    </row>
    <row r="12" spans="1:16" x14ac:dyDescent="0.35">
      <c r="A12" s="12"/>
      <c r="B12">
        <v>20001</v>
      </c>
      <c r="C12" t="s">
        <v>3902</v>
      </c>
      <c r="D12" s="11" t="s">
        <v>3922</v>
      </c>
    </row>
    <row r="13" spans="1:16" x14ac:dyDescent="0.35">
      <c r="A13" s="12"/>
      <c r="B13">
        <v>20002</v>
      </c>
      <c r="C13" t="s">
        <v>3902</v>
      </c>
      <c r="D13" s="11" t="s">
        <v>3924</v>
      </c>
    </row>
    <row r="14" spans="1:16" x14ac:dyDescent="0.35">
      <c r="A14" s="13"/>
      <c r="B14" s="14" t="s">
        <v>3920</v>
      </c>
      <c r="C14" s="14" t="s">
        <v>3920</v>
      </c>
      <c r="D14" s="15" t="s">
        <v>3920</v>
      </c>
    </row>
    <row r="16" spans="1:16" x14ac:dyDescent="0.35">
      <c r="P16" s="2"/>
    </row>
    <row r="17" spans="16:16" x14ac:dyDescent="0.35">
      <c r="P17" s="5"/>
    </row>
  </sheetData>
  <mergeCells count="2">
    <mergeCell ref="A3:A5"/>
    <mergeCell ref="A6:A10"/>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FC787-4FD5-4861-AFA6-285C87578461}">
  <sheetPr codeName="Sheet4">
    <tabColor theme="6" tint="0.59999389629810485"/>
  </sheetPr>
  <dimension ref="A1:CW37"/>
  <sheetViews>
    <sheetView workbookViewId="0">
      <selection activeCell="J1" sqref="J1"/>
    </sheetView>
  </sheetViews>
  <sheetFormatPr defaultRowHeight="14.5" x14ac:dyDescent="0.35"/>
  <cols>
    <col min="1" max="1" width="13" customWidth="1"/>
    <col min="2" max="10" width="13.81640625" customWidth="1"/>
    <col min="11" max="100" width="14.81640625" customWidth="1"/>
    <col min="101" max="101" width="15.81640625" customWidth="1"/>
  </cols>
  <sheetData>
    <row r="1" spans="1:101" x14ac:dyDescent="0.35">
      <c r="A1" t="s">
        <v>9</v>
      </c>
      <c r="B1" t="s">
        <v>10</v>
      </c>
      <c r="C1" t="s">
        <v>11</v>
      </c>
      <c r="D1" t="s">
        <v>12</v>
      </c>
      <c r="E1" t="s">
        <v>13</v>
      </c>
      <c r="F1" t="s">
        <v>14</v>
      </c>
      <c r="G1" t="s">
        <v>15</v>
      </c>
      <c r="H1" t="s">
        <v>16</v>
      </c>
      <c r="I1" t="s">
        <v>17</v>
      </c>
      <c r="J1" t="s">
        <v>18</v>
      </c>
      <c r="K1" t="s">
        <v>19</v>
      </c>
      <c r="L1" t="s">
        <v>20</v>
      </c>
      <c r="M1" t="s">
        <v>21</v>
      </c>
      <c r="N1" t="s">
        <v>22</v>
      </c>
      <c r="O1" t="s">
        <v>23</v>
      </c>
      <c r="P1" t="s">
        <v>24</v>
      </c>
      <c r="Q1" t="s">
        <v>25</v>
      </c>
      <c r="R1" t="s">
        <v>26</v>
      </c>
      <c r="S1" t="s">
        <v>27</v>
      </c>
      <c r="T1" t="s">
        <v>28</v>
      </c>
      <c r="U1" t="s">
        <v>29</v>
      </c>
      <c r="V1" t="s">
        <v>30</v>
      </c>
      <c r="W1" t="s">
        <v>31</v>
      </c>
      <c r="X1" t="s">
        <v>32</v>
      </c>
      <c r="Y1" t="s">
        <v>33</v>
      </c>
      <c r="Z1" t="s">
        <v>34</v>
      </c>
      <c r="AA1" t="s">
        <v>35</v>
      </c>
      <c r="AB1" t="s">
        <v>36</v>
      </c>
      <c r="AC1" t="s">
        <v>37</v>
      </c>
      <c r="AD1" t="s">
        <v>38</v>
      </c>
      <c r="AE1" t="s">
        <v>39</v>
      </c>
      <c r="AF1" t="s">
        <v>40</v>
      </c>
      <c r="AG1" t="s">
        <v>41</v>
      </c>
      <c r="AH1" t="s">
        <v>42</v>
      </c>
      <c r="AI1" t="s">
        <v>43</v>
      </c>
      <c r="AJ1" t="s">
        <v>44</v>
      </c>
      <c r="AK1" t="s">
        <v>45</v>
      </c>
      <c r="AL1" t="s">
        <v>46</v>
      </c>
      <c r="AM1" t="s">
        <v>47</v>
      </c>
      <c r="AN1" t="s">
        <v>48</v>
      </c>
      <c r="AO1" t="s">
        <v>49</v>
      </c>
      <c r="AP1" t="s">
        <v>50</v>
      </c>
      <c r="AQ1" t="s">
        <v>51</v>
      </c>
      <c r="AR1" t="s">
        <v>52</v>
      </c>
      <c r="AS1" t="s">
        <v>53</v>
      </c>
      <c r="AT1" t="s">
        <v>54</v>
      </c>
      <c r="AU1" t="s">
        <v>55</v>
      </c>
      <c r="AV1" t="s">
        <v>56</v>
      </c>
      <c r="AW1" t="s">
        <v>57</v>
      </c>
      <c r="AX1" t="s">
        <v>58</v>
      </c>
      <c r="AY1" t="s">
        <v>59</v>
      </c>
      <c r="AZ1" t="s">
        <v>60</v>
      </c>
      <c r="BA1" t="s">
        <v>61</v>
      </c>
      <c r="BB1" t="s">
        <v>62</v>
      </c>
      <c r="BC1" t="s">
        <v>63</v>
      </c>
      <c r="BD1" t="s">
        <v>64</v>
      </c>
      <c r="BE1" t="s">
        <v>65</v>
      </c>
      <c r="BF1" t="s">
        <v>66</v>
      </c>
      <c r="BG1" t="s">
        <v>67</v>
      </c>
      <c r="BH1" t="s">
        <v>68</v>
      </c>
      <c r="BI1" t="s">
        <v>69</v>
      </c>
      <c r="BJ1" t="s">
        <v>70</v>
      </c>
      <c r="BK1" t="s">
        <v>71</v>
      </c>
      <c r="BL1" t="s">
        <v>72</v>
      </c>
      <c r="BM1" t="s">
        <v>73</v>
      </c>
      <c r="BN1" t="s">
        <v>74</v>
      </c>
      <c r="BO1" t="s">
        <v>75</v>
      </c>
      <c r="BP1" t="s">
        <v>76</v>
      </c>
      <c r="BQ1" t="s">
        <v>77</v>
      </c>
      <c r="BR1" t="s">
        <v>78</v>
      </c>
      <c r="BS1" t="s">
        <v>79</v>
      </c>
      <c r="BT1" t="s">
        <v>80</v>
      </c>
      <c r="BU1" t="s">
        <v>81</v>
      </c>
      <c r="BV1" t="s">
        <v>82</v>
      </c>
      <c r="BW1" t="s">
        <v>83</v>
      </c>
      <c r="BX1" t="s">
        <v>84</v>
      </c>
      <c r="BY1" t="s">
        <v>85</v>
      </c>
      <c r="BZ1" t="s">
        <v>86</v>
      </c>
      <c r="CA1" t="s">
        <v>87</v>
      </c>
      <c r="CB1" t="s">
        <v>88</v>
      </c>
      <c r="CC1" t="s">
        <v>89</v>
      </c>
      <c r="CD1" t="s">
        <v>90</v>
      </c>
      <c r="CE1" t="s">
        <v>91</v>
      </c>
      <c r="CF1" t="s">
        <v>92</v>
      </c>
      <c r="CG1" t="s">
        <v>93</v>
      </c>
      <c r="CH1" t="s">
        <v>94</v>
      </c>
      <c r="CI1" t="s">
        <v>95</v>
      </c>
      <c r="CJ1" t="s">
        <v>96</v>
      </c>
      <c r="CK1" t="s">
        <v>97</v>
      </c>
      <c r="CL1" t="s">
        <v>98</v>
      </c>
      <c r="CM1" t="s">
        <v>99</v>
      </c>
      <c r="CN1" t="s">
        <v>100</v>
      </c>
      <c r="CO1" t="s">
        <v>101</v>
      </c>
      <c r="CP1" t="s">
        <v>102</v>
      </c>
      <c r="CQ1" t="s">
        <v>103</v>
      </c>
      <c r="CR1" t="s">
        <v>104</v>
      </c>
      <c r="CS1" t="s">
        <v>105</v>
      </c>
      <c r="CT1" t="s">
        <v>106</v>
      </c>
      <c r="CU1" t="s">
        <v>107</v>
      </c>
      <c r="CV1" t="s">
        <v>108</v>
      </c>
      <c r="CW1" t="s">
        <v>109</v>
      </c>
    </row>
    <row r="2" spans="1:101" x14ac:dyDescent="0.35">
      <c r="A2">
        <v>202201</v>
      </c>
      <c r="B2" s="4">
        <v>1918181.5015407961</v>
      </c>
      <c r="C2" s="4">
        <v>2267236.9313577912</v>
      </c>
      <c r="D2" s="4">
        <v>1936059.0496681575</v>
      </c>
      <c r="E2" s="4">
        <v>2355900.9993837276</v>
      </c>
      <c r="F2" s="4">
        <v>1877559.7316277279</v>
      </c>
      <c r="G2" s="4">
        <v>2518868.4965855624</v>
      </c>
      <c r="H2" s="4">
        <v>1631645.2009522957</v>
      </c>
      <c r="I2" s="4">
        <v>2482271.2740611499</v>
      </c>
      <c r="J2" s="4">
        <v>2328416.85394389</v>
      </c>
      <c r="K2" s="4">
        <v>1898096.7231525432</v>
      </c>
      <c r="L2" s="4">
        <v>1391497.0044672613</v>
      </c>
      <c r="M2" s="4">
        <v>1929317.9991787353</v>
      </c>
      <c r="N2" s="4">
        <v>1650728.5475296271</v>
      </c>
      <c r="O2" s="4">
        <v>2466696.9371794881</v>
      </c>
      <c r="P2" s="4">
        <v>1714478.1889328687</v>
      </c>
      <c r="Q2" s="4">
        <v>1674037.5936008946</v>
      </c>
      <c r="R2" s="4">
        <v>2379214.1175715737</v>
      </c>
      <c r="S2" s="4">
        <v>1727107.2353909391</v>
      </c>
      <c r="T2" s="4">
        <v>1665354.2126780502</v>
      </c>
      <c r="U2" s="4">
        <v>1467281.6213171815</v>
      </c>
      <c r="V2" s="4">
        <v>1626935.2196162301</v>
      </c>
      <c r="W2" s="4">
        <v>2507621.9883457818</v>
      </c>
      <c r="X2" s="4">
        <v>1561739.3280310966</v>
      </c>
      <c r="Y2" s="4">
        <v>1957889.2970525166</v>
      </c>
      <c r="Z2" s="4">
        <v>1945290.6563959222</v>
      </c>
      <c r="AA2" s="4">
        <v>1413960.4278803729</v>
      </c>
      <c r="AB2" s="4">
        <v>1818445.2986977333</v>
      </c>
      <c r="AC2" s="4">
        <v>1911686.8331396454</v>
      </c>
      <c r="AD2" s="4">
        <v>2098174.913940215</v>
      </c>
      <c r="AE2" s="4">
        <v>1742083.3666206917</v>
      </c>
      <c r="AF2" s="4">
        <v>1899846.3366619393</v>
      </c>
      <c r="AG2" s="4">
        <v>1887556.9599379287</v>
      </c>
      <c r="AH2" s="4">
        <v>1932495.5879837614</v>
      </c>
      <c r="AI2" s="4">
        <v>2116639.8861180004</v>
      </c>
      <c r="AJ2" s="4">
        <v>2279516.3911861191</v>
      </c>
      <c r="AK2" s="4">
        <v>2249461.449980455</v>
      </c>
      <c r="AL2" s="4">
        <v>1874357.382086955</v>
      </c>
      <c r="AM2" s="4">
        <v>2674828.0144191431</v>
      </c>
      <c r="AN2" s="4">
        <v>1767435.9251773781</v>
      </c>
      <c r="AO2" s="4">
        <v>1856748.0760641396</v>
      </c>
      <c r="AP2" s="4">
        <v>1760525.432392915</v>
      </c>
      <c r="AQ2" s="4">
        <v>1762955.7210580413</v>
      </c>
      <c r="AR2" s="4">
        <v>1718735.3161671883</v>
      </c>
      <c r="AS2" s="4">
        <v>1440151.6323339848</v>
      </c>
      <c r="AT2" s="4">
        <v>1695219.5762153456</v>
      </c>
      <c r="AU2" s="4">
        <v>1432703.8249793409</v>
      </c>
      <c r="AV2" s="4">
        <v>1570846.0331807926</v>
      </c>
      <c r="AW2" s="4">
        <v>1662034.4874148143</v>
      </c>
      <c r="AX2" s="4">
        <v>1895261.3928898301</v>
      </c>
      <c r="AY2" s="4">
        <v>1758796.8467320281</v>
      </c>
      <c r="AZ2" s="4">
        <v>3277567.3301117029</v>
      </c>
      <c r="BA2" s="4">
        <v>2659094.5587221575</v>
      </c>
      <c r="BB2" s="4">
        <v>2028184.4711799403</v>
      </c>
      <c r="BC2" s="4">
        <v>1396619.581678021</v>
      </c>
      <c r="BD2" s="4">
        <v>2225321.1791133247</v>
      </c>
      <c r="BE2" s="4">
        <v>1768734.2565132955</v>
      </c>
      <c r="BF2" s="4">
        <v>1858919.2934385317</v>
      </c>
      <c r="BG2" s="4">
        <v>1871379.1427882505</v>
      </c>
      <c r="BH2" s="4">
        <v>2007257.0562621858</v>
      </c>
      <c r="BI2" s="4">
        <v>1997708.234552549</v>
      </c>
      <c r="BJ2" s="4">
        <v>2045027.6325555374</v>
      </c>
      <c r="BK2" s="4">
        <v>2085999.8512520995</v>
      </c>
      <c r="BL2" s="4">
        <v>1330328.4688523551</v>
      </c>
      <c r="BM2" s="4">
        <v>1603264.6817509476</v>
      </c>
      <c r="BN2" s="4">
        <v>1919092.9496454168</v>
      </c>
      <c r="BO2" s="4">
        <v>1773539.6734316011</v>
      </c>
      <c r="BP2" s="4">
        <v>1912596.363659597</v>
      </c>
      <c r="BQ2" s="4">
        <v>2432408.5446525537</v>
      </c>
      <c r="BR2" s="4">
        <v>1985816.3054726336</v>
      </c>
      <c r="BS2" s="4">
        <v>1926310.360081173</v>
      </c>
      <c r="BT2" s="4">
        <v>2575808.7816414665</v>
      </c>
      <c r="BU2" s="4">
        <v>1724337.6155197697</v>
      </c>
      <c r="BV2" s="4">
        <v>2126381.0129060862</v>
      </c>
      <c r="BW2" s="4">
        <v>1817862.2941723196</v>
      </c>
      <c r="BX2" s="4">
        <v>1721795.5365086764</v>
      </c>
      <c r="BY2" s="4">
        <v>1935362.2878553364</v>
      </c>
      <c r="BZ2" s="4">
        <v>1892382.4857399389</v>
      </c>
      <c r="CA2" s="4">
        <v>1644087.2971853476</v>
      </c>
      <c r="CB2" s="4">
        <v>1857660.115509707</v>
      </c>
      <c r="CC2" s="4">
        <v>1542271.9164361176</v>
      </c>
      <c r="CD2" s="4">
        <v>2837392.1951246127</v>
      </c>
      <c r="CE2" s="4">
        <v>1508480.185890516</v>
      </c>
      <c r="CF2" s="4">
        <v>2203432.6495333696</v>
      </c>
      <c r="CG2" s="4">
        <v>2417628.1832803953</v>
      </c>
      <c r="CH2" s="4">
        <v>2084651.7545931055</v>
      </c>
      <c r="CI2" s="4">
        <v>1709423.3092792085</v>
      </c>
      <c r="CJ2" s="4">
        <v>2676188.7507849801</v>
      </c>
      <c r="CK2" s="4">
        <v>2435666.8331681457</v>
      </c>
      <c r="CL2" s="4">
        <v>1858100.7058785616</v>
      </c>
      <c r="CM2" s="4">
        <v>1672995.1057095935</v>
      </c>
      <c r="CN2" s="4">
        <v>1964903.0534503756</v>
      </c>
      <c r="CO2" s="4">
        <v>2594737.9461482507</v>
      </c>
      <c r="CP2" s="4">
        <v>2083010.1038854029</v>
      </c>
      <c r="CQ2" s="4">
        <v>1628877.6445888935</v>
      </c>
      <c r="CR2" s="4">
        <v>1658072.6111823434</v>
      </c>
      <c r="CS2" s="4">
        <v>1804189.0437256959</v>
      </c>
      <c r="CT2" s="4">
        <v>1288201.0482824948</v>
      </c>
      <c r="CU2" s="4">
        <v>1930571.5001499066</v>
      </c>
      <c r="CV2" s="4">
        <v>2012386.9267184462</v>
      </c>
      <c r="CW2" s="4">
        <v>2998267.7315120595</v>
      </c>
    </row>
    <row r="3" spans="1:101" x14ac:dyDescent="0.35">
      <c r="A3">
        <v>202202</v>
      </c>
      <c r="B3" s="4">
        <v>2127771.7314868355</v>
      </c>
      <c r="C3" s="4">
        <v>2508276.2159037846</v>
      </c>
      <c r="D3" s="4">
        <v>2257774.7483933349</v>
      </c>
      <c r="E3" s="4">
        <v>2626955.6199926808</v>
      </c>
      <c r="F3" s="4">
        <v>2126141.8280481049</v>
      </c>
      <c r="G3" s="4">
        <v>2828153.7705114074</v>
      </c>
      <c r="H3" s="4">
        <v>1870481.178314344</v>
      </c>
      <c r="I3" s="4">
        <v>2834105.7599168872</v>
      </c>
      <c r="J3" s="4">
        <v>2741429.0291946684</v>
      </c>
      <c r="K3" s="4">
        <v>2124992.0811454984</v>
      </c>
      <c r="L3" s="4">
        <v>1574979.0914641642</v>
      </c>
      <c r="M3" s="4">
        <v>2191313.5288780383</v>
      </c>
      <c r="N3" s="4">
        <v>1884325.9342426825</v>
      </c>
      <c r="O3" s="4">
        <v>2811060.3489937759</v>
      </c>
      <c r="P3" s="4">
        <v>1938706.6727994194</v>
      </c>
      <c r="Q3" s="4">
        <v>1924202.8485447883</v>
      </c>
      <c r="R3" s="4">
        <v>2709671.4966549962</v>
      </c>
      <c r="S3" s="4">
        <v>1965476.1861813811</v>
      </c>
      <c r="T3" s="4">
        <v>1898975.5840812793</v>
      </c>
      <c r="U3" s="4">
        <v>1679203.9092340558</v>
      </c>
      <c r="V3" s="4">
        <v>1913434.8068594642</v>
      </c>
      <c r="W3" s="4">
        <v>2851829.9082209058</v>
      </c>
      <c r="X3" s="4">
        <v>1780467.3487560924</v>
      </c>
      <c r="Y3" s="4">
        <v>2198282.0481717712</v>
      </c>
      <c r="Z3" s="4">
        <v>2231723.0989047447</v>
      </c>
      <c r="AA3" s="4">
        <v>1606409.671228321</v>
      </c>
      <c r="AB3" s="4">
        <v>2060995.7554526732</v>
      </c>
      <c r="AC3" s="4">
        <v>2105531.8983562975</v>
      </c>
      <c r="AD3" s="4">
        <v>2418069.0196038922</v>
      </c>
      <c r="AE3" s="4">
        <v>1966794.916425528</v>
      </c>
      <c r="AF3" s="4">
        <v>2144490.2152598845</v>
      </c>
      <c r="AG3" s="4">
        <v>2194194.9851750233</v>
      </c>
      <c r="AH3" s="4">
        <v>2210465.1987837264</v>
      </c>
      <c r="AI3" s="4">
        <v>2408147.0320267971</v>
      </c>
      <c r="AJ3" s="4">
        <v>2562367.4127915129</v>
      </c>
      <c r="AK3" s="4">
        <v>2525011.2003839221</v>
      </c>
      <c r="AL3" s="4">
        <v>2154861.223787487</v>
      </c>
      <c r="AM3" s="4">
        <v>3067949.8657527459</v>
      </c>
      <c r="AN3" s="4">
        <v>2001621.7828337629</v>
      </c>
      <c r="AO3" s="4">
        <v>2107375.1034146077</v>
      </c>
      <c r="AP3" s="4">
        <v>1965594.8179387958</v>
      </c>
      <c r="AQ3" s="4">
        <v>1982118.600679989</v>
      </c>
      <c r="AR3" s="4">
        <v>1970337.801259249</v>
      </c>
      <c r="AS3" s="4">
        <v>1608490.3066710304</v>
      </c>
      <c r="AT3" s="4">
        <v>1928206.441533966</v>
      </c>
      <c r="AU3" s="4">
        <v>1627678.7374827499</v>
      </c>
      <c r="AV3" s="4">
        <v>1754994.6438613951</v>
      </c>
      <c r="AW3" s="4">
        <v>1869152.5038143687</v>
      </c>
      <c r="AX3" s="4">
        <v>2173191.4092770517</v>
      </c>
      <c r="AY3" s="4">
        <v>1990766.6190257987</v>
      </c>
      <c r="AZ3" s="4">
        <v>3661260.192232789</v>
      </c>
      <c r="BA3" s="4">
        <v>3015362.2580699497</v>
      </c>
      <c r="BB3" s="4">
        <v>2310524.1501398049</v>
      </c>
      <c r="BC3" s="4">
        <v>1569845.6556759528</v>
      </c>
      <c r="BD3" s="4">
        <v>2535279.4390984708</v>
      </c>
      <c r="BE3" s="4">
        <v>2043084.2053892144</v>
      </c>
      <c r="BF3" s="4">
        <v>2120710.3279014113</v>
      </c>
      <c r="BG3" s="4">
        <v>2121672.9370226879</v>
      </c>
      <c r="BH3" s="4">
        <v>2282062.3874047399</v>
      </c>
      <c r="BI3" s="4">
        <v>2282359.9991756957</v>
      </c>
      <c r="BJ3" s="4">
        <v>2335708.7718216744</v>
      </c>
      <c r="BK3" s="4">
        <v>2337107.5346638313</v>
      </c>
      <c r="BL3" s="4">
        <v>1514321.5168186168</v>
      </c>
      <c r="BM3" s="4">
        <v>1886831.420705606</v>
      </c>
      <c r="BN3" s="4">
        <v>2147694.2155896141</v>
      </c>
      <c r="BO3" s="4">
        <v>2016814.4470104114</v>
      </c>
      <c r="BP3" s="4">
        <v>2174073.9392173351</v>
      </c>
      <c r="BQ3" s="4">
        <v>2792798.373076485</v>
      </c>
      <c r="BR3" s="4">
        <v>2203527.0166468578</v>
      </c>
      <c r="BS3" s="4">
        <v>2195155.7983280029</v>
      </c>
      <c r="BT3" s="4">
        <v>2981536.9537627995</v>
      </c>
      <c r="BU3" s="4">
        <v>1911757.2152485664</v>
      </c>
      <c r="BV3" s="4">
        <v>2410610.3881926001</v>
      </c>
      <c r="BW3" s="4">
        <v>2035259.3109152599</v>
      </c>
      <c r="BX3" s="4">
        <v>1934469.6798156549</v>
      </c>
      <c r="BY3" s="4">
        <v>2185665.9797591339</v>
      </c>
      <c r="BZ3" s="4">
        <v>2184074.0008521839</v>
      </c>
      <c r="CA3" s="4">
        <v>1910017.5439778431</v>
      </c>
      <c r="CB3" s="4">
        <v>2110544.3164246897</v>
      </c>
      <c r="CC3" s="4">
        <v>1708670.1845891196</v>
      </c>
      <c r="CD3" s="4">
        <v>3273545.8966093562</v>
      </c>
      <c r="CE3" s="4">
        <v>1733024.495753831</v>
      </c>
      <c r="CF3" s="4">
        <v>2485558.231024757</v>
      </c>
      <c r="CG3" s="4">
        <v>2721628.4969285224</v>
      </c>
      <c r="CH3" s="4">
        <v>2397697.0691148997</v>
      </c>
      <c r="CI3" s="4">
        <v>1959958.7807993416</v>
      </c>
      <c r="CJ3" s="4">
        <v>3032613.3508577487</v>
      </c>
      <c r="CK3" s="4">
        <v>2779719.1673184144</v>
      </c>
      <c r="CL3" s="4">
        <v>2146476.1818469865</v>
      </c>
      <c r="CM3" s="4">
        <v>1894664.1111570743</v>
      </c>
      <c r="CN3" s="4">
        <v>2288274.5087276222</v>
      </c>
      <c r="CO3" s="4">
        <v>2959620.0365857007</v>
      </c>
      <c r="CP3" s="4">
        <v>2383726.8371516378</v>
      </c>
      <c r="CQ3" s="4">
        <v>1841829.3435971914</v>
      </c>
      <c r="CR3" s="4">
        <v>1916653.5127800314</v>
      </c>
      <c r="CS3" s="4">
        <v>2048358.0803061747</v>
      </c>
      <c r="CT3" s="4">
        <v>1447274.8813213792</v>
      </c>
      <c r="CU3" s="4">
        <v>2172634.1064537284</v>
      </c>
      <c r="CV3" s="4">
        <v>2282559.2116792765</v>
      </c>
      <c r="CW3" s="4">
        <v>3347414.7651220965</v>
      </c>
    </row>
    <row r="4" spans="1:101" x14ac:dyDescent="0.35">
      <c r="A4">
        <v>202203</v>
      </c>
      <c r="B4" s="4">
        <v>2380487.1593129588</v>
      </c>
      <c r="C4" s="4">
        <v>2817658.0640400127</v>
      </c>
      <c r="D4" s="4">
        <v>2446408.9672627966</v>
      </c>
      <c r="E4" s="4">
        <v>2899986.9871071326</v>
      </c>
      <c r="F4" s="4">
        <v>2372091.0781570217</v>
      </c>
      <c r="G4" s="4">
        <v>3156156.6044493346</v>
      </c>
      <c r="H4" s="4">
        <v>2105437.2258834606</v>
      </c>
      <c r="I4" s="4">
        <v>3148534.2587814392</v>
      </c>
      <c r="J4" s="4">
        <v>2954968.17414551</v>
      </c>
      <c r="K4" s="4">
        <v>2364557.3777693175</v>
      </c>
      <c r="L4" s="4">
        <v>1762023.952051447</v>
      </c>
      <c r="M4" s="4">
        <v>2436382.886681613</v>
      </c>
      <c r="N4" s="4">
        <v>2122581.7102268622</v>
      </c>
      <c r="O4" s="4">
        <v>3050868.7122305254</v>
      </c>
      <c r="P4" s="4">
        <v>2186011.3304433841</v>
      </c>
      <c r="Q4" s="4">
        <v>2124567.7721617538</v>
      </c>
      <c r="R4" s="4">
        <v>2993379.3923896519</v>
      </c>
      <c r="S4" s="4">
        <v>2198356.3881352325</v>
      </c>
      <c r="T4" s="4">
        <v>2095833.7541059707</v>
      </c>
      <c r="U4" s="4">
        <v>1897726.1130648619</v>
      </c>
      <c r="V4" s="4">
        <v>2104792.7372692307</v>
      </c>
      <c r="W4" s="4">
        <v>3231600.0005358406</v>
      </c>
      <c r="X4" s="4">
        <v>1920981.0792688671</v>
      </c>
      <c r="Y4" s="4">
        <v>2423952.8564742627</v>
      </c>
      <c r="Z4" s="4">
        <v>2471673.0406214176</v>
      </c>
      <c r="AA4" s="4">
        <v>1814356.4622948815</v>
      </c>
      <c r="AB4" s="4">
        <v>2309362.2588042938</v>
      </c>
      <c r="AC4" s="4">
        <v>2347111.3463589335</v>
      </c>
      <c r="AD4" s="4">
        <v>2706212.0264033005</v>
      </c>
      <c r="AE4" s="4">
        <v>2229098.883575798</v>
      </c>
      <c r="AF4" s="4">
        <v>2401574.4559493614</v>
      </c>
      <c r="AG4" s="4">
        <v>2397552.099257363</v>
      </c>
      <c r="AH4" s="4">
        <v>2498221.863049658</v>
      </c>
      <c r="AI4" s="4">
        <v>2662483.6141361543</v>
      </c>
      <c r="AJ4" s="4">
        <v>2846266.3406104902</v>
      </c>
      <c r="AK4" s="4">
        <v>2774744.4760177103</v>
      </c>
      <c r="AL4" s="4">
        <v>2365561.1480862759</v>
      </c>
      <c r="AM4" s="4">
        <v>3454980.8653102135</v>
      </c>
      <c r="AN4" s="4">
        <v>2251005.7671288336</v>
      </c>
      <c r="AO4" s="4">
        <v>2346322.8925158046</v>
      </c>
      <c r="AP4" s="4">
        <v>2174025.6278521111</v>
      </c>
      <c r="AQ4" s="4">
        <v>2214672.0372633096</v>
      </c>
      <c r="AR4" s="4">
        <v>2190388.545645684</v>
      </c>
      <c r="AS4" s="4">
        <v>1779864.9691499404</v>
      </c>
      <c r="AT4" s="4">
        <v>2173819.1461440716</v>
      </c>
      <c r="AU4" s="4">
        <v>1802518.2357232168</v>
      </c>
      <c r="AV4" s="4">
        <v>1994084.9336976479</v>
      </c>
      <c r="AW4" s="4">
        <v>2110806.4223767938</v>
      </c>
      <c r="AX4" s="4">
        <v>2417236.6717491797</v>
      </c>
      <c r="AY4" s="4">
        <v>2217310.5228018682</v>
      </c>
      <c r="AZ4" s="4">
        <v>4097025.6835816484</v>
      </c>
      <c r="BA4" s="4">
        <v>3389808.4484727285</v>
      </c>
      <c r="BB4" s="4">
        <v>2565107.8923680224</v>
      </c>
      <c r="BC4" s="4">
        <v>1741140.3020220338</v>
      </c>
      <c r="BD4" s="4">
        <v>2912657.2498796997</v>
      </c>
      <c r="BE4" s="4">
        <v>2280571.784297145</v>
      </c>
      <c r="BF4" s="4">
        <v>2399861.8449020917</v>
      </c>
      <c r="BG4" s="4">
        <v>2369204.3453009739</v>
      </c>
      <c r="BH4" s="4">
        <v>2523944.9984851452</v>
      </c>
      <c r="BI4" s="4">
        <v>2534931.3222141028</v>
      </c>
      <c r="BJ4" s="4">
        <v>2592544.971207283</v>
      </c>
      <c r="BK4" s="4">
        <v>2641795.4903598675</v>
      </c>
      <c r="BL4" s="4">
        <v>1664921.8324210937</v>
      </c>
      <c r="BM4" s="4">
        <v>2109151.3341646981</v>
      </c>
      <c r="BN4" s="4">
        <v>2416129.9325929149</v>
      </c>
      <c r="BO4" s="4">
        <v>2239871.3147255839</v>
      </c>
      <c r="BP4" s="4">
        <v>2429229.7171707856</v>
      </c>
      <c r="BQ4" s="4">
        <v>3143504.717243392</v>
      </c>
      <c r="BR4" s="4">
        <v>2451357.5186062334</v>
      </c>
      <c r="BS4" s="4">
        <v>2462174.6569690527</v>
      </c>
      <c r="BT4" s="4">
        <v>3361366.8152031288</v>
      </c>
      <c r="BU4" s="4">
        <v>2149472.3222317887</v>
      </c>
      <c r="BV4" s="4">
        <v>2652502.9810815309</v>
      </c>
      <c r="BW4" s="4">
        <v>2225275.7724585561</v>
      </c>
      <c r="BX4" s="4">
        <v>2198714.6519364184</v>
      </c>
      <c r="BY4" s="4">
        <v>2455730.179145644</v>
      </c>
      <c r="BZ4" s="4">
        <v>2421051.5905284076</v>
      </c>
      <c r="CA4" s="4">
        <v>2151228.9382601487</v>
      </c>
      <c r="CB4" s="4">
        <v>2353456.132841628</v>
      </c>
      <c r="CC4" s="4">
        <v>1983718.563598888</v>
      </c>
      <c r="CD4" s="4">
        <v>3675555.6256615883</v>
      </c>
      <c r="CE4" s="4">
        <v>1932290.5677797792</v>
      </c>
      <c r="CF4" s="4">
        <v>2768761.5107849957</v>
      </c>
      <c r="CG4" s="4">
        <v>2970174.35258083</v>
      </c>
      <c r="CH4" s="4">
        <v>2613810.2244990105</v>
      </c>
      <c r="CI4" s="4">
        <v>2146633.8157872232</v>
      </c>
      <c r="CJ4" s="4">
        <v>3342016.421048109</v>
      </c>
      <c r="CK4" s="4">
        <v>3040907.1063037412</v>
      </c>
      <c r="CL4" s="4">
        <v>2377255.3479231126</v>
      </c>
      <c r="CM4" s="4">
        <v>2065880.9292311517</v>
      </c>
      <c r="CN4" s="4">
        <v>2543127.0144368266</v>
      </c>
      <c r="CO4" s="4">
        <v>3313481.2272911677</v>
      </c>
      <c r="CP4" s="4">
        <v>2666526.9393368447</v>
      </c>
      <c r="CQ4" s="4">
        <v>2103120.1010707272</v>
      </c>
      <c r="CR4" s="4">
        <v>2098894.0514339465</v>
      </c>
      <c r="CS4" s="4">
        <v>2289521.8770031366</v>
      </c>
      <c r="CT4" s="4">
        <v>1587708.5661157561</v>
      </c>
      <c r="CU4" s="4">
        <v>2399906.6530503333</v>
      </c>
      <c r="CV4" s="4">
        <v>2530330.1419728431</v>
      </c>
      <c r="CW4" s="4">
        <v>3692944.8452788768</v>
      </c>
    </row>
    <row r="5" spans="1:101" x14ac:dyDescent="0.35">
      <c r="A5">
        <v>202204</v>
      </c>
      <c r="B5" s="4">
        <v>2497642.6581190145</v>
      </c>
      <c r="C5" s="4">
        <v>2944587.7410581666</v>
      </c>
      <c r="D5" s="4">
        <v>2638192.3478769357</v>
      </c>
      <c r="E5" s="4">
        <v>3035344.0733565013</v>
      </c>
      <c r="F5" s="4">
        <v>2535190.1047648066</v>
      </c>
      <c r="G5" s="4">
        <v>3338951.2273310544</v>
      </c>
      <c r="H5" s="4">
        <v>2197263.7555228919</v>
      </c>
      <c r="I5" s="4">
        <v>3356510.4366054586</v>
      </c>
      <c r="J5" s="4">
        <v>3134744.8235663637</v>
      </c>
      <c r="K5" s="4">
        <v>2501616.2219022634</v>
      </c>
      <c r="L5" s="4">
        <v>1807414.9605114996</v>
      </c>
      <c r="M5" s="4">
        <v>2603263.864646486</v>
      </c>
      <c r="N5" s="4">
        <v>2212942.2295993371</v>
      </c>
      <c r="O5" s="4">
        <v>3297164.4112227364</v>
      </c>
      <c r="P5" s="4">
        <v>2273348.8361050743</v>
      </c>
      <c r="Q5" s="4">
        <v>2223268.2690288262</v>
      </c>
      <c r="R5" s="4">
        <v>3172039.4819246675</v>
      </c>
      <c r="S5" s="4">
        <v>2296150.3970087282</v>
      </c>
      <c r="T5" s="4">
        <v>2213840.9771480421</v>
      </c>
      <c r="U5" s="4">
        <v>1978169.2551180995</v>
      </c>
      <c r="V5" s="4">
        <v>2190563.5147601096</v>
      </c>
      <c r="W5" s="4">
        <v>3347786.545651196</v>
      </c>
      <c r="X5" s="4">
        <v>2074847.5413164813</v>
      </c>
      <c r="Y5" s="4">
        <v>2601571.0774347456</v>
      </c>
      <c r="Z5" s="4">
        <v>2577446.6599737159</v>
      </c>
      <c r="AA5" s="4">
        <v>1915666.2521941182</v>
      </c>
      <c r="AB5" s="4">
        <v>2383293.5958322734</v>
      </c>
      <c r="AC5" s="4">
        <v>2494943.5324315536</v>
      </c>
      <c r="AD5" s="4">
        <v>2828674.7393950946</v>
      </c>
      <c r="AE5" s="4">
        <v>2274437.5935603767</v>
      </c>
      <c r="AF5" s="4">
        <v>2488336.4435379254</v>
      </c>
      <c r="AG5" s="4">
        <v>2578003.6866239989</v>
      </c>
      <c r="AH5" s="4">
        <v>2589052.8076236444</v>
      </c>
      <c r="AI5" s="4">
        <v>2858293.3250687076</v>
      </c>
      <c r="AJ5" s="4">
        <v>3005773.6601373507</v>
      </c>
      <c r="AK5" s="4">
        <v>2955976.4238361414</v>
      </c>
      <c r="AL5" s="4">
        <v>2518456.2766563646</v>
      </c>
      <c r="AM5" s="4">
        <v>3634635.9041084284</v>
      </c>
      <c r="AN5" s="4">
        <v>2334865.2045386685</v>
      </c>
      <c r="AO5" s="4">
        <v>2476520.1240590974</v>
      </c>
      <c r="AP5" s="4">
        <v>2315444.6712202462</v>
      </c>
      <c r="AQ5" s="4">
        <v>2307524.0761543713</v>
      </c>
      <c r="AR5" s="4">
        <v>2327710.7646187576</v>
      </c>
      <c r="AS5" s="4">
        <v>1883654.5173930351</v>
      </c>
      <c r="AT5" s="4">
        <v>2298837.0074189119</v>
      </c>
      <c r="AU5" s="4">
        <v>1921746.1118285994</v>
      </c>
      <c r="AV5" s="4">
        <v>2109071.4237533906</v>
      </c>
      <c r="AW5" s="4">
        <v>2234872.204825236</v>
      </c>
      <c r="AX5" s="4">
        <v>2573284.2677372731</v>
      </c>
      <c r="AY5" s="4">
        <v>2315571.6417130302</v>
      </c>
      <c r="AZ5" s="4">
        <v>4430923.5315740686</v>
      </c>
      <c r="BA5" s="4">
        <v>3553748.0062115416</v>
      </c>
      <c r="BB5" s="4">
        <v>2720414.3688510587</v>
      </c>
      <c r="BC5" s="4">
        <v>1840318.489942024</v>
      </c>
      <c r="BD5" s="4">
        <v>2990920.2985298191</v>
      </c>
      <c r="BE5" s="4">
        <v>2404126.1520840018</v>
      </c>
      <c r="BF5" s="4">
        <v>2496029.8588620326</v>
      </c>
      <c r="BG5" s="4">
        <v>2506127.6681096661</v>
      </c>
      <c r="BH5" s="4">
        <v>2718372.552936438</v>
      </c>
      <c r="BI5" s="4">
        <v>2731926.6206423179</v>
      </c>
      <c r="BJ5" s="4">
        <v>2675481.5389747922</v>
      </c>
      <c r="BK5" s="4">
        <v>2791036.9079642352</v>
      </c>
      <c r="BL5" s="4">
        <v>1766746.4437503207</v>
      </c>
      <c r="BM5" s="4">
        <v>2172174.9635268683</v>
      </c>
      <c r="BN5" s="4">
        <v>2534011.5848586783</v>
      </c>
      <c r="BO5" s="4">
        <v>2366434.031179626</v>
      </c>
      <c r="BP5" s="4">
        <v>2573532.8253533957</v>
      </c>
      <c r="BQ5" s="4">
        <v>3329712.6663412899</v>
      </c>
      <c r="BR5" s="4">
        <v>2579707.358554271</v>
      </c>
      <c r="BS5" s="4">
        <v>2596668.1064517335</v>
      </c>
      <c r="BT5" s="4">
        <v>3495226.8790525254</v>
      </c>
      <c r="BU5" s="4">
        <v>2266956.6019314807</v>
      </c>
      <c r="BV5" s="4">
        <v>2776353.8040329791</v>
      </c>
      <c r="BW5" s="4">
        <v>2408953.5775939077</v>
      </c>
      <c r="BX5" s="4">
        <v>2293471.089432463</v>
      </c>
      <c r="BY5" s="4">
        <v>2558356.2841190575</v>
      </c>
      <c r="BZ5" s="4">
        <v>2610897.5362803098</v>
      </c>
      <c r="CA5" s="4">
        <v>2187069.6484946567</v>
      </c>
      <c r="CB5" s="4">
        <v>2473141.72705193</v>
      </c>
      <c r="CC5" s="4">
        <v>2057322.6987339035</v>
      </c>
      <c r="CD5" s="4">
        <v>3831699.3706925879</v>
      </c>
      <c r="CE5" s="4">
        <v>2017267.8083406843</v>
      </c>
      <c r="CF5" s="4">
        <v>2949658.1719783004</v>
      </c>
      <c r="CG5" s="4">
        <v>3138722.0408466607</v>
      </c>
      <c r="CH5" s="4">
        <v>2777055.2269195411</v>
      </c>
      <c r="CI5" s="4">
        <v>2332495.5031831567</v>
      </c>
      <c r="CJ5" s="4">
        <v>3581722.9505463489</v>
      </c>
      <c r="CK5" s="4">
        <v>3238857.296141644</v>
      </c>
      <c r="CL5" s="4">
        <v>2521944.091940904</v>
      </c>
      <c r="CM5" s="4">
        <v>2159180.3299976252</v>
      </c>
      <c r="CN5" s="4">
        <v>2644970.2702085818</v>
      </c>
      <c r="CO5" s="4">
        <v>3476663.0054721474</v>
      </c>
      <c r="CP5" s="4">
        <v>2762183.0212532775</v>
      </c>
      <c r="CQ5" s="4">
        <v>2175664.6067727646</v>
      </c>
      <c r="CR5" s="4">
        <v>2237744.3303176565</v>
      </c>
      <c r="CS5" s="4">
        <v>2415373.2707520365</v>
      </c>
      <c r="CT5" s="4">
        <v>1666788.7207966822</v>
      </c>
      <c r="CU5" s="4">
        <v>2528771.7452068189</v>
      </c>
      <c r="CV5" s="4">
        <v>2691342.5988795357</v>
      </c>
      <c r="CW5" s="4">
        <v>3926277.3180211657</v>
      </c>
    </row>
    <row r="6" spans="1:101" x14ac:dyDescent="0.35">
      <c r="A6">
        <v>202205</v>
      </c>
      <c r="B6" s="4">
        <v>2665976.407797033</v>
      </c>
      <c r="C6" s="4">
        <v>3068859.7641399913</v>
      </c>
      <c r="D6" s="4">
        <v>2724099.6611149921</v>
      </c>
      <c r="E6" s="4">
        <v>3238806.103586284</v>
      </c>
      <c r="F6" s="4">
        <v>2615638.9410775984</v>
      </c>
      <c r="G6" s="4">
        <v>3498835.9320390276</v>
      </c>
      <c r="H6" s="4">
        <v>2307180.7649933673</v>
      </c>
      <c r="I6" s="4">
        <v>3513105.6688127783</v>
      </c>
      <c r="J6" s="4">
        <v>3262760.8903460386</v>
      </c>
      <c r="K6" s="4">
        <v>2590016.5944505418</v>
      </c>
      <c r="L6" s="4">
        <v>1957391.2284750452</v>
      </c>
      <c r="M6" s="4">
        <v>2721310.8761711819</v>
      </c>
      <c r="N6" s="4">
        <v>2321619.0970286708</v>
      </c>
      <c r="O6" s="4">
        <v>3395847.6104091923</v>
      </c>
      <c r="P6" s="4">
        <v>2387957.5030631609</v>
      </c>
      <c r="Q6" s="4">
        <v>2360196.0979869803</v>
      </c>
      <c r="R6" s="4">
        <v>3354540.1953226347</v>
      </c>
      <c r="S6" s="4">
        <v>2411142.8168456755</v>
      </c>
      <c r="T6" s="4">
        <v>2348535.7602758352</v>
      </c>
      <c r="U6" s="4">
        <v>2051330.5084937541</v>
      </c>
      <c r="V6" s="4">
        <v>2327818.46328955</v>
      </c>
      <c r="W6" s="4">
        <v>3563809.2151606525</v>
      </c>
      <c r="X6" s="4">
        <v>2101667.2793076253</v>
      </c>
      <c r="Y6" s="4">
        <v>2738109.3296559704</v>
      </c>
      <c r="Z6" s="4">
        <v>2746784.6677075089</v>
      </c>
      <c r="AA6" s="4">
        <v>1997996.6301869263</v>
      </c>
      <c r="AB6" s="4">
        <v>2507198.0614366462</v>
      </c>
      <c r="AC6" s="4">
        <v>2597653.4266546583</v>
      </c>
      <c r="AD6" s="4">
        <v>2980395.509571726</v>
      </c>
      <c r="AE6" s="4">
        <v>2412349.2068224289</v>
      </c>
      <c r="AF6" s="4">
        <v>2617120.6640452575</v>
      </c>
      <c r="AG6" s="4">
        <v>2685518.5114835938</v>
      </c>
      <c r="AH6" s="4">
        <v>2730707.8812751765</v>
      </c>
      <c r="AI6" s="4">
        <v>2956801.5615109168</v>
      </c>
      <c r="AJ6" s="4">
        <v>3180786.4153936761</v>
      </c>
      <c r="AK6" s="4">
        <v>3129299.5212757927</v>
      </c>
      <c r="AL6" s="4">
        <v>2637191.7276186016</v>
      </c>
      <c r="AM6" s="4">
        <v>3846661.4989059321</v>
      </c>
      <c r="AN6" s="4">
        <v>2440755.9806160457</v>
      </c>
      <c r="AO6" s="4">
        <v>2597556.7525046086</v>
      </c>
      <c r="AP6" s="4">
        <v>2403912.196048053</v>
      </c>
      <c r="AQ6" s="4">
        <v>2436471.7495967103</v>
      </c>
      <c r="AR6" s="4">
        <v>2430267.7424163078</v>
      </c>
      <c r="AS6" s="4">
        <v>1961041.6905627479</v>
      </c>
      <c r="AT6" s="4">
        <v>2445522.6725688642</v>
      </c>
      <c r="AU6" s="4">
        <v>2011844.0523512582</v>
      </c>
      <c r="AV6" s="4">
        <v>2251372.3828709489</v>
      </c>
      <c r="AW6" s="4">
        <v>2348850.1279357313</v>
      </c>
      <c r="AX6" s="4">
        <v>2611680.9855425479</v>
      </c>
      <c r="AY6" s="4">
        <v>2434760.7182185934</v>
      </c>
      <c r="AZ6" s="4">
        <v>4552418.0899195448</v>
      </c>
      <c r="BA6" s="4">
        <v>3688600.8354841401</v>
      </c>
      <c r="BB6" s="4">
        <v>2786595.7053634552</v>
      </c>
      <c r="BC6" s="4">
        <v>1977550.339709166</v>
      </c>
      <c r="BD6" s="4">
        <v>3163228.9083568887</v>
      </c>
      <c r="BE6" s="4">
        <v>2477636.5570293413</v>
      </c>
      <c r="BF6" s="4">
        <v>2581323.5273656435</v>
      </c>
      <c r="BG6" s="4">
        <v>2540513.6804282428</v>
      </c>
      <c r="BH6" s="4">
        <v>2748332.439599745</v>
      </c>
      <c r="BI6" s="4">
        <v>2820361.3661518549</v>
      </c>
      <c r="BJ6" s="4">
        <v>2889431.453722191</v>
      </c>
      <c r="BK6" s="4">
        <v>2928177.282552789</v>
      </c>
      <c r="BL6" s="4">
        <v>1841162.3341157862</v>
      </c>
      <c r="BM6" s="4">
        <v>2294025.6407844322</v>
      </c>
      <c r="BN6" s="4">
        <v>2635503.4634763487</v>
      </c>
      <c r="BO6" s="4">
        <v>2488297.3890912482</v>
      </c>
      <c r="BP6" s="4">
        <v>2698462.5436635935</v>
      </c>
      <c r="BQ6" s="4">
        <v>3439333.1412099074</v>
      </c>
      <c r="BR6" s="4">
        <v>2722563.8098823484</v>
      </c>
      <c r="BS6" s="4">
        <v>2733127.7665438936</v>
      </c>
      <c r="BT6" s="4">
        <v>3622417.2530702744</v>
      </c>
      <c r="BU6" s="4">
        <v>2405686.9781928742</v>
      </c>
      <c r="BV6" s="4">
        <v>3035285.6037900038</v>
      </c>
      <c r="BW6" s="4">
        <v>2500724.0778836263</v>
      </c>
      <c r="BX6" s="4">
        <v>2363051.7571707838</v>
      </c>
      <c r="BY6" s="4">
        <v>2699274.8772246474</v>
      </c>
      <c r="BZ6" s="4">
        <v>2716038.6962499917</v>
      </c>
      <c r="CA6" s="4">
        <v>2373727.0488550868</v>
      </c>
      <c r="CB6" s="4">
        <v>2625847.7851439896</v>
      </c>
      <c r="CC6" s="4">
        <v>2138717.4735873831</v>
      </c>
      <c r="CD6" s="4">
        <v>4054520.5693750326</v>
      </c>
      <c r="CE6" s="4">
        <v>2127923.9340145704</v>
      </c>
      <c r="CF6" s="4">
        <v>3052238.4367038687</v>
      </c>
      <c r="CG6" s="4">
        <v>3369078.861083542</v>
      </c>
      <c r="CH6" s="4">
        <v>2942385.2685183529</v>
      </c>
      <c r="CI6" s="4">
        <v>2412272.2915000091</v>
      </c>
      <c r="CJ6" s="4">
        <v>3808478.9719521706</v>
      </c>
      <c r="CK6" s="4">
        <v>3386764.9605412865</v>
      </c>
      <c r="CL6" s="4">
        <v>2634405.4223061404</v>
      </c>
      <c r="CM6" s="4">
        <v>2308833.6609599823</v>
      </c>
      <c r="CN6" s="4">
        <v>2780034.7931973431</v>
      </c>
      <c r="CO6" s="4">
        <v>3633499.3173108664</v>
      </c>
      <c r="CP6" s="4">
        <v>2968782.6725623356</v>
      </c>
      <c r="CQ6" s="4">
        <v>2253012.2498727073</v>
      </c>
      <c r="CR6" s="4">
        <v>2356350.5106433928</v>
      </c>
      <c r="CS6" s="4">
        <v>2542649.155030814</v>
      </c>
      <c r="CT6" s="4">
        <v>1783878.2825481319</v>
      </c>
      <c r="CU6" s="4">
        <v>2709608.4716644725</v>
      </c>
      <c r="CV6" s="4">
        <v>2793337.9313822505</v>
      </c>
      <c r="CW6" s="4">
        <v>4155823.0034787753</v>
      </c>
    </row>
    <row r="7" spans="1:101" x14ac:dyDescent="0.35">
      <c r="A7">
        <v>202206</v>
      </c>
      <c r="B7" s="4">
        <v>2481630.6474403022</v>
      </c>
      <c r="C7" s="4">
        <v>2997245.356799318</v>
      </c>
      <c r="D7" s="4">
        <v>2680801.5417067846</v>
      </c>
      <c r="E7" s="4">
        <v>3064833.3968733554</v>
      </c>
      <c r="F7" s="4">
        <v>2477077.7493905937</v>
      </c>
      <c r="G7" s="4">
        <v>3305643.1316802376</v>
      </c>
      <c r="H7" s="4">
        <v>2199562.4786689151</v>
      </c>
      <c r="I7" s="4">
        <v>3257553.5894339657</v>
      </c>
      <c r="J7" s="4">
        <v>3101837.420767942</v>
      </c>
      <c r="K7" s="4">
        <v>2502722.1164833582</v>
      </c>
      <c r="L7" s="4">
        <v>1820591.5082193699</v>
      </c>
      <c r="M7" s="4">
        <v>2561316.0576401819</v>
      </c>
      <c r="N7" s="4">
        <v>2176319.8943996411</v>
      </c>
      <c r="O7" s="4">
        <v>3264788.8071082137</v>
      </c>
      <c r="P7" s="4">
        <v>2274842.829243117</v>
      </c>
      <c r="Q7" s="4">
        <v>2196246.261995804</v>
      </c>
      <c r="R7" s="4">
        <v>3196073.9588993331</v>
      </c>
      <c r="S7" s="4">
        <v>2295316.6388605614</v>
      </c>
      <c r="T7" s="4">
        <v>2236524.5355154038</v>
      </c>
      <c r="U7" s="4">
        <v>1944100.1408246653</v>
      </c>
      <c r="V7" s="4">
        <v>2233274.6657558689</v>
      </c>
      <c r="W7" s="4">
        <v>3355514.122414194</v>
      </c>
      <c r="X7" s="4">
        <v>2024853.1845142187</v>
      </c>
      <c r="Y7" s="4">
        <v>2584243.6336368765</v>
      </c>
      <c r="Z7" s="4">
        <v>2554140.0677452376</v>
      </c>
      <c r="AA7" s="4">
        <v>1927719.1313116869</v>
      </c>
      <c r="AB7" s="4">
        <v>2417197.6747699282</v>
      </c>
      <c r="AC7" s="4">
        <v>2471230.1767794988</v>
      </c>
      <c r="AD7" s="4">
        <v>2785764.8777563265</v>
      </c>
      <c r="AE7" s="4">
        <v>2310477.9482464055</v>
      </c>
      <c r="AF7" s="4">
        <v>2560431.5106657399</v>
      </c>
      <c r="AG7" s="4">
        <v>2569818.4533575098</v>
      </c>
      <c r="AH7" s="4">
        <v>2588096.6499652718</v>
      </c>
      <c r="AI7" s="4">
        <v>2805620.1857921774</v>
      </c>
      <c r="AJ7" s="4">
        <v>2987143.7932356992</v>
      </c>
      <c r="AK7" s="4">
        <v>3014636.3256736998</v>
      </c>
      <c r="AL7" s="4">
        <v>2513102.7866418003</v>
      </c>
      <c r="AM7" s="4">
        <v>3625095.3801771803</v>
      </c>
      <c r="AN7" s="4">
        <v>2343321.7787118498</v>
      </c>
      <c r="AO7" s="4">
        <v>2473837.9350008075</v>
      </c>
      <c r="AP7" s="4">
        <v>2293803.8169350997</v>
      </c>
      <c r="AQ7" s="4">
        <v>2337852.3371413229</v>
      </c>
      <c r="AR7" s="4">
        <v>2260572.092407125</v>
      </c>
      <c r="AS7" s="4">
        <v>1861041.5027202007</v>
      </c>
      <c r="AT7" s="4">
        <v>2296220.0889585176</v>
      </c>
      <c r="AU7" s="4">
        <v>1954380.5082377419</v>
      </c>
      <c r="AV7" s="4">
        <v>2169279.8910852131</v>
      </c>
      <c r="AW7" s="4">
        <v>2227829.446463671</v>
      </c>
      <c r="AX7" s="4">
        <v>2544098.4767177617</v>
      </c>
      <c r="AY7" s="4">
        <v>2257158.0730240792</v>
      </c>
      <c r="AZ7" s="4">
        <v>4371921.5670227483</v>
      </c>
      <c r="BA7" s="4">
        <v>3504939.4179984201</v>
      </c>
      <c r="BB7" s="4">
        <v>2678703.3773775883</v>
      </c>
      <c r="BC7" s="4">
        <v>1852565.3910502652</v>
      </c>
      <c r="BD7" s="4">
        <v>2968917.8131638318</v>
      </c>
      <c r="BE7" s="4">
        <v>2388951.4088368835</v>
      </c>
      <c r="BF7" s="4">
        <v>2521286.1740405252</v>
      </c>
      <c r="BG7" s="4">
        <v>2452418.6949788206</v>
      </c>
      <c r="BH7" s="4">
        <v>2702669.6854488128</v>
      </c>
      <c r="BI7" s="4">
        <v>2673203.5128616476</v>
      </c>
      <c r="BJ7" s="4">
        <v>2801880.5075352462</v>
      </c>
      <c r="BK7" s="4">
        <v>2793018.3491167552</v>
      </c>
      <c r="BL7" s="4">
        <v>1748271.2551124578</v>
      </c>
      <c r="BM7" s="4">
        <v>2187196.9055208652</v>
      </c>
      <c r="BN7" s="4">
        <v>2524696.8081242782</v>
      </c>
      <c r="BO7" s="4">
        <v>2350459.1780357044</v>
      </c>
      <c r="BP7" s="4">
        <v>2585788.5777652296</v>
      </c>
      <c r="BQ7" s="4">
        <v>3332450.3330343007</v>
      </c>
      <c r="BR7" s="4">
        <v>2562415.7322324091</v>
      </c>
      <c r="BS7" s="4">
        <v>2567994.7865850292</v>
      </c>
      <c r="BT7" s="4">
        <v>3508922.3628745638</v>
      </c>
      <c r="BU7" s="4">
        <v>2226152.8879771349</v>
      </c>
      <c r="BV7" s="4">
        <v>2847793.6580912229</v>
      </c>
      <c r="BW7" s="4">
        <v>2407838.6509622573</v>
      </c>
      <c r="BX7" s="4">
        <v>2303837.9698716039</v>
      </c>
      <c r="BY7" s="4">
        <v>2593083.1489072223</v>
      </c>
      <c r="BZ7" s="4">
        <v>2559635.1307158992</v>
      </c>
      <c r="CA7" s="4">
        <v>2199293.0279639983</v>
      </c>
      <c r="CB7" s="4">
        <v>2454313.9841098995</v>
      </c>
      <c r="CC7" s="4">
        <v>2076062.2224808005</v>
      </c>
      <c r="CD7" s="4">
        <v>3862362.3706462746</v>
      </c>
      <c r="CE7" s="4">
        <v>2046418.6295061186</v>
      </c>
      <c r="CF7" s="4">
        <v>2934365.4208569364</v>
      </c>
      <c r="CG7" s="4">
        <v>3212977.5388343269</v>
      </c>
      <c r="CH7" s="4">
        <v>2748888.9699892714</v>
      </c>
      <c r="CI7" s="4">
        <v>2284622.1279263739</v>
      </c>
      <c r="CJ7" s="4">
        <v>3638575.442370519</v>
      </c>
      <c r="CK7" s="4">
        <v>3238337.1786686112</v>
      </c>
      <c r="CL7" s="4">
        <v>2468506.1280166018</v>
      </c>
      <c r="CM7" s="4">
        <v>2175844.3133054841</v>
      </c>
      <c r="CN7" s="4">
        <v>2684322.0175240072</v>
      </c>
      <c r="CO7" s="4">
        <v>3526593.4003791069</v>
      </c>
      <c r="CP7" s="4">
        <v>2742700.6298423777</v>
      </c>
      <c r="CQ7" s="4">
        <v>2199370.7501011267</v>
      </c>
      <c r="CR7" s="4">
        <v>2262583.9810075201</v>
      </c>
      <c r="CS7" s="4">
        <v>2417301.5004239986</v>
      </c>
      <c r="CT7" s="4">
        <v>1675554.2275305216</v>
      </c>
      <c r="CU7" s="4">
        <v>2539007.5666727675</v>
      </c>
      <c r="CV7" s="4">
        <v>2706707.0209000325</v>
      </c>
      <c r="CW7" s="4">
        <v>3997580.8209257331</v>
      </c>
    </row>
    <row r="8" spans="1:101" x14ac:dyDescent="0.35">
      <c r="A8">
        <v>202207</v>
      </c>
      <c r="B8" s="4">
        <v>2434362.5468284758</v>
      </c>
      <c r="C8" s="4">
        <v>2849718.7266170201</v>
      </c>
      <c r="D8" s="4">
        <v>2495053.5689071547</v>
      </c>
      <c r="E8" s="4">
        <v>2927792.5690604723</v>
      </c>
      <c r="F8" s="4">
        <v>2330424.3937834734</v>
      </c>
      <c r="G8" s="4">
        <v>3167383.8219935209</v>
      </c>
      <c r="H8" s="4">
        <v>2092135.4678127889</v>
      </c>
      <c r="I8" s="4">
        <v>3151825.7751788469</v>
      </c>
      <c r="J8" s="4">
        <v>3008019.88123225</v>
      </c>
      <c r="K8" s="4">
        <v>2378917.6442183303</v>
      </c>
      <c r="L8" s="4">
        <v>1771786.3102210253</v>
      </c>
      <c r="M8" s="4">
        <v>2440781.5210178648</v>
      </c>
      <c r="N8" s="4">
        <v>2109451.0708832792</v>
      </c>
      <c r="O8" s="4">
        <v>3065602.8323264387</v>
      </c>
      <c r="P8" s="4">
        <v>2200755.1656058268</v>
      </c>
      <c r="Q8" s="4">
        <v>2137681.6164473658</v>
      </c>
      <c r="R8" s="4">
        <v>3051336.6951856869</v>
      </c>
      <c r="S8" s="4">
        <v>2184913.9705638257</v>
      </c>
      <c r="T8" s="4">
        <v>2112146.7699594954</v>
      </c>
      <c r="U8" s="4">
        <v>1886236.0097026217</v>
      </c>
      <c r="V8" s="4">
        <v>2087733.5000195992</v>
      </c>
      <c r="W8" s="4">
        <v>3211209.8317304729</v>
      </c>
      <c r="X8" s="4">
        <v>1973462.8001920136</v>
      </c>
      <c r="Y8" s="4">
        <v>2469644.6632008175</v>
      </c>
      <c r="Z8" s="4">
        <v>2451951.4350059303</v>
      </c>
      <c r="AA8" s="4">
        <v>1794583.5831795963</v>
      </c>
      <c r="AB8" s="4">
        <v>2321468.2389075584</v>
      </c>
      <c r="AC8" s="4">
        <v>2369180.3598047984</v>
      </c>
      <c r="AD8" s="4">
        <v>2669473.1988698002</v>
      </c>
      <c r="AE8" s="4">
        <v>2184112.1900009592</v>
      </c>
      <c r="AF8" s="4">
        <v>2437029.44878974</v>
      </c>
      <c r="AG8" s="4">
        <v>2471140.0625816528</v>
      </c>
      <c r="AH8" s="4">
        <v>2474594.5730740335</v>
      </c>
      <c r="AI8" s="4">
        <v>2680006.9083321579</v>
      </c>
      <c r="AJ8" s="4">
        <v>2931469.7081043753</v>
      </c>
      <c r="AK8" s="4">
        <v>2836238.4390464174</v>
      </c>
      <c r="AL8" s="4">
        <v>2364057.4342869022</v>
      </c>
      <c r="AM8" s="4">
        <v>3500324.4292008644</v>
      </c>
      <c r="AN8" s="4">
        <v>2290553.767289333</v>
      </c>
      <c r="AO8" s="4">
        <v>2380326.1909330725</v>
      </c>
      <c r="AP8" s="4">
        <v>2227849.7692182958</v>
      </c>
      <c r="AQ8" s="4">
        <v>2181495.4967162032</v>
      </c>
      <c r="AR8" s="4">
        <v>2142310.1841041683</v>
      </c>
      <c r="AS8" s="4">
        <v>1764716.9810715939</v>
      </c>
      <c r="AT8" s="4">
        <v>2148423.8162662238</v>
      </c>
      <c r="AU8" s="4">
        <v>1840887.1572607481</v>
      </c>
      <c r="AV8" s="4">
        <v>2042603.4773276947</v>
      </c>
      <c r="AW8" s="4">
        <v>2091323.1072255154</v>
      </c>
      <c r="AX8" s="4">
        <v>2399526.4612651188</v>
      </c>
      <c r="AY8" s="4">
        <v>2211380.2626359202</v>
      </c>
      <c r="AZ8" s="4">
        <v>4086873.5507650734</v>
      </c>
      <c r="BA8" s="4">
        <v>3389938.5700934529</v>
      </c>
      <c r="BB8" s="4">
        <v>2564422.424871339</v>
      </c>
      <c r="BC8" s="4">
        <v>1749448.7892580822</v>
      </c>
      <c r="BD8" s="4">
        <v>2891666.1177637246</v>
      </c>
      <c r="BE8" s="4">
        <v>2279025.5690066391</v>
      </c>
      <c r="BF8" s="4">
        <v>2334270.053482709</v>
      </c>
      <c r="BG8" s="4">
        <v>2367650.8055336666</v>
      </c>
      <c r="BH8" s="4">
        <v>2523068.7301747347</v>
      </c>
      <c r="BI8" s="4">
        <v>2556664.8224367257</v>
      </c>
      <c r="BJ8" s="4">
        <v>2617407.9875237849</v>
      </c>
      <c r="BK8" s="4">
        <v>2737645.7788176271</v>
      </c>
      <c r="BL8" s="4">
        <v>1694846.2414657632</v>
      </c>
      <c r="BM8" s="4">
        <v>2130490.1348476391</v>
      </c>
      <c r="BN8" s="4">
        <v>2392398.3858155087</v>
      </c>
      <c r="BO8" s="4">
        <v>2225283.9362203674</v>
      </c>
      <c r="BP8" s="4">
        <v>2482666.4457408702</v>
      </c>
      <c r="BQ8" s="4">
        <v>3157170.7074136874</v>
      </c>
      <c r="BR8" s="4">
        <v>2462176.9502591607</v>
      </c>
      <c r="BS8" s="4">
        <v>2481928.4980731648</v>
      </c>
      <c r="BT8" s="4">
        <v>3263849.8292561416</v>
      </c>
      <c r="BU8" s="4">
        <v>2155074.9879459981</v>
      </c>
      <c r="BV8" s="4">
        <v>2618937.9763891068</v>
      </c>
      <c r="BW8" s="4">
        <v>2257882.0652861963</v>
      </c>
      <c r="BX8" s="4">
        <v>2143951.2980702631</v>
      </c>
      <c r="BY8" s="4">
        <v>2468397.6984921033</v>
      </c>
      <c r="BZ8" s="4">
        <v>2439036.9682764318</v>
      </c>
      <c r="CA8" s="4">
        <v>2124211.3039441407</v>
      </c>
      <c r="CB8" s="4">
        <v>2398701.4631261933</v>
      </c>
      <c r="CC8" s="4">
        <v>1965307.1462771485</v>
      </c>
      <c r="CD8" s="4">
        <v>3698347.5499585196</v>
      </c>
      <c r="CE8" s="4">
        <v>1912217.7298182629</v>
      </c>
      <c r="CF8" s="4">
        <v>2786156.4568207897</v>
      </c>
      <c r="CG8" s="4">
        <v>3040788.2744846083</v>
      </c>
      <c r="CH8" s="4">
        <v>2672013.4654244292</v>
      </c>
      <c r="CI8" s="4">
        <v>2221605.3054465852</v>
      </c>
      <c r="CJ8" s="4">
        <v>3470565.5623290483</v>
      </c>
      <c r="CK8" s="4">
        <v>3076934.9904323462</v>
      </c>
      <c r="CL8" s="4">
        <v>2388115.7788031888</v>
      </c>
      <c r="CM8" s="4">
        <v>2105436.9009808842</v>
      </c>
      <c r="CN8" s="4">
        <v>2532885.8128424613</v>
      </c>
      <c r="CO8" s="4">
        <v>3316682.7073932756</v>
      </c>
      <c r="CP8" s="4">
        <v>2636528.6147582876</v>
      </c>
      <c r="CQ8" s="4">
        <v>2059421.1631846812</v>
      </c>
      <c r="CR8" s="4">
        <v>2109260.5640859422</v>
      </c>
      <c r="CS8" s="4">
        <v>2283225.5538213733</v>
      </c>
      <c r="CT8" s="4">
        <v>1603185.9052032046</v>
      </c>
      <c r="CU8" s="4">
        <v>2435526.0785855926</v>
      </c>
      <c r="CV8" s="4">
        <v>2613023.4775785632</v>
      </c>
      <c r="CW8" s="4">
        <v>3738994.5719417832</v>
      </c>
    </row>
    <row r="9" spans="1:101" x14ac:dyDescent="0.35">
      <c r="A9">
        <v>202208</v>
      </c>
      <c r="B9" s="4">
        <v>2301597.3467005095</v>
      </c>
      <c r="C9" s="4">
        <v>2668677.7500815801</v>
      </c>
      <c r="D9" s="4">
        <v>2405479.9122745642</v>
      </c>
      <c r="E9" s="4">
        <v>2780943.5642090994</v>
      </c>
      <c r="F9" s="4">
        <v>2219309.4803495985</v>
      </c>
      <c r="G9" s="4">
        <v>3030108.9612180889</v>
      </c>
      <c r="H9" s="4">
        <v>2019802.661883767</v>
      </c>
      <c r="I9" s="4">
        <v>3070248.2221988807</v>
      </c>
      <c r="J9" s="4">
        <v>2805308.5161434165</v>
      </c>
      <c r="K9" s="4">
        <v>2228302.1594434092</v>
      </c>
      <c r="L9" s="4">
        <v>1668998.9853560054</v>
      </c>
      <c r="M9" s="4">
        <v>2350994.7911790158</v>
      </c>
      <c r="N9" s="4">
        <v>2035375.7503459791</v>
      </c>
      <c r="O9" s="4">
        <v>2953270.3845286737</v>
      </c>
      <c r="P9" s="4">
        <v>2064029.4472038164</v>
      </c>
      <c r="Q9" s="4">
        <v>2022399.0036025231</v>
      </c>
      <c r="R9" s="4">
        <v>2871065.1871912736</v>
      </c>
      <c r="S9" s="4">
        <v>2060157.8348275393</v>
      </c>
      <c r="T9" s="4">
        <v>1996196.2189637667</v>
      </c>
      <c r="U9" s="4">
        <v>1815487.3576117237</v>
      </c>
      <c r="V9" s="4">
        <v>1978992.7284008586</v>
      </c>
      <c r="W9" s="4">
        <v>3061682.615979027</v>
      </c>
      <c r="X9" s="4">
        <v>1877223.0390746831</v>
      </c>
      <c r="Y9" s="4">
        <v>2334569.1077705328</v>
      </c>
      <c r="Z9" s="4">
        <v>2345862.4300896744</v>
      </c>
      <c r="AA9" s="4">
        <v>1729876.7677947695</v>
      </c>
      <c r="AB9" s="4">
        <v>2203809.0726996092</v>
      </c>
      <c r="AC9" s="4">
        <v>2277536.7513328949</v>
      </c>
      <c r="AD9" s="4">
        <v>2560974.1329834582</v>
      </c>
      <c r="AE9" s="4">
        <v>2114374.6586045306</v>
      </c>
      <c r="AF9" s="4">
        <v>2246063.0967847728</v>
      </c>
      <c r="AG9" s="4">
        <v>2307065.3956188508</v>
      </c>
      <c r="AH9" s="4">
        <v>2366787.5268030358</v>
      </c>
      <c r="AI9" s="4">
        <v>2551668.839996492</v>
      </c>
      <c r="AJ9" s="4">
        <v>2698227.1634461819</v>
      </c>
      <c r="AK9" s="4">
        <v>2688312.2381454483</v>
      </c>
      <c r="AL9" s="4">
        <v>2267123.0318567059</v>
      </c>
      <c r="AM9" s="4">
        <v>3262830.5447194716</v>
      </c>
      <c r="AN9" s="4">
        <v>2158698.6639439184</v>
      </c>
      <c r="AO9" s="4">
        <v>2253239.0356281074</v>
      </c>
      <c r="AP9" s="4">
        <v>2099729.7103184294</v>
      </c>
      <c r="AQ9" s="4">
        <v>2105670.5715221162</v>
      </c>
      <c r="AR9" s="4">
        <v>2074310.748378993</v>
      </c>
      <c r="AS9" s="4">
        <v>1699103.9829100273</v>
      </c>
      <c r="AT9" s="4">
        <v>2054242.9689092659</v>
      </c>
      <c r="AU9" s="4">
        <v>1735050.5053180638</v>
      </c>
      <c r="AV9" s="4">
        <v>1938352.4792850383</v>
      </c>
      <c r="AW9" s="4">
        <v>1988777.8333601658</v>
      </c>
      <c r="AX9" s="4">
        <v>2295590.5392945996</v>
      </c>
      <c r="AY9" s="4">
        <v>2063935.6538799643</v>
      </c>
      <c r="AZ9" s="4">
        <v>3893975.1582985944</v>
      </c>
      <c r="BA9" s="4">
        <v>3223261.7884062887</v>
      </c>
      <c r="BB9" s="4">
        <v>2455953.6918374551</v>
      </c>
      <c r="BC9" s="4">
        <v>1702787.3068910688</v>
      </c>
      <c r="BD9" s="4">
        <v>2705138.0941010043</v>
      </c>
      <c r="BE9" s="4">
        <v>2163130.6821557768</v>
      </c>
      <c r="BF9" s="4">
        <v>2282291.5447840169</v>
      </c>
      <c r="BG9" s="4">
        <v>2249800.8139733002</v>
      </c>
      <c r="BH9" s="4">
        <v>2425861.3230494959</v>
      </c>
      <c r="BI9" s="4">
        <v>2466236.5034212833</v>
      </c>
      <c r="BJ9" s="4">
        <v>2532792.2509116586</v>
      </c>
      <c r="BK9" s="4">
        <v>2556841.4255790031</v>
      </c>
      <c r="BL9" s="4">
        <v>1576281.0650005406</v>
      </c>
      <c r="BM9" s="4">
        <v>1980119.185960897</v>
      </c>
      <c r="BN9" s="4">
        <v>2275644.6937741986</v>
      </c>
      <c r="BO9" s="4">
        <v>2142167.2094667093</v>
      </c>
      <c r="BP9" s="4">
        <v>2360139.6385421213</v>
      </c>
      <c r="BQ9" s="4">
        <v>2971093.1534675295</v>
      </c>
      <c r="BR9" s="4">
        <v>2330402.7201065253</v>
      </c>
      <c r="BS9" s="4">
        <v>2339227.0605486589</v>
      </c>
      <c r="BT9" s="4">
        <v>3174431.3726451658</v>
      </c>
      <c r="BU9" s="4">
        <v>2076826.4126993045</v>
      </c>
      <c r="BV9" s="4">
        <v>2536201.5223773508</v>
      </c>
      <c r="BW9" s="4">
        <v>2162087.3514138507</v>
      </c>
      <c r="BX9" s="4">
        <v>2086500.1620448898</v>
      </c>
      <c r="BY9" s="4">
        <v>2327396.5400433256</v>
      </c>
      <c r="BZ9" s="4">
        <v>2340861.2430530502</v>
      </c>
      <c r="CA9" s="4">
        <v>1986270.0195551671</v>
      </c>
      <c r="CB9" s="4">
        <v>2244379.2301963693</v>
      </c>
      <c r="CC9" s="4">
        <v>1871951.7175880477</v>
      </c>
      <c r="CD9" s="4">
        <v>3478185.2297602003</v>
      </c>
      <c r="CE9" s="4">
        <v>1868304.4237890586</v>
      </c>
      <c r="CF9" s="4">
        <v>2598902.6868913043</v>
      </c>
      <c r="CG9" s="4">
        <v>2878627.8391364063</v>
      </c>
      <c r="CH9" s="4">
        <v>2506209.0018220223</v>
      </c>
      <c r="CI9" s="4">
        <v>2091668.5952611011</v>
      </c>
      <c r="CJ9" s="4">
        <v>3173008.0232791416</v>
      </c>
      <c r="CK9" s="4">
        <v>2942702.1557103209</v>
      </c>
      <c r="CL9" s="4">
        <v>2271072.490935694</v>
      </c>
      <c r="CM9" s="4">
        <v>1973025.173074815</v>
      </c>
      <c r="CN9" s="4">
        <v>2417708.6865193374</v>
      </c>
      <c r="CO9" s="4">
        <v>3196693.1492790668</v>
      </c>
      <c r="CP9" s="4">
        <v>2483393.0973504097</v>
      </c>
      <c r="CQ9" s="4">
        <v>1983009.9609205497</v>
      </c>
      <c r="CR9" s="4">
        <v>2036144.7180742908</v>
      </c>
      <c r="CS9" s="4">
        <v>2200954.207367891</v>
      </c>
      <c r="CT9" s="4">
        <v>1540260.4575066622</v>
      </c>
      <c r="CU9" s="4">
        <v>2292327.358029678</v>
      </c>
      <c r="CV9" s="4">
        <v>2425892.8443792844</v>
      </c>
      <c r="CW9" s="4">
        <v>3597710.4972139867</v>
      </c>
    </row>
    <row r="10" spans="1:101" x14ac:dyDescent="0.35">
      <c r="A10">
        <v>202209</v>
      </c>
      <c r="B10" s="4">
        <v>2291536.881426916</v>
      </c>
      <c r="C10" s="4">
        <v>2698850.9685866535</v>
      </c>
      <c r="D10" s="4">
        <v>2360532.3835212323</v>
      </c>
      <c r="E10" s="4">
        <v>2779739.8275512704</v>
      </c>
      <c r="F10" s="4">
        <v>2233508.5270991595</v>
      </c>
      <c r="G10" s="4">
        <v>3034079.7419120013</v>
      </c>
      <c r="H10" s="4">
        <v>1986349.5581421535</v>
      </c>
      <c r="I10" s="4">
        <v>2952876.6670761378</v>
      </c>
      <c r="J10" s="4">
        <v>2829185.9729461926</v>
      </c>
      <c r="K10" s="4">
        <v>2223770.0836042203</v>
      </c>
      <c r="L10" s="4">
        <v>1624442.6207576944</v>
      </c>
      <c r="M10" s="4">
        <v>2336864.3666957431</v>
      </c>
      <c r="N10" s="4">
        <v>2017341.0996757371</v>
      </c>
      <c r="O10" s="4">
        <v>2896670.4705135035</v>
      </c>
      <c r="P10" s="4">
        <v>2105598.8934974354</v>
      </c>
      <c r="Q10" s="4">
        <v>1991416.0948487571</v>
      </c>
      <c r="R10" s="4">
        <v>2891853.2061040215</v>
      </c>
      <c r="S10" s="4">
        <v>2063560.3120476678</v>
      </c>
      <c r="T10" s="4">
        <v>2013097.6461117698</v>
      </c>
      <c r="U10" s="4">
        <v>1827930.2351388589</v>
      </c>
      <c r="V10" s="4">
        <v>2010005.8148002559</v>
      </c>
      <c r="W10" s="4">
        <v>3026706.4746689848</v>
      </c>
      <c r="X10" s="4">
        <v>1825637.6451420314</v>
      </c>
      <c r="Y10" s="4">
        <v>2349764.3219141532</v>
      </c>
      <c r="Z10" s="4">
        <v>2339434.6823054962</v>
      </c>
      <c r="AA10" s="4">
        <v>1731545.2777567098</v>
      </c>
      <c r="AB10" s="4">
        <v>2185902.9884225437</v>
      </c>
      <c r="AC10" s="4">
        <v>2249313.4774023844</v>
      </c>
      <c r="AD10" s="4">
        <v>2540600.1062935037</v>
      </c>
      <c r="AE10" s="4">
        <v>2090716.7123937546</v>
      </c>
      <c r="AF10" s="4">
        <v>2278546.9472981701</v>
      </c>
      <c r="AG10" s="4">
        <v>2311793.3423143346</v>
      </c>
      <c r="AH10" s="4">
        <v>2336129.7705227472</v>
      </c>
      <c r="AI10" s="4">
        <v>2535794.5764796329</v>
      </c>
      <c r="AJ10" s="4">
        <v>2699287.4721718659</v>
      </c>
      <c r="AK10" s="4">
        <v>2707958.778593427</v>
      </c>
      <c r="AL10" s="4">
        <v>2270777.3006843915</v>
      </c>
      <c r="AM10" s="4">
        <v>3225143.5764934556</v>
      </c>
      <c r="AN10" s="4">
        <v>2108219.3412110615</v>
      </c>
      <c r="AO10" s="4">
        <v>2223585.6144827446</v>
      </c>
      <c r="AP10" s="4">
        <v>2088550.6340483157</v>
      </c>
      <c r="AQ10" s="4">
        <v>2081187.015223338</v>
      </c>
      <c r="AR10" s="4">
        <v>2070928.2067193636</v>
      </c>
      <c r="AS10" s="4">
        <v>1691431.3161085239</v>
      </c>
      <c r="AT10" s="4">
        <v>2072271.2848810337</v>
      </c>
      <c r="AU10" s="4">
        <v>1723059.0296645332</v>
      </c>
      <c r="AV10" s="4">
        <v>1921648.1086452201</v>
      </c>
      <c r="AW10" s="4">
        <v>2008294.9288349182</v>
      </c>
      <c r="AX10" s="4">
        <v>2270680.9336067424</v>
      </c>
      <c r="AY10" s="4">
        <v>2095699.1508528744</v>
      </c>
      <c r="AZ10" s="4">
        <v>3924208.5860613226</v>
      </c>
      <c r="BA10" s="4">
        <v>3244546.2552040997</v>
      </c>
      <c r="BB10" s="4">
        <v>2434639.5800072537</v>
      </c>
      <c r="BC10" s="4">
        <v>1662879.6155118528</v>
      </c>
      <c r="BD10" s="4">
        <v>2715737.8364914148</v>
      </c>
      <c r="BE10" s="4">
        <v>2137450.5548952948</v>
      </c>
      <c r="BF10" s="4">
        <v>2217399.0174687854</v>
      </c>
      <c r="BG10" s="4">
        <v>2224918.3153808056</v>
      </c>
      <c r="BH10" s="4">
        <v>2451469.9171551345</v>
      </c>
      <c r="BI10" s="4">
        <v>2450788.7430795971</v>
      </c>
      <c r="BJ10" s="4">
        <v>2490969.3881836371</v>
      </c>
      <c r="BK10" s="4">
        <v>2477062.7234239667</v>
      </c>
      <c r="BL10" s="4">
        <v>1587644.8052149478</v>
      </c>
      <c r="BM10" s="4">
        <v>1984706.1367587096</v>
      </c>
      <c r="BN10" s="4">
        <v>2291855.4996827506</v>
      </c>
      <c r="BO10" s="4">
        <v>2106087.6228366396</v>
      </c>
      <c r="BP10" s="4">
        <v>2307982.3358784947</v>
      </c>
      <c r="BQ10" s="4">
        <v>3048565.9315943336</v>
      </c>
      <c r="BR10" s="4">
        <v>2388082.1140406257</v>
      </c>
      <c r="BS10" s="4">
        <v>2324424.2740943688</v>
      </c>
      <c r="BT10" s="4">
        <v>3119136.6336731231</v>
      </c>
      <c r="BU10" s="4">
        <v>2009850.8498168914</v>
      </c>
      <c r="BV10" s="4">
        <v>2532737.3445749898</v>
      </c>
      <c r="BW10" s="4">
        <v>2189849.9753861222</v>
      </c>
      <c r="BX10" s="4">
        <v>2071367.8983604074</v>
      </c>
      <c r="BY10" s="4">
        <v>2284213.3957648613</v>
      </c>
      <c r="BZ10" s="4">
        <v>2290189.5868807011</v>
      </c>
      <c r="CA10" s="4">
        <v>2014444.1805165578</v>
      </c>
      <c r="CB10" s="4">
        <v>2257380.8793870243</v>
      </c>
      <c r="CC10" s="4">
        <v>1893618.0686290001</v>
      </c>
      <c r="CD10" s="4">
        <v>3473139.2179432604</v>
      </c>
      <c r="CE10" s="4">
        <v>1810517.6256476548</v>
      </c>
      <c r="CF10" s="4">
        <v>2642510.6030303687</v>
      </c>
      <c r="CG10" s="4">
        <v>2848690.4473630837</v>
      </c>
      <c r="CH10" s="4">
        <v>2513817.1917236364</v>
      </c>
      <c r="CI10" s="4">
        <v>2065176.9528171069</v>
      </c>
      <c r="CJ10" s="4">
        <v>3245748.3945374023</v>
      </c>
      <c r="CK10" s="4">
        <v>2953069.4400938195</v>
      </c>
      <c r="CL10" s="4">
        <v>2207097.6849173061</v>
      </c>
      <c r="CM10" s="4">
        <v>1999182.1772214554</v>
      </c>
      <c r="CN10" s="4">
        <v>2431138.3241389492</v>
      </c>
      <c r="CO10" s="4">
        <v>3171616.3049275489</v>
      </c>
      <c r="CP10" s="4">
        <v>2469191.7983772624</v>
      </c>
      <c r="CQ10" s="4">
        <v>1929394.9023602162</v>
      </c>
      <c r="CR10" s="4">
        <v>1997113.4026031909</v>
      </c>
      <c r="CS10" s="4">
        <v>2199161.6448687292</v>
      </c>
      <c r="CT10" s="4">
        <v>1523257.3048549718</v>
      </c>
      <c r="CU10" s="4">
        <v>2293456.4211670612</v>
      </c>
      <c r="CV10" s="4">
        <v>2404328.3658762118</v>
      </c>
      <c r="CW10" s="4">
        <v>3575896.8454967309</v>
      </c>
    </row>
    <row r="11" spans="1:101" x14ac:dyDescent="0.35">
      <c r="A11">
        <v>202210</v>
      </c>
      <c r="B11" s="4">
        <v>2803750.4959258586</v>
      </c>
      <c r="C11" s="4">
        <v>3295612.1153710387</v>
      </c>
      <c r="D11" s="4">
        <v>2882393.6516769007</v>
      </c>
      <c r="E11" s="4">
        <v>3421854.1449986463</v>
      </c>
      <c r="F11" s="4">
        <v>2815750.3581835716</v>
      </c>
      <c r="G11" s="4">
        <v>3742261.6992945001</v>
      </c>
      <c r="H11" s="4">
        <v>2433664.3748268862</v>
      </c>
      <c r="I11" s="4">
        <v>3705582.3289432782</v>
      </c>
      <c r="J11" s="4">
        <v>3397741.6061231876</v>
      </c>
      <c r="K11" s="4">
        <v>2770171.7386998073</v>
      </c>
      <c r="L11" s="4">
        <v>2065648.7082054082</v>
      </c>
      <c r="M11" s="4">
        <v>2854208.7382783131</v>
      </c>
      <c r="N11" s="4">
        <v>2482666.712671014</v>
      </c>
      <c r="O11" s="4">
        <v>3608572.8866329682</v>
      </c>
      <c r="P11" s="4">
        <v>2576277.6759316782</v>
      </c>
      <c r="Q11" s="4">
        <v>2498859.808840597</v>
      </c>
      <c r="R11" s="4">
        <v>3561940.6170979091</v>
      </c>
      <c r="S11" s="4">
        <v>2557579.1530761663</v>
      </c>
      <c r="T11" s="4">
        <v>2394624.4137167917</v>
      </c>
      <c r="U11" s="4">
        <v>2182373.0626461338</v>
      </c>
      <c r="V11" s="4">
        <v>2418909.9568128129</v>
      </c>
      <c r="W11" s="4">
        <v>3645278.8951186314</v>
      </c>
      <c r="X11" s="4">
        <v>2273653.0812072163</v>
      </c>
      <c r="Y11" s="4">
        <v>2917241.7821750562</v>
      </c>
      <c r="Z11" s="4">
        <v>2857484.8534632735</v>
      </c>
      <c r="AA11" s="4">
        <v>2067242.045935221</v>
      </c>
      <c r="AB11" s="4">
        <v>2697729.6641696915</v>
      </c>
      <c r="AC11" s="4">
        <v>2735397.0437480286</v>
      </c>
      <c r="AD11" s="4">
        <v>3140087.980789748</v>
      </c>
      <c r="AE11" s="4">
        <v>2557976.0430884412</v>
      </c>
      <c r="AF11" s="4">
        <v>2790640.1704729097</v>
      </c>
      <c r="AG11" s="4">
        <v>2849592.9578902707</v>
      </c>
      <c r="AH11" s="4">
        <v>2847143.1311792135</v>
      </c>
      <c r="AI11" s="4">
        <v>3127588.5720390682</v>
      </c>
      <c r="AJ11" s="4">
        <v>3349673.0514346017</v>
      </c>
      <c r="AK11" s="4">
        <v>3261367.2595224134</v>
      </c>
      <c r="AL11" s="4">
        <v>2796748.8903503311</v>
      </c>
      <c r="AM11" s="4">
        <v>3969354.0711707654</v>
      </c>
      <c r="AN11" s="4">
        <v>2594082.6872733766</v>
      </c>
      <c r="AO11" s="4">
        <v>2753714.7859514803</v>
      </c>
      <c r="AP11" s="4">
        <v>2545674.435720155</v>
      </c>
      <c r="AQ11" s="4">
        <v>2564482.2394827064</v>
      </c>
      <c r="AR11" s="4">
        <v>2540873.3186858525</v>
      </c>
      <c r="AS11" s="4">
        <v>2069416.0898348861</v>
      </c>
      <c r="AT11" s="4">
        <v>2528817.9213345321</v>
      </c>
      <c r="AU11" s="4">
        <v>2107011.1261785361</v>
      </c>
      <c r="AV11" s="4">
        <v>2360086.7868520608</v>
      </c>
      <c r="AW11" s="4">
        <v>2459444.1929968824</v>
      </c>
      <c r="AX11" s="4">
        <v>2800577.8668236472</v>
      </c>
      <c r="AY11" s="4">
        <v>2563207.483845111</v>
      </c>
      <c r="AZ11" s="4">
        <v>4734713.5082343258</v>
      </c>
      <c r="BA11" s="4">
        <v>3893621.432852007</v>
      </c>
      <c r="BB11" s="4">
        <v>2995891.6867824122</v>
      </c>
      <c r="BC11" s="4">
        <v>2007638.6567693022</v>
      </c>
      <c r="BD11" s="4">
        <v>3271134.9975651056</v>
      </c>
      <c r="BE11" s="4">
        <v>2658237.0964225139</v>
      </c>
      <c r="BF11" s="4">
        <v>2769147.752994644</v>
      </c>
      <c r="BG11" s="4">
        <v>2745172.3953273934</v>
      </c>
      <c r="BH11" s="4">
        <v>2966027.1277177469</v>
      </c>
      <c r="BI11" s="4">
        <v>2952490.3148259991</v>
      </c>
      <c r="BJ11" s="4">
        <v>3007764.8840437122</v>
      </c>
      <c r="BK11" s="4">
        <v>3088715.8050926845</v>
      </c>
      <c r="BL11" s="4">
        <v>1974387.6860928398</v>
      </c>
      <c r="BM11" s="4">
        <v>2464687.6958378926</v>
      </c>
      <c r="BN11" s="4">
        <v>2776172.2841556431</v>
      </c>
      <c r="BO11" s="4">
        <v>2643135.4777198769</v>
      </c>
      <c r="BP11" s="4">
        <v>2819862.9962744433</v>
      </c>
      <c r="BQ11" s="4">
        <v>3609758.6272042575</v>
      </c>
      <c r="BR11" s="4">
        <v>2867454.7634668448</v>
      </c>
      <c r="BS11" s="4">
        <v>2845494.3746912191</v>
      </c>
      <c r="BT11" s="4">
        <v>3904504.2381533445</v>
      </c>
      <c r="BU11" s="4">
        <v>2509761.0777512998</v>
      </c>
      <c r="BV11" s="4">
        <v>3099955.7468520547</v>
      </c>
      <c r="BW11" s="4">
        <v>2708915.2767956597</v>
      </c>
      <c r="BX11" s="4">
        <v>2542382.8324014582</v>
      </c>
      <c r="BY11" s="4">
        <v>2802738.7085718629</v>
      </c>
      <c r="BZ11" s="4">
        <v>2826382.7901429525</v>
      </c>
      <c r="CA11" s="4">
        <v>2414517.6248899116</v>
      </c>
      <c r="CB11" s="4">
        <v>2740372.5615834119</v>
      </c>
      <c r="CC11" s="4">
        <v>2314612.8257506737</v>
      </c>
      <c r="CD11" s="4">
        <v>4334220.4136464363</v>
      </c>
      <c r="CE11" s="4">
        <v>2222226.6702346657</v>
      </c>
      <c r="CF11" s="4">
        <v>3219411.1224726462</v>
      </c>
      <c r="CG11" s="4">
        <v>3517492.7502015601</v>
      </c>
      <c r="CH11" s="4">
        <v>3056599.3984601484</v>
      </c>
      <c r="CI11" s="4">
        <v>2503193.0531625496</v>
      </c>
      <c r="CJ11" s="4">
        <v>3966910.8339976212</v>
      </c>
      <c r="CK11" s="4">
        <v>3582525.6916057868</v>
      </c>
      <c r="CL11" s="4">
        <v>2761570.5792648979</v>
      </c>
      <c r="CM11" s="4">
        <v>2443764.5514333504</v>
      </c>
      <c r="CN11" s="4">
        <v>2961535.3065646063</v>
      </c>
      <c r="CO11" s="4">
        <v>3934784.7763393391</v>
      </c>
      <c r="CP11" s="4">
        <v>3082130.8226014473</v>
      </c>
      <c r="CQ11" s="4">
        <v>2439090.9759718454</v>
      </c>
      <c r="CR11" s="4">
        <v>2484309.6674255561</v>
      </c>
      <c r="CS11" s="4">
        <v>2709814.9949109755</v>
      </c>
      <c r="CT11" s="4">
        <v>1875158.1845349881</v>
      </c>
      <c r="CU11" s="4">
        <v>2827578.9192119152</v>
      </c>
      <c r="CV11" s="4">
        <v>2976240.6370804533</v>
      </c>
      <c r="CW11" s="4">
        <v>4418233.8490925273</v>
      </c>
    </row>
    <row r="12" spans="1:101" x14ac:dyDescent="0.35">
      <c r="A12">
        <v>202211</v>
      </c>
      <c r="B12" s="4">
        <v>3106804.7428800762</v>
      </c>
      <c r="C12" s="4">
        <v>3678381.8037967482</v>
      </c>
      <c r="D12" s="4">
        <v>3359813.9742996944</v>
      </c>
      <c r="E12" s="4">
        <v>3901767.2748438418</v>
      </c>
      <c r="F12" s="4">
        <v>3153951.751888447</v>
      </c>
      <c r="G12" s="4">
        <v>4244388.6340435278</v>
      </c>
      <c r="H12" s="4">
        <v>2800698.8772058878</v>
      </c>
      <c r="I12" s="4">
        <v>4228518.739969329</v>
      </c>
      <c r="J12" s="4">
        <v>3941102.8077496281</v>
      </c>
      <c r="K12" s="4">
        <v>3127944.0011569234</v>
      </c>
      <c r="L12" s="4">
        <v>2313978.1216989253</v>
      </c>
      <c r="M12" s="4">
        <v>3209905.1078926683</v>
      </c>
      <c r="N12" s="4">
        <v>2773415.7208116711</v>
      </c>
      <c r="O12" s="4">
        <v>4085370.7341778725</v>
      </c>
      <c r="P12" s="4">
        <v>2932821.3728433535</v>
      </c>
      <c r="Q12" s="4">
        <v>2778480.8307802374</v>
      </c>
      <c r="R12" s="4">
        <v>3979871.3033701801</v>
      </c>
      <c r="S12" s="4">
        <v>2928498.9036644478</v>
      </c>
      <c r="T12" s="4">
        <v>2792518.7177188774</v>
      </c>
      <c r="U12" s="4">
        <v>2495461.5372108286</v>
      </c>
      <c r="V12" s="4">
        <v>2782480.8430802394</v>
      </c>
      <c r="W12" s="4">
        <v>4237001.5312764784</v>
      </c>
      <c r="X12" s="4">
        <v>2567036.5186480796</v>
      </c>
      <c r="Y12" s="4">
        <v>3232500.4608365581</v>
      </c>
      <c r="Z12" s="4">
        <v>3265221.2953558122</v>
      </c>
      <c r="AA12" s="4">
        <v>2390309.0514266649</v>
      </c>
      <c r="AB12" s="4">
        <v>3052203.3441313189</v>
      </c>
      <c r="AC12" s="4">
        <v>3089711.2607142311</v>
      </c>
      <c r="AD12" s="4">
        <v>3484987.2299150126</v>
      </c>
      <c r="AE12" s="4">
        <v>2867444.575491813</v>
      </c>
      <c r="AF12" s="4">
        <v>3166787.4421634213</v>
      </c>
      <c r="AG12" s="4">
        <v>3228833.9022758664</v>
      </c>
      <c r="AH12" s="4">
        <v>3228395.5517064095</v>
      </c>
      <c r="AI12" s="4">
        <v>3506286.4143476402</v>
      </c>
      <c r="AJ12" s="4">
        <v>3723461.4727143282</v>
      </c>
      <c r="AK12" s="4">
        <v>3741727.7495455467</v>
      </c>
      <c r="AL12" s="4">
        <v>3113385.2764696842</v>
      </c>
      <c r="AM12" s="4">
        <v>4601987.1522003356</v>
      </c>
      <c r="AN12" s="4">
        <v>2977762.1463324637</v>
      </c>
      <c r="AO12" s="4">
        <v>3155995.6078172573</v>
      </c>
      <c r="AP12" s="4">
        <v>2832757.9669618886</v>
      </c>
      <c r="AQ12" s="4">
        <v>2884198.1098674485</v>
      </c>
      <c r="AR12" s="4">
        <v>2864354.8083434049</v>
      </c>
      <c r="AS12" s="4">
        <v>2354538.5127145173</v>
      </c>
      <c r="AT12" s="4">
        <v>2919782.8035565587</v>
      </c>
      <c r="AU12" s="4">
        <v>2412256.6507061552</v>
      </c>
      <c r="AV12" s="4">
        <v>2683765.3388276706</v>
      </c>
      <c r="AW12" s="4">
        <v>2768831.3109258288</v>
      </c>
      <c r="AX12" s="4">
        <v>3188125.2342024511</v>
      </c>
      <c r="AY12" s="4">
        <v>2907775.4205635302</v>
      </c>
      <c r="AZ12" s="4">
        <v>5356260.3360998211</v>
      </c>
      <c r="BA12" s="4">
        <v>4462550.3600824159</v>
      </c>
      <c r="BB12" s="4">
        <v>3443109.138104042</v>
      </c>
      <c r="BC12" s="4">
        <v>2323022.9078663299</v>
      </c>
      <c r="BD12" s="4">
        <v>3826217.4504893967</v>
      </c>
      <c r="BE12" s="4">
        <v>3010198.6316305557</v>
      </c>
      <c r="BF12" s="4">
        <v>3082069.4302712237</v>
      </c>
      <c r="BG12" s="4">
        <v>3145263.7042026334</v>
      </c>
      <c r="BH12" s="4">
        <v>3364905.0418212274</v>
      </c>
      <c r="BI12" s="4">
        <v>3408888.3092228058</v>
      </c>
      <c r="BJ12" s="4">
        <v>3461705.2674629809</v>
      </c>
      <c r="BK12" s="4">
        <v>3531947.2754332386</v>
      </c>
      <c r="BL12" s="4">
        <v>2254961.8546957313</v>
      </c>
      <c r="BM12" s="4">
        <v>2777951.8068853668</v>
      </c>
      <c r="BN12" s="4">
        <v>3238461.0421987507</v>
      </c>
      <c r="BO12" s="4">
        <v>2946521.4139978946</v>
      </c>
      <c r="BP12" s="4">
        <v>3254620.9095522966</v>
      </c>
      <c r="BQ12" s="4">
        <v>4232167.2528574429</v>
      </c>
      <c r="BR12" s="4">
        <v>3303920.9830866382</v>
      </c>
      <c r="BS12" s="4">
        <v>3292182.4462524517</v>
      </c>
      <c r="BT12" s="4">
        <v>4320577.0913273515</v>
      </c>
      <c r="BU12" s="4">
        <v>2904606.4676972739</v>
      </c>
      <c r="BV12" s="4">
        <v>3632844.9794760235</v>
      </c>
      <c r="BW12" s="4">
        <v>3039701.6577584459</v>
      </c>
      <c r="BX12" s="4">
        <v>2896143.318796658</v>
      </c>
      <c r="BY12" s="4">
        <v>3219602.0094387513</v>
      </c>
      <c r="BZ12" s="4">
        <v>3231403.18419878</v>
      </c>
      <c r="CA12" s="4">
        <v>2795277.8184285602</v>
      </c>
      <c r="CB12" s="4">
        <v>3182916.9700675406</v>
      </c>
      <c r="CC12" s="4">
        <v>2618157.2102387487</v>
      </c>
      <c r="CD12" s="4">
        <v>4870709.5292932279</v>
      </c>
      <c r="CE12" s="4">
        <v>2543462.9721854236</v>
      </c>
      <c r="CF12" s="4">
        <v>3714464.8555351403</v>
      </c>
      <c r="CG12" s="4">
        <v>4092424.2391076726</v>
      </c>
      <c r="CH12" s="4">
        <v>3544114.3289690875</v>
      </c>
      <c r="CI12" s="4">
        <v>2872637.5434886543</v>
      </c>
      <c r="CJ12" s="4">
        <v>4574079.8144160323</v>
      </c>
      <c r="CK12" s="4">
        <v>4102642.4400424971</v>
      </c>
      <c r="CL12" s="4">
        <v>3138538.946727315</v>
      </c>
      <c r="CM12" s="4">
        <v>2775023.6264870563</v>
      </c>
      <c r="CN12" s="4">
        <v>3310856.6449452182</v>
      </c>
      <c r="CO12" s="4">
        <v>4420544.301356826</v>
      </c>
      <c r="CP12" s="4">
        <v>3492080.2061503869</v>
      </c>
      <c r="CQ12" s="4">
        <v>2729286.3982665916</v>
      </c>
      <c r="CR12" s="4">
        <v>2789992.5789416078</v>
      </c>
      <c r="CS12" s="4">
        <v>3024180.5031185499</v>
      </c>
      <c r="CT12" s="4">
        <v>2114784.2883686628</v>
      </c>
      <c r="CU12" s="4">
        <v>3196069.9646702926</v>
      </c>
      <c r="CV12" s="4">
        <v>3371607.717134451</v>
      </c>
      <c r="CW12" s="4">
        <v>5020547.8509351769</v>
      </c>
    </row>
    <row r="13" spans="1:101" x14ac:dyDescent="0.35">
      <c r="A13">
        <v>202212</v>
      </c>
      <c r="B13" s="4">
        <v>3346291.9105398781</v>
      </c>
      <c r="C13" s="4">
        <v>3888052.4911718974</v>
      </c>
      <c r="D13" s="4">
        <v>3411174.2649949715</v>
      </c>
      <c r="E13" s="4">
        <v>4059651.6215021382</v>
      </c>
      <c r="F13" s="4">
        <v>3296948.6047778032</v>
      </c>
      <c r="G13" s="4">
        <v>4311191.0171468919</v>
      </c>
      <c r="H13" s="4">
        <v>2901192.1087754578</v>
      </c>
      <c r="I13" s="4">
        <v>4371520.7247378659</v>
      </c>
      <c r="J13" s="4">
        <v>4065767.2288482389</v>
      </c>
      <c r="K13" s="4">
        <v>3253358.3732883753</v>
      </c>
      <c r="L13" s="4">
        <v>2388800.1606340348</v>
      </c>
      <c r="M13" s="4">
        <v>3395911.25945035</v>
      </c>
      <c r="N13" s="4">
        <v>2918940.5629801415</v>
      </c>
      <c r="O13" s="4">
        <v>4279302.0871459534</v>
      </c>
      <c r="P13" s="4">
        <v>3013677.8180089653</v>
      </c>
      <c r="Q13" s="4">
        <v>2916519.7678370383</v>
      </c>
      <c r="R13" s="4">
        <v>4166351.3262937455</v>
      </c>
      <c r="S13" s="4">
        <v>3019577.1222364921</v>
      </c>
      <c r="T13" s="4">
        <v>2882021.9455599454</v>
      </c>
      <c r="U13" s="4">
        <v>2603242.9103335603</v>
      </c>
      <c r="V13" s="4">
        <v>2933134.7257557535</v>
      </c>
      <c r="W13" s="4">
        <v>4363761.9273547437</v>
      </c>
      <c r="X13" s="4">
        <v>2672906.5267523085</v>
      </c>
      <c r="Y13" s="4">
        <v>3441417.727639094</v>
      </c>
      <c r="Z13" s="4">
        <v>3387407.9606620832</v>
      </c>
      <c r="AA13" s="4">
        <v>2504700.2378016589</v>
      </c>
      <c r="AB13" s="4">
        <v>3176039.1179326023</v>
      </c>
      <c r="AC13" s="4">
        <v>3261815.639240196</v>
      </c>
      <c r="AD13" s="4">
        <v>3692082.396345662</v>
      </c>
      <c r="AE13" s="4">
        <v>3033589.2689226093</v>
      </c>
      <c r="AF13" s="4">
        <v>3354011.1747954641</v>
      </c>
      <c r="AG13" s="4">
        <v>3338396.5980855785</v>
      </c>
      <c r="AH13" s="4">
        <v>3334988.0041001975</v>
      </c>
      <c r="AI13" s="4">
        <v>3681114.8128068531</v>
      </c>
      <c r="AJ13" s="4">
        <v>3928213.7082122732</v>
      </c>
      <c r="AK13" s="4">
        <v>3963587.9369483604</v>
      </c>
      <c r="AL13" s="4">
        <v>3249791.0355925187</v>
      </c>
      <c r="AM13" s="4">
        <v>4737206.6016396061</v>
      </c>
      <c r="AN13" s="4">
        <v>3077559.3575019948</v>
      </c>
      <c r="AO13" s="4">
        <v>3256602.108835882</v>
      </c>
      <c r="AP13" s="4">
        <v>3089026.8077308354</v>
      </c>
      <c r="AQ13" s="4">
        <v>3047293.0392927979</v>
      </c>
      <c r="AR13" s="4">
        <v>2974435.8807074013</v>
      </c>
      <c r="AS13" s="4">
        <v>2459765.569692147</v>
      </c>
      <c r="AT13" s="4">
        <v>2974756.1107159401</v>
      </c>
      <c r="AU13" s="4">
        <v>2487071.8697438031</v>
      </c>
      <c r="AV13" s="4">
        <v>2824586.9766495368</v>
      </c>
      <c r="AW13" s="4">
        <v>2986316.5962172411</v>
      </c>
      <c r="AX13" s="4">
        <v>3338465.8467069729</v>
      </c>
      <c r="AY13" s="4">
        <v>3029918.3985631219</v>
      </c>
      <c r="AZ13" s="4">
        <v>5670784.5684397984</v>
      </c>
      <c r="BA13" s="4">
        <v>4678979.2660223143</v>
      </c>
      <c r="BB13" s="4">
        <v>3576439.9428808121</v>
      </c>
      <c r="BC13" s="4">
        <v>2471825.4764766167</v>
      </c>
      <c r="BD13" s="4">
        <v>3854433.4448359902</v>
      </c>
      <c r="BE13" s="4">
        <v>3133357.7831051578</v>
      </c>
      <c r="BF13" s="4">
        <v>3258063.164826226</v>
      </c>
      <c r="BG13" s="4">
        <v>3226295.8531163987</v>
      </c>
      <c r="BH13" s="4">
        <v>3431612.1918662838</v>
      </c>
      <c r="BI13" s="4">
        <v>3521170.4572586985</v>
      </c>
      <c r="BJ13" s="4">
        <v>3592403.4923451096</v>
      </c>
      <c r="BK13" s="4">
        <v>3648852.5726999417</v>
      </c>
      <c r="BL13" s="4">
        <v>2344389.9068643004</v>
      </c>
      <c r="BM13" s="4">
        <v>2934775.6641683206</v>
      </c>
      <c r="BN13" s="4">
        <v>3316002.9660869641</v>
      </c>
      <c r="BO13" s="4">
        <v>3095004.6851149257</v>
      </c>
      <c r="BP13" s="4">
        <v>3361885.010310946</v>
      </c>
      <c r="BQ13" s="4">
        <v>4409538.8168132259</v>
      </c>
      <c r="BR13" s="4">
        <v>3430514.2391379261</v>
      </c>
      <c r="BS13" s="4">
        <v>3413961.3682382754</v>
      </c>
      <c r="BT13" s="4">
        <v>4653332.9349507708</v>
      </c>
      <c r="BU13" s="4">
        <v>2979834.7247594334</v>
      </c>
      <c r="BV13" s="4">
        <v>3726721.0473938258</v>
      </c>
      <c r="BW13" s="4">
        <v>3143865.7892810968</v>
      </c>
      <c r="BX13" s="4">
        <v>3031303.5041682175</v>
      </c>
      <c r="BY13" s="4">
        <v>3362341.1431389558</v>
      </c>
      <c r="BZ13" s="4">
        <v>3364559.019758434</v>
      </c>
      <c r="CA13" s="4">
        <v>2920026.5721432995</v>
      </c>
      <c r="CB13" s="4">
        <v>3236093.162225469</v>
      </c>
      <c r="CC13" s="4">
        <v>2729254.6410622504</v>
      </c>
      <c r="CD13" s="4">
        <v>5192524.1877730172</v>
      </c>
      <c r="CE13" s="4">
        <v>2640902.2106376123</v>
      </c>
      <c r="CF13" s="4">
        <v>3857734.9851132943</v>
      </c>
      <c r="CG13" s="4">
        <v>4175282.0412865058</v>
      </c>
      <c r="CH13" s="4">
        <v>3668178.2177110724</v>
      </c>
      <c r="CI13" s="4">
        <v>2985658.6481165783</v>
      </c>
      <c r="CJ13" s="4">
        <v>4606782.5646288088</v>
      </c>
      <c r="CK13" s="4">
        <v>4216069.3653528905</v>
      </c>
      <c r="CL13" s="4">
        <v>3252064.2152408115</v>
      </c>
      <c r="CM13" s="4">
        <v>2901502.2846673853</v>
      </c>
      <c r="CN13" s="4">
        <v>3463341.2852351223</v>
      </c>
      <c r="CO13" s="4">
        <v>4622768.5823622998</v>
      </c>
      <c r="CP13" s="4">
        <v>3606749.4793269513</v>
      </c>
      <c r="CQ13" s="4">
        <v>2843838.9386509922</v>
      </c>
      <c r="CR13" s="4">
        <v>2924635.4086314728</v>
      </c>
      <c r="CS13" s="4">
        <v>3107433.0033724448</v>
      </c>
      <c r="CT13" s="4">
        <v>2195118.9134739288</v>
      </c>
      <c r="CU13" s="4">
        <v>3349501.1296122549</v>
      </c>
      <c r="CV13" s="4">
        <v>3586172.7985363463</v>
      </c>
      <c r="CW13" s="4">
        <v>5229425.161152673</v>
      </c>
    </row>
    <row r="14" spans="1:101" x14ac:dyDescent="0.35">
      <c r="A14">
        <v>202301</v>
      </c>
      <c r="B14" s="4">
        <v>1915508.6209028615</v>
      </c>
      <c r="C14" s="4">
        <v>2265730.1197088868</v>
      </c>
      <c r="D14" s="4">
        <v>1993933.7026014463</v>
      </c>
      <c r="E14" s="4">
        <v>2307593.41771622</v>
      </c>
      <c r="F14" s="4">
        <v>1884053.2244451416</v>
      </c>
      <c r="G14" s="4">
        <v>2561490.6226507025</v>
      </c>
      <c r="H14" s="4">
        <v>1653387.2247721287</v>
      </c>
      <c r="I14" s="4">
        <v>2533372.1527666776</v>
      </c>
      <c r="J14" s="4">
        <v>2400766.4931470817</v>
      </c>
      <c r="K14" s="4">
        <v>1868456.5796366637</v>
      </c>
      <c r="L14" s="4">
        <v>1395392.3541947007</v>
      </c>
      <c r="M14" s="4">
        <v>1941307.2661321084</v>
      </c>
      <c r="N14" s="4">
        <v>1693544.987632496</v>
      </c>
      <c r="O14" s="4">
        <v>2433371.3448588946</v>
      </c>
      <c r="P14" s="4">
        <v>1758112.1228884719</v>
      </c>
      <c r="Q14" s="4">
        <v>1688985.9649443275</v>
      </c>
      <c r="R14" s="4">
        <v>2376399.4194470597</v>
      </c>
      <c r="S14" s="4">
        <v>1744464.2107355637</v>
      </c>
      <c r="T14" s="4">
        <v>1695040.6117647174</v>
      </c>
      <c r="U14" s="4">
        <v>1509358.863361381</v>
      </c>
      <c r="V14" s="4">
        <v>1683427.4396877165</v>
      </c>
      <c r="W14" s="4">
        <v>2554786.1020636545</v>
      </c>
      <c r="X14" s="4">
        <v>1545955.1433907421</v>
      </c>
      <c r="Y14" s="4">
        <v>2003936.4454139648</v>
      </c>
      <c r="Z14" s="4">
        <v>1931041.0330246435</v>
      </c>
      <c r="AA14" s="4">
        <v>1446553.3807957547</v>
      </c>
      <c r="AB14" s="4">
        <v>1850732.9628716079</v>
      </c>
      <c r="AC14" s="4">
        <v>1849252.6993081642</v>
      </c>
      <c r="AD14" s="4">
        <v>2110231.7116913688</v>
      </c>
      <c r="AE14" s="4">
        <v>1762353.813599166</v>
      </c>
      <c r="AF14" s="4">
        <v>1933550.9913542701</v>
      </c>
      <c r="AG14" s="4">
        <v>1961889.7181245689</v>
      </c>
      <c r="AH14" s="4">
        <v>1967083.651215466</v>
      </c>
      <c r="AI14" s="4">
        <v>2171880.9475992508</v>
      </c>
      <c r="AJ14" s="4">
        <v>2303664.7452238235</v>
      </c>
      <c r="AK14" s="4">
        <v>2228414.0839966252</v>
      </c>
      <c r="AL14" s="4">
        <v>1909819.8238408484</v>
      </c>
      <c r="AM14" s="4">
        <v>2759751.8679766529</v>
      </c>
      <c r="AN14" s="4">
        <v>1764877.3897044829</v>
      </c>
      <c r="AO14" s="4">
        <v>1877085.1099185543</v>
      </c>
      <c r="AP14" s="4">
        <v>1769005.48775573</v>
      </c>
      <c r="AQ14" s="4">
        <v>1742362.7900140239</v>
      </c>
      <c r="AR14" s="4">
        <v>1761487.4872924914</v>
      </c>
      <c r="AS14" s="4">
        <v>1419496.618236644</v>
      </c>
      <c r="AT14" s="4">
        <v>1680953.154809671</v>
      </c>
      <c r="AU14" s="4">
        <v>1468831.1345110799</v>
      </c>
      <c r="AV14" s="4">
        <v>1581790.7237731833</v>
      </c>
      <c r="AW14" s="4">
        <v>1702256.1827684236</v>
      </c>
      <c r="AX14" s="4">
        <v>1924133.9596042978</v>
      </c>
      <c r="AY14" s="4">
        <v>1749585.175543424</v>
      </c>
      <c r="AZ14" s="4">
        <v>3267449.3257886642</v>
      </c>
      <c r="BA14" s="4">
        <v>2668471.5952983433</v>
      </c>
      <c r="BB14" s="4">
        <v>2043374.1395569141</v>
      </c>
      <c r="BC14" s="4">
        <v>1408965.074443615</v>
      </c>
      <c r="BD14" s="4">
        <v>2243113.4915228612</v>
      </c>
      <c r="BE14" s="4">
        <v>1815363.6555131553</v>
      </c>
      <c r="BF14" s="4">
        <v>1842223.2397246745</v>
      </c>
      <c r="BG14" s="4">
        <v>1874261.0001008527</v>
      </c>
      <c r="BH14" s="4">
        <v>2002611.8710919658</v>
      </c>
      <c r="BI14" s="4">
        <v>2005680.5299033988</v>
      </c>
      <c r="BJ14" s="4">
        <v>2091928.1641644519</v>
      </c>
      <c r="BK14" s="4">
        <v>2113243.650487321</v>
      </c>
      <c r="BL14" s="4">
        <v>1352911.3006519587</v>
      </c>
      <c r="BM14" s="4">
        <v>1674351.7565354384</v>
      </c>
      <c r="BN14" s="4">
        <v>1906789.8887044562</v>
      </c>
      <c r="BO14" s="4">
        <v>1786600.4378618225</v>
      </c>
      <c r="BP14" s="4">
        <v>1987761.6399895982</v>
      </c>
      <c r="BQ14" s="4">
        <v>2564246.0521060149</v>
      </c>
      <c r="BR14" s="4">
        <v>1991152.78457859</v>
      </c>
      <c r="BS14" s="4">
        <v>1967489.6991014588</v>
      </c>
      <c r="BT14" s="4">
        <v>2665746.3988011475</v>
      </c>
      <c r="BU14" s="4">
        <v>1724546.6220555236</v>
      </c>
      <c r="BV14" s="4">
        <v>2092860.8264271303</v>
      </c>
      <c r="BW14" s="4">
        <v>1798632.4899297017</v>
      </c>
      <c r="BX14" s="4">
        <v>1707903.0719056488</v>
      </c>
      <c r="BY14" s="4">
        <v>1955329.3555897961</v>
      </c>
      <c r="BZ14" s="4">
        <v>1917498.9924000925</v>
      </c>
      <c r="CA14" s="4">
        <v>1649613.7735437285</v>
      </c>
      <c r="CB14" s="4">
        <v>1924209.1513376187</v>
      </c>
      <c r="CC14" s="4">
        <v>1587232.9687286874</v>
      </c>
      <c r="CD14" s="4">
        <v>2906611.0717141293</v>
      </c>
      <c r="CE14" s="4">
        <v>1553242.0008005947</v>
      </c>
      <c r="CF14" s="4">
        <v>2248726.2096799528</v>
      </c>
      <c r="CG14" s="4">
        <v>2420425.8605470224</v>
      </c>
      <c r="CH14" s="4">
        <v>2097746.42257701</v>
      </c>
      <c r="CI14" s="4">
        <v>1699848.1547422998</v>
      </c>
      <c r="CJ14" s="4">
        <v>2726259.1691288305</v>
      </c>
      <c r="CK14" s="4">
        <v>2491051.6342431768</v>
      </c>
      <c r="CL14" s="4">
        <v>1881443.7863363894</v>
      </c>
      <c r="CM14" s="4">
        <v>1683863.6581113699</v>
      </c>
      <c r="CN14" s="4">
        <v>2016279.7578494563</v>
      </c>
      <c r="CO14" s="4">
        <v>2660449.8685615938</v>
      </c>
      <c r="CP14" s="4">
        <v>2091082.3538629427</v>
      </c>
      <c r="CQ14" s="4">
        <v>1642224.5520252152</v>
      </c>
      <c r="CR14" s="4">
        <v>1676084.6747332804</v>
      </c>
      <c r="CS14" s="4">
        <v>1805502.7649034695</v>
      </c>
      <c r="CT14" s="4">
        <v>1286240.959873619</v>
      </c>
      <c r="CU14" s="4">
        <v>1966149.5774327954</v>
      </c>
      <c r="CV14" s="4">
        <v>2052039.5376631448</v>
      </c>
      <c r="CW14" s="4">
        <v>2994814.2199261184</v>
      </c>
    </row>
    <row r="15" spans="1:101" x14ac:dyDescent="0.35">
      <c r="A15">
        <v>202302</v>
      </c>
      <c r="B15" s="4">
        <v>2135282.1798350336</v>
      </c>
      <c r="C15" s="4">
        <v>2510303.4053045921</v>
      </c>
      <c r="D15" s="4">
        <v>2258599.7706159521</v>
      </c>
      <c r="E15" s="4">
        <v>2636052.4870878402</v>
      </c>
      <c r="F15" s="4">
        <v>2159096.1092818254</v>
      </c>
      <c r="G15" s="4">
        <v>2873916.7281144867</v>
      </c>
      <c r="H15" s="4">
        <v>1906617.471838865</v>
      </c>
      <c r="I15" s="4">
        <v>2837200.9385476811</v>
      </c>
      <c r="J15" s="4">
        <v>2683243.3470644108</v>
      </c>
      <c r="K15" s="4">
        <v>2137368.2070062822</v>
      </c>
      <c r="L15" s="4">
        <v>1597214.0556270257</v>
      </c>
      <c r="M15" s="4">
        <v>2238505.4115096913</v>
      </c>
      <c r="N15" s="4">
        <v>1920286.9066438884</v>
      </c>
      <c r="O15" s="4">
        <v>2796187.7457352523</v>
      </c>
      <c r="P15" s="4">
        <v>2005750.1998924138</v>
      </c>
      <c r="Q15" s="4">
        <v>1903054.0615157995</v>
      </c>
      <c r="R15" s="4">
        <v>2739010.6445315131</v>
      </c>
      <c r="S15" s="4">
        <v>1960471.8694343257</v>
      </c>
      <c r="T15" s="4">
        <v>1884153.8802258689</v>
      </c>
      <c r="U15" s="4">
        <v>1700907.9374385739</v>
      </c>
      <c r="V15" s="4">
        <v>1915744.6290078138</v>
      </c>
      <c r="W15" s="4">
        <v>2904504.4393038377</v>
      </c>
      <c r="X15" s="4">
        <v>1745950.6043875217</v>
      </c>
      <c r="Y15" s="4">
        <v>2276052.9460996445</v>
      </c>
      <c r="Z15" s="4">
        <v>2219290.6250285315</v>
      </c>
      <c r="AA15" s="4">
        <v>1601958.9687783357</v>
      </c>
      <c r="AB15" s="4">
        <v>2059361.9511606821</v>
      </c>
      <c r="AC15" s="4">
        <v>2157528.4508368806</v>
      </c>
      <c r="AD15" s="4">
        <v>2417308.6921870629</v>
      </c>
      <c r="AE15" s="4">
        <v>1970984.9138207254</v>
      </c>
      <c r="AF15" s="4">
        <v>2155870.3293355377</v>
      </c>
      <c r="AG15" s="4">
        <v>2212469.1034625</v>
      </c>
      <c r="AH15" s="4">
        <v>2197514.7300864323</v>
      </c>
      <c r="AI15" s="4">
        <v>2409328.1873528883</v>
      </c>
      <c r="AJ15" s="4">
        <v>2608941.8408754971</v>
      </c>
      <c r="AK15" s="4">
        <v>2561639.6009600931</v>
      </c>
      <c r="AL15" s="4">
        <v>2142319.392510646</v>
      </c>
      <c r="AM15" s="4">
        <v>3132215.1385266823</v>
      </c>
      <c r="AN15" s="4">
        <v>2029943.8981562119</v>
      </c>
      <c r="AO15" s="4">
        <v>2159488.1135297525</v>
      </c>
      <c r="AP15" s="4">
        <v>1950886.9906161039</v>
      </c>
      <c r="AQ15" s="4">
        <v>1985370.4454169723</v>
      </c>
      <c r="AR15" s="4">
        <v>1971285.3071462107</v>
      </c>
      <c r="AS15" s="4">
        <v>1626536.7619692227</v>
      </c>
      <c r="AT15" s="4">
        <v>1957703.2019216728</v>
      </c>
      <c r="AU15" s="4">
        <v>1666527.5429256763</v>
      </c>
      <c r="AV15" s="4">
        <v>1880312.9887070747</v>
      </c>
      <c r="AW15" s="4">
        <v>1906642.339294381</v>
      </c>
      <c r="AX15" s="4">
        <v>2153428.2519848184</v>
      </c>
      <c r="AY15" s="4">
        <v>1996975.6987760898</v>
      </c>
      <c r="AZ15" s="4">
        <v>3757676.1646472565</v>
      </c>
      <c r="BA15" s="4">
        <v>3052785.2448588545</v>
      </c>
      <c r="BB15" s="4">
        <v>2324459.5091257519</v>
      </c>
      <c r="BC15" s="4">
        <v>1575260.0479483244</v>
      </c>
      <c r="BD15" s="4">
        <v>2604067.1167722512</v>
      </c>
      <c r="BE15" s="4">
        <v>2067165.9615723435</v>
      </c>
      <c r="BF15" s="4">
        <v>2150605.5481686741</v>
      </c>
      <c r="BG15" s="4">
        <v>2068270.8821244943</v>
      </c>
      <c r="BH15" s="4">
        <v>2279237.012780447</v>
      </c>
      <c r="BI15" s="4">
        <v>2316685.7775442172</v>
      </c>
      <c r="BJ15" s="4">
        <v>2412187.4617193439</v>
      </c>
      <c r="BK15" s="4">
        <v>2380587.8952442906</v>
      </c>
      <c r="BL15" s="4">
        <v>1533143.2577723381</v>
      </c>
      <c r="BM15" s="4">
        <v>1893373.7655173109</v>
      </c>
      <c r="BN15" s="4">
        <v>2172718.3655329309</v>
      </c>
      <c r="BO15" s="4">
        <v>2029985.7503288847</v>
      </c>
      <c r="BP15" s="4">
        <v>2221437.7236460196</v>
      </c>
      <c r="BQ15" s="4">
        <v>2791912.1958223945</v>
      </c>
      <c r="BR15" s="4">
        <v>2270820.4814156787</v>
      </c>
      <c r="BS15" s="4">
        <v>2235123.975745345</v>
      </c>
      <c r="BT15" s="4">
        <v>2993216.6675462699</v>
      </c>
      <c r="BU15" s="4">
        <v>1943677.0860044854</v>
      </c>
      <c r="BV15" s="4">
        <v>2456183.8640707107</v>
      </c>
      <c r="BW15" s="4">
        <v>2054178.9265633556</v>
      </c>
      <c r="BX15" s="4">
        <v>1982869.9118608634</v>
      </c>
      <c r="BY15" s="4">
        <v>2187815.4214315438</v>
      </c>
      <c r="BZ15" s="4">
        <v>2212084.9233340216</v>
      </c>
      <c r="CA15" s="4">
        <v>1902456.8171464521</v>
      </c>
      <c r="CB15" s="4">
        <v>2156317.592529281</v>
      </c>
      <c r="CC15" s="4">
        <v>1793063.4701179552</v>
      </c>
      <c r="CD15" s="4">
        <v>3297699.378323887</v>
      </c>
      <c r="CE15" s="4">
        <v>1772261.3387725763</v>
      </c>
      <c r="CF15" s="4">
        <v>2510595.4590836982</v>
      </c>
      <c r="CG15" s="4">
        <v>2782363.7576380284</v>
      </c>
      <c r="CH15" s="4">
        <v>2412020.0779052386</v>
      </c>
      <c r="CI15" s="4">
        <v>1974378.0549388381</v>
      </c>
      <c r="CJ15" s="4">
        <v>3019455.7095453707</v>
      </c>
      <c r="CK15" s="4">
        <v>2792460.1692730365</v>
      </c>
      <c r="CL15" s="4">
        <v>2142570.3853368089</v>
      </c>
      <c r="CM15" s="4">
        <v>1885097.39058047</v>
      </c>
      <c r="CN15" s="4">
        <v>2289945.6440179516</v>
      </c>
      <c r="CO15" s="4">
        <v>2990606.3657433856</v>
      </c>
      <c r="CP15" s="4">
        <v>2356059.7825794672</v>
      </c>
      <c r="CQ15" s="4">
        <v>1860871.8257298928</v>
      </c>
      <c r="CR15" s="4">
        <v>1886754.9234280842</v>
      </c>
      <c r="CS15" s="4">
        <v>2060479.8489429015</v>
      </c>
      <c r="CT15" s="4">
        <v>1453964.0499392964</v>
      </c>
      <c r="CU15" s="4">
        <v>2211210.0779631054</v>
      </c>
      <c r="CV15" s="4">
        <v>2344304.7075892552</v>
      </c>
      <c r="CW15" s="4">
        <v>3414243.8845178671</v>
      </c>
    </row>
    <row r="16" spans="1:101" x14ac:dyDescent="0.35">
      <c r="A16">
        <v>202303</v>
      </c>
      <c r="B16" s="4">
        <v>2423268.0383395725</v>
      </c>
      <c r="C16" s="4">
        <v>2803470.1480840789</v>
      </c>
      <c r="D16" s="4">
        <v>2510321.3316637971</v>
      </c>
      <c r="E16" s="4">
        <v>2985597.8842712031</v>
      </c>
      <c r="F16" s="4">
        <v>2413856.3004086325</v>
      </c>
      <c r="G16" s="4">
        <v>3179558.8356553391</v>
      </c>
      <c r="H16" s="4">
        <v>2123198.8571734694</v>
      </c>
      <c r="I16" s="4">
        <v>3201187.8017873126</v>
      </c>
      <c r="J16" s="4">
        <v>2986763.6192563395</v>
      </c>
      <c r="K16" s="4">
        <v>2391044.2270802325</v>
      </c>
      <c r="L16" s="4">
        <v>1812644.4249932643</v>
      </c>
      <c r="M16" s="4">
        <v>2464245.342002287</v>
      </c>
      <c r="N16" s="4">
        <v>2124549.5293259299</v>
      </c>
      <c r="O16" s="4">
        <v>3077164.3883240004</v>
      </c>
      <c r="P16" s="4">
        <v>2178491.2139098579</v>
      </c>
      <c r="Q16" s="4">
        <v>2116354.9265989712</v>
      </c>
      <c r="R16" s="4">
        <v>3076601.9399975836</v>
      </c>
      <c r="S16" s="4">
        <v>2217471.3953885203</v>
      </c>
      <c r="T16" s="4">
        <v>2121967.6884994241</v>
      </c>
      <c r="U16" s="4">
        <v>1889755.8340451817</v>
      </c>
      <c r="V16" s="4">
        <v>2083776.7492340519</v>
      </c>
      <c r="W16" s="4">
        <v>3192132.4487437475</v>
      </c>
      <c r="X16" s="4">
        <v>1965339.8284140716</v>
      </c>
      <c r="Y16" s="4">
        <v>2518263.3250965904</v>
      </c>
      <c r="Z16" s="4">
        <v>2474281.6801291634</v>
      </c>
      <c r="AA16" s="4">
        <v>1831628.9531268722</v>
      </c>
      <c r="AB16" s="4">
        <v>2345883.8633581777</v>
      </c>
      <c r="AC16" s="4">
        <v>2356217.4673995851</v>
      </c>
      <c r="AD16" s="4">
        <v>2710582.7871681703</v>
      </c>
      <c r="AE16" s="4">
        <v>2227448.878645842</v>
      </c>
      <c r="AF16" s="4">
        <v>2433737.976810982</v>
      </c>
      <c r="AG16" s="4">
        <v>2437692.1718718261</v>
      </c>
      <c r="AH16" s="4">
        <v>2441268.2328535663</v>
      </c>
      <c r="AI16" s="4">
        <v>2677945.1837894823</v>
      </c>
      <c r="AJ16" s="4">
        <v>2932356.4933668165</v>
      </c>
      <c r="AK16" s="4">
        <v>2864842.3625029689</v>
      </c>
      <c r="AL16" s="4">
        <v>2411817.9805035791</v>
      </c>
      <c r="AM16" s="4">
        <v>3447099.6352942665</v>
      </c>
      <c r="AN16" s="4">
        <v>2241007.1507664644</v>
      </c>
      <c r="AO16" s="4">
        <v>2386857.0375947366</v>
      </c>
      <c r="AP16" s="4">
        <v>2224482.8129111165</v>
      </c>
      <c r="AQ16" s="4">
        <v>2183983.9999844446</v>
      </c>
      <c r="AR16" s="4">
        <v>2177754.2522399412</v>
      </c>
      <c r="AS16" s="4">
        <v>1788491.2298042502</v>
      </c>
      <c r="AT16" s="4">
        <v>2236014.619712228</v>
      </c>
      <c r="AU16" s="4">
        <v>1840938.2292957951</v>
      </c>
      <c r="AV16" s="4">
        <v>2002899.7161022709</v>
      </c>
      <c r="AW16" s="4">
        <v>2139450.4964400833</v>
      </c>
      <c r="AX16" s="4">
        <v>2457875.608532452</v>
      </c>
      <c r="AY16" s="4">
        <v>2210326.5292753875</v>
      </c>
      <c r="AZ16" s="4">
        <v>4171600.5210720943</v>
      </c>
      <c r="BA16" s="4">
        <v>3426234.1144744889</v>
      </c>
      <c r="BB16" s="4">
        <v>2621510.1963490173</v>
      </c>
      <c r="BC16" s="4">
        <v>1783207.0614780984</v>
      </c>
      <c r="BD16" s="4">
        <v>2947357.4334965502</v>
      </c>
      <c r="BE16" s="4">
        <v>2267010.0913144783</v>
      </c>
      <c r="BF16" s="4">
        <v>2380241.1002373798</v>
      </c>
      <c r="BG16" s="4">
        <v>2323949.7334002922</v>
      </c>
      <c r="BH16" s="4">
        <v>2587593.6163574583</v>
      </c>
      <c r="BI16" s="4">
        <v>2631308.238117767</v>
      </c>
      <c r="BJ16" s="4">
        <v>2636020.1578926221</v>
      </c>
      <c r="BK16" s="4">
        <v>2699778.0547778406</v>
      </c>
      <c r="BL16" s="4">
        <v>1687168.9792977022</v>
      </c>
      <c r="BM16" s="4">
        <v>2080805.0480517624</v>
      </c>
      <c r="BN16" s="4">
        <v>2432531.4619334172</v>
      </c>
      <c r="BO16" s="4">
        <v>2259137.8603069489</v>
      </c>
      <c r="BP16" s="4">
        <v>2484152.2801046963</v>
      </c>
      <c r="BQ16" s="4">
        <v>3215202.3424115349</v>
      </c>
      <c r="BR16" s="4">
        <v>2535132.1984783784</v>
      </c>
      <c r="BS16" s="4">
        <v>2488060.6968449424</v>
      </c>
      <c r="BT16" s="4">
        <v>3272192.1678597745</v>
      </c>
      <c r="BU16" s="4">
        <v>2174133.4497342799</v>
      </c>
      <c r="BV16" s="4">
        <v>2636935.2175933765</v>
      </c>
      <c r="BW16" s="4">
        <v>2316577.0461896737</v>
      </c>
      <c r="BX16" s="4">
        <v>2204674.9010074046</v>
      </c>
      <c r="BY16" s="4">
        <v>2471204.6613157759</v>
      </c>
      <c r="BZ16" s="4">
        <v>2417270.1798916268</v>
      </c>
      <c r="CA16" s="4">
        <v>2112532.2865653462</v>
      </c>
      <c r="CB16" s="4">
        <v>2393121.0361269289</v>
      </c>
      <c r="CC16" s="4">
        <v>2011282.6993580284</v>
      </c>
      <c r="CD16" s="4">
        <v>3612821.5822340907</v>
      </c>
      <c r="CE16" s="4">
        <v>1946391.8282279207</v>
      </c>
      <c r="CF16" s="4">
        <v>2849435.9984461647</v>
      </c>
      <c r="CG16" s="4">
        <v>2992899.9573975611</v>
      </c>
      <c r="CH16" s="4">
        <v>2662611.2230569078</v>
      </c>
      <c r="CI16" s="4">
        <v>2183272.6447558561</v>
      </c>
      <c r="CJ16" s="4">
        <v>3467888.5023529083</v>
      </c>
      <c r="CK16" s="4">
        <v>3083011.5216910848</v>
      </c>
      <c r="CL16" s="4">
        <v>2364985.3983249855</v>
      </c>
      <c r="CM16" s="4">
        <v>2114983.5230571311</v>
      </c>
      <c r="CN16" s="4">
        <v>2520542.0821449142</v>
      </c>
      <c r="CO16" s="4">
        <v>3342028.2460846631</v>
      </c>
      <c r="CP16" s="4">
        <v>2677981.2123651966</v>
      </c>
      <c r="CQ16" s="4">
        <v>2070384.9296919524</v>
      </c>
      <c r="CR16" s="4">
        <v>2118003.6692721904</v>
      </c>
      <c r="CS16" s="4">
        <v>2311242.1699643489</v>
      </c>
      <c r="CT16" s="4">
        <v>1648633.7090564314</v>
      </c>
      <c r="CU16" s="4">
        <v>2489862.2197923721</v>
      </c>
      <c r="CV16" s="4">
        <v>2605664.4562695567</v>
      </c>
      <c r="CW16" s="4">
        <v>3774689.764931445</v>
      </c>
    </row>
    <row r="17" spans="1:101" x14ac:dyDescent="0.35">
      <c r="A17">
        <v>202304</v>
      </c>
      <c r="B17" s="4">
        <v>2580266.5737167317</v>
      </c>
      <c r="C17" s="4">
        <v>2968539.7739628726</v>
      </c>
      <c r="D17" s="4">
        <v>2684080.4822986475</v>
      </c>
      <c r="E17" s="4">
        <v>3092035.162666949</v>
      </c>
      <c r="F17" s="4">
        <v>2511231.2698452785</v>
      </c>
      <c r="G17" s="4">
        <v>3346800.8136046599</v>
      </c>
      <c r="H17" s="4">
        <v>2244533.7655823883</v>
      </c>
      <c r="I17" s="4">
        <v>3377297.1655579791</v>
      </c>
      <c r="J17" s="4">
        <v>3064450.7656208635</v>
      </c>
      <c r="K17" s="4">
        <v>2540140.0732726655</v>
      </c>
      <c r="L17" s="4">
        <v>1885082.542123538</v>
      </c>
      <c r="M17" s="4">
        <v>2611601.3508776412</v>
      </c>
      <c r="N17" s="4">
        <v>2251831.0360170575</v>
      </c>
      <c r="O17" s="4">
        <v>3251144.0719901514</v>
      </c>
      <c r="P17" s="4">
        <v>2346717.2907668166</v>
      </c>
      <c r="Q17" s="4">
        <v>2258421.4898460722</v>
      </c>
      <c r="R17" s="4">
        <v>3169512.3966069776</v>
      </c>
      <c r="S17" s="4">
        <v>2355171.7714270926</v>
      </c>
      <c r="T17" s="4">
        <v>2220814.4825277315</v>
      </c>
      <c r="U17" s="4">
        <v>1993543.2197626552</v>
      </c>
      <c r="V17" s="4">
        <v>2201222.0787641862</v>
      </c>
      <c r="W17" s="4">
        <v>3353896.0502922349</v>
      </c>
      <c r="X17" s="4">
        <v>2100897.1044205534</v>
      </c>
      <c r="Y17" s="4">
        <v>2628196.6450739503</v>
      </c>
      <c r="Z17" s="4">
        <v>2564145.7502273815</v>
      </c>
      <c r="AA17" s="4">
        <v>1899375.3731487466</v>
      </c>
      <c r="AB17" s="4">
        <v>2461254.0660113725</v>
      </c>
      <c r="AC17" s="4">
        <v>2475672.9129299051</v>
      </c>
      <c r="AD17" s="4">
        <v>2885887.5272561866</v>
      </c>
      <c r="AE17" s="4">
        <v>2311880.3268760256</v>
      </c>
      <c r="AF17" s="4">
        <v>2542516.1868269192</v>
      </c>
      <c r="AG17" s="4">
        <v>2604102.8545496222</v>
      </c>
      <c r="AH17" s="4">
        <v>2616778.3694430375</v>
      </c>
      <c r="AI17" s="4">
        <v>2863163.2199685657</v>
      </c>
      <c r="AJ17" s="4">
        <v>3014582.5231088889</v>
      </c>
      <c r="AK17" s="4">
        <v>3035881.5173536227</v>
      </c>
      <c r="AL17" s="4">
        <v>2502673.9692120459</v>
      </c>
      <c r="AM17" s="4">
        <v>3648898.9504200192</v>
      </c>
      <c r="AN17" s="4">
        <v>2402100.4305661889</v>
      </c>
      <c r="AO17" s="4">
        <v>2533560.1819117041</v>
      </c>
      <c r="AP17" s="4">
        <v>2334284.6205619629</v>
      </c>
      <c r="AQ17" s="4">
        <v>2340093.4599830792</v>
      </c>
      <c r="AR17" s="4">
        <v>2312157.2962632836</v>
      </c>
      <c r="AS17" s="4">
        <v>1924596.0880364061</v>
      </c>
      <c r="AT17" s="4">
        <v>2302025.2215713463</v>
      </c>
      <c r="AU17" s="4">
        <v>1948164.6298553362</v>
      </c>
      <c r="AV17" s="4">
        <v>2117298.2044696785</v>
      </c>
      <c r="AW17" s="4">
        <v>2254391.0280317054</v>
      </c>
      <c r="AX17" s="4">
        <v>2568948.1476286938</v>
      </c>
      <c r="AY17" s="4">
        <v>2360488.5145648015</v>
      </c>
      <c r="AZ17" s="4">
        <v>4395383.4612804577</v>
      </c>
      <c r="BA17" s="4">
        <v>3613652.3610747391</v>
      </c>
      <c r="BB17" s="4">
        <v>2787908.2949903742</v>
      </c>
      <c r="BC17" s="4">
        <v>1854101.0148509268</v>
      </c>
      <c r="BD17" s="4">
        <v>3089843.3836356709</v>
      </c>
      <c r="BE17" s="4">
        <v>2463536.4978001905</v>
      </c>
      <c r="BF17" s="4">
        <v>2524625.9762024367</v>
      </c>
      <c r="BG17" s="4">
        <v>2486570.9411147977</v>
      </c>
      <c r="BH17" s="4">
        <v>2687411.6805686043</v>
      </c>
      <c r="BI17" s="4">
        <v>2749480.8587274584</v>
      </c>
      <c r="BJ17" s="4">
        <v>2799107.0663312525</v>
      </c>
      <c r="BK17" s="4">
        <v>2817418.9681844483</v>
      </c>
      <c r="BL17" s="4">
        <v>1813514.7917214588</v>
      </c>
      <c r="BM17" s="4">
        <v>2194781.2014381438</v>
      </c>
      <c r="BN17" s="4">
        <v>2552798.5592992897</v>
      </c>
      <c r="BO17" s="4">
        <v>2429808.7969143079</v>
      </c>
      <c r="BP17" s="4">
        <v>2603934.5956300893</v>
      </c>
      <c r="BQ17" s="4">
        <v>3375491.8171759606</v>
      </c>
      <c r="BR17" s="4">
        <v>2614126.2610152881</v>
      </c>
      <c r="BS17" s="4">
        <v>2564753.2235075757</v>
      </c>
      <c r="BT17" s="4">
        <v>3537129.4106425261</v>
      </c>
      <c r="BU17" s="4">
        <v>2330510.8278832803</v>
      </c>
      <c r="BV17" s="4">
        <v>2851368.2253690921</v>
      </c>
      <c r="BW17" s="4">
        <v>2397394.0289221345</v>
      </c>
      <c r="BX17" s="4">
        <v>2290480.5114643308</v>
      </c>
      <c r="BY17" s="4">
        <v>2610216.4451151472</v>
      </c>
      <c r="BZ17" s="4">
        <v>2582378.6451128405</v>
      </c>
      <c r="CA17" s="4">
        <v>2297201.7920702198</v>
      </c>
      <c r="CB17" s="4">
        <v>2531669.3207609341</v>
      </c>
      <c r="CC17" s="4">
        <v>2067907.2413047163</v>
      </c>
      <c r="CD17" s="4">
        <v>3882298.5310325739</v>
      </c>
      <c r="CE17" s="4">
        <v>2048419.9368424418</v>
      </c>
      <c r="CF17" s="4">
        <v>2953649.3229117189</v>
      </c>
      <c r="CG17" s="4">
        <v>3194469.4471711391</v>
      </c>
      <c r="CH17" s="4">
        <v>2796846.9501970215</v>
      </c>
      <c r="CI17" s="4">
        <v>2290333.7210322954</v>
      </c>
      <c r="CJ17" s="4">
        <v>3585683.1509482362</v>
      </c>
      <c r="CK17" s="4">
        <v>3276756.7407414396</v>
      </c>
      <c r="CL17" s="4">
        <v>2490328.2264544452</v>
      </c>
      <c r="CM17" s="4">
        <v>2212562.5724558891</v>
      </c>
      <c r="CN17" s="4">
        <v>2686168.7510515754</v>
      </c>
      <c r="CO17" s="4">
        <v>3560384.3451896645</v>
      </c>
      <c r="CP17" s="4">
        <v>2785825.2792132711</v>
      </c>
      <c r="CQ17" s="4">
        <v>2177533.5627609352</v>
      </c>
      <c r="CR17" s="4">
        <v>2231303.9652834465</v>
      </c>
      <c r="CS17" s="4">
        <v>2423855.2724672821</v>
      </c>
      <c r="CT17" s="4">
        <v>1712913.0127478363</v>
      </c>
      <c r="CU17" s="4">
        <v>2592058.4675021512</v>
      </c>
      <c r="CV17" s="4">
        <v>2744097.7532375227</v>
      </c>
      <c r="CW17" s="4">
        <v>4064206.4378652391</v>
      </c>
    </row>
    <row r="18" spans="1:101" x14ac:dyDescent="0.35">
      <c r="A18">
        <v>202305</v>
      </c>
      <c r="B18" s="4">
        <v>2691863.0350921471</v>
      </c>
      <c r="C18" s="4">
        <v>3155249.8391868798</v>
      </c>
      <c r="D18" s="4">
        <v>2756659.6086427481</v>
      </c>
      <c r="E18" s="4">
        <v>3308707.2636837857</v>
      </c>
      <c r="F18" s="4">
        <v>2640623.4971461375</v>
      </c>
      <c r="G18" s="4">
        <v>3623217.6423888034</v>
      </c>
      <c r="H18" s="4">
        <v>2358619.5186952031</v>
      </c>
      <c r="I18" s="4">
        <v>3558732.2223567022</v>
      </c>
      <c r="J18" s="4">
        <v>3332050.5023636348</v>
      </c>
      <c r="K18" s="4">
        <v>2666490.4864103934</v>
      </c>
      <c r="L18" s="4">
        <v>1933616.9724155578</v>
      </c>
      <c r="M18" s="4">
        <v>2728762.3793152692</v>
      </c>
      <c r="N18" s="4">
        <v>2376484.5193880703</v>
      </c>
      <c r="O18" s="4">
        <v>3403911.1207561041</v>
      </c>
      <c r="P18" s="4">
        <v>2433981.8036634149</v>
      </c>
      <c r="Q18" s="4">
        <v>2370265.4341934384</v>
      </c>
      <c r="R18" s="4">
        <v>3343420.4151179707</v>
      </c>
      <c r="S18" s="4">
        <v>2416763.0065572965</v>
      </c>
      <c r="T18" s="4">
        <v>2349579.7446723431</v>
      </c>
      <c r="U18" s="4">
        <v>2119263.6796911261</v>
      </c>
      <c r="V18" s="4">
        <v>2346509.4067384643</v>
      </c>
      <c r="W18" s="4">
        <v>3530950.4020925905</v>
      </c>
      <c r="X18" s="4">
        <v>2182783.5937495143</v>
      </c>
      <c r="Y18" s="4">
        <v>2743562.146168231</v>
      </c>
      <c r="Z18" s="4">
        <v>2720183.4785315748</v>
      </c>
      <c r="AA18" s="4">
        <v>2027336.4980735839</v>
      </c>
      <c r="AB18" s="4">
        <v>2496293.906802237</v>
      </c>
      <c r="AC18" s="4">
        <v>2616695.7012588284</v>
      </c>
      <c r="AD18" s="4">
        <v>2958712.8060870254</v>
      </c>
      <c r="AE18" s="4">
        <v>2483150.8728086557</v>
      </c>
      <c r="AF18" s="4">
        <v>2661865.6404706612</v>
      </c>
      <c r="AG18" s="4">
        <v>2725342.6210353486</v>
      </c>
      <c r="AH18" s="4">
        <v>2750439.8381230826</v>
      </c>
      <c r="AI18" s="4">
        <v>2988876.456342157</v>
      </c>
      <c r="AJ18" s="4">
        <v>3152621.2334021549</v>
      </c>
      <c r="AK18" s="4">
        <v>3191886.86169559</v>
      </c>
      <c r="AL18" s="4">
        <v>2632921.4118575472</v>
      </c>
      <c r="AM18" s="4">
        <v>3867720.6814883105</v>
      </c>
      <c r="AN18" s="4">
        <v>2508190.4614754012</v>
      </c>
      <c r="AO18" s="4">
        <v>2646885.4742340422</v>
      </c>
      <c r="AP18" s="4">
        <v>2474817.1266381363</v>
      </c>
      <c r="AQ18" s="4">
        <v>2467756.2630355977</v>
      </c>
      <c r="AR18" s="4">
        <v>2448219.584836999</v>
      </c>
      <c r="AS18" s="4">
        <v>1987203.5624788611</v>
      </c>
      <c r="AT18" s="4">
        <v>2425438.158992405</v>
      </c>
      <c r="AU18" s="4">
        <v>2065967.5801795307</v>
      </c>
      <c r="AV18" s="4">
        <v>2252212.9969675844</v>
      </c>
      <c r="AW18" s="4">
        <v>2370685.7105419417</v>
      </c>
      <c r="AX18" s="4">
        <v>2684019.9705249439</v>
      </c>
      <c r="AY18" s="4">
        <v>2468943.3678874839</v>
      </c>
      <c r="AZ18" s="4">
        <v>4610790.738495525</v>
      </c>
      <c r="BA18" s="4">
        <v>3834369.9453148274</v>
      </c>
      <c r="BB18" s="4">
        <v>2885546.827383026</v>
      </c>
      <c r="BC18" s="4">
        <v>1959027.4759406396</v>
      </c>
      <c r="BD18" s="4">
        <v>3209283.1839060253</v>
      </c>
      <c r="BE18" s="4">
        <v>2532288.2395969075</v>
      </c>
      <c r="BF18" s="4">
        <v>2640973.7354029445</v>
      </c>
      <c r="BG18" s="4">
        <v>2629893.8873753259</v>
      </c>
      <c r="BH18" s="4">
        <v>2756711.5343708922</v>
      </c>
      <c r="BI18" s="4">
        <v>2884856.5286866305</v>
      </c>
      <c r="BJ18" s="4">
        <v>2930482.5994199552</v>
      </c>
      <c r="BK18" s="4">
        <v>2968225.2663619579</v>
      </c>
      <c r="BL18" s="4">
        <v>1877514.2393342175</v>
      </c>
      <c r="BM18" s="4">
        <v>2360815.1144238859</v>
      </c>
      <c r="BN18" s="4">
        <v>2622192.6168062072</v>
      </c>
      <c r="BO18" s="4">
        <v>2470519.0568143786</v>
      </c>
      <c r="BP18" s="4">
        <v>2704007.5602954905</v>
      </c>
      <c r="BQ18" s="4">
        <v>3516007.6958033582</v>
      </c>
      <c r="BR18" s="4">
        <v>2787298.0691193696</v>
      </c>
      <c r="BS18" s="4">
        <v>2666159.4882142246</v>
      </c>
      <c r="BT18" s="4">
        <v>3666069.1853873027</v>
      </c>
      <c r="BU18" s="4">
        <v>2421710.6023565796</v>
      </c>
      <c r="BV18" s="4">
        <v>2970015.2013415205</v>
      </c>
      <c r="BW18" s="4">
        <v>2555388.8171097548</v>
      </c>
      <c r="BX18" s="4">
        <v>2447919.9154153769</v>
      </c>
      <c r="BY18" s="4">
        <v>2759232.1346025905</v>
      </c>
      <c r="BZ18" s="4">
        <v>2748085.8456007456</v>
      </c>
      <c r="CA18" s="4">
        <v>2365839.7286288776</v>
      </c>
      <c r="CB18" s="4">
        <v>2656060.131846617</v>
      </c>
      <c r="CC18" s="4">
        <v>2197568.6221767804</v>
      </c>
      <c r="CD18" s="4">
        <v>4095480.5024237884</v>
      </c>
      <c r="CE18" s="4">
        <v>2127744.5895494013</v>
      </c>
      <c r="CF18" s="4">
        <v>3168416.0696259597</v>
      </c>
      <c r="CG18" s="4">
        <v>3415414.5415101009</v>
      </c>
      <c r="CH18" s="4">
        <v>2949000.419890272</v>
      </c>
      <c r="CI18" s="4">
        <v>2432380.180643416</v>
      </c>
      <c r="CJ18" s="4">
        <v>3786127.3648690809</v>
      </c>
      <c r="CK18" s="4">
        <v>3402964.3151340084</v>
      </c>
      <c r="CL18" s="4">
        <v>2662616.4225483118</v>
      </c>
      <c r="CM18" s="4">
        <v>2290043.7111381846</v>
      </c>
      <c r="CN18" s="4">
        <v>2820299.3477404858</v>
      </c>
      <c r="CO18" s="4">
        <v>3780778.119816862</v>
      </c>
      <c r="CP18" s="4">
        <v>2951681.7590081822</v>
      </c>
      <c r="CQ18" s="4">
        <v>2344096.9925487563</v>
      </c>
      <c r="CR18" s="4">
        <v>2386373.4235103987</v>
      </c>
      <c r="CS18" s="4">
        <v>2597973.3144514826</v>
      </c>
      <c r="CT18" s="4">
        <v>1793703.6762669075</v>
      </c>
      <c r="CU18" s="4">
        <v>2746433.9299603663</v>
      </c>
      <c r="CV18" s="4">
        <v>2795164.114876966</v>
      </c>
      <c r="CW18" s="4">
        <v>4187837.0138651598</v>
      </c>
    </row>
    <row r="19" spans="1:101" x14ac:dyDescent="0.35">
      <c r="A19">
        <v>202306</v>
      </c>
      <c r="B19" s="4">
        <v>2579720.5376365487</v>
      </c>
      <c r="C19" s="4">
        <v>2964772.0987299778</v>
      </c>
      <c r="D19" s="4">
        <v>2625090.7288121153</v>
      </c>
      <c r="E19" s="4">
        <v>3102060.3142590602</v>
      </c>
      <c r="F19" s="4">
        <v>2482973.3118962324</v>
      </c>
      <c r="G19" s="4">
        <v>3411960.4330823044</v>
      </c>
      <c r="H19" s="4">
        <v>2237694.2590513113</v>
      </c>
      <c r="I19" s="4">
        <v>3426211.1858159355</v>
      </c>
      <c r="J19" s="4">
        <v>3153015.1440397687</v>
      </c>
      <c r="K19" s="4">
        <v>2497680.3467672481</v>
      </c>
      <c r="L19" s="4">
        <v>1859505.1175898237</v>
      </c>
      <c r="M19" s="4">
        <v>2600784.0632356182</v>
      </c>
      <c r="N19" s="4">
        <v>2248309.5528949876</v>
      </c>
      <c r="O19" s="4">
        <v>3268886.3849826665</v>
      </c>
      <c r="P19" s="4">
        <v>2298496.6661177552</v>
      </c>
      <c r="Q19" s="4">
        <v>2234840.0347730787</v>
      </c>
      <c r="R19" s="4">
        <v>3202065.3410798111</v>
      </c>
      <c r="S19" s="4">
        <v>2305923.9966115202</v>
      </c>
      <c r="T19" s="4">
        <v>2234612.6155632404</v>
      </c>
      <c r="U19" s="4">
        <v>2012931.9350028322</v>
      </c>
      <c r="V19" s="4">
        <v>2234265.1432394814</v>
      </c>
      <c r="W19" s="4">
        <v>3421419.8481259402</v>
      </c>
      <c r="X19" s="4">
        <v>2055668.2086517753</v>
      </c>
      <c r="Y19" s="4">
        <v>2589526.7546773609</v>
      </c>
      <c r="Z19" s="4">
        <v>2622283.0325061842</v>
      </c>
      <c r="AA19" s="4">
        <v>1904258.513316826</v>
      </c>
      <c r="AB19" s="4">
        <v>2485403.0549539221</v>
      </c>
      <c r="AC19" s="4">
        <v>2511813.5963364467</v>
      </c>
      <c r="AD19" s="4">
        <v>2911478.9635771425</v>
      </c>
      <c r="AE19" s="4">
        <v>2337079.0899382704</v>
      </c>
      <c r="AF19" s="4">
        <v>2591302.9366864078</v>
      </c>
      <c r="AG19" s="4">
        <v>2653327.1510695163</v>
      </c>
      <c r="AH19" s="4">
        <v>2590137.4150702744</v>
      </c>
      <c r="AI19" s="4">
        <v>2890553.8624003176</v>
      </c>
      <c r="AJ19" s="4">
        <v>3007517.3241221439</v>
      </c>
      <c r="AK19" s="4">
        <v>3010372.808456047</v>
      </c>
      <c r="AL19" s="4">
        <v>2501657.8585733064</v>
      </c>
      <c r="AM19" s="4">
        <v>3684385.5930290567</v>
      </c>
      <c r="AN19" s="4">
        <v>2408091.3530916665</v>
      </c>
      <c r="AO19" s="4">
        <v>2468951.0394100752</v>
      </c>
      <c r="AP19" s="4">
        <v>2290018.9358944693</v>
      </c>
      <c r="AQ19" s="4">
        <v>2292414.2361550881</v>
      </c>
      <c r="AR19" s="4">
        <v>2304756.2155941343</v>
      </c>
      <c r="AS19" s="4">
        <v>1927378.3410049817</v>
      </c>
      <c r="AT19" s="4">
        <v>2293227.5547780604</v>
      </c>
      <c r="AU19" s="4">
        <v>1942860.7809850397</v>
      </c>
      <c r="AV19" s="4">
        <v>2169446.5493376371</v>
      </c>
      <c r="AW19" s="4">
        <v>2263871.6535371961</v>
      </c>
      <c r="AX19" s="4">
        <v>2528790.1539895819</v>
      </c>
      <c r="AY19" s="4">
        <v>2321205.1202908373</v>
      </c>
      <c r="AZ19" s="4">
        <v>4323312.2416847413</v>
      </c>
      <c r="BA19" s="4">
        <v>3599499.5994150499</v>
      </c>
      <c r="BB19" s="4">
        <v>2760670.694252295</v>
      </c>
      <c r="BC19" s="4">
        <v>1888941.9717312318</v>
      </c>
      <c r="BD19" s="4">
        <v>3083184.0034456574</v>
      </c>
      <c r="BE19" s="4">
        <v>2420472.5306346733</v>
      </c>
      <c r="BF19" s="4">
        <v>2544421.432617798</v>
      </c>
      <c r="BG19" s="4">
        <v>2470681.0994788306</v>
      </c>
      <c r="BH19" s="4">
        <v>2728183.7197300396</v>
      </c>
      <c r="BI19" s="4">
        <v>2729385.1903877761</v>
      </c>
      <c r="BJ19" s="4">
        <v>2789608.018686227</v>
      </c>
      <c r="BK19" s="4">
        <v>2807961.1866152314</v>
      </c>
      <c r="BL19" s="4">
        <v>1821326.4513398353</v>
      </c>
      <c r="BM19" s="4">
        <v>2232160.4298460246</v>
      </c>
      <c r="BN19" s="4">
        <v>2549222.1944761025</v>
      </c>
      <c r="BO19" s="4">
        <v>2382869.6145803267</v>
      </c>
      <c r="BP19" s="4">
        <v>2603686.4688875917</v>
      </c>
      <c r="BQ19" s="4">
        <v>3271874.6593033555</v>
      </c>
      <c r="BR19" s="4">
        <v>2632222.0832759957</v>
      </c>
      <c r="BS19" s="4">
        <v>2611059.4966379334</v>
      </c>
      <c r="BT19" s="4">
        <v>3555748.2652818589</v>
      </c>
      <c r="BU19" s="4">
        <v>2325704.8552971142</v>
      </c>
      <c r="BV19" s="4">
        <v>2859030.2459487231</v>
      </c>
      <c r="BW19" s="4">
        <v>2452483.0609266455</v>
      </c>
      <c r="BX19" s="4">
        <v>2273763.437603137</v>
      </c>
      <c r="BY19" s="4">
        <v>2624739.1321988553</v>
      </c>
      <c r="BZ19" s="4">
        <v>2606612.8352238713</v>
      </c>
      <c r="CA19" s="4">
        <v>2212518.425492025</v>
      </c>
      <c r="CB19" s="4">
        <v>2531614.8759057405</v>
      </c>
      <c r="CC19" s="4">
        <v>2058623.4735149592</v>
      </c>
      <c r="CD19" s="4">
        <v>3937681.4716595071</v>
      </c>
      <c r="CE19" s="4">
        <v>2069321.2807761587</v>
      </c>
      <c r="CF19" s="4">
        <v>2980190.0528372684</v>
      </c>
      <c r="CG19" s="4">
        <v>3222537.620589836</v>
      </c>
      <c r="CH19" s="4">
        <v>2796253.1661043633</v>
      </c>
      <c r="CI19" s="4">
        <v>2301588.4809210347</v>
      </c>
      <c r="CJ19" s="4">
        <v>3593422.6065418846</v>
      </c>
      <c r="CK19" s="4">
        <v>3304004.8644426339</v>
      </c>
      <c r="CL19" s="4">
        <v>2524242.4783504624</v>
      </c>
      <c r="CM19" s="4">
        <v>2233502.6602920247</v>
      </c>
      <c r="CN19" s="4">
        <v>2686515.4538865248</v>
      </c>
      <c r="CO19" s="4">
        <v>3493482.1342201345</v>
      </c>
      <c r="CP19" s="4">
        <v>2812437.1183080697</v>
      </c>
      <c r="CQ19" s="4">
        <v>2204047.332426725</v>
      </c>
      <c r="CR19" s="4">
        <v>2260395.8420125614</v>
      </c>
      <c r="CS19" s="4">
        <v>2437926.408987185</v>
      </c>
      <c r="CT19" s="4">
        <v>1719761.1007678742</v>
      </c>
      <c r="CU19" s="4">
        <v>2649793.205456337</v>
      </c>
      <c r="CV19" s="4">
        <v>2723358.4069190333</v>
      </c>
      <c r="CW19" s="4">
        <v>3978352.2751585254</v>
      </c>
    </row>
    <row r="20" spans="1:101" x14ac:dyDescent="0.35">
      <c r="A20">
        <v>202307</v>
      </c>
      <c r="B20" s="4">
        <v>2435618.8288883069</v>
      </c>
      <c r="C20" s="4">
        <v>2829318.6522119613</v>
      </c>
      <c r="D20" s="4">
        <v>2545853.7856060211</v>
      </c>
      <c r="E20" s="4">
        <v>3006661.2054927982</v>
      </c>
      <c r="F20" s="4">
        <v>2432853.1216691337</v>
      </c>
      <c r="G20" s="4">
        <v>3212495.751921982</v>
      </c>
      <c r="H20" s="4">
        <v>2117119.3036148017</v>
      </c>
      <c r="I20" s="4">
        <v>3249252.9032392376</v>
      </c>
      <c r="J20" s="4">
        <v>3024641.3191493046</v>
      </c>
      <c r="K20" s="4">
        <v>2418123.3314901716</v>
      </c>
      <c r="L20" s="4">
        <v>1800435.0849384016</v>
      </c>
      <c r="M20" s="4">
        <v>2473191.3984473874</v>
      </c>
      <c r="N20" s="4">
        <v>2137559.9391330783</v>
      </c>
      <c r="O20" s="4">
        <v>3074276.5404965337</v>
      </c>
      <c r="P20" s="4">
        <v>2221074.1842567511</v>
      </c>
      <c r="Q20" s="4">
        <v>2124643.5310887941</v>
      </c>
      <c r="R20" s="4">
        <v>3086810.159826945</v>
      </c>
      <c r="S20" s="4">
        <v>2202746.5938075385</v>
      </c>
      <c r="T20" s="4">
        <v>2130256.4941507862</v>
      </c>
      <c r="U20" s="4">
        <v>1910945.8949916486</v>
      </c>
      <c r="V20" s="4">
        <v>2104666.188290128</v>
      </c>
      <c r="W20" s="4">
        <v>3246816.3000277048</v>
      </c>
      <c r="X20" s="4">
        <v>1997821.3406860451</v>
      </c>
      <c r="Y20" s="4">
        <v>2502727.6400284283</v>
      </c>
      <c r="Z20" s="4">
        <v>2465660.3684477648</v>
      </c>
      <c r="AA20" s="4">
        <v>1838294.5067850968</v>
      </c>
      <c r="AB20" s="4">
        <v>2341073.5057607559</v>
      </c>
      <c r="AC20" s="4">
        <v>2404260.9350651996</v>
      </c>
      <c r="AD20" s="4">
        <v>2689639.941842665</v>
      </c>
      <c r="AE20" s="4">
        <v>2225383.8641588576</v>
      </c>
      <c r="AF20" s="4">
        <v>2436720.8259864091</v>
      </c>
      <c r="AG20" s="4">
        <v>2493778.4513285379</v>
      </c>
      <c r="AH20" s="4">
        <v>2452196.1357077542</v>
      </c>
      <c r="AI20" s="4">
        <v>2716601.4471341278</v>
      </c>
      <c r="AJ20" s="4">
        <v>2889660.1650630487</v>
      </c>
      <c r="AK20" s="4">
        <v>2850101.2323619663</v>
      </c>
      <c r="AL20" s="4">
        <v>2407539.7660660199</v>
      </c>
      <c r="AM20" s="4">
        <v>3490072.9568148796</v>
      </c>
      <c r="AN20" s="4">
        <v>2259831.6098161191</v>
      </c>
      <c r="AO20" s="4">
        <v>2401125.3344321605</v>
      </c>
      <c r="AP20" s="4">
        <v>2169601.9850798384</v>
      </c>
      <c r="AQ20" s="4">
        <v>2259678.8048431063</v>
      </c>
      <c r="AR20" s="4">
        <v>2199904.4913823269</v>
      </c>
      <c r="AS20" s="4">
        <v>1775964.5615719068</v>
      </c>
      <c r="AT20" s="4">
        <v>2195663.9441970401</v>
      </c>
      <c r="AU20" s="4">
        <v>1849072.3743078671</v>
      </c>
      <c r="AV20" s="4">
        <v>2061151.9678240507</v>
      </c>
      <c r="AW20" s="4">
        <v>2109768.9305648482</v>
      </c>
      <c r="AX20" s="4">
        <v>2470628.3019141089</v>
      </c>
      <c r="AY20" s="4">
        <v>2252263.1998836584</v>
      </c>
      <c r="AZ20" s="4">
        <v>4178988.0125806979</v>
      </c>
      <c r="BA20" s="4">
        <v>3419888.3146131886</v>
      </c>
      <c r="BB20" s="4">
        <v>2617124.1139214346</v>
      </c>
      <c r="BC20" s="4">
        <v>1799190.2576186464</v>
      </c>
      <c r="BD20" s="4">
        <v>2849459.4070743485</v>
      </c>
      <c r="BE20" s="4">
        <v>2311847.29296995</v>
      </c>
      <c r="BF20" s="4">
        <v>2378464.5839118911</v>
      </c>
      <c r="BG20" s="4">
        <v>2390014.6978595671</v>
      </c>
      <c r="BH20" s="4">
        <v>2658787.5941872098</v>
      </c>
      <c r="BI20" s="4">
        <v>2607706.6588355755</v>
      </c>
      <c r="BJ20" s="4">
        <v>2679926.0175383231</v>
      </c>
      <c r="BK20" s="4">
        <v>2721647.4219556674</v>
      </c>
      <c r="BL20" s="4">
        <v>1694082.2140347096</v>
      </c>
      <c r="BM20" s="4">
        <v>2132799.7844743957</v>
      </c>
      <c r="BN20" s="4">
        <v>2452280.8175270949</v>
      </c>
      <c r="BO20" s="4">
        <v>2268223.5897312919</v>
      </c>
      <c r="BP20" s="4">
        <v>2557855.5608331277</v>
      </c>
      <c r="BQ20" s="4">
        <v>3193177.2687823074</v>
      </c>
      <c r="BR20" s="4">
        <v>2514179.5534169893</v>
      </c>
      <c r="BS20" s="4">
        <v>2507954.2859965079</v>
      </c>
      <c r="BT20" s="4">
        <v>3353580.0616982337</v>
      </c>
      <c r="BU20" s="4">
        <v>2210379.0730156344</v>
      </c>
      <c r="BV20" s="4">
        <v>2703545.5661687879</v>
      </c>
      <c r="BW20" s="4">
        <v>2271139.6476810994</v>
      </c>
      <c r="BX20" s="4">
        <v>2207828.2238953379</v>
      </c>
      <c r="BY20" s="4">
        <v>2501913.088781863</v>
      </c>
      <c r="BZ20" s="4">
        <v>2474765.0054726833</v>
      </c>
      <c r="CA20" s="4">
        <v>2116655.0519292862</v>
      </c>
      <c r="CB20" s="4">
        <v>2466916.4155684658</v>
      </c>
      <c r="CC20" s="4">
        <v>1954569.7001231005</v>
      </c>
      <c r="CD20" s="4">
        <v>3783892.2018940817</v>
      </c>
      <c r="CE20" s="4">
        <v>1985391.5483656677</v>
      </c>
      <c r="CF20" s="4">
        <v>2859267.2642073124</v>
      </c>
      <c r="CG20" s="4">
        <v>3070635.3939146614</v>
      </c>
      <c r="CH20" s="4">
        <v>2711367.4986626566</v>
      </c>
      <c r="CI20" s="4">
        <v>2210567.4367077895</v>
      </c>
      <c r="CJ20" s="4">
        <v>3434931.9451581845</v>
      </c>
      <c r="CK20" s="4">
        <v>3162180.0975385304</v>
      </c>
      <c r="CL20" s="4">
        <v>2401823.2093605651</v>
      </c>
      <c r="CM20" s="4">
        <v>2116825.5021118866</v>
      </c>
      <c r="CN20" s="4">
        <v>2586609.9061441282</v>
      </c>
      <c r="CO20" s="4">
        <v>3389845.6945686894</v>
      </c>
      <c r="CP20" s="4">
        <v>2709000.8708961979</v>
      </c>
      <c r="CQ20" s="4">
        <v>2074874.8984831066</v>
      </c>
      <c r="CR20" s="4">
        <v>2134905.5163328978</v>
      </c>
      <c r="CS20" s="4">
        <v>2325481.9195365068</v>
      </c>
      <c r="CT20" s="4">
        <v>1652366.5626520491</v>
      </c>
      <c r="CU20" s="4">
        <v>2489896.4371577669</v>
      </c>
      <c r="CV20" s="4">
        <v>2499730.6356734126</v>
      </c>
      <c r="CW20" s="4">
        <v>3820845.3950230479</v>
      </c>
    </row>
    <row r="21" spans="1:101" x14ac:dyDescent="0.35">
      <c r="A21">
        <v>202308</v>
      </c>
      <c r="B21" s="4">
        <v>2285156.1385562406</v>
      </c>
      <c r="C21" s="4">
        <v>2688008.6007489106</v>
      </c>
      <c r="D21" s="4">
        <v>2448953.4744453677</v>
      </c>
      <c r="E21" s="4">
        <v>2804749.9056050694</v>
      </c>
      <c r="F21" s="4">
        <v>2283942.6584579065</v>
      </c>
      <c r="G21" s="4">
        <v>3067400.0749599906</v>
      </c>
      <c r="H21" s="4">
        <v>2058324.5719628676</v>
      </c>
      <c r="I21" s="4">
        <v>3121507.1489139865</v>
      </c>
      <c r="J21" s="4">
        <v>2853083.5104866298</v>
      </c>
      <c r="K21" s="4">
        <v>2309685.3367480901</v>
      </c>
      <c r="L21" s="4">
        <v>1677304.6872487408</v>
      </c>
      <c r="M21" s="4">
        <v>2346914.1347898692</v>
      </c>
      <c r="N21" s="4">
        <v>2006984.5905516797</v>
      </c>
      <c r="O21" s="4">
        <v>2928520.8989106957</v>
      </c>
      <c r="P21" s="4">
        <v>2107927.8703516447</v>
      </c>
      <c r="Q21" s="4">
        <v>2028470.9822624361</v>
      </c>
      <c r="R21" s="4">
        <v>2917539.242507604</v>
      </c>
      <c r="S21" s="4">
        <v>2105173.597073352</v>
      </c>
      <c r="T21" s="4">
        <v>2019900.1180844929</v>
      </c>
      <c r="U21" s="4">
        <v>1790952.9146120835</v>
      </c>
      <c r="V21" s="4">
        <v>2006944.1974853203</v>
      </c>
      <c r="W21" s="4">
        <v>3114046.651906332</v>
      </c>
      <c r="X21" s="4">
        <v>1875989.3546791046</v>
      </c>
      <c r="Y21" s="4">
        <v>2415109.6488150293</v>
      </c>
      <c r="Z21" s="4">
        <v>2372564.5521646137</v>
      </c>
      <c r="AA21" s="4">
        <v>1726332.0917520516</v>
      </c>
      <c r="AB21" s="4">
        <v>2225298.6585745686</v>
      </c>
      <c r="AC21" s="4">
        <v>2283655.2605597707</v>
      </c>
      <c r="AD21" s="4">
        <v>2540046.4447018779</v>
      </c>
      <c r="AE21" s="4">
        <v>2091720.2110171157</v>
      </c>
      <c r="AF21" s="4">
        <v>2323421.848177671</v>
      </c>
      <c r="AG21" s="4">
        <v>2339479.7764121741</v>
      </c>
      <c r="AH21" s="4">
        <v>2370166.847652955</v>
      </c>
      <c r="AI21" s="4">
        <v>2612480.5675860527</v>
      </c>
      <c r="AJ21" s="4">
        <v>2765158.4209987996</v>
      </c>
      <c r="AK21" s="4">
        <v>2721087.696265867</v>
      </c>
      <c r="AL21" s="4">
        <v>2273659.4863621113</v>
      </c>
      <c r="AM21" s="4">
        <v>3237571.0298767816</v>
      </c>
      <c r="AN21" s="4">
        <v>2142711.4092821651</v>
      </c>
      <c r="AO21" s="4">
        <v>2313212.2231288678</v>
      </c>
      <c r="AP21" s="4">
        <v>2074580.3481430432</v>
      </c>
      <c r="AQ21" s="4">
        <v>2120511.4789786879</v>
      </c>
      <c r="AR21" s="4">
        <v>2108601.0183868771</v>
      </c>
      <c r="AS21" s="4">
        <v>1714591.48861845</v>
      </c>
      <c r="AT21" s="4">
        <v>2056693.5704905791</v>
      </c>
      <c r="AU21" s="4">
        <v>1750954.0692505524</v>
      </c>
      <c r="AV21" s="4">
        <v>1948092.3141019444</v>
      </c>
      <c r="AW21" s="4">
        <v>2021821.416580644</v>
      </c>
      <c r="AX21" s="4">
        <v>2291544.1715829591</v>
      </c>
      <c r="AY21" s="4">
        <v>2080539.7184389615</v>
      </c>
      <c r="AZ21" s="4">
        <v>3955650.0843443824</v>
      </c>
      <c r="BA21" s="4">
        <v>3245349.0116832741</v>
      </c>
      <c r="BB21" s="4">
        <v>2524898.9139595162</v>
      </c>
      <c r="BC21" s="4">
        <v>1692112.6345500383</v>
      </c>
      <c r="BD21" s="4">
        <v>2736487.2498970041</v>
      </c>
      <c r="BE21" s="4">
        <v>2144683.6157380841</v>
      </c>
      <c r="BF21" s="4">
        <v>2243343.3871204718</v>
      </c>
      <c r="BG21" s="4">
        <v>2294160.2181614796</v>
      </c>
      <c r="BH21" s="4">
        <v>2410681.1017825413</v>
      </c>
      <c r="BI21" s="4">
        <v>2454356.3238018816</v>
      </c>
      <c r="BJ21" s="4">
        <v>2543939.9102090453</v>
      </c>
      <c r="BK21" s="4">
        <v>2562991.4734263415</v>
      </c>
      <c r="BL21" s="4">
        <v>1612846.0677407726</v>
      </c>
      <c r="BM21" s="4">
        <v>2050399.6926048805</v>
      </c>
      <c r="BN21" s="4">
        <v>2298522.4004658055</v>
      </c>
      <c r="BO21" s="4">
        <v>2165705.6005120398</v>
      </c>
      <c r="BP21" s="4">
        <v>2358826.7984644193</v>
      </c>
      <c r="BQ21" s="4">
        <v>3079005.2801244161</v>
      </c>
      <c r="BR21" s="4">
        <v>2376570.8745797919</v>
      </c>
      <c r="BS21" s="4">
        <v>2404180.5101078795</v>
      </c>
      <c r="BT21" s="4">
        <v>3175124.4672367326</v>
      </c>
      <c r="BU21" s="4">
        <v>2076058.8571095027</v>
      </c>
      <c r="BV21" s="4">
        <v>2570428.0232450268</v>
      </c>
      <c r="BW21" s="4">
        <v>2204043.054962106</v>
      </c>
      <c r="BX21" s="4">
        <v>2089835.2783475181</v>
      </c>
      <c r="BY21" s="4">
        <v>2332768.8253214164</v>
      </c>
      <c r="BZ21" s="4">
        <v>2355863.3553867377</v>
      </c>
      <c r="CA21" s="4">
        <v>2010566.9458248776</v>
      </c>
      <c r="CB21" s="4">
        <v>2308822.4644122282</v>
      </c>
      <c r="CC21" s="4">
        <v>1908412.2481830944</v>
      </c>
      <c r="CD21" s="4">
        <v>3467343.5856752824</v>
      </c>
      <c r="CE21" s="4">
        <v>1823590.2617800902</v>
      </c>
      <c r="CF21" s="4">
        <v>2645519.1544294409</v>
      </c>
      <c r="CG21" s="4">
        <v>2852002.7964612981</v>
      </c>
      <c r="CH21" s="4">
        <v>2538247.4928183313</v>
      </c>
      <c r="CI21" s="4">
        <v>2107656.6675586207</v>
      </c>
      <c r="CJ21" s="4">
        <v>3297339.9398605418</v>
      </c>
      <c r="CK21" s="4">
        <v>3004963.5361966756</v>
      </c>
      <c r="CL21" s="4">
        <v>2264501.8623604891</v>
      </c>
      <c r="CM21" s="4">
        <v>1992426.5129221654</v>
      </c>
      <c r="CN21" s="4">
        <v>2468663.1623543492</v>
      </c>
      <c r="CO21" s="4">
        <v>3199934.2478849576</v>
      </c>
      <c r="CP21" s="4">
        <v>2547097.8420006288</v>
      </c>
      <c r="CQ21" s="4">
        <v>2017907.2055518024</v>
      </c>
      <c r="CR21" s="4">
        <v>2068450.1190245769</v>
      </c>
      <c r="CS21" s="4">
        <v>2185354.2654943629</v>
      </c>
      <c r="CT21" s="4">
        <v>1553764.186153319</v>
      </c>
      <c r="CU21" s="4">
        <v>2391428.1820220104</v>
      </c>
      <c r="CV21" s="4">
        <v>2433764.1703963554</v>
      </c>
      <c r="CW21" s="4">
        <v>3615869.789591678</v>
      </c>
    </row>
    <row r="22" spans="1:101" x14ac:dyDescent="0.35">
      <c r="A22">
        <v>202309</v>
      </c>
      <c r="B22" s="4">
        <v>2308893.5975526446</v>
      </c>
      <c r="C22" s="4">
        <v>2723023.1076142993</v>
      </c>
      <c r="D22" s="4">
        <v>2410733.1858267388</v>
      </c>
      <c r="E22" s="4">
        <v>2799982.7122824579</v>
      </c>
      <c r="F22" s="4">
        <v>2290277.1294368436</v>
      </c>
      <c r="G22" s="4">
        <v>3138213.6112355823</v>
      </c>
      <c r="H22" s="4">
        <v>2032746.2362150699</v>
      </c>
      <c r="I22" s="4">
        <v>3039429.1805269052</v>
      </c>
      <c r="J22" s="4">
        <v>2845564.8299921406</v>
      </c>
      <c r="K22" s="4">
        <v>2283042.7033133204</v>
      </c>
      <c r="L22" s="4">
        <v>1719396.4388500394</v>
      </c>
      <c r="M22" s="4">
        <v>2327676.0967035792</v>
      </c>
      <c r="N22" s="4">
        <v>2025046.4650694814</v>
      </c>
      <c r="O22" s="4">
        <v>2928717.1194561278</v>
      </c>
      <c r="P22" s="4">
        <v>2113839.5334582999</v>
      </c>
      <c r="Q22" s="4">
        <v>2008265.7776800159</v>
      </c>
      <c r="R22" s="4">
        <v>2916758.7538197548</v>
      </c>
      <c r="S22" s="4">
        <v>2101976.5723671061</v>
      </c>
      <c r="T22" s="4">
        <v>1995854.1915540921</v>
      </c>
      <c r="U22" s="4">
        <v>1816474.6318042558</v>
      </c>
      <c r="V22" s="4">
        <v>2030313.7253198128</v>
      </c>
      <c r="W22" s="4">
        <v>3117967.2883800198</v>
      </c>
      <c r="X22" s="4">
        <v>1876262.6098040536</v>
      </c>
      <c r="Y22" s="4">
        <v>2387765.4197668699</v>
      </c>
      <c r="Z22" s="4">
        <v>2370044.5344318422</v>
      </c>
      <c r="AA22" s="4">
        <v>1754396.4570020624</v>
      </c>
      <c r="AB22" s="4">
        <v>2224122.5438757231</v>
      </c>
      <c r="AC22" s="4">
        <v>2295773.6018832987</v>
      </c>
      <c r="AD22" s="4">
        <v>2605039.1772557078</v>
      </c>
      <c r="AE22" s="4">
        <v>2123003.7958150231</v>
      </c>
      <c r="AF22" s="4">
        <v>2314610.5888650585</v>
      </c>
      <c r="AG22" s="4">
        <v>2377195.020713069</v>
      </c>
      <c r="AH22" s="4">
        <v>2402364.5093853646</v>
      </c>
      <c r="AI22" s="4">
        <v>2586989.2158290809</v>
      </c>
      <c r="AJ22" s="4">
        <v>2754635.0627946295</v>
      </c>
      <c r="AK22" s="4">
        <v>2721469.8253540429</v>
      </c>
      <c r="AL22" s="4">
        <v>2308822.5052913325</v>
      </c>
      <c r="AM22" s="4">
        <v>3332033.4422893543</v>
      </c>
      <c r="AN22" s="4">
        <v>2122601.4581664363</v>
      </c>
      <c r="AO22" s="4">
        <v>2312506.1866346817</v>
      </c>
      <c r="AP22" s="4">
        <v>2112099.0960561731</v>
      </c>
      <c r="AQ22" s="4">
        <v>2100993.4327522106</v>
      </c>
      <c r="AR22" s="4">
        <v>2113317.2093855175</v>
      </c>
      <c r="AS22" s="4">
        <v>1712003.3999534566</v>
      </c>
      <c r="AT22" s="4">
        <v>2044677.7113963147</v>
      </c>
      <c r="AU22" s="4">
        <v>1771958.84444681</v>
      </c>
      <c r="AV22" s="4">
        <v>1938282.3285296422</v>
      </c>
      <c r="AW22" s="4">
        <v>2031581.0482802438</v>
      </c>
      <c r="AX22" s="4">
        <v>2284717.8428104082</v>
      </c>
      <c r="AY22" s="4">
        <v>2126819.7498679482</v>
      </c>
      <c r="AZ22" s="4">
        <v>3990307.5892971144</v>
      </c>
      <c r="BA22" s="4">
        <v>3235889.9679044671</v>
      </c>
      <c r="BB22" s="4">
        <v>2458756.269045013</v>
      </c>
      <c r="BC22" s="4">
        <v>1710680.852719808</v>
      </c>
      <c r="BD22" s="4">
        <v>2720462.4002800263</v>
      </c>
      <c r="BE22" s="4">
        <v>2168825.0003609676</v>
      </c>
      <c r="BF22" s="4">
        <v>2300377.9874936035</v>
      </c>
      <c r="BG22" s="4">
        <v>2277374.7258593659</v>
      </c>
      <c r="BH22" s="4">
        <v>2476025.4386774837</v>
      </c>
      <c r="BI22" s="4">
        <v>2490553.6023909384</v>
      </c>
      <c r="BJ22" s="4">
        <v>2520529.6604551477</v>
      </c>
      <c r="BK22" s="4">
        <v>2556092.307369289</v>
      </c>
      <c r="BL22" s="4">
        <v>1625079.6208613059</v>
      </c>
      <c r="BM22" s="4">
        <v>2008701.4388042202</v>
      </c>
      <c r="BN22" s="4">
        <v>2291053.793194036</v>
      </c>
      <c r="BO22" s="4">
        <v>2146610.9937841124</v>
      </c>
      <c r="BP22" s="4">
        <v>2376596.5751658604</v>
      </c>
      <c r="BQ22" s="4">
        <v>2987011.8979687365</v>
      </c>
      <c r="BR22" s="4">
        <v>2401694.7574724909</v>
      </c>
      <c r="BS22" s="4">
        <v>2376705.9331615786</v>
      </c>
      <c r="BT22" s="4">
        <v>3161139.542925592</v>
      </c>
      <c r="BU22" s="4">
        <v>2107729.7576624076</v>
      </c>
      <c r="BV22" s="4">
        <v>2576651.4976906362</v>
      </c>
      <c r="BW22" s="4">
        <v>2237257.3432733435</v>
      </c>
      <c r="BX22" s="4">
        <v>2094673.8784315663</v>
      </c>
      <c r="BY22" s="4">
        <v>2375314.9304194981</v>
      </c>
      <c r="BZ22" s="4">
        <v>2347032.2613243097</v>
      </c>
      <c r="CA22" s="4">
        <v>2038808.2596080299</v>
      </c>
      <c r="CB22" s="4">
        <v>2267055.7389777335</v>
      </c>
      <c r="CC22" s="4">
        <v>1898668.7443763788</v>
      </c>
      <c r="CD22" s="4">
        <v>3509656.6053536111</v>
      </c>
      <c r="CE22" s="4">
        <v>1873721.2040890532</v>
      </c>
      <c r="CF22" s="4">
        <v>2676353.1445517442</v>
      </c>
      <c r="CG22" s="4">
        <v>2901564.9658669899</v>
      </c>
      <c r="CH22" s="4">
        <v>2540445.4010753608</v>
      </c>
      <c r="CI22" s="4">
        <v>2121086.3717701505</v>
      </c>
      <c r="CJ22" s="4">
        <v>3266148.8327254201</v>
      </c>
      <c r="CK22" s="4">
        <v>2963782.9058255069</v>
      </c>
      <c r="CL22" s="4">
        <v>2245244.0587820061</v>
      </c>
      <c r="CM22" s="4">
        <v>2006063.6520425309</v>
      </c>
      <c r="CN22" s="4">
        <v>2440940.1831571949</v>
      </c>
      <c r="CO22" s="4">
        <v>3193416.2633776222</v>
      </c>
      <c r="CP22" s="4">
        <v>2539190.1241880567</v>
      </c>
      <c r="CQ22" s="4">
        <v>2006575.737771655</v>
      </c>
      <c r="CR22" s="4">
        <v>2043944.8087094333</v>
      </c>
      <c r="CS22" s="4">
        <v>2181583.2018053923</v>
      </c>
      <c r="CT22" s="4">
        <v>1563494.2010583694</v>
      </c>
      <c r="CU22" s="4">
        <v>2396483.586076152</v>
      </c>
      <c r="CV22" s="4">
        <v>2450411.6438372657</v>
      </c>
      <c r="CW22" s="4">
        <v>3653404.1075832942</v>
      </c>
    </row>
    <row r="23" spans="1:101" x14ac:dyDescent="0.35">
      <c r="A23">
        <v>202310</v>
      </c>
      <c r="B23" s="4">
        <v>2779055.9231247455</v>
      </c>
      <c r="C23" s="4">
        <v>3299518.9272446595</v>
      </c>
      <c r="D23" s="4">
        <v>2945885.5802530264</v>
      </c>
      <c r="E23" s="4">
        <v>3450747.9257737659</v>
      </c>
      <c r="F23" s="4">
        <v>2747243.700552491</v>
      </c>
      <c r="G23" s="4">
        <v>3742664.9129977771</v>
      </c>
      <c r="H23" s="4">
        <v>2436211.3739185901</v>
      </c>
      <c r="I23" s="4">
        <v>3707152.2041738103</v>
      </c>
      <c r="J23" s="4">
        <v>3510381.9565852652</v>
      </c>
      <c r="K23" s="4">
        <v>2808356.5004665283</v>
      </c>
      <c r="L23" s="4">
        <v>2097339.6908711228</v>
      </c>
      <c r="M23" s="4">
        <v>2900553.7688404</v>
      </c>
      <c r="N23" s="4">
        <v>2435317.3686839095</v>
      </c>
      <c r="O23" s="4">
        <v>3601258.5235546036</v>
      </c>
      <c r="P23" s="4">
        <v>2572706.7095001349</v>
      </c>
      <c r="Q23" s="4">
        <v>2464451.0625201603</v>
      </c>
      <c r="R23" s="4">
        <v>3572256.1753665321</v>
      </c>
      <c r="S23" s="4">
        <v>2580622.5860121264</v>
      </c>
      <c r="T23" s="4">
        <v>2493641.7655497091</v>
      </c>
      <c r="U23" s="4">
        <v>2262100.6976896604</v>
      </c>
      <c r="V23" s="4">
        <v>2464511.7166734133</v>
      </c>
      <c r="W23" s="4">
        <v>3805778.75775686</v>
      </c>
      <c r="X23" s="4">
        <v>2311906.8259094353</v>
      </c>
      <c r="Y23" s="4">
        <v>2948038.8189996355</v>
      </c>
      <c r="Z23" s="4">
        <v>2878751.5075670034</v>
      </c>
      <c r="AA23" s="4">
        <v>2105193.4804991698</v>
      </c>
      <c r="AB23" s="4">
        <v>2720493.6241882439</v>
      </c>
      <c r="AC23" s="4">
        <v>2752527.6788807283</v>
      </c>
      <c r="AD23" s="4">
        <v>3149184.1625171998</v>
      </c>
      <c r="AE23" s="4">
        <v>2615321.0683771819</v>
      </c>
      <c r="AF23" s="4">
        <v>2809334.9547572252</v>
      </c>
      <c r="AG23" s="4">
        <v>2877133.6114795487</v>
      </c>
      <c r="AH23" s="4">
        <v>2870393.0894161053</v>
      </c>
      <c r="AI23" s="4">
        <v>3167255.6317868717</v>
      </c>
      <c r="AJ23" s="4">
        <v>3388913.0704552126</v>
      </c>
      <c r="AK23" s="4">
        <v>3382306.1609204104</v>
      </c>
      <c r="AL23" s="4">
        <v>2827339.3562314701</v>
      </c>
      <c r="AM23" s="4">
        <v>4058501.8047664496</v>
      </c>
      <c r="AN23" s="4">
        <v>2691868.437973158</v>
      </c>
      <c r="AO23" s="4">
        <v>2793503.4822104154</v>
      </c>
      <c r="AP23" s="4">
        <v>2578258.4409718323</v>
      </c>
      <c r="AQ23" s="4">
        <v>2619634.8534310642</v>
      </c>
      <c r="AR23" s="4">
        <v>2547414.0743174693</v>
      </c>
      <c r="AS23" s="4">
        <v>2135869.0430232449</v>
      </c>
      <c r="AT23" s="4">
        <v>2538838.7583965729</v>
      </c>
      <c r="AU23" s="4">
        <v>2138056.2938663694</v>
      </c>
      <c r="AV23" s="4">
        <v>2396429.5898645795</v>
      </c>
      <c r="AW23" s="4">
        <v>2506083.7715146728</v>
      </c>
      <c r="AX23" s="4">
        <v>2876584.7095177644</v>
      </c>
      <c r="AY23" s="4">
        <v>2552362.0723363957</v>
      </c>
      <c r="AZ23" s="4">
        <v>4877802.2559199026</v>
      </c>
      <c r="BA23" s="4">
        <v>3993264.8487555319</v>
      </c>
      <c r="BB23" s="4">
        <v>3061241.4847998312</v>
      </c>
      <c r="BC23" s="4">
        <v>2069930.9919356937</v>
      </c>
      <c r="BD23" s="4">
        <v>3352293.8857837766</v>
      </c>
      <c r="BE23" s="4">
        <v>2709419.0426448723</v>
      </c>
      <c r="BF23" s="4">
        <v>2839179.2654119325</v>
      </c>
      <c r="BG23" s="4">
        <v>2765970.0653403718</v>
      </c>
      <c r="BH23" s="4">
        <v>3000457.2998563694</v>
      </c>
      <c r="BI23" s="4">
        <v>3042260.4954457539</v>
      </c>
      <c r="BJ23" s="4">
        <v>3090146.2284076223</v>
      </c>
      <c r="BK23" s="4">
        <v>3093099.3026181394</v>
      </c>
      <c r="BL23" s="4">
        <v>1973063.6387349826</v>
      </c>
      <c r="BM23" s="4">
        <v>2444159.7444901182</v>
      </c>
      <c r="BN23" s="4">
        <v>2829733.997386849</v>
      </c>
      <c r="BO23" s="4">
        <v>2620485.586091374</v>
      </c>
      <c r="BP23" s="4">
        <v>2927661.4305482917</v>
      </c>
      <c r="BQ23" s="4">
        <v>3686185.3565914487</v>
      </c>
      <c r="BR23" s="4">
        <v>2914150.9883342218</v>
      </c>
      <c r="BS23" s="4">
        <v>2868247.0381941204</v>
      </c>
      <c r="BT23" s="4">
        <v>3907120.6102634943</v>
      </c>
      <c r="BU23" s="4">
        <v>2531482.2815567199</v>
      </c>
      <c r="BV23" s="4">
        <v>3156393.6877336814</v>
      </c>
      <c r="BW23" s="4">
        <v>2654041.4652695959</v>
      </c>
      <c r="BX23" s="4">
        <v>2510069.7287080521</v>
      </c>
      <c r="BY23" s="4">
        <v>2853396.9370089592</v>
      </c>
      <c r="BZ23" s="4">
        <v>2897664.7968757679</v>
      </c>
      <c r="CA23" s="4">
        <v>2514893.5367667815</v>
      </c>
      <c r="CB23" s="4">
        <v>2806491.8738540029</v>
      </c>
      <c r="CC23" s="4">
        <v>2301542.7121241302</v>
      </c>
      <c r="CD23" s="4">
        <v>4302782.8499058653</v>
      </c>
      <c r="CE23" s="4">
        <v>2275125.0906299683</v>
      </c>
      <c r="CF23" s="4">
        <v>3341776.7363920086</v>
      </c>
      <c r="CG23" s="4">
        <v>3578696.4762302907</v>
      </c>
      <c r="CH23" s="4">
        <v>3083817.4938074704</v>
      </c>
      <c r="CI23" s="4">
        <v>2577648.1900059818</v>
      </c>
      <c r="CJ23" s="4">
        <v>3961925.3257675073</v>
      </c>
      <c r="CK23" s="4">
        <v>3668130.9796765619</v>
      </c>
      <c r="CL23" s="4">
        <v>2782183.3980523818</v>
      </c>
      <c r="CM23" s="4">
        <v>2472721.8417688655</v>
      </c>
      <c r="CN23" s="4">
        <v>2972335.2081538965</v>
      </c>
      <c r="CO23" s="4">
        <v>3921242.0257930607</v>
      </c>
      <c r="CP23" s="4">
        <v>3139207.4685541703</v>
      </c>
      <c r="CQ23" s="4">
        <v>2461705.660147279</v>
      </c>
      <c r="CR23" s="4">
        <v>2469558.9998372137</v>
      </c>
      <c r="CS23" s="4">
        <v>2679805.0748253474</v>
      </c>
      <c r="CT23" s="4">
        <v>1904260.4595795465</v>
      </c>
      <c r="CU23" s="4">
        <v>2889575.9743480831</v>
      </c>
      <c r="CV23" s="4">
        <v>3036994.7077201521</v>
      </c>
      <c r="CW23" s="4">
        <v>4430321.5116816461</v>
      </c>
    </row>
    <row r="24" spans="1:101" x14ac:dyDescent="0.35">
      <c r="A24">
        <v>202311</v>
      </c>
      <c r="B24" s="4">
        <v>3217423.7880224725</v>
      </c>
      <c r="C24" s="4">
        <v>3809428.9735858408</v>
      </c>
      <c r="D24" s="4">
        <v>3313980.4809827865</v>
      </c>
      <c r="E24" s="4">
        <v>3944660.9972851239</v>
      </c>
      <c r="F24" s="4">
        <v>3115755.8346208297</v>
      </c>
      <c r="G24" s="4">
        <v>4230614.8214884941</v>
      </c>
      <c r="H24" s="4">
        <v>2778849.6163195907</v>
      </c>
      <c r="I24" s="4">
        <v>4293382.8980706064</v>
      </c>
      <c r="J24" s="4">
        <v>3968256.7435578587</v>
      </c>
      <c r="K24" s="4">
        <v>3240303.9298733589</v>
      </c>
      <c r="L24" s="4">
        <v>2374952.3968039439</v>
      </c>
      <c r="M24" s="4">
        <v>3373932.9995411453</v>
      </c>
      <c r="N24" s="4">
        <v>2895685.9938775552</v>
      </c>
      <c r="O24" s="4">
        <v>4122265.4068453307</v>
      </c>
      <c r="P24" s="4">
        <v>3017939.3212231882</v>
      </c>
      <c r="Q24" s="4">
        <v>2880874.3729719026</v>
      </c>
      <c r="R24" s="4">
        <v>4027064.9494443</v>
      </c>
      <c r="S24" s="4">
        <v>2949089.2865579119</v>
      </c>
      <c r="T24" s="4">
        <v>2822110.2728069006</v>
      </c>
      <c r="U24" s="4">
        <v>2502726.2417852469</v>
      </c>
      <c r="V24" s="4">
        <v>2836239.9119273503</v>
      </c>
      <c r="W24" s="4">
        <v>4339135.3682326088</v>
      </c>
      <c r="X24" s="4">
        <v>2663982.5937766242</v>
      </c>
      <c r="Y24" s="4">
        <v>3354926.8902848205</v>
      </c>
      <c r="Z24" s="4">
        <v>3319283.2530602836</v>
      </c>
      <c r="AA24" s="4">
        <v>2425272.7320346776</v>
      </c>
      <c r="AB24" s="4">
        <v>3076219.7841488714</v>
      </c>
      <c r="AC24" s="4">
        <v>3140888.547622893</v>
      </c>
      <c r="AD24" s="4">
        <v>3515571.5310015571</v>
      </c>
      <c r="AE24" s="4">
        <v>2931210.8241279148</v>
      </c>
      <c r="AF24" s="4">
        <v>3175419.0473497161</v>
      </c>
      <c r="AG24" s="4">
        <v>3330092.1965323924</v>
      </c>
      <c r="AH24" s="4">
        <v>3352454.9262104118</v>
      </c>
      <c r="AI24" s="4">
        <v>3521595.9648040617</v>
      </c>
      <c r="AJ24" s="4">
        <v>3827456.0627666069</v>
      </c>
      <c r="AK24" s="4">
        <v>3823558.7707751649</v>
      </c>
      <c r="AL24" s="4">
        <v>3177804.5242341552</v>
      </c>
      <c r="AM24" s="4">
        <v>4586046.2427053014</v>
      </c>
      <c r="AN24" s="4">
        <v>3028659.717679956</v>
      </c>
      <c r="AO24" s="4">
        <v>3112000.9018746763</v>
      </c>
      <c r="AP24" s="4">
        <v>2945868.5062613329</v>
      </c>
      <c r="AQ24" s="4">
        <v>2987194.3753169524</v>
      </c>
      <c r="AR24" s="4">
        <v>2986017.9669574019</v>
      </c>
      <c r="AS24" s="4">
        <v>2376333.3745781556</v>
      </c>
      <c r="AT24" s="4">
        <v>2911585.6233618907</v>
      </c>
      <c r="AU24" s="4">
        <v>2451580.1468147049</v>
      </c>
      <c r="AV24" s="4">
        <v>2698661.9846414011</v>
      </c>
      <c r="AW24" s="4">
        <v>2827373.4253454697</v>
      </c>
      <c r="AX24" s="4">
        <v>3236696.5693719173</v>
      </c>
      <c r="AY24" s="4">
        <v>2995606.2947122725</v>
      </c>
      <c r="AZ24" s="4">
        <v>5409454.9437125875</v>
      </c>
      <c r="BA24" s="4">
        <v>4576214.8213765724</v>
      </c>
      <c r="BB24" s="4">
        <v>3478061.7684159898</v>
      </c>
      <c r="BC24" s="4">
        <v>2371568.4404596617</v>
      </c>
      <c r="BD24" s="4">
        <v>3855713.7031742646</v>
      </c>
      <c r="BE24" s="4">
        <v>3031282.854461282</v>
      </c>
      <c r="BF24" s="4">
        <v>3159660.2981100935</v>
      </c>
      <c r="BG24" s="4">
        <v>3126963.2873844928</v>
      </c>
      <c r="BH24" s="4">
        <v>3359465.1860371209</v>
      </c>
      <c r="BI24" s="4">
        <v>3487657.1661170749</v>
      </c>
      <c r="BJ24" s="4">
        <v>3558456.739161497</v>
      </c>
      <c r="BK24" s="4">
        <v>3548682.4257930899</v>
      </c>
      <c r="BL24" s="4">
        <v>2289710.6243977556</v>
      </c>
      <c r="BM24" s="4">
        <v>2848710.6439578882</v>
      </c>
      <c r="BN24" s="4">
        <v>3243821.6197217372</v>
      </c>
      <c r="BO24" s="4">
        <v>3021419.7699489845</v>
      </c>
      <c r="BP24" s="4">
        <v>3357823.6195006347</v>
      </c>
      <c r="BQ24" s="4">
        <v>4218662.6540615726</v>
      </c>
      <c r="BR24" s="4">
        <v>3318255.5509433555</v>
      </c>
      <c r="BS24" s="4">
        <v>3281973.9897887688</v>
      </c>
      <c r="BT24" s="4">
        <v>4364553.0750640547</v>
      </c>
      <c r="BU24" s="4">
        <v>2939398.5131761674</v>
      </c>
      <c r="BV24" s="4">
        <v>3578008.7150780261</v>
      </c>
      <c r="BW24" s="4">
        <v>3069932.3678337126</v>
      </c>
      <c r="BX24" s="4">
        <v>2904786.0313894781</v>
      </c>
      <c r="BY24" s="4">
        <v>3308385.3975746916</v>
      </c>
      <c r="BZ24" s="4">
        <v>3298568.0674951123</v>
      </c>
      <c r="CA24" s="4">
        <v>2801746.8183723749</v>
      </c>
      <c r="CB24" s="4">
        <v>3159347.5187396333</v>
      </c>
      <c r="CC24" s="4">
        <v>2643347.1155134826</v>
      </c>
      <c r="CD24" s="4">
        <v>4929469.9125227239</v>
      </c>
      <c r="CE24" s="4">
        <v>2600420.7012216491</v>
      </c>
      <c r="CF24" s="4">
        <v>3766676.9942397038</v>
      </c>
      <c r="CG24" s="4">
        <v>4064534.5926348614</v>
      </c>
      <c r="CH24" s="4">
        <v>3525437.0873315171</v>
      </c>
      <c r="CI24" s="4">
        <v>2940502.8263803241</v>
      </c>
      <c r="CJ24" s="4">
        <v>4565152.7063601958</v>
      </c>
      <c r="CK24" s="4">
        <v>4132925.1709505124</v>
      </c>
      <c r="CL24" s="4">
        <v>3178410.4783142083</v>
      </c>
      <c r="CM24" s="4">
        <v>2773266.0309572616</v>
      </c>
      <c r="CN24" s="4">
        <v>3368649.8703802843</v>
      </c>
      <c r="CO24" s="4">
        <v>4354594.5038692709</v>
      </c>
      <c r="CP24" s="4">
        <v>3491651.0193389277</v>
      </c>
      <c r="CQ24" s="4">
        <v>2787804.1884251623</v>
      </c>
      <c r="CR24" s="4">
        <v>2922578.8109109993</v>
      </c>
      <c r="CS24" s="4">
        <v>3100027.9164504227</v>
      </c>
      <c r="CT24" s="4">
        <v>2165795.6105495812</v>
      </c>
      <c r="CU24" s="4">
        <v>3323222.1682307222</v>
      </c>
      <c r="CV24" s="4">
        <v>3453347.2386657475</v>
      </c>
      <c r="CW24" s="4">
        <v>5096847.1152909044</v>
      </c>
    </row>
    <row r="25" spans="1:101" x14ac:dyDescent="0.35">
      <c r="A25">
        <v>202312</v>
      </c>
      <c r="B25" s="4">
        <v>3415944.3225234537</v>
      </c>
      <c r="C25" s="4">
        <v>3907916.3453014325</v>
      </c>
      <c r="D25" s="4">
        <v>3507691.2577064368</v>
      </c>
      <c r="E25" s="4">
        <v>4145766.2877088473</v>
      </c>
      <c r="F25" s="4">
        <v>3354058.0817246302</v>
      </c>
      <c r="G25" s="4">
        <v>4422433.3315601842</v>
      </c>
      <c r="H25" s="4">
        <v>2918019.7429168802</v>
      </c>
      <c r="I25" s="4">
        <v>4452284.5982190585</v>
      </c>
      <c r="J25" s="4">
        <v>4141667.5325690396</v>
      </c>
      <c r="K25" s="4">
        <v>3284540.5773843601</v>
      </c>
      <c r="L25" s="4">
        <v>2480296.754572859</v>
      </c>
      <c r="M25" s="4">
        <v>3473655.9619362988</v>
      </c>
      <c r="N25" s="4">
        <v>2926006.0730229062</v>
      </c>
      <c r="O25" s="4">
        <v>4297929.3216306213</v>
      </c>
      <c r="P25" s="4">
        <v>3126584.8864526246</v>
      </c>
      <c r="Q25" s="4">
        <v>2940416.6554099075</v>
      </c>
      <c r="R25" s="4">
        <v>4277422.9246717431</v>
      </c>
      <c r="S25" s="4">
        <v>2991965.2670325241</v>
      </c>
      <c r="T25" s="4">
        <v>2947162.2920234678</v>
      </c>
      <c r="U25" s="4">
        <v>2620748.7175082085</v>
      </c>
      <c r="V25" s="4">
        <v>2973092.1640591221</v>
      </c>
      <c r="W25" s="4">
        <v>4520055.7410863442</v>
      </c>
      <c r="X25" s="4">
        <v>2714552.4015282365</v>
      </c>
      <c r="Y25" s="4">
        <v>3503957.3878213875</v>
      </c>
      <c r="Z25" s="4">
        <v>3463461.5515569733</v>
      </c>
      <c r="AA25" s="4">
        <v>2502441.247233585</v>
      </c>
      <c r="AB25" s="4">
        <v>3186270.1045592739</v>
      </c>
      <c r="AC25" s="4">
        <v>3301496.8156997045</v>
      </c>
      <c r="AD25" s="4">
        <v>3705847.8307788093</v>
      </c>
      <c r="AE25" s="4">
        <v>3024377.7801803453</v>
      </c>
      <c r="AF25" s="4">
        <v>3367331.8258759836</v>
      </c>
      <c r="AG25" s="4">
        <v>3460163.0876487303</v>
      </c>
      <c r="AH25" s="4">
        <v>3451684.6547813998</v>
      </c>
      <c r="AI25" s="4">
        <v>3835256.4893831359</v>
      </c>
      <c r="AJ25" s="4">
        <v>4032413.2829846689</v>
      </c>
      <c r="AK25" s="4">
        <v>3979147.0413568523</v>
      </c>
      <c r="AL25" s="4">
        <v>3309239.6687871814</v>
      </c>
      <c r="AM25" s="4">
        <v>4803621.8026412735</v>
      </c>
      <c r="AN25" s="4">
        <v>3102963.3453706796</v>
      </c>
      <c r="AO25" s="4">
        <v>3400923.3009078982</v>
      </c>
      <c r="AP25" s="4">
        <v>3065491.7350645354</v>
      </c>
      <c r="AQ25" s="4">
        <v>3057097.42488831</v>
      </c>
      <c r="AR25" s="4">
        <v>3057341.199747582</v>
      </c>
      <c r="AS25" s="4">
        <v>2459653.2432550862</v>
      </c>
      <c r="AT25" s="4">
        <v>3042458.3975155069</v>
      </c>
      <c r="AU25" s="4">
        <v>2485412.248976036</v>
      </c>
      <c r="AV25" s="4">
        <v>2843058.0495641064</v>
      </c>
      <c r="AW25" s="4">
        <v>2948935.6806538887</v>
      </c>
      <c r="AX25" s="4">
        <v>3379627.1162205818</v>
      </c>
      <c r="AY25" s="4">
        <v>3060453.1338283112</v>
      </c>
      <c r="AZ25" s="4">
        <v>5806945.3922553211</v>
      </c>
      <c r="BA25" s="4">
        <v>4676193.4517197153</v>
      </c>
      <c r="BB25" s="4">
        <v>3675769.5252210293</v>
      </c>
      <c r="BC25" s="4">
        <v>2443089.5147314649</v>
      </c>
      <c r="BD25" s="4">
        <v>3993187.3434226434</v>
      </c>
      <c r="BE25" s="4">
        <v>3229066.9564220128</v>
      </c>
      <c r="BF25" s="4">
        <v>3374980.6422535721</v>
      </c>
      <c r="BG25" s="4">
        <v>3280997.5628019501</v>
      </c>
      <c r="BH25" s="4">
        <v>3523960.5279937303</v>
      </c>
      <c r="BI25" s="4">
        <v>3583542.7971268082</v>
      </c>
      <c r="BJ25" s="4">
        <v>3677465.8436623807</v>
      </c>
      <c r="BK25" s="4">
        <v>3685046.5703462968</v>
      </c>
      <c r="BL25" s="4">
        <v>2327560.8208625028</v>
      </c>
      <c r="BM25" s="4">
        <v>2948848.2908985619</v>
      </c>
      <c r="BN25" s="4">
        <v>3395061.1708240793</v>
      </c>
      <c r="BO25" s="4">
        <v>3109496.7205567681</v>
      </c>
      <c r="BP25" s="4">
        <v>3416197.9052210213</v>
      </c>
      <c r="BQ25" s="4">
        <v>4370862.8319212487</v>
      </c>
      <c r="BR25" s="4">
        <v>3501274.2547155265</v>
      </c>
      <c r="BS25" s="4">
        <v>3413393.0352813299</v>
      </c>
      <c r="BT25" s="4">
        <v>4634271.3010492269</v>
      </c>
      <c r="BU25" s="4">
        <v>3099488.3201400018</v>
      </c>
      <c r="BV25" s="4">
        <v>3734562.4636971597</v>
      </c>
      <c r="BW25" s="4">
        <v>3171038.8078512526</v>
      </c>
      <c r="BX25" s="4">
        <v>3088449.5618509715</v>
      </c>
      <c r="BY25" s="4">
        <v>3414161.7410533219</v>
      </c>
      <c r="BZ25" s="4">
        <v>3415758.3059681444</v>
      </c>
      <c r="CA25" s="4">
        <v>2959800.3035734002</v>
      </c>
      <c r="CB25" s="4">
        <v>3308020.5057924297</v>
      </c>
      <c r="CC25" s="4">
        <v>2728172.7367829927</v>
      </c>
      <c r="CD25" s="4">
        <v>5226838.2029154934</v>
      </c>
      <c r="CE25" s="4">
        <v>2698950.206352917</v>
      </c>
      <c r="CF25" s="4">
        <v>3924775.1327191712</v>
      </c>
      <c r="CG25" s="4">
        <v>4325846.2121222755</v>
      </c>
      <c r="CH25" s="4">
        <v>3651180.3134507444</v>
      </c>
      <c r="CI25" s="4">
        <v>3018375.7950168569</v>
      </c>
      <c r="CJ25" s="4">
        <v>4686035.2361026574</v>
      </c>
      <c r="CK25" s="4">
        <v>4289789.0053042471</v>
      </c>
      <c r="CL25" s="4">
        <v>3367995.5053268014</v>
      </c>
      <c r="CM25" s="4">
        <v>2946058.8219550382</v>
      </c>
      <c r="CN25" s="4">
        <v>3613317.9121939484</v>
      </c>
      <c r="CO25" s="4">
        <v>4686841.6710736165</v>
      </c>
      <c r="CP25" s="4">
        <v>3691649.3062499347</v>
      </c>
      <c r="CQ25" s="4">
        <v>2895931.8297025156</v>
      </c>
      <c r="CR25" s="4">
        <v>2946499.9474356212</v>
      </c>
      <c r="CS25" s="4">
        <v>3179720.9086154602</v>
      </c>
      <c r="CT25" s="4">
        <v>2267288.073228573</v>
      </c>
      <c r="CU25" s="4">
        <v>3428384.840813336</v>
      </c>
      <c r="CV25" s="4">
        <v>3646141.1633560802</v>
      </c>
      <c r="CW25" s="4">
        <v>5271724.1778915776</v>
      </c>
    </row>
    <row r="26" spans="1:101" x14ac:dyDescent="0.35">
      <c r="A26">
        <v>202401</v>
      </c>
      <c r="B26" s="4">
        <v>1948058.6141351089</v>
      </c>
      <c r="C26" s="4">
        <v>2272253.2177840732</v>
      </c>
      <c r="D26" s="4">
        <v>2022491.6147233332</v>
      </c>
      <c r="E26" s="4">
        <v>2390077.3830876164</v>
      </c>
      <c r="F26" s="4">
        <v>1955606.8243739114</v>
      </c>
      <c r="G26" s="4">
        <v>2554484.0479526892</v>
      </c>
      <c r="H26" s="4">
        <v>1701037.7666342065</v>
      </c>
      <c r="I26" s="4">
        <v>2518900.8066363428</v>
      </c>
      <c r="J26" s="4">
        <v>2416244.8884010445</v>
      </c>
      <c r="K26" s="4">
        <v>1912630.2191533272</v>
      </c>
      <c r="L26" s="4">
        <v>1426014.420945222</v>
      </c>
      <c r="M26" s="4">
        <v>1991599.3835194779</v>
      </c>
      <c r="N26" s="4">
        <v>1739420.4903164837</v>
      </c>
      <c r="O26" s="4">
        <v>2476429.0781689943</v>
      </c>
      <c r="P26" s="4">
        <v>1766057.1360766701</v>
      </c>
      <c r="Q26" s="4">
        <v>1738546.183370495</v>
      </c>
      <c r="R26" s="4">
        <v>2413900.325510697</v>
      </c>
      <c r="S26" s="4">
        <v>1752176.8515889337</v>
      </c>
      <c r="T26" s="4">
        <v>1699901.1363809942</v>
      </c>
      <c r="U26" s="4">
        <v>1517110.1597362501</v>
      </c>
      <c r="V26" s="4">
        <v>1695459.9883751404</v>
      </c>
      <c r="W26" s="4">
        <v>2601205.8550475226</v>
      </c>
      <c r="X26" s="4">
        <v>1598225.9394840719</v>
      </c>
      <c r="Y26" s="4">
        <v>2015982.2934979058</v>
      </c>
      <c r="Z26" s="4">
        <v>2024834.7146671533</v>
      </c>
      <c r="AA26" s="4">
        <v>1454381.6518527127</v>
      </c>
      <c r="AB26" s="4">
        <v>1852501.3428442474</v>
      </c>
      <c r="AC26" s="4">
        <v>1908451.1479247592</v>
      </c>
      <c r="AD26" s="4">
        <v>2170946.7483170703</v>
      </c>
      <c r="AE26" s="4">
        <v>1776308.7346425042</v>
      </c>
      <c r="AF26" s="4">
        <v>1999545.4272948571</v>
      </c>
      <c r="AG26" s="4">
        <v>1949718.2396264465</v>
      </c>
      <c r="AH26" s="4">
        <v>1990013.5577957591</v>
      </c>
      <c r="AI26" s="4">
        <v>2194750.2157092202</v>
      </c>
      <c r="AJ26" s="4">
        <v>2279943.0781112863</v>
      </c>
      <c r="AK26" s="4">
        <v>2283987.4115850287</v>
      </c>
      <c r="AL26" s="4">
        <v>1964081.8202473572</v>
      </c>
      <c r="AM26" s="4">
        <v>2766818.2637209091</v>
      </c>
      <c r="AN26" s="4">
        <v>1796220.8980406574</v>
      </c>
      <c r="AO26" s="4">
        <v>1906444.7506056991</v>
      </c>
      <c r="AP26" s="4">
        <v>1779348.0658836104</v>
      </c>
      <c r="AQ26" s="4">
        <v>1779328.4446670229</v>
      </c>
      <c r="AR26" s="4">
        <v>1765740.0574522747</v>
      </c>
      <c r="AS26" s="4">
        <v>1410828.8755697024</v>
      </c>
      <c r="AT26" s="4">
        <v>1784470.3652575233</v>
      </c>
      <c r="AU26" s="4">
        <v>1495948.7264185916</v>
      </c>
      <c r="AV26" s="4">
        <v>1667607.0458514295</v>
      </c>
      <c r="AW26" s="4">
        <v>1723883.7353053316</v>
      </c>
      <c r="AX26" s="4">
        <v>1971139.9583742104</v>
      </c>
      <c r="AY26" s="4">
        <v>1797193.8610802782</v>
      </c>
      <c r="AZ26" s="4">
        <v>3377032.6048805043</v>
      </c>
      <c r="BA26" s="4">
        <v>2763326.0926788771</v>
      </c>
      <c r="BB26" s="4">
        <v>2111585.1775032678</v>
      </c>
      <c r="BC26" s="4">
        <v>1446946.7857102449</v>
      </c>
      <c r="BD26" s="4">
        <v>2310684.986136022</v>
      </c>
      <c r="BE26" s="4">
        <v>1839059.8647966364</v>
      </c>
      <c r="BF26" s="4">
        <v>1893354.1225569127</v>
      </c>
      <c r="BG26" s="4">
        <v>1897273.1049176799</v>
      </c>
      <c r="BH26" s="4">
        <v>2043048.069877289</v>
      </c>
      <c r="BI26" s="4">
        <v>2058671.1149468259</v>
      </c>
      <c r="BJ26" s="4">
        <v>2131511.6229413035</v>
      </c>
      <c r="BK26" s="4">
        <v>2168774.2558396081</v>
      </c>
      <c r="BL26" s="4">
        <v>1383006.4784817472</v>
      </c>
      <c r="BM26" s="4">
        <v>1707328.2441398294</v>
      </c>
      <c r="BN26" s="4">
        <v>1970202.8812770064</v>
      </c>
      <c r="BO26" s="4">
        <v>1803184.8161870677</v>
      </c>
      <c r="BP26" s="4">
        <v>1970272.339256732</v>
      </c>
      <c r="BQ26" s="4">
        <v>2605062.3351192274</v>
      </c>
      <c r="BR26" s="4">
        <v>1988585.2940218917</v>
      </c>
      <c r="BS26" s="4">
        <v>1944910.1463576052</v>
      </c>
      <c r="BT26" s="4">
        <v>2663481.4732702868</v>
      </c>
      <c r="BU26" s="4">
        <v>1768320.9399138524</v>
      </c>
      <c r="BV26" s="4">
        <v>2155005.6746975468</v>
      </c>
      <c r="BW26" s="4">
        <v>1823818.184945605</v>
      </c>
      <c r="BX26" s="4">
        <v>1767230.9997479133</v>
      </c>
      <c r="BY26" s="4">
        <v>1970368.5520140694</v>
      </c>
      <c r="BZ26" s="4">
        <v>1963249.5902960782</v>
      </c>
      <c r="CA26" s="4">
        <v>1687437.7784355921</v>
      </c>
      <c r="CB26" s="4">
        <v>1903760.2230540123</v>
      </c>
      <c r="CC26" s="4">
        <v>1587453.2503849266</v>
      </c>
      <c r="CD26" s="4">
        <v>3013970.8229098367</v>
      </c>
      <c r="CE26" s="4">
        <v>1545161.8004738512</v>
      </c>
      <c r="CF26" s="4">
        <v>2274681.2398380195</v>
      </c>
      <c r="CG26" s="4">
        <v>2452211.2249036971</v>
      </c>
      <c r="CH26" s="4">
        <v>2139985.598770272</v>
      </c>
      <c r="CI26" s="4">
        <v>1750732.1102205198</v>
      </c>
      <c r="CJ26" s="4">
        <v>2715771.1900016763</v>
      </c>
      <c r="CK26" s="4">
        <v>2528004.6959706694</v>
      </c>
      <c r="CL26" s="4">
        <v>1925045.9577764021</v>
      </c>
      <c r="CM26" s="4">
        <v>1707702.2654452699</v>
      </c>
      <c r="CN26" s="4">
        <v>2117711.9506116454</v>
      </c>
      <c r="CO26" s="4">
        <v>2707260.4890515762</v>
      </c>
      <c r="CP26" s="4">
        <v>2158276.6474841847</v>
      </c>
      <c r="CQ26" s="4">
        <v>1689586.9412964156</v>
      </c>
      <c r="CR26" s="4">
        <v>1735098.9679103261</v>
      </c>
      <c r="CS26" s="4">
        <v>1865193.8702886067</v>
      </c>
      <c r="CT26" s="4">
        <v>1291589.8861019257</v>
      </c>
      <c r="CU26" s="4">
        <v>1969020.7877978205</v>
      </c>
      <c r="CV26" s="4">
        <v>2075741.5550710734</v>
      </c>
      <c r="CW26" s="4">
        <v>3000318.972755536</v>
      </c>
    </row>
    <row r="27" spans="1:101" x14ac:dyDescent="0.35">
      <c r="A27">
        <v>202402</v>
      </c>
      <c r="B27" s="4">
        <v>2215864.6658554021</v>
      </c>
      <c r="C27" s="4">
        <v>2587275.0379600823</v>
      </c>
      <c r="D27" s="4">
        <v>2292891.487785005</v>
      </c>
      <c r="E27" s="4">
        <v>2673911.3889231035</v>
      </c>
      <c r="F27" s="4">
        <v>2158167.9001275888</v>
      </c>
      <c r="G27" s="4">
        <v>2948328.2149045239</v>
      </c>
      <c r="H27" s="4">
        <v>1925519.4512883888</v>
      </c>
      <c r="I27" s="4">
        <v>2956195.8398156129</v>
      </c>
      <c r="J27" s="4">
        <v>2719678.1406136807</v>
      </c>
      <c r="K27" s="4">
        <v>2200974.7738977983</v>
      </c>
      <c r="L27" s="4">
        <v>1600194.8118622154</v>
      </c>
      <c r="M27" s="4">
        <v>2266416.0353831868</v>
      </c>
      <c r="N27" s="4">
        <v>1958753.2089580009</v>
      </c>
      <c r="O27" s="4">
        <v>2794989.9708727803</v>
      </c>
      <c r="P27" s="4">
        <v>2039552.547248617</v>
      </c>
      <c r="Q27" s="4">
        <v>1940830.0080758156</v>
      </c>
      <c r="R27" s="4">
        <v>2767434.4361046054</v>
      </c>
      <c r="S27" s="4">
        <v>1979311.4740643334</v>
      </c>
      <c r="T27" s="4">
        <v>1937159.2898455255</v>
      </c>
      <c r="U27" s="4">
        <v>1775129.1337991469</v>
      </c>
      <c r="V27" s="4">
        <v>1938434.7007872823</v>
      </c>
      <c r="W27" s="4">
        <v>2890068.9461320713</v>
      </c>
      <c r="X27" s="4">
        <v>1782167.9951004551</v>
      </c>
      <c r="Y27" s="4">
        <v>2246461.6247073477</v>
      </c>
      <c r="Z27" s="4">
        <v>2283520.998464758</v>
      </c>
      <c r="AA27" s="4">
        <v>1686658.1756689274</v>
      </c>
      <c r="AB27" s="4">
        <v>2098354.7967403713</v>
      </c>
      <c r="AC27" s="4">
        <v>2146059.9649688844</v>
      </c>
      <c r="AD27" s="4">
        <v>2504965.0300874785</v>
      </c>
      <c r="AE27" s="4">
        <v>2038609.9159251889</v>
      </c>
      <c r="AF27" s="4">
        <v>2205587.8690998377</v>
      </c>
      <c r="AG27" s="4">
        <v>2207225.4360603723</v>
      </c>
      <c r="AH27" s="4">
        <v>2284013.6253285636</v>
      </c>
      <c r="AI27" s="4">
        <v>2483022.8834398482</v>
      </c>
      <c r="AJ27" s="4">
        <v>2670929.8714860179</v>
      </c>
      <c r="AK27" s="4">
        <v>2578523.3451958895</v>
      </c>
      <c r="AL27" s="4">
        <v>2141104.2497191899</v>
      </c>
      <c r="AM27" s="4">
        <v>3117891.6692002644</v>
      </c>
      <c r="AN27" s="4">
        <v>2034357.4493714699</v>
      </c>
      <c r="AO27" s="4">
        <v>2194795.5996182398</v>
      </c>
      <c r="AP27" s="4">
        <v>2002616.2193776385</v>
      </c>
      <c r="AQ27" s="4">
        <v>2026830.7371017584</v>
      </c>
      <c r="AR27" s="4">
        <v>2031600.5029062352</v>
      </c>
      <c r="AS27" s="4">
        <v>1649524.8638514115</v>
      </c>
      <c r="AT27" s="4">
        <v>1988763.9969835342</v>
      </c>
      <c r="AU27" s="4">
        <v>1701211.9186936778</v>
      </c>
      <c r="AV27" s="4">
        <v>1864499.398106121</v>
      </c>
      <c r="AW27" s="4">
        <v>1928890.0808413133</v>
      </c>
      <c r="AX27" s="4">
        <v>2255293.2619853062</v>
      </c>
      <c r="AY27" s="4">
        <v>1985902.2909456852</v>
      </c>
      <c r="AZ27" s="4">
        <v>3821622.4404022433</v>
      </c>
      <c r="BA27" s="4">
        <v>3080468.2422601786</v>
      </c>
      <c r="BB27" s="4">
        <v>2387633.4762940244</v>
      </c>
      <c r="BC27" s="4">
        <v>1636679.5188795701</v>
      </c>
      <c r="BD27" s="4">
        <v>2659232.1376997381</v>
      </c>
      <c r="BE27" s="4">
        <v>2067320.9184567486</v>
      </c>
      <c r="BF27" s="4">
        <v>2187757.0499830367</v>
      </c>
      <c r="BG27" s="4">
        <v>2132238.7002236713</v>
      </c>
      <c r="BH27" s="4">
        <v>2301818.8353789467</v>
      </c>
      <c r="BI27" s="4">
        <v>2342447.5317085399</v>
      </c>
      <c r="BJ27" s="4">
        <v>2393396.0518171745</v>
      </c>
      <c r="BK27" s="4">
        <v>2378484.1467772061</v>
      </c>
      <c r="BL27" s="4">
        <v>1546513.5649724808</v>
      </c>
      <c r="BM27" s="4">
        <v>1907825.6017924165</v>
      </c>
      <c r="BN27" s="4">
        <v>2179649.9287900799</v>
      </c>
      <c r="BO27" s="4">
        <v>2049581.1629694549</v>
      </c>
      <c r="BP27" s="4">
        <v>2225547.8183951848</v>
      </c>
      <c r="BQ27" s="4">
        <v>2908708.6110230363</v>
      </c>
      <c r="BR27" s="4">
        <v>2295720.7233526846</v>
      </c>
      <c r="BS27" s="4">
        <v>2257789.7509686742</v>
      </c>
      <c r="BT27" s="4">
        <v>3004010.9023639802</v>
      </c>
      <c r="BU27" s="4">
        <v>2021108.5629915069</v>
      </c>
      <c r="BV27" s="4">
        <v>2450981.1121992869</v>
      </c>
      <c r="BW27" s="4">
        <v>2133582.6707203286</v>
      </c>
      <c r="BX27" s="4">
        <v>2002567.3860796939</v>
      </c>
      <c r="BY27" s="4">
        <v>2232727.2677115765</v>
      </c>
      <c r="BZ27" s="4">
        <v>2283855.450449144</v>
      </c>
      <c r="CA27" s="4">
        <v>1926676.6817238287</v>
      </c>
      <c r="CB27" s="4">
        <v>2201915.9858172107</v>
      </c>
      <c r="CC27" s="4">
        <v>1780359.4090316335</v>
      </c>
      <c r="CD27" s="4">
        <v>3344091.7330105323</v>
      </c>
      <c r="CE27" s="4">
        <v>1781351.3344851849</v>
      </c>
      <c r="CF27" s="4">
        <v>2574690.587915109</v>
      </c>
      <c r="CG27" s="4">
        <v>2773611.0290879454</v>
      </c>
      <c r="CH27" s="4">
        <v>2418804.1798942271</v>
      </c>
      <c r="CI27" s="4">
        <v>1998211.6234687874</v>
      </c>
      <c r="CJ27" s="4">
        <v>3130327.9445682834</v>
      </c>
      <c r="CK27" s="4">
        <v>2810844.4262685524</v>
      </c>
      <c r="CL27" s="4">
        <v>2177884.8877374912</v>
      </c>
      <c r="CM27" s="4">
        <v>1932062.896194113</v>
      </c>
      <c r="CN27" s="4">
        <v>2368325.1047785743</v>
      </c>
      <c r="CO27" s="4">
        <v>3016417.8408681275</v>
      </c>
      <c r="CP27" s="4">
        <v>2439748.9622587888</v>
      </c>
      <c r="CQ27" s="4">
        <v>1900879.277015625</v>
      </c>
      <c r="CR27" s="4">
        <v>1961358.0036128603</v>
      </c>
      <c r="CS27" s="4">
        <v>2075875.2575712409</v>
      </c>
      <c r="CT27" s="4">
        <v>1486612.6466517474</v>
      </c>
      <c r="CU27" s="4">
        <v>2274307.6520940713</v>
      </c>
      <c r="CV27" s="4">
        <v>2371716.2343849614</v>
      </c>
      <c r="CW27" s="4">
        <v>3447458.4863273255</v>
      </c>
    </row>
    <row r="28" spans="1:101" x14ac:dyDescent="0.35">
      <c r="A28">
        <v>202403</v>
      </c>
      <c r="B28" s="4">
        <v>2456276.2631198643</v>
      </c>
      <c r="C28" s="4">
        <v>2830380.0349293803</v>
      </c>
      <c r="D28" s="4">
        <v>2549150.3977218419</v>
      </c>
      <c r="E28" s="4">
        <v>3039311.030271423</v>
      </c>
      <c r="F28" s="4">
        <v>2432593.7831795192</v>
      </c>
      <c r="G28" s="4">
        <v>3246942.9797373046</v>
      </c>
      <c r="H28" s="4">
        <v>2172515.6430368293</v>
      </c>
      <c r="I28" s="4">
        <v>3277228.8662244426</v>
      </c>
      <c r="J28" s="4">
        <v>3024525.9330154289</v>
      </c>
      <c r="K28" s="4">
        <v>2451453.0057630939</v>
      </c>
      <c r="L28" s="4">
        <v>1789009.2950545568</v>
      </c>
      <c r="M28" s="4">
        <v>2517946.4733455079</v>
      </c>
      <c r="N28" s="4">
        <v>2153540.0254212879</v>
      </c>
      <c r="O28" s="4">
        <v>3140133.9078338132</v>
      </c>
      <c r="P28" s="4">
        <v>2291257.3107695249</v>
      </c>
      <c r="Q28" s="4">
        <v>2206015.5464743883</v>
      </c>
      <c r="R28" s="4">
        <v>3096545.8199865702</v>
      </c>
      <c r="S28" s="4">
        <v>2219312.5750729968</v>
      </c>
      <c r="T28" s="4">
        <v>2166708.5273268456</v>
      </c>
      <c r="U28" s="4">
        <v>1964471.8321928536</v>
      </c>
      <c r="V28" s="4">
        <v>2151687.3371068304</v>
      </c>
      <c r="W28" s="4">
        <v>3317856.0751565285</v>
      </c>
      <c r="X28" s="4">
        <v>2004205.7491344216</v>
      </c>
      <c r="Y28" s="4">
        <v>2556638.680759808</v>
      </c>
      <c r="Z28" s="4">
        <v>2550181.5282624201</v>
      </c>
      <c r="AA28" s="4">
        <v>1849018.3903596702</v>
      </c>
      <c r="AB28" s="4">
        <v>2385345.8173293415</v>
      </c>
      <c r="AC28" s="4">
        <v>2465363.261503458</v>
      </c>
      <c r="AD28" s="4">
        <v>2759570.9644832266</v>
      </c>
      <c r="AE28" s="4">
        <v>2264294.9197451496</v>
      </c>
      <c r="AF28" s="4">
        <v>2518579.1894817278</v>
      </c>
      <c r="AG28" s="4">
        <v>2493616.9720254065</v>
      </c>
      <c r="AH28" s="4">
        <v>2589502.4166523819</v>
      </c>
      <c r="AI28" s="4">
        <v>2819722.0169102978</v>
      </c>
      <c r="AJ28" s="4">
        <v>2976047.8852123683</v>
      </c>
      <c r="AK28" s="4">
        <v>2908244.6819236847</v>
      </c>
      <c r="AL28" s="4">
        <v>2467659.5840978571</v>
      </c>
      <c r="AM28" s="4">
        <v>3578631.4022609424</v>
      </c>
      <c r="AN28" s="4">
        <v>2315000.6282082517</v>
      </c>
      <c r="AO28" s="4">
        <v>2454535.5829558852</v>
      </c>
      <c r="AP28" s="4">
        <v>2298598.383377668</v>
      </c>
      <c r="AQ28" s="4">
        <v>2281866.26494561</v>
      </c>
      <c r="AR28" s="4">
        <v>2220294.2065809607</v>
      </c>
      <c r="AS28" s="4">
        <v>1810753.0911550655</v>
      </c>
      <c r="AT28" s="4">
        <v>2224009.2500818367</v>
      </c>
      <c r="AU28" s="4">
        <v>1914346.5284616894</v>
      </c>
      <c r="AV28" s="4">
        <v>2095137.5911541125</v>
      </c>
      <c r="AW28" s="4">
        <v>2161062.4764408325</v>
      </c>
      <c r="AX28" s="4">
        <v>2487616.7322633481</v>
      </c>
      <c r="AY28" s="4">
        <v>2284920.6365089561</v>
      </c>
      <c r="AZ28" s="4">
        <v>4289171.2061862545</v>
      </c>
      <c r="BA28" s="4">
        <v>3480396.1164551266</v>
      </c>
      <c r="BB28" s="4">
        <v>2680341.7123678871</v>
      </c>
      <c r="BC28" s="4">
        <v>1791438.5987966184</v>
      </c>
      <c r="BD28" s="4">
        <v>2921050.9111933433</v>
      </c>
      <c r="BE28" s="4">
        <v>2317068.3059535204</v>
      </c>
      <c r="BF28" s="4">
        <v>2436474.1665924201</v>
      </c>
      <c r="BG28" s="4">
        <v>2451833.4381305091</v>
      </c>
      <c r="BH28" s="4">
        <v>2651911.1367858713</v>
      </c>
      <c r="BI28" s="4">
        <v>2649063.1119529596</v>
      </c>
      <c r="BJ28" s="4">
        <v>2727521.9005400166</v>
      </c>
      <c r="BK28" s="4">
        <v>2734949.0000522598</v>
      </c>
      <c r="BL28" s="4">
        <v>1726131.2610346749</v>
      </c>
      <c r="BM28" s="4">
        <v>2157613.5118889492</v>
      </c>
      <c r="BN28" s="4">
        <v>2469609.1106807068</v>
      </c>
      <c r="BO28" s="4">
        <v>2328892.2711835587</v>
      </c>
      <c r="BP28" s="4">
        <v>2554773.7702499852</v>
      </c>
      <c r="BQ28" s="4">
        <v>3225496.9660810526</v>
      </c>
      <c r="BR28" s="4">
        <v>2583720.741216498</v>
      </c>
      <c r="BS28" s="4">
        <v>2518680.4366182042</v>
      </c>
      <c r="BT28" s="4">
        <v>3413921.790548726</v>
      </c>
      <c r="BU28" s="4">
        <v>2254078.3024134282</v>
      </c>
      <c r="BV28" s="4">
        <v>2699047.7338746972</v>
      </c>
      <c r="BW28" s="4">
        <v>2335676.1624675002</v>
      </c>
      <c r="BX28" s="4">
        <v>2207262.1649889126</v>
      </c>
      <c r="BY28" s="4">
        <v>2551833.9411990386</v>
      </c>
      <c r="BZ28" s="4">
        <v>2538853.1589372181</v>
      </c>
      <c r="CA28" s="4">
        <v>2168691.2216740628</v>
      </c>
      <c r="CB28" s="4">
        <v>2446723.2795889848</v>
      </c>
      <c r="CC28" s="4">
        <v>2048301.9176041586</v>
      </c>
      <c r="CD28" s="4">
        <v>3773036.4411389562</v>
      </c>
      <c r="CE28" s="4">
        <v>2010990.4908333484</v>
      </c>
      <c r="CF28" s="4">
        <v>2856318.1607546639</v>
      </c>
      <c r="CG28" s="4">
        <v>3053557.4857810196</v>
      </c>
      <c r="CH28" s="4">
        <v>2737487.5231838152</v>
      </c>
      <c r="CI28" s="4">
        <v>2221527.3023594553</v>
      </c>
      <c r="CJ28" s="4">
        <v>3498195.8002757458</v>
      </c>
      <c r="CK28" s="4">
        <v>3163703.4186618715</v>
      </c>
      <c r="CL28" s="4">
        <v>2446197.7728005219</v>
      </c>
      <c r="CM28" s="4">
        <v>2175724.0555570703</v>
      </c>
      <c r="CN28" s="4">
        <v>2619734.6319385744</v>
      </c>
      <c r="CO28" s="4">
        <v>3428368.0714036794</v>
      </c>
      <c r="CP28" s="4">
        <v>2694238.4119642959</v>
      </c>
      <c r="CQ28" s="4">
        <v>2110294.3772216453</v>
      </c>
      <c r="CR28" s="4">
        <v>2123420.7447441467</v>
      </c>
      <c r="CS28" s="4">
        <v>2325507.6086168741</v>
      </c>
      <c r="CT28" s="4">
        <v>1653977.7773975658</v>
      </c>
      <c r="CU28" s="4">
        <v>2527364.9269907572</v>
      </c>
      <c r="CV28" s="4">
        <v>2630696.0475804033</v>
      </c>
      <c r="CW28" s="4">
        <v>3862241.5594423139</v>
      </c>
    </row>
    <row r="29" spans="1:101" x14ac:dyDescent="0.35">
      <c r="A29">
        <v>202404</v>
      </c>
      <c r="B29" s="4">
        <v>2601716.9636140796</v>
      </c>
      <c r="C29" s="4">
        <v>3020800.1165218847</v>
      </c>
      <c r="D29" s="4">
        <v>2726980.9177223737</v>
      </c>
      <c r="E29" s="4">
        <v>3202286.4714380782</v>
      </c>
      <c r="F29" s="4">
        <v>2625316.5978198959</v>
      </c>
      <c r="G29" s="4">
        <v>3445828.6109380466</v>
      </c>
      <c r="H29" s="4">
        <v>2261195.3175308425</v>
      </c>
      <c r="I29" s="4">
        <v>3417132.7412164523</v>
      </c>
      <c r="J29" s="4">
        <v>3284819.9162489832</v>
      </c>
      <c r="K29" s="4">
        <v>2586234.6746012787</v>
      </c>
      <c r="L29" s="4">
        <v>1879875.1667362812</v>
      </c>
      <c r="M29" s="4">
        <v>2682304.2370196334</v>
      </c>
      <c r="N29" s="4">
        <v>2286169.2674430483</v>
      </c>
      <c r="O29" s="4">
        <v>3231571.0175186009</v>
      </c>
      <c r="P29" s="4">
        <v>2364827.4529375322</v>
      </c>
      <c r="Q29" s="4">
        <v>2271526.4208889911</v>
      </c>
      <c r="R29" s="4">
        <v>3212016.1264651604</v>
      </c>
      <c r="S29" s="4">
        <v>2315809.0437774388</v>
      </c>
      <c r="T29" s="4">
        <v>2259003.0054040323</v>
      </c>
      <c r="U29" s="4">
        <v>2059948.7593864382</v>
      </c>
      <c r="V29" s="4">
        <v>2293951.2795004975</v>
      </c>
      <c r="W29" s="4">
        <v>3468450.6278846432</v>
      </c>
      <c r="X29" s="4">
        <v>2131950.1054728962</v>
      </c>
      <c r="Y29" s="4">
        <v>2709796.4100469816</v>
      </c>
      <c r="Z29" s="4">
        <v>2705239.9505119906</v>
      </c>
      <c r="AA29" s="4">
        <v>1925118.0704416733</v>
      </c>
      <c r="AB29" s="4">
        <v>2500857.2194207609</v>
      </c>
      <c r="AC29" s="4">
        <v>2540732.5057643284</v>
      </c>
      <c r="AD29" s="4">
        <v>2950064.7624501842</v>
      </c>
      <c r="AE29" s="4">
        <v>2374758.2333075232</v>
      </c>
      <c r="AF29" s="4">
        <v>2679103.7632904332</v>
      </c>
      <c r="AG29" s="4">
        <v>2698023.8005822604</v>
      </c>
      <c r="AH29" s="4">
        <v>2652432.224968594</v>
      </c>
      <c r="AI29" s="4">
        <v>2969571.7203667997</v>
      </c>
      <c r="AJ29" s="4">
        <v>3107436.9975734483</v>
      </c>
      <c r="AK29" s="4">
        <v>3037551.8527931632</v>
      </c>
      <c r="AL29" s="4">
        <v>2600060.0139913494</v>
      </c>
      <c r="AM29" s="4">
        <v>3698294.1454979377</v>
      </c>
      <c r="AN29" s="4">
        <v>2426413.6614753939</v>
      </c>
      <c r="AO29" s="4">
        <v>2525068.8527785852</v>
      </c>
      <c r="AP29" s="4">
        <v>2374272.9700761763</v>
      </c>
      <c r="AQ29" s="4">
        <v>2418074.9844301748</v>
      </c>
      <c r="AR29" s="4">
        <v>2383581.9260244914</v>
      </c>
      <c r="AS29" s="4">
        <v>1929650.3080371381</v>
      </c>
      <c r="AT29" s="4">
        <v>2356308.0778253516</v>
      </c>
      <c r="AU29" s="4">
        <v>1950430.8205578797</v>
      </c>
      <c r="AV29" s="4">
        <v>2185470.9206990623</v>
      </c>
      <c r="AW29" s="4">
        <v>2307880.1376773403</v>
      </c>
      <c r="AX29" s="4">
        <v>2537730.1948113586</v>
      </c>
      <c r="AY29" s="4">
        <v>2344494.7172640152</v>
      </c>
      <c r="AZ29" s="4">
        <v>4411939.6262577446</v>
      </c>
      <c r="BA29" s="4">
        <v>3671605.5062501067</v>
      </c>
      <c r="BB29" s="4">
        <v>2791169.0669631111</v>
      </c>
      <c r="BC29" s="4">
        <v>1903696.2275908049</v>
      </c>
      <c r="BD29" s="4">
        <v>3111038.7691295701</v>
      </c>
      <c r="BE29" s="4">
        <v>2436278.2673960812</v>
      </c>
      <c r="BF29" s="4">
        <v>2504360.7629091102</v>
      </c>
      <c r="BG29" s="4">
        <v>2524418.6507814494</v>
      </c>
      <c r="BH29" s="4">
        <v>2737604.007511369</v>
      </c>
      <c r="BI29" s="4">
        <v>2793456.6854981198</v>
      </c>
      <c r="BJ29" s="4">
        <v>2869744.2487692521</v>
      </c>
      <c r="BK29" s="4">
        <v>2889699.6242602812</v>
      </c>
      <c r="BL29" s="4">
        <v>1813625.5656441718</v>
      </c>
      <c r="BM29" s="4">
        <v>2290923.9307250232</v>
      </c>
      <c r="BN29" s="4">
        <v>2619676.719781898</v>
      </c>
      <c r="BO29" s="4">
        <v>2434449.5749578257</v>
      </c>
      <c r="BP29" s="4">
        <v>2640823.6526902532</v>
      </c>
      <c r="BQ29" s="4">
        <v>3408282.3533152346</v>
      </c>
      <c r="BR29" s="4">
        <v>2681259.8575332495</v>
      </c>
      <c r="BS29" s="4">
        <v>2665607.9521059715</v>
      </c>
      <c r="BT29" s="4">
        <v>3597335.0671328939</v>
      </c>
      <c r="BU29" s="4">
        <v>2375462.12593883</v>
      </c>
      <c r="BV29" s="4">
        <v>2914399.987567856</v>
      </c>
      <c r="BW29" s="4">
        <v>2443339.246559829</v>
      </c>
      <c r="BX29" s="4">
        <v>2354543.345488464</v>
      </c>
      <c r="BY29" s="4">
        <v>2576918.1160836215</v>
      </c>
      <c r="BZ29" s="4">
        <v>2663531.1285704817</v>
      </c>
      <c r="CA29" s="4">
        <v>2301324.5279907617</v>
      </c>
      <c r="CB29" s="4">
        <v>2503762.4533435637</v>
      </c>
      <c r="CC29" s="4">
        <v>2162463.7620457998</v>
      </c>
      <c r="CD29" s="4">
        <v>3970034.6083691809</v>
      </c>
      <c r="CE29" s="4">
        <v>2082133.900836339</v>
      </c>
      <c r="CF29" s="4">
        <v>3039258.60397649</v>
      </c>
      <c r="CG29" s="4">
        <v>3309520.8349360987</v>
      </c>
      <c r="CH29" s="4">
        <v>2863265.2772897175</v>
      </c>
      <c r="CI29" s="4">
        <v>2331588.8717718073</v>
      </c>
      <c r="CJ29" s="4">
        <v>3719941.3369151093</v>
      </c>
      <c r="CK29" s="4">
        <v>3349456.4298843537</v>
      </c>
      <c r="CL29" s="4">
        <v>2567183.2733477335</v>
      </c>
      <c r="CM29" s="4">
        <v>2269540.435913628</v>
      </c>
      <c r="CN29" s="4">
        <v>2794594.3298149412</v>
      </c>
      <c r="CO29" s="4">
        <v>3628300.6456824532</v>
      </c>
      <c r="CP29" s="4">
        <v>2824755.0963467848</v>
      </c>
      <c r="CQ29" s="4">
        <v>2266127.9092222219</v>
      </c>
      <c r="CR29" s="4">
        <v>2308188.5918086604</v>
      </c>
      <c r="CS29" s="4">
        <v>2428034.5888004401</v>
      </c>
      <c r="CT29" s="4">
        <v>1727503.0359556917</v>
      </c>
      <c r="CU29" s="4">
        <v>2651903.7575450516</v>
      </c>
      <c r="CV29" s="4">
        <v>2805248.9408052894</v>
      </c>
      <c r="CW29" s="4">
        <v>4037438.5731902234</v>
      </c>
    </row>
    <row r="30" spans="1:101" x14ac:dyDescent="0.35">
      <c r="A30">
        <v>202405</v>
      </c>
      <c r="B30" s="4">
        <v>2729071.7680691844</v>
      </c>
      <c r="C30" s="4">
        <v>3205332.6196030187</v>
      </c>
      <c r="D30" s="4">
        <v>2849841.0250731041</v>
      </c>
      <c r="E30" s="4">
        <v>3354619.4990662779</v>
      </c>
      <c r="F30" s="4">
        <v>2701306.0714790779</v>
      </c>
      <c r="G30" s="4">
        <v>3657236.4917859179</v>
      </c>
      <c r="H30" s="4">
        <v>2380500.745227179</v>
      </c>
      <c r="I30" s="4">
        <v>3671840.7207639134</v>
      </c>
      <c r="J30" s="4">
        <v>3442577.0613463307</v>
      </c>
      <c r="K30" s="4">
        <v>2701239.1643317929</v>
      </c>
      <c r="L30" s="4">
        <v>2006188.2416447513</v>
      </c>
      <c r="M30" s="4">
        <v>2775840.5706253671</v>
      </c>
      <c r="N30" s="4">
        <v>2438786.0161516187</v>
      </c>
      <c r="O30" s="4">
        <v>3518016.7579446682</v>
      </c>
      <c r="P30" s="4">
        <v>2496038.5909105795</v>
      </c>
      <c r="Q30" s="4">
        <v>2419894.7411684543</v>
      </c>
      <c r="R30" s="4">
        <v>3482617.8336408162</v>
      </c>
      <c r="S30" s="4">
        <v>2508746.0713502443</v>
      </c>
      <c r="T30" s="4">
        <v>2385486.1243734653</v>
      </c>
      <c r="U30" s="4">
        <v>2177512.0849403045</v>
      </c>
      <c r="V30" s="4">
        <v>2401812.304244379</v>
      </c>
      <c r="W30" s="4">
        <v>3673476.7156470115</v>
      </c>
      <c r="X30" s="4">
        <v>2246587.0503126532</v>
      </c>
      <c r="Y30" s="4">
        <v>2792628.5812080209</v>
      </c>
      <c r="Z30" s="4">
        <v>2798916.5732635218</v>
      </c>
      <c r="AA30" s="4">
        <v>2092151.7260200828</v>
      </c>
      <c r="AB30" s="4">
        <v>2617626.3976347451</v>
      </c>
      <c r="AC30" s="4">
        <v>2654095.8719479316</v>
      </c>
      <c r="AD30" s="4">
        <v>3011149.2438796535</v>
      </c>
      <c r="AE30" s="4">
        <v>2527321.770348886</v>
      </c>
      <c r="AF30" s="4">
        <v>2779241.7087505581</v>
      </c>
      <c r="AG30" s="4">
        <v>2759648.2110850858</v>
      </c>
      <c r="AH30" s="4">
        <v>2789828.6991007393</v>
      </c>
      <c r="AI30" s="4">
        <v>3120187.0805909405</v>
      </c>
      <c r="AJ30" s="4">
        <v>3234473.2976664864</v>
      </c>
      <c r="AK30" s="4">
        <v>3232526.3556903196</v>
      </c>
      <c r="AL30" s="4">
        <v>2667079.0150397029</v>
      </c>
      <c r="AM30" s="4">
        <v>3943698.9950592909</v>
      </c>
      <c r="AN30" s="4">
        <v>2562604.8523102105</v>
      </c>
      <c r="AO30" s="4">
        <v>2678558.566873074</v>
      </c>
      <c r="AP30" s="4">
        <v>2520369.0117933</v>
      </c>
      <c r="AQ30" s="4">
        <v>2554048.1267728037</v>
      </c>
      <c r="AR30" s="4">
        <v>2486327.411325539</v>
      </c>
      <c r="AS30" s="4">
        <v>2067613.5837876098</v>
      </c>
      <c r="AT30" s="4">
        <v>2442195.4616111773</v>
      </c>
      <c r="AU30" s="4">
        <v>2059570.4799797521</v>
      </c>
      <c r="AV30" s="4">
        <v>2289228.0546037797</v>
      </c>
      <c r="AW30" s="4">
        <v>2444991.0469887732</v>
      </c>
      <c r="AX30" s="4">
        <v>2755605.2733114385</v>
      </c>
      <c r="AY30" s="4">
        <v>2483343.9113147412</v>
      </c>
      <c r="AZ30" s="4">
        <v>4641982.4189825123</v>
      </c>
      <c r="BA30" s="4">
        <v>3878414.9482907215</v>
      </c>
      <c r="BB30" s="4">
        <v>2941955.2426779023</v>
      </c>
      <c r="BC30" s="4">
        <v>2004672.2926532226</v>
      </c>
      <c r="BD30" s="4">
        <v>3293810.7470686785</v>
      </c>
      <c r="BE30" s="4">
        <v>2605306.9358326541</v>
      </c>
      <c r="BF30" s="4">
        <v>2720237.9885609476</v>
      </c>
      <c r="BG30" s="4">
        <v>2716738.2945555304</v>
      </c>
      <c r="BH30" s="4">
        <v>2928879.531477591</v>
      </c>
      <c r="BI30" s="4">
        <v>2961299.1904078885</v>
      </c>
      <c r="BJ30" s="4">
        <v>2980254.200811795</v>
      </c>
      <c r="BK30" s="4">
        <v>2997568.5918166153</v>
      </c>
      <c r="BL30" s="4">
        <v>1930272.6319710137</v>
      </c>
      <c r="BM30" s="4">
        <v>2387374.9603127972</v>
      </c>
      <c r="BN30" s="4">
        <v>2776005.2311879522</v>
      </c>
      <c r="BO30" s="4">
        <v>2521309.4940812332</v>
      </c>
      <c r="BP30" s="4">
        <v>2784324.6716404329</v>
      </c>
      <c r="BQ30" s="4">
        <v>3565815.8623940358</v>
      </c>
      <c r="BR30" s="4">
        <v>2789854.3531095269</v>
      </c>
      <c r="BS30" s="4">
        <v>2801563.3297802978</v>
      </c>
      <c r="BT30" s="4">
        <v>3784432.5249416521</v>
      </c>
      <c r="BU30" s="4">
        <v>2462657.3022606228</v>
      </c>
      <c r="BV30" s="4">
        <v>3080681.2497149096</v>
      </c>
      <c r="BW30" s="4">
        <v>2603582.6395076318</v>
      </c>
      <c r="BX30" s="4">
        <v>2531495.9567981069</v>
      </c>
      <c r="BY30" s="4">
        <v>2787979.8030879702</v>
      </c>
      <c r="BZ30" s="4">
        <v>2794594.3151502856</v>
      </c>
      <c r="CA30" s="4">
        <v>2395471.8147727088</v>
      </c>
      <c r="CB30" s="4">
        <v>2693244.3418116295</v>
      </c>
      <c r="CC30" s="4">
        <v>2259851.3506562919</v>
      </c>
      <c r="CD30" s="4">
        <v>4258128.6238893382</v>
      </c>
      <c r="CE30" s="4">
        <v>2220875.9564001812</v>
      </c>
      <c r="CF30" s="4">
        <v>3133236.8353111506</v>
      </c>
      <c r="CG30" s="4">
        <v>3416759.7783955797</v>
      </c>
      <c r="CH30" s="4">
        <v>3023274.5774424169</v>
      </c>
      <c r="CI30" s="4">
        <v>2514318.1900708433</v>
      </c>
      <c r="CJ30" s="4">
        <v>3831772.7538086711</v>
      </c>
      <c r="CK30" s="4">
        <v>3542149.094870457</v>
      </c>
      <c r="CL30" s="4">
        <v>2666543.5605069567</v>
      </c>
      <c r="CM30" s="4">
        <v>2353693.9052612772</v>
      </c>
      <c r="CN30" s="4">
        <v>2876852.9807204655</v>
      </c>
      <c r="CO30" s="4">
        <v>3799078.3108871961</v>
      </c>
      <c r="CP30" s="4">
        <v>2964292.3891015579</v>
      </c>
      <c r="CQ30" s="4">
        <v>2366365.8592907186</v>
      </c>
      <c r="CR30" s="4">
        <v>2408769.8574177488</v>
      </c>
      <c r="CS30" s="4">
        <v>2588197.0205747313</v>
      </c>
      <c r="CT30" s="4">
        <v>1838203.5994303979</v>
      </c>
      <c r="CU30" s="4">
        <v>2796356.8118580049</v>
      </c>
      <c r="CV30" s="4">
        <v>2940128.2276948974</v>
      </c>
      <c r="CW30" s="4">
        <v>4280836.6602883786</v>
      </c>
    </row>
    <row r="31" spans="1:101" x14ac:dyDescent="0.35">
      <c r="A31">
        <v>202406</v>
      </c>
      <c r="B31" s="4">
        <v>2599715.650004453</v>
      </c>
      <c r="C31" s="4">
        <v>3081688.0187349198</v>
      </c>
      <c r="D31" s="4">
        <v>2718917.3211808475</v>
      </c>
      <c r="E31" s="4">
        <v>3191698.3133774945</v>
      </c>
      <c r="F31" s="4">
        <v>2523562.6384623852</v>
      </c>
      <c r="G31" s="4">
        <v>3427761.3124145325</v>
      </c>
      <c r="H31" s="4">
        <v>2326515.4551953212</v>
      </c>
      <c r="I31" s="4">
        <v>3413387.9582709577</v>
      </c>
      <c r="J31" s="4">
        <v>3229414.6775837908</v>
      </c>
      <c r="K31" s="4">
        <v>2619252.5035990067</v>
      </c>
      <c r="L31" s="4">
        <v>1891374.7517762817</v>
      </c>
      <c r="M31" s="4">
        <v>2677204.8008148558</v>
      </c>
      <c r="N31" s="4">
        <v>2285652.158979137</v>
      </c>
      <c r="O31" s="4">
        <v>3325687.562375939</v>
      </c>
      <c r="P31" s="4">
        <v>2409921.8303230284</v>
      </c>
      <c r="Q31" s="4">
        <v>2346784.7405316131</v>
      </c>
      <c r="R31" s="4">
        <v>3261336.8492260305</v>
      </c>
      <c r="S31" s="4">
        <v>2380315.3678360619</v>
      </c>
      <c r="T31" s="4">
        <v>2287527.9571144674</v>
      </c>
      <c r="U31" s="4">
        <v>2053726.7291880988</v>
      </c>
      <c r="V31" s="4">
        <v>2313134.3645377858</v>
      </c>
      <c r="W31" s="4">
        <v>3533467.0992023158</v>
      </c>
      <c r="X31" s="4">
        <v>2146048.7011743477</v>
      </c>
      <c r="Y31" s="4">
        <v>2755808.8125912976</v>
      </c>
      <c r="Z31" s="4">
        <v>2680252.6567419004</v>
      </c>
      <c r="AA31" s="4">
        <v>1989919.2281897455</v>
      </c>
      <c r="AB31" s="4">
        <v>2474601.1944742859</v>
      </c>
      <c r="AC31" s="4">
        <v>2557271.4448948153</v>
      </c>
      <c r="AD31" s="4">
        <v>2903170.396579308</v>
      </c>
      <c r="AE31" s="4">
        <v>2427921.5146029578</v>
      </c>
      <c r="AF31" s="4">
        <v>2624893.1580866254</v>
      </c>
      <c r="AG31" s="4">
        <v>2688017.8044696478</v>
      </c>
      <c r="AH31" s="4">
        <v>2663026.1852918873</v>
      </c>
      <c r="AI31" s="4">
        <v>2934733.0572011191</v>
      </c>
      <c r="AJ31" s="4">
        <v>3115118.1607399285</v>
      </c>
      <c r="AK31" s="4">
        <v>3064296.2514273678</v>
      </c>
      <c r="AL31" s="4">
        <v>2583376.9044352402</v>
      </c>
      <c r="AM31" s="4">
        <v>3725427.5101222177</v>
      </c>
      <c r="AN31" s="4">
        <v>2496021.2435314152</v>
      </c>
      <c r="AO31" s="4">
        <v>2584458.8931866861</v>
      </c>
      <c r="AP31" s="4">
        <v>2373403.2389480942</v>
      </c>
      <c r="AQ31" s="4">
        <v>2347909.7798604206</v>
      </c>
      <c r="AR31" s="4">
        <v>2330534.9015714284</v>
      </c>
      <c r="AS31" s="4">
        <v>1938878.5691939045</v>
      </c>
      <c r="AT31" s="4">
        <v>2318745.0353168328</v>
      </c>
      <c r="AU31" s="4">
        <v>1990178.7544820781</v>
      </c>
      <c r="AV31" s="4">
        <v>2185890.7065658956</v>
      </c>
      <c r="AW31" s="4">
        <v>2288857.483057146</v>
      </c>
      <c r="AX31" s="4">
        <v>2605442.983651727</v>
      </c>
      <c r="AY31" s="4">
        <v>2379614.4570687502</v>
      </c>
      <c r="AZ31" s="4">
        <v>4511867.9730185932</v>
      </c>
      <c r="BA31" s="4">
        <v>3689279.1291099233</v>
      </c>
      <c r="BB31" s="4">
        <v>2783218.6077407319</v>
      </c>
      <c r="BC31" s="4">
        <v>1927277.1841864523</v>
      </c>
      <c r="BD31" s="4">
        <v>3131097.0885432917</v>
      </c>
      <c r="BE31" s="4">
        <v>2435732.468130046</v>
      </c>
      <c r="BF31" s="4">
        <v>2588061.5098751546</v>
      </c>
      <c r="BG31" s="4">
        <v>2592760.5531206662</v>
      </c>
      <c r="BH31" s="4">
        <v>2829800.052911046</v>
      </c>
      <c r="BI31" s="4">
        <v>2729945.2619790342</v>
      </c>
      <c r="BJ31" s="4">
        <v>2892502.3565630736</v>
      </c>
      <c r="BK31" s="4">
        <v>2875673.6701856111</v>
      </c>
      <c r="BL31" s="4">
        <v>1869930.4853367107</v>
      </c>
      <c r="BM31" s="4">
        <v>2283970.6255423967</v>
      </c>
      <c r="BN31" s="4">
        <v>2619945.3446573005</v>
      </c>
      <c r="BO31" s="4">
        <v>2434289.5638986146</v>
      </c>
      <c r="BP31" s="4">
        <v>2728227.9293090384</v>
      </c>
      <c r="BQ31" s="4">
        <v>3401469.7542333067</v>
      </c>
      <c r="BR31" s="4">
        <v>2694509.0614893627</v>
      </c>
      <c r="BS31" s="4">
        <v>2652687.6196514806</v>
      </c>
      <c r="BT31" s="4">
        <v>3687464.6757559581</v>
      </c>
      <c r="BU31" s="4">
        <v>2314159.8846701593</v>
      </c>
      <c r="BV31" s="4">
        <v>2884666.5082362173</v>
      </c>
      <c r="BW31" s="4">
        <v>2471439.4430314461</v>
      </c>
      <c r="BX31" s="4">
        <v>2367503.5374789154</v>
      </c>
      <c r="BY31" s="4">
        <v>2675207.0930248257</v>
      </c>
      <c r="BZ31" s="4">
        <v>2643241.9206643081</v>
      </c>
      <c r="CA31" s="4">
        <v>2305539.4511264269</v>
      </c>
      <c r="CB31" s="4">
        <v>2599117.8605500348</v>
      </c>
      <c r="CC31" s="4">
        <v>2152811.7949115932</v>
      </c>
      <c r="CD31" s="4">
        <v>4012545.1183159403</v>
      </c>
      <c r="CE31" s="4">
        <v>2100514.4853175962</v>
      </c>
      <c r="CF31" s="4">
        <v>3081682.074407971</v>
      </c>
      <c r="CG31" s="4">
        <v>3226583.545977857</v>
      </c>
      <c r="CH31" s="4">
        <v>2859569.5509233824</v>
      </c>
      <c r="CI31" s="4">
        <v>2399657.5476459358</v>
      </c>
      <c r="CJ31" s="4">
        <v>3711760.121230809</v>
      </c>
      <c r="CK31" s="4">
        <v>3346188.989622111</v>
      </c>
      <c r="CL31" s="4">
        <v>2564226.9163628547</v>
      </c>
      <c r="CM31" s="4">
        <v>2277144.2788508199</v>
      </c>
      <c r="CN31" s="4">
        <v>2783021.0362093588</v>
      </c>
      <c r="CO31" s="4">
        <v>3626787.1972130709</v>
      </c>
      <c r="CP31" s="4">
        <v>2849306.0802744995</v>
      </c>
      <c r="CQ31" s="4">
        <v>2290588.9277994223</v>
      </c>
      <c r="CR31" s="4">
        <v>2285972.6280648271</v>
      </c>
      <c r="CS31" s="4">
        <v>2535045.3592892028</v>
      </c>
      <c r="CT31" s="4">
        <v>1786622.4224697701</v>
      </c>
      <c r="CU31" s="4">
        <v>2696884.8959484803</v>
      </c>
      <c r="CV31" s="4">
        <v>2775877.3942453298</v>
      </c>
      <c r="CW31" s="4">
        <v>4003798.494154877</v>
      </c>
    </row>
    <row r="32" spans="1:101" x14ac:dyDescent="0.35">
      <c r="A32">
        <v>202407</v>
      </c>
      <c r="B32" s="4">
        <v>2521593.7821880202</v>
      </c>
      <c r="C32" s="4">
        <v>2914269.9760289234</v>
      </c>
      <c r="D32" s="4">
        <v>2593725.6341457991</v>
      </c>
      <c r="E32" s="4">
        <v>3050699.7875036304</v>
      </c>
      <c r="F32" s="4">
        <v>2466034.8063947805</v>
      </c>
      <c r="G32" s="4">
        <v>3327110.765330208</v>
      </c>
      <c r="H32" s="4">
        <v>2185459.6687655221</v>
      </c>
      <c r="I32" s="4">
        <v>3302920.0613404722</v>
      </c>
      <c r="J32" s="4">
        <v>3080358.4889952377</v>
      </c>
      <c r="K32" s="4">
        <v>2477691.8148983112</v>
      </c>
      <c r="L32" s="4">
        <v>1816368.486191608</v>
      </c>
      <c r="M32" s="4">
        <v>2579445.4049461717</v>
      </c>
      <c r="N32" s="4">
        <v>2188419.3840904739</v>
      </c>
      <c r="O32" s="4">
        <v>3155565.9292225442</v>
      </c>
      <c r="P32" s="4">
        <v>2268081.7578226961</v>
      </c>
      <c r="Q32" s="4">
        <v>2211842.8878647666</v>
      </c>
      <c r="R32" s="4">
        <v>3173328.2960102577</v>
      </c>
      <c r="S32" s="4">
        <v>2321951.3896341906</v>
      </c>
      <c r="T32" s="4">
        <v>2187009.08683825</v>
      </c>
      <c r="U32" s="4">
        <v>1973679.6827243106</v>
      </c>
      <c r="V32" s="4">
        <v>2194612.7706085527</v>
      </c>
      <c r="W32" s="4">
        <v>3255286.4739441979</v>
      </c>
      <c r="X32" s="4">
        <v>1981195.8665795522</v>
      </c>
      <c r="Y32" s="4">
        <v>2556704.5429607974</v>
      </c>
      <c r="Z32" s="4">
        <v>2574662.0880179196</v>
      </c>
      <c r="AA32" s="4">
        <v>1900085.6309468972</v>
      </c>
      <c r="AB32" s="4">
        <v>2372653.9661048907</v>
      </c>
      <c r="AC32" s="4">
        <v>2472346.0092116199</v>
      </c>
      <c r="AD32" s="4">
        <v>2770192.8063610992</v>
      </c>
      <c r="AE32" s="4">
        <v>2272654.0015639644</v>
      </c>
      <c r="AF32" s="4">
        <v>2471815.9494889919</v>
      </c>
      <c r="AG32" s="4">
        <v>2535570.2394529162</v>
      </c>
      <c r="AH32" s="4">
        <v>2507753.7409071932</v>
      </c>
      <c r="AI32" s="4">
        <v>2803431.1055272748</v>
      </c>
      <c r="AJ32" s="4">
        <v>3012050.1150625558</v>
      </c>
      <c r="AK32" s="4">
        <v>2927403.8918248168</v>
      </c>
      <c r="AL32" s="4">
        <v>2456180.8948891531</v>
      </c>
      <c r="AM32" s="4">
        <v>3500939.0657698158</v>
      </c>
      <c r="AN32" s="4">
        <v>2331310.3472498842</v>
      </c>
      <c r="AO32" s="4">
        <v>2451040.1325611495</v>
      </c>
      <c r="AP32" s="4">
        <v>2210017.0477441042</v>
      </c>
      <c r="AQ32" s="4">
        <v>2298275.3827138068</v>
      </c>
      <c r="AR32" s="4">
        <v>2251512.0818771087</v>
      </c>
      <c r="AS32" s="4">
        <v>1842353.045841018</v>
      </c>
      <c r="AT32" s="4">
        <v>2247222.8539730161</v>
      </c>
      <c r="AU32" s="4">
        <v>1898906.102097692</v>
      </c>
      <c r="AV32" s="4">
        <v>2110923.3067211332</v>
      </c>
      <c r="AW32" s="4">
        <v>2169576.367861575</v>
      </c>
      <c r="AX32" s="4">
        <v>2517566.7617958472</v>
      </c>
      <c r="AY32" s="4">
        <v>2217559.0014053769</v>
      </c>
      <c r="AZ32" s="4">
        <v>4321411.7940996299</v>
      </c>
      <c r="BA32" s="4">
        <v>3510230.4534138888</v>
      </c>
      <c r="BB32" s="4">
        <v>2704141.9432254983</v>
      </c>
      <c r="BC32" s="4">
        <v>1819338.6259061948</v>
      </c>
      <c r="BD32" s="4">
        <v>2923072.0684407675</v>
      </c>
      <c r="BE32" s="4">
        <v>2365572.8927762047</v>
      </c>
      <c r="BF32" s="4">
        <v>2403315.3634619857</v>
      </c>
      <c r="BG32" s="4">
        <v>2414398.6009857617</v>
      </c>
      <c r="BH32" s="4">
        <v>2626319.6120929043</v>
      </c>
      <c r="BI32" s="4">
        <v>2673533.9145397786</v>
      </c>
      <c r="BJ32" s="4">
        <v>2694578.7142101182</v>
      </c>
      <c r="BK32" s="4">
        <v>2664779.2515400583</v>
      </c>
      <c r="BL32" s="4">
        <v>1754078.9363160168</v>
      </c>
      <c r="BM32" s="4">
        <v>2237235.628918068</v>
      </c>
      <c r="BN32" s="4">
        <v>2489576.8840619391</v>
      </c>
      <c r="BO32" s="4">
        <v>2292500.3879587981</v>
      </c>
      <c r="BP32" s="4">
        <v>2539391.9355789819</v>
      </c>
      <c r="BQ32" s="4">
        <v>3193351.2946065455</v>
      </c>
      <c r="BR32" s="4">
        <v>2598902.9875934198</v>
      </c>
      <c r="BS32" s="4">
        <v>2545552.2750772019</v>
      </c>
      <c r="BT32" s="4">
        <v>3439538.5469501978</v>
      </c>
      <c r="BU32" s="4">
        <v>2287854.4706320846</v>
      </c>
      <c r="BV32" s="4">
        <v>2724723.243290762</v>
      </c>
      <c r="BW32" s="4">
        <v>2387366.1492230189</v>
      </c>
      <c r="BX32" s="4">
        <v>2245568.4824375892</v>
      </c>
      <c r="BY32" s="4">
        <v>2562711.6620506318</v>
      </c>
      <c r="BZ32" s="4">
        <v>2525524.5776242674</v>
      </c>
      <c r="CA32" s="4">
        <v>2178013.1490748581</v>
      </c>
      <c r="CB32" s="4">
        <v>2438492.7211297285</v>
      </c>
      <c r="CC32" s="4">
        <v>2005834.7774204973</v>
      </c>
      <c r="CD32" s="4">
        <v>3847490.9220582345</v>
      </c>
      <c r="CE32" s="4">
        <v>1958595.518905035</v>
      </c>
      <c r="CF32" s="4">
        <v>2878942.5631225817</v>
      </c>
      <c r="CG32" s="4">
        <v>3096677.7177975578</v>
      </c>
      <c r="CH32" s="4">
        <v>2762555.5734381028</v>
      </c>
      <c r="CI32" s="4">
        <v>2237552.7452710844</v>
      </c>
      <c r="CJ32" s="4">
        <v>3466776.8668489871</v>
      </c>
      <c r="CK32" s="4">
        <v>3113033.8899640064</v>
      </c>
      <c r="CL32" s="4">
        <v>2434962.2131899898</v>
      </c>
      <c r="CM32" s="4">
        <v>2179381.8935886873</v>
      </c>
      <c r="CN32" s="4">
        <v>2612440.8460612516</v>
      </c>
      <c r="CO32" s="4">
        <v>3404264.2497833068</v>
      </c>
      <c r="CP32" s="4">
        <v>2734226.4681560933</v>
      </c>
      <c r="CQ32" s="4">
        <v>2135513.7922321693</v>
      </c>
      <c r="CR32" s="4">
        <v>2194128.0764273265</v>
      </c>
      <c r="CS32" s="4">
        <v>2341552.9513762137</v>
      </c>
      <c r="CT32" s="4">
        <v>1656616.5939286319</v>
      </c>
      <c r="CU32" s="4">
        <v>2548377.7388175153</v>
      </c>
      <c r="CV32" s="4">
        <v>2639634.5449855458</v>
      </c>
      <c r="CW32" s="4">
        <v>3927330.2074537147</v>
      </c>
    </row>
    <row r="33" spans="1:101" x14ac:dyDescent="0.35">
      <c r="A33">
        <v>202408</v>
      </c>
      <c r="B33" s="4">
        <v>2369145.7651088</v>
      </c>
      <c r="C33" s="4">
        <v>2747425.2373108519</v>
      </c>
      <c r="D33" s="4">
        <v>2478529.7986642085</v>
      </c>
      <c r="E33" s="4">
        <v>2885020.2039068555</v>
      </c>
      <c r="F33" s="4">
        <v>2360886.0722328168</v>
      </c>
      <c r="G33" s="4">
        <v>3136615.766588856</v>
      </c>
      <c r="H33" s="4">
        <v>2059662.9071743677</v>
      </c>
      <c r="I33" s="4">
        <v>3130871.2299146904</v>
      </c>
      <c r="J33" s="4">
        <v>2913792.6286156024</v>
      </c>
      <c r="K33" s="4">
        <v>2329444.3937617578</v>
      </c>
      <c r="L33" s="4">
        <v>1711605.1904081029</v>
      </c>
      <c r="M33" s="4">
        <v>2424115.028228472</v>
      </c>
      <c r="N33" s="4">
        <v>2098142.7207679073</v>
      </c>
      <c r="O33" s="4">
        <v>2991229.4351779213</v>
      </c>
      <c r="P33" s="4">
        <v>2151856.1189396968</v>
      </c>
      <c r="Q33" s="4">
        <v>2088841.0013257698</v>
      </c>
      <c r="R33" s="4">
        <v>2979288.5055295341</v>
      </c>
      <c r="S33" s="4">
        <v>2146148.4982493464</v>
      </c>
      <c r="T33" s="4">
        <v>2083106.1105721726</v>
      </c>
      <c r="U33" s="4">
        <v>1851661.8161247168</v>
      </c>
      <c r="V33" s="4">
        <v>2103903.7134252866</v>
      </c>
      <c r="W33" s="4">
        <v>3191234.9133232203</v>
      </c>
      <c r="X33" s="4">
        <v>1931368.9559610379</v>
      </c>
      <c r="Y33" s="4">
        <v>2452039.3050234891</v>
      </c>
      <c r="Z33" s="4">
        <v>2454850.3912932086</v>
      </c>
      <c r="AA33" s="4">
        <v>1766638.3650822816</v>
      </c>
      <c r="AB33" s="4">
        <v>2275911.3155955183</v>
      </c>
      <c r="AC33" s="4">
        <v>2358287.1261629863</v>
      </c>
      <c r="AD33" s="4">
        <v>2658883.455556381</v>
      </c>
      <c r="AE33" s="4">
        <v>2188459.2794814762</v>
      </c>
      <c r="AF33" s="4">
        <v>2414100.3390752478</v>
      </c>
      <c r="AG33" s="4">
        <v>2397592.8868630296</v>
      </c>
      <c r="AH33" s="4">
        <v>2425597.0321815656</v>
      </c>
      <c r="AI33" s="4">
        <v>2640350.9194311756</v>
      </c>
      <c r="AJ33" s="4">
        <v>2769689.3744973484</v>
      </c>
      <c r="AK33" s="4">
        <v>2768618.676184854</v>
      </c>
      <c r="AL33" s="4">
        <v>2355888.5492674084</v>
      </c>
      <c r="AM33" s="4">
        <v>3428564.2220943896</v>
      </c>
      <c r="AN33" s="4">
        <v>2218277.156775868</v>
      </c>
      <c r="AO33" s="4">
        <v>2335023.5974590345</v>
      </c>
      <c r="AP33" s="4">
        <v>2125390.6851505144</v>
      </c>
      <c r="AQ33" s="4">
        <v>2177571.4929806436</v>
      </c>
      <c r="AR33" s="4">
        <v>2177961.2417801344</v>
      </c>
      <c r="AS33" s="4">
        <v>1787009.1090967609</v>
      </c>
      <c r="AT33" s="4">
        <v>2141739.1933197235</v>
      </c>
      <c r="AU33" s="4">
        <v>1756430.2521483917</v>
      </c>
      <c r="AV33" s="4">
        <v>1953095.1334274367</v>
      </c>
      <c r="AW33" s="4">
        <v>2095109.5968893077</v>
      </c>
      <c r="AX33" s="4">
        <v>2371310.281178473</v>
      </c>
      <c r="AY33" s="4">
        <v>2135056.0300907213</v>
      </c>
      <c r="AZ33" s="4">
        <v>4082616.1990568466</v>
      </c>
      <c r="BA33" s="4">
        <v>3314880.9307937394</v>
      </c>
      <c r="BB33" s="4">
        <v>2564824.3683885871</v>
      </c>
      <c r="BC33" s="4">
        <v>1715161.4536341217</v>
      </c>
      <c r="BD33" s="4">
        <v>2823951.4352425351</v>
      </c>
      <c r="BE33" s="4">
        <v>2209011.4465276035</v>
      </c>
      <c r="BF33" s="4">
        <v>2320647.4350646269</v>
      </c>
      <c r="BG33" s="4">
        <v>2349987.1970675122</v>
      </c>
      <c r="BH33" s="4">
        <v>2475053.5411310056</v>
      </c>
      <c r="BI33" s="4">
        <v>2481673.760380466</v>
      </c>
      <c r="BJ33" s="4">
        <v>2518408.9145028456</v>
      </c>
      <c r="BK33" s="4">
        <v>2589662.8825358697</v>
      </c>
      <c r="BL33" s="4">
        <v>1658436.1883917809</v>
      </c>
      <c r="BM33" s="4">
        <v>2081169.7554365911</v>
      </c>
      <c r="BN33" s="4">
        <v>2363520.1585274646</v>
      </c>
      <c r="BO33" s="4">
        <v>2214065.6602246244</v>
      </c>
      <c r="BP33" s="4">
        <v>2390504.9554396905</v>
      </c>
      <c r="BQ33" s="4">
        <v>3070252.4614569619</v>
      </c>
      <c r="BR33" s="4">
        <v>2444848.8462402732</v>
      </c>
      <c r="BS33" s="4">
        <v>2445301.2072908115</v>
      </c>
      <c r="BT33" s="4">
        <v>3278857.0554432953</v>
      </c>
      <c r="BU33" s="4">
        <v>2155360.7564846836</v>
      </c>
      <c r="BV33" s="4">
        <v>2613843.1162149315</v>
      </c>
      <c r="BW33" s="4">
        <v>2246680.6648573112</v>
      </c>
      <c r="BX33" s="4">
        <v>2128649.7915213145</v>
      </c>
      <c r="BY33" s="4">
        <v>2388336.512493588</v>
      </c>
      <c r="BZ33" s="4">
        <v>2437091.7189036761</v>
      </c>
      <c r="CA33" s="4">
        <v>2061735.1617623642</v>
      </c>
      <c r="CB33" s="4">
        <v>2351130.4358539637</v>
      </c>
      <c r="CC33" s="4">
        <v>1914891.1766222771</v>
      </c>
      <c r="CD33" s="4">
        <v>3656084.7690848759</v>
      </c>
      <c r="CE33" s="4">
        <v>1923886.4422616328</v>
      </c>
      <c r="CF33" s="4">
        <v>2728740.4186655697</v>
      </c>
      <c r="CG33" s="4">
        <v>2953067.6838453505</v>
      </c>
      <c r="CH33" s="4">
        <v>2577717.9496241938</v>
      </c>
      <c r="CI33" s="4">
        <v>2176854.1255077585</v>
      </c>
      <c r="CJ33" s="4">
        <v>3372701.320160476</v>
      </c>
      <c r="CK33" s="4">
        <v>3002190.8776960433</v>
      </c>
      <c r="CL33" s="4">
        <v>2309509.7013426861</v>
      </c>
      <c r="CM33" s="4">
        <v>2036107.2419720045</v>
      </c>
      <c r="CN33" s="4">
        <v>2492692.7635438605</v>
      </c>
      <c r="CO33" s="4">
        <v>3241915.1086792676</v>
      </c>
      <c r="CP33" s="4">
        <v>2620426.9129780475</v>
      </c>
      <c r="CQ33" s="4">
        <v>2065391.7308440923</v>
      </c>
      <c r="CR33" s="4">
        <v>2052433.207824114</v>
      </c>
      <c r="CS33" s="4">
        <v>2290253.4213689789</v>
      </c>
      <c r="CT33" s="4">
        <v>1590907.0820506453</v>
      </c>
      <c r="CU33" s="4">
        <v>2417802.5941605074</v>
      </c>
      <c r="CV33" s="4">
        <v>2506547.6435778392</v>
      </c>
      <c r="CW33" s="4">
        <v>3698307.5709030596</v>
      </c>
    </row>
    <row r="34" spans="1:101" x14ac:dyDescent="0.35">
      <c r="A34">
        <v>202409</v>
      </c>
      <c r="B34" s="4">
        <v>2343906.2569973525</v>
      </c>
      <c r="C34" s="4">
        <v>2784171.0976042943</v>
      </c>
      <c r="D34" s="4">
        <v>2431077.4248868949</v>
      </c>
      <c r="E34" s="4">
        <v>2873797.0214549103</v>
      </c>
      <c r="F34" s="4">
        <v>2358914.6196994558</v>
      </c>
      <c r="G34" s="4">
        <v>3112999.6677998593</v>
      </c>
      <c r="H34" s="4">
        <v>2063084.8542716051</v>
      </c>
      <c r="I34" s="4">
        <v>3090515.1587123317</v>
      </c>
      <c r="J34" s="4">
        <v>2982158.7727714982</v>
      </c>
      <c r="K34" s="4">
        <v>2368920.9902580963</v>
      </c>
      <c r="L34" s="4">
        <v>1763286.1385998137</v>
      </c>
      <c r="M34" s="4">
        <v>2512652.8266797895</v>
      </c>
      <c r="N34" s="4">
        <v>2123275.7178209033</v>
      </c>
      <c r="O34" s="4">
        <v>2997108.0483414484</v>
      </c>
      <c r="P34" s="4">
        <v>2168954.3932920941</v>
      </c>
      <c r="Q34" s="4">
        <v>2122671.7413403527</v>
      </c>
      <c r="R34" s="4">
        <v>2976870.9387756009</v>
      </c>
      <c r="S34" s="4">
        <v>2146433.2845213665</v>
      </c>
      <c r="T34" s="4">
        <v>2065011.0021110927</v>
      </c>
      <c r="U34" s="4">
        <v>1922272.2559814332</v>
      </c>
      <c r="V34" s="4">
        <v>2086386.235616724</v>
      </c>
      <c r="W34" s="4">
        <v>3181024.3053583992</v>
      </c>
      <c r="X34" s="4">
        <v>1962173.3767637843</v>
      </c>
      <c r="Y34" s="4">
        <v>2497604.9201996531</v>
      </c>
      <c r="Z34" s="4">
        <v>2399931.5135825304</v>
      </c>
      <c r="AA34" s="4">
        <v>1777839.3307011987</v>
      </c>
      <c r="AB34" s="4">
        <v>2283891.2591267526</v>
      </c>
      <c r="AC34" s="4">
        <v>2357098.8957820162</v>
      </c>
      <c r="AD34" s="4">
        <v>2624156.794417982</v>
      </c>
      <c r="AE34" s="4">
        <v>2165780.6624448779</v>
      </c>
      <c r="AF34" s="4">
        <v>2407632.1093595093</v>
      </c>
      <c r="AG34" s="4">
        <v>2405285.7105227923</v>
      </c>
      <c r="AH34" s="4">
        <v>2399755.6700828895</v>
      </c>
      <c r="AI34" s="4">
        <v>2663534.2076906362</v>
      </c>
      <c r="AJ34" s="4">
        <v>2877136.2763615046</v>
      </c>
      <c r="AK34" s="4">
        <v>2825718.4923417345</v>
      </c>
      <c r="AL34" s="4">
        <v>2338477.3697473472</v>
      </c>
      <c r="AM34" s="4">
        <v>3364044.0316115622</v>
      </c>
      <c r="AN34" s="4">
        <v>2181015.6584984865</v>
      </c>
      <c r="AO34" s="4">
        <v>2337341.8300130591</v>
      </c>
      <c r="AP34" s="4">
        <v>2163424.5074556046</v>
      </c>
      <c r="AQ34" s="4">
        <v>2153338.2271001167</v>
      </c>
      <c r="AR34" s="4">
        <v>2186865.5732706916</v>
      </c>
      <c r="AS34" s="4">
        <v>1754646.8264713117</v>
      </c>
      <c r="AT34" s="4">
        <v>2128519.0420461004</v>
      </c>
      <c r="AU34" s="4">
        <v>1776039.9146073917</v>
      </c>
      <c r="AV34" s="4">
        <v>1963450.0515128253</v>
      </c>
      <c r="AW34" s="4">
        <v>2075900.1006167915</v>
      </c>
      <c r="AX34" s="4">
        <v>2330410.6921883067</v>
      </c>
      <c r="AY34" s="4">
        <v>2162058.5426563681</v>
      </c>
      <c r="AZ34" s="4">
        <v>4091968.2248118077</v>
      </c>
      <c r="BA34" s="4">
        <v>3364453.3887854302</v>
      </c>
      <c r="BB34" s="4">
        <v>2641011.8038327838</v>
      </c>
      <c r="BC34" s="4">
        <v>1737319.9470580735</v>
      </c>
      <c r="BD34" s="4">
        <v>2872935.2025532252</v>
      </c>
      <c r="BE34" s="4">
        <v>2299547.6059575463</v>
      </c>
      <c r="BF34" s="4">
        <v>2330516.4181618341</v>
      </c>
      <c r="BG34" s="4">
        <v>2324066.1681709369</v>
      </c>
      <c r="BH34" s="4">
        <v>2492126.5774251106</v>
      </c>
      <c r="BI34" s="4">
        <v>2527201.7817038</v>
      </c>
      <c r="BJ34" s="4">
        <v>2604314.0114667956</v>
      </c>
      <c r="BK34" s="4">
        <v>2644005.7445992464</v>
      </c>
      <c r="BL34" s="4">
        <v>1656177.4132355582</v>
      </c>
      <c r="BM34" s="4">
        <v>2081528.7464565693</v>
      </c>
      <c r="BN34" s="4">
        <v>2383097.8465141398</v>
      </c>
      <c r="BO34" s="4">
        <v>2272033.1154232514</v>
      </c>
      <c r="BP34" s="4">
        <v>2413401.6282311487</v>
      </c>
      <c r="BQ34" s="4">
        <v>3170508.6087231515</v>
      </c>
      <c r="BR34" s="4">
        <v>2444186.6819779179</v>
      </c>
      <c r="BS34" s="4">
        <v>2415206.9274870404</v>
      </c>
      <c r="BT34" s="4">
        <v>3258241.034470431</v>
      </c>
      <c r="BU34" s="4">
        <v>2098356.8352824021</v>
      </c>
      <c r="BV34" s="4">
        <v>2635217.8038922795</v>
      </c>
      <c r="BW34" s="4">
        <v>2271649.0694011846</v>
      </c>
      <c r="BX34" s="4">
        <v>2131129.1221715477</v>
      </c>
      <c r="BY34" s="4">
        <v>2394213.1717664674</v>
      </c>
      <c r="BZ34" s="4">
        <v>2428106.7450767173</v>
      </c>
      <c r="CA34" s="4">
        <v>2102665.4855363118</v>
      </c>
      <c r="CB34" s="4">
        <v>2312070.2046839753</v>
      </c>
      <c r="CC34" s="4">
        <v>1931477.0302093292</v>
      </c>
      <c r="CD34" s="4">
        <v>3634323.424892338</v>
      </c>
      <c r="CE34" s="4">
        <v>1919774.653780299</v>
      </c>
      <c r="CF34" s="4">
        <v>2777058.3302212614</v>
      </c>
      <c r="CG34" s="4">
        <v>3012991.3926934362</v>
      </c>
      <c r="CH34" s="4">
        <v>2596774.2320011123</v>
      </c>
      <c r="CI34" s="4">
        <v>2136833.0431505544</v>
      </c>
      <c r="CJ34" s="4">
        <v>3403300.3914396544</v>
      </c>
      <c r="CK34" s="4">
        <v>3072540.3781005638</v>
      </c>
      <c r="CL34" s="4">
        <v>2323884.2137190178</v>
      </c>
      <c r="CM34" s="4">
        <v>2084307.2311245631</v>
      </c>
      <c r="CN34" s="4">
        <v>2483198.0230327626</v>
      </c>
      <c r="CO34" s="4">
        <v>3312413.66312102</v>
      </c>
      <c r="CP34" s="4">
        <v>2590582.1162099484</v>
      </c>
      <c r="CQ34" s="4">
        <v>2087384.0907993843</v>
      </c>
      <c r="CR34" s="4">
        <v>2129513.5865552006</v>
      </c>
      <c r="CS34" s="4">
        <v>2260524.2708018017</v>
      </c>
      <c r="CT34" s="4">
        <v>1561518.1161848342</v>
      </c>
      <c r="CU34" s="4">
        <v>2447462.8206013115</v>
      </c>
      <c r="CV34" s="4">
        <v>2534351.3313015499</v>
      </c>
      <c r="CW34" s="4">
        <v>3704452.1207188433</v>
      </c>
    </row>
    <row r="35" spans="1:101" x14ac:dyDescent="0.35">
      <c r="A35">
        <v>202410</v>
      </c>
      <c r="B35" s="4">
        <v>2892899.3250086703</v>
      </c>
      <c r="C35" s="4">
        <v>3382335.7973757759</v>
      </c>
      <c r="D35" s="4">
        <v>3045858.1128083165</v>
      </c>
      <c r="E35" s="4">
        <v>3517186.8075180035</v>
      </c>
      <c r="F35" s="4">
        <v>2874681.9117802638</v>
      </c>
      <c r="G35" s="4">
        <v>3866875.0640580868</v>
      </c>
      <c r="H35" s="4">
        <v>2529025.4691745918</v>
      </c>
      <c r="I35" s="4">
        <v>3793615.5798100526</v>
      </c>
      <c r="J35" s="4">
        <v>3588620.9987300001</v>
      </c>
      <c r="K35" s="4">
        <v>2864539.5314066438</v>
      </c>
      <c r="L35" s="4">
        <v>2104030.4060060787</v>
      </c>
      <c r="M35" s="4">
        <v>2964410.2483929242</v>
      </c>
      <c r="N35" s="4">
        <v>2538649.4348196457</v>
      </c>
      <c r="O35" s="4">
        <v>3656861.0124660432</v>
      </c>
      <c r="P35" s="4">
        <v>2635003.6164453523</v>
      </c>
      <c r="Q35" s="4">
        <v>2521840.2230415973</v>
      </c>
      <c r="R35" s="4">
        <v>3700327.8442483535</v>
      </c>
      <c r="S35" s="4">
        <v>2665627.3018080685</v>
      </c>
      <c r="T35" s="4">
        <v>2556649.0817017253</v>
      </c>
      <c r="U35" s="4">
        <v>2312032.1652167998</v>
      </c>
      <c r="V35" s="4">
        <v>2534155.7729695248</v>
      </c>
      <c r="W35" s="4">
        <v>3895684.6335355253</v>
      </c>
      <c r="X35" s="4">
        <v>2375646.6011292194</v>
      </c>
      <c r="Y35" s="4">
        <v>3033247.6120206886</v>
      </c>
      <c r="Z35" s="4">
        <v>2971446.3946784707</v>
      </c>
      <c r="AA35" s="4">
        <v>2178591.5880413987</v>
      </c>
      <c r="AB35" s="4">
        <v>2771026.6986078043</v>
      </c>
      <c r="AC35" s="4">
        <v>2845788.7968440484</v>
      </c>
      <c r="AD35" s="4">
        <v>3261518.2395497616</v>
      </c>
      <c r="AE35" s="4">
        <v>2632161.6780995885</v>
      </c>
      <c r="AF35" s="4">
        <v>2914192.7385482052</v>
      </c>
      <c r="AG35" s="4">
        <v>2925308.3802581243</v>
      </c>
      <c r="AH35" s="4">
        <v>2921669.6399388085</v>
      </c>
      <c r="AI35" s="4">
        <v>3250776.6641853764</v>
      </c>
      <c r="AJ35" s="4">
        <v>3485039.6128601506</v>
      </c>
      <c r="AK35" s="4">
        <v>3413981.5086796978</v>
      </c>
      <c r="AL35" s="4">
        <v>2873304.7150693233</v>
      </c>
      <c r="AM35" s="4">
        <v>4171179.724702077</v>
      </c>
      <c r="AN35" s="4">
        <v>2720885.489415837</v>
      </c>
      <c r="AO35" s="4">
        <v>2902665.8868168364</v>
      </c>
      <c r="AP35" s="4">
        <v>2616324.885804228</v>
      </c>
      <c r="AQ35" s="4">
        <v>2698731.7926567523</v>
      </c>
      <c r="AR35" s="4">
        <v>2626936.6952631436</v>
      </c>
      <c r="AS35" s="4">
        <v>2167587.209791787</v>
      </c>
      <c r="AT35" s="4">
        <v>2634260.8155441242</v>
      </c>
      <c r="AU35" s="4">
        <v>2172152.4747096011</v>
      </c>
      <c r="AV35" s="4">
        <v>2391857.3161699474</v>
      </c>
      <c r="AW35" s="4">
        <v>2499572.5640969677</v>
      </c>
      <c r="AX35" s="4">
        <v>2897935.9104075935</v>
      </c>
      <c r="AY35" s="4">
        <v>2656578.4743638826</v>
      </c>
      <c r="AZ35" s="4">
        <v>4924216.4546642564</v>
      </c>
      <c r="BA35" s="4">
        <v>4048052.8347826097</v>
      </c>
      <c r="BB35" s="4">
        <v>3105579.7927129143</v>
      </c>
      <c r="BC35" s="4">
        <v>2123062.1174291284</v>
      </c>
      <c r="BD35" s="4">
        <v>3475425.1977229337</v>
      </c>
      <c r="BE35" s="4">
        <v>2710271.7933466672</v>
      </c>
      <c r="BF35" s="4">
        <v>2877467.9240058707</v>
      </c>
      <c r="BG35" s="4">
        <v>2790139.1966998191</v>
      </c>
      <c r="BH35" s="4">
        <v>3057717.91556344</v>
      </c>
      <c r="BI35" s="4">
        <v>3114153.8410916221</v>
      </c>
      <c r="BJ35" s="4">
        <v>3177231.5318328789</v>
      </c>
      <c r="BK35" s="4">
        <v>3143680.9765154081</v>
      </c>
      <c r="BL35" s="4">
        <v>1997079.5603287776</v>
      </c>
      <c r="BM35" s="4">
        <v>2539961.5210634856</v>
      </c>
      <c r="BN35" s="4">
        <v>2881538.2918791771</v>
      </c>
      <c r="BO35" s="4">
        <v>2669568.0116237672</v>
      </c>
      <c r="BP35" s="4">
        <v>2958689.506200029</v>
      </c>
      <c r="BQ35" s="4">
        <v>3737296.2100743959</v>
      </c>
      <c r="BR35" s="4">
        <v>2989655.5852009333</v>
      </c>
      <c r="BS35" s="4">
        <v>2936371.9588932279</v>
      </c>
      <c r="BT35" s="4">
        <v>4007077.8753897361</v>
      </c>
      <c r="BU35" s="4">
        <v>2627687.910585383</v>
      </c>
      <c r="BV35" s="4">
        <v>3258228.8956544921</v>
      </c>
      <c r="BW35" s="4">
        <v>2766155.1040219334</v>
      </c>
      <c r="BX35" s="4">
        <v>2605505.0680410285</v>
      </c>
      <c r="BY35" s="4">
        <v>2923200.690279522</v>
      </c>
      <c r="BZ35" s="4">
        <v>2944955.1494688196</v>
      </c>
      <c r="CA35" s="4">
        <v>2540696.2099788859</v>
      </c>
      <c r="CB35" s="4">
        <v>2880856.2148716468</v>
      </c>
      <c r="CC35" s="4">
        <v>2352363.9063783363</v>
      </c>
      <c r="CD35" s="4">
        <v>4405923.0015662769</v>
      </c>
      <c r="CE35" s="4">
        <v>2330819.0325459996</v>
      </c>
      <c r="CF35" s="4">
        <v>3417662.201687803</v>
      </c>
      <c r="CG35" s="4">
        <v>3708459.1300049182</v>
      </c>
      <c r="CH35" s="4">
        <v>3203296.3635185063</v>
      </c>
      <c r="CI35" s="4">
        <v>2622576.7083075764</v>
      </c>
      <c r="CJ35" s="4">
        <v>4145113.5092374929</v>
      </c>
      <c r="CK35" s="4">
        <v>3654501.6750239679</v>
      </c>
      <c r="CL35" s="4">
        <v>2835311.2543636463</v>
      </c>
      <c r="CM35" s="4">
        <v>2528054.1434859815</v>
      </c>
      <c r="CN35" s="4">
        <v>3084061.1384130875</v>
      </c>
      <c r="CO35" s="4">
        <v>4021402.7669643243</v>
      </c>
      <c r="CP35" s="4">
        <v>3173970.6295579686</v>
      </c>
      <c r="CQ35" s="4">
        <v>2497258.4700766271</v>
      </c>
      <c r="CR35" s="4">
        <v>2557661.7454477055</v>
      </c>
      <c r="CS35" s="4">
        <v>2782743.546873502</v>
      </c>
      <c r="CT35" s="4">
        <v>1955493.8837540606</v>
      </c>
      <c r="CU35" s="4">
        <v>2966879.3375497893</v>
      </c>
      <c r="CV35" s="4">
        <v>3092970.5302435621</v>
      </c>
      <c r="CW35" s="4">
        <v>4532447.2524679266</v>
      </c>
    </row>
    <row r="36" spans="1:101" x14ac:dyDescent="0.35">
      <c r="A36">
        <v>202411</v>
      </c>
      <c r="B36" s="4">
        <v>3241456.3678908604</v>
      </c>
      <c r="C36" s="4">
        <v>3822796.3887105342</v>
      </c>
      <c r="D36" s="4">
        <v>3514907.9263108671</v>
      </c>
      <c r="E36" s="4">
        <v>4024846.7816774435</v>
      </c>
      <c r="F36" s="4">
        <v>3283952.4048550609</v>
      </c>
      <c r="G36" s="4">
        <v>4340663.6574236071</v>
      </c>
      <c r="H36" s="4">
        <v>2842701.9036487131</v>
      </c>
      <c r="I36" s="4">
        <v>4290020.6886846265</v>
      </c>
      <c r="J36" s="4">
        <v>4050070.7727659936</v>
      </c>
      <c r="K36" s="4">
        <v>3262509.537188286</v>
      </c>
      <c r="L36" s="4">
        <v>2433661.6275804811</v>
      </c>
      <c r="M36" s="4">
        <v>3384297.8438451677</v>
      </c>
      <c r="N36" s="4">
        <v>2877261.4339507092</v>
      </c>
      <c r="O36" s="4">
        <v>4223409.251154921</v>
      </c>
      <c r="P36" s="4">
        <v>2938992.1337669357</v>
      </c>
      <c r="Q36" s="4">
        <v>2917672.0163977849</v>
      </c>
      <c r="R36" s="4">
        <v>4156897.991373321</v>
      </c>
      <c r="S36" s="4">
        <v>2975159.2925848551</v>
      </c>
      <c r="T36" s="4">
        <v>2857317.2517574979</v>
      </c>
      <c r="U36" s="4">
        <v>2607839.4328870638</v>
      </c>
      <c r="V36" s="4">
        <v>2924578.4667377113</v>
      </c>
      <c r="W36" s="4">
        <v>4392112.5020821588</v>
      </c>
      <c r="X36" s="4">
        <v>2663551.652571152</v>
      </c>
      <c r="Y36" s="4">
        <v>3411158.9279306806</v>
      </c>
      <c r="Z36" s="4">
        <v>3336652.5433590296</v>
      </c>
      <c r="AA36" s="4">
        <v>2485897.0180819407</v>
      </c>
      <c r="AB36" s="4">
        <v>3161721.4010656825</v>
      </c>
      <c r="AC36" s="4">
        <v>3211001.9304556008</v>
      </c>
      <c r="AD36" s="4">
        <v>3674825.6673298082</v>
      </c>
      <c r="AE36" s="4">
        <v>3002595.975549513</v>
      </c>
      <c r="AF36" s="4">
        <v>3332271.1170990812</v>
      </c>
      <c r="AG36" s="4">
        <v>3288317.8271107161</v>
      </c>
      <c r="AH36" s="4">
        <v>3397026.5884205797</v>
      </c>
      <c r="AI36" s="4">
        <v>3687969.627719833</v>
      </c>
      <c r="AJ36" s="4">
        <v>4005730.9472467219</v>
      </c>
      <c r="AK36" s="4">
        <v>3864369.0987215415</v>
      </c>
      <c r="AL36" s="4">
        <v>3308578.8300734609</v>
      </c>
      <c r="AM36" s="4">
        <v>4726779.5652141543</v>
      </c>
      <c r="AN36" s="4">
        <v>3060919.3045376306</v>
      </c>
      <c r="AO36" s="4">
        <v>3263569.2313407096</v>
      </c>
      <c r="AP36" s="4">
        <v>2968670.5069946516</v>
      </c>
      <c r="AQ36" s="4">
        <v>3038729.7558212937</v>
      </c>
      <c r="AR36" s="4">
        <v>2991391.9680121574</v>
      </c>
      <c r="AS36" s="4">
        <v>2459124.5024085501</v>
      </c>
      <c r="AT36" s="4">
        <v>2972045.1047727121</v>
      </c>
      <c r="AU36" s="4">
        <v>2482058.1410839851</v>
      </c>
      <c r="AV36" s="4">
        <v>2784813.3084031511</v>
      </c>
      <c r="AW36" s="4">
        <v>2902520.5809534495</v>
      </c>
      <c r="AX36" s="4">
        <v>3241028.2743965643</v>
      </c>
      <c r="AY36" s="4">
        <v>2987546.9964719056</v>
      </c>
      <c r="AZ36" s="4">
        <v>5554542.3434348581</v>
      </c>
      <c r="BA36" s="4">
        <v>4697848.2546663173</v>
      </c>
      <c r="BB36" s="4">
        <v>3542301.294126003</v>
      </c>
      <c r="BC36" s="4">
        <v>2388669.6448779833</v>
      </c>
      <c r="BD36" s="4">
        <v>3954736.7982089939</v>
      </c>
      <c r="BE36" s="4">
        <v>3131993.4327770402</v>
      </c>
      <c r="BF36" s="4">
        <v>3218045.2623042185</v>
      </c>
      <c r="BG36" s="4">
        <v>3213369.2974726097</v>
      </c>
      <c r="BH36" s="4">
        <v>3465685.058183074</v>
      </c>
      <c r="BI36" s="4">
        <v>3491664.6022191402</v>
      </c>
      <c r="BJ36" s="4">
        <v>3598631.3680783403</v>
      </c>
      <c r="BK36" s="4">
        <v>3626619.9624339854</v>
      </c>
      <c r="BL36" s="4">
        <v>2328534.1077190689</v>
      </c>
      <c r="BM36" s="4">
        <v>2863878.2150897179</v>
      </c>
      <c r="BN36" s="4">
        <v>3309466.2181950514</v>
      </c>
      <c r="BO36" s="4">
        <v>3039560.8996636686</v>
      </c>
      <c r="BP36" s="4">
        <v>3382731.7589843762</v>
      </c>
      <c r="BQ36" s="4">
        <v>4304499.231260919</v>
      </c>
      <c r="BR36" s="4">
        <v>3394462.0401828527</v>
      </c>
      <c r="BS36" s="4">
        <v>3471726.5634001866</v>
      </c>
      <c r="BT36" s="4">
        <v>4602729.8365590032</v>
      </c>
      <c r="BU36" s="4">
        <v>2992345.7794065168</v>
      </c>
      <c r="BV36" s="4">
        <v>3678771.237409492</v>
      </c>
      <c r="BW36" s="4">
        <v>3118816.3278070348</v>
      </c>
      <c r="BX36" s="4">
        <v>2963181.1195212975</v>
      </c>
      <c r="BY36" s="4">
        <v>3312463.5402207505</v>
      </c>
      <c r="BZ36" s="4">
        <v>3295229.5225757933</v>
      </c>
      <c r="CA36" s="4">
        <v>2843061.3513311348</v>
      </c>
      <c r="CB36" s="4">
        <v>3304596.0591793801</v>
      </c>
      <c r="CC36" s="4">
        <v>2688712.8015418998</v>
      </c>
      <c r="CD36" s="4">
        <v>5013539.5685873944</v>
      </c>
      <c r="CE36" s="4">
        <v>2676069.7175302627</v>
      </c>
      <c r="CF36" s="4">
        <v>3869713.3785063829</v>
      </c>
      <c r="CG36" s="4">
        <v>4174045.6491553178</v>
      </c>
      <c r="CH36" s="4">
        <v>3595421.7480267719</v>
      </c>
      <c r="CI36" s="4">
        <v>3023736.2399384207</v>
      </c>
      <c r="CJ36" s="4">
        <v>4627259.9989287872</v>
      </c>
      <c r="CK36" s="4">
        <v>4250952.3992611421</v>
      </c>
      <c r="CL36" s="4">
        <v>3244060.9405650124</v>
      </c>
      <c r="CM36" s="4">
        <v>2835021.3198033636</v>
      </c>
      <c r="CN36" s="4">
        <v>3498696.9325294038</v>
      </c>
      <c r="CO36" s="4">
        <v>4628777.6126186009</v>
      </c>
      <c r="CP36" s="4">
        <v>3536838.4481527167</v>
      </c>
      <c r="CQ36" s="4">
        <v>2881958.1296501439</v>
      </c>
      <c r="CR36" s="4">
        <v>2886129.8395972494</v>
      </c>
      <c r="CS36" s="4">
        <v>3143987.047763261</v>
      </c>
      <c r="CT36" s="4">
        <v>2177618.17485771</v>
      </c>
      <c r="CU36" s="4">
        <v>3347045.3413632144</v>
      </c>
      <c r="CV36" s="4">
        <v>3557735.2420789502</v>
      </c>
      <c r="CW36" s="4">
        <v>5197731.69378688</v>
      </c>
    </row>
    <row r="37" spans="1:101" x14ac:dyDescent="0.35">
      <c r="A37">
        <v>202412</v>
      </c>
      <c r="B37" s="4">
        <v>3465029.0529161706</v>
      </c>
      <c r="C37" s="4">
        <v>4055742.8469172334</v>
      </c>
      <c r="D37" s="4">
        <v>3510841.6262514885</v>
      </c>
      <c r="E37" s="4">
        <v>4168719.8070092807</v>
      </c>
      <c r="F37" s="4">
        <v>3318117.150157019</v>
      </c>
      <c r="G37" s="4">
        <v>4497095.0436359057</v>
      </c>
      <c r="H37" s="4">
        <v>3018129.1547523742</v>
      </c>
      <c r="I37" s="4">
        <v>4511660.1516764937</v>
      </c>
      <c r="J37" s="4">
        <v>4294468.4917235309</v>
      </c>
      <c r="K37" s="4">
        <v>3424621.8389020441</v>
      </c>
      <c r="L37" s="4">
        <v>2549145.36376803</v>
      </c>
      <c r="M37" s="4">
        <v>3513185.1855593151</v>
      </c>
      <c r="N37" s="4">
        <v>2998746.8355994741</v>
      </c>
      <c r="O37" s="4">
        <v>4411229.2956914864</v>
      </c>
      <c r="P37" s="4">
        <v>3050632.5094019254</v>
      </c>
      <c r="Q37" s="4">
        <v>3010240.568382252</v>
      </c>
      <c r="R37" s="4">
        <v>4348242.717190749</v>
      </c>
      <c r="S37" s="4">
        <v>3110310.0830082465</v>
      </c>
      <c r="T37" s="4">
        <v>3051833.1779067311</v>
      </c>
      <c r="U37" s="4">
        <v>2724591.2655583867</v>
      </c>
      <c r="V37" s="4">
        <v>3014691.7055345909</v>
      </c>
      <c r="W37" s="4">
        <v>4578177.6625955924</v>
      </c>
      <c r="X37" s="4">
        <v>2815616.5600447292</v>
      </c>
      <c r="Y37" s="4">
        <v>3557378.9826105782</v>
      </c>
      <c r="Z37" s="4">
        <v>3536127.9694034532</v>
      </c>
      <c r="AA37" s="4">
        <v>2589442.7758235116</v>
      </c>
      <c r="AB37" s="4">
        <v>3288003.1677182703</v>
      </c>
      <c r="AC37" s="4">
        <v>3427330.7684085146</v>
      </c>
      <c r="AD37" s="4">
        <v>3894773.4162716451</v>
      </c>
      <c r="AE37" s="4">
        <v>3112228.8188878438</v>
      </c>
      <c r="AF37" s="4">
        <v>3457709.3907249309</v>
      </c>
      <c r="AG37" s="4">
        <v>3504929.8026784882</v>
      </c>
      <c r="AH37" s="4">
        <v>3515089.0290458365</v>
      </c>
      <c r="AI37" s="4">
        <v>3855010.5623290059</v>
      </c>
      <c r="AJ37" s="4">
        <v>4148836.3536980124</v>
      </c>
      <c r="AK37" s="4">
        <v>4045826.2947949748</v>
      </c>
      <c r="AL37" s="4">
        <v>3441953.0850260095</v>
      </c>
      <c r="AM37" s="4">
        <v>4867072.2847741926</v>
      </c>
      <c r="AN37" s="4">
        <v>3209853.0033852584</v>
      </c>
      <c r="AO37" s="4">
        <v>3418375.9116087281</v>
      </c>
      <c r="AP37" s="4">
        <v>3109345.2893204936</v>
      </c>
      <c r="AQ37" s="4">
        <v>3106309.6215392286</v>
      </c>
      <c r="AR37" s="4">
        <v>3156479.2556919232</v>
      </c>
      <c r="AS37" s="4">
        <v>2589719.7919811709</v>
      </c>
      <c r="AT37" s="4">
        <v>3078024.4798669899</v>
      </c>
      <c r="AU37" s="4">
        <v>2595394.8003062727</v>
      </c>
      <c r="AV37" s="4">
        <v>2887703.1140424525</v>
      </c>
      <c r="AW37" s="4">
        <v>2999811.9537611976</v>
      </c>
      <c r="AX37" s="4">
        <v>3435731.0554779614</v>
      </c>
      <c r="AY37" s="4">
        <v>3176354.7750341538</v>
      </c>
      <c r="AZ37" s="4">
        <v>5934473.6284353593</v>
      </c>
      <c r="BA37" s="4">
        <v>4865186.3663321212</v>
      </c>
      <c r="BB37" s="4">
        <v>3707182.931949683</v>
      </c>
      <c r="BC37" s="4">
        <v>2553084.0207758476</v>
      </c>
      <c r="BD37" s="4">
        <v>4176811.476743103</v>
      </c>
      <c r="BE37" s="4">
        <v>3308914.212755736</v>
      </c>
      <c r="BF37" s="4">
        <v>3403909.8970264611</v>
      </c>
      <c r="BG37" s="4">
        <v>3385169.3144301283</v>
      </c>
      <c r="BH37" s="4">
        <v>3647787.8581307377</v>
      </c>
      <c r="BI37" s="4">
        <v>3617470.0383536695</v>
      </c>
      <c r="BJ37" s="4">
        <v>3757237.5396431047</v>
      </c>
      <c r="BK37" s="4">
        <v>3765516.1549772518</v>
      </c>
      <c r="BL37" s="4">
        <v>2384202.9534720741</v>
      </c>
      <c r="BM37" s="4">
        <v>2987225.5634509632</v>
      </c>
      <c r="BN37" s="4">
        <v>3493753.8824356212</v>
      </c>
      <c r="BO37" s="4">
        <v>3208552.9317666544</v>
      </c>
      <c r="BP37" s="4">
        <v>3461785.6677099229</v>
      </c>
      <c r="BQ37" s="4">
        <v>4546406.3466462214</v>
      </c>
      <c r="BR37" s="4">
        <v>3580058.4188712225</v>
      </c>
      <c r="BS37" s="4">
        <v>3507047.5940698744</v>
      </c>
      <c r="BT37" s="4">
        <v>4688768.4815968918</v>
      </c>
      <c r="BU37" s="4">
        <v>3113171.9984530029</v>
      </c>
      <c r="BV37" s="4">
        <v>3836315.3138050437</v>
      </c>
      <c r="BW37" s="4">
        <v>3286277.1500679241</v>
      </c>
      <c r="BX37" s="4">
        <v>3134155.9570658589</v>
      </c>
      <c r="BY37" s="4">
        <v>3477960.4945782172</v>
      </c>
      <c r="BZ37" s="4">
        <v>3466880.3487371802</v>
      </c>
      <c r="CA37" s="4">
        <v>3020715.8531553592</v>
      </c>
      <c r="CB37" s="4">
        <v>3365921.8645719765</v>
      </c>
      <c r="CC37" s="4">
        <v>2807692.5702198949</v>
      </c>
      <c r="CD37" s="4">
        <v>5266813.2649145732</v>
      </c>
      <c r="CE37" s="4">
        <v>2806348.8659528703</v>
      </c>
      <c r="CF37" s="4">
        <v>3985654.9819688182</v>
      </c>
      <c r="CG37" s="4">
        <v>4346614.8420485733</v>
      </c>
      <c r="CH37" s="4">
        <v>3758565.8762873863</v>
      </c>
      <c r="CI37" s="4">
        <v>3175619.6928695273</v>
      </c>
      <c r="CJ37" s="4">
        <v>4835431.3944567535</v>
      </c>
      <c r="CK37" s="4">
        <v>4407626.9342910638</v>
      </c>
      <c r="CL37" s="4">
        <v>3423108.5859207497</v>
      </c>
      <c r="CM37" s="4">
        <v>3012729.1844732356</v>
      </c>
      <c r="CN37" s="4">
        <v>3624664.3613167703</v>
      </c>
      <c r="CO37" s="4">
        <v>4856093.5553388586</v>
      </c>
      <c r="CP37" s="4">
        <v>3802044.7168524126</v>
      </c>
      <c r="CQ37" s="4">
        <v>2971012.004780855</v>
      </c>
      <c r="CR37" s="4">
        <v>3084213.6660917066</v>
      </c>
      <c r="CS37" s="4">
        <v>3285068.4457299095</v>
      </c>
      <c r="CT37" s="4">
        <v>2334841.2375638443</v>
      </c>
      <c r="CU37" s="4">
        <v>3531813.1392995338</v>
      </c>
      <c r="CV37" s="4">
        <v>3723044.2204158949</v>
      </c>
      <c r="CW37" s="4">
        <v>5298265.1183531201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E339D-BA28-4981-81AD-E4FE7A0C8011}">
  <sheetPr codeName="Sheet3">
    <tabColor theme="6" tint="0.59999389629810485"/>
  </sheetPr>
  <dimension ref="A1:C101"/>
  <sheetViews>
    <sheetView workbookViewId="0">
      <selection activeCell="N32" sqref="N32"/>
    </sheetView>
  </sheetViews>
  <sheetFormatPr defaultRowHeight="14.5" x14ac:dyDescent="0.35"/>
  <cols>
    <col min="1" max="1" width="9.81640625" customWidth="1"/>
  </cols>
  <sheetData>
    <row r="1" spans="1:3" x14ac:dyDescent="0.35">
      <c r="A1" t="s">
        <v>0</v>
      </c>
      <c r="B1" t="s">
        <v>1</v>
      </c>
      <c r="C1" t="s">
        <v>2</v>
      </c>
    </row>
    <row r="2" spans="1:3" x14ac:dyDescent="0.35">
      <c r="A2" s="6">
        <v>1</v>
      </c>
      <c r="B2" s="6">
        <v>23230</v>
      </c>
      <c r="C2" t="s">
        <v>3</v>
      </c>
    </row>
    <row r="3" spans="1:3" x14ac:dyDescent="0.35">
      <c r="A3" s="6">
        <v>2</v>
      </c>
      <c r="B3" s="6">
        <v>20024</v>
      </c>
      <c r="C3" t="s">
        <v>4</v>
      </c>
    </row>
    <row r="4" spans="1:3" x14ac:dyDescent="0.35">
      <c r="A4" s="6">
        <v>3</v>
      </c>
      <c r="B4" s="6">
        <v>30308</v>
      </c>
      <c r="C4" t="s">
        <v>5</v>
      </c>
    </row>
    <row r="5" spans="1:3" x14ac:dyDescent="0.35">
      <c r="A5" s="6">
        <v>4</v>
      </c>
      <c r="B5" s="6">
        <v>30033</v>
      </c>
      <c r="C5" t="s">
        <v>5</v>
      </c>
    </row>
    <row r="6" spans="1:3" x14ac:dyDescent="0.35">
      <c r="A6" s="6">
        <v>5</v>
      </c>
      <c r="B6" s="6">
        <v>20427</v>
      </c>
      <c r="C6" t="s">
        <v>4</v>
      </c>
    </row>
    <row r="7" spans="1:3" x14ac:dyDescent="0.35">
      <c r="A7" s="6">
        <v>6</v>
      </c>
      <c r="B7" s="6">
        <v>23233</v>
      </c>
      <c r="C7" t="s">
        <v>3</v>
      </c>
    </row>
    <row r="8" spans="1:3" x14ac:dyDescent="0.35">
      <c r="A8" s="6">
        <v>7</v>
      </c>
      <c r="B8" s="6">
        <v>23025</v>
      </c>
      <c r="C8" t="s">
        <v>3</v>
      </c>
    </row>
    <row r="9" spans="1:3" x14ac:dyDescent="0.35">
      <c r="A9" s="6">
        <v>8</v>
      </c>
      <c r="B9" s="6">
        <v>21087</v>
      </c>
      <c r="C9" t="s">
        <v>6</v>
      </c>
    </row>
    <row r="10" spans="1:3" x14ac:dyDescent="0.35">
      <c r="A10" s="6">
        <v>9</v>
      </c>
      <c r="B10" s="6">
        <v>23457</v>
      </c>
      <c r="C10" t="s">
        <v>3</v>
      </c>
    </row>
    <row r="11" spans="1:3" x14ac:dyDescent="0.35">
      <c r="A11" s="6">
        <v>10</v>
      </c>
      <c r="B11" s="6">
        <v>23666</v>
      </c>
      <c r="C11" t="s">
        <v>3</v>
      </c>
    </row>
    <row r="12" spans="1:3" x14ac:dyDescent="0.35">
      <c r="A12" s="6">
        <v>11</v>
      </c>
      <c r="B12" s="6">
        <v>28587</v>
      </c>
      <c r="C12" t="s">
        <v>7</v>
      </c>
    </row>
    <row r="13" spans="1:3" x14ac:dyDescent="0.35">
      <c r="A13" s="6">
        <v>12</v>
      </c>
      <c r="B13" s="6">
        <v>22511</v>
      </c>
      <c r="C13" t="s">
        <v>3</v>
      </c>
    </row>
    <row r="14" spans="1:3" x14ac:dyDescent="0.35">
      <c r="A14" s="6">
        <v>13</v>
      </c>
      <c r="B14" s="6">
        <v>30473</v>
      </c>
      <c r="C14" t="s">
        <v>5</v>
      </c>
    </row>
    <row r="15" spans="1:3" x14ac:dyDescent="0.35">
      <c r="A15" s="6">
        <v>14</v>
      </c>
      <c r="B15" s="6">
        <v>20601</v>
      </c>
      <c r="C15" t="s">
        <v>6</v>
      </c>
    </row>
    <row r="16" spans="1:3" x14ac:dyDescent="0.35">
      <c r="A16" s="6">
        <v>15</v>
      </c>
      <c r="B16" s="6">
        <v>28516</v>
      </c>
      <c r="C16" t="s">
        <v>7</v>
      </c>
    </row>
    <row r="17" spans="1:3" x14ac:dyDescent="0.35">
      <c r="A17" s="6">
        <v>16</v>
      </c>
      <c r="B17" s="6">
        <v>26283</v>
      </c>
      <c r="C17" t="s">
        <v>8</v>
      </c>
    </row>
    <row r="18" spans="1:3" x14ac:dyDescent="0.35">
      <c r="A18" s="6">
        <v>17</v>
      </c>
      <c r="B18" s="6">
        <v>20110</v>
      </c>
      <c r="C18" t="s">
        <v>3</v>
      </c>
    </row>
    <row r="19" spans="1:3" x14ac:dyDescent="0.35">
      <c r="A19" s="6">
        <v>18</v>
      </c>
      <c r="B19" s="6">
        <v>28021</v>
      </c>
      <c r="C19" t="s">
        <v>7</v>
      </c>
    </row>
    <row r="20" spans="1:3" x14ac:dyDescent="0.35">
      <c r="A20" s="6">
        <v>19</v>
      </c>
      <c r="B20" s="6">
        <v>27537</v>
      </c>
      <c r="C20" t="s">
        <v>7</v>
      </c>
    </row>
    <row r="21" spans="1:3" x14ac:dyDescent="0.35">
      <c r="A21" s="6">
        <v>20</v>
      </c>
      <c r="B21" s="6">
        <v>24016</v>
      </c>
      <c r="C21" t="s">
        <v>3</v>
      </c>
    </row>
    <row r="22" spans="1:3" x14ac:dyDescent="0.35">
      <c r="A22" s="6">
        <v>21</v>
      </c>
      <c r="B22" s="6">
        <v>26812</v>
      </c>
      <c r="C22" t="s">
        <v>8</v>
      </c>
    </row>
    <row r="23" spans="1:3" x14ac:dyDescent="0.35">
      <c r="A23" s="6">
        <v>22</v>
      </c>
      <c r="B23" s="6">
        <v>20678</v>
      </c>
      <c r="C23" t="s">
        <v>6</v>
      </c>
    </row>
    <row r="24" spans="1:3" x14ac:dyDescent="0.35">
      <c r="A24" s="6">
        <v>23</v>
      </c>
      <c r="B24" s="6">
        <v>28464</v>
      </c>
      <c r="C24" t="s">
        <v>7</v>
      </c>
    </row>
    <row r="25" spans="1:3" x14ac:dyDescent="0.35">
      <c r="A25" s="6">
        <v>24</v>
      </c>
      <c r="B25" s="6">
        <v>21668</v>
      </c>
      <c r="C25" t="s">
        <v>6</v>
      </c>
    </row>
    <row r="26" spans="1:3" x14ac:dyDescent="0.35">
      <c r="A26" s="6">
        <v>25</v>
      </c>
      <c r="B26" s="6">
        <v>20662</v>
      </c>
      <c r="C26" t="s">
        <v>6</v>
      </c>
    </row>
    <row r="27" spans="1:3" x14ac:dyDescent="0.35">
      <c r="A27" s="6">
        <v>26</v>
      </c>
      <c r="B27" s="6">
        <v>31743</v>
      </c>
      <c r="C27" t="s">
        <v>5</v>
      </c>
    </row>
    <row r="28" spans="1:3" x14ac:dyDescent="0.35">
      <c r="A28" s="6">
        <v>27</v>
      </c>
      <c r="B28" s="6">
        <v>24361</v>
      </c>
      <c r="C28" t="s">
        <v>3</v>
      </c>
    </row>
    <row r="29" spans="1:3" x14ac:dyDescent="0.35">
      <c r="A29" s="6">
        <v>28</v>
      </c>
      <c r="B29" s="6">
        <v>28739</v>
      </c>
      <c r="C29" t="s">
        <v>7</v>
      </c>
    </row>
    <row r="30" spans="1:3" x14ac:dyDescent="0.35">
      <c r="A30" s="6">
        <v>29</v>
      </c>
      <c r="B30" s="6">
        <v>22041</v>
      </c>
      <c r="C30" t="s">
        <v>3</v>
      </c>
    </row>
    <row r="31" spans="1:3" x14ac:dyDescent="0.35">
      <c r="A31" s="6">
        <v>30</v>
      </c>
      <c r="B31" s="6">
        <v>31830</v>
      </c>
      <c r="C31" t="s">
        <v>5</v>
      </c>
    </row>
    <row r="32" spans="1:3" x14ac:dyDescent="0.35">
      <c r="A32" s="6">
        <v>31</v>
      </c>
      <c r="B32" s="6">
        <v>30090</v>
      </c>
      <c r="C32" t="s">
        <v>5</v>
      </c>
    </row>
    <row r="33" spans="1:3" x14ac:dyDescent="0.35">
      <c r="A33" s="6">
        <v>32</v>
      </c>
      <c r="B33" s="6">
        <v>26631</v>
      </c>
      <c r="C33" t="s">
        <v>8</v>
      </c>
    </row>
    <row r="34" spans="1:3" x14ac:dyDescent="0.35">
      <c r="A34" s="6">
        <v>33</v>
      </c>
      <c r="B34" s="6">
        <v>23437</v>
      </c>
      <c r="C34" t="s">
        <v>3</v>
      </c>
    </row>
    <row r="35" spans="1:3" x14ac:dyDescent="0.35">
      <c r="A35" s="6">
        <v>34</v>
      </c>
      <c r="B35" s="6">
        <v>22738</v>
      </c>
      <c r="C35" t="s">
        <v>3</v>
      </c>
    </row>
    <row r="36" spans="1:3" x14ac:dyDescent="0.35">
      <c r="A36" s="6">
        <v>35</v>
      </c>
      <c r="B36" s="6">
        <v>31804</v>
      </c>
      <c r="C36" t="s">
        <v>5</v>
      </c>
    </row>
    <row r="37" spans="1:3" x14ac:dyDescent="0.35">
      <c r="A37" s="6">
        <v>36</v>
      </c>
      <c r="B37" s="6">
        <v>22712</v>
      </c>
      <c r="C37" t="s">
        <v>3</v>
      </c>
    </row>
    <row r="38" spans="1:3" x14ac:dyDescent="0.35">
      <c r="A38" s="6">
        <v>37</v>
      </c>
      <c r="B38" s="6">
        <v>22847</v>
      </c>
      <c r="C38" t="s">
        <v>3</v>
      </c>
    </row>
    <row r="39" spans="1:3" x14ac:dyDescent="0.35">
      <c r="A39" s="6">
        <v>38</v>
      </c>
      <c r="B39" s="6">
        <v>30319</v>
      </c>
      <c r="C39" t="s">
        <v>5</v>
      </c>
    </row>
    <row r="40" spans="1:3" x14ac:dyDescent="0.35">
      <c r="A40" s="6">
        <v>39</v>
      </c>
      <c r="B40" s="6">
        <v>28766</v>
      </c>
      <c r="C40" t="s">
        <v>7</v>
      </c>
    </row>
    <row r="41" spans="1:3" x14ac:dyDescent="0.35">
      <c r="A41" s="6">
        <v>40</v>
      </c>
      <c r="B41" s="6">
        <v>24457</v>
      </c>
      <c r="C41" t="s">
        <v>3</v>
      </c>
    </row>
    <row r="42" spans="1:3" x14ac:dyDescent="0.35">
      <c r="A42" s="6">
        <v>41</v>
      </c>
      <c r="B42" s="6">
        <v>25520</v>
      </c>
      <c r="C42" t="s">
        <v>8</v>
      </c>
    </row>
    <row r="43" spans="1:3" x14ac:dyDescent="0.35">
      <c r="A43" s="6">
        <v>42</v>
      </c>
      <c r="B43" s="6">
        <v>27858</v>
      </c>
      <c r="C43" t="s">
        <v>7</v>
      </c>
    </row>
    <row r="44" spans="1:3" x14ac:dyDescent="0.35">
      <c r="A44" s="6">
        <v>43</v>
      </c>
      <c r="B44" s="6">
        <v>26276</v>
      </c>
      <c r="C44" t="s">
        <v>8</v>
      </c>
    </row>
    <row r="45" spans="1:3" x14ac:dyDescent="0.35">
      <c r="A45" s="6">
        <v>44</v>
      </c>
      <c r="B45" s="6">
        <v>28377</v>
      </c>
      <c r="C45" t="s">
        <v>7</v>
      </c>
    </row>
    <row r="46" spans="1:3" x14ac:dyDescent="0.35">
      <c r="A46" s="6">
        <v>45</v>
      </c>
      <c r="B46" s="6">
        <v>26807</v>
      </c>
      <c r="C46" t="s">
        <v>8</v>
      </c>
    </row>
    <row r="47" spans="1:3" x14ac:dyDescent="0.35">
      <c r="A47" s="6">
        <v>46</v>
      </c>
      <c r="B47" s="6">
        <v>25904</v>
      </c>
      <c r="C47" t="s">
        <v>8</v>
      </c>
    </row>
    <row r="48" spans="1:3" x14ac:dyDescent="0.35">
      <c r="A48" s="6">
        <v>47</v>
      </c>
      <c r="B48" s="6">
        <v>30678</v>
      </c>
      <c r="C48" t="s">
        <v>5</v>
      </c>
    </row>
    <row r="49" spans="1:3" x14ac:dyDescent="0.35">
      <c r="A49" s="6">
        <v>48</v>
      </c>
      <c r="B49" s="6">
        <v>30217</v>
      </c>
      <c r="C49" t="s">
        <v>5</v>
      </c>
    </row>
    <row r="50" spans="1:3" x14ac:dyDescent="0.35">
      <c r="A50" s="6">
        <v>49</v>
      </c>
      <c r="B50" s="6">
        <v>22644</v>
      </c>
      <c r="C50" t="s">
        <v>3</v>
      </c>
    </row>
    <row r="51" spans="1:3" x14ac:dyDescent="0.35">
      <c r="A51" s="6">
        <v>50</v>
      </c>
      <c r="B51" s="6">
        <v>21521</v>
      </c>
      <c r="C51" t="s">
        <v>6</v>
      </c>
    </row>
    <row r="52" spans="1:3" x14ac:dyDescent="0.35">
      <c r="A52" s="6">
        <v>51</v>
      </c>
      <c r="B52" s="6">
        <v>22032</v>
      </c>
      <c r="C52" t="s">
        <v>3</v>
      </c>
    </row>
    <row r="53" spans="1:3" x14ac:dyDescent="0.35">
      <c r="A53" s="6">
        <v>52</v>
      </c>
      <c r="B53" s="6">
        <v>20646</v>
      </c>
      <c r="C53" t="s">
        <v>6</v>
      </c>
    </row>
    <row r="54" spans="1:3" x14ac:dyDescent="0.35">
      <c r="A54" s="6">
        <v>53</v>
      </c>
      <c r="B54" s="6">
        <v>27050</v>
      </c>
      <c r="C54" t="s">
        <v>7</v>
      </c>
    </row>
    <row r="55" spans="1:3" x14ac:dyDescent="0.35">
      <c r="A55" s="6">
        <v>54</v>
      </c>
      <c r="B55" s="6">
        <v>24855</v>
      </c>
      <c r="C55" t="s">
        <v>8</v>
      </c>
    </row>
    <row r="56" spans="1:3" x14ac:dyDescent="0.35">
      <c r="A56" s="6">
        <v>55</v>
      </c>
      <c r="B56" s="6">
        <v>23192</v>
      </c>
      <c r="C56" t="s">
        <v>3</v>
      </c>
    </row>
    <row r="57" spans="1:3" x14ac:dyDescent="0.35">
      <c r="A57" s="6">
        <v>56</v>
      </c>
      <c r="B57" s="6">
        <v>24566</v>
      </c>
      <c r="C57" t="s">
        <v>3</v>
      </c>
    </row>
    <row r="58" spans="1:3" x14ac:dyDescent="0.35">
      <c r="A58" s="6">
        <v>57</v>
      </c>
      <c r="B58" s="6">
        <v>24265</v>
      </c>
      <c r="C58" t="s">
        <v>3</v>
      </c>
    </row>
    <row r="59" spans="1:3" x14ac:dyDescent="0.35">
      <c r="A59" s="6">
        <v>58</v>
      </c>
      <c r="B59" s="6">
        <v>27570</v>
      </c>
      <c r="C59" t="s">
        <v>7</v>
      </c>
    </row>
    <row r="60" spans="1:3" x14ac:dyDescent="0.35">
      <c r="A60" s="6">
        <v>59</v>
      </c>
      <c r="B60" s="6">
        <v>24556</v>
      </c>
      <c r="C60" t="s">
        <v>3</v>
      </c>
    </row>
    <row r="61" spans="1:3" x14ac:dyDescent="0.35">
      <c r="A61" s="6">
        <v>60</v>
      </c>
      <c r="B61" s="6">
        <v>27377</v>
      </c>
      <c r="C61" t="s">
        <v>7</v>
      </c>
    </row>
    <row r="62" spans="1:3" x14ac:dyDescent="0.35">
      <c r="A62" s="6">
        <v>61</v>
      </c>
      <c r="B62" s="6">
        <v>22641</v>
      </c>
      <c r="C62" t="s">
        <v>3</v>
      </c>
    </row>
    <row r="63" spans="1:3" x14ac:dyDescent="0.35">
      <c r="A63" s="6">
        <v>62</v>
      </c>
      <c r="B63" s="6">
        <v>22578</v>
      </c>
      <c r="C63" t="s">
        <v>3</v>
      </c>
    </row>
    <row r="64" spans="1:3" x14ac:dyDescent="0.35">
      <c r="A64" s="6">
        <v>63</v>
      </c>
      <c r="B64" s="6">
        <v>25855</v>
      </c>
      <c r="C64" t="s">
        <v>8</v>
      </c>
    </row>
    <row r="65" spans="1:3" x14ac:dyDescent="0.35">
      <c r="A65" s="6">
        <v>64</v>
      </c>
      <c r="B65" s="6">
        <v>21871</v>
      </c>
      <c r="C65" t="s">
        <v>6</v>
      </c>
    </row>
    <row r="66" spans="1:3" x14ac:dyDescent="0.35">
      <c r="A66" s="6">
        <v>65</v>
      </c>
      <c r="B66" s="6">
        <v>28223</v>
      </c>
      <c r="C66" t="s">
        <v>7</v>
      </c>
    </row>
    <row r="67" spans="1:3" x14ac:dyDescent="0.35">
      <c r="A67" s="6">
        <v>66</v>
      </c>
      <c r="B67" s="6">
        <v>30275</v>
      </c>
      <c r="C67" t="s">
        <v>5</v>
      </c>
    </row>
    <row r="68" spans="1:3" x14ac:dyDescent="0.35">
      <c r="A68" s="6">
        <v>67</v>
      </c>
      <c r="B68" s="6">
        <v>23703</v>
      </c>
      <c r="C68" t="s">
        <v>3</v>
      </c>
    </row>
    <row r="69" spans="1:3" x14ac:dyDescent="0.35">
      <c r="A69" s="6">
        <v>68</v>
      </c>
      <c r="B69" s="6">
        <v>23108</v>
      </c>
      <c r="C69" t="s">
        <v>3</v>
      </c>
    </row>
    <row r="70" spans="1:3" x14ac:dyDescent="0.35">
      <c r="A70" s="6">
        <v>69</v>
      </c>
      <c r="B70" s="6">
        <v>21790</v>
      </c>
      <c r="C70" t="s">
        <v>6</v>
      </c>
    </row>
    <row r="71" spans="1:3" x14ac:dyDescent="0.35">
      <c r="A71" s="6">
        <v>70</v>
      </c>
      <c r="B71" s="6">
        <v>28562</v>
      </c>
      <c r="C71" t="s">
        <v>7</v>
      </c>
    </row>
    <row r="72" spans="1:3" x14ac:dyDescent="0.35">
      <c r="A72" s="6">
        <v>71</v>
      </c>
      <c r="B72" s="6">
        <v>22031</v>
      </c>
      <c r="C72" t="s">
        <v>3</v>
      </c>
    </row>
    <row r="73" spans="1:3" x14ac:dyDescent="0.35">
      <c r="A73" s="6">
        <v>72</v>
      </c>
      <c r="B73" s="6">
        <v>28054</v>
      </c>
      <c r="C73" t="s">
        <v>7</v>
      </c>
    </row>
    <row r="74" spans="1:3" x14ac:dyDescent="0.35">
      <c r="A74" s="6">
        <v>73</v>
      </c>
      <c r="B74" s="6">
        <v>25843</v>
      </c>
      <c r="C74" t="s">
        <v>8</v>
      </c>
    </row>
    <row r="75" spans="1:3" x14ac:dyDescent="0.35">
      <c r="A75" s="6">
        <v>74</v>
      </c>
      <c r="B75" s="6">
        <v>23927</v>
      </c>
      <c r="C75" t="s">
        <v>3</v>
      </c>
    </row>
    <row r="76" spans="1:3" x14ac:dyDescent="0.35">
      <c r="A76" s="6">
        <v>75</v>
      </c>
      <c r="B76" s="6">
        <v>23336</v>
      </c>
      <c r="C76" t="s">
        <v>3</v>
      </c>
    </row>
    <row r="77" spans="1:3" x14ac:dyDescent="0.35">
      <c r="A77" s="6">
        <v>76</v>
      </c>
      <c r="B77" s="6">
        <v>30576</v>
      </c>
      <c r="C77" t="s">
        <v>5</v>
      </c>
    </row>
    <row r="78" spans="1:3" x14ac:dyDescent="0.35">
      <c r="A78" s="6">
        <v>77</v>
      </c>
      <c r="B78" s="6">
        <v>28758</v>
      </c>
      <c r="C78" t="s">
        <v>7</v>
      </c>
    </row>
    <row r="79" spans="1:3" x14ac:dyDescent="0.35">
      <c r="A79" s="6">
        <v>78</v>
      </c>
      <c r="B79" s="6">
        <v>30668</v>
      </c>
      <c r="C79" t="s">
        <v>5</v>
      </c>
    </row>
    <row r="80" spans="1:3" x14ac:dyDescent="0.35">
      <c r="A80" s="6">
        <v>79</v>
      </c>
      <c r="B80" s="6">
        <v>31753</v>
      </c>
      <c r="C80" t="s">
        <v>5</v>
      </c>
    </row>
    <row r="81" spans="1:3" x14ac:dyDescent="0.35">
      <c r="A81" s="6">
        <v>80</v>
      </c>
      <c r="B81" s="6">
        <v>27870</v>
      </c>
      <c r="C81" t="s">
        <v>7</v>
      </c>
    </row>
    <row r="82" spans="1:3" x14ac:dyDescent="0.35">
      <c r="A82" s="6">
        <v>81</v>
      </c>
      <c r="B82" s="6">
        <v>20736</v>
      </c>
      <c r="C82" t="s">
        <v>6</v>
      </c>
    </row>
    <row r="83" spans="1:3" x14ac:dyDescent="0.35">
      <c r="A83" s="6">
        <v>82</v>
      </c>
      <c r="B83" s="6">
        <v>24076</v>
      </c>
      <c r="C83" t="s">
        <v>3</v>
      </c>
    </row>
    <row r="84" spans="1:3" x14ac:dyDescent="0.35">
      <c r="A84" s="6">
        <v>83</v>
      </c>
      <c r="B84" s="6">
        <v>21230</v>
      </c>
      <c r="C84" t="s">
        <v>6</v>
      </c>
    </row>
    <row r="85" spans="1:3" x14ac:dyDescent="0.35">
      <c r="A85" s="6">
        <v>84</v>
      </c>
      <c r="B85" s="6">
        <v>22508</v>
      </c>
      <c r="C85" t="s">
        <v>3</v>
      </c>
    </row>
    <row r="86" spans="1:3" x14ac:dyDescent="0.35">
      <c r="A86" s="6">
        <v>85</v>
      </c>
      <c r="B86" s="6">
        <v>21866</v>
      </c>
      <c r="C86" t="s">
        <v>6</v>
      </c>
    </row>
    <row r="87" spans="1:3" x14ac:dyDescent="0.35">
      <c r="A87" s="6">
        <v>86</v>
      </c>
      <c r="B87" s="6">
        <v>30340</v>
      </c>
      <c r="C87" t="s">
        <v>5</v>
      </c>
    </row>
    <row r="88" spans="1:3" x14ac:dyDescent="0.35">
      <c r="A88" s="6">
        <v>87</v>
      </c>
      <c r="B88" s="6">
        <v>24822</v>
      </c>
      <c r="C88" t="s">
        <v>8</v>
      </c>
    </row>
    <row r="89" spans="1:3" x14ac:dyDescent="0.35">
      <c r="A89" s="6">
        <v>88</v>
      </c>
      <c r="B89" s="6">
        <v>20764</v>
      </c>
      <c r="C89" t="s">
        <v>6</v>
      </c>
    </row>
    <row r="90" spans="1:3" x14ac:dyDescent="0.35">
      <c r="A90" s="6">
        <v>89</v>
      </c>
      <c r="B90" s="6">
        <v>27525</v>
      </c>
      <c r="C90" t="s">
        <v>7</v>
      </c>
    </row>
    <row r="91" spans="1:3" x14ac:dyDescent="0.35">
      <c r="A91" s="6">
        <v>90</v>
      </c>
      <c r="B91" s="6">
        <v>25942</v>
      </c>
      <c r="C91" t="s">
        <v>8</v>
      </c>
    </row>
    <row r="92" spans="1:3" x14ac:dyDescent="0.35">
      <c r="A92" s="6">
        <v>91</v>
      </c>
      <c r="B92" s="6">
        <v>26716</v>
      </c>
      <c r="C92" t="s">
        <v>8</v>
      </c>
    </row>
    <row r="93" spans="1:3" x14ac:dyDescent="0.35">
      <c r="A93" s="6">
        <v>92</v>
      </c>
      <c r="B93" s="6">
        <v>22405</v>
      </c>
      <c r="C93" t="s">
        <v>3</v>
      </c>
    </row>
    <row r="94" spans="1:3" x14ac:dyDescent="0.35">
      <c r="A94" s="6">
        <v>93</v>
      </c>
      <c r="B94" s="6">
        <v>21866</v>
      </c>
      <c r="C94" t="s">
        <v>6</v>
      </c>
    </row>
    <row r="95" spans="1:3" x14ac:dyDescent="0.35">
      <c r="A95" s="6">
        <v>94</v>
      </c>
      <c r="B95" s="6">
        <v>31092</v>
      </c>
      <c r="C95" t="s">
        <v>5</v>
      </c>
    </row>
    <row r="96" spans="1:3" x14ac:dyDescent="0.35">
      <c r="A96" s="6">
        <v>95</v>
      </c>
      <c r="B96" s="6">
        <v>30521</v>
      </c>
      <c r="C96" t="s">
        <v>5</v>
      </c>
    </row>
    <row r="97" spans="1:3" x14ac:dyDescent="0.35">
      <c r="A97" s="6">
        <v>96</v>
      </c>
      <c r="B97" s="6">
        <v>31067</v>
      </c>
      <c r="C97" t="s">
        <v>5</v>
      </c>
    </row>
    <row r="98" spans="1:3" x14ac:dyDescent="0.35">
      <c r="A98" s="6">
        <v>97</v>
      </c>
      <c r="B98" s="6">
        <v>24604</v>
      </c>
      <c r="C98" t="s">
        <v>3</v>
      </c>
    </row>
    <row r="99" spans="1:3" x14ac:dyDescent="0.35">
      <c r="A99" s="6">
        <v>98</v>
      </c>
      <c r="B99" s="6">
        <v>24473</v>
      </c>
      <c r="C99" t="s">
        <v>3</v>
      </c>
    </row>
    <row r="100" spans="1:3" x14ac:dyDescent="0.35">
      <c r="A100" s="6">
        <v>99</v>
      </c>
      <c r="B100" s="6">
        <v>27009</v>
      </c>
      <c r="C100" t="s">
        <v>7</v>
      </c>
    </row>
    <row r="101" spans="1:3" x14ac:dyDescent="0.35">
      <c r="A101" s="6">
        <v>100</v>
      </c>
      <c r="B101" s="6">
        <v>20676</v>
      </c>
      <c r="C101" t="s">
        <v>6</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EC72C-68AD-4849-BF61-EB77F3058677}">
  <sheetPr codeName="Sheet5">
    <tabColor theme="6" tint="0.59999389629810485"/>
  </sheetPr>
  <dimension ref="A1:CW37"/>
  <sheetViews>
    <sheetView workbookViewId="0">
      <selection activeCell="D20" sqref="D20"/>
    </sheetView>
  </sheetViews>
  <sheetFormatPr defaultRowHeight="14.5" x14ac:dyDescent="0.35"/>
  <cols>
    <col min="1" max="1" width="13" customWidth="1"/>
    <col min="2" max="10" width="13.81640625" customWidth="1"/>
    <col min="11" max="100" width="14.81640625" customWidth="1"/>
    <col min="101" max="101" width="15.81640625" customWidth="1"/>
  </cols>
  <sheetData>
    <row r="1" spans="1:101" x14ac:dyDescent="0.35">
      <c r="A1" t="s">
        <v>9</v>
      </c>
      <c r="B1" t="s">
        <v>10</v>
      </c>
      <c r="C1" t="s">
        <v>11</v>
      </c>
      <c r="D1" t="s">
        <v>12</v>
      </c>
      <c r="E1" t="s">
        <v>13</v>
      </c>
      <c r="F1" t="s">
        <v>14</v>
      </c>
      <c r="G1" t="s">
        <v>15</v>
      </c>
      <c r="H1" t="s">
        <v>16</v>
      </c>
      <c r="I1" t="s">
        <v>17</v>
      </c>
      <c r="J1" t="s">
        <v>18</v>
      </c>
      <c r="K1" t="s">
        <v>19</v>
      </c>
      <c r="L1" t="s">
        <v>20</v>
      </c>
      <c r="M1" t="s">
        <v>21</v>
      </c>
      <c r="N1" t="s">
        <v>22</v>
      </c>
      <c r="O1" t="s">
        <v>23</v>
      </c>
      <c r="P1" t="s">
        <v>24</v>
      </c>
      <c r="Q1" t="s">
        <v>25</v>
      </c>
      <c r="R1" t="s">
        <v>26</v>
      </c>
      <c r="S1" t="s">
        <v>27</v>
      </c>
      <c r="T1" t="s">
        <v>28</v>
      </c>
      <c r="U1" t="s">
        <v>29</v>
      </c>
      <c r="V1" t="s">
        <v>30</v>
      </c>
      <c r="W1" t="s">
        <v>31</v>
      </c>
      <c r="X1" t="s">
        <v>32</v>
      </c>
      <c r="Y1" t="s">
        <v>33</v>
      </c>
      <c r="Z1" t="s">
        <v>34</v>
      </c>
      <c r="AA1" t="s">
        <v>35</v>
      </c>
      <c r="AB1" t="s">
        <v>36</v>
      </c>
      <c r="AC1" t="s">
        <v>37</v>
      </c>
      <c r="AD1" t="s">
        <v>38</v>
      </c>
      <c r="AE1" t="s">
        <v>39</v>
      </c>
      <c r="AF1" t="s">
        <v>40</v>
      </c>
      <c r="AG1" t="s">
        <v>41</v>
      </c>
      <c r="AH1" t="s">
        <v>42</v>
      </c>
      <c r="AI1" t="s">
        <v>43</v>
      </c>
      <c r="AJ1" t="s">
        <v>44</v>
      </c>
      <c r="AK1" t="s">
        <v>45</v>
      </c>
      <c r="AL1" t="s">
        <v>46</v>
      </c>
      <c r="AM1" t="s">
        <v>47</v>
      </c>
      <c r="AN1" t="s">
        <v>48</v>
      </c>
      <c r="AO1" t="s">
        <v>49</v>
      </c>
      <c r="AP1" t="s">
        <v>50</v>
      </c>
      <c r="AQ1" t="s">
        <v>51</v>
      </c>
      <c r="AR1" t="s">
        <v>52</v>
      </c>
      <c r="AS1" t="s">
        <v>53</v>
      </c>
      <c r="AT1" t="s">
        <v>54</v>
      </c>
      <c r="AU1" t="s">
        <v>55</v>
      </c>
      <c r="AV1" t="s">
        <v>56</v>
      </c>
      <c r="AW1" t="s">
        <v>57</v>
      </c>
      <c r="AX1" t="s">
        <v>58</v>
      </c>
      <c r="AY1" t="s">
        <v>59</v>
      </c>
      <c r="AZ1" t="s">
        <v>60</v>
      </c>
      <c r="BA1" t="s">
        <v>61</v>
      </c>
      <c r="BB1" t="s">
        <v>62</v>
      </c>
      <c r="BC1" t="s">
        <v>63</v>
      </c>
      <c r="BD1" t="s">
        <v>64</v>
      </c>
      <c r="BE1" t="s">
        <v>65</v>
      </c>
      <c r="BF1" t="s">
        <v>66</v>
      </c>
      <c r="BG1" t="s">
        <v>67</v>
      </c>
      <c r="BH1" t="s">
        <v>68</v>
      </c>
      <c r="BI1" t="s">
        <v>69</v>
      </c>
      <c r="BJ1" t="s">
        <v>70</v>
      </c>
      <c r="BK1" t="s">
        <v>71</v>
      </c>
      <c r="BL1" t="s">
        <v>72</v>
      </c>
      <c r="BM1" t="s">
        <v>73</v>
      </c>
      <c r="BN1" t="s">
        <v>74</v>
      </c>
      <c r="BO1" t="s">
        <v>75</v>
      </c>
      <c r="BP1" t="s">
        <v>76</v>
      </c>
      <c r="BQ1" t="s">
        <v>77</v>
      </c>
      <c r="BR1" t="s">
        <v>78</v>
      </c>
      <c r="BS1" t="s">
        <v>79</v>
      </c>
      <c r="BT1" t="s">
        <v>80</v>
      </c>
      <c r="BU1" t="s">
        <v>81</v>
      </c>
      <c r="BV1" t="s">
        <v>82</v>
      </c>
      <c r="BW1" t="s">
        <v>83</v>
      </c>
      <c r="BX1" t="s">
        <v>84</v>
      </c>
      <c r="BY1" t="s">
        <v>85</v>
      </c>
      <c r="BZ1" t="s">
        <v>86</v>
      </c>
      <c r="CA1" t="s">
        <v>87</v>
      </c>
      <c r="CB1" t="s">
        <v>88</v>
      </c>
      <c r="CC1" t="s">
        <v>89</v>
      </c>
      <c r="CD1" t="s">
        <v>90</v>
      </c>
      <c r="CE1" t="s">
        <v>91</v>
      </c>
      <c r="CF1" t="s">
        <v>92</v>
      </c>
      <c r="CG1" t="s">
        <v>93</v>
      </c>
      <c r="CH1" t="s">
        <v>94</v>
      </c>
      <c r="CI1" t="s">
        <v>95</v>
      </c>
      <c r="CJ1" t="s">
        <v>96</v>
      </c>
      <c r="CK1" t="s">
        <v>97</v>
      </c>
      <c r="CL1" t="s">
        <v>98</v>
      </c>
      <c r="CM1" t="s">
        <v>99</v>
      </c>
      <c r="CN1" t="s">
        <v>100</v>
      </c>
      <c r="CO1" t="s">
        <v>101</v>
      </c>
      <c r="CP1" t="s">
        <v>102</v>
      </c>
      <c r="CQ1" t="s">
        <v>103</v>
      </c>
      <c r="CR1" t="s">
        <v>104</v>
      </c>
      <c r="CS1" t="s">
        <v>105</v>
      </c>
      <c r="CT1" t="s">
        <v>106</v>
      </c>
      <c r="CU1" t="s">
        <v>107</v>
      </c>
      <c r="CV1" t="s">
        <v>108</v>
      </c>
      <c r="CW1" t="s">
        <v>109</v>
      </c>
    </row>
    <row r="2" spans="1:101" x14ac:dyDescent="0.35">
      <c r="A2">
        <v>202201</v>
      </c>
      <c r="B2" s="2">
        <v>0.72128611065770443</v>
      </c>
      <c r="C2" s="2">
        <v>0.70708444310327012</v>
      </c>
      <c r="D2" s="2">
        <v>0.68312715881924546</v>
      </c>
      <c r="E2" s="2">
        <v>0.61097691317523317</v>
      </c>
      <c r="F2" s="2">
        <v>0.69278296444857224</v>
      </c>
      <c r="G2" s="2">
        <v>0.72449255175586524</v>
      </c>
      <c r="H2" s="2">
        <v>0.68822752899756279</v>
      </c>
      <c r="I2" s="2">
        <v>0.67687395239527637</v>
      </c>
      <c r="J2" s="2">
        <v>0.69643679969685091</v>
      </c>
      <c r="K2" s="2">
        <v>0.72933884524436354</v>
      </c>
      <c r="L2" s="2">
        <v>0.73128634265981729</v>
      </c>
      <c r="M2" s="2">
        <v>0.72600414197894758</v>
      </c>
      <c r="N2" s="2">
        <v>0.62748018797880156</v>
      </c>
      <c r="O2" s="2">
        <v>0.72457759019471846</v>
      </c>
      <c r="P2" s="2">
        <v>0.69999789573445181</v>
      </c>
      <c r="Q2" s="2">
        <v>0.73095870099954774</v>
      </c>
      <c r="R2" s="2">
        <v>0.69726520541060055</v>
      </c>
      <c r="S2" s="2">
        <v>0.72690038313140437</v>
      </c>
      <c r="T2" s="2">
        <v>0.71590312769238718</v>
      </c>
      <c r="U2" s="2">
        <v>0.67360000455064972</v>
      </c>
      <c r="V2" s="2">
        <v>0.68534537482736602</v>
      </c>
      <c r="W2" s="2">
        <v>0.69610183959077776</v>
      </c>
      <c r="X2" s="2">
        <v>0.73601432850787385</v>
      </c>
      <c r="Y2" s="2">
        <v>0.67575086250298277</v>
      </c>
      <c r="Z2" s="2">
        <v>0.7123860881796148</v>
      </c>
      <c r="AA2" s="2">
        <v>0.67154187615461935</v>
      </c>
      <c r="AB2" s="2">
        <v>0.69720490773384602</v>
      </c>
      <c r="AC2" s="2">
        <v>0.71989626957545982</v>
      </c>
      <c r="AD2" s="2">
        <v>0.65950437572299014</v>
      </c>
      <c r="AE2" s="2">
        <v>0.65958126194326372</v>
      </c>
      <c r="AF2" s="2">
        <v>0.68594550520112774</v>
      </c>
      <c r="AG2" s="2">
        <v>0.71281013877372068</v>
      </c>
      <c r="AH2" s="2">
        <v>0.7203708889505005</v>
      </c>
      <c r="AI2" s="2">
        <v>0.70088984094159112</v>
      </c>
      <c r="AJ2" s="2">
        <v>0.65184911942446877</v>
      </c>
      <c r="AK2" s="2">
        <v>0.65077106258461803</v>
      </c>
      <c r="AL2" s="2">
        <v>0.73747279492950391</v>
      </c>
      <c r="AM2" s="2">
        <v>0.65134095366413192</v>
      </c>
      <c r="AN2" s="2">
        <v>0.69855382854393477</v>
      </c>
      <c r="AO2" s="2">
        <v>0.65315014307694852</v>
      </c>
      <c r="AP2" s="2">
        <v>0.63744148531259537</v>
      </c>
      <c r="AQ2" s="2">
        <v>0.69626903184992361</v>
      </c>
      <c r="AR2" s="2">
        <v>0.679706067812336</v>
      </c>
      <c r="AS2" s="2">
        <v>0.67294639013554391</v>
      </c>
      <c r="AT2" s="2">
        <v>0.68545122227019561</v>
      </c>
      <c r="AU2" s="2">
        <v>0.65788039828129707</v>
      </c>
      <c r="AV2" s="2">
        <v>0.65373118169810396</v>
      </c>
      <c r="AW2" s="2">
        <v>0.68867614658190424</v>
      </c>
      <c r="AX2" s="2">
        <v>0.69968360530322637</v>
      </c>
      <c r="AY2" s="2">
        <v>0.66964137257764733</v>
      </c>
      <c r="AZ2" s="2">
        <v>0.67994309795613428</v>
      </c>
      <c r="BA2" s="2">
        <v>0.74927128651948105</v>
      </c>
      <c r="BB2" s="2">
        <v>0.70761314307017775</v>
      </c>
      <c r="BC2" s="2">
        <v>0.71709229300981636</v>
      </c>
      <c r="BD2" s="2">
        <v>0.73397640151750776</v>
      </c>
      <c r="BE2" s="2">
        <v>0.67368748433938963</v>
      </c>
      <c r="BF2" s="2">
        <v>0.68854686529714615</v>
      </c>
      <c r="BG2" s="2">
        <v>0.6868091254765667</v>
      </c>
      <c r="BH2" s="2">
        <v>0.70469418273441875</v>
      </c>
      <c r="BI2" s="2">
        <v>0.73646964741970256</v>
      </c>
      <c r="BJ2" s="2">
        <v>0.67282467155915582</v>
      </c>
      <c r="BK2" s="2">
        <v>0.7052410110423466</v>
      </c>
      <c r="BL2" s="2">
        <v>0.71018126520652025</v>
      </c>
      <c r="BM2" s="2">
        <v>0.71117972793721795</v>
      </c>
      <c r="BN2" s="2">
        <v>0.68379481592548186</v>
      </c>
      <c r="BO2" s="2">
        <v>0.68647708027518972</v>
      </c>
      <c r="BP2" s="2">
        <v>0.68341806158499507</v>
      </c>
      <c r="BQ2" s="2">
        <v>0.74298175741086858</v>
      </c>
      <c r="BR2" s="2">
        <v>0.7248650806510234</v>
      </c>
      <c r="BS2" s="2">
        <v>0.76031024435126304</v>
      </c>
      <c r="BT2" s="2">
        <v>0.69666026710123086</v>
      </c>
      <c r="BU2" s="2">
        <v>0.72532612638492289</v>
      </c>
      <c r="BV2" s="2">
        <v>0.70654547125233003</v>
      </c>
      <c r="BW2" s="2">
        <v>0.71521073988083872</v>
      </c>
      <c r="BX2" s="2">
        <v>0.71880856971393559</v>
      </c>
      <c r="BY2" s="2">
        <v>0.63342257104645183</v>
      </c>
      <c r="BZ2" s="2">
        <v>0.68588005757554593</v>
      </c>
      <c r="CA2" s="2">
        <v>0.62330244273311486</v>
      </c>
      <c r="CB2" s="2">
        <v>0.62984935305372847</v>
      </c>
      <c r="CC2" s="2">
        <v>0.64929960384053487</v>
      </c>
      <c r="CD2" s="2">
        <v>0.70734051152893918</v>
      </c>
      <c r="CE2" s="2">
        <v>0.64551325155170391</v>
      </c>
      <c r="CF2" s="2">
        <v>0.68290516726667017</v>
      </c>
      <c r="CG2" s="2">
        <v>0.71745183098789023</v>
      </c>
      <c r="CH2" s="2">
        <v>0.65749051039582707</v>
      </c>
      <c r="CI2" s="2">
        <v>0.6367536664144382</v>
      </c>
      <c r="CJ2" s="2">
        <v>0.71673918562539041</v>
      </c>
      <c r="CK2" s="2">
        <v>0.70618843075678428</v>
      </c>
      <c r="CL2" s="2">
        <v>0.71713159869684917</v>
      </c>
      <c r="CM2" s="2">
        <v>0.73988197915440435</v>
      </c>
      <c r="CN2" s="2">
        <v>0.71814639508207645</v>
      </c>
      <c r="CO2" s="2">
        <v>0.74464389315821189</v>
      </c>
      <c r="CP2" s="2">
        <v>0.67664289301818714</v>
      </c>
      <c r="CQ2" s="2">
        <v>0.65761473470906995</v>
      </c>
      <c r="CR2" s="2">
        <v>0.61136166244690626</v>
      </c>
      <c r="CS2" s="2">
        <v>0.68268560580505278</v>
      </c>
      <c r="CT2" s="2">
        <v>0.71593659270295795</v>
      </c>
      <c r="CU2" s="2">
        <v>0.69943523417966635</v>
      </c>
      <c r="CV2" s="2">
        <v>0.70474160392840846</v>
      </c>
      <c r="CW2" s="2">
        <v>0.69624799554605554</v>
      </c>
    </row>
    <row r="3" spans="1:101" x14ac:dyDescent="0.35">
      <c r="A3">
        <v>202202</v>
      </c>
      <c r="B3" s="2">
        <v>0.73254690507710862</v>
      </c>
      <c r="C3" s="2">
        <v>0.69612618423716333</v>
      </c>
      <c r="D3" s="2">
        <v>0.67708102986513785</v>
      </c>
      <c r="E3" s="2">
        <v>0.63528364071160381</v>
      </c>
      <c r="F3" s="2">
        <v>0.70299403754234824</v>
      </c>
      <c r="G3" s="2">
        <v>0.71479793876299325</v>
      </c>
      <c r="H3" s="2">
        <v>0.68232565144977964</v>
      </c>
      <c r="I3" s="2">
        <v>0.68483053260039772</v>
      </c>
      <c r="J3" s="2">
        <v>0.6954908345256906</v>
      </c>
      <c r="K3" s="2">
        <v>0.69634329225862168</v>
      </c>
      <c r="L3" s="2">
        <v>0.73748109661485461</v>
      </c>
      <c r="M3" s="2">
        <v>0.73388375281230855</v>
      </c>
      <c r="N3" s="2">
        <v>0.63136951622081772</v>
      </c>
      <c r="O3" s="2">
        <v>0.73602529637430014</v>
      </c>
      <c r="P3" s="2">
        <v>0.70607741015771996</v>
      </c>
      <c r="Q3" s="2">
        <v>0.73014785762742562</v>
      </c>
      <c r="R3" s="2">
        <v>0.70663094928373149</v>
      </c>
      <c r="S3" s="2">
        <v>0.74477772617825067</v>
      </c>
      <c r="T3" s="2">
        <v>0.74122417137710794</v>
      </c>
      <c r="U3" s="2">
        <v>0.70273752146985624</v>
      </c>
      <c r="V3" s="2">
        <v>0.70944978139623482</v>
      </c>
      <c r="W3" s="2">
        <v>0.70621465671602646</v>
      </c>
      <c r="X3" s="2">
        <v>0.73070628470665266</v>
      </c>
      <c r="Y3" s="2">
        <v>0.66805304208314098</v>
      </c>
      <c r="Z3" s="2">
        <v>0.71812168182055791</v>
      </c>
      <c r="AA3" s="2">
        <v>0.66368298454455388</v>
      </c>
      <c r="AB3" s="2">
        <v>0.70451929090104348</v>
      </c>
      <c r="AC3" s="2">
        <v>0.70315496861494542</v>
      </c>
      <c r="AD3" s="2">
        <v>0.68376157197617049</v>
      </c>
      <c r="AE3" s="2">
        <v>0.68083167454208726</v>
      </c>
      <c r="AF3" s="2">
        <v>0.67857925047881351</v>
      </c>
      <c r="AG3" s="2">
        <v>0.7086090235041298</v>
      </c>
      <c r="AH3" s="2">
        <v>0.74015560946660697</v>
      </c>
      <c r="AI3" s="2">
        <v>0.70862590231484168</v>
      </c>
      <c r="AJ3" s="2">
        <v>0.68455418969777271</v>
      </c>
      <c r="AK3" s="2">
        <v>0.6901837412622801</v>
      </c>
      <c r="AL3" s="2">
        <v>0.72252427182146706</v>
      </c>
      <c r="AM3" s="2">
        <v>0.68731554545648832</v>
      </c>
      <c r="AN3" s="2">
        <v>0.68462754129916659</v>
      </c>
      <c r="AO3" s="2">
        <v>0.70924581443195867</v>
      </c>
      <c r="AP3" s="2">
        <v>0.67679895842524584</v>
      </c>
      <c r="AQ3" s="2">
        <v>0.71086201055782217</v>
      </c>
      <c r="AR3" s="2">
        <v>0.67665824476310976</v>
      </c>
      <c r="AS3" s="2">
        <v>0.67849213479287773</v>
      </c>
      <c r="AT3" s="2">
        <v>0.67258866059177769</v>
      </c>
      <c r="AU3" s="2">
        <v>0.68121026363031656</v>
      </c>
      <c r="AV3" s="2">
        <v>0.69440679132287186</v>
      </c>
      <c r="AW3" s="2">
        <v>0.6800209180901795</v>
      </c>
      <c r="AX3" s="2">
        <v>0.70135165586797432</v>
      </c>
      <c r="AY3" s="2">
        <v>0.6779799110921475</v>
      </c>
      <c r="AZ3" s="2">
        <v>0.68683924393711138</v>
      </c>
      <c r="BA3" s="2">
        <v>0.72144089754553187</v>
      </c>
      <c r="BB3" s="2">
        <v>0.71221666477462497</v>
      </c>
      <c r="BC3" s="2">
        <v>0.74040028621534604</v>
      </c>
      <c r="BD3" s="2">
        <v>0.72408997887397308</v>
      </c>
      <c r="BE3" s="2">
        <v>0.65644233770782767</v>
      </c>
      <c r="BF3" s="2">
        <v>0.69724215509098508</v>
      </c>
      <c r="BG3" s="2">
        <v>0.72920093870227287</v>
      </c>
      <c r="BH3" s="2">
        <v>0.70685442132070941</v>
      </c>
      <c r="BI3" s="2">
        <v>0.72987461439307222</v>
      </c>
      <c r="BJ3" s="2">
        <v>0.69252736169359086</v>
      </c>
      <c r="BK3" s="2">
        <v>0.71420841954846648</v>
      </c>
      <c r="BL3" s="2">
        <v>0.719794264363249</v>
      </c>
      <c r="BM3" s="2">
        <v>0.71843670210782218</v>
      </c>
      <c r="BN3" s="2">
        <v>0.65917001850910673</v>
      </c>
      <c r="BO3" s="2">
        <v>0.69344546679117103</v>
      </c>
      <c r="BP3" s="2">
        <v>0.67794404601418812</v>
      </c>
      <c r="BQ3" s="2">
        <v>0.71876533196838888</v>
      </c>
      <c r="BR3" s="2">
        <v>0.71817751915846906</v>
      </c>
      <c r="BS3" s="2">
        <v>0.75930388452981501</v>
      </c>
      <c r="BT3" s="2">
        <v>0.70609348139988881</v>
      </c>
      <c r="BU3" s="2">
        <v>0.73093971732837359</v>
      </c>
      <c r="BV3" s="2">
        <v>0.69056574700502404</v>
      </c>
      <c r="BW3" s="2">
        <v>0.75106954716669527</v>
      </c>
      <c r="BX3" s="2">
        <v>0.75181947948133954</v>
      </c>
      <c r="BY3" s="2">
        <v>0.62758879365788478</v>
      </c>
      <c r="BZ3" s="2">
        <v>0.6843980933916074</v>
      </c>
      <c r="CA3" s="2">
        <v>0.64380355545271839</v>
      </c>
      <c r="CB3" s="2">
        <v>0.65982487026484538</v>
      </c>
      <c r="CC3" s="2">
        <v>0.68520954958871028</v>
      </c>
      <c r="CD3" s="2">
        <v>0.7356864846359763</v>
      </c>
      <c r="CE3" s="2">
        <v>0.68381474602421366</v>
      </c>
      <c r="CF3" s="2">
        <v>0.69334045630989483</v>
      </c>
      <c r="CG3" s="2">
        <v>0.75477344332745888</v>
      </c>
      <c r="CH3" s="2">
        <v>0.73328423480625859</v>
      </c>
      <c r="CI3" s="2">
        <v>0.64497375389906775</v>
      </c>
      <c r="CJ3" s="2">
        <v>0.74128421090550423</v>
      </c>
      <c r="CK3" s="2">
        <v>0.70692003392216862</v>
      </c>
      <c r="CL3" s="2">
        <v>0.70851971195439145</v>
      </c>
      <c r="CM3" s="2">
        <v>0.71984491018176311</v>
      </c>
      <c r="CN3" s="2">
        <v>0.73162691009845604</v>
      </c>
      <c r="CO3" s="2">
        <v>0.76608373701570343</v>
      </c>
      <c r="CP3" s="2">
        <v>0.69218124737885378</v>
      </c>
      <c r="CQ3" s="2">
        <v>0.66949302690819357</v>
      </c>
      <c r="CR3" s="2">
        <v>0.63953741301050337</v>
      </c>
      <c r="CS3" s="2">
        <v>0.7049842268753197</v>
      </c>
      <c r="CT3" s="2">
        <v>0.71741888893619676</v>
      </c>
      <c r="CU3" s="2">
        <v>0.69951907683487502</v>
      </c>
      <c r="CV3" s="2">
        <v>0.66969885938340945</v>
      </c>
      <c r="CW3" s="2">
        <v>0.72141840457413242</v>
      </c>
    </row>
    <row r="4" spans="1:101" x14ac:dyDescent="0.35">
      <c r="A4">
        <v>202203</v>
      </c>
      <c r="B4" s="2">
        <v>0.74708596827226759</v>
      </c>
      <c r="C4" s="2">
        <v>0.727275197622687</v>
      </c>
      <c r="D4" s="2">
        <v>0.68476477147166592</v>
      </c>
      <c r="E4" s="2">
        <v>0.64702879288856896</v>
      </c>
      <c r="F4" s="2">
        <v>0.7015066430205148</v>
      </c>
      <c r="G4" s="2">
        <v>0.72108545043637418</v>
      </c>
      <c r="H4" s="2">
        <v>0.70581702549818737</v>
      </c>
      <c r="I4" s="2">
        <v>0.68097579467359481</v>
      </c>
      <c r="J4" s="2">
        <v>0.70756469935958155</v>
      </c>
      <c r="K4" s="2">
        <v>0.73885608890904408</v>
      </c>
      <c r="L4" s="2">
        <v>0.73373048066032343</v>
      </c>
      <c r="M4" s="2">
        <v>0.74183799942605932</v>
      </c>
      <c r="N4" s="2">
        <v>0.62728471908202965</v>
      </c>
      <c r="O4" s="2">
        <v>0.72384125563304647</v>
      </c>
      <c r="P4" s="2">
        <v>0.70342557226419544</v>
      </c>
      <c r="Q4" s="2">
        <v>0.72410458366746433</v>
      </c>
      <c r="R4" s="2">
        <v>0.69716588597193407</v>
      </c>
      <c r="S4" s="2">
        <v>0.74377213837475753</v>
      </c>
      <c r="T4" s="2">
        <v>0.70588041969543791</v>
      </c>
      <c r="U4" s="2">
        <v>0.69889062844213756</v>
      </c>
      <c r="V4" s="2">
        <v>0.7031723639567401</v>
      </c>
      <c r="W4" s="2">
        <v>0.66809457838446662</v>
      </c>
      <c r="X4" s="2">
        <v>0.7253644063894954</v>
      </c>
      <c r="Y4" s="2">
        <v>0.68302929568844517</v>
      </c>
      <c r="Z4" s="2">
        <v>0.7075407762062832</v>
      </c>
      <c r="AA4" s="2">
        <v>0.66438209629958966</v>
      </c>
      <c r="AB4" s="2">
        <v>0.71693953520419085</v>
      </c>
      <c r="AC4" s="2">
        <v>0.72865851510724811</v>
      </c>
      <c r="AD4" s="2">
        <v>0.70039395580543007</v>
      </c>
      <c r="AE4" s="2">
        <v>0.6655514155218808</v>
      </c>
      <c r="AF4" s="2">
        <v>0.6894590140921617</v>
      </c>
      <c r="AG4" s="2">
        <v>0.72635994566253514</v>
      </c>
      <c r="AH4" s="2">
        <v>0.73480683604056363</v>
      </c>
      <c r="AI4" s="2">
        <v>0.7198325501111319</v>
      </c>
      <c r="AJ4" s="2">
        <v>0.65276255639768566</v>
      </c>
      <c r="AK4" s="2">
        <v>0.69116997851962403</v>
      </c>
      <c r="AL4" s="2">
        <v>0.73925233516551803</v>
      </c>
      <c r="AM4" s="2">
        <v>0.67118491632253352</v>
      </c>
      <c r="AN4" s="2">
        <v>0.67009883535291703</v>
      </c>
      <c r="AO4" s="2">
        <v>0.72136372753185085</v>
      </c>
      <c r="AP4" s="2">
        <v>0.66565237714079095</v>
      </c>
      <c r="AQ4" s="2">
        <v>0.71789203043397587</v>
      </c>
      <c r="AR4" s="2">
        <v>0.69547605561155901</v>
      </c>
      <c r="AS4" s="2">
        <v>0.68934663203470115</v>
      </c>
      <c r="AT4" s="2">
        <v>0.69016304823571339</v>
      </c>
      <c r="AU4" s="2">
        <v>0.66021058180215275</v>
      </c>
      <c r="AV4" s="2">
        <v>0.69033376192549201</v>
      </c>
      <c r="AW4" s="2">
        <v>0.68673262222954412</v>
      </c>
      <c r="AX4" s="2">
        <v>0.72972007494765612</v>
      </c>
      <c r="AY4" s="2">
        <v>0.69469161278560909</v>
      </c>
      <c r="AZ4" s="2">
        <v>0.6795094180696355</v>
      </c>
      <c r="BA4" s="2">
        <v>0.76240574640296921</v>
      </c>
      <c r="BB4" s="2">
        <v>0.71110237117502728</v>
      </c>
      <c r="BC4" s="2">
        <v>0.7559939010758413</v>
      </c>
      <c r="BD4" s="2">
        <v>0.72007189129807991</v>
      </c>
      <c r="BE4" s="2">
        <v>0.69276572397413738</v>
      </c>
      <c r="BF4" s="2">
        <v>0.68529072291742743</v>
      </c>
      <c r="BG4" s="2">
        <v>0.73197765036413664</v>
      </c>
      <c r="BH4" s="2">
        <v>0.70926017936641395</v>
      </c>
      <c r="BI4" s="2">
        <v>0.72943731791544753</v>
      </c>
      <c r="BJ4" s="2">
        <v>0.64755705598258151</v>
      </c>
      <c r="BK4" s="2">
        <v>0.74762651162154981</v>
      </c>
      <c r="BL4" s="2">
        <v>0.72048675026566888</v>
      </c>
      <c r="BM4" s="2">
        <v>0.70676535849014399</v>
      </c>
      <c r="BN4" s="2">
        <v>0.67924035467881871</v>
      </c>
      <c r="BO4" s="2">
        <v>0.66587035414854456</v>
      </c>
      <c r="BP4" s="2">
        <v>0.73480484697954951</v>
      </c>
      <c r="BQ4" s="2">
        <v>0.74190868378182417</v>
      </c>
      <c r="BR4" s="2">
        <v>0.74517820328392392</v>
      </c>
      <c r="BS4" s="2">
        <v>0.72756268864214046</v>
      </c>
      <c r="BT4" s="2">
        <v>0.72761422095923933</v>
      </c>
      <c r="BU4" s="2">
        <v>0.76015423393829484</v>
      </c>
      <c r="BV4" s="2">
        <v>0.71049259248149721</v>
      </c>
      <c r="BW4" s="2">
        <v>0.71123533250461024</v>
      </c>
      <c r="BX4" s="2">
        <v>0.74380132050302117</v>
      </c>
      <c r="BY4" s="2">
        <v>0.64905161622969876</v>
      </c>
      <c r="BZ4" s="2">
        <v>0.69402508900302473</v>
      </c>
      <c r="CA4" s="2">
        <v>0.64305213331026312</v>
      </c>
      <c r="CB4" s="2">
        <v>0.63400927013401531</v>
      </c>
      <c r="CC4" s="2">
        <v>0.68572217854680317</v>
      </c>
      <c r="CD4" s="2">
        <v>0.74564825712685567</v>
      </c>
      <c r="CE4" s="2">
        <v>0.68573047060090486</v>
      </c>
      <c r="CF4" s="2">
        <v>0.70880350118602031</v>
      </c>
      <c r="CG4" s="2">
        <v>0.75093473347584572</v>
      </c>
      <c r="CH4" s="2">
        <v>0.680323240998851</v>
      </c>
      <c r="CI4" s="2">
        <v>0.65392520156477196</v>
      </c>
      <c r="CJ4" s="2">
        <v>0.7250289684396527</v>
      </c>
      <c r="CK4" s="2">
        <v>0.71143197481698239</v>
      </c>
      <c r="CL4" s="2">
        <v>0.68820560965209321</v>
      </c>
      <c r="CM4" s="2">
        <v>0.73529712458346241</v>
      </c>
      <c r="CN4" s="2">
        <v>0.73994690130503538</v>
      </c>
      <c r="CO4" s="2">
        <v>0.71507128975888534</v>
      </c>
      <c r="CP4" s="2">
        <v>0.68118198254757933</v>
      </c>
      <c r="CQ4" s="2">
        <v>0.68604722862716561</v>
      </c>
      <c r="CR4" s="2">
        <v>0.61374285725970212</v>
      </c>
      <c r="CS4" s="2">
        <v>0.68212602167956771</v>
      </c>
      <c r="CT4" s="2">
        <v>0.73426067337809919</v>
      </c>
      <c r="CU4" s="2">
        <v>0.70115025484179727</v>
      </c>
      <c r="CV4" s="2">
        <v>0.70895252280007981</v>
      </c>
      <c r="CW4" s="2">
        <v>0.71484924305567266</v>
      </c>
    </row>
    <row r="5" spans="1:101" x14ac:dyDescent="0.35">
      <c r="A5">
        <v>202204</v>
      </c>
      <c r="B5" s="2">
        <v>0.71941580467845789</v>
      </c>
      <c r="C5" s="2">
        <v>0.73703264555631498</v>
      </c>
      <c r="D5" s="2">
        <v>0.67717818048490286</v>
      </c>
      <c r="E5" s="2">
        <v>0.65339916858743219</v>
      </c>
      <c r="F5" s="2">
        <v>0.71266580474608288</v>
      </c>
      <c r="G5" s="2">
        <v>0.72193947595261598</v>
      </c>
      <c r="H5" s="2">
        <v>0.70795050357089695</v>
      </c>
      <c r="I5" s="2">
        <v>0.6842279925503304</v>
      </c>
      <c r="J5" s="2">
        <v>0.71576436336502947</v>
      </c>
      <c r="K5" s="2">
        <v>0.7353689427335246</v>
      </c>
      <c r="L5" s="2">
        <v>0.74020972336737079</v>
      </c>
      <c r="M5" s="2">
        <v>0.69415549185698644</v>
      </c>
      <c r="N5" s="2">
        <v>0.62434187794203777</v>
      </c>
      <c r="O5" s="2">
        <v>0.70994456088281788</v>
      </c>
      <c r="P5" s="2">
        <v>0.71066976898983747</v>
      </c>
      <c r="Q5" s="2">
        <v>0.73616291133736578</v>
      </c>
      <c r="R5" s="2">
        <v>0.70956587675069938</v>
      </c>
      <c r="S5" s="2">
        <v>0.7525375511620882</v>
      </c>
      <c r="T5" s="2">
        <v>0.73394209276001221</v>
      </c>
      <c r="U5" s="2">
        <v>0.68651489605957083</v>
      </c>
      <c r="V5" s="2">
        <v>0.69023393573527514</v>
      </c>
      <c r="W5" s="2">
        <v>0.68462519574999703</v>
      </c>
      <c r="X5" s="2">
        <v>0.7599575290017242</v>
      </c>
      <c r="Y5" s="2">
        <v>0.6991539427085971</v>
      </c>
      <c r="Z5" s="2">
        <v>0.73189412931459974</v>
      </c>
      <c r="AA5" s="2">
        <v>0.65193985012484745</v>
      </c>
      <c r="AB5" s="2">
        <v>0.7161611603589505</v>
      </c>
      <c r="AC5" s="2">
        <v>0.71077218715325341</v>
      </c>
      <c r="AD5" s="2">
        <v>0.67649311612515572</v>
      </c>
      <c r="AE5" s="2">
        <v>0.65887807747985072</v>
      </c>
      <c r="AF5" s="2">
        <v>0.65938374885403772</v>
      </c>
      <c r="AG5" s="2">
        <v>0.74479474390359324</v>
      </c>
      <c r="AH5" s="2">
        <v>0.69540271205638537</v>
      </c>
      <c r="AI5" s="2">
        <v>0.72465736024885041</v>
      </c>
      <c r="AJ5" s="2">
        <v>0.6708673465728785</v>
      </c>
      <c r="AK5" s="2">
        <v>0.6854610662329137</v>
      </c>
      <c r="AL5" s="2">
        <v>0.72286587533967128</v>
      </c>
      <c r="AM5" s="2">
        <v>0.64861507750871172</v>
      </c>
      <c r="AN5" s="2">
        <v>0.66959585761459617</v>
      </c>
      <c r="AO5" s="2">
        <v>0.6954045104316221</v>
      </c>
      <c r="AP5" s="2">
        <v>0.68682014705138672</v>
      </c>
      <c r="AQ5" s="2">
        <v>0.71352489639933769</v>
      </c>
      <c r="AR5" s="2">
        <v>0.69229370199701368</v>
      </c>
      <c r="AS5" s="2">
        <v>0.68830189996983338</v>
      </c>
      <c r="AT5" s="2">
        <v>0.69639347432423127</v>
      </c>
      <c r="AU5" s="2">
        <v>0.67381485276488517</v>
      </c>
      <c r="AV5" s="2">
        <v>0.66050410627586709</v>
      </c>
      <c r="AW5" s="2">
        <v>0.67048794296121395</v>
      </c>
      <c r="AX5" s="2">
        <v>0.72367836933902763</v>
      </c>
      <c r="AY5" s="2">
        <v>0.68012387550055586</v>
      </c>
      <c r="AZ5" s="2">
        <v>0.68772573230630885</v>
      </c>
      <c r="BA5" s="2">
        <v>0.73703950731774026</v>
      </c>
      <c r="BB5" s="2">
        <v>0.70487005203820385</v>
      </c>
      <c r="BC5" s="2">
        <v>0.76597684549850908</v>
      </c>
      <c r="BD5" s="2">
        <v>0.72670597599778675</v>
      </c>
      <c r="BE5" s="2">
        <v>0.69019491103305763</v>
      </c>
      <c r="BF5" s="2">
        <v>0.69037250083922042</v>
      </c>
      <c r="BG5" s="2">
        <v>0.71796343224214154</v>
      </c>
      <c r="BH5" s="2">
        <v>0.76383390348215197</v>
      </c>
      <c r="BI5" s="2">
        <v>0.73740653209327134</v>
      </c>
      <c r="BJ5" s="2">
        <v>0.64563385182714061</v>
      </c>
      <c r="BK5" s="2">
        <v>0.75710378220306096</v>
      </c>
      <c r="BL5" s="2">
        <v>0.73703908280921593</v>
      </c>
      <c r="BM5" s="2">
        <v>0.70223491435822794</v>
      </c>
      <c r="BN5" s="2">
        <v>0.66794359344187348</v>
      </c>
      <c r="BO5" s="2">
        <v>0.69089271188702805</v>
      </c>
      <c r="BP5" s="2">
        <v>0.71905809067807402</v>
      </c>
      <c r="BQ5" s="2">
        <v>0.72616164894038138</v>
      </c>
      <c r="BR5" s="2">
        <v>0.72999926876530874</v>
      </c>
      <c r="BS5" s="2">
        <v>0.74860810956808488</v>
      </c>
      <c r="BT5" s="2">
        <v>0.70572389040705452</v>
      </c>
      <c r="BU5" s="2">
        <v>0.72558657583733777</v>
      </c>
      <c r="BV5" s="2">
        <v>0.69519290109518561</v>
      </c>
      <c r="BW5" s="2">
        <v>0.71310648777214081</v>
      </c>
      <c r="BX5" s="2">
        <v>0.73748601678338654</v>
      </c>
      <c r="BY5" s="2">
        <v>0.66545362951309406</v>
      </c>
      <c r="BZ5" s="2">
        <v>0.70463574495189607</v>
      </c>
      <c r="CA5" s="2">
        <v>0.63142359349581634</v>
      </c>
      <c r="CB5" s="2">
        <v>0.63130075296260835</v>
      </c>
      <c r="CC5" s="2">
        <v>0.6814940736482249</v>
      </c>
      <c r="CD5" s="2">
        <v>0.74670526876038301</v>
      </c>
      <c r="CE5" s="2">
        <v>0.65606754192839156</v>
      </c>
      <c r="CF5" s="2">
        <v>0.70620290735828206</v>
      </c>
      <c r="CG5" s="2">
        <v>0.73761175798039669</v>
      </c>
      <c r="CH5" s="2">
        <v>0.69397074860785501</v>
      </c>
      <c r="CI5" s="2">
        <v>0.6454615661584171</v>
      </c>
      <c r="CJ5" s="2">
        <v>0.72570308825904983</v>
      </c>
      <c r="CK5" s="2">
        <v>0.68969180414532583</v>
      </c>
      <c r="CL5" s="2">
        <v>0.7066604569331808</v>
      </c>
      <c r="CM5" s="2">
        <v>0.73288286460668317</v>
      </c>
      <c r="CN5" s="2">
        <v>0.77291413442857526</v>
      </c>
      <c r="CO5" s="2">
        <v>0.75584797047408969</v>
      </c>
      <c r="CP5" s="2">
        <v>0.67675241983582846</v>
      </c>
      <c r="CQ5" s="2">
        <v>0.65511282386456204</v>
      </c>
      <c r="CR5" s="2">
        <v>0.62234792770442382</v>
      </c>
      <c r="CS5" s="2">
        <v>0.65978906905197165</v>
      </c>
      <c r="CT5" s="2">
        <v>0.70034102506474116</v>
      </c>
      <c r="CU5" s="2">
        <v>0.69439409707476707</v>
      </c>
      <c r="CV5" s="2">
        <v>0.7019402291486514</v>
      </c>
      <c r="CW5" s="2">
        <v>0.7071186895925633</v>
      </c>
    </row>
    <row r="6" spans="1:101" x14ac:dyDescent="0.35">
      <c r="A6">
        <v>202205</v>
      </c>
      <c r="B6" s="2">
        <v>0.7466986768952425</v>
      </c>
      <c r="C6" s="2">
        <v>0.72247294980230425</v>
      </c>
      <c r="D6" s="2">
        <v>0.70063525737037635</v>
      </c>
      <c r="E6" s="2">
        <v>0.64187817100463185</v>
      </c>
      <c r="F6" s="2">
        <v>0.70546684652689118</v>
      </c>
      <c r="G6" s="2">
        <v>0.69776568225387747</v>
      </c>
      <c r="H6" s="2">
        <v>0.71118657944760078</v>
      </c>
      <c r="I6" s="2">
        <v>0.67165617494877883</v>
      </c>
      <c r="J6" s="2">
        <v>0.70608197664343109</v>
      </c>
      <c r="K6" s="2">
        <v>0.73970483936647613</v>
      </c>
      <c r="L6" s="2">
        <v>0.72551186475066032</v>
      </c>
      <c r="M6" s="2">
        <v>0.71873139753715853</v>
      </c>
      <c r="N6" s="2">
        <v>0.63332928467432092</v>
      </c>
      <c r="O6" s="2">
        <v>0.7430254817872779</v>
      </c>
      <c r="P6" s="2">
        <v>0.72780332152483118</v>
      </c>
      <c r="Q6" s="2">
        <v>0.75496671614009536</v>
      </c>
      <c r="R6" s="2">
        <v>0.70228519875261319</v>
      </c>
      <c r="S6" s="2">
        <v>0.71645471316243925</v>
      </c>
      <c r="T6" s="2">
        <v>0.70590695182646945</v>
      </c>
      <c r="U6" s="2">
        <v>0.72135034211975679</v>
      </c>
      <c r="V6" s="2">
        <v>0.68010791032982132</v>
      </c>
      <c r="W6" s="2">
        <v>0.66599573471428641</v>
      </c>
      <c r="X6" s="2">
        <v>0.69335859484711049</v>
      </c>
      <c r="Y6" s="2">
        <v>0.69247639275183914</v>
      </c>
      <c r="Z6" s="2">
        <v>0.73611154047082528</v>
      </c>
      <c r="AA6" s="2">
        <v>0.6664151306320899</v>
      </c>
      <c r="AB6" s="2">
        <v>0.74200327504337238</v>
      </c>
      <c r="AC6" s="2">
        <v>0.74481198889348665</v>
      </c>
      <c r="AD6" s="2">
        <v>0.67013058796817437</v>
      </c>
      <c r="AE6" s="2">
        <v>0.68046025900150764</v>
      </c>
      <c r="AF6" s="2">
        <v>0.6608388924405374</v>
      </c>
      <c r="AG6" s="2">
        <v>0.72455301563435448</v>
      </c>
      <c r="AH6" s="2">
        <v>0.71806435862533458</v>
      </c>
      <c r="AI6" s="2">
        <v>0.71602538867516252</v>
      </c>
      <c r="AJ6" s="2">
        <v>0.66075481892073429</v>
      </c>
      <c r="AK6" s="2">
        <v>0.69557875512337131</v>
      </c>
      <c r="AL6" s="2">
        <v>0.76108954884531177</v>
      </c>
      <c r="AM6" s="2">
        <v>0.62379228554175159</v>
      </c>
      <c r="AN6" s="2">
        <v>0.67270884023635913</v>
      </c>
      <c r="AO6" s="2">
        <v>0.70777012280924545</v>
      </c>
      <c r="AP6" s="2">
        <v>0.68529727056653866</v>
      </c>
      <c r="AQ6" s="2">
        <v>0.7211734161518133</v>
      </c>
      <c r="AR6" s="2">
        <v>0.67933662697496089</v>
      </c>
      <c r="AS6" s="2">
        <v>0.7148643334682464</v>
      </c>
      <c r="AT6" s="2">
        <v>0.67596095758899843</v>
      </c>
      <c r="AU6" s="2">
        <v>0.70054932354127963</v>
      </c>
      <c r="AV6" s="2">
        <v>0.68388451829782171</v>
      </c>
      <c r="AW6" s="2">
        <v>0.68493586203086265</v>
      </c>
      <c r="AX6" s="2">
        <v>0.70594507068030909</v>
      </c>
      <c r="AY6" s="2">
        <v>0.68393548036609064</v>
      </c>
      <c r="AZ6" s="2">
        <v>0.68042929822695464</v>
      </c>
      <c r="BA6" s="2">
        <v>0.74435714243727691</v>
      </c>
      <c r="BB6" s="2">
        <v>0.71254536553100534</v>
      </c>
      <c r="BC6" s="2">
        <v>0.75288331626716043</v>
      </c>
      <c r="BD6" s="2">
        <v>0.72346056882275733</v>
      </c>
      <c r="BE6" s="2">
        <v>0.67077213745980713</v>
      </c>
      <c r="BF6" s="2">
        <v>0.68924634045076427</v>
      </c>
      <c r="BG6" s="2">
        <v>0.71600711589982902</v>
      </c>
      <c r="BH6" s="2">
        <v>0.71223846802037938</v>
      </c>
      <c r="BI6" s="2">
        <v>0.75182171104706474</v>
      </c>
      <c r="BJ6" s="2">
        <v>0.67976361414687758</v>
      </c>
      <c r="BK6" s="2">
        <v>0.726615021731427</v>
      </c>
      <c r="BL6" s="2">
        <v>0.72543391306275584</v>
      </c>
      <c r="BM6" s="2">
        <v>0.73627345034544533</v>
      </c>
      <c r="BN6" s="2">
        <v>0.68393401023036082</v>
      </c>
      <c r="BO6" s="2">
        <v>0.69334056831853952</v>
      </c>
      <c r="BP6" s="2">
        <v>0.70600709452412524</v>
      </c>
      <c r="BQ6" s="2">
        <v>0.75896432701254779</v>
      </c>
      <c r="BR6" s="2">
        <v>0.73298228078467487</v>
      </c>
      <c r="BS6" s="2">
        <v>0.75031325652247416</v>
      </c>
      <c r="BT6" s="2">
        <v>0.71290095860647451</v>
      </c>
      <c r="BU6" s="2">
        <v>0.72437818552898259</v>
      </c>
      <c r="BV6" s="2">
        <v>0.70719241525205334</v>
      </c>
      <c r="BW6" s="2">
        <v>0.7076112699741719</v>
      </c>
      <c r="BX6" s="2">
        <v>0.7292683964651796</v>
      </c>
      <c r="BY6" s="2">
        <v>0.64188342110653307</v>
      </c>
      <c r="BZ6" s="2">
        <v>0.68990315938482638</v>
      </c>
      <c r="CA6" s="2">
        <v>0.62392898112491235</v>
      </c>
      <c r="CB6" s="2">
        <v>0.64490876764021066</v>
      </c>
      <c r="CC6" s="2">
        <v>0.6874578340077605</v>
      </c>
      <c r="CD6" s="2">
        <v>0.7182171795792498</v>
      </c>
      <c r="CE6" s="2">
        <v>0.68716043414090466</v>
      </c>
      <c r="CF6" s="2">
        <v>0.69397294265322829</v>
      </c>
      <c r="CG6" s="2">
        <v>0.75405785864792663</v>
      </c>
      <c r="CH6" s="2">
        <v>0.68961555498093996</v>
      </c>
      <c r="CI6" s="2">
        <v>0.65445073857112424</v>
      </c>
      <c r="CJ6" s="2">
        <v>0.73158050105757477</v>
      </c>
      <c r="CK6" s="2">
        <v>0.72278079561158859</v>
      </c>
      <c r="CL6" s="2">
        <v>0.70305068691444839</v>
      </c>
      <c r="CM6" s="2">
        <v>0.73557019367831666</v>
      </c>
      <c r="CN6" s="2">
        <v>0.72614280597377656</v>
      </c>
      <c r="CO6" s="2">
        <v>0.75063231569200295</v>
      </c>
      <c r="CP6" s="2">
        <v>0.6822541647271666</v>
      </c>
      <c r="CQ6" s="2">
        <v>0.67626795822991792</v>
      </c>
      <c r="CR6" s="2">
        <v>0.61936554060302607</v>
      </c>
      <c r="CS6" s="2">
        <v>0.68801279552999461</v>
      </c>
      <c r="CT6" s="2">
        <v>0.72033379627003769</v>
      </c>
      <c r="CU6" s="2">
        <v>0.67793641639205826</v>
      </c>
      <c r="CV6" s="2">
        <v>0.68781671425156166</v>
      </c>
      <c r="CW6" s="2">
        <v>0.70945960106884798</v>
      </c>
    </row>
    <row r="7" spans="1:101" x14ac:dyDescent="0.35">
      <c r="A7">
        <v>202206</v>
      </c>
      <c r="B7" s="2">
        <v>0.72526561666428868</v>
      </c>
      <c r="C7" s="2">
        <v>0.69395816607624916</v>
      </c>
      <c r="D7" s="2">
        <v>0.6821966738435471</v>
      </c>
      <c r="E7" s="2">
        <v>0.66633645919758822</v>
      </c>
      <c r="F7" s="2">
        <v>0.7017402219868446</v>
      </c>
      <c r="G7" s="2">
        <v>0.72215573327889493</v>
      </c>
      <c r="H7" s="2">
        <v>0.69721614472619431</v>
      </c>
      <c r="I7" s="2">
        <v>0.68817972010360873</v>
      </c>
      <c r="J7" s="2">
        <v>0.71111518041733335</v>
      </c>
      <c r="K7" s="2">
        <v>0.73102171088072898</v>
      </c>
      <c r="L7" s="2">
        <v>0.75110888566385847</v>
      </c>
      <c r="M7" s="2">
        <v>0.71464276161260276</v>
      </c>
      <c r="N7" s="2">
        <v>0.61695803613748446</v>
      </c>
      <c r="O7" s="2">
        <v>0.72934158152344597</v>
      </c>
      <c r="P7" s="2">
        <v>0.70826411885383178</v>
      </c>
      <c r="Q7" s="2">
        <v>0.74825835871200341</v>
      </c>
      <c r="R7" s="2">
        <v>0.6867132928216223</v>
      </c>
      <c r="S7" s="2">
        <v>0.72123805091977145</v>
      </c>
      <c r="T7" s="2">
        <v>0.69961594050916132</v>
      </c>
      <c r="U7" s="2">
        <v>0.69759735902860798</v>
      </c>
      <c r="V7" s="2">
        <v>0.68604266461537111</v>
      </c>
      <c r="W7" s="2">
        <v>0.67354289459495797</v>
      </c>
      <c r="X7" s="2">
        <v>0.71307094240852209</v>
      </c>
      <c r="Y7" s="2">
        <v>0.6704950623492828</v>
      </c>
      <c r="Z7" s="2">
        <v>0.71972209082178096</v>
      </c>
      <c r="AA7" s="2">
        <v>0.64990521007079816</v>
      </c>
      <c r="AB7" s="2">
        <v>0.73525604303260994</v>
      </c>
      <c r="AC7" s="2">
        <v>0.74941950816751801</v>
      </c>
      <c r="AD7" s="2">
        <v>0.67546117820120444</v>
      </c>
      <c r="AE7" s="2">
        <v>0.63879225529749883</v>
      </c>
      <c r="AF7" s="2">
        <v>0.67163482031135013</v>
      </c>
      <c r="AG7" s="2">
        <v>0.75410496667908389</v>
      </c>
      <c r="AH7" s="2">
        <v>0.73893164479822593</v>
      </c>
      <c r="AI7" s="2">
        <v>0.71943332327948539</v>
      </c>
      <c r="AJ7" s="2">
        <v>0.67452383577677233</v>
      </c>
      <c r="AK7" s="2">
        <v>0.6581030953383008</v>
      </c>
      <c r="AL7" s="2">
        <v>0.72719549347749413</v>
      </c>
      <c r="AM7" s="2">
        <v>0.66773835259013992</v>
      </c>
      <c r="AN7" s="2">
        <v>0.68718273579515265</v>
      </c>
      <c r="AO7" s="2">
        <v>0.69153130369530202</v>
      </c>
      <c r="AP7" s="2">
        <v>0.65891135048681582</v>
      </c>
      <c r="AQ7" s="2">
        <v>0.73586787326712821</v>
      </c>
      <c r="AR7" s="2">
        <v>0.69416833297931613</v>
      </c>
      <c r="AS7" s="2">
        <v>0.69455161569501622</v>
      </c>
      <c r="AT7" s="2">
        <v>0.69192725799688615</v>
      </c>
      <c r="AU7" s="2">
        <v>0.67158125325205076</v>
      </c>
      <c r="AV7" s="2">
        <v>0.66524472797483714</v>
      </c>
      <c r="AW7" s="2">
        <v>0.68417374033738776</v>
      </c>
      <c r="AX7" s="2">
        <v>0.70656597514889485</v>
      </c>
      <c r="AY7" s="2">
        <v>0.67948598382004866</v>
      </c>
      <c r="AZ7" s="2">
        <v>0.69302444310949252</v>
      </c>
      <c r="BA7" s="2">
        <v>0.76334872049874791</v>
      </c>
      <c r="BB7" s="2">
        <v>0.71784304313320013</v>
      </c>
      <c r="BC7" s="2">
        <v>0.7272769027577628</v>
      </c>
      <c r="BD7" s="2">
        <v>0.72005139357520098</v>
      </c>
      <c r="BE7" s="2">
        <v>0.68989953024089212</v>
      </c>
      <c r="BF7" s="2">
        <v>0.69651622620973652</v>
      </c>
      <c r="BG7" s="2">
        <v>0.7153891832211029</v>
      </c>
      <c r="BH7" s="2">
        <v>0.71412302446823239</v>
      </c>
      <c r="BI7" s="2">
        <v>0.69230105500419636</v>
      </c>
      <c r="BJ7" s="2">
        <v>0.65340957763086838</v>
      </c>
      <c r="BK7" s="2">
        <v>0.74913899005592433</v>
      </c>
      <c r="BL7" s="2">
        <v>0.70713941791440105</v>
      </c>
      <c r="BM7" s="2">
        <v>0.74397965393219101</v>
      </c>
      <c r="BN7" s="2">
        <v>0.68849145054998817</v>
      </c>
      <c r="BO7" s="2">
        <v>0.68209698269452956</v>
      </c>
      <c r="BP7" s="2">
        <v>0.70682098483995159</v>
      </c>
      <c r="BQ7" s="2">
        <v>0.75180391391868939</v>
      </c>
      <c r="BR7" s="2">
        <v>0.71112156098006618</v>
      </c>
      <c r="BS7" s="2">
        <v>0.74830238416545114</v>
      </c>
      <c r="BT7" s="2">
        <v>0.71544788566569173</v>
      </c>
      <c r="BU7" s="2">
        <v>0.75190929794763839</v>
      </c>
      <c r="BV7" s="2">
        <v>0.68528826086122741</v>
      </c>
      <c r="BW7" s="2">
        <v>0.70483904104704642</v>
      </c>
      <c r="BX7" s="2">
        <v>0.73651027264767954</v>
      </c>
      <c r="BY7" s="2">
        <v>0.63760155297939303</v>
      </c>
      <c r="BZ7" s="2">
        <v>0.67925959823157234</v>
      </c>
      <c r="CA7" s="2">
        <v>0.63070839152047109</v>
      </c>
      <c r="CB7" s="2">
        <v>0.61880570697635373</v>
      </c>
      <c r="CC7" s="2">
        <v>0.67579100357497901</v>
      </c>
      <c r="CD7" s="2">
        <v>0.73287409627307176</v>
      </c>
      <c r="CE7" s="2">
        <v>0.65727043888848546</v>
      </c>
      <c r="CF7" s="2">
        <v>0.68720870545327151</v>
      </c>
      <c r="CG7" s="2">
        <v>0.7365619402116742</v>
      </c>
      <c r="CH7" s="2">
        <v>0.68749417056098416</v>
      </c>
      <c r="CI7" s="2">
        <v>0.63811006116800617</v>
      </c>
      <c r="CJ7" s="2">
        <v>0.73785872256949303</v>
      </c>
      <c r="CK7" s="2">
        <v>0.72578798426327695</v>
      </c>
      <c r="CL7" s="2">
        <v>0.71201948993552888</v>
      </c>
      <c r="CM7" s="2">
        <v>0.73170090159092793</v>
      </c>
      <c r="CN7" s="2">
        <v>0.72759093150107867</v>
      </c>
      <c r="CO7" s="2">
        <v>0.73356401536945148</v>
      </c>
      <c r="CP7" s="2">
        <v>0.66193782651231137</v>
      </c>
      <c r="CQ7" s="2">
        <v>0.69411434369460911</v>
      </c>
      <c r="CR7" s="2">
        <v>0.63575408718455151</v>
      </c>
      <c r="CS7" s="2">
        <v>0.69826637019677373</v>
      </c>
      <c r="CT7" s="2">
        <v>0.72359716454199108</v>
      </c>
      <c r="CU7" s="2">
        <v>0.72855677265811603</v>
      </c>
      <c r="CV7" s="2">
        <v>0.71216390035740007</v>
      </c>
      <c r="CW7" s="2">
        <v>0.7226305671170008</v>
      </c>
    </row>
    <row r="8" spans="1:101" x14ac:dyDescent="0.35">
      <c r="A8">
        <v>202207</v>
      </c>
      <c r="B8" s="2">
        <v>0.74298320791784289</v>
      </c>
      <c r="C8" s="2">
        <v>0.71169635637064965</v>
      </c>
      <c r="D8" s="2">
        <v>0.68387473679797817</v>
      </c>
      <c r="E8" s="2">
        <v>0.64551078964385922</v>
      </c>
      <c r="F8" s="2">
        <v>0.71851114140812655</v>
      </c>
      <c r="G8" s="2">
        <v>0.71146391147592392</v>
      </c>
      <c r="H8" s="2">
        <v>0.69192325437567681</v>
      </c>
      <c r="I8" s="2">
        <v>0.68076852515050967</v>
      </c>
      <c r="J8" s="2">
        <v>0.71791075864708542</v>
      </c>
      <c r="K8" s="2">
        <v>0.71955216499440222</v>
      </c>
      <c r="L8" s="2">
        <v>0.74243370629065353</v>
      </c>
      <c r="M8" s="2">
        <v>0.68821620752108004</v>
      </c>
      <c r="N8" s="2">
        <v>0.64535181296709787</v>
      </c>
      <c r="O8" s="2">
        <v>0.72723863286109658</v>
      </c>
      <c r="P8" s="2">
        <v>0.72215709927987981</v>
      </c>
      <c r="Q8" s="2">
        <v>0.7293074240322488</v>
      </c>
      <c r="R8" s="2">
        <v>0.70081095543483463</v>
      </c>
      <c r="S8" s="2">
        <v>0.72924712306232364</v>
      </c>
      <c r="T8" s="2">
        <v>0.71188291859636577</v>
      </c>
      <c r="U8" s="2">
        <v>0.70948454445157305</v>
      </c>
      <c r="V8" s="2">
        <v>0.67430950073221885</v>
      </c>
      <c r="W8" s="2">
        <v>0.67483082119305093</v>
      </c>
      <c r="X8" s="2">
        <v>0.72341638139970788</v>
      </c>
      <c r="Y8" s="2">
        <v>0.68142347718251983</v>
      </c>
      <c r="Z8" s="2">
        <v>0.72718856403286181</v>
      </c>
      <c r="AA8" s="2">
        <v>0.6422555327299313</v>
      </c>
      <c r="AB8" s="2">
        <v>0.73072095997930031</v>
      </c>
      <c r="AC8" s="2">
        <v>0.73395968147628365</v>
      </c>
      <c r="AD8" s="2">
        <v>0.64275694009884277</v>
      </c>
      <c r="AE8" s="2">
        <v>0.66670751543658102</v>
      </c>
      <c r="AF8" s="2">
        <v>0.66761670449281896</v>
      </c>
      <c r="AG8" s="2">
        <v>0.72412498215048782</v>
      </c>
      <c r="AH8" s="2">
        <v>0.71341437816343822</v>
      </c>
      <c r="AI8" s="2">
        <v>0.66262607822399722</v>
      </c>
      <c r="AJ8" s="2">
        <v>0.67001583688788058</v>
      </c>
      <c r="AK8" s="2">
        <v>0.68490212680906692</v>
      </c>
      <c r="AL8" s="2">
        <v>0.72364413518148574</v>
      </c>
      <c r="AM8" s="2">
        <v>0.66269383293344664</v>
      </c>
      <c r="AN8" s="2">
        <v>0.71039251833020345</v>
      </c>
      <c r="AO8" s="2">
        <v>0.70031883761811231</v>
      </c>
      <c r="AP8" s="2">
        <v>0.69055290507697964</v>
      </c>
      <c r="AQ8" s="2">
        <v>0.70724887373319334</v>
      </c>
      <c r="AR8" s="2">
        <v>0.69462714826816663</v>
      </c>
      <c r="AS8" s="2">
        <v>0.70154085566496782</v>
      </c>
      <c r="AT8" s="2">
        <v>0.71236438672895031</v>
      </c>
      <c r="AU8" s="2">
        <v>0.69250410340058299</v>
      </c>
      <c r="AV8" s="2">
        <v>0.65025529019616835</v>
      </c>
      <c r="AW8" s="2">
        <v>0.68898648969606036</v>
      </c>
      <c r="AX8" s="2">
        <v>0.6925844261843801</v>
      </c>
      <c r="AY8" s="2">
        <v>0.68206007346088593</v>
      </c>
      <c r="AZ8" s="2">
        <v>0.67008294157184933</v>
      </c>
      <c r="BA8" s="2">
        <v>0.75212961909229159</v>
      </c>
      <c r="BB8" s="2">
        <v>0.70799083855120826</v>
      </c>
      <c r="BC8" s="2">
        <v>0.75492164812178852</v>
      </c>
      <c r="BD8" s="2">
        <v>0.73814038090256007</v>
      </c>
      <c r="BE8" s="2">
        <v>0.69679932177829973</v>
      </c>
      <c r="BF8" s="2">
        <v>0.68163784785479986</v>
      </c>
      <c r="BG8" s="2">
        <v>0.70470567786775218</v>
      </c>
      <c r="BH8" s="2">
        <v>0.71426100026773831</v>
      </c>
      <c r="BI8" s="2">
        <v>0.72860410805021059</v>
      </c>
      <c r="BJ8" s="2">
        <v>0.69541446150517572</v>
      </c>
      <c r="BK8" s="2">
        <v>0.72463033811959432</v>
      </c>
      <c r="BL8" s="2">
        <v>0.71752894515033838</v>
      </c>
      <c r="BM8" s="2">
        <v>0.71671022954346786</v>
      </c>
      <c r="BN8" s="2">
        <v>0.67779757439968202</v>
      </c>
      <c r="BO8" s="2">
        <v>0.67894538432810791</v>
      </c>
      <c r="BP8" s="2">
        <v>0.68109097501431415</v>
      </c>
      <c r="BQ8" s="2">
        <v>0.75030077694352981</v>
      </c>
      <c r="BR8" s="2">
        <v>0.70477556879435899</v>
      </c>
      <c r="BS8" s="2">
        <v>0.77205075219585562</v>
      </c>
      <c r="BT8" s="2">
        <v>0.70763398735390892</v>
      </c>
      <c r="BU8" s="2">
        <v>0.74886141571701892</v>
      </c>
      <c r="BV8" s="2">
        <v>0.67935213354756774</v>
      </c>
      <c r="BW8" s="2">
        <v>0.71892010314489674</v>
      </c>
      <c r="BX8" s="2">
        <v>0.75805490978048984</v>
      </c>
      <c r="BY8" s="2">
        <v>0.65730986337073549</v>
      </c>
      <c r="BZ8" s="2">
        <v>0.71089443540461073</v>
      </c>
      <c r="CA8" s="2">
        <v>0.62996212949439567</v>
      </c>
      <c r="CB8" s="2">
        <v>0.63748286486901207</v>
      </c>
      <c r="CC8" s="2">
        <v>0.6778752657569127</v>
      </c>
      <c r="CD8" s="2">
        <v>0.749228936344426</v>
      </c>
      <c r="CE8" s="2">
        <v>0.67008716901800947</v>
      </c>
      <c r="CF8" s="2">
        <v>0.68893227416698966</v>
      </c>
      <c r="CG8" s="2">
        <v>0.74994913350002601</v>
      </c>
      <c r="CH8" s="2">
        <v>0.71748790772187532</v>
      </c>
      <c r="CI8" s="2">
        <v>0.62835634499776571</v>
      </c>
      <c r="CJ8" s="2">
        <v>0.75747043593529839</v>
      </c>
      <c r="CK8" s="2">
        <v>0.70666985260207127</v>
      </c>
      <c r="CL8" s="2">
        <v>0.71960088239888331</v>
      </c>
      <c r="CM8" s="2">
        <v>0.73415861038358987</v>
      </c>
      <c r="CN8" s="2">
        <v>0.77150560927447576</v>
      </c>
      <c r="CO8" s="2">
        <v>0.74925953105326337</v>
      </c>
      <c r="CP8" s="2">
        <v>0.69655599455995731</v>
      </c>
      <c r="CQ8" s="2">
        <v>0.66460452897989475</v>
      </c>
      <c r="CR8" s="2">
        <v>0.61240119458182241</v>
      </c>
      <c r="CS8" s="2">
        <v>0.71132436354174766</v>
      </c>
      <c r="CT8" s="2">
        <v>0.73075080641984624</v>
      </c>
      <c r="CU8" s="2">
        <v>0.67863235128401844</v>
      </c>
      <c r="CV8" s="2">
        <v>0.71744971289891812</v>
      </c>
      <c r="CW8" s="2">
        <v>0.69834306337739493</v>
      </c>
    </row>
    <row r="9" spans="1:101" x14ac:dyDescent="0.35">
      <c r="A9">
        <v>202208</v>
      </c>
      <c r="B9" s="2">
        <v>0.69986065714422574</v>
      </c>
      <c r="C9" s="2">
        <v>0.70810422851139132</v>
      </c>
      <c r="D9" s="2">
        <v>0.67716325258714849</v>
      </c>
      <c r="E9" s="2">
        <v>0.64427537142295388</v>
      </c>
      <c r="F9" s="2">
        <v>0.70490762060485113</v>
      </c>
      <c r="G9" s="2">
        <v>0.74189062445971632</v>
      </c>
      <c r="H9" s="2">
        <v>0.696267661383138</v>
      </c>
      <c r="I9" s="2">
        <v>0.69215879416128745</v>
      </c>
      <c r="J9" s="2">
        <v>0.73390340976380175</v>
      </c>
      <c r="K9" s="2">
        <v>0.7481275323409855</v>
      </c>
      <c r="L9" s="2">
        <v>0.74188999155228164</v>
      </c>
      <c r="M9" s="2">
        <v>0.72870067397556082</v>
      </c>
      <c r="N9" s="2">
        <v>0.6343962153636874</v>
      </c>
      <c r="O9" s="2">
        <v>0.73969849949397282</v>
      </c>
      <c r="P9" s="2">
        <v>0.69227826885814236</v>
      </c>
      <c r="Q9" s="2">
        <v>0.76247793614914472</v>
      </c>
      <c r="R9" s="2">
        <v>0.65607282750419771</v>
      </c>
      <c r="S9" s="2">
        <v>0.75525876879849685</v>
      </c>
      <c r="T9" s="2">
        <v>0.71094506307816441</v>
      </c>
      <c r="U9" s="2">
        <v>0.70496495765746225</v>
      </c>
      <c r="V9" s="2">
        <v>0.67187211175559902</v>
      </c>
      <c r="W9" s="2">
        <v>0.67046917013467244</v>
      </c>
      <c r="X9" s="2">
        <v>0.71722964175883108</v>
      </c>
      <c r="Y9" s="2">
        <v>0.6796445621779138</v>
      </c>
      <c r="Z9" s="2">
        <v>0.71258517942892374</v>
      </c>
      <c r="AA9" s="2">
        <v>0.66253379797957523</v>
      </c>
      <c r="AB9" s="2">
        <v>0.73412920716410435</v>
      </c>
      <c r="AC9" s="2">
        <v>0.72126957831365945</v>
      </c>
      <c r="AD9" s="2">
        <v>0.6770627802647794</v>
      </c>
      <c r="AE9" s="2">
        <v>0.67452733534139375</v>
      </c>
      <c r="AF9" s="2">
        <v>0.66454486381163269</v>
      </c>
      <c r="AG9" s="2">
        <v>0.74387044568795657</v>
      </c>
      <c r="AH9" s="2">
        <v>0.71513485146168265</v>
      </c>
      <c r="AI9" s="2">
        <v>0.70767628601326604</v>
      </c>
      <c r="AJ9" s="2">
        <v>0.66065937868301683</v>
      </c>
      <c r="AK9" s="2">
        <v>0.65150084218950666</v>
      </c>
      <c r="AL9" s="2">
        <v>0.77279624540518332</v>
      </c>
      <c r="AM9" s="2">
        <v>0.66413185374629946</v>
      </c>
      <c r="AN9" s="2">
        <v>0.70335298477631036</v>
      </c>
      <c r="AO9" s="2">
        <v>0.72452206180387169</v>
      </c>
      <c r="AP9" s="2">
        <v>0.70401948925293301</v>
      </c>
      <c r="AQ9" s="2">
        <v>0.723316824089557</v>
      </c>
      <c r="AR9" s="2">
        <v>0.69521742796994557</v>
      </c>
      <c r="AS9" s="2">
        <v>0.68813753470934713</v>
      </c>
      <c r="AT9" s="2">
        <v>0.69266485462584049</v>
      </c>
      <c r="AU9" s="2">
        <v>0.6737720151475548</v>
      </c>
      <c r="AV9" s="2">
        <v>0.67861053926529136</v>
      </c>
      <c r="AW9" s="2">
        <v>0.68144021914301489</v>
      </c>
      <c r="AX9" s="2">
        <v>0.72435113278753394</v>
      </c>
      <c r="AY9" s="2">
        <v>0.67419245581092557</v>
      </c>
      <c r="AZ9" s="2">
        <v>0.68565077134681263</v>
      </c>
      <c r="BA9" s="2">
        <v>0.72948166052613495</v>
      </c>
      <c r="BB9" s="2">
        <v>0.69262125355518833</v>
      </c>
      <c r="BC9" s="2">
        <v>0.72654498243534649</v>
      </c>
      <c r="BD9" s="2">
        <v>0.75581442119139297</v>
      </c>
      <c r="BE9" s="2">
        <v>0.68691449009041505</v>
      </c>
      <c r="BF9" s="2">
        <v>0.70131564115368616</v>
      </c>
      <c r="BG9" s="2">
        <v>0.71384597766431002</v>
      </c>
      <c r="BH9" s="2">
        <v>0.71455289433164537</v>
      </c>
      <c r="BI9" s="2">
        <v>0.71079334959135965</v>
      </c>
      <c r="BJ9" s="2">
        <v>0.67585439331328712</v>
      </c>
      <c r="BK9" s="2">
        <v>0.71855988264120152</v>
      </c>
      <c r="BL9" s="2">
        <v>0.72388674315600687</v>
      </c>
      <c r="BM9" s="2">
        <v>0.72118540496223571</v>
      </c>
      <c r="BN9" s="2">
        <v>0.68010288624059168</v>
      </c>
      <c r="BO9" s="2">
        <v>0.69452542783822246</v>
      </c>
      <c r="BP9" s="2">
        <v>0.7349019703683034</v>
      </c>
      <c r="BQ9" s="2">
        <v>0.74388276351473626</v>
      </c>
      <c r="BR9" s="2">
        <v>0.72937648823141921</v>
      </c>
      <c r="BS9" s="2">
        <v>0.76403824823747746</v>
      </c>
      <c r="BT9" s="2">
        <v>0.69467591574283072</v>
      </c>
      <c r="BU9" s="2">
        <v>0.74283938731713539</v>
      </c>
      <c r="BV9" s="2">
        <v>0.66470843872241359</v>
      </c>
      <c r="BW9" s="2">
        <v>0.71625854034861847</v>
      </c>
      <c r="BX9" s="2">
        <v>0.73899510408436342</v>
      </c>
      <c r="BY9" s="2">
        <v>0.64771205972285151</v>
      </c>
      <c r="BZ9" s="2">
        <v>0.70656509447214511</v>
      </c>
      <c r="CA9" s="2">
        <v>0.64208256984884204</v>
      </c>
      <c r="CB9" s="2">
        <v>0.646058330586052</v>
      </c>
      <c r="CC9" s="2">
        <v>0.68271111809566121</v>
      </c>
      <c r="CD9" s="2">
        <v>0.72643038356601364</v>
      </c>
      <c r="CE9" s="2">
        <v>0.64563719086602311</v>
      </c>
      <c r="CF9" s="2">
        <v>0.68492165612036204</v>
      </c>
      <c r="CG9" s="2">
        <v>0.74073821688822239</v>
      </c>
      <c r="CH9" s="2">
        <v>0.6933868898556943</v>
      </c>
      <c r="CI9" s="2">
        <v>0.64406364746811118</v>
      </c>
      <c r="CJ9" s="2">
        <v>0.73272210605424937</v>
      </c>
      <c r="CK9" s="2">
        <v>0.70878171436228266</v>
      </c>
      <c r="CL9" s="2">
        <v>0.7262776886416118</v>
      </c>
      <c r="CM9" s="2">
        <v>0.70622445977048098</v>
      </c>
      <c r="CN9" s="2">
        <v>0.78626289648676007</v>
      </c>
      <c r="CO9" s="2">
        <v>0.73550042973590946</v>
      </c>
      <c r="CP9" s="2">
        <v>0.67955838123275336</v>
      </c>
      <c r="CQ9" s="2">
        <v>0.66827795545264135</v>
      </c>
      <c r="CR9" s="2">
        <v>0.62353951578124045</v>
      </c>
      <c r="CS9" s="2">
        <v>0.7021866673346262</v>
      </c>
      <c r="CT9" s="2">
        <v>0.71360837344934114</v>
      </c>
      <c r="CU9" s="2">
        <v>0.69110740078084898</v>
      </c>
      <c r="CV9" s="2">
        <v>0.71833126080959442</v>
      </c>
      <c r="CW9" s="2">
        <v>0.71042837364952582</v>
      </c>
    </row>
    <row r="10" spans="1:101" x14ac:dyDescent="0.35">
      <c r="A10">
        <v>202209</v>
      </c>
      <c r="B10" s="2">
        <v>0.71712570337349124</v>
      </c>
      <c r="C10" s="2">
        <v>0.69666338668642869</v>
      </c>
      <c r="D10" s="2">
        <v>0.67116630864118054</v>
      </c>
      <c r="E10" s="2">
        <v>0.62286895297512612</v>
      </c>
      <c r="F10" s="2">
        <v>0.67933258103628413</v>
      </c>
      <c r="G10" s="2">
        <v>0.71072955629776091</v>
      </c>
      <c r="H10" s="2">
        <v>0.69915038452881417</v>
      </c>
      <c r="I10" s="2">
        <v>0.69665141155272103</v>
      </c>
      <c r="J10" s="2">
        <v>0.71535858829226895</v>
      </c>
      <c r="K10" s="2">
        <v>0.72606071399321792</v>
      </c>
      <c r="L10" s="2">
        <v>0.74411256380435198</v>
      </c>
      <c r="M10" s="2">
        <v>0.71484750359683347</v>
      </c>
      <c r="N10" s="2">
        <v>0.6266773962559874</v>
      </c>
      <c r="O10" s="2">
        <v>0.73297412933635064</v>
      </c>
      <c r="P10" s="2">
        <v>0.71181260989259276</v>
      </c>
      <c r="Q10" s="2">
        <v>0.75725976603517919</v>
      </c>
      <c r="R10" s="2">
        <v>0.70262301138529393</v>
      </c>
      <c r="S10" s="2">
        <v>0.75346818328804577</v>
      </c>
      <c r="T10" s="2">
        <v>0.70522988921705854</v>
      </c>
      <c r="U10" s="2">
        <v>0.69753976488797365</v>
      </c>
      <c r="V10" s="2">
        <v>0.66772640021079765</v>
      </c>
      <c r="W10" s="2">
        <v>0.66299869205253037</v>
      </c>
      <c r="X10" s="2">
        <v>0.70096455427827109</v>
      </c>
      <c r="Y10" s="2">
        <v>0.6531008691111635</v>
      </c>
      <c r="Z10" s="2">
        <v>0.71707932873275371</v>
      </c>
      <c r="AA10" s="2">
        <v>0.67220528438380256</v>
      </c>
      <c r="AB10" s="2">
        <v>0.71628606321221322</v>
      </c>
      <c r="AC10" s="2">
        <v>0.71818263781044467</v>
      </c>
      <c r="AD10" s="2">
        <v>0.66091285389148813</v>
      </c>
      <c r="AE10" s="2">
        <v>0.65999065611527685</v>
      </c>
      <c r="AF10" s="2">
        <v>0.67054318552076952</v>
      </c>
      <c r="AG10" s="2">
        <v>0.74455079408200542</v>
      </c>
      <c r="AH10" s="2">
        <v>0.73720711620777157</v>
      </c>
      <c r="AI10" s="2">
        <v>0.70900154715439201</v>
      </c>
      <c r="AJ10" s="2">
        <v>0.69995156212976517</v>
      </c>
      <c r="AK10" s="2">
        <v>0.68092485246139334</v>
      </c>
      <c r="AL10" s="2">
        <v>0.72759212845612076</v>
      </c>
      <c r="AM10" s="2">
        <v>0.66490032444674174</v>
      </c>
      <c r="AN10" s="2">
        <v>0.70840812517302665</v>
      </c>
      <c r="AO10" s="2">
        <v>0.69241083230666434</v>
      </c>
      <c r="AP10" s="2">
        <v>0.69078297333607974</v>
      </c>
      <c r="AQ10" s="2">
        <v>0.72191231518438004</v>
      </c>
      <c r="AR10" s="2">
        <v>0.69223127818436991</v>
      </c>
      <c r="AS10" s="2">
        <v>0.67109177412138443</v>
      </c>
      <c r="AT10" s="2">
        <v>0.70618288302549781</v>
      </c>
      <c r="AU10" s="2">
        <v>0.65654737715674627</v>
      </c>
      <c r="AV10" s="2">
        <v>0.67159706865693924</v>
      </c>
      <c r="AW10" s="2">
        <v>0.7015965220799335</v>
      </c>
      <c r="AX10" s="2">
        <v>0.71723613102488482</v>
      </c>
      <c r="AY10" s="2">
        <v>0.68107341388626508</v>
      </c>
      <c r="AZ10" s="2">
        <v>0.66210726166069989</v>
      </c>
      <c r="BA10" s="2">
        <v>0.75077742772613187</v>
      </c>
      <c r="BB10" s="2">
        <v>0.70039329549927376</v>
      </c>
      <c r="BC10" s="2">
        <v>0.74134977322837103</v>
      </c>
      <c r="BD10" s="2">
        <v>0.72273121691306852</v>
      </c>
      <c r="BE10" s="2">
        <v>0.70475502448220539</v>
      </c>
      <c r="BF10" s="2">
        <v>0.69676413904974865</v>
      </c>
      <c r="BG10" s="2">
        <v>0.71600513070264693</v>
      </c>
      <c r="BH10" s="2">
        <v>0.72251370759944022</v>
      </c>
      <c r="BI10" s="2">
        <v>0.74538182025509703</v>
      </c>
      <c r="BJ10" s="2">
        <v>0.65849714525725667</v>
      </c>
      <c r="BK10" s="2">
        <v>0.7305176168695362</v>
      </c>
      <c r="BL10" s="2">
        <v>0.71767916896989881</v>
      </c>
      <c r="BM10" s="2">
        <v>0.7312378211582663</v>
      </c>
      <c r="BN10" s="2">
        <v>0.68922104597852873</v>
      </c>
      <c r="BO10" s="2">
        <v>0.67924809569180122</v>
      </c>
      <c r="BP10" s="2">
        <v>0.72852449078346715</v>
      </c>
      <c r="BQ10" s="2">
        <v>0.74920216533180206</v>
      </c>
      <c r="BR10" s="2">
        <v>0.74329297679009632</v>
      </c>
      <c r="BS10" s="2">
        <v>0.73787511208989431</v>
      </c>
      <c r="BT10" s="2">
        <v>0.69391137109737944</v>
      </c>
      <c r="BU10" s="2">
        <v>0.69664311249809929</v>
      </c>
      <c r="BV10" s="2">
        <v>0.67808292800098591</v>
      </c>
      <c r="BW10" s="2">
        <v>0.73615086370068561</v>
      </c>
      <c r="BX10" s="2">
        <v>0.74009578909709173</v>
      </c>
      <c r="BY10" s="2">
        <v>0.65822822903713918</v>
      </c>
      <c r="BZ10" s="2">
        <v>0.69554892716922245</v>
      </c>
      <c r="CA10" s="2">
        <v>0.6511782009346202</v>
      </c>
      <c r="CB10" s="2">
        <v>0.65928057961736275</v>
      </c>
      <c r="CC10" s="2">
        <v>0.68774398701353145</v>
      </c>
      <c r="CD10" s="2">
        <v>0.73334761809139104</v>
      </c>
      <c r="CE10" s="2">
        <v>0.66679021207263989</v>
      </c>
      <c r="CF10" s="2">
        <v>0.7062932192515311</v>
      </c>
      <c r="CG10" s="2">
        <v>0.77380940055331537</v>
      </c>
      <c r="CH10" s="2">
        <v>0.67274230070731345</v>
      </c>
      <c r="CI10" s="2">
        <v>0.62808083263853887</v>
      </c>
      <c r="CJ10" s="2">
        <v>0.71251303798939647</v>
      </c>
      <c r="CK10" s="2">
        <v>0.70828122960808493</v>
      </c>
      <c r="CL10" s="2">
        <v>0.71688476683040903</v>
      </c>
      <c r="CM10" s="2">
        <v>0.71378865218664511</v>
      </c>
      <c r="CN10" s="2">
        <v>0.73457498934957588</v>
      </c>
      <c r="CO10" s="2">
        <v>0.74085825780997938</v>
      </c>
      <c r="CP10" s="2">
        <v>0.68686173555173513</v>
      </c>
      <c r="CQ10" s="2">
        <v>0.65610750747964752</v>
      </c>
      <c r="CR10" s="2">
        <v>0.63205516020178854</v>
      </c>
      <c r="CS10" s="2">
        <v>0.7017602623534035</v>
      </c>
      <c r="CT10" s="2">
        <v>0.73455658500121368</v>
      </c>
      <c r="CU10" s="2">
        <v>0.71760285434534021</v>
      </c>
      <c r="CV10" s="2">
        <v>0.6850387580549343</v>
      </c>
      <c r="CW10" s="2">
        <v>0.70914287494258343</v>
      </c>
    </row>
    <row r="11" spans="1:101" x14ac:dyDescent="0.35">
      <c r="A11">
        <v>202210</v>
      </c>
      <c r="B11" s="2">
        <v>0.72732501151027629</v>
      </c>
      <c r="C11" s="2">
        <v>0.70435374761781133</v>
      </c>
      <c r="D11" s="2">
        <v>0.66987122050985604</v>
      </c>
      <c r="E11" s="2">
        <v>0.66375910170296148</v>
      </c>
      <c r="F11" s="2">
        <v>0.70502567840769148</v>
      </c>
      <c r="G11" s="2">
        <v>0.72331328923891336</v>
      </c>
      <c r="H11" s="2">
        <v>0.6770350313942104</v>
      </c>
      <c r="I11" s="2">
        <v>0.72084752916968797</v>
      </c>
      <c r="J11" s="2">
        <v>0.6941678395749552</v>
      </c>
      <c r="K11" s="2">
        <v>0.73916219658378957</v>
      </c>
      <c r="L11" s="2">
        <v>0.71382653139018748</v>
      </c>
      <c r="M11" s="2">
        <v>0.7193131055582408</v>
      </c>
      <c r="N11" s="2">
        <v>0.62149516879357214</v>
      </c>
      <c r="O11" s="2">
        <v>0.70718596637542941</v>
      </c>
      <c r="P11" s="2">
        <v>0.70990264987634832</v>
      </c>
      <c r="Q11" s="2">
        <v>0.75066357629786307</v>
      </c>
      <c r="R11" s="2">
        <v>0.68746061532363378</v>
      </c>
      <c r="S11" s="2">
        <v>0.73021265415666226</v>
      </c>
      <c r="T11" s="2">
        <v>0.71323695945744114</v>
      </c>
      <c r="U11" s="2">
        <v>0.72934705945193312</v>
      </c>
      <c r="V11" s="2">
        <v>0.66286026987474789</v>
      </c>
      <c r="W11" s="2">
        <v>0.69383982037894087</v>
      </c>
      <c r="X11" s="2">
        <v>0.70523119249755861</v>
      </c>
      <c r="Y11" s="2">
        <v>0.6980448599010225</v>
      </c>
      <c r="Z11" s="2">
        <v>0.73966551868672459</v>
      </c>
      <c r="AA11" s="2">
        <v>0.67878602971398527</v>
      </c>
      <c r="AB11" s="2">
        <v>0.69362564104196089</v>
      </c>
      <c r="AC11" s="2">
        <v>0.73237988645503738</v>
      </c>
      <c r="AD11" s="2">
        <v>0.68475029539837107</v>
      </c>
      <c r="AE11" s="2">
        <v>0.64635418540787237</v>
      </c>
      <c r="AF11" s="2">
        <v>0.69934796824644319</v>
      </c>
      <c r="AG11" s="2">
        <v>0.72209464516921085</v>
      </c>
      <c r="AH11" s="2">
        <v>0.73061502411002688</v>
      </c>
      <c r="AI11" s="2">
        <v>0.69809827979931927</v>
      </c>
      <c r="AJ11" s="2">
        <v>0.67187677827911019</v>
      </c>
      <c r="AK11" s="2">
        <v>0.68531785966120362</v>
      </c>
      <c r="AL11" s="2">
        <v>0.72012971510699153</v>
      </c>
      <c r="AM11" s="2">
        <v>0.65972444267865071</v>
      </c>
      <c r="AN11" s="2">
        <v>0.69154586349749225</v>
      </c>
      <c r="AO11" s="2">
        <v>0.70045170268604262</v>
      </c>
      <c r="AP11" s="2">
        <v>0.70409469396761981</v>
      </c>
      <c r="AQ11" s="2">
        <v>0.72389292220237256</v>
      </c>
      <c r="AR11" s="2">
        <v>0.69207861414089322</v>
      </c>
      <c r="AS11" s="2">
        <v>0.70492693147963936</v>
      </c>
      <c r="AT11" s="2">
        <v>0.68689468791328034</v>
      </c>
      <c r="AU11" s="2">
        <v>0.65953740838887653</v>
      </c>
      <c r="AV11" s="2">
        <v>0.68258631351044008</v>
      </c>
      <c r="AW11" s="2">
        <v>0.68823250751498455</v>
      </c>
      <c r="AX11" s="2">
        <v>0.72469399330520312</v>
      </c>
      <c r="AY11" s="2">
        <v>0.68247675097266869</v>
      </c>
      <c r="AZ11" s="2">
        <v>0.68249640569910186</v>
      </c>
      <c r="BA11" s="2">
        <v>0.78171601356158105</v>
      </c>
      <c r="BB11" s="2">
        <v>0.71399053395289591</v>
      </c>
      <c r="BC11" s="2">
        <v>0.73677831552056916</v>
      </c>
      <c r="BD11" s="2">
        <v>0.72562445559958877</v>
      </c>
      <c r="BE11" s="2">
        <v>0.66417755814995205</v>
      </c>
      <c r="BF11" s="2">
        <v>0.68319770205997066</v>
      </c>
      <c r="BG11" s="2">
        <v>0.73470912649649145</v>
      </c>
      <c r="BH11" s="2">
        <v>0.71982144102549128</v>
      </c>
      <c r="BI11" s="2">
        <v>0.74363921842403147</v>
      </c>
      <c r="BJ11" s="2">
        <v>0.6977314231525541</v>
      </c>
      <c r="BK11" s="2">
        <v>0.74590219079307607</v>
      </c>
      <c r="BL11" s="2">
        <v>0.73227621003246923</v>
      </c>
      <c r="BM11" s="2">
        <v>0.7477968802399696</v>
      </c>
      <c r="BN11" s="2">
        <v>0.67261828024414927</v>
      </c>
      <c r="BO11" s="2">
        <v>0.69872933755280398</v>
      </c>
      <c r="BP11" s="2">
        <v>0.70232647426523154</v>
      </c>
      <c r="BQ11" s="2">
        <v>0.72919160540212302</v>
      </c>
      <c r="BR11" s="2">
        <v>0.72683027112600407</v>
      </c>
      <c r="BS11" s="2">
        <v>0.73806229522155165</v>
      </c>
      <c r="BT11" s="2">
        <v>0.73413484071811042</v>
      </c>
      <c r="BU11" s="2">
        <v>0.7848263383536449</v>
      </c>
      <c r="BV11" s="2">
        <v>0.68218759289687902</v>
      </c>
      <c r="BW11" s="2">
        <v>0.70301087836175202</v>
      </c>
      <c r="BX11" s="2">
        <v>0.7222426614726003</v>
      </c>
      <c r="BY11" s="2">
        <v>0.65098067999718356</v>
      </c>
      <c r="BZ11" s="2">
        <v>0.68192150916813121</v>
      </c>
      <c r="CA11" s="2">
        <v>0.64943041923308253</v>
      </c>
      <c r="CB11" s="2">
        <v>0.62862984077295625</v>
      </c>
      <c r="CC11" s="2">
        <v>0.69999756419662273</v>
      </c>
      <c r="CD11" s="2">
        <v>0.72065856895122749</v>
      </c>
      <c r="CE11" s="2">
        <v>0.67834101919885414</v>
      </c>
      <c r="CF11" s="2">
        <v>0.68741529415335301</v>
      </c>
      <c r="CG11" s="2">
        <v>0.75783457247105179</v>
      </c>
      <c r="CH11" s="2">
        <v>0.69777325215893526</v>
      </c>
      <c r="CI11" s="2">
        <v>0.66349586399254068</v>
      </c>
      <c r="CJ11" s="2">
        <v>0.71066398831300492</v>
      </c>
      <c r="CK11" s="2">
        <v>0.74342682298623397</v>
      </c>
      <c r="CL11" s="2">
        <v>0.69102154891636658</v>
      </c>
      <c r="CM11" s="2">
        <v>0.74528704385119515</v>
      </c>
      <c r="CN11" s="2">
        <v>0.74098719627695231</v>
      </c>
      <c r="CO11" s="2">
        <v>0.7604316788257327</v>
      </c>
      <c r="CP11" s="2">
        <v>0.67983814674202681</v>
      </c>
      <c r="CQ11" s="2">
        <v>0.66079374462835061</v>
      </c>
      <c r="CR11" s="2">
        <v>0.63684429821507094</v>
      </c>
      <c r="CS11" s="2">
        <v>0.69147398659300519</v>
      </c>
      <c r="CT11" s="2">
        <v>0.71379178586737591</v>
      </c>
      <c r="CU11" s="2">
        <v>0.68054899460454132</v>
      </c>
      <c r="CV11" s="2">
        <v>0.69350793956731849</v>
      </c>
      <c r="CW11" s="2">
        <v>0.736028294811919</v>
      </c>
    </row>
    <row r="12" spans="1:101" x14ac:dyDescent="0.35">
      <c r="A12">
        <v>202211</v>
      </c>
      <c r="B12" s="2">
        <v>0.7030602613689545</v>
      </c>
      <c r="C12" s="2">
        <v>0.68150544548748815</v>
      </c>
      <c r="D12" s="2">
        <v>0.6888199580563098</v>
      </c>
      <c r="E12" s="2">
        <v>0.65266273075337711</v>
      </c>
      <c r="F12" s="2">
        <v>0.70335469121833816</v>
      </c>
      <c r="G12" s="2">
        <v>0.69920908051736286</v>
      </c>
      <c r="H12" s="2">
        <v>0.70146409900089413</v>
      </c>
      <c r="I12" s="2">
        <v>0.66316907854671292</v>
      </c>
      <c r="J12" s="2">
        <v>0.73032170923364181</v>
      </c>
      <c r="K12" s="2">
        <v>0.73601357079778251</v>
      </c>
      <c r="L12" s="2">
        <v>0.75790762026143998</v>
      </c>
      <c r="M12" s="2">
        <v>0.70932329642096392</v>
      </c>
      <c r="N12" s="2">
        <v>0.64829365326295008</v>
      </c>
      <c r="O12" s="2">
        <v>0.73497622971953336</v>
      </c>
      <c r="P12" s="2">
        <v>0.69283691689221194</v>
      </c>
      <c r="Q12" s="2">
        <v>0.73964039865443054</v>
      </c>
      <c r="R12" s="2">
        <v>0.71004806160401768</v>
      </c>
      <c r="S12" s="2">
        <v>0.73183312091816222</v>
      </c>
      <c r="T12" s="2">
        <v>0.71349453710330279</v>
      </c>
      <c r="U12" s="2">
        <v>0.70608659877726265</v>
      </c>
      <c r="V12" s="2">
        <v>0.68356036653478158</v>
      </c>
      <c r="W12" s="2">
        <v>0.68483655769022189</v>
      </c>
      <c r="X12" s="2">
        <v>0.74228750149503187</v>
      </c>
      <c r="Y12" s="2">
        <v>0.68748549810455162</v>
      </c>
      <c r="Z12" s="2">
        <v>0.71569287673004345</v>
      </c>
      <c r="AA12" s="2">
        <v>0.66917601628005274</v>
      </c>
      <c r="AB12" s="2">
        <v>0.74066369425822975</v>
      </c>
      <c r="AC12" s="2">
        <v>0.71957747074708522</v>
      </c>
      <c r="AD12" s="2">
        <v>0.68785509162118952</v>
      </c>
      <c r="AE12" s="2">
        <v>0.65992356075685998</v>
      </c>
      <c r="AF12" s="2">
        <v>0.68850093061338491</v>
      </c>
      <c r="AG12" s="2">
        <v>0.71477931476430523</v>
      </c>
      <c r="AH12" s="2">
        <v>0.70980825025700345</v>
      </c>
      <c r="AI12" s="2">
        <v>0.69085844889517833</v>
      </c>
      <c r="AJ12" s="2">
        <v>0.6671839348336942</v>
      </c>
      <c r="AK12" s="2">
        <v>0.68921521802555019</v>
      </c>
      <c r="AL12" s="2">
        <v>0.74682625651975332</v>
      </c>
      <c r="AM12" s="2">
        <v>0.65110094257589335</v>
      </c>
      <c r="AN12" s="2">
        <v>0.68536605792817618</v>
      </c>
      <c r="AO12" s="2">
        <v>0.68817293171922811</v>
      </c>
      <c r="AP12" s="2">
        <v>0.67187337635911815</v>
      </c>
      <c r="AQ12" s="2">
        <v>0.71298707419822138</v>
      </c>
      <c r="AR12" s="2">
        <v>0.68359571748574233</v>
      </c>
      <c r="AS12" s="2">
        <v>0.67536075658780348</v>
      </c>
      <c r="AT12" s="2">
        <v>0.69263569333893638</v>
      </c>
      <c r="AU12" s="2">
        <v>0.69487245241158491</v>
      </c>
      <c r="AV12" s="2">
        <v>0.66793241261608038</v>
      </c>
      <c r="AW12" s="2">
        <v>0.69650979216289444</v>
      </c>
      <c r="AX12" s="2">
        <v>0.72380507630389768</v>
      </c>
      <c r="AY12" s="2">
        <v>0.69864103105041586</v>
      </c>
      <c r="AZ12" s="2">
        <v>0.66448750496747067</v>
      </c>
      <c r="BA12" s="2">
        <v>0.74071288347417119</v>
      </c>
      <c r="BB12" s="2">
        <v>0.71283941766207148</v>
      </c>
      <c r="BC12" s="2">
        <v>0.73289992054605524</v>
      </c>
      <c r="BD12" s="2">
        <v>0.75143417955368008</v>
      </c>
      <c r="BE12" s="2">
        <v>0.65980793355185974</v>
      </c>
      <c r="BF12" s="2">
        <v>0.69048070298178055</v>
      </c>
      <c r="BG12" s="2">
        <v>0.71497800292614966</v>
      </c>
      <c r="BH12" s="2">
        <v>0.72926130927277144</v>
      </c>
      <c r="BI12" s="2">
        <v>0.71904250200486175</v>
      </c>
      <c r="BJ12" s="2">
        <v>0.66780496474025608</v>
      </c>
      <c r="BK12" s="2">
        <v>0.72001843370224428</v>
      </c>
      <c r="BL12" s="2">
        <v>0.71916437302103731</v>
      </c>
      <c r="BM12" s="2">
        <v>0.72775969966544418</v>
      </c>
      <c r="BN12" s="2">
        <v>0.67488162739166357</v>
      </c>
      <c r="BO12" s="2">
        <v>0.65841155135374396</v>
      </c>
      <c r="BP12" s="2">
        <v>0.73413924654278018</v>
      </c>
      <c r="BQ12" s="2">
        <v>0.75743256971098083</v>
      </c>
      <c r="BR12" s="2">
        <v>0.70857774226110892</v>
      </c>
      <c r="BS12" s="2">
        <v>0.73580445417012919</v>
      </c>
      <c r="BT12" s="2">
        <v>0.71253874289227581</v>
      </c>
      <c r="BU12" s="2">
        <v>0.73175111413264249</v>
      </c>
      <c r="BV12" s="2">
        <v>0.69088816019345212</v>
      </c>
      <c r="BW12" s="2">
        <v>0.73536555304155593</v>
      </c>
      <c r="BX12" s="2">
        <v>0.75381059404199502</v>
      </c>
      <c r="BY12" s="2">
        <v>0.63620321746717612</v>
      </c>
      <c r="BZ12" s="2">
        <v>0.70853571109711877</v>
      </c>
      <c r="CA12" s="2">
        <v>0.63272240477543529</v>
      </c>
      <c r="CB12" s="2">
        <v>0.6442635400300879</v>
      </c>
      <c r="CC12" s="2">
        <v>0.67445409775164145</v>
      </c>
      <c r="CD12" s="2">
        <v>0.72188216161473029</v>
      </c>
      <c r="CE12" s="2">
        <v>0.67255227360415659</v>
      </c>
      <c r="CF12" s="2">
        <v>0.6971271298864905</v>
      </c>
      <c r="CG12" s="2">
        <v>0.74718989412356074</v>
      </c>
      <c r="CH12" s="2">
        <v>0.6733725467521674</v>
      </c>
      <c r="CI12" s="2">
        <v>0.64854338434785375</v>
      </c>
      <c r="CJ12" s="2">
        <v>0.75498753755690351</v>
      </c>
      <c r="CK12" s="2">
        <v>0.69795243531981421</v>
      </c>
      <c r="CL12" s="2">
        <v>0.7373170188247079</v>
      </c>
      <c r="CM12" s="2">
        <v>0.70524984602835183</v>
      </c>
      <c r="CN12" s="2">
        <v>0.75030369820981924</v>
      </c>
      <c r="CO12" s="2">
        <v>0.76558519595684305</v>
      </c>
      <c r="CP12" s="2">
        <v>0.66925917973070659</v>
      </c>
      <c r="CQ12" s="2">
        <v>0.69454827323393786</v>
      </c>
      <c r="CR12" s="2">
        <v>0.6381161552540493</v>
      </c>
      <c r="CS12" s="2">
        <v>0.66740633614397649</v>
      </c>
      <c r="CT12" s="2">
        <v>0.70347071009542672</v>
      </c>
      <c r="CU12" s="2">
        <v>0.68651097712045861</v>
      </c>
      <c r="CV12" s="2">
        <v>0.69036449538215061</v>
      </c>
      <c r="CW12" s="2">
        <v>0.72785947596240075</v>
      </c>
    </row>
    <row r="13" spans="1:101" x14ac:dyDescent="0.35">
      <c r="A13">
        <v>202212</v>
      </c>
      <c r="B13" s="2">
        <v>0.73028385933289131</v>
      </c>
      <c r="C13" s="2">
        <v>0.71780851213670127</v>
      </c>
      <c r="D13" s="2">
        <v>0.69615515215807766</v>
      </c>
      <c r="E13" s="2">
        <v>0.61593258700137865</v>
      </c>
      <c r="F13" s="2">
        <v>0.68405945381008892</v>
      </c>
      <c r="G13" s="2">
        <v>0.72311291956116508</v>
      </c>
      <c r="H13" s="2">
        <v>0.70900389617773807</v>
      </c>
      <c r="I13" s="2">
        <v>0.67121543881987122</v>
      </c>
      <c r="J13" s="2">
        <v>0.68789066491887385</v>
      </c>
      <c r="K13" s="2">
        <v>0.73209569183469803</v>
      </c>
      <c r="L13" s="2">
        <v>0.74360751466744079</v>
      </c>
      <c r="M13" s="2">
        <v>0.70772566188855057</v>
      </c>
      <c r="N13" s="2">
        <v>0.64075183124767476</v>
      </c>
      <c r="O13" s="2">
        <v>0.73955916441042324</v>
      </c>
      <c r="P13" s="2">
        <v>0.70878550357344261</v>
      </c>
      <c r="Q13" s="2">
        <v>0.76332222263206806</v>
      </c>
      <c r="R13" s="2">
        <v>0.68831103698314766</v>
      </c>
      <c r="S13" s="2">
        <v>0.75759749222168193</v>
      </c>
      <c r="T13" s="2">
        <v>0.72426178098832761</v>
      </c>
      <c r="U13" s="2">
        <v>0.70738005223715883</v>
      </c>
      <c r="V13" s="2">
        <v>0.68372591599919996</v>
      </c>
      <c r="W13" s="2">
        <v>0.6717308512618041</v>
      </c>
      <c r="X13" s="2">
        <v>0.73838625345426512</v>
      </c>
      <c r="Y13" s="2">
        <v>0.67102754599728875</v>
      </c>
      <c r="Z13" s="2">
        <v>0.72241439434404475</v>
      </c>
      <c r="AA13" s="2">
        <v>0.67079855793014509</v>
      </c>
      <c r="AB13" s="2">
        <v>0.72489749759842248</v>
      </c>
      <c r="AC13" s="2">
        <v>0.707181206031543</v>
      </c>
      <c r="AD13" s="2">
        <v>0.67233536948620098</v>
      </c>
      <c r="AE13" s="2">
        <v>0.64917518644906502</v>
      </c>
      <c r="AF13" s="2">
        <v>0.67190062300530073</v>
      </c>
      <c r="AG13" s="2">
        <v>0.71715670835199163</v>
      </c>
      <c r="AH13" s="2">
        <v>0.69469782489693699</v>
      </c>
      <c r="AI13" s="2">
        <v>0.71623871531170913</v>
      </c>
      <c r="AJ13" s="2">
        <v>0.68576605080323305</v>
      </c>
      <c r="AK13" s="2">
        <v>0.68028561869852733</v>
      </c>
      <c r="AL13" s="2">
        <v>0.75084053423717689</v>
      </c>
      <c r="AM13" s="2">
        <v>0.66919664437335946</v>
      </c>
      <c r="AN13" s="2">
        <v>0.72298259315392921</v>
      </c>
      <c r="AO13" s="2">
        <v>0.70165840244119082</v>
      </c>
      <c r="AP13" s="2">
        <v>0.68176946648093251</v>
      </c>
      <c r="AQ13" s="2">
        <v>0.7022435644799806</v>
      </c>
      <c r="AR13" s="2">
        <v>0.68966626549714538</v>
      </c>
      <c r="AS13" s="2">
        <v>0.68726198667407712</v>
      </c>
      <c r="AT13" s="2">
        <v>0.70579449217918155</v>
      </c>
      <c r="AU13" s="2">
        <v>0.67902360052186128</v>
      </c>
      <c r="AV13" s="2">
        <v>0.65293470576672896</v>
      </c>
      <c r="AW13" s="2">
        <v>0.68679522598478482</v>
      </c>
      <c r="AX13" s="2">
        <v>0.69967931578077702</v>
      </c>
      <c r="AY13" s="2">
        <v>0.69519692675015132</v>
      </c>
      <c r="AZ13" s="2">
        <v>0.68689977080619646</v>
      </c>
      <c r="BA13" s="2">
        <v>0.75048219709350728</v>
      </c>
      <c r="BB13" s="2">
        <v>0.72900599503756702</v>
      </c>
      <c r="BC13" s="2">
        <v>0.71512210704410295</v>
      </c>
      <c r="BD13" s="2">
        <v>0.69307152026207397</v>
      </c>
      <c r="BE13" s="2">
        <v>0.65956493693029827</v>
      </c>
      <c r="BF13" s="2">
        <v>0.68834792803577738</v>
      </c>
      <c r="BG13" s="2">
        <v>0.72027557163965361</v>
      </c>
      <c r="BH13" s="2">
        <v>0.71230400403207117</v>
      </c>
      <c r="BI13" s="2">
        <v>0.70153611594816312</v>
      </c>
      <c r="BJ13" s="2">
        <v>0.66587805281172585</v>
      </c>
      <c r="BK13" s="2">
        <v>0.73872237401573049</v>
      </c>
      <c r="BL13" s="2">
        <v>0.71789220182618851</v>
      </c>
      <c r="BM13" s="2">
        <v>0.74307597374907319</v>
      </c>
      <c r="BN13" s="2">
        <v>0.67934797346164044</v>
      </c>
      <c r="BO13" s="2">
        <v>0.70085741668591384</v>
      </c>
      <c r="BP13" s="2">
        <v>0.70077535661785539</v>
      </c>
      <c r="BQ13" s="2">
        <v>0.75684590988308664</v>
      </c>
      <c r="BR13" s="2">
        <v>0.72334162350978737</v>
      </c>
      <c r="BS13" s="2">
        <v>0.75661706501445403</v>
      </c>
      <c r="BT13" s="2">
        <v>0.71622401849802497</v>
      </c>
      <c r="BU13" s="2">
        <v>0.729482342399283</v>
      </c>
      <c r="BV13" s="2">
        <v>0.68239486529329685</v>
      </c>
      <c r="BW13" s="2">
        <v>0.72628162480014546</v>
      </c>
      <c r="BX13" s="2">
        <v>0.70119540612155085</v>
      </c>
      <c r="BY13" s="2">
        <v>0.65606543292881403</v>
      </c>
      <c r="BZ13" s="2">
        <v>0.68391876697102705</v>
      </c>
      <c r="CA13" s="2">
        <v>0.64858867225809036</v>
      </c>
      <c r="CB13" s="2">
        <v>0.62336216959828616</v>
      </c>
      <c r="CC13" s="2">
        <v>0.67860208782207654</v>
      </c>
      <c r="CD13" s="2">
        <v>0.7338128769374348</v>
      </c>
      <c r="CE13" s="2">
        <v>0.6546400032030627</v>
      </c>
      <c r="CF13" s="2">
        <v>0.67632781138835529</v>
      </c>
      <c r="CG13" s="2">
        <v>0.74804873197777555</v>
      </c>
      <c r="CH13" s="2">
        <v>0.66882698501216553</v>
      </c>
      <c r="CI13" s="2">
        <v>0.6523686931490017</v>
      </c>
      <c r="CJ13" s="2">
        <v>0.71072496627085613</v>
      </c>
      <c r="CK13" s="2">
        <v>0.71576360751704327</v>
      </c>
      <c r="CL13" s="2">
        <v>0.71770252663573542</v>
      </c>
      <c r="CM13" s="2">
        <v>0.73681761083628516</v>
      </c>
      <c r="CN13" s="2">
        <v>0.72541664740063683</v>
      </c>
      <c r="CO13" s="2">
        <v>0.72457271279059121</v>
      </c>
      <c r="CP13" s="2">
        <v>0.66107955007887576</v>
      </c>
      <c r="CQ13" s="2">
        <v>0.67519476442130932</v>
      </c>
      <c r="CR13" s="2">
        <v>0.63947655235978329</v>
      </c>
      <c r="CS13" s="2">
        <v>0.68292792612525255</v>
      </c>
      <c r="CT13" s="2">
        <v>0.74732680106339555</v>
      </c>
      <c r="CU13" s="2">
        <v>0.68465375705436182</v>
      </c>
      <c r="CV13" s="2">
        <v>0.69452720224086439</v>
      </c>
      <c r="CW13" s="2">
        <v>0.70807331611589908</v>
      </c>
    </row>
    <row r="14" spans="1:101" x14ac:dyDescent="0.35">
      <c r="A14">
        <v>202301</v>
      </c>
      <c r="B14" s="2">
        <v>0.73048597891828904</v>
      </c>
      <c r="C14" s="2">
        <v>0.74637029066297289</v>
      </c>
      <c r="D14" s="2">
        <v>0.71030806097154409</v>
      </c>
      <c r="E14" s="2">
        <v>0.67458383858363291</v>
      </c>
      <c r="F14" s="2">
        <v>0.75191106226191018</v>
      </c>
      <c r="G14" s="2">
        <v>0.71294268809072237</v>
      </c>
      <c r="H14" s="2">
        <v>0.73035611151132462</v>
      </c>
      <c r="I14" s="2">
        <v>0.7010022343070581</v>
      </c>
      <c r="J14" s="2">
        <v>0.73464996290487194</v>
      </c>
      <c r="K14" s="2">
        <v>0.75758826580198046</v>
      </c>
      <c r="L14" s="2">
        <v>0.76219830193140348</v>
      </c>
      <c r="M14" s="2">
        <v>0.73311555307735166</v>
      </c>
      <c r="N14" s="2">
        <v>0.65356724226967156</v>
      </c>
      <c r="O14" s="2">
        <v>0.74942304970972085</v>
      </c>
      <c r="P14" s="2">
        <v>0.71703517763648761</v>
      </c>
      <c r="Q14" s="2">
        <v>0.73601890729910513</v>
      </c>
      <c r="R14" s="2">
        <v>0.71581186311733469</v>
      </c>
      <c r="S14" s="2">
        <v>0.72470065815467311</v>
      </c>
      <c r="T14" s="2">
        <v>0.74587225711371874</v>
      </c>
      <c r="U14" s="2">
        <v>0.72473222002274951</v>
      </c>
      <c r="V14" s="2">
        <v>0.71227384297099883</v>
      </c>
      <c r="W14" s="2">
        <v>0.67539089560965082</v>
      </c>
      <c r="X14" s="2">
        <v>0.74514572756584008</v>
      </c>
      <c r="Y14" s="2">
        <v>0.70536468568580202</v>
      </c>
      <c r="Z14" s="2">
        <v>0.73371322138020811</v>
      </c>
      <c r="AA14" s="2">
        <v>0.67776396802743211</v>
      </c>
      <c r="AB14" s="2">
        <v>0.74472251493408193</v>
      </c>
      <c r="AC14" s="2">
        <v>0.7378339135552926</v>
      </c>
      <c r="AD14" s="2">
        <v>0.70279519773322652</v>
      </c>
      <c r="AE14" s="2">
        <v>0.6676979686389477</v>
      </c>
      <c r="AF14" s="2">
        <v>0.68658500768083042</v>
      </c>
      <c r="AG14" s="2">
        <v>0.76450575604723692</v>
      </c>
      <c r="AH14" s="2">
        <v>0.71399645824100422</v>
      </c>
      <c r="AI14" s="2">
        <v>0.75484486054096267</v>
      </c>
      <c r="AJ14" s="2">
        <v>0.68271650608017098</v>
      </c>
      <c r="AK14" s="2">
        <v>0.69630338225524191</v>
      </c>
      <c r="AL14" s="2">
        <v>0.74428893009824848</v>
      </c>
      <c r="AM14" s="2">
        <v>0.68772323097861532</v>
      </c>
      <c r="AN14" s="2">
        <v>0.70028274250137867</v>
      </c>
      <c r="AO14" s="2">
        <v>0.72509351616136986</v>
      </c>
      <c r="AP14" s="2">
        <v>0.6974345012859714</v>
      </c>
      <c r="AQ14" s="2">
        <v>0.73619569628699399</v>
      </c>
      <c r="AR14" s="2">
        <v>0.71525579615145018</v>
      </c>
      <c r="AS14" s="2">
        <v>0.71436243600063065</v>
      </c>
      <c r="AT14" s="2">
        <v>0.73276043691797232</v>
      </c>
      <c r="AU14" s="2">
        <v>0.69413733149460422</v>
      </c>
      <c r="AV14" s="2">
        <v>0.68526294687115985</v>
      </c>
      <c r="AW14" s="2">
        <v>0.67347134607533032</v>
      </c>
      <c r="AX14" s="2">
        <v>0.72962784829927607</v>
      </c>
      <c r="AY14" s="2">
        <v>0.68997938119607605</v>
      </c>
      <c r="AZ14" s="2">
        <v>0.70246343331482874</v>
      </c>
      <c r="BA14" s="2">
        <v>0.79815829007819594</v>
      </c>
      <c r="BB14" s="2">
        <v>0.7303075301519405</v>
      </c>
      <c r="BC14" s="2">
        <v>0.74375340281069646</v>
      </c>
      <c r="BD14" s="2">
        <v>0.73822277256887348</v>
      </c>
      <c r="BE14" s="2">
        <v>0.6919576134688914</v>
      </c>
      <c r="BF14" s="2">
        <v>0.72208720980082863</v>
      </c>
      <c r="BG14" s="2">
        <v>0.71667491491092972</v>
      </c>
      <c r="BH14" s="2">
        <v>0.72631378204468533</v>
      </c>
      <c r="BI14" s="2">
        <v>0.74575572570707915</v>
      </c>
      <c r="BJ14" s="2">
        <v>0.69355521762366124</v>
      </c>
      <c r="BK14" s="2">
        <v>0.72128177229853463</v>
      </c>
      <c r="BL14" s="2">
        <v>0.7313452381361526</v>
      </c>
      <c r="BM14" s="2">
        <v>0.73678435169472012</v>
      </c>
      <c r="BN14" s="2">
        <v>0.6929972452983485</v>
      </c>
      <c r="BO14" s="2">
        <v>0.70699569122619987</v>
      </c>
      <c r="BP14" s="2">
        <v>0.69202505813853332</v>
      </c>
      <c r="BQ14" s="2">
        <v>0.7410791039979352</v>
      </c>
      <c r="BR14" s="2">
        <v>0.74020011578689848</v>
      </c>
      <c r="BS14" s="2">
        <v>0.74263535440513906</v>
      </c>
      <c r="BT14" s="2">
        <v>0.74240951563862589</v>
      </c>
      <c r="BU14" s="2">
        <v>0.7489259397194864</v>
      </c>
      <c r="BV14" s="2">
        <v>0.71620524040502609</v>
      </c>
      <c r="BW14" s="2">
        <v>0.73877281475087875</v>
      </c>
      <c r="BX14" s="2">
        <v>0.77600505267832209</v>
      </c>
      <c r="BY14" s="2">
        <v>0.66365793846932031</v>
      </c>
      <c r="BZ14" s="2">
        <v>0.70867705997092956</v>
      </c>
      <c r="CA14" s="2">
        <v>0.64487881451114504</v>
      </c>
      <c r="CB14" s="2">
        <v>0.64191634405506892</v>
      </c>
      <c r="CC14" s="2">
        <v>0.71366599233300376</v>
      </c>
      <c r="CD14" s="2">
        <v>0.77865866650888715</v>
      </c>
      <c r="CE14" s="2">
        <v>0.69625571035208533</v>
      </c>
      <c r="CF14" s="2">
        <v>0.71103953975649481</v>
      </c>
      <c r="CG14" s="2">
        <v>0.77509772997533455</v>
      </c>
      <c r="CH14" s="2">
        <v>0.70846672290310886</v>
      </c>
      <c r="CI14" s="2">
        <v>0.67212134233553733</v>
      </c>
      <c r="CJ14" s="2">
        <v>0.74133925860235639</v>
      </c>
      <c r="CK14" s="2">
        <v>0.749138849954743</v>
      </c>
      <c r="CL14" s="2">
        <v>0.72654204376099929</v>
      </c>
      <c r="CM14" s="2">
        <v>0.76008924017569024</v>
      </c>
      <c r="CN14" s="2">
        <v>0.74311715942820433</v>
      </c>
      <c r="CO14" s="2">
        <v>0.80449344111227628</v>
      </c>
      <c r="CP14" s="2">
        <v>0.70171251661205469</v>
      </c>
      <c r="CQ14" s="2">
        <v>0.69813815059896889</v>
      </c>
      <c r="CR14" s="2">
        <v>0.65263955235864435</v>
      </c>
      <c r="CS14" s="2">
        <v>0.69868938665223534</v>
      </c>
      <c r="CT14" s="2">
        <v>0.71975045096830037</v>
      </c>
      <c r="CU14" s="2">
        <v>0.69478924657709196</v>
      </c>
      <c r="CV14" s="2">
        <v>0.70822821107710332</v>
      </c>
      <c r="CW14" s="2">
        <v>0.74239975012692694</v>
      </c>
    </row>
    <row r="15" spans="1:101" x14ac:dyDescent="0.35">
      <c r="A15">
        <v>202302</v>
      </c>
      <c r="B15" s="2">
        <v>0.70229923081603229</v>
      </c>
      <c r="C15" s="2">
        <v>0.71849146337798253</v>
      </c>
      <c r="D15" s="2">
        <v>0.69251092317335294</v>
      </c>
      <c r="E15" s="2">
        <v>0.67017223902960399</v>
      </c>
      <c r="F15" s="2">
        <v>0.72494034386553874</v>
      </c>
      <c r="G15" s="2">
        <v>0.72261409959052747</v>
      </c>
      <c r="H15" s="2">
        <v>0.72619918061187549</v>
      </c>
      <c r="I15" s="2">
        <v>0.73674943353400124</v>
      </c>
      <c r="J15" s="2">
        <v>0.74006187144167157</v>
      </c>
      <c r="K15" s="2">
        <v>0.76110750232910085</v>
      </c>
      <c r="L15" s="2">
        <v>0.76348669138357306</v>
      </c>
      <c r="M15" s="2">
        <v>0.72656536321459408</v>
      </c>
      <c r="N15" s="2">
        <v>0.63438621730979217</v>
      </c>
      <c r="O15" s="2">
        <v>0.74944265535898702</v>
      </c>
      <c r="P15" s="2">
        <v>0.74553041320158198</v>
      </c>
      <c r="Q15" s="2">
        <v>0.80310962250304618</v>
      </c>
      <c r="R15" s="2">
        <v>0.70711017040287028</v>
      </c>
      <c r="S15" s="2">
        <v>0.74100800648053</v>
      </c>
      <c r="T15" s="2">
        <v>0.77463911165571619</v>
      </c>
      <c r="U15" s="2">
        <v>0.71399553005573202</v>
      </c>
      <c r="V15" s="2">
        <v>0.66284924381852872</v>
      </c>
      <c r="W15" s="2">
        <v>0.69558508150011689</v>
      </c>
      <c r="X15" s="2">
        <v>0.75427122405663249</v>
      </c>
      <c r="Y15" s="2">
        <v>0.70367868263768207</v>
      </c>
      <c r="Z15" s="2">
        <v>0.72630781909580255</v>
      </c>
      <c r="AA15" s="2">
        <v>0.65943348432547944</v>
      </c>
      <c r="AB15" s="2">
        <v>0.73344194862465883</v>
      </c>
      <c r="AC15" s="2">
        <v>0.74529055235156061</v>
      </c>
      <c r="AD15" s="2">
        <v>0.68747138037465894</v>
      </c>
      <c r="AE15" s="2">
        <v>0.69448247932655782</v>
      </c>
      <c r="AF15" s="2">
        <v>0.70054756497056481</v>
      </c>
      <c r="AG15" s="2">
        <v>0.77053251405106715</v>
      </c>
      <c r="AH15" s="2">
        <v>0.74232838001064649</v>
      </c>
      <c r="AI15" s="2">
        <v>0.70464582235044837</v>
      </c>
      <c r="AJ15" s="2">
        <v>0.6767053301067627</v>
      </c>
      <c r="AK15" s="2">
        <v>0.69043194787869611</v>
      </c>
      <c r="AL15" s="2">
        <v>0.74929399042553635</v>
      </c>
      <c r="AM15" s="2">
        <v>0.6967310056626087</v>
      </c>
      <c r="AN15" s="2">
        <v>0.71531348873800227</v>
      </c>
      <c r="AO15" s="2">
        <v>0.73764664173904826</v>
      </c>
      <c r="AP15" s="2">
        <v>0.69995066814776807</v>
      </c>
      <c r="AQ15" s="2">
        <v>0.73239837695805232</v>
      </c>
      <c r="AR15" s="2">
        <v>0.71331790234653514</v>
      </c>
      <c r="AS15" s="2">
        <v>0.69938678236162533</v>
      </c>
      <c r="AT15" s="2">
        <v>0.70891686643109963</v>
      </c>
      <c r="AU15" s="2">
        <v>0.70138825182739839</v>
      </c>
      <c r="AV15" s="2">
        <v>0.66215617746025768</v>
      </c>
      <c r="AW15" s="2">
        <v>0.70298794682864396</v>
      </c>
      <c r="AX15" s="2">
        <v>0.71073819343972067</v>
      </c>
      <c r="AY15" s="2">
        <v>0.71886923213061427</v>
      </c>
      <c r="AZ15" s="2">
        <v>0.69580527741972831</v>
      </c>
      <c r="BA15" s="2">
        <v>0.76638470710531137</v>
      </c>
      <c r="BB15" s="2">
        <v>0.73174193700454393</v>
      </c>
      <c r="BC15" s="2">
        <v>0.72414160678078821</v>
      </c>
      <c r="BD15" s="2">
        <v>0.72669163300323436</v>
      </c>
      <c r="BE15" s="2">
        <v>0.6869825086058069</v>
      </c>
      <c r="BF15" s="2">
        <v>0.72161615500262266</v>
      </c>
      <c r="BG15" s="2">
        <v>0.7323230947560756</v>
      </c>
      <c r="BH15" s="2">
        <v>0.75185602049823486</v>
      </c>
      <c r="BI15" s="2">
        <v>0.74813222349767672</v>
      </c>
      <c r="BJ15" s="2">
        <v>0.68907747528279339</v>
      </c>
      <c r="BK15" s="2">
        <v>0.7513790228033318</v>
      </c>
      <c r="BL15" s="2">
        <v>0.73122144253774435</v>
      </c>
      <c r="BM15" s="2">
        <v>0.75202724073385374</v>
      </c>
      <c r="BN15" s="2">
        <v>0.69226706506111702</v>
      </c>
      <c r="BO15" s="2">
        <v>0.68387550048839485</v>
      </c>
      <c r="BP15" s="2">
        <v>0.69769166911602343</v>
      </c>
      <c r="BQ15" s="2">
        <v>0.75283230059946582</v>
      </c>
      <c r="BR15" s="2">
        <v>0.72778736128371646</v>
      </c>
      <c r="BS15" s="2">
        <v>0.77465187873784525</v>
      </c>
      <c r="BT15" s="2">
        <v>0.7292347922051402</v>
      </c>
      <c r="BU15" s="2">
        <v>0.74423327161152275</v>
      </c>
      <c r="BV15" s="2">
        <v>0.68393328484999372</v>
      </c>
      <c r="BW15" s="2">
        <v>0.75352477925979822</v>
      </c>
      <c r="BX15" s="2">
        <v>0.74088793357757776</v>
      </c>
      <c r="BY15" s="2">
        <v>0.65625549074569667</v>
      </c>
      <c r="BZ15" s="2">
        <v>0.72533156366860108</v>
      </c>
      <c r="CA15" s="2">
        <v>0.66101068217841807</v>
      </c>
      <c r="CB15" s="2">
        <v>0.65354618883804261</v>
      </c>
      <c r="CC15" s="2">
        <v>0.69253200502597623</v>
      </c>
      <c r="CD15" s="2">
        <v>0.76193609887973823</v>
      </c>
      <c r="CE15" s="2">
        <v>0.70469078315190392</v>
      </c>
      <c r="CF15" s="2">
        <v>0.73681395763102575</v>
      </c>
      <c r="CG15" s="2">
        <v>0.73753014658687199</v>
      </c>
      <c r="CH15" s="2">
        <v>0.67684091471313967</v>
      </c>
      <c r="CI15" s="2">
        <v>0.68786963568411685</v>
      </c>
      <c r="CJ15" s="2">
        <v>0.75656276071961115</v>
      </c>
      <c r="CK15" s="2">
        <v>0.75559214427692534</v>
      </c>
      <c r="CL15" s="2">
        <v>0.7403470005821321</v>
      </c>
      <c r="CM15" s="2">
        <v>0.74389560776509089</v>
      </c>
      <c r="CN15" s="2">
        <v>0.75944596376160312</v>
      </c>
      <c r="CO15" s="2">
        <v>0.75463455412246827</v>
      </c>
      <c r="CP15" s="2">
        <v>0.70398874987070548</v>
      </c>
      <c r="CQ15" s="2">
        <v>0.68879534407935017</v>
      </c>
      <c r="CR15" s="2">
        <v>0.67456220307025649</v>
      </c>
      <c r="CS15" s="2">
        <v>0.70883200897762155</v>
      </c>
      <c r="CT15" s="2">
        <v>0.71254947928661305</v>
      </c>
      <c r="CU15" s="2">
        <v>0.72614149444490017</v>
      </c>
      <c r="CV15" s="2">
        <v>0.71448707211840412</v>
      </c>
      <c r="CW15" s="2">
        <v>0.74901897724348121</v>
      </c>
    </row>
    <row r="16" spans="1:101" x14ac:dyDescent="0.35">
      <c r="A16">
        <v>202303</v>
      </c>
      <c r="B16" s="2">
        <v>0.77304554992886487</v>
      </c>
      <c r="C16" s="2">
        <v>0.70280185833758624</v>
      </c>
      <c r="D16" s="2">
        <v>0.69451536369520472</v>
      </c>
      <c r="E16" s="2">
        <v>0.63829923149652201</v>
      </c>
      <c r="F16" s="2">
        <v>0.7116055644763255</v>
      </c>
      <c r="G16" s="2">
        <v>0.73020987072324461</v>
      </c>
      <c r="H16" s="2">
        <v>0.70544186283690846</v>
      </c>
      <c r="I16" s="2">
        <v>0.71069274938432991</v>
      </c>
      <c r="J16" s="2">
        <v>0.71559835382358139</v>
      </c>
      <c r="K16" s="2">
        <v>0.72446556735223333</v>
      </c>
      <c r="L16" s="2">
        <v>0.76304702862357143</v>
      </c>
      <c r="M16" s="2">
        <v>0.73800069584840422</v>
      </c>
      <c r="N16" s="2">
        <v>0.63238187890880282</v>
      </c>
      <c r="O16" s="2">
        <v>0.75376023664112768</v>
      </c>
      <c r="P16" s="2">
        <v>0.7282712281946212</v>
      </c>
      <c r="Q16" s="2">
        <v>0.75895531836180152</v>
      </c>
      <c r="R16" s="2">
        <v>0.72318028563313408</v>
      </c>
      <c r="S16" s="2">
        <v>0.74898898856041274</v>
      </c>
      <c r="T16" s="2">
        <v>0.7442519222038424</v>
      </c>
      <c r="U16" s="2">
        <v>0.71695984359590725</v>
      </c>
      <c r="V16" s="2">
        <v>0.73415045746745045</v>
      </c>
      <c r="W16" s="2">
        <v>0.70099418105869538</v>
      </c>
      <c r="X16" s="2">
        <v>0.74301858603447857</v>
      </c>
      <c r="Y16" s="2">
        <v>0.71372084268684877</v>
      </c>
      <c r="Z16" s="2">
        <v>0.74295400494102226</v>
      </c>
      <c r="AA16" s="2">
        <v>0.70391957711469721</v>
      </c>
      <c r="AB16" s="2">
        <v>0.75178871442289419</v>
      </c>
      <c r="AC16" s="2">
        <v>0.76268923648583831</v>
      </c>
      <c r="AD16" s="2">
        <v>0.69250165084482895</v>
      </c>
      <c r="AE16" s="2">
        <v>0.66205411301673978</v>
      </c>
      <c r="AF16" s="2">
        <v>0.7241860681185367</v>
      </c>
      <c r="AG16" s="2">
        <v>0.74260473406373295</v>
      </c>
      <c r="AH16" s="2">
        <v>0.74326259243048776</v>
      </c>
      <c r="AI16" s="2">
        <v>0.72453792542239503</v>
      </c>
      <c r="AJ16" s="2">
        <v>0.70720272938784801</v>
      </c>
      <c r="AK16" s="2">
        <v>0.70521809047290296</v>
      </c>
      <c r="AL16" s="2">
        <v>0.76532715164952503</v>
      </c>
      <c r="AM16" s="2">
        <v>0.68226028057427135</v>
      </c>
      <c r="AN16" s="2">
        <v>0.7268310322893653</v>
      </c>
      <c r="AO16" s="2">
        <v>0.72188361663028622</v>
      </c>
      <c r="AP16" s="2">
        <v>0.69234191731430716</v>
      </c>
      <c r="AQ16" s="2">
        <v>0.75744600456812028</v>
      </c>
      <c r="AR16" s="2">
        <v>0.69700872008415149</v>
      </c>
      <c r="AS16" s="2">
        <v>0.69227297276080035</v>
      </c>
      <c r="AT16" s="2">
        <v>0.73746516700806974</v>
      </c>
      <c r="AU16" s="2">
        <v>0.71137321769319029</v>
      </c>
      <c r="AV16" s="2">
        <v>0.69718447512973891</v>
      </c>
      <c r="AW16" s="2">
        <v>0.70873249235793934</v>
      </c>
      <c r="AX16" s="2">
        <v>0.71949708281809777</v>
      </c>
      <c r="AY16" s="2">
        <v>0.71482075045676585</v>
      </c>
      <c r="AZ16" s="2">
        <v>0.68874402821700598</v>
      </c>
      <c r="BA16" s="2">
        <v>0.75606350485940144</v>
      </c>
      <c r="BB16" s="2">
        <v>0.71359641495352155</v>
      </c>
      <c r="BC16" s="2">
        <v>0.76317606414442063</v>
      </c>
      <c r="BD16" s="2">
        <v>0.77520217971390182</v>
      </c>
      <c r="BE16" s="2">
        <v>0.69669750739122138</v>
      </c>
      <c r="BF16" s="2">
        <v>0.7057951030398707</v>
      </c>
      <c r="BG16" s="2">
        <v>0.7516548379865714</v>
      </c>
      <c r="BH16" s="2">
        <v>0.73868183525648978</v>
      </c>
      <c r="BI16" s="2">
        <v>0.74584698483678802</v>
      </c>
      <c r="BJ16" s="2">
        <v>0.66860680215107093</v>
      </c>
      <c r="BK16" s="2">
        <v>0.75422741043698849</v>
      </c>
      <c r="BL16" s="2">
        <v>0.75822405040702512</v>
      </c>
      <c r="BM16" s="2">
        <v>0.7482977026993729</v>
      </c>
      <c r="BN16" s="2">
        <v>0.69321775757070259</v>
      </c>
      <c r="BO16" s="2">
        <v>0.7122043703123635</v>
      </c>
      <c r="BP16" s="2">
        <v>0.7067970368994918</v>
      </c>
      <c r="BQ16" s="2">
        <v>0.73523960133659372</v>
      </c>
      <c r="BR16" s="2">
        <v>0.76360607777463019</v>
      </c>
      <c r="BS16" s="2">
        <v>0.75087175127830086</v>
      </c>
      <c r="BT16" s="2">
        <v>0.74483956277728536</v>
      </c>
      <c r="BU16" s="2">
        <v>0.75477312356408843</v>
      </c>
      <c r="BV16" s="2">
        <v>0.72400052095567824</v>
      </c>
      <c r="BW16" s="2">
        <v>0.7396917711583636</v>
      </c>
      <c r="BX16" s="2">
        <v>0.75367438555580135</v>
      </c>
      <c r="BY16" s="2">
        <v>0.65174002856743463</v>
      </c>
      <c r="BZ16" s="2">
        <v>0.69396747019540006</v>
      </c>
      <c r="CA16" s="2">
        <v>0.674990071897556</v>
      </c>
      <c r="CB16" s="2">
        <v>0.66691395312535295</v>
      </c>
      <c r="CC16" s="2">
        <v>0.69320672844818909</v>
      </c>
      <c r="CD16" s="2">
        <v>0.78065994672585681</v>
      </c>
      <c r="CE16" s="2">
        <v>0.68987261990970816</v>
      </c>
      <c r="CF16" s="2">
        <v>0.70245666850645738</v>
      </c>
      <c r="CG16" s="2">
        <v>0.76284672051484514</v>
      </c>
      <c r="CH16" s="2">
        <v>0.72350470975568959</v>
      </c>
      <c r="CI16" s="2">
        <v>0.66716733332550326</v>
      </c>
      <c r="CJ16" s="2">
        <v>0.73299076474970826</v>
      </c>
      <c r="CK16" s="2">
        <v>0.74386024613881929</v>
      </c>
      <c r="CL16" s="2">
        <v>0.76485575760403024</v>
      </c>
      <c r="CM16" s="2">
        <v>0.76940919179783962</v>
      </c>
      <c r="CN16" s="2">
        <v>0.74634192405971211</v>
      </c>
      <c r="CO16" s="2">
        <v>0.75867770219833053</v>
      </c>
      <c r="CP16" s="2">
        <v>0.71024394600196483</v>
      </c>
      <c r="CQ16" s="2">
        <v>0.68192988380038366</v>
      </c>
      <c r="CR16" s="2">
        <v>0.64863012951832133</v>
      </c>
      <c r="CS16" s="2">
        <v>0.70475721055056695</v>
      </c>
      <c r="CT16" s="2">
        <v>0.72497679090079226</v>
      </c>
      <c r="CU16" s="2">
        <v>0.7258255766977143</v>
      </c>
      <c r="CV16" s="2">
        <v>0.71130890853266049</v>
      </c>
      <c r="CW16" s="2">
        <v>0.73471609653215741</v>
      </c>
    </row>
    <row r="17" spans="1:101" x14ac:dyDescent="0.35">
      <c r="A17">
        <v>202304</v>
      </c>
      <c r="B17" s="2">
        <v>0.74091905969920246</v>
      </c>
      <c r="C17" s="2">
        <v>0.70246087210230268</v>
      </c>
      <c r="D17" s="2">
        <v>0.7098004894233938</v>
      </c>
      <c r="E17" s="2">
        <v>0.65524790472507122</v>
      </c>
      <c r="F17" s="2">
        <v>0.69341415886885438</v>
      </c>
      <c r="G17" s="2">
        <v>0.74234916446569721</v>
      </c>
      <c r="H17" s="2">
        <v>0.70587152498505801</v>
      </c>
      <c r="I17" s="2">
        <v>0.71564648907608641</v>
      </c>
      <c r="J17" s="2">
        <v>0.74039130676240827</v>
      </c>
      <c r="K17" s="2">
        <v>0.7417846903301295</v>
      </c>
      <c r="L17" s="2">
        <v>0.75992544395251405</v>
      </c>
      <c r="M17" s="2">
        <v>0.76119724665810506</v>
      </c>
      <c r="N17" s="2">
        <v>0.66596886861972315</v>
      </c>
      <c r="O17" s="2">
        <v>0.74579087417761025</v>
      </c>
      <c r="P17" s="2">
        <v>0.74074776151268507</v>
      </c>
      <c r="Q17" s="2">
        <v>0.74231019732985803</v>
      </c>
      <c r="R17" s="2">
        <v>0.71789696006002468</v>
      </c>
      <c r="S17" s="2">
        <v>0.73412738440765124</v>
      </c>
      <c r="T17" s="2">
        <v>0.73960676380087476</v>
      </c>
      <c r="U17" s="2">
        <v>0.73397324186978441</v>
      </c>
      <c r="V17" s="2">
        <v>0.67902243728018874</v>
      </c>
      <c r="W17" s="2">
        <v>0.69480462135712362</v>
      </c>
      <c r="X17" s="2">
        <v>0.72590056296018912</v>
      </c>
      <c r="Y17" s="2">
        <v>0.69611060708113459</v>
      </c>
      <c r="Z17" s="2">
        <v>0.72947811035798305</v>
      </c>
      <c r="AA17" s="2">
        <v>0.67272055986567736</v>
      </c>
      <c r="AB17" s="2">
        <v>0.72133950061468444</v>
      </c>
      <c r="AC17" s="2">
        <v>0.74517006619817039</v>
      </c>
      <c r="AD17" s="2">
        <v>0.69412757996049324</v>
      </c>
      <c r="AE17" s="2">
        <v>0.68470215999244832</v>
      </c>
      <c r="AF17" s="2">
        <v>0.70880224363207389</v>
      </c>
      <c r="AG17" s="2">
        <v>0.73327581759635074</v>
      </c>
      <c r="AH17" s="2">
        <v>0.74071446684612552</v>
      </c>
      <c r="AI17" s="2">
        <v>0.69338413659803144</v>
      </c>
      <c r="AJ17" s="2">
        <v>0.69409829423514047</v>
      </c>
      <c r="AK17" s="2">
        <v>0.6816062572028081</v>
      </c>
      <c r="AL17" s="2">
        <v>0.7698782038777866</v>
      </c>
      <c r="AM17" s="2">
        <v>0.66794956442335107</v>
      </c>
      <c r="AN17" s="2">
        <v>0.71800836910448507</v>
      </c>
      <c r="AO17" s="2">
        <v>0.73230290911337304</v>
      </c>
      <c r="AP17" s="2">
        <v>0.68738477050809521</v>
      </c>
      <c r="AQ17" s="2">
        <v>0.74313915471272307</v>
      </c>
      <c r="AR17" s="2">
        <v>0.71510450644224954</v>
      </c>
      <c r="AS17" s="2">
        <v>0.71459237147910015</v>
      </c>
      <c r="AT17" s="2">
        <v>0.71843872182059376</v>
      </c>
      <c r="AU17" s="2">
        <v>0.68354490362059028</v>
      </c>
      <c r="AV17" s="2">
        <v>0.68707960189274142</v>
      </c>
      <c r="AW17" s="2">
        <v>0.69264182007535713</v>
      </c>
      <c r="AX17" s="2">
        <v>0.72345037883866281</v>
      </c>
      <c r="AY17" s="2">
        <v>0.70402121749247915</v>
      </c>
      <c r="AZ17" s="2">
        <v>0.7184459626645211</v>
      </c>
      <c r="BA17" s="2">
        <v>0.76048338310921382</v>
      </c>
      <c r="BB17" s="2">
        <v>0.70824010326040077</v>
      </c>
      <c r="BC17" s="2">
        <v>0.7597469164177052</v>
      </c>
      <c r="BD17" s="2">
        <v>0.75194602286774004</v>
      </c>
      <c r="BE17" s="2">
        <v>0.67577785123906386</v>
      </c>
      <c r="BF17" s="2">
        <v>0.71849210959297205</v>
      </c>
      <c r="BG17" s="2">
        <v>0.71589130411435165</v>
      </c>
      <c r="BH17" s="2">
        <v>0.70958086977130963</v>
      </c>
      <c r="BI17" s="2">
        <v>0.75884918633664677</v>
      </c>
      <c r="BJ17" s="2">
        <v>0.69491071107682445</v>
      </c>
      <c r="BK17" s="2">
        <v>0.73294763136279095</v>
      </c>
      <c r="BL17" s="2">
        <v>0.71514607846995892</v>
      </c>
      <c r="BM17" s="2">
        <v>0.74510509185275797</v>
      </c>
      <c r="BN17" s="2">
        <v>0.70935838980960031</v>
      </c>
      <c r="BO17" s="2">
        <v>0.71823683402776606</v>
      </c>
      <c r="BP17" s="2">
        <v>0.73873760723005832</v>
      </c>
      <c r="BQ17" s="2">
        <v>0.77249191045119225</v>
      </c>
      <c r="BR17" s="2">
        <v>0.72779837547966875</v>
      </c>
      <c r="BS17" s="2">
        <v>0.75854085178357311</v>
      </c>
      <c r="BT17" s="2">
        <v>0.73039286510838675</v>
      </c>
      <c r="BU17" s="2">
        <v>0.76405339335236966</v>
      </c>
      <c r="BV17" s="2">
        <v>0.71590759854523933</v>
      </c>
      <c r="BW17" s="2">
        <v>0.74430923712849162</v>
      </c>
      <c r="BX17" s="2">
        <v>0.74369487476678631</v>
      </c>
      <c r="BY17" s="2">
        <v>0.6567979719511825</v>
      </c>
      <c r="BZ17" s="2">
        <v>0.7170555968044382</v>
      </c>
      <c r="CA17" s="2">
        <v>0.65530952329350611</v>
      </c>
      <c r="CB17" s="2">
        <v>0.65827980497716621</v>
      </c>
      <c r="CC17" s="2">
        <v>0.70343670154847593</v>
      </c>
      <c r="CD17" s="2">
        <v>0.72891488467043064</v>
      </c>
      <c r="CE17" s="2">
        <v>0.69653692560850977</v>
      </c>
      <c r="CF17" s="2">
        <v>0.72058014256995406</v>
      </c>
      <c r="CG17" s="2">
        <v>0.77628595205746409</v>
      </c>
      <c r="CH17" s="2">
        <v>0.71313097030773898</v>
      </c>
      <c r="CI17" s="2">
        <v>0.68135677191417354</v>
      </c>
      <c r="CJ17" s="2">
        <v>0.75307615509103243</v>
      </c>
      <c r="CK17" s="2">
        <v>0.72387309202352845</v>
      </c>
      <c r="CL17" s="2">
        <v>0.72950224156743215</v>
      </c>
      <c r="CM17" s="2">
        <v>0.72953927362026549</v>
      </c>
      <c r="CN17" s="2">
        <v>0.73720588626387273</v>
      </c>
      <c r="CO17" s="2">
        <v>0.76336133200186307</v>
      </c>
      <c r="CP17" s="2">
        <v>0.71248257007212523</v>
      </c>
      <c r="CQ17" s="2">
        <v>0.68305253248101583</v>
      </c>
      <c r="CR17" s="2">
        <v>0.61649302399652728</v>
      </c>
      <c r="CS17" s="2">
        <v>0.69693541697923855</v>
      </c>
      <c r="CT17" s="2">
        <v>0.72106945297514047</v>
      </c>
      <c r="CU17" s="2">
        <v>0.70681819408682778</v>
      </c>
      <c r="CV17" s="2">
        <v>0.69817564392024034</v>
      </c>
      <c r="CW17" s="2">
        <v>0.73823195303835953</v>
      </c>
    </row>
    <row r="18" spans="1:101" x14ac:dyDescent="0.35">
      <c r="A18">
        <v>202305</v>
      </c>
      <c r="B18" s="2">
        <v>0.72779124757256175</v>
      </c>
      <c r="C18" s="2">
        <v>0.71526705702670779</v>
      </c>
      <c r="D18" s="2">
        <v>0.69979521296401281</v>
      </c>
      <c r="E18" s="2">
        <v>0.65051051027647788</v>
      </c>
      <c r="F18" s="2">
        <v>0.68638057409830355</v>
      </c>
      <c r="G18" s="2">
        <v>0.71524565914915172</v>
      </c>
      <c r="H18" s="2">
        <v>0.72166642478552312</v>
      </c>
      <c r="I18" s="2">
        <v>0.7104846753499009</v>
      </c>
      <c r="J18" s="2">
        <v>0.72476540329744299</v>
      </c>
      <c r="K18" s="2">
        <v>0.74757290886704253</v>
      </c>
      <c r="L18" s="2">
        <v>0.76424542535761497</v>
      </c>
      <c r="M18" s="2">
        <v>0.74872388376719212</v>
      </c>
      <c r="N18" s="2">
        <v>0.65143163397631887</v>
      </c>
      <c r="O18" s="2">
        <v>0.73665864946915283</v>
      </c>
      <c r="P18" s="2">
        <v>0.69875787471775097</v>
      </c>
      <c r="Q18" s="2">
        <v>0.73168545230384063</v>
      </c>
      <c r="R18" s="2">
        <v>0.69189492392623841</v>
      </c>
      <c r="S18" s="2">
        <v>0.7667572476536153</v>
      </c>
      <c r="T18" s="2">
        <v>0.72578932371224658</v>
      </c>
      <c r="U18" s="2">
        <v>0.74314153538647632</v>
      </c>
      <c r="V18" s="2">
        <v>0.69888600117247768</v>
      </c>
      <c r="W18" s="2">
        <v>0.67914504988747693</v>
      </c>
      <c r="X18" s="2">
        <v>0.71589043667363783</v>
      </c>
      <c r="Y18" s="2">
        <v>0.69167386791789043</v>
      </c>
      <c r="Z18" s="2">
        <v>0.75111206428839039</v>
      </c>
      <c r="AA18" s="2">
        <v>0.69765396378542555</v>
      </c>
      <c r="AB18" s="2">
        <v>0.73466577321880155</v>
      </c>
      <c r="AC18" s="2">
        <v>0.72839723311847226</v>
      </c>
      <c r="AD18" s="2">
        <v>0.69929320828028041</v>
      </c>
      <c r="AE18" s="2">
        <v>0.67522222648197161</v>
      </c>
      <c r="AF18" s="2">
        <v>0.68431484372748097</v>
      </c>
      <c r="AG18" s="2">
        <v>0.73261031661384279</v>
      </c>
      <c r="AH18" s="2">
        <v>0.73198976295731988</v>
      </c>
      <c r="AI18" s="2">
        <v>0.6773862125504666</v>
      </c>
      <c r="AJ18" s="2">
        <v>0.65623340387068962</v>
      </c>
      <c r="AK18" s="2">
        <v>0.7113624809409016</v>
      </c>
      <c r="AL18" s="2">
        <v>0.73461213065849429</v>
      </c>
      <c r="AM18" s="2">
        <v>0.67463197031860089</v>
      </c>
      <c r="AN18" s="2">
        <v>0.70423072808129783</v>
      </c>
      <c r="AO18" s="2">
        <v>0.70048563764813654</v>
      </c>
      <c r="AP18" s="2">
        <v>0.6906583265321492</v>
      </c>
      <c r="AQ18" s="2">
        <v>0.74078022147035727</v>
      </c>
      <c r="AR18" s="2">
        <v>0.71307841757359292</v>
      </c>
      <c r="AS18" s="2">
        <v>0.68750231959403962</v>
      </c>
      <c r="AT18" s="2">
        <v>0.70985043780018076</v>
      </c>
      <c r="AU18" s="2">
        <v>0.69717170511261939</v>
      </c>
      <c r="AV18" s="2">
        <v>0.6723944298552873</v>
      </c>
      <c r="AW18" s="2">
        <v>0.72333016301014441</v>
      </c>
      <c r="AX18" s="2">
        <v>0.68998845179654378</v>
      </c>
      <c r="AY18" s="2">
        <v>0.70725281448434185</v>
      </c>
      <c r="AZ18" s="2">
        <v>0.71737160883699891</v>
      </c>
      <c r="BA18" s="2">
        <v>0.73767034128870912</v>
      </c>
      <c r="BB18" s="2">
        <v>0.68420991928109054</v>
      </c>
      <c r="BC18" s="2">
        <v>0.73408544799886088</v>
      </c>
      <c r="BD18" s="2">
        <v>0.71515510776832025</v>
      </c>
      <c r="BE18" s="2">
        <v>0.68727598325774519</v>
      </c>
      <c r="BF18" s="2">
        <v>0.70087655928368175</v>
      </c>
      <c r="BG18" s="2">
        <v>0.7354687104344062</v>
      </c>
      <c r="BH18" s="2">
        <v>0.75633295571608938</v>
      </c>
      <c r="BI18" s="2">
        <v>0.72959190301183585</v>
      </c>
      <c r="BJ18" s="2">
        <v>0.70663390194594655</v>
      </c>
      <c r="BK18" s="2">
        <v>0.73761758813443523</v>
      </c>
      <c r="BL18" s="2">
        <v>0.71134921115499361</v>
      </c>
      <c r="BM18" s="2">
        <v>0.72164005774217521</v>
      </c>
      <c r="BN18" s="2">
        <v>0.67017180694351397</v>
      </c>
      <c r="BO18" s="2">
        <v>0.68532462695116614</v>
      </c>
      <c r="BP18" s="2">
        <v>0.72882409720831565</v>
      </c>
      <c r="BQ18" s="2">
        <v>0.73899032440887524</v>
      </c>
      <c r="BR18" s="2">
        <v>0.74050848773291567</v>
      </c>
      <c r="BS18" s="2">
        <v>0.77239763922142257</v>
      </c>
      <c r="BT18" s="2">
        <v>0.72449303999590853</v>
      </c>
      <c r="BU18" s="2">
        <v>0.7142984819463033</v>
      </c>
      <c r="BV18" s="2">
        <v>0.68385514233099653</v>
      </c>
      <c r="BW18" s="2">
        <v>0.74722940504547342</v>
      </c>
      <c r="BX18" s="2">
        <v>0.73226949732673552</v>
      </c>
      <c r="BY18" s="2">
        <v>0.64352812718079455</v>
      </c>
      <c r="BZ18" s="2">
        <v>0.7145005805314395</v>
      </c>
      <c r="CA18" s="2">
        <v>0.66292957379693551</v>
      </c>
      <c r="CB18" s="2">
        <v>0.65420808685403442</v>
      </c>
      <c r="CC18" s="2">
        <v>0.69265949396215054</v>
      </c>
      <c r="CD18" s="2">
        <v>0.73071245586745148</v>
      </c>
      <c r="CE18" s="2">
        <v>0.68035618166676026</v>
      </c>
      <c r="CF18" s="2">
        <v>0.731312014193787</v>
      </c>
      <c r="CG18" s="2">
        <v>0.72401845293540734</v>
      </c>
      <c r="CH18" s="2">
        <v>0.7021522784245825</v>
      </c>
      <c r="CI18" s="2">
        <v>0.6471889217763872</v>
      </c>
      <c r="CJ18" s="2">
        <v>0.75754415801698449</v>
      </c>
      <c r="CK18" s="2">
        <v>0.70797123737822931</v>
      </c>
      <c r="CL18" s="2">
        <v>0.72885029984008032</v>
      </c>
      <c r="CM18" s="2">
        <v>0.75643309280097071</v>
      </c>
      <c r="CN18" s="2">
        <v>0.74085036515767488</v>
      </c>
      <c r="CO18" s="2">
        <v>0.74377132756501985</v>
      </c>
      <c r="CP18" s="2">
        <v>0.71652425365880912</v>
      </c>
      <c r="CQ18" s="2">
        <v>0.66470452064716845</v>
      </c>
      <c r="CR18" s="2">
        <v>0.65678234355712295</v>
      </c>
      <c r="CS18" s="2">
        <v>0.68044744040384786</v>
      </c>
      <c r="CT18" s="2">
        <v>0.71496856362575023</v>
      </c>
      <c r="CU18" s="2">
        <v>0.6867789942194974</v>
      </c>
      <c r="CV18" s="2">
        <v>0.70047284845198743</v>
      </c>
      <c r="CW18" s="2">
        <v>0.73573441190494848</v>
      </c>
    </row>
    <row r="19" spans="1:101" x14ac:dyDescent="0.35">
      <c r="A19">
        <v>202306</v>
      </c>
      <c r="B19" s="2">
        <v>0.71494632637583122</v>
      </c>
      <c r="C19" s="2">
        <v>0.69098228658018246</v>
      </c>
      <c r="D19" s="2">
        <v>0.70073126263764884</v>
      </c>
      <c r="E19" s="2">
        <v>0.65353171219355011</v>
      </c>
      <c r="F19" s="2">
        <v>0.7358756651839321</v>
      </c>
      <c r="G19" s="2">
        <v>0.73375005077051692</v>
      </c>
      <c r="H19" s="2">
        <v>0.72022959364947237</v>
      </c>
      <c r="I19" s="2">
        <v>0.67993200435270107</v>
      </c>
      <c r="J19" s="2">
        <v>0.69444092131228774</v>
      </c>
      <c r="K19" s="2">
        <v>0.73284068992905238</v>
      </c>
      <c r="L19" s="2">
        <v>0.76041262177905988</v>
      </c>
      <c r="M19" s="2">
        <v>0.71645122042405995</v>
      </c>
      <c r="N19" s="2">
        <v>0.63458274537803017</v>
      </c>
      <c r="O19" s="2">
        <v>0.75376850125821282</v>
      </c>
      <c r="P19" s="2">
        <v>0.71588774186689474</v>
      </c>
      <c r="Q19" s="2">
        <v>0.79080620561055903</v>
      </c>
      <c r="R19" s="2">
        <v>0.73252912860243236</v>
      </c>
      <c r="S19" s="2">
        <v>0.73332215535692713</v>
      </c>
      <c r="T19" s="2">
        <v>0.73717602954586736</v>
      </c>
      <c r="U19" s="2">
        <v>0.71162418430345553</v>
      </c>
      <c r="V19" s="2">
        <v>0.69206793064514638</v>
      </c>
      <c r="W19" s="2">
        <v>0.69896490224183638</v>
      </c>
      <c r="X19" s="2">
        <v>0.72804123032315904</v>
      </c>
      <c r="Y19" s="2">
        <v>0.67995473577695031</v>
      </c>
      <c r="Z19" s="2">
        <v>0.75241859718289306</v>
      </c>
      <c r="AA19" s="2">
        <v>0.68751057584283271</v>
      </c>
      <c r="AB19" s="2">
        <v>0.69541449216158446</v>
      </c>
      <c r="AC19" s="2">
        <v>0.71491243819115946</v>
      </c>
      <c r="AD19" s="2">
        <v>0.69830898260102225</v>
      </c>
      <c r="AE19" s="2">
        <v>0.67341120950618605</v>
      </c>
      <c r="AF19" s="2">
        <v>0.70016969319389433</v>
      </c>
      <c r="AG19" s="2">
        <v>0.75945260599295961</v>
      </c>
      <c r="AH19" s="2">
        <v>0.69632333847939953</v>
      </c>
      <c r="AI19" s="2">
        <v>0.72328918693819777</v>
      </c>
      <c r="AJ19" s="2">
        <v>0.69898785444386868</v>
      </c>
      <c r="AK19" s="2">
        <v>0.68672140932286685</v>
      </c>
      <c r="AL19" s="2">
        <v>0.75639471666592917</v>
      </c>
      <c r="AM19" s="2">
        <v>0.66241431719282018</v>
      </c>
      <c r="AN19" s="2">
        <v>0.71657995645955719</v>
      </c>
      <c r="AO19" s="2">
        <v>0.70532095908911263</v>
      </c>
      <c r="AP19" s="2">
        <v>0.68209434150120229</v>
      </c>
      <c r="AQ19" s="2">
        <v>0.75153667299871096</v>
      </c>
      <c r="AR19" s="2">
        <v>0.69629270427620205</v>
      </c>
      <c r="AS19" s="2">
        <v>0.68520025099157245</v>
      </c>
      <c r="AT19" s="2">
        <v>0.69814033214440852</v>
      </c>
      <c r="AU19" s="2">
        <v>0.66471201645110078</v>
      </c>
      <c r="AV19" s="2">
        <v>0.70988341323621063</v>
      </c>
      <c r="AW19" s="2">
        <v>0.70304678332040316</v>
      </c>
      <c r="AX19" s="2">
        <v>0.70850401988540024</v>
      </c>
      <c r="AY19" s="2">
        <v>0.71669731755308708</v>
      </c>
      <c r="AZ19" s="2">
        <v>0.69100435413631534</v>
      </c>
      <c r="BA19" s="2">
        <v>0.76403046281465781</v>
      </c>
      <c r="BB19" s="2">
        <v>0.73873969400567918</v>
      </c>
      <c r="BC19" s="2">
        <v>0.74554423911880285</v>
      </c>
      <c r="BD19" s="2">
        <v>0.74497665213954278</v>
      </c>
      <c r="BE19" s="2">
        <v>0.68890797392382452</v>
      </c>
      <c r="BF19" s="2">
        <v>0.71302425200480934</v>
      </c>
      <c r="BG19" s="2">
        <v>0.72070254579156801</v>
      </c>
      <c r="BH19" s="2">
        <v>0.74854191495392641</v>
      </c>
      <c r="BI19" s="2">
        <v>0.75052694447538959</v>
      </c>
      <c r="BJ19" s="2">
        <v>0.69869317594755431</v>
      </c>
      <c r="BK19" s="2">
        <v>0.74737372342830188</v>
      </c>
      <c r="BL19" s="2">
        <v>0.73346516071543966</v>
      </c>
      <c r="BM19" s="2">
        <v>0.71471866295392372</v>
      </c>
      <c r="BN19" s="2">
        <v>0.69508897573541872</v>
      </c>
      <c r="BO19" s="2">
        <v>0.69151707033717458</v>
      </c>
      <c r="BP19" s="2">
        <v>0.72601491605001822</v>
      </c>
      <c r="BQ19" s="2">
        <v>0.75185080802589943</v>
      </c>
      <c r="BR19" s="2">
        <v>0.74891845059669637</v>
      </c>
      <c r="BS19" s="2">
        <v>0.76310607025815769</v>
      </c>
      <c r="BT19" s="2">
        <v>0.72545439002401946</v>
      </c>
      <c r="BU19" s="2">
        <v>0.76212304222655436</v>
      </c>
      <c r="BV19" s="2">
        <v>0.69202072145108229</v>
      </c>
      <c r="BW19" s="2">
        <v>0.74391954564027007</v>
      </c>
      <c r="BX19" s="2">
        <v>0.74726181884242227</v>
      </c>
      <c r="BY19" s="2">
        <v>0.64151778239844404</v>
      </c>
      <c r="BZ19" s="2">
        <v>0.69244933107185391</v>
      </c>
      <c r="CA19" s="2">
        <v>0.6778330659073003</v>
      </c>
      <c r="CB19" s="2">
        <v>0.6446372877483485</v>
      </c>
      <c r="CC19" s="2">
        <v>0.70998983005442606</v>
      </c>
      <c r="CD19" s="2">
        <v>0.73703180487151587</v>
      </c>
      <c r="CE19" s="2">
        <v>0.65068129773182271</v>
      </c>
      <c r="CF19" s="2">
        <v>0.70555446008651357</v>
      </c>
      <c r="CG19" s="2">
        <v>0.7217043402753871</v>
      </c>
      <c r="CH19" s="2">
        <v>0.72105516177527951</v>
      </c>
      <c r="CI19" s="2">
        <v>0.63419301202007905</v>
      </c>
      <c r="CJ19" s="2">
        <v>0.7528098657111415</v>
      </c>
      <c r="CK19" s="2">
        <v>0.72202854507168923</v>
      </c>
      <c r="CL19" s="2">
        <v>0.70086949073117111</v>
      </c>
      <c r="CM19" s="2">
        <v>0.7553337632524475</v>
      </c>
      <c r="CN19" s="2">
        <v>0.74232353328920819</v>
      </c>
      <c r="CO19" s="2">
        <v>0.76611326839293969</v>
      </c>
      <c r="CP19" s="2">
        <v>0.68502927293611704</v>
      </c>
      <c r="CQ19" s="2">
        <v>0.70655373416358713</v>
      </c>
      <c r="CR19" s="2">
        <v>0.60061552331029711</v>
      </c>
      <c r="CS19" s="2">
        <v>0.7101190808709601</v>
      </c>
      <c r="CT19" s="2">
        <v>0.69794904128246993</v>
      </c>
      <c r="CU19" s="2">
        <v>0.70969127542201682</v>
      </c>
      <c r="CV19" s="2">
        <v>0.67440696185890847</v>
      </c>
      <c r="CW19" s="2">
        <v>0.72402010525028382</v>
      </c>
    </row>
    <row r="20" spans="1:101" x14ac:dyDescent="0.35">
      <c r="A20">
        <v>202307</v>
      </c>
      <c r="B20" s="2">
        <v>0.74849323110475618</v>
      </c>
      <c r="C20" s="2">
        <v>0.75669057661573635</v>
      </c>
      <c r="D20" s="2">
        <v>0.68508541686317115</v>
      </c>
      <c r="E20" s="2">
        <v>0.65098115774937582</v>
      </c>
      <c r="F20" s="2">
        <v>0.72397997182308538</v>
      </c>
      <c r="G20" s="2">
        <v>0.75354849368268739</v>
      </c>
      <c r="H20" s="2">
        <v>0.72913949873109785</v>
      </c>
      <c r="I20" s="2">
        <v>0.7127441721265968</v>
      </c>
      <c r="J20" s="2">
        <v>0.72788469569097647</v>
      </c>
      <c r="K20" s="2">
        <v>0.77476210460578199</v>
      </c>
      <c r="L20" s="2">
        <v>0.78814743301193124</v>
      </c>
      <c r="M20" s="2">
        <v>0.75768749430722471</v>
      </c>
      <c r="N20" s="2">
        <v>0.66523674221355156</v>
      </c>
      <c r="O20" s="2">
        <v>0.75551652837989702</v>
      </c>
      <c r="P20" s="2">
        <v>0.78242011664254152</v>
      </c>
      <c r="Q20" s="2">
        <v>0.76142668658429891</v>
      </c>
      <c r="R20" s="2">
        <v>0.70880893762801522</v>
      </c>
      <c r="S20" s="2">
        <v>0.80247468495273133</v>
      </c>
      <c r="T20" s="2">
        <v>0.76584545563361595</v>
      </c>
      <c r="U20" s="2">
        <v>0.7318986265816847</v>
      </c>
      <c r="V20" s="2">
        <v>0.71630363140955156</v>
      </c>
      <c r="W20" s="2">
        <v>0.69287835701016232</v>
      </c>
      <c r="X20" s="2">
        <v>0.77955095658705453</v>
      </c>
      <c r="Y20" s="2">
        <v>0.71163961027053513</v>
      </c>
      <c r="Z20" s="2">
        <v>0.75108931952181535</v>
      </c>
      <c r="AA20" s="2">
        <v>0.67151217011549347</v>
      </c>
      <c r="AB20" s="2">
        <v>0.74294706226995755</v>
      </c>
      <c r="AC20" s="2">
        <v>0.76385878210817126</v>
      </c>
      <c r="AD20" s="2">
        <v>0.68728089114552626</v>
      </c>
      <c r="AE20" s="2">
        <v>0.67562032234452885</v>
      </c>
      <c r="AF20" s="2">
        <v>0.70602116766898604</v>
      </c>
      <c r="AG20" s="2">
        <v>0.7348077904206779</v>
      </c>
      <c r="AH20" s="2">
        <v>0.73277384945115209</v>
      </c>
      <c r="AI20" s="2">
        <v>0.69685994873535906</v>
      </c>
      <c r="AJ20" s="2">
        <v>0.69309825328610897</v>
      </c>
      <c r="AK20" s="2">
        <v>0.66937374636598257</v>
      </c>
      <c r="AL20" s="2">
        <v>0.72694876546820941</v>
      </c>
      <c r="AM20" s="2">
        <v>0.69536290991690985</v>
      </c>
      <c r="AN20" s="2">
        <v>0.69898621170094843</v>
      </c>
      <c r="AO20" s="2">
        <v>0.69202637004017409</v>
      </c>
      <c r="AP20" s="2">
        <v>0.70477675083802294</v>
      </c>
      <c r="AQ20" s="2">
        <v>0.7690902752093034</v>
      </c>
      <c r="AR20" s="2">
        <v>0.71067230471763565</v>
      </c>
      <c r="AS20" s="2">
        <v>0.72862704625092334</v>
      </c>
      <c r="AT20" s="2">
        <v>0.71760330797190319</v>
      </c>
      <c r="AU20" s="2">
        <v>0.68042568367869938</v>
      </c>
      <c r="AV20" s="2">
        <v>0.67590824662391524</v>
      </c>
      <c r="AW20" s="2">
        <v>0.70840345375317915</v>
      </c>
      <c r="AX20" s="2">
        <v>0.74597593889406488</v>
      </c>
      <c r="AY20" s="2">
        <v>0.69899277387936709</v>
      </c>
      <c r="AZ20" s="2">
        <v>0.68055401739966892</v>
      </c>
      <c r="BA20" s="2">
        <v>0.7633673775395895</v>
      </c>
      <c r="BB20" s="2">
        <v>0.7530442374634283</v>
      </c>
      <c r="BC20" s="2">
        <v>0.73638664631071848</v>
      </c>
      <c r="BD20" s="2">
        <v>0.72746899121883524</v>
      </c>
      <c r="BE20" s="2">
        <v>0.68634620251709855</v>
      </c>
      <c r="BF20" s="2">
        <v>0.70380327527152298</v>
      </c>
      <c r="BG20" s="2">
        <v>0.75587203970324812</v>
      </c>
      <c r="BH20" s="2">
        <v>0.72712696539636335</v>
      </c>
      <c r="BI20" s="2">
        <v>0.78094179292328558</v>
      </c>
      <c r="BJ20" s="2">
        <v>0.68315545119120713</v>
      </c>
      <c r="BK20" s="2">
        <v>0.74153176751663374</v>
      </c>
      <c r="BL20" s="2">
        <v>0.72700953050460337</v>
      </c>
      <c r="BM20" s="2">
        <v>0.7389899730096372</v>
      </c>
      <c r="BN20" s="2">
        <v>0.71938943071968575</v>
      </c>
      <c r="BO20" s="2">
        <v>0.69858350290769355</v>
      </c>
      <c r="BP20" s="2">
        <v>0.71881746299557814</v>
      </c>
      <c r="BQ20" s="2">
        <v>0.7314507268888284</v>
      </c>
      <c r="BR20" s="2">
        <v>0.74572561810907401</v>
      </c>
      <c r="BS20" s="2">
        <v>0.8072913576637768</v>
      </c>
      <c r="BT20" s="2">
        <v>0.74527212221813666</v>
      </c>
      <c r="BU20" s="2">
        <v>0.80155506376082297</v>
      </c>
      <c r="BV20" s="2">
        <v>0.72112588968904523</v>
      </c>
      <c r="BW20" s="2">
        <v>0.72127685700237487</v>
      </c>
      <c r="BX20" s="2">
        <v>0.75651509125715344</v>
      </c>
      <c r="BY20" s="2">
        <v>0.64160996722705732</v>
      </c>
      <c r="BZ20" s="2">
        <v>0.75033506609259193</v>
      </c>
      <c r="CA20" s="2">
        <v>0.64868578118639952</v>
      </c>
      <c r="CB20" s="2">
        <v>0.66180438819048792</v>
      </c>
      <c r="CC20" s="2">
        <v>0.76609107971084334</v>
      </c>
      <c r="CD20" s="2">
        <v>0.73945485063811967</v>
      </c>
      <c r="CE20" s="2">
        <v>0.6756310149695286</v>
      </c>
      <c r="CF20" s="2">
        <v>0.70825348850067049</v>
      </c>
      <c r="CG20" s="2">
        <v>0.75664762028703514</v>
      </c>
      <c r="CH20" s="2">
        <v>0.72037022831090058</v>
      </c>
      <c r="CI20" s="2">
        <v>0.66024409800703043</v>
      </c>
      <c r="CJ20" s="2">
        <v>0.75008925113045455</v>
      </c>
      <c r="CK20" s="2">
        <v>0.73318597155427712</v>
      </c>
      <c r="CL20" s="2">
        <v>0.76516462349618741</v>
      </c>
      <c r="CM20" s="2">
        <v>0.7551426531481189</v>
      </c>
      <c r="CN20" s="2">
        <v>0.77393846938341693</v>
      </c>
      <c r="CO20" s="2">
        <v>0.75471749810244459</v>
      </c>
      <c r="CP20" s="2">
        <v>0.69524376558941803</v>
      </c>
      <c r="CQ20" s="2">
        <v>0.712824085169385</v>
      </c>
      <c r="CR20" s="2">
        <v>0.64812335068857962</v>
      </c>
      <c r="CS20" s="2">
        <v>0.6900037467172041</v>
      </c>
      <c r="CT20" s="2">
        <v>0.73440984541816934</v>
      </c>
      <c r="CU20" s="2">
        <v>0.7171835687992808</v>
      </c>
      <c r="CV20" s="2">
        <v>0.7446520170262475</v>
      </c>
      <c r="CW20" s="2">
        <v>0.7324032586924536</v>
      </c>
    </row>
    <row r="21" spans="1:101" x14ac:dyDescent="0.35">
      <c r="A21">
        <v>202308</v>
      </c>
      <c r="B21" s="2">
        <v>0.75869287017195941</v>
      </c>
      <c r="C21" s="2">
        <v>0.70980043249841251</v>
      </c>
      <c r="D21" s="2">
        <v>0.69671265008717553</v>
      </c>
      <c r="E21" s="2">
        <v>0.67736710180030402</v>
      </c>
      <c r="F21" s="2">
        <v>0.71787878017805162</v>
      </c>
      <c r="G21" s="2">
        <v>0.72178363234539156</v>
      </c>
      <c r="H21" s="2">
        <v>0.73802897229327369</v>
      </c>
      <c r="I21" s="2">
        <v>0.71212278346280766</v>
      </c>
      <c r="J21" s="2">
        <v>0.70485522510033671</v>
      </c>
      <c r="K21" s="2">
        <v>0.72112509055565255</v>
      </c>
      <c r="L21" s="2">
        <v>0.79538021760811684</v>
      </c>
      <c r="M21" s="2">
        <v>0.73295568821743928</v>
      </c>
      <c r="N21" s="2">
        <v>0.65619090444488903</v>
      </c>
      <c r="O21" s="2">
        <v>0.73166413895801441</v>
      </c>
      <c r="P21" s="2">
        <v>0.78126060035465683</v>
      </c>
      <c r="Q21" s="2">
        <v>0.73834131563221772</v>
      </c>
      <c r="R21" s="2">
        <v>0.72075376373148337</v>
      </c>
      <c r="S21" s="2">
        <v>0.80144296050372887</v>
      </c>
      <c r="T21" s="2">
        <v>0.77415670329117836</v>
      </c>
      <c r="U21" s="2">
        <v>0.71513599407343054</v>
      </c>
      <c r="V21" s="2">
        <v>0.68988675257466281</v>
      </c>
      <c r="W21" s="2">
        <v>0.69968515807601139</v>
      </c>
      <c r="X21" s="2">
        <v>0.75620205569807253</v>
      </c>
      <c r="Y21" s="2">
        <v>0.71280964422358029</v>
      </c>
      <c r="Z21" s="2">
        <v>0.74917783050285158</v>
      </c>
      <c r="AA21" s="2">
        <v>0.67789773448527901</v>
      </c>
      <c r="AB21" s="2">
        <v>0.75277509826792444</v>
      </c>
      <c r="AC21" s="2">
        <v>0.77513039458017186</v>
      </c>
      <c r="AD21" s="2">
        <v>0.70445760620583331</v>
      </c>
      <c r="AE21" s="2">
        <v>0.68180341479739814</v>
      </c>
      <c r="AF21" s="2">
        <v>0.69411539396967659</v>
      </c>
      <c r="AG21" s="2">
        <v>0.73483108676850628</v>
      </c>
      <c r="AH21" s="2">
        <v>0.74159608690784939</v>
      </c>
      <c r="AI21" s="2">
        <v>0.70003082979669795</v>
      </c>
      <c r="AJ21" s="2">
        <v>0.68593332589855094</v>
      </c>
      <c r="AK21" s="2">
        <v>0.66968765333259705</v>
      </c>
      <c r="AL21" s="2">
        <v>0.76332415677912291</v>
      </c>
      <c r="AM21" s="2">
        <v>0.67935395270427645</v>
      </c>
      <c r="AN21" s="2">
        <v>0.74141066132840694</v>
      </c>
      <c r="AO21" s="2">
        <v>0.68274059878444315</v>
      </c>
      <c r="AP21" s="2">
        <v>0.69065571400436077</v>
      </c>
      <c r="AQ21" s="2">
        <v>0.73248796080137801</v>
      </c>
      <c r="AR21" s="2">
        <v>0.70463383670774327</v>
      </c>
      <c r="AS21" s="2">
        <v>0.72862781358766648</v>
      </c>
      <c r="AT21" s="2">
        <v>0.71160985948570332</v>
      </c>
      <c r="AU21" s="2">
        <v>0.68723033686033241</v>
      </c>
      <c r="AV21" s="2">
        <v>0.66124520082298988</v>
      </c>
      <c r="AW21" s="2">
        <v>0.69718209894140437</v>
      </c>
      <c r="AX21" s="2">
        <v>0.70476903858081974</v>
      </c>
      <c r="AY21" s="2">
        <v>0.69846229988137309</v>
      </c>
      <c r="AZ21" s="2">
        <v>0.70047148944813942</v>
      </c>
      <c r="BA21" s="2">
        <v>0.78767839136717588</v>
      </c>
      <c r="BB21" s="2">
        <v>0.77344569861042523</v>
      </c>
      <c r="BC21" s="2">
        <v>0.74727997015501535</v>
      </c>
      <c r="BD21" s="2">
        <v>0.73618070410510028</v>
      </c>
      <c r="BE21" s="2">
        <v>0.68182343168352966</v>
      </c>
      <c r="BF21" s="2">
        <v>0.70198558789209708</v>
      </c>
      <c r="BG21" s="2">
        <v>0.74583848059061675</v>
      </c>
      <c r="BH21" s="2">
        <v>0.72110112543955029</v>
      </c>
      <c r="BI21" s="2">
        <v>0.78123675242116597</v>
      </c>
      <c r="BJ21" s="2">
        <v>0.67327643485183242</v>
      </c>
      <c r="BK21" s="2">
        <v>0.71336307366578433</v>
      </c>
      <c r="BL21" s="2">
        <v>0.71032786642292212</v>
      </c>
      <c r="BM21" s="2">
        <v>0.76287258583146567</v>
      </c>
      <c r="BN21" s="2">
        <v>0.73495265948861521</v>
      </c>
      <c r="BO21" s="2">
        <v>0.66240218126279593</v>
      </c>
      <c r="BP21" s="2">
        <v>0.72966252377513408</v>
      </c>
      <c r="BQ21" s="2">
        <v>0.76172095204679091</v>
      </c>
      <c r="BR21" s="2">
        <v>0.73786836878673856</v>
      </c>
      <c r="BS21" s="2">
        <v>0.78268705973200936</v>
      </c>
      <c r="BT21" s="2">
        <v>0.72883755178419118</v>
      </c>
      <c r="BU21" s="2">
        <v>0.77746430201517858</v>
      </c>
      <c r="BV21" s="2">
        <v>0.70216245320659643</v>
      </c>
      <c r="BW21" s="2">
        <v>0.741168953385691</v>
      </c>
      <c r="BX21" s="2">
        <v>0.7348186308057767</v>
      </c>
      <c r="BY21" s="2">
        <v>0.65470126358027725</v>
      </c>
      <c r="BZ21" s="2">
        <v>0.73994894562523017</v>
      </c>
      <c r="CA21" s="2">
        <v>0.65540960754202104</v>
      </c>
      <c r="CB21" s="2">
        <v>0.69623490525432419</v>
      </c>
      <c r="CC21" s="2">
        <v>0.72022306232780897</v>
      </c>
      <c r="CD21" s="2">
        <v>0.74046220053733913</v>
      </c>
      <c r="CE21" s="2">
        <v>0.66892962223117269</v>
      </c>
      <c r="CF21" s="2">
        <v>0.71552910737805375</v>
      </c>
      <c r="CG21" s="2">
        <v>0.74158859304822256</v>
      </c>
      <c r="CH21" s="2">
        <v>0.71838769829849236</v>
      </c>
      <c r="CI21" s="2">
        <v>0.65111933625089646</v>
      </c>
      <c r="CJ21" s="2">
        <v>0.75204576254093169</v>
      </c>
      <c r="CK21" s="2">
        <v>0.74639061869990397</v>
      </c>
      <c r="CL21" s="2">
        <v>0.76782147459260108</v>
      </c>
      <c r="CM21" s="2">
        <v>0.75139734345659515</v>
      </c>
      <c r="CN21" s="2">
        <v>0.75881343512047594</v>
      </c>
      <c r="CO21" s="2">
        <v>0.74669591062491281</v>
      </c>
      <c r="CP21" s="2">
        <v>0.69249272520051652</v>
      </c>
      <c r="CQ21" s="2">
        <v>0.68493989210981687</v>
      </c>
      <c r="CR21" s="2">
        <v>0.66173957923828663</v>
      </c>
      <c r="CS21" s="2">
        <v>0.69106539047713222</v>
      </c>
      <c r="CT21" s="2">
        <v>0.71451536935508508</v>
      </c>
      <c r="CU21" s="2">
        <v>0.73116537077450294</v>
      </c>
      <c r="CV21" s="2">
        <v>0.72905934770530756</v>
      </c>
      <c r="CW21" s="2">
        <v>0.71016846541755252</v>
      </c>
    </row>
    <row r="22" spans="1:101" x14ac:dyDescent="0.35">
      <c r="A22">
        <v>202309</v>
      </c>
      <c r="B22" s="2">
        <v>0.74756541140901922</v>
      </c>
      <c r="C22" s="2">
        <v>0.71510726153428228</v>
      </c>
      <c r="D22" s="2">
        <v>0.69266012066116867</v>
      </c>
      <c r="E22" s="2">
        <v>0.6695803641695155</v>
      </c>
      <c r="F22" s="2">
        <v>0.69844012184021598</v>
      </c>
      <c r="G22" s="2">
        <v>0.74981870299099385</v>
      </c>
      <c r="H22" s="2">
        <v>0.7069471966597427</v>
      </c>
      <c r="I22" s="2">
        <v>0.71979356084888213</v>
      </c>
      <c r="J22" s="2">
        <v>0.75910381288316953</v>
      </c>
      <c r="K22" s="2">
        <v>0.72435175656402284</v>
      </c>
      <c r="L22" s="2">
        <v>0.78512650387696392</v>
      </c>
      <c r="M22" s="2">
        <v>0.74723652860368839</v>
      </c>
      <c r="N22" s="2">
        <v>0.64485972039553108</v>
      </c>
      <c r="O22" s="2">
        <v>0.72237346309174222</v>
      </c>
      <c r="P22" s="2">
        <v>0.73876888034669586</v>
      </c>
      <c r="Q22" s="2">
        <v>0.761644147869318</v>
      </c>
      <c r="R22" s="2">
        <v>0.71153117838448543</v>
      </c>
      <c r="S22" s="2">
        <v>0.76630745994030969</v>
      </c>
      <c r="T22" s="2">
        <v>0.78089364888861434</v>
      </c>
      <c r="U22" s="2">
        <v>0.69946149545080782</v>
      </c>
      <c r="V22" s="2">
        <v>0.67947902283513062</v>
      </c>
      <c r="W22" s="2">
        <v>0.68748480331334849</v>
      </c>
      <c r="X22" s="2">
        <v>0.79788809306460484</v>
      </c>
      <c r="Y22" s="2">
        <v>0.69171493195759126</v>
      </c>
      <c r="Z22" s="2">
        <v>0.71764694457249301</v>
      </c>
      <c r="AA22" s="2">
        <v>0.66267008016988271</v>
      </c>
      <c r="AB22" s="2">
        <v>0.72936825320313314</v>
      </c>
      <c r="AC22" s="2">
        <v>0.78012002247281531</v>
      </c>
      <c r="AD22" s="2">
        <v>0.6903402353484932</v>
      </c>
      <c r="AE22" s="2">
        <v>0.66298169173235211</v>
      </c>
      <c r="AF22" s="2">
        <v>0.6835567996058568</v>
      </c>
      <c r="AG22" s="2">
        <v>0.73015063373135625</v>
      </c>
      <c r="AH22" s="2">
        <v>0.7243416989825352</v>
      </c>
      <c r="AI22" s="2">
        <v>0.73464131229691043</v>
      </c>
      <c r="AJ22" s="2">
        <v>0.67804816356021047</v>
      </c>
      <c r="AK22" s="2">
        <v>0.68182271638050485</v>
      </c>
      <c r="AL22" s="2">
        <v>0.77787095492724001</v>
      </c>
      <c r="AM22" s="2">
        <v>0.68493206399328832</v>
      </c>
      <c r="AN22" s="2">
        <v>0.74714893371382962</v>
      </c>
      <c r="AO22" s="2">
        <v>0.6997620277679315</v>
      </c>
      <c r="AP22" s="2">
        <v>0.6963807300442314</v>
      </c>
      <c r="AQ22" s="2">
        <v>0.7668308226495808</v>
      </c>
      <c r="AR22" s="2">
        <v>0.71450451647681634</v>
      </c>
      <c r="AS22" s="2">
        <v>0.74625297325655626</v>
      </c>
      <c r="AT22" s="2">
        <v>0.67481295396383267</v>
      </c>
      <c r="AU22" s="2">
        <v>0.70801994127595114</v>
      </c>
      <c r="AV22" s="2">
        <v>0.64706859398123673</v>
      </c>
      <c r="AW22" s="2">
        <v>0.71225702522071599</v>
      </c>
      <c r="AX22" s="2">
        <v>0.70268860378347553</v>
      </c>
      <c r="AY22" s="2">
        <v>0.69521253397657545</v>
      </c>
      <c r="AZ22" s="2">
        <v>0.68778229733874874</v>
      </c>
      <c r="BA22" s="2">
        <v>0.76880179157127893</v>
      </c>
      <c r="BB22" s="2">
        <v>0.74603223585783118</v>
      </c>
      <c r="BC22" s="2">
        <v>0.73278805707262251</v>
      </c>
      <c r="BD22" s="2">
        <v>0.70353676836974255</v>
      </c>
      <c r="BE22" s="2">
        <v>0.69071842949738604</v>
      </c>
      <c r="BF22" s="2">
        <v>0.7131647287154832</v>
      </c>
      <c r="BG22" s="2">
        <v>0.77576135472416641</v>
      </c>
      <c r="BH22" s="2">
        <v>0.73732336649074326</v>
      </c>
      <c r="BI22" s="2">
        <v>0.7756157539791344</v>
      </c>
      <c r="BJ22" s="2">
        <v>0.67139736737131039</v>
      </c>
      <c r="BK22" s="2">
        <v>0.74427734225449049</v>
      </c>
      <c r="BL22" s="2">
        <v>0.74358522711018449</v>
      </c>
      <c r="BM22" s="2">
        <v>0.75378200790178773</v>
      </c>
      <c r="BN22" s="2">
        <v>0.72161479392397865</v>
      </c>
      <c r="BO22" s="2">
        <v>0.69935044236170629</v>
      </c>
      <c r="BP22" s="2">
        <v>0.7355767051519031</v>
      </c>
      <c r="BQ22" s="2">
        <v>0.75093876003606919</v>
      </c>
      <c r="BR22" s="2">
        <v>0.74820327652205387</v>
      </c>
      <c r="BS22" s="2">
        <v>0.80459231997069691</v>
      </c>
      <c r="BT22" s="2">
        <v>0.7183936638161329</v>
      </c>
      <c r="BU22" s="2">
        <v>0.80843809077180273</v>
      </c>
      <c r="BV22" s="2">
        <v>0.70267834717373023</v>
      </c>
      <c r="BW22" s="2">
        <v>0.73254667841453835</v>
      </c>
      <c r="BX22" s="2">
        <v>0.75598050721325372</v>
      </c>
      <c r="BY22" s="2">
        <v>0.65212694117263281</v>
      </c>
      <c r="BZ22" s="2">
        <v>0.72390961325949588</v>
      </c>
      <c r="CA22" s="2">
        <v>0.62917251477015268</v>
      </c>
      <c r="CB22" s="2">
        <v>0.67038066317595213</v>
      </c>
      <c r="CC22" s="2">
        <v>0.71998021773013565</v>
      </c>
      <c r="CD22" s="2">
        <v>0.72702499357351336</v>
      </c>
      <c r="CE22" s="2">
        <v>0.69517945708544893</v>
      </c>
      <c r="CF22" s="2">
        <v>0.67122928512504243</v>
      </c>
      <c r="CG22" s="2">
        <v>0.76436814156330601</v>
      </c>
      <c r="CH22" s="2">
        <v>0.73712173413797177</v>
      </c>
      <c r="CI22" s="2">
        <v>0.66775032679609048</v>
      </c>
      <c r="CJ22" s="2">
        <v>0.72846381092363099</v>
      </c>
      <c r="CK22" s="2">
        <v>0.71881029805087882</v>
      </c>
      <c r="CL22" s="2">
        <v>0.76810092098143723</v>
      </c>
      <c r="CM22" s="2">
        <v>0.74003074758396925</v>
      </c>
      <c r="CN22" s="2">
        <v>0.77184455755990089</v>
      </c>
      <c r="CO22" s="2">
        <v>0.73213567893723419</v>
      </c>
      <c r="CP22" s="2">
        <v>0.6827349601959708</v>
      </c>
      <c r="CQ22" s="2">
        <v>0.6804325698948358</v>
      </c>
      <c r="CR22" s="2">
        <v>0.64240620870525567</v>
      </c>
      <c r="CS22" s="2">
        <v>0.68860310733769547</v>
      </c>
      <c r="CT22" s="2">
        <v>0.73684693454006622</v>
      </c>
      <c r="CU22" s="2">
        <v>0.68666578640436582</v>
      </c>
      <c r="CV22" s="2">
        <v>0.75219807100560354</v>
      </c>
      <c r="CW22" s="2">
        <v>0.7410453872218945</v>
      </c>
    </row>
    <row r="23" spans="1:101" x14ac:dyDescent="0.35">
      <c r="A23">
        <v>202310</v>
      </c>
      <c r="B23" s="2">
        <v>0.72726017274000532</v>
      </c>
      <c r="C23" s="2">
        <v>0.71068602421690041</v>
      </c>
      <c r="D23" s="2">
        <v>0.6777254243198485</v>
      </c>
      <c r="E23" s="2">
        <v>0.65283562536101425</v>
      </c>
      <c r="F23" s="2">
        <v>0.70768198732260723</v>
      </c>
      <c r="G23" s="2">
        <v>0.73822275230074141</v>
      </c>
      <c r="H23" s="2">
        <v>0.73499655184563406</v>
      </c>
      <c r="I23" s="2">
        <v>0.71924140754668442</v>
      </c>
      <c r="J23" s="2">
        <v>0.71977516670737318</v>
      </c>
      <c r="K23" s="2">
        <v>0.69728256071272265</v>
      </c>
      <c r="L23" s="2">
        <v>0.79365315358202249</v>
      </c>
      <c r="M23" s="2">
        <v>0.71764583142923288</v>
      </c>
      <c r="N23" s="2">
        <v>0.65057646362457977</v>
      </c>
      <c r="O23" s="2">
        <v>0.75449784672849685</v>
      </c>
      <c r="P23" s="2">
        <v>0.77177548604621637</v>
      </c>
      <c r="Q23" s="2">
        <v>0.77972725152076094</v>
      </c>
      <c r="R23" s="2">
        <v>0.72270727570113369</v>
      </c>
      <c r="S23" s="2">
        <v>0.81914903330480804</v>
      </c>
      <c r="T23" s="2">
        <v>0.79522815109468936</v>
      </c>
      <c r="U23" s="2">
        <v>0.72479269900975207</v>
      </c>
      <c r="V23" s="2">
        <v>0.70296798234119828</v>
      </c>
      <c r="W23" s="2">
        <v>0.69990107728957962</v>
      </c>
      <c r="X23" s="2">
        <v>0.80110821015488309</v>
      </c>
      <c r="Y23" s="2">
        <v>0.70544614725230037</v>
      </c>
      <c r="Z23" s="2">
        <v>0.76207810622400418</v>
      </c>
      <c r="AA23" s="2">
        <v>0.66906247764586457</v>
      </c>
      <c r="AB23" s="2">
        <v>0.72959150109599236</v>
      </c>
      <c r="AC23" s="2">
        <v>0.81827290192912994</v>
      </c>
      <c r="AD23" s="2">
        <v>0.6982062435923384</v>
      </c>
      <c r="AE23" s="2">
        <v>0.68463328447339566</v>
      </c>
      <c r="AF23" s="2">
        <v>0.70639410209774978</v>
      </c>
      <c r="AG23" s="2">
        <v>0.7491072941912359</v>
      </c>
      <c r="AH23" s="2">
        <v>0.70553394448736306</v>
      </c>
      <c r="AI23" s="2">
        <v>0.70743927424807251</v>
      </c>
      <c r="AJ23" s="2">
        <v>0.68415808691309155</v>
      </c>
      <c r="AK23" s="2">
        <v>0.71626217904863598</v>
      </c>
      <c r="AL23" s="2">
        <v>0.74402845824409092</v>
      </c>
      <c r="AM23" s="2">
        <v>0.68681944042206822</v>
      </c>
      <c r="AN23" s="2">
        <v>0.74830093019289812</v>
      </c>
      <c r="AO23" s="2">
        <v>0.7048582953407152</v>
      </c>
      <c r="AP23" s="2">
        <v>0.70568040892646033</v>
      </c>
      <c r="AQ23" s="2">
        <v>0.75597094215294458</v>
      </c>
      <c r="AR23" s="2">
        <v>0.69358600570121243</v>
      </c>
      <c r="AS23" s="2">
        <v>0.73067498199032466</v>
      </c>
      <c r="AT23" s="2">
        <v>0.71683180701610127</v>
      </c>
      <c r="AU23" s="2">
        <v>0.68010916925029574</v>
      </c>
      <c r="AV23" s="2">
        <v>0.68953451855166692</v>
      </c>
      <c r="AW23" s="2">
        <v>0.71111631683018939</v>
      </c>
      <c r="AX23" s="2">
        <v>0.71950674008294635</v>
      </c>
      <c r="AY23" s="2">
        <v>0.71791956592228812</v>
      </c>
      <c r="AZ23" s="2">
        <v>0.69604248856485784</v>
      </c>
      <c r="BA23" s="2">
        <v>0.77081980382773896</v>
      </c>
      <c r="BB23" s="2">
        <v>0.76259805514418322</v>
      </c>
      <c r="BC23" s="2">
        <v>0.7333625417362919</v>
      </c>
      <c r="BD23" s="2">
        <v>0.76373935562191431</v>
      </c>
      <c r="BE23" s="2">
        <v>0.70525713830488335</v>
      </c>
      <c r="BF23" s="2">
        <v>0.7056206863493506</v>
      </c>
      <c r="BG23" s="2">
        <v>0.72968784461787151</v>
      </c>
      <c r="BH23" s="2">
        <v>0.73903059435012941</v>
      </c>
      <c r="BI23" s="2">
        <v>0.78948765140859156</v>
      </c>
      <c r="BJ23" s="2">
        <v>0.70495525295846917</v>
      </c>
      <c r="BK23" s="2">
        <v>0.76374686285170201</v>
      </c>
      <c r="BL23" s="2">
        <v>0.73525995716358217</v>
      </c>
      <c r="BM23" s="2">
        <v>0.73169624322895588</v>
      </c>
      <c r="BN23" s="2">
        <v>0.73913518756197416</v>
      </c>
      <c r="BO23" s="2">
        <v>0.71232540663051913</v>
      </c>
      <c r="BP23" s="2">
        <v>0.71885260270892337</v>
      </c>
      <c r="BQ23" s="2">
        <v>0.77530042007644862</v>
      </c>
      <c r="BR23" s="2">
        <v>0.75811178972751936</v>
      </c>
      <c r="BS23" s="2">
        <v>0.80096754387222635</v>
      </c>
      <c r="BT23" s="2">
        <v>0.72550985357449482</v>
      </c>
      <c r="BU23" s="2">
        <v>0.79620923939098365</v>
      </c>
      <c r="BV23" s="2">
        <v>0.71120085906800756</v>
      </c>
      <c r="BW23" s="2">
        <v>0.74820334620290319</v>
      </c>
      <c r="BX23" s="2">
        <v>0.73270725756597854</v>
      </c>
      <c r="BY23" s="2">
        <v>0.69063257825365387</v>
      </c>
      <c r="BZ23" s="2">
        <v>0.75093284398079585</v>
      </c>
      <c r="CA23" s="2">
        <v>0.66709823643302713</v>
      </c>
      <c r="CB23" s="2">
        <v>0.64252668501380139</v>
      </c>
      <c r="CC23" s="2">
        <v>0.70767480359063339</v>
      </c>
      <c r="CD23" s="2">
        <v>0.75472105000635459</v>
      </c>
      <c r="CE23" s="2">
        <v>0.68983269052946383</v>
      </c>
      <c r="CF23" s="2">
        <v>0.72956402152857425</v>
      </c>
      <c r="CG23" s="2">
        <v>0.73965861659090104</v>
      </c>
      <c r="CH23" s="2">
        <v>0.75385317925020012</v>
      </c>
      <c r="CI23" s="2">
        <v>0.6692033544938053</v>
      </c>
      <c r="CJ23" s="2">
        <v>0.74730130604094369</v>
      </c>
      <c r="CK23" s="2">
        <v>0.71640326763441398</v>
      </c>
      <c r="CL23" s="2">
        <v>0.75410252916023701</v>
      </c>
      <c r="CM23" s="2">
        <v>0.73399415627005693</v>
      </c>
      <c r="CN23" s="2">
        <v>0.74810378655405152</v>
      </c>
      <c r="CO23" s="2">
        <v>0.75472668741273952</v>
      </c>
      <c r="CP23" s="2">
        <v>0.71023476282537301</v>
      </c>
      <c r="CQ23" s="2">
        <v>0.68878297554725632</v>
      </c>
      <c r="CR23" s="2">
        <v>0.62056642426814557</v>
      </c>
      <c r="CS23" s="2">
        <v>0.71026664255049865</v>
      </c>
      <c r="CT23" s="2">
        <v>0.73148400848278283</v>
      </c>
      <c r="CU23" s="2">
        <v>0.73328945814556512</v>
      </c>
      <c r="CV23" s="2">
        <v>0.75372716109016669</v>
      </c>
      <c r="CW23" s="2">
        <v>0.73660673577472902</v>
      </c>
    </row>
    <row r="24" spans="1:101" x14ac:dyDescent="0.35">
      <c r="A24">
        <v>202311</v>
      </c>
      <c r="B24" s="2">
        <v>0.76086986504438137</v>
      </c>
      <c r="C24" s="2">
        <v>0.72425125113085043</v>
      </c>
      <c r="D24" s="2">
        <v>0.69920897102158164</v>
      </c>
      <c r="E24" s="2">
        <v>0.6604375655646656</v>
      </c>
      <c r="F24" s="2">
        <v>0.70619125360086121</v>
      </c>
      <c r="G24" s="2">
        <v>0.74079636152475614</v>
      </c>
      <c r="H24" s="2">
        <v>0.71595522681366641</v>
      </c>
      <c r="I24" s="2">
        <v>0.68549139406536286</v>
      </c>
      <c r="J24" s="2">
        <v>0.75434428310122748</v>
      </c>
      <c r="K24" s="2">
        <v>0.7446408758951033</v>
      </c>
      <c r="L24" s="2">
        <v>0.77799269691543393</v>
      </c>
      <c r="M24" s="2">
        <v>0.74126862035289498</v>
      </c>
      <c r="N24" s="2">
        <v>0.6504879684628222</v>
      </c>
      <c r="O24" s="2">
        <v>0.76225879936711149</v>
      </c>
      <c r="P24" s="2">
        <v>0.76327154820851095</v>
      </c>
      <c r="Q24" s="2">
        <v>0.75123177120350615</v>
      </c>
      <c r="R24" s="2">
        <v>0.71661135310751678</v>
      </c>
      <c r="S24" s="2">
        <v>0.77177887382185517</v>
      </c>
      <c r="T24" s="2">
        <v>0.78703633761556346</v>
      </c>
      <c r="U24" s="2">
        <v>0.72064614021474549</v>
      </c>
      <c r="V24" s="2">
        <v>0.71082137361833775</v>
      </c>
      <c r="W24" s="2">
        <v>0.71007948205730997</v>
      </c>
      <c r="X24" s="2">
        <v>0.77575907311135317</v>
      </c>
      <c r="Y24" s="2">
        <v>0.74065684122873654</v>
      </c>
      <c r="Z24" s="2">
        <v>0.75725025750192776</v>
      </c>
      <c r="AA24" s="2">
        <v>0.69513357209337179</v>
      </c>
      <c r="AB24" s="2">
        <v>0.72110957216643279</v>
      </c>
      <c r="AC24" s="2">
        <v>0.77425365567000304</v>
      </c>
      <c r="AD24" s="2">
        <v>0.68862481640414119</v>
      </c>
      <c r="AE24" s="2">
        <v>0.70307522937291689</v>
      </c>
      <c r="AF24" s="2">
        <v>0.69498794215058479</v>
      </c>
      <c r="AG24" s="2">
        <v>0.71298324957491566</v>
      </c>
      <c r="AH24" s="2">
        <v>0.71686949216308749</v>
      </c>
      <c r="AI24" s="2">
        <v>0.7235478770858248</v>
      </c>
      <c r="AJ24" s="2">
        <v>0.67405076061952862</v>
      </c>
      <c r="AK24" s="2">
        <v>0.71129306656972846</v>
      </c>
      <c r="AL24" s="2">
        <v>0.75449706587975163</v>
      </c>
      <c r="AM24" s="2">
        <v>0.68061488034173945</v>
      </c>
      <c r="AN24" s="2">
        <v>0.75408581099147542</v>
      </c>
      <c r="AO24" s="2">
        <v>0.71950646025362175</v>
      </c>
      <c r="AP24" s="2">
        <v>0.73132568440347745</v>
      </c>
      <c r="AQ24" s="2">
        <v>0.7688637924019921</v>
      </c>
      <c r="AR24" s="2">
        <v>0.73742626794673527</v>
      </c>
      <c r="AS24" s="2">
        <v>0.74688485408262151</v>
      </c>
      <c r="AT24" s="2">
        <v>0.71725301523533735</v>
      </c>
      <c r="AU24" s="2">
        <v>0.67564127225914494</v>
      </c>
      <c r="AV24" s="2">
        <v>0.70092783041381979</v>
      </c>
      <c r="AW24" s="2">
        <v>0.70261142126614995</v>
      </c>
      <c r="AX24" s="2">
        <v>0.72555768972884505</v>
      </c>
      <c r="AY24" s="2">
        <v>0.71568088323227208</v>
      </c>
      <c r="AZ24" s="2">
        <v>0.70059589998820671</v>
      </c>
      <c r="BA24" s="2">
        <v>0.80127788722068016</v>
      </c>
      <c r="BB24" s="2">
        <v>0.76972206899698026</v>
      </c>
      <c r="BC24" s="2">
        <v>0.77102847985505418</v>
      </c>
      <c r="BD24" s="2">
        <v>0.73854737941620763</v>
      </c>
      <c r="BE24" s="2">
        <v>0.7009336090355045</v>
      </c>
      <c r="BF24" s="2">
        <v>0.71507787901514097</v>
      </c>
      <c r="BG24" s="2">
        <v>0.76963500520975248</v>
      </c>
      <c r="BH24" s="2">
        <v>0.70813633075702231</v>
      </c>
      <c r="BI24" s="2">
        <v>0.79830418541338255</v>
      </c>
      <c r="BJ24" s="2">
        <v>0.68693106523688563</v>
      </c>
      <c r="BK24" s="2">
        <v>0.75849130879100035</v>
      </c>
      <c r="BL24" s="2">
        <v>0.75862551170003023</v>
      </c>
      <c r="BM24" s="2">
        <v>0.75219825336744917</v>
      </c>
      <c r="BN24" s="2">
        <v>0.73704051292773576</v>
      </c>
      <c r="BO24" s="2">
        <v>0.73471331145312802</v>
      </c>
      <c r="BP24" s="2">
        <v>0.70777469848354302</v>
      </c>
      <c r="BQ24" s="2">
        <v>0.73297946005900594</v>
      </c>
      <c r="BR24" s="2">
        <v>0.76707868189854067</v>
      </c>
      <c r="BS24" s="2">
        <v>0.77635152363763704</v>
      </c>
      <c r="BT24" s="2">
        <v>0.72239113336343252</v>
      </c>
      <c r="BU24" s="2">
        <v>0.77339425943994577</v>
      </c>
      <c r="BV24" s="2">
        <v>0.72767614530697611</v>
      </c>
      <c r="BW24" s="2">
        <v>0.74594552907084999</v>
      </c>
      <c r="BX24" s="2">
        <v>0.77437747555459102</v>
      </c>
      <c r="BY24" s="2">
        <v>0.68206538496432367</v>
      </c>
      <c r="BZ24" s="2">
        <v>0.7638681328093867</v>
      </c>
      <c r="CA24" s="2">
        <v>0.66767482314345938</v>
      </c>
      <c r="CB24" s="2">
        <v>0.65339045471621537</v>
      </c>
      <c r="CC24" s="2">
        <v>0.72628542702927701</v>
      </c>
      <c r="CD24" s="2">
        <v>0.76603733859904322</v>
      </c>
      <c r="CE24" s="2">
        <v>0.68405308014278743</v>
      </c>
      <c r="CF24" s="2">
        <v>0.71794355874818416</v>
      </c>
      <c r="CG24" s="2">
        <v>0.77440655103355471</v>
      </c>
      <c r="CH24" s="2">
        <v>0.72634227977078203</v>
      </c>
      <c r="CI24" s="2">
        <v>0.6654362925291889</v>
      </c>
      <c r="CJ24" s="2">
        <v>0.7710501122076926</v>
      </c>
      <c r="CK24" s="2">
        <v>0.72311417865857786</v>
      </c>
      <c r="CL24" s="2">
        <v>0.77098512906378114</v>
      </c>
      <c r="CM24" s="2">
        <v>0.73385656538774646</v>
      </c>
      <c r="CN24" s="2">
        <v>0.78482929216972208</v>
      </c>
      <c r="CO24" s="2">
        <v>0.74154608915608722</v>
      </c>
      <c r="CP24" s="2">
        <v>0.71602041293351359</v>
      </c>
      <c r="CQ24" s="2">
        <v>0.68911106943235756</v>
      </c>
      <c r="CR24" s="2">
        <v>0.64733255680348367</v>
      </c>
      <c r="CS24" s="2">
        <v>0.68662497009985946</v>
      </c>
      <c r="CT24" s="2">
        <v>0.73527209809806271</v>
      </c>
      <c r="CU24" s="2">
        <v>0.72733278652149069</v>
      </c>
      <c r="CV24" s="2">
        <v>0.72610510307613363</v>
      </c>
      <c r="CW24" s="2">
        <v>0.74917725502476784</v>
      </c>
    </row>
    <row r="25" spans="1:101" x14ac:dyDescent="0.35">
      <c r="A25">
        <v>202312</v>
      </c>
      <c r="B25" s="2">
        <v>0.75007991019018716</v>
      </c>
      <c r="C25" s="2">
        <v>0.72296199273012063</v>
      </c>
      <c r="D25" s="2">
        <v>0.69311379613317314</v>
      </c>
      <c r="E25" s="2">
        <v>0.64982081528352076</v>
      </c>
      <c r="F25" s="2">
        <v>0.72078342706931209</v>
      </c>
      <c r="G25" s="2">
        <v>0.71826346611388392</v>
      </c>
      <c r="H25" s="2">
        <v>0.71970294565502912</v>
      </c>
      <c r="I25" s="2">
        <v>0.70019862470574912</v>
      </c>
      <c r="J25" s="2">
        <v>0.7179172182403456</v>
      </c>
      <c r="K25" s="2">
        <v>0.77321446445961195</v>
      </c>
      <c r="L25" s="2">
        <v>0.77688222245969074</v>
      </c>
      <c r="M25" s="2">
        <v>0.72392965759819117</v>
      </c>
      <c r="N25" s="2">
        <v>0.65906620097866342</v>
      </c>
      <c r="O25" s="2">
        <v>0.75030617849264136</v>
      </c>
      <c r="P25" s="2">
        <v>0.75454033035926682</v>
      </c>
      <c r="Q25" s="2">
        <v>0.75960490932085045</v>
      </c>
      <c r="R25" s="2">
        <v>0.7177459837177167</v>
      </c>
      <c r="S25" s="2">
        <v>0.80117216726138651</v>
      </c>
      <c r="T25" s="2">
        <v>0.75523000164456411</v>
      </c>
      <c r="U25" s="2">
        <v>0.7135857967296757</v>
      </c>
      <c r="V25" s="2">
        <v>0.70582512838141087</v>
      </c>
      <c r="W25" s="2">
        <v>0.70949984894822771</v>
      </c>
      <c r="X25" s="2">
        <v>0.76526169309891945</v>
      </c>
      <c r="Y25" s="2">
        <v>0.69800185773047152</v>
      </c>
      <c r="Z25" s="2">
        <v>0.77411014209843532</v>
      </c>
      <c r="AA25" s="2">
        <v>0.68330878133596584</v>
      </c>
      <c r="AB25" s="2">
        <v>0.73188943398843453</v>
      </c>
      <c r="AC25" s="2">
        <v>0.74345317136869182</v>
      </c>
      <c r="AD25" s="2">
        <v>0.71303978773019394</v>
      </c>
      <c r="AE25" s="2">
        <v>0.68916393985121571</v>
      </c>
      <c r="AF25" s="2">
        <v>0.72872083862598913</v>
      </c>
      <c r="AG25" s="2">
        <v>0.76221980040422599</v>
      </c>
      <c r="AH25" s="2">
        <v>0.73901006263639535</v>
      </c>
      <c r="AI25" s="2">
        <v>0.72381261597381918</v>
      </c>
      <c r="AJ25" s="2">
        <v>0.6895804200681751</v>
      </c>
      <c r="AK25" s="2">
        <v>0.71016807992600084</v>
      </c>
      <c r="AL25" s="2">
        <v>0.75012804322961302</v>
      </c>
      <c r="AM25" s="2">
        <v>0.69619268706620208</v>
      </c>
      <c r="AN25" s="2">
        <v>0.74200653811443074</v>
      </c>
      <c r="AO25" s="2">
        <v>0.70732856423420531</v>
      </c>
      <c r="AP25" s="2">
        <v>0.68257618634432171</v>
      </c>
      <c r="AQ25" s="2">
        <v>0.76405259960031779</v>
      </c>
      <c r="AR25" s="2">
        <v>0.68030727413349923</v>
      </c>
      <c r="AS25" s="2">
        <v>0.74247398635681117</v>
      </c>
      <c r="AT25" s="2">
        <v>0.70457573931486717</v>
      </c>
      <c r="AU25" s="2">
        <v>0.68471342260891177</v>
      </c>
      <c r="AV25" s="2">
        <v>0.69141160843806371</v>
      </c>
      <c r="AW25" s="2">
        <v>0.69388062002454687</v>
      </c>
      <c r="AX25" s="2">
        <v>0.71943951057803168</v>
      </c>
      <c r="AY25" s="2">
        <v>0.720150338464003</v>
      </c>
      <c r="AZ25" s="2">
        <v>0.69143500645854372</v>
      </c>
      <c r="BA25" s="2">
        <v>0.77605247689582879</v>
      </c>
      <c r="BB25" s="2">
        <v>0.72535476954919764</v>
      </c>
      <c r="BC25" s="2">
        <v>0.767436861607391</v>
      </c>
      <c r="BD25" s="2">
        <v>0.71722063732309627</v>
      </c>
      <c r="BE25" s="2">
        <v>0.68262957015376302</v>
      </c>
      <c r="BF25" s="2">
        <v>0.70292716257258192</v>
      </c>
      <c r="BG25" s="2">
        <v>0.77771749992999406</v>
      </c>
      <c r="BH25" s="2">
        <v>0.72800668983755734</v>
      </c>
      <c r="BI25" s="2">
        <v>0.78644565960102308</v>
      </c>
      <c r="BJ25" s="2">
        <v>0.65757600839258001</v>
      </c>
      <c r="BK25" s="2">
        <v>0.72880734246681322</v>
      </c>
      <c r="BL25" s="2">
        <v>0.73659943573037989</v>
      </c>
      <c r="BM25" s="2">
        <v>0.71585346293161689</v>
      </c>
      <c r="BN25" s="2">
        <v>0.71437255899373198</v>
      </c>
      <c r="BO25" s="2">
        <v>0.68894141142818688</v>
      </c>
      <c r="BP25" s="2">
        <v>0.73458980426483023</v>
      </c>
      <c r="BQ25" s="2">
        <v>0.75349929554436101</v>
      </c>
      <c r="BR25" s="2">
        <v>0.76277760969450825</v>
      </c>
      <c r="BS25" s="2">
        <v>0.82710367239366711</v>
      </c>
      <c r="BT25" s="2">
        <v>0.75053023604893687</v>
      </c>
      <c r="BU25" s="2">
        <v>0.77588435383657894</v>
      </c>
      <c r="BV25" s="2">
        <v>0.73999056597468404</v>
      </c>
      <c r="BW25" s="2">
        <v>0.72142736530907048</v>
      </c>
      <c r="BX25" s="2">
        <v>0.76365035190125286</v>
      </c>
      <c r="BY25" s="2">
        <v>0.66895224996118141</v>
      </c>
      <c r="BZ25" s="2">
        <v>0.74102608552318949</v>
      </c>
      <c r="CA25" s="2">
        <v>0.64357531878350405</v>
      </c>
      <c r="CB25" s="2">
        <v>0.66298213925935634</v>
      </c>
      <c r="CC25" s="2">
        <v>0.73323242679058198</v>
      </c>
      <c r="CD25" s="2">
        <v>0.75942607143226826</v>
      </c>
      <c r="CE25" s="2">
        <v>0.6801602653249198</v>
      </c>
      <c r="CF25" s="2">
        <v>0.69781200692643097</v>
      </c>
      <c r="CG25" s="2">
        <v>0.75451266266747852</v>
      </c>
      <c r="CH25" s="2">
        <v>0.71910382703597475</v>
      </c>
      <c r="CI25" s="2">
        <v>0.68853929038996986</v>
      </c>
      <c r="CJ25" s="2">
        <v>0.76884045351471741</v>
      </c>
      <c r="CK25" s="2">
        <v>0.72995369420050682</v>
      </c>
      <c r="CL25" s="2">
        <v>0.73935180496214836</v>
      </c>
      <c r="CM25" s="2">
        <v>0.76199069045924883</v>
      </c>
      <c r="CN25" s="2">
        <v>0.75862345097197037</v>
      </c>
      <c r="CO25" s="2">
        <v>0.74885428769947682</v>
      </c>
      <c r="CP25" s="2">
        <v>0.68967310687643746</v>
      </c>
      <c r="CQ25" s="2">
        <v>0.68176909668896268</v>
      </c>
      <c r="CR25" s="2">
        <v>0.66232974037962311</v>
      </c>
      <c r="CS25" s="2">
        <v>0.7215459320289348</v>
      </c>
      <c r="CT25" s="2">
        <v>0.71674692207645085</v>
      </c>
      <c r="CU25" s="2">
        <v>0.73166403234783306</v>
      </c>
      <c r="CV25" s="2">
        <v>0.75738294669094619</v>
      </c>
      <c r="CW25" s="2">
        <v>0.73268104952133339</v>
      </c>
    </row>
    <row r="26" spans="1:101" x14ac:dyDescent="0.35">
      <c r="A26">
        <v>202401</v>
      </c>
      <c r="B26" s="2">
        <v>0.75843178294844238</v>
      </c>
      <c r="C26" s="2">
        <v>0.7370352493331489</v>
      </c>
      <c r="D26" s="2">
        <v>0.73970531364313952</v>
      </c>
      <c r="E26" s="2">
        <v>0.67141672905109262</v>
      </c>
      <c r="F26" s="2">
        <v>0.71715091223970806</v>
      </c>
      <c r="G26" s="2">
        <v>0.71063804936027952</v>
      </c>
      <c r="H26" s="2">
        <v>0.73514776471779186</v>
      </c>
      <c r="I26" s="2">
        <v>0.72016119687713376</v>
      </c>
      <c r="J26" s="2">
        <v>0.73791298874993538</v>
      </c>
      <c r="K26" s="2">
        <v>0.74757065727440652</v>
      </c>
      <c r="L26" s="2">
        <v>0.81552601306253014</v>
      </c>
      <c r="M26" s="2">
        <v>0.74915525187286702</v>
      </c>
      <c r="N26" s="2">
        <v>0.67259496895122695</v>
      </c>
      <c r="O26" s="2">
        <v>0.76366003549777339</v>
      </c>
      <c r="P26" s="2">
        <v>0.78812696600967258</v>
      </c>
      <c r="Q26" s="2">
        <v>0.79188754637224734</v>
      </c>
      <c r="R26" s="2">
        <v>0.71359225648728963</v>
      </c>
      <c r="S26" s="2">
        <v>0.81185378676478237</v>
      </c>
      <c r="T26" s="2">
        <v>0.79038214633905624</v>
      </c>
      <c r="U26" s="2">
        <v>0.7360872780615344</v>
      </c>
      <c r="V26" s="2">
        <v>0.69946777208317878</v>
      </c>
      <c r="W26" s="2">
        <v>0.72548633782306249</v>
      </c>
      <c r="X26" s="2">
        <v>0.78505579643198187</v>
      </c>
      <c r="Y26" s="2">
        <v>0.72133432504297923</v>
      </c>
      <c r="Z26" s="2">
        <v>0.75105815816581856</v>
      </c>
      <c r="AA26" s="2">
        <v>0.68601131577019192</v>
      </c>
      <c r="AB26" s="2">
        <v>0.71919489194019759</v>
      </c>
      <c r="AC26" s="2">
        <v>0.8011648463912554</v>
      </c>
      <c r="AD26" s="2">
        <v>0.70376460920455486</v>
      </c>
      <c r="AE26" s="2">
        <v>0.69228753190548131</v>
      </c>
      <c r="AF26" s="2">
        <v>0.68298561808259795</v>
      </c>
      <c r="AG26" s="2">
        <v>0.79116708041299921</v>
      </c>
      <c r="AH26" s="2">
        <v>0.7241876013362869</v>
      </c>
      <c r="AI26" s="2">
        <v>0.74282295475791638</v>
      </c>
      <c r="AJ26" s="2">
        <v>0.70889268367853342</v>
      </c>
      <c r="AK26" s="2">
        <v>0.69803300512904876</v>
      </c>
      <c r="AL26" s="2">
        <v>0.77099660367309442</v>
      </c>
      <c r="AM26" s="2">
        <v>0.68663347689054965</v>
      </c>
      <c r="AN26" s="2">
        <v>0.76309634593884379</v>
      </c>
      <c r="AO26" s="2">
        <v>0.72504742896223628</v>
      </c>
      <c r="AP26" s="2">
        <v>0.71214710757468869</v>
      </c>
      <c r="AQ26" s="2">
        <v>0.77760436631746688</v>
      </c>
      <c r="AR26" s="2">
        <v>0.70882680135851017</v>
      </c>
      <c r="AS26" s="2">
        <v>0.76141960750722726</v>
      </c>
      <c r="AT26" s="2">
        <v>0.74162725119434925</v>
      </c>
      <c r="AU26" s="2">
        <v>0.69693430628091102</v>
      </c>
      <c r="AV26" s="2">
        <v>0.69738635408805816</v>
      </c>
      <c r="AW26" s="2">
        <v>0.71347292218424674</v>
      </c>
      <c r="AX26" s="2">
        <v>0.72018421951626665</v>
      </c>
      <c r="AY26" s="2">
        <v>0.70960753957038725</v>
      </c>
      <c r="AZ26" s="2">
        <v>0.72454816633706465</v>
      </c>
      <c r="BA26" s="2">
        <v>0.79317819751566043</v>
      </c>
      <c r="BB26" s="2">
        <v>0.7650449883965571</v>
      </c>
      <c r="BC26" s="2">
        <v>0.76599269771813838</v>
      </c>
      <c r="BD26" s="2">
        <v>0.78448397269939107</v>
      </c>
      <c r="BE26" s="2">
        <v>0.69503494945721844</v>
      </c>
      <c r="BF26" s="2">
        <v>0.74042712157389057</v>
      </c>
      <c r="BG26" s="2">
        <v>0.78283646825340814</v>
      </c>
      <c r="BH26" s="2">
        <v>0.78790953121641283</v>
      </c>
      <c r="BI26" s="2">
        <v>0.79077559045666868</v>
      </c>
      <c r="BJ26" s="2">
        <v>0.70600525251911705</v>
      </c>
      <c r="BK26" s="2">
        <v>0.76996905112591585</v>
      </c>
      <c r="BL26" s="2">
        <v>0.76451517420425008</v>
      </c>
      <c r="BM26" s="2">
        <v>0.77364369819919276</v>
      </c>
      <c r="BN26" s="2">
        <v>0.76876108272713906</v>
      </c>
      <c r="BO26" s="2">
        <v>0.69068387673319753</v>
      </c>
      <c r="BP26" s="2">
        <v>0.75490734450244334</v>
      </c>
      <c r="BQ26" s="2">
        <v>0.73882824358657517</v>
      </c>
      <c r="BR26" s="2">
        <v>0.76742113312396143</v>
      </c>
      <c r="BS26" s="2">
        <v>0.82429224197509587</v>
      </c>
      <c r="BT26" s="2">
        <v>0.75881471938193157</v>
      </c>
      <c r="BU26" s="2">
        <v>0.80200527534567423</v>
      </c>
      <c r="BV26" s="2">
        <v>0.71884886704704321</v>
      </c>
      <c r="BW26" s="2">
        <v>0.75847114500659574</v>
      </c>
      <c r="BX26" s="2">
        <v>0.77838701665802834</v>
      </c>
      <c r="BY26" s="2">
        <v>0.67805511525280482</v>
      </c>
      <c r="BZ26" s="2">
        <v>0.78681170144139811</v>
      </c>
      <c r="CA26" s="2">
        <v>0.67632579618744471</v>
      </c>
      <c r="CB26" s="2">
        <v>0.69048140120637869</v>
      </c>
      <c r="CC26" s="2">
        <v>0.75476963989015133</v>
      </c>
      <c r="CD26" s="2">
        <v>0.759163353726655</v>
      </c>
      <c r="CE26" s="2">
        <v>0.67788248883527213</v>
      </c>
      <c r="CF26" s="2">
        <v>0.72164200508870302</v>
      </c>
      <c r="CG26" s="2">
        <v>0.76612630916761892</v>
      </c>
      <c r="CH26" s="2">
        <v>0.75028662485163367</v>
      </c>
      <c r="CI26" s="2">
        <v>0.68690917220907799</v>
      </c>
      <c r="CJ26" s="2">
        <v>0.76928013890986613</v>
      </c>
      <c r="CK26" s="2">
        <v>0.7571639162099103</v>
      </c>
      <c r="CL26" s="2">
        <v>0.7788209108912576</v>
      </c>
      <c r="CM26" s="2">
        <v>0.78002974915463308</v>
      </c>
      <c r="CN26" s="2">
        <v>0.76253219696372632</v>
      </c>
      <c r="CO26" s="2">
        <v>0.74706571005610756</v>
      </c>
      <c r="CP26" s="2">
        <v>0.7346816742712684</v>
      </c>
      <c r="CQ26" s="2">
        <v>0.7188541141459649</v>
      </c>
      <c r="CR26" s="2">
        <v>0.67535798967883498</v>
      </c>
      <c r="CS26" s="2">
        <v>0.6791341052773241</v>
      </c>
      <c r="CT26" s="2">
        <v>0.74771122563119297</v>
      </c>
      <c r="CU26" s="2">
        <v>0.72504531555432106</v>
      </c>
      <c r="CV26" s="2">
        <v>0.77320919892800022</v>
      </c>
      <c r="CW26" s="2">
        <v>0.79972045706363049</v>
      </c>
    </row>
    <row r="27" spans="1:101" x14ac:dyDescent="0.35">
      <c r="A27">
        <v>202402</v>
      </c>
      <c r="B27" s="2">
        <v>0.77407633863967107</v>
      </c>
      <c r="C27" s="2">
        <v>0.72227052762237509</v>
      </c>
      <c r="D27" s="2">
        <v>0.71591167922400356</v>
      </c>
      <c r="E27" s="2">
        <v>0.67853536046637219</v>
      </c>
      <c r="F27" s="2">
        <v>0.71425559053323229</v>
      </c>
      <c r="G27" s="2">
        <v>0.77182368646806143</v>
      </c>
      <c r="H27" s="2">
        <v>0.72268954759271209</v>
      </c>
      <c r="I27" s="2">
        <v>0.7422707909232692</v>
      </c>
      <c r="J27" s="2">
        <v>0.74312498081918699</v>
      </c>
      <c r="K27" s="2">
        <v>0.73796680318227048</v>
      </c>
      <c r="L27" s="2">
        <v>0.80324011065049139</v>
      </c>
      <c r="M27" s="2">
        <v>0.71973907582750718</v>
      </c>
      <c r="N27" s="2">
        <v>0.65807971450208547</v>
      </c>
      <c r="O27" s="2">
        <v>0.74702676246769606</v>
      </c>
      <c r="P27" s="2">
        <v>0.78076330182264819</v>
      </c>
      <c r="Q27" s="2">
        <v>0.79930605000090549</v>
      </c>
      <c r="R27" s="2">
        <v>0.72345439353001373</v>
      </c>
      <c r="S27" s="2">
        <v>0.80337770209484405</v>
      </c>
      <c r="T27" s="2">
        <v>0.78688451626896583</v>
      </c>
      <c r="U27" s="2">
        <v>0.71953650616533349</v>
      </c>
      <c r="V27" s="2">
        <v>0.70185759020438021</v>
      </c>
      <c r="W27" s="2">
        <v>0.70808143691443315</v>
      </c>
      <c r="X27" s="2">
        <v>0.80009825166872917</v>
      </c>
      <c r="Y27" s="2">
        <v>0.72180518578732566</v>
      </c>
      <c r="Z27" s="2">
        <v>0.77704793601664912</v>
      </c>
      <c r="AA27" s="2">
        <v>0.69643376474901719</v>
      </c>
      <c r="AB27" s="2">
        <v>0.73661206174727767</v>
      </c>
      <c r="AC27" s="2">
        <v>0.78494010412711257</v>
      </c>
      <c r="AD27" s="2">
        <v>0.70586229081734397</v>
      </c>
      <c r="AE27" s="2">
        <v>0.68552363596467092</v>
      </c>
      <c r="AF27" s="2">
        <v>0.69602498318331318</v>
      </c>
      <c r="AG27" s="2">
        <v>0.77424820670713967</v>
      </c>
      <c r="AH27" s="2">
        <v>0.75260403728046599</v>
      </c>
      <c r="AI27" s="2">
        <v>0.74752878300990755</v>
      </c>
      <c r="AJ27" s="2">
        <v>0.68647047090784863</v>
      </c>
      <c r="AK27" s="2">
        <v>0.70010218494620347</v>
      </c>
      <c r="AL27" s="2">
        <v>0.77295064968420113</v>
      </c>
      <c r="AM27" s="2">
        <v>0.68733982642808489</v>
      </c>
      <c r="AN27" s="2">
        <v>0.77916624591109274</v>
      </c>
      <c r="AO27" s="2">
        <v>0.71319475607129612</v>
      </c>
      <c r="AP27" s="2">
        <v>0.6974411396051956</v>
      </c>
      <c r="AQ27" s="2">
        <v>0.79568345412486452</v>
      </c>
      <c r="AR27" s="2">
        <v>0.70181609661872169</v>
      </c>
      <c r="AS27" s="2">
        <v>0.76441228665397098</v>
      </c>
      <c r="AT27" s="2">
        <v>0.70098095093723745</v>
      </c>
      <c r="AU27" s="2">
        <v>0.68620859538424206</v>
      </c>
      <c r="AV27" s="2">
        <v>0.69680166404700372</v>
      </c>
      <c r="AW27" s="2">
        <v>0.72552953557125743</v>
      </c>
      <c r="AX27" s="2">
        <v>0.73993452891209555</v>
      </c>
      <c r="AY27" s="2">
        <v>0.72383012356270116</v>
      </c>
      <c r="AZ27" s="2">
        <v>0.72366936288478401</v>
      </c>
      <c r="BA27" s="2">
        <v>0.79270413179490085</v>
      </c>
      <c r="BB27" s="2">
        <v>0.81475406020233454</v>
      </c>
      <c r="BC27" s="2">
        <v>0.76043431964410579</v>
      </c>
      <c r="BD27" s="2">
        <v>0.74877249162004167</v>
      </c>
      <c r="BE27" s="2">
        <v>0.70409878961392736</v>
      </c>
      <c r="BF27" s="2">
        <v>0.71381516103167952</v>
      </c>
      <c r="BG27" s="2">
        <v>0.7889377042391037</v>
      </c>
      <c r="BH27" s="2">
        <v>0.73409404840814962</v>
      </c>
      <c r="BI27" s="2">
        <v>0.77606243956253673</v>
      </c>
      <c r="BJ27" s="2">
        <v>0.69496145076757898</v>
      </c>
      <c r="BK27" s="2">
        <v>0.7456323808269637</v>
      </c>
      <c r="BL27" s="2">
        <v>0.75618851018786704</v>
      </c>
      <c r="BM27" s="2">
        <v>0.77981226546960336</v>
      </c>
      <c r="BN27" s="2">
        <v>0.75476327841100188</v>
      </c>
      <c r="BO27" s="2">
        <v>0.72918012121555065</v>
      </c>
      <c r="BP27" s="2">
        <v>0.72565740088481911</v>
      </c>
      <c r="BQ27" s="2">
        <v>0.77532329007041823</v>
      </c>
      <c r="BR27" s="2">
        <v>0.73229655488795931</v>
      </c>
      <c r="BS27" s="2">
        <v>0.81641233623134446</v>
      </c>
      <c r="BT27" s="2">
        <v>0.7414982847359316</v>
      </c>
      <c r="BU27" s="2">
        <v>0.81683432654026822</v>
      </c>
      <c r="BV27" s="2">
        <v>0.73125855571100229</v>
      </c>
      <c r="BW27" s="2">
        <v>0.77886051999405548</v>
      </c>
      <c r="BX27" s="2">
        <v>0.7779655365307806</v>
      </c>
      <c r="BY27" s="2">
        <v>0.67284849413214753</v>
      </c>
      <c r="BZ27" s="2">
        <v>0.77184806588299426</v>
      </c>
      <c r="CA27" s="2">
        <v>0.67383083164499602</v>
      </c>
      <c r="CB27" s="2">
        <v>0.69043996473376057</v>
      </c>
      <c r="CC27" s="2">
        <v>0.74995047787306479</v>
      </c>
      <c r="CD27" s="2">
        <v>0.77723435452724721</v>
      </c>
      <c r="CE27" s="2">
        <v>0.69259370759482686</v>
      </c>
      <c r="CF27" s="2">
        <v>0.74483819107647087</v>
      </c>
      <c r="CG27" s="2">
        <v>0.81198316086942823</v>
      </c>
      <c r="CH27" s="2">
        <v>0.71877760216481923</v>
      </c>
      <c r="CI27" s="2">
        <v>0.68647228855386766</v>
      </c>
      <c r="CJ27" s="2">
        <v>0.75726895925278614</v>
      </c>
      <c r="CK27" s="2">
        <v>0.74782677584719293</v>
      </c>
      <c r="CL27" s="2">
        <v>0.79030468435241141</v>
      </c>
      <c r="CM27" s="2">
        <v>0.74807174582454294</v>
      </c>
      <c r="CN27" s="2">
        <v>0.77316400033527888</v>
      </c>
      <c r="CO27" s="2">
        <v>0.76608673213551381</v>
      </c>
      <c r="CP27" s="2">
        <v>0.69979589887092331</v>
      </c>
      <c r="CQ27" s="2">
        <v>0.70261411393411188</v>
      </c>
      <c r="CR27" s="2">
        <v>0.67029619463078949</v>
      </c>
      <c r="CS27" s="2">
        <v>0.71189423582242695</v>
      </c>
      <c r="CT27" s="2">
        <v>0.7395947890705814</v>
      </c>
      <c r="CU27" s="2">
        <v>0.73551439807965924</v>
      </c>
      <c r="CV27" s="2">
        <v>0.77805929902843107</v>
      </c>
      <c r="CW27" s="2">
        <v>0.76952290841600202</v>
      </c>
    </row>
    <row r="28" spans="1:101" x14ac:dyDescent="0.35">
      <c r="A28">
        <v>202403</v>
      </c>
      <c r="B28" s="2">
        <v>0.77296472243338699</v>
      </c>
      <c r="C28" s="2">
        <v>0.72551676415627853</v>
      </c>
      <c r="D28" s="2">
        <v>0.73170367001790249</v>
      </c>
      <c r="E28" s="2">
        <v>0.68267941902125939</v>
      </c>
      <c r="F28" s="2">
        <v>0.74746002403150635</v>
      </c>
      <c r="G28" s="2">
        <v>0.73259450756224631</v>
      </c>
      <c r="H28" s="2">
        <v>0.72535093032826148</v>
      </c>
      <c r="I28" s="2">
        <v>0.71272379945041953</v>
      </c>
      <c r="J28" s="2">
        <v>0.74212530517216235</v>
      </c>
      <c r="K28" s="2">
        <v>0.77484805833971826</v>
      </c>
      <c r="L28" s="2">
        <v>0.81926972234676931</v>
      </c>
      <c r="M28" s="2">
        <v>0.77330184778401789</v>
      </c>
      <c r="N28" s="2">
        <v>0.67091567142310249</v>
      </c>
      <c r="O28" s="2">
        <v>0.75218976081980504</v>
      </c>
      <c r="P28" s="2">
        <v>0.80882281675569856</v>
      </c>
      <c r="Q28" s="2">
        <v>0.77619211668769938</v>
      </c>
      <c r="R28" s="2">
        <v>0.72084890786975886</v>
      </c>
      <c r="S28" s="2">
        <v>0.83257333550797363</v>
      </c>
      <c r="T28" s="2">
        <v>0.80604441040365593</v>
      </c>
      <c r="U28" s="2">
        <v>0.74059303155474032</v>
      </c>
      <c r="V28" s="2">
        <v>0.71619388778540416</v>
      </c>
      <c r="W28" s="2">
        <v>0.70469935254518323</v>
      </c>
      <c r="X28" s="2">
        <v>0.80084321009648962</v>
      </c>
      <c r="Y28" s="2">
        <v>0.73918898309558445</v>
      </c>
      <c r="Z28" s="2">
        <v>0.77115490926415686</v>
      </c>
      <c r="AA28" s="2">
        <v>0.67917656303530438</v>
      </c>
      <c r="AB28" s="2">
        <v>0.74336140712503851</v>
      </c>
      <c r="AC28" s="2">
        <v>0.81632181325918307</v>
      </c>
      <c r="AD28" s="2">
        <v>0.7028424606131638</v>
      </c>
      <c r="AE28" s="2">
        <v>0.70136939519070673</v>
      </c>
      <c r="AF28" s="2">
        <v>0.71562721808857277</v>
      </c>
      <c r="AG28" s="2">
        <v>0.7869613558613795</v>
      </c>
      <c r="AH28" s="2">
        <v>0.75970528947730964</v>
      </c>
      <c r="AI28" s="2">
        <v>0.74820827261695377</v>
      </c>
      <c r="AJ28" s="2">
        <v>0.70620616306350936</v>
      </c>
      <c r="AK28" s="2">
        <v>0.73507962666867466</v>
      </c>
      <c r="AL28" s="2">
        <v>0.77932150599626726</v>
      </c>
      <c r="AM28" s="2">
        <v>0.70368480028503377</v>
      </c>
      <c r="AN28" s="2">
        <v>0.76860722661844982</v>
      </c>
      <c r="AO28" s="2">
        <v>0.74702579830564519</v>
      </c>
      <c r="AP28" s="2">
        <v>0.7095417457116302</v>
      </c>
      <c r="AQ28" s="2">
        <v>0.79091631762202852</v>
      </c>
      <c r="AR28" s="2">
        <v>0.75784417407943971</v>
      </c>
      <c r="AS28" s="2">
        <v>0.74717940810973049</v>
      </c>
      <c r="AT28" s="2">
        <v>0.72788288208594276</v>
      </c>
      <c r="AU28" s="2">
        <v>0.72556350208952336</v>
      </c>
      <c r="AV28" s="2">
        <v>0.69669443337470038</v>
      </c>
      <c r="AW28" s="2">
        <v>0.70798387134542373</v>
      </c>
      <c r="AX28" s="2">
        <v>0.74397560652461803</v>
      </c>
      <c r="AY28" s="2">
        <v>0.72101983848506201</v>
      </c>
      <c r="AZ28" s="2">
        <v>0.71021451008226122</v>
      </c>
      <c r="BA28" s="2">
        <v>0.81207674035711286</v>
      </c>
      <c r="BB28" s="2">
        <v>0.78130223905582907</v>
      </c>
      <c r="BC28" s="2">
        <v>0.78112642227040952</v>
      </c>
      <c r="BD28" s="2">
        <v>0.77228825780874066</v>
      </c>
      <c r="BE28" s="2">
        <v>0.7120714053318471</v>
      </c>
      <c r="BF28" s="2">
        <v>0.72056595757327169</v>
      </c>
      <c r="BG28" s="2">
        <v>0.78196059353943204</v>
      </c>
      <c r="BH28" s="2">
        <v>0.75576601739512483</v>
      </c>
      <c r="BI28" s="2">
        <v>0.81531748726530073</v>
      </c>
      <c r="BJ28" s="2">
        <v>0.73355433317515961</v>
      </c>
      <c r="BK28" s="2">
        <v>0.78501838031770144</v>
      </c>
      <c r="BL28" s="2">
        <v>0.76872291027577888</v>
      </c>
      <c r="BM28" s="2">
        <v>0.77755686555951653</v>
      </c>
      <c r="BN28" s="2">
        <v>0.73828515651113635</v>
      </c>
      <c r="BO28" s="2">
        <v>0.75489988230730143</v>
      </c>
      <c r="BP28" s="2">
        <v>0.75207329847043536</v>
      </c>
      <c r="BQ28" s="2">
        <v>0.78685732381262097</v>
      </c>
      <c r="BR28" s="2">
        <v>0.76900728291498788</v>
      </c>
      <c r="BS28" s="2">
        <v>0.82021739770348345</v>
      </c>
      <c r="BT28" s="2">
        <v>0.76535065437626448</v>
      </c>
      <c r="BU28" s="2">
        <v>0.82331143876158608</v>
      </c>
      <c r="BV28" s="2">
        <v>0.72926534590393499</v>
      </c>
      <c r="BW28" s="2">
        <v>0.77367855626589799</v>
      </c>
      <c r="BX28" s="2">
        <v>0.75894913334965342</v>
      </c>
      <c r="BY28" s="2">
        <v>0.69041747694099642</v>
      </c>
      <c r="BZ28" s="2">
        <v>0.75664456517815781</v>
      </c>
      <c r="CA28" s="2">
        <v>0.6827468655589598</v>
      </c>
      <c r="CB28" s="2">
        <v>0.67122294373458058</v>
      </c>
      <c r="CC28" s="2">
        <v>0.75142775409521989</v>
      </c>
      <c r="CD28" s="2">
        <v>0.78301151288950666</v>
      </c>
      <c r="CE28" s="2">
        <v>0.69891860524979277</v>
      </c>
      <c r="CF28" s="2">
        <v>0.72099884575639728</v>
      </c>
      <c r="CG28" s="2">
        <v>0.73428320235256173</v>
      </c>
      <c r="CH28" s="2">
        <v>0.74366887774122326</v>
      </c>
      <c r="CI28" s="2">
        <v>0.67855913707695381</v>
      </c>
      <c r="CJ28" s="2">
        <v>0.77802791946452798</v>
      </c>
      <c r="CK28" s="2">
        <v>0.74849886067846905</v>
      </c>
      <c r="CL28" s="2">
        <v>0.79365043213031661</v>
      </c>
      <c r="CM28" s="2">
        <v>0.79516680855385613</v>
      </c>
      <c r="CN28" s="2">
        <v>0.77362440399435228</v>
      </c>
      <c r="CO28" s="2">
        <v>0.78824269142692471</v>
      </c>
      <c r="CP28" s="2">
        <v>0.73868575831487604</v>
      </c>
      <c r="CQ28" s="2">
        <v>0.6941213522240447</v>
      </c>
      <c r="CR28" s="2">
        <v>0.65514735510162603</v>
      </c>
      <c r="CS28" s="2">
        <v>0.6971943586614926</v>
      </c>
      <c r="CT28" s="2">
        <v>0.75140908270019191</v>
      </c>
      <c r="CU28" s="2">
        <v>0.7251951470885758</v>
      </c>
      <c r="CV28" s="2">
        <v>0.75387742047808493</v>
      </c>
      <c r="CW28" s="2">
        <v>0.80902681967560142</v>
      </c>
    </row>
    <row r="29" spans="1:101" x14ac:dyDescent="0.35">
      <c r="A29">
        <v>202404</v>
      </c>
      <c r="B29" s="2">
        <v>0.75937215597506802</v>
      </c>
      <c r="C29" s="2">
        <v>0.7498500555276616</v>
      </c>
      <c r="D29" s="2">
        <v>0.69596055419695813</v>
      </c>
      <c r="E29" s="2">
        <v>0.6646469210792989</v>
      </c>
      <c r="F29" s="2">
        <v>0.71251969495886158</v>
      </c>
      <c r="G29" s="2">
        <v>0.77232611020605346</v>
      </c>
      <c r="H29" s="2">
        <v>0.74207138600039591</v>
      </c>
      <c r="I29" s="2">
        <v>0.71947993545253253</v>
      </c>
      <c r="J29" s="2">
        <v>0.7481092877999852</v>
      </c>
      <c r="K29" s="2">
        <v>0.78320403813298189</v>
      </c>
      <c r="L29" s="2">
        <v>0.82094971180886611</v>
      </c>
      <c r="M29" s="2">
        <v>0.77415258131759213</v>
      </c>
      <c r="N29" s="2">
        <v>0.66172545478846723</v>
      </c>
      <c r="O29" s="2">
        <v>0.79162629236979942</v>
      </c>
      <c r="P29" s="2">
        <v>0.80865314721508941</v>
      </c>
      <c r="Q29" s="2">
        <v>0.77841806003504788</v>
      </c>
      <c r="R29" s="2">
        <v>0.72577544752343848</v>
      </c>
      <c r="S29" s="2">
        <v>0.82532003510964869</v>
      </c>
      <c r="T29" s="2">
        <v>0.82369015569911441</v>
      </c>
      <c r="U29" s="2">
        <v>0.74647640278534289</v>
      </c>
      <c r="V29" s="2">
        <v>0.71769845099117047</v>
      </c>
      <c r="W29" s="2">
        <v>0.72759877538012852</v>
      </c>
      <c r="X29" s="2">
        <v>0.77890646153767995</v>
      </c>
      <c r="Y29" s="2">
        <v>0.72593464316589995</v>
      </c>
      <c r="Z29" s="2">
        <v>0.78441835070690535</v>
      </c>
      <c r="AA29" s="2">
        <v>0.70785289209492119</v>
      </c>
      <c r="AB29" s="2">
        <v>0.79144921705757054</v>
      </c>
      <c r="AC29" s="2">
        <v>0.81343086952259425</v>
      </c>
      <c r="AD29" s="2">
        <v>0.70369513882944512</v>
      </c>
      <c r="AE29" s="2">
        <v>0.69941464248017626</v>
      </c>
      <c r="AF29" s="2">
        <v>0.71001530571208871</v>
      </c>
      <c r="AG29" s="2">
        <v>0.75070390851985047</v>
      </c>
      <c r="AH29" s="2">
        <v>0.75163177629904332</v>
      </c>
      <c r="AI29" s="2">
        <v>0.74560292155596752</v>
      </c>
      <c r="AJ29" s="2">
        <v>0.69062995847118114</v>
      </c>
      <c r="AK29" s="2">
        <v>0.74587889544650732</v>
      </c>
      <c r="AL29" s="2">
        <v>0.7724379870068423</v>
      </c>
      <c r="AM29" s="2">
        <v>0.68084195307926954</v>
      </c>
      <c r="AN29" s="2">
        <v>0.77103073759932739</v>
      </c>
      <c r="AO29" s="2">
        <v>0.73461827055170925</v>
      </c>
      <c r="AP29" s="2">
        <v>0.72643767971797202</v>
      </c>
      <c r="AQ29" s="2">
        <v>0.76176962812753668</v>
      </c>
      <c r="AR29" s="2">
        <v>0.7447574480078496</v>
      </c>
      <c r="AS29" s="2">
        <v>0.78109198910377886</v>
      </c>
      <c r="AT29" s="2">
        <v>0.73656621766107755</v>
      </c>
      <c r="AU29" s="2">
        <v>0.72066987833085661</v>
      </c>
      <c r="AV29" s="2">
        <v>0.72555387862012666</v>
      </c>
      <c r="AW29" s="2">
        <v>0.71405498421526103</v>
      </c>
      <c r="AX29" s="2">
        <v>0.74962340612556766</v>
      </c>
      <c r="AY29" s="2">
        <v>0.73587237143079731</v>
      </c>
      <c r="AZ29" s="2">
        <v>0.7288899195037194</v>
      </c>
      <c r="BA29" s="2">
        <v>0.79445218409051876</v>
      </c>
      <c r="BB29" s="2">
        <v>0.79577591767641997</v>
      </c>
      <c r="BC29" s="2">
        <v>0.7802646418096808</v>
      </c>
      <c r="BD29" s="2">
        <v>0.78292451121904361</v>
      </c>
      <c r="BE29" s="2">
        <v>0.71787709700336411</v>
      </c>
      <c r="BF29" s="2">
        <v>0.73631335414709309</v>
      </c>
      <c r="BG29" s="2">
        <v>0.79129363908010686</v>
      </c>
      <c r="BH29" s="2">
        <v>0.75858114609988014</v>
      </c>
      <c r="BI29" s="2">
        <v>0.81097134963268169</v>
      </c>
      <c r="BJ29" s="2">
        <v>0.70038992461176031</v>
      </c>
      <c r="BK29" s="2">
        <v>0.76633929234916021</v>
      </c>
      <c r="BL29" s="2">
        <v>0.75283053588238491</v>
      </c>
      <c r="BM29" s="2">
        <v>0.74432240864852195</v>
      </c>
      <c r="BN29" s="2">
        <v>0.76132410654886906</v>
      </c>
      <c r="BO29" s="2">
        <v>0.75287846723359964</v>
      </c>
      <c r="BP29" s="2">
        <v>0.75543477647478552</v>
      </c>
      <c r="BQ29" s="2">
        <v>0.7593218296689157</v>
      </c>
      <c r="BR29" s="2">
        <v>0.81206911155632144</v>
      </c>
      <c r="BS29" s="2">
        <v>0.80593824494197053</v>
      </c>
      <c r="BT29" s="2">
        <v>0.7419152498864684</v>
      </c>
      <c r="BU29" s="2">
        <v>0.81190401274959123</v>
      </c>
      <c r="BV29" s="2">
        <v>0.74363669602241544</v>
      </c>
      <c r="BW29" s="2">
        <v>0.77078266996592193</v>
      </c>
      <c r="BX29" s="2">
        <v>0.7628192191894464</v>
      </c>
      <c r="BY29" s="2">
        <v>0.6536150502385214</v>
      </c>
      <c r="BZ29" s="2">
        <v>0.77558447722317025</v>
      </c>
      <c r="CA29" s="2">
        <v>0.6615611846862951</v>
      </c>
      <c r="CB29" s="2">
        <v>0.68429678427743734</v>
      </c>
      <c r="CC29" s="2">
        <v>0.74004826608529128</v>
      </c>
      <c r="CD29" s="2">
        <v>0.78396897658438813</v>
      </c>
      <c r="CE29" s="2">
        <v>0.71646609656123406</v>
      </c>
      <c r="CF29" s="2">
        <v>0.73236315131792418</v>
      </c>
      <c r="CG29" s="2">
        <v>0.79760971619334353</v>
      </c>
      <c r="CH29" s="2">
        <v>0.74143683239297209</v>
      </c>
      <c r="CI29" s="2">
        <v>0.68005537897742296</v>
      </c>
      <c r="CJ29" s="2">
        <v>0.7727885929588002</v>
      </c>
      <c r="CK29" s="2">
        <v>0.75995905857189205</v>
      </c>
      <c r="CL29" s="2">
        <v>0.77415872869750124</v>
      </c>
      <c r="CM29" s="2">
        <v>0.77856499628151021</v>
      </c>
      <c r="CN29" s="2">
        <v>0.77803122962054205</v>
      </c>
      <c r="CO29" s="2">
        <v>0.76711722910312785</v>
      </c>
      <c r="CP29" s="2">
        <v>0.73661577613837415</v>
      </c>
      <c r="CQ29" s="2">
        <v>0.73615239033320878</v>
      </c>
      <c r="CR29" s="2">
        <v>0.66505013941355817</v>
      </c>
      <c r="CS29" s="2">
        <v>0.72382429092771083</v>
      </c>
      <c r="CT29" s="2">
        <v>0.75287082175181885</v>
      </c>
      <c r="CU29" s="2">
        <v>0.73859465189971585</v>
      </c>
      <c r="CV29" s="2">
        <v>0.77673290392242844</v>
      </c>
      <c r="CW29" s="2">
        <v>0.75818537825438825</v>
      </c>
    </row>
    <row r="30" spans="1:101" x14ac:dyDescent="0.35">
      <c r="A30">
        <v>202405</v>
      </c>
      <c r="B30" s="2">
        <v>0.75644223657416976</v>
      </c>
      <c r="C30" s="2">
        <v>0.74823687475350598</v>
      </c>
      <c r="D30" s="2">
        <v>0.70457845682526521</v>
      </c>
      <c r="E30" s="2">
        <v>0.68006342787012009</v>
      </c>
      <c r="F30" s="2">
        <v>0.71087646536947313</v>
      </c>
      <c r="G30" s="2">
        <v>0.76443823217505968</v>
      </c>
      <c r="H30" s="2">
        <v>0.72472655050597068</v>
      </c>
      <c r="I30" s="2">
        <v>0.7321715693748988</v>
      </c>
      <c r="J30" s="2">
        <v>0.76407830495575257</v>
      </c>
      <c r="K30" s="2">
        <v>0.76326772828974421</v>
      </c>
      <c r="L30" s="2">
        <v>0.81140082879265718</v>
      </c>
      <c r="M30" s="2">
        <v>0.72319336420255509</v>
      </c>
      <c r="N30" s="2">
        <v>0.68178680894634247</v>
      </c>
      <c r="O30" s="2">
        <v>0.78039737689137667</v>
      </c>
      <c r="P30" s="2">
        <v>0.78286442383997656</v>
      </c>
      <c r="Q30" s="2">
        <v>0.7946388682370592</v>
      </c>
      <c r="R30" s="2">
        <v>0.73527524871726857</v>
      </c>
      <c r="S30" s="2">
        <v>0.83179474558012545</v>
      </c>
      <c r="T30" s="2">
        <v>0.78064178396020789</v>
      </c>
      <c r="U30" s="2">
        <v>0.72164195924303542</v>
      </c>
      <c r="V30" s="2">
        <v>0.72217484290486567</v>
      </c>
      <c r="W30" s="2">
        <v>0.70343792389457827</v>
      </c>
      <c r="X30" s="2">
        <v>0.79982765600695716</v>
      </c>
      <c r="Y30" s="2">
        <v>0.72122258685311946</v>
      </c>
      <c r="Z30" s="2">
        <v>0.79226869935753608</v>
      </c>
      <c r="AA30" s="2">
        <v>0.69404138863960574</v>
      </c>
      <c r="AB30" s="2">
        <v>0.77238819215136678</v>
      </c>
      <c r="AC30" s="2">
        <v>0.78414187797303603</v>
      </c>
      <c r="AD30" s="2">
        <v>0.69572896395200978</v>
      </c>
      <c r="AE30" s="2">
        <v>0.6967677863928432</v>
      </c>
      <c r="AF30" s="2">
        <v>0.69662865852260025</v>
      </c>
      <c r="AG30" s="2">
        <v>0.76118278808465178</v>
      </c>
      <c r="AH30" s="2">
        <v>0.75463743453036081</v>
      </c>
      <c r="AI30" s="2">
        <v>0.72972121326977668</v>
      </c>
      <c r="AJ30" s="2">
        <v>0.66873050544855162</v>
      </c>
      <c r="AK30" s="2">
        <v>0.70683440649847673</v>
      </c>
      <c r="AL30" s="2">
        <v>0.78433157798212094</v>
      </c>
      <c r="AM30" s="2">
        <v>0.69724611696244854</v>
      </c>
      <c r="AN30" s="2">
        <v>0.73965877543248315</v>
      </c>
      <c r="AO30" s="2">
        <v>0.73590117383212983</v>
      </c>
      <c r="AP30" s="2">
        <v>0.71399203204451511</v>
      </c>
      <c r="AQ30" s="2">
        <v>0.79166006978964121</v>
      </c>
      <c r="AR30" s="2">
        <v>0.7329992081581298</v>
      </c>
      <c r="AS30" s="2">
        <v>0.76550439756835253</v>
      </c>
      <c r="AT30" s="2">
        <v>0.72237892445097818</v>
      </c>
      <c r="AU30" s="2">
        <v>0.69241902180629888</v>
      </c>
      <c r="AV30" s="2">
        <v>0.69218382330708894</v>
      </c>
      <c r="AW30" s="2">
        <v>0.71098028976326777</v>
      </c>
      <c r="AX30" s="2">
        <v>0.72845198668952704</v>
      </c>
      <c r="AY30" s="2">
        <v>0.75471586093961573</v>
      </c>
      <c r="AZ30" s="2">
        <v>0.69796324477679306</v>
      </c>
      <c r="BA30" s="2">
        <v>0.82499265645743136</v>
      </c>
      <c r="BB30" s="2">
        <v>0.76054595666329605</v>
      </c>
      <c r="BC30" s="2">
        <v>0.75785553332306577</v>
      </c>
      <c r="BD30" s="2">
        <v>0.75313910266743445</v>
      </c>
      <c r="BE30" s="2">
        <v>0.71303777893332065</v>
      </c>
      <c r="BF30" s="2">
        <v>0.70560120482348387</v>
      </c>
      <c r="BG30" s="2">
        <v>0.82007255510404808</v>
      </c>
      <c r="BH30" s="2">
        <v>0.76733315359337362</v>
      </c>
      <c r="BI30" s="2">
        <v>0.79184084881674111</v>
      </c>
      <c r="BJ30" s="2">
        <v>0.71126494439392962</v>
      </c>
      <c r="BK30" s="2">
        <v>0.75051846580912251</v>
      </c>
      <c r="BL30" s="2">
        <v>0.77977231530019053</v>
      </c>
      <c r="BM30" s="2">
        <v>0.77047181717781332</v>
      </c>
      <c r="BN30" s="2">
        <v>0.76890842697497719</v>
      </c>
      <c r="BO30" s="2">
        <v>0.73285340845438618</v>
      </c>
      <c r="BP30" s="2">
        <v>0.71929895388919896</v>
      </c>
      <c r="BQ30" s="2">
        <v>0.75131709394481683</v>
      </c>
      <c r="BR30" s="2">
        <v>0.78320214426697388</v>
      </c>
      <c r="BS30" s="2">
        <v>0.83171894581931693</v>
      </c>
      <c r="BT30" s="2">
        <v>0.72817347836412638</v>
      </c>
      <c r="BU30" s="2">
        <v>0.80403171669495233</v>
      </c>
      <c r="BV30" s="2">
        <v>0.70293467332133575</v>
      </c>
      <c r="BW30" s="2">
        <v>0.75739420595005069</v>
      </c>
      <c r="BX30" s="2">
        <v>0.78991525756616121</v>
      </c>
      <c r="BY30" s="2">
        <v>0.65593250931319602</v>
      </c>
      <c r="BZ30" s="2">
        <v>0.75890984642303272</v>
      </c>
      <c r="CA30" s="2">
        <v>0.6926475151296454</v>
      </c>
      <c r="CB30" s="2">
        <v>0.67555621148714795</v>
      </c>
      <c r="CC30" s="2">
        <v>0.73484619849326227</v>
      </c>
      <c r="CD30" s="2">
        <v>0.80819597735278526</v>
      </c>
      <c r="CE30" s="2">
        <v>0.7054915178649025</v>
      </c>
      <c r="CF30" s="2">
        <v>0.72808052078259433</v>
      </c>
      <c r="CG30" s="2">
        <v>0.76836627113748868</v>
      </c>
      <c r="CH30" s="2">
        <v>0.72955680369196696</v>
      </c>
      <c r="CI30" s="2">
        <v>0.67603260697005474</v>
      </c>
      <c r="CJ30" s="2">
        <v>0.78167946778620134</v>
      </c>
      <c r="CK30" s="2">
        <v>0.73456362516316787</v>
      </c>
      <c r="CL30" s="2">
        <v>0.78709820802632069</v>
      </c>
      <c r="CM30" s="2">
        <v>0.76942313714497723</v>
      </c>
      <c r="CN30" s="2">
        <v>0.80174717063196654</v>
      </c>
      <c r="CO30" s="2">
        <v>0.76107802092676591</v>
      </c>
      <c r="CP30" s="2">
        <v>0.74064906202931013</v>
      </c>
      <c r="CQ30" s="2">
        <v>0.69941743276761781</v>
      </c>
      <c r="CR30" s="2">
        <v>0.67351635110599206</v>
      </c>
      <c r="CS30" s="2">
        <v>0.73119135254514656</v>
      </c>
      <c r="CT30" s="2">
        <v>0.74304380689312088</v>
      </c>
      <c r="CU30" s="2">
        <v>0.73690951218245648</v>
      </c>
      <c r="CV30" s="2">
        <v>0.78001692928627364</v>
      </c>
      <c r="CW30" s="2">
        <v>0.76262037045005016</v>
      </c>
    </row>
    <row r="31" spans="1:101" x14ac:dyDescent="0.35">
      <c r="A31">
        <v>202406</v>
      </c>
      <c r="B31" s="2">
        <v>0.75116650563589094</v>
      </c>
      <c r="C31" s="2">
        <v>0.75351401175576771</v>
      </c>
      <c r="D31" s="2">
        <v>0.748770841625372</v>
      </c>
      <c r="E31" s="2">
        <v>0.72213666925520092</v>
      </c>
      <c r="F31" s="2">
        <v>0.74659818830680935</v>
      </c>
      <c r="G31" s="2">
        <v>0.76491095370975126</v>
      </c>
      <c r="H31" s="2">
        <v>0.72788550011499087</v>
      </c>
      <c r="I31" s="2">
        <v>0.74294277644687856</v>
      </c>
      <c r="J31" s="2">
        <v>0.77729812639045504</v>
      </c>
      <c r="K31" s="2">
        <v>0.7536005244816304</v>
      </c>
      <c r="L31" s="2">
        <v>0.81452856021488784</v>
      </c>
      <c r="M31" s="2">
        <v>0.77236130246334789</v>
      </c>
      <c r="N31" s="2">
        <v>0.67804452624440648</v>
      </c>
      <c r="O31" s="2">
        <v>0.80295429541015773</v>
      </c>
      <c r="P31" s="2">
        <v>0.80499789218087181</v>
      </c>
      <c r="Q31" s="2">
        <v>0.79923009078118701</v>
      </c>
      <c r="R31" s="2">
        <v>0.73778915399129663</v>
      </c>
      <c r="S31" s="2">
        <v>0.8070114796216864</v>
      </c>
      <c r="T31" s="2">
        <v>0.8360503951686209</v>
      </c>
      <c r="U31" s="2">
        <v>0.76630276485226922</v>
      </c>
      <c r="V31" s="2">
        <v>0.72435196510974442</v>
      </c>
      <c r="W31" s="2">
        <v>0.75226347918958913</v>
      </c>
      <c r="X31" s="2">
        <v>0.7707002295857488</v>
      </c>
      <c r="Y31" s="2">
        <v>0.75683468044610624</v>
      </c>
      <c r="Z31" s="2">
        <v>0.77981501764438632</v>
      </c>
      <c r="AA31" s="2">
        <v>0.7019019659036132</v>
      </c>
      <c r="AB31" s="2">
        <v>0.76212801710273803</v>
      </c>
      <c r="AC31" s="2">
        <v>0.7960444970555558</v>
      </c>
      <c r="AD31" s="2">
        <v>0.72553066474674732</v>
      </c>
      <c r="AE31" s="2">
        <v>0.70263005027720415</v>
      </c>
      <c r="AF31" s="2">
        <v>0.71066736502472361</v>
      </c>
      <c r="AG31" s="2">
        <v>0.7783289376624154</v>
      </c>
      <c r="AH31" s="2">
        <v>0.77642937745825524</v>
      </c>
      <c r="AI31" s="2">
        <v>0.72694663881476695</v>
      </c>
      <c r="AJ31" s="2">
        <v>0.69843405979088735</v>
      </c>
      <c r="AK31" s="2">
        <v>0.73722092136098571</v>
      </c>
      <c r="AL31" s="2">
        <v>0.80436739546703795</v>
      </c>
      <c r="AM31" s="2">
        <v>0.72197472412791974</v>
      </c>
      <c r="AN31" s="2">
        <v>0.77393883388747575</v>
      </c>
      <c r="AO31" s="2">
        <v>0.74388670430921389</v>
      </c>
      <c r="AP31" s="2">
        <v>0.71635437455728834</v>
      </c>
      <c r="AQ31" s="2">
        <v>0.79874000695626068</v>
      </c>
      <c r="AR31" s="2">
        <v>0.74320034756993569</v>
      </c>
      <c r="AS31" s="2">
        <v>0.78802491596201873</v>
      </c>
      <c r="AT31" s="2">
        <v>0.74989109251013142</v>
      </c>
      <c r="AU31" s="2">
        <v>0.720602971958895</v>
      </c>
      <c r="AV31" s="2">
        <v>0.71633391958712977</v>
      </c>
      <c r="AW31" s="2">
        <v>0.73848179931823765</v>
      </c>
      <c r="AX31" s="2">
        <v>0.74035429966223387</v>
      </c>
      <c r="AY31" s="2">
        <v>0.72578239382141241</v>
      </c>
      <c r="AZ31" s="2">
        <v>0.71397024196844194</v>
      </c>
      <c r="BA31" s="2">
        <v>0.80931208802899501</v>
      </c>
      <c r="BB31" s="2">
        <v>0.77706123626595136</v>
      </c>
      <c r="BC31" s="2">
        <v>0.80129524055437329</v>
      </c>
      <c r="BD31" s="2">
        <v>0.75698026998116563</v>
      </c>
      <c r="BE31" s="2">
        <v>0.72410080668867871</v>
      </c>
      <c r="BF31" s="2">
        <v>0.74661266630166334</v>
      </c>
      <c r="BG31" s="2">
        <v>0.80539657917673235</v>
      </c>
      <c r="BH31" s="2">
        <v>0.76111105069122553</v>
      </c>
      <c r="BI31" s="2">
        <v>0.82215906187094401</v>
      </c>
      <c r="BJ31" s="2">
        <v>0.70613683202169819</v>
      </c>
      <c r="BK31" s="2">
        <v>0.78746329595207798</v>
      </c>
      <c r="BL31" s="2">
        <v>0.77468334395696903</v>
      </c>
      <c r="BM31" s="2">
        <v>0.77853022059143739</v>
      </c>
      <c r="BN31" s="2">
        <v>0.75846450222602813</v>
      </c>
      <c r="BO31" s="2">
        <v>0.71182240822970444</v>
      </c>
      <c r="BP31" s="2">
        <v>0.77256605957484381</v>
      </c>
      <c r="BQ31" s="2">
        <v>0.79681415556842083</v>
      </c>
      <c r="BR31" s="2">
        <v>0.79875571565083836</v>
      </c>
      <c r="BS31" s="2">
        <v>0.79534274658663395</v>
      </c>
      <c r="BT31" s="2">
        <v>0.76484491971500335</v>
      </c>
      <c r="BU31" s="2">
        <v>0.82056871150497745</v>
      </c>
      <c r="BV31" s="2">
        <v>0.74293045456146745</v>
      </c>
      <c r="BW31" s="2">
        <v>0.78742065390533322</v>
      </c>
      <c r="BX31" s="2">
        <v>0.77384335884583344</v>
      </c>
      <c r="BY31" s="2">
        <v>0.69932109105547491</v>
      </c>
      <c r="BZ31" s="2">
        <v>0.76914155055523636</v>
      </c>
      <c r="CA31" s="2">
        <v>0.69537204789942209</v>
      </c>
      <c r="CB31" s="2">
        <v>0.69421409982583226</v>
      </c>
      <c r="CC31" s="2">
        <v>0.74165115406364956</v>
      </c>
      <c r="CD31" s="2">
        <v>0.79574353988951474</v>
      </c>
      <c r="CE31" s="2">
        <v>0.70513947247641517</v>
      </c>
      <c r="CF31" s="2">
        <v>0.72000825023209558</v>
      </c>
      <c r="CG31" s="2">
        <v>0.78549993161685772</v>
      </c>
      <c r="CH31" s="2">
        <v>0.75781134741208911</v>
      </c>
      <c r="CI31" s="2">
        <v>0.68080134077251764</v>
      </c>
      <c r="CJ31" s="2">
        <v>0.80648769108903517</v>
      </c>
      <c r="CK31" s="2">
        <v>0.76570740979755647</v>
      </c>
      <c r="CL31" s="2">
        <v>0.7830937762587209</v>
      </c>
      <c r="CM31" s="2">
        <v>0.78443028073374899</v>
      </c>
      <c r="CN31" s="2">
        <v>0.74611362017118599</v>
      </c>
      <c r="CO31" s="2">
        <v>0.78498964567702711</v>
      </c>
      <c r="CP31" s="2">
        <v>0.7203212485677718</v>
      </c>
      <c r="CQ31" s="2">
        <v>0.71318841991738324</v>
      </c>
      <c r="CR31" s="2">
        <v>0.68432036048234013</v>
      </c>
      <c r="CS31" s="2">
        <v>0.74433203243290236</v>
      </c>
      <c r="CT31" s="2">
        <v>0.7752390888309576</v>
      </c>
      <c r="CU31" s="2">
        <v>0.74025135394215946</v>
      </c>
      <c r="CV31" s="2">
        <v>0.77453026839904382</v>
      </c>
      <c r="CW31" s="2">
        <v>0.79379866913442376</v>
      </c>
    </row>
    <row r="32" spans="1:101" x14ac:dyDescent="0.35">
      <c r="A32">
        <v>202407</v>
      </c>
      <c r="B32" s="2">
        <v>0.75937603028930245</v>
      </c>
      <c r="C32" s="2">
        <v>0.74236899295971648</v>
      </c>
      <c r="D32" s="2">
        <v>0.7335061060867103</v>
      </c>
      <c r="E32" s="2">
        <v>0.6805034289810874</v>
      </c>
      <c r="F32" s="2">
        <v>0.74777192552347505</v>
      </c>
      <c r="G32" s="2">
        <v>0.76529412887073778</v>
      </c>
      <c r="H32" s="2">
        <v>0.74186593517841248</v>
      </c>
      <c r="I32" s="2">
        <v>0.74613904675020026</v>
      </c>
      <c r="J32" s="2">
        <v>0.75428396648407048</v>
      </c>
      <c r="K32" s="2">
        <v>0.77699716484122183</v>
      </c>
      <c r="L32" s="2">
        <v>0.8326099859585957</v>
      </c>
      <c r="M32" s="2">
        <v>0.75418144585265601</v>
      </c>
      <c r="N32" s="2">
        <v>0.66034354421010211</v>
      </c>
      <c r="O32" s="2">
        <v>0.77382011342715074</v>
      </c>
      <c r="P32" s="2">
        <v>0.78639865982265111</v>
      </c>
      <c r="Q32" s="2">
        <v>0.77082481966159699</v>
      </c>
      <c r="R32" s="2">
        <v>0.73780834614955337</v>
      </c>
      <c r="S32" s="2">
        <v>0.82188920142574839</v>
      </c>
      <c r="T32" s="2">
        <v>0.77397508994062281</v>
      </c>
      <c r="U32" s="2">
        <v>0.75563358915596379</v>
      </c>
      <c r="V32" s="2">
        <v>0.7344039531925699</v>
      </c>
      <c r="W32" s="2">
        <v>0.76013565579163389</v>
      </c>
      <c r="X32" s="2">
        <v>0.79208708178840126</v>
      </c>
      <c r="Y32" s="2">
        <v>0.72963184116215651</v>
      </c>
      <c r="Z32" s="2">
        <v>0.80304357108999325</v>
      </c>
      <c r="AA32" s="2">
        <v>0.7034676971470778</v>
      </c>
      <c r="AB32" s="2">
        <v>0.74812132654869701</v>
      </c>
      <c r="AC32" s="2">
        <v>0.77876690084088551</v>
      </c>
      <c r="AD32" s="2">
        <v>0.72675024734001403</v>
      </c>
      <c r="AE32" s="2">
        <v>0.70330294227673151</v>
      </c>
      <c r="AF32" s="2">
        <v>0.71076129450015824</v>
      </c>
      <c r="AG32" s="2">
        <v>0.76057003882478447</v>
      </c>
      <c r="AH32" s="2">
        <v>0.74884959056626077</v>
      </c>
      <c r="AI32" s="2">
        <v>0.73032453565836231</v>
      </c>
      <c r="AJ32" s="2">
        <v>0.67765934448010534</v>
      </c>
      <c r="AK32" s="2">
        <v>0.73169637880216665</v>
      </c>
      <c r="AL32" s="2">
        <v>0.78043189854564077</v>
      </c>
      <c r="AM32" s="2">
        <v>0.71309119358108686</v>
      </c>
      <c r="AN32" s="2">
        <v>0.74307401873930523</v>
      </c>
      <c r="AO32" s="2">
        <v>0.74218804157704477</v>
      </c>
      <c r="AP32" s="2">
        <v>0.72655402557831561</v>
      </c>
      <c r="AQ32" s="2">
        <v>0.77078814909269411</v>
      </c>
      <c r="AR32" s="2">
        <v>0.72065344985344915</v>
      </c>
      <c r="AS32" s="2">
        <v>0.77174697828243966</v>
      </c>
      <c r="AT32" s="2">
        <v>0.7521513752849498</v>
      </c>
      <c r="AU32" s="2">
        <v>0.70191593189515922</v>
      </c>
      <c r="AV32" s="2">
        <v>0.71424040967084901</v>
      </c>
      <c r="AW32" s="2">
        <v>0.7107211850465992</v>
      </c>
      <c r="AX32" s="2">
        <v>0.75192748179237678</v>
      </c>
      <c r="AY32" s="2">
        <v>0.7310754834563592</v>
      </c>
      <c r="AZ32" s="2">
        <v>0.72335511618852111</v>
      </c>
      <c r="BA32" s="2">
        <v>0.81650848633025608</v>
      </c>
      <c r="BB32" s="2">
        <v>0.79630560335599221</v>
      </c>
      <c r="BC32" s="2">
        <v>0.76045426198549904</v>
      </c>
      <c r="BD32" s="2">
        <v>0.76368859776349174</v>
      </c>
      <c r="BE32" s="2">
        <v>0.73650183943486669</v>
      </c>
      <c r="BF32" s="2">
        <v>0.75238118376841012</v>
      </c>
      <c r="BG32" s="2">
        <v>0.80375369345493719</v>
      </c>
      <c r="BH32" s="2">
        <v>0.74527478037792994</v>
      </c>
      <c r="BI32" s="2">
        <v>0.80624569040240268</v>
      </c>
      <c r="BJ32" s="2">
        <v>0.71114204282344939</v>
      </c>
      <c r="BK32" s="2">
        <v>0.76951978889424399</v>
      </c>
      <c r="BL32" s="2">
        <v>0.76355983716915699</v>
      </c>
      <c r="BM32" s="2">
        <v>0.76416366179496276</v>
      </c>
      <c r="BN32" s="2">
        <v>0.75899408902108023</v>
      </c>
      <c r="BO32" s="2">
        <v>0.69956059073976606</v>
      </c>
      <c r="BP32" s="2">
        <v>0.73597000662242584</v>
      </c>
      <c r="BQ32" s="2">
        <v>0.79189209404197025</v>
      </c>
      <c r="BR32" s="2">
        <v>0.78152314455034533</v>
      </c>
      <c r="BS32" s="2">
        <v>0.84173690613089314</v>
      </c>
      <c r="BT32" s="2">
        <v>0.73103210359369319</v>
      </c>
      <c r="BU32" s="2">
        <v>0.80767019628293024</v>
      </c>
      <c r="BV32" s="2">
        <v>0.71273074545684223</v>
      </c>
      <c r="BW32" s="2">
        <v>0.76656044336338625</v>
      </c>
      <c r="BX32" s="2">
        <v>0.77927636684239521</v>
      </c>
      <c r="BY32" s="2">
        <v>0.71305720453344579</v>
      </c>
      <c r="BZ32" s="2">
        <v>0.76747512631108805</v>
      </c>
      <c r="CA32" s="2">
        <v>0.67595613694651602</v>
      </c>
      <c r="CB32" s="2">
        <v>0.67103995728280752</v>
      </c>
      <c r="CC32" s="2">
        <v>0.74222652154971847</v>
      </c>
      <c r="CD32" s="2">
        <v>0.76841111211115321</v>
      </c>
      <c r="CE32" s="2">
        <v>0.71412622778559953</v>
      </c>
      <c r="CF32" s="2">
        <v>0.73081213784644283</v>
      </c>
      <c r="CG32" s="2">
        <v>0.78755148165678601</v>
      </c>
      <c r="CH32" s="2">
        <v>0.75675145100415198</v>
      </c>
      <c r="CI32" s="2">
        <v>0.70688634970750452</v>
      </c>
      <c r="CJ32" s="2">
        <v>0.79048432322440776</v>
      </c>
      <c r="CK32" s="2">
        <v>0.80194557690774804</v>
      </c>
      <c r="CL32" s="2">
        <v>0.76730646537613301</v>
      </c>
      <c r="CM32" s="2">
        <v>0.80743295485393785</v>
      </c>
      <c r="CN32" s="2">
        <v>0.83887581542066803</v>
      </c>
      <c r="CO32" s="2">
        <v>0.78062348021958095</v>
      </c>
      <c r="CP32" s="2">
        <v>0.72216066169237114</v>
      </c>
      <c r="CQ32" s="2">
        <v>0.7267343564763924</v>
      </c>
      <c r="CR32" s="2">
        <v>0.67933081821187724</v>
      </c>
      <c r="CS32" s="2">
        <v>0.76030353016529317</v>
      </c>
      <c r="CT32" s="2">
        <v>0.75145767332320301</v>
      </c>
      <c r="CU32" s="2">
        <v>0.70745798956455763</v>
      </c>
      <c r="CV32" s="2">
        <v>0.77977277578653881</v>
      </c>
      <c r="CW32" s="2">
        <v>0.76238174821577964</v>
      </c>
    </row>
    <row r="33" spans="1:101" x14ac:dyDescent="0.35">
      <c r="A33">
        <v>202408</v>
      </c>
      <c r="B33" s="2">
        <v>0.79818764255796437</v>
      </c>
      <c r="C33" s="2">
        <v>0.73692598854117075</v>
      </c>
      <c r="D33" s="2">
        <v>0.73649690004562751</v>
      </c>
      <c r="E33" s="2">
        <v>0.67770593739297502</v>
      </c>
      <c r="F33" s="2">
        <v>0.75139698746073413</v>
      </c>
      <c r="G33" s="2">
        <v>0.75591035528616957</v>
      </c>
      <c r="H33" s="2">
        <v>0.76436418639365566</v>
      </c>
      <c r="I33" s="2">
        <v>0.76561234728109107</v>
      </c>
      <c r="J33" s="2">
        <v>0.75892214322888674</v>
      </c>
      <c r="K33" s="2">
        <v>0.78147479038482481</v>
      </c>
      <c r="L33" s="2">
        <v>0.82045154300642842</v>
      </c>
      <c r="M33" s="2">
        <v>0.75803635046792206</v>
      </c>
      <c r="N33" s="2">
        <v>0.65857844383005837</v>
      </c>
      <c r="O33" s="2">
        <v>0.77699866136561646</v>
      </c>
      <c r="P33" s="2">
        <v>0.77709606341066684</v>
      </c>
      <c r="Q33" s="2">
        <v>0.75875544625367275</v>
      </c>
      <c r="R33" s="2">
        <v>0.74464848521997873</v>
      </c>
      <c r="S33" s="2">
        <v>0.86257229526015089</v>
      </c>
      <c r="T33" s="2">
        <v>0.81188182903207973</v>
      </c>
      <c r="U33" s="2">
        <v>0.76002646141705599</v>
      </c>
      <c r="V33" s="2">
        <v>0.73658119117664478</v>
      </c>
      <c r="W33" s="2">
        <v>0.72483601138317877</v>
      </c>
      <c r="X33" s="2">
        <v>0.80313074975260823</v>
      </c>
      <c r="Y33" s="2">
        <v>0.70759051633088577</v>
      </c>
      <c r="Z33" s="2">
        <v>0.80089782370815565</v>
      </c>
      <c r="AA33" s="2">
        <v>0.69460422505361386</v>
      </c>
      <c r="AB33" s="2">
        <v>0.77104127082820162</v>
      </c>
      <c r="AC33" s="2">
        <v>0.80527277634496253</v>
      </c>
      <c r="AD33" s="2">
        <v>0.71860695602983327</v>
      </c>
      <c r="AE33" s="2">
        <v>0.71418482164632524</v>
      </c>
      <c r="AF33" s="2">
        <v>0.72639327943358667</v>
      </c>
      <c r="AG33" s="2">
        <v>0.76036514636186459</v>
      </c>
      <c r="AH33" s="2">
        <v>0.73595255605256837</v>
      </c>
      <c r="AI33" s="2">
        <v>0.7371736698036464</v>
      </c>
      <c r="AJ33" s="2">
        <v>0.71679486276158277</v>
      </c>
      <c r="AK33" s="2">
        <v>0.73721752871184276</v>
      </c>
      <c r="AL33" s="2">
        <v>0.78751420688184359</v>
      </c>
      <c r="AM33" s="2">
        <v>0.70177997955195337</v>
      </c>
      <c r="AN33" s="2">
        <v>0.78485893844439492</v>
      </c>
      <c r="AO33" s="2">
        <v>0.75438048286625792</v>
      </c>
      <c r="AP33" s="2">
        <v>0.74467650334341706</v>
      </c>
      <c r="AQ33" s="2">
        <v>0.80629470375112278</v>
      </c>
      <c r="AR33" s="2">
        <v>0.75988915796180434</v>
      </c>
      <c r="AS33" s="2">
        <v>0.78835091591356943</v>
      </c>
      <c r="AT33" s="2">
        <v>0.74351916640331883</v>
      </c>
      <c r="AU33" s="2">
        <v>0.7272610019117649</v>
      </c>
      <c r="AV33" s="2">
        <v>0.70238947008493213</v>
      </c>
      <c r="AW33" s="2">
        <v>0.7290629112115401</v>
      </c>
      <c r="AX33" s="2">
        <v>0.76856031862144691</v>
      </c>
      <c r="AY33" s="2">
        <v>0.72014878738870247</v>
      </c>
      <c r="AZ33" s="2">
        <v>0.74718915447708978</v>
      </c>
      <c r="BA33" s="2">
        <v>0.82495651624732513</v>
      </c>
      <c r="BB33" s="2">
        <v>0.80605451928246064</v>
      </c>
      <c r="BC33" s="2">
        <v>0.74844084846277648</v>
      </c>
      <c r="BD33" s="2">
        <v>0.77315285016424085</v>
      </c>
      <c r="BE33" s="2">
        <v>0.73812748349017088</v>
      </c>
      <c r="BF33" s="2">
        <v>0.74416304112262011</v>
      </c>
      <c r="BG33" s="2">
        <v>0.79184592688164235</v>
      </c>
      <c r="BH33" s="2">
        <v>0.7801275124942646</v>
      </c>
      <c r="BI33" s="2">
        <v>0.79886348806882379</v>
      </c>
      <c r="BJ33" s="2">
        <v>0.7193468571288345</v>
      </c>
      <c r="BK33" s="2">
        <v>0.77611735741808141</v>
      </c>
      <c r="BL33" s="2">
        <v>0.75563535320003494</v>
      </c>
      <c r="BM33" s="2">
        <v>0.7541802735109171</v>
      </c>
      <c r="BN33" s="2">
        <v>0.74282715160489943</v>
      </c>
      <c r="BO33" s="2">
        <v>0.75642300463153611</v>
      </c>
      <c r="BP33" s="2">
        <v>0.75457332580465053</v>
      </c>
      <c r="BQ33" s="2">
        <v>0.80026410097886025</v>
      </c>
      <c r="BR33" s="2">
        <v>0.80553324170129892</v>
      </c>
      <c r="BS33" s="2">
        <v>0.81034601934473072</v>
      </c>
      <c r="BT33" s="2">
        <v>0.78105918603327429</v>
      </c>
      <c r="BU33" s="2">
        <v>0.80649176860465033</v>
      </c>
      <c r="BV33" s="2">
        <v>0.74875130011666913</v>
      </c>
      <c r="BW33" s="2">
        <v>0.780373198774026</v>
      </c>
      <c r="BX33" s="2">
        <v>0.81562195801339565</v>
      </c>
      <c r="BY33" s="2">
        <v>0.69588057457628127</v>
      </c>
      <c r="BZ33" s="2">
        <v>0.76788115935824397</v>
      </c>
      <c r="CA33" s="2">
        <v>0.68588710617036885</v>
      </c>
      <c r="CB33" s="2">
        <v>0.68884250738117703</v>
      </c>
      <c r="CC33" s="2">
        <v>0.78470546288512799</v>
      </c>
      <c r="CD33" s="2">
        <v>0.78189136744551091</v>
      </c>
      <c r="CE33" s="2">
        <v>0.72226066261206157</v>
      </c>
      <c r="CF33" s="2">
        <v>0.73180198461015222</v>
      </c>
      <c r="CG33" s="2">
        <v>0.8104646967922301</v>
      </c>
      <c r="CH33" s="2">
        <v>0.73271497506195438</v>
      </c>
      <c r="CI33" s="2">
        <v>0.67691512843204116</v>
      </c>
      <c r="CJ33" s="2">
        <v>0.79760728441510687</v>
      </c>
      <c r="CK33" s="2">
        <v>0.78166018242624102</v>
      </c>
      <c r="CL33" s="2">
        <v>0.819099627000764</v>
      </c>
      <c r="CM33" s="2">
        <v>0.76071903143988218</v>
      </c>
      <c r="CN33" s="2">
        <v>0.7624827477478251</v>
      </c>
      <c r="CO33" s="2">
        <v>0.79842026740107808</v>
      </c>
      <c r="CP33" s="2">
        <v>0.74314452934209552</v>
      </c>
      <c r="CQ33" s="2">
        <v>0.70854261580190303</v>
      </c>
      <c r="CR33" s="2">
        <v>0.66717970791392334</v>
      </c>
      <c r="CS33" s="2">
        <v>0.72626582990660682</v>
      </c>
      <c r="CT33" s="2">
        <v>0.763163455158545</v>
      </c>
      <c r="CU33" s="2">
        <v>0.7235090936191545</v>
      </c>
      <c r="CV33" s="2">
        <v>0.77975265861302234</v>
      </c>
      <c r="CW33" s="2">
        <v>0.77862287414275566</v>
      </c>
    </row>
    <row r="34" spans="1:101" x14ac:dyDescent="0.35">
      <c r="A34">
        <v>202409</v>
      </c>
      <c r="B34" s="2">
        <v>0.75866103563419696</v>
      </c>
      <c r="C34" s="2">
        <v>0.75692492662836863</v>
      </c>
      <c r="D34" s="2">
        <v>0.72833760552592486</v>
      </c>
      <c r="E34" s="2">
        <v>0.69433937798751344</v>
      </c>
      <c r="F34" s="2">
        <v>0.77448978886844566</v>
      </c>
      <c r="G34" s="2">
        <v>0.75074156824500271</v>
      </c>
      <c r="H34" s="2">
        <v>0.74761087255396275</v>
      </c>
      <c r="I34" s="2">
        <v>0.73944648503129107</v>
      </c>
      <c r="J34" s="2">
        <v>0.74185321320134856</v>
      </c>
      <c r="K34" s="2">
        <v>0.77523059998361565</v>
      </c>
      <c r="L34" s="2">
        <v>0.82425010354571726</v>
      </c>
      <c r="M34" s="2">
        <v>0.77868227834244375</v>
      </c>
      <c r="N34" s="2">
        <v>0.69720499471783448</v>
      </c>
      <c r="O34" s="2">
        <v>0.75938832750642227</v>
      </c>
      <c r="P34" s="2">
        <v>0.82544107637595798</v>
      </c>
      <c r="Q34" s="2">
        <v>0.78150250870042237</v>
      </c>
      <c r="R34" s="2">
        <v>0.73615698984187372</v>
      </c>
      <c r="S34" s="2">
        <v>0.82424905840228002</v>
      </c>
      <c r="T34" s="2">
        <v>0.80226088743012791</v>
      </c>
      <c r="U34" s="2">
        <v>0.76504999991404055</v>
      </c>
      <c r="V34" s="2">
        <v>0.72003395591431063</v>
      </c>
      <c r="W34" s="2">
        <v>0.75136002418032</v>
      </c>
      <c r="X34" s="2">
        <v>0.80651696875328216</v>
      </c>
      <c r="Y34" s="2">
        <v>0.71016031572721361</v>
      </c>
      <c r="Z34" s="2">
        <v>0.77451862913908176</v>
      </c>
      <c r="AA34" s="2">
        <v>0.71005409722043766</v>
      </c>
      <c r="AB34" s="2">
        <v>0.74876128107853723</v>
      </c>
      <c r="AC34" s="2">
        <v>0.77428732439422887</v>
      </c>
      <c r="AD34" s="2">
        <v>0.72298972205951528</v>
      </c>
      <c r="AE34" s="2">
        <v>0.71310858078279193</v>
      </c>
      <c r="AF34" s="2">
        <v>0.716647859944606</v>
      </c>
      <c r="AG34" s="2">
        <v>0.82093558030478742</v>
      </c>
      <c r="AH34" s="2">
        <v>0.7842976593183445</v>
      </c>
      <c r="AI34" s="2">
        <v>0.74134295185480781</v>
      </c>
      <c r="AJ34" s="2">
        <v>0.71986555239897954</v>
      </c>
      <c r="AK34" s="2">
        <v>0.73255275627712224</v>
      </c>
      <c r="AL34" s="2">
        <v>0.7906349211021273</v>
      </c>
      <c r="AM34" s="2">
        <v>0.72273429177606563</v>
      </c>
      <c r="AN34" s="2">
        <v>0.78909679415854472</v>
      </c>
      <c r="AO34" s="2">
        <v>0.7479246358161592</v>
      </c>
      <c r="AP34" s="2">
        <v>0.71773558070592725</v>
      </c>
      <c r="AQ34" s="2">
        <v>0.82412043929217249</v>
      </c>
      <c r="AR34" s="2">
        <v>0.72050670660096439</v>
      </c>
      <c r="AS34" s="2">
        <v>0.78963153676324271</v>
      </c>
      <c r="AT34" s="2">
        <v>0.73655959717399944</v>
      </c>
      <c r="AU34" s="2">
        <v>0.73204135117450064</v>
      </c>
      <c r="AV34" s="2">
        <v>0.72517746712549436</v>
      </c>
      <c r="AW34" s="2">
        <v>0.74000678933837805</v>
      </c>
      <c r="AX34" s="2">
        <v>0.76937837091551042</v>
      </c>
      <c r="AY34" s="2">
        <v>0.74047274908637306</v>
      </c>
      <c r="AZ34" s="2">
        <v>0.73955786130006118</v>
      </c>
      <c r="BA34" s="2">
        <v>0.8029554197125589</v>
      </c>
      <c r="BB34" s="2">
        <v>0.7835896869691038</v>
      </c>
      <c r="BC34" s="2">
        <v>0.79147617683010729</v>
      </c>
      <c r="BD34" s="2">
        <v>0.77520452233846626</v>
      </c>
      <c r="BE34" s="2">
        <v>0.72070224911643943</v>
      </c>
      <c r="BF34" s="2">
        <v>0.74659281162435898</v>
      </c>
      <c r="BG34" s="2">
        <v>0.80057964025713391</v>
      </c>
      <c r="BH34" s="2">
        <v>0.75597534316966442</v>
      </c>
      <c r="BI34" s="2">
        <v>0.8303380111731935</v>
      </c>
      <c r="BJ34" s="2">
        <v>0.70683566528491037</v>
      </c>
      <c r="BK34" s="2">
        <v>0.77389906777961348</v>
      </c>
      <c r="BL34" s="2">
        <v>0.76248846109991819</v>
      </c>
      <c r="BM34" s="2">
        <v>0.78076062673055469</v>
      </c>
      <c r="BN34" s="2">
        <v>0.76225338427179878</v>
      </c>
      <c r="BO34" s="2">
        <v>0.73567353716877582</v>
      </c>
      <c r="BP34" s="2">
        <v>0.77945423465663932</v>
      </c>
      <c r="BQ34" s="2">
        <v>0.8167091340101309</v>
      </c>
      <c r="BR34" s="2">
        <v>0.79214759246904609</v>
      </c>
      <c r="BS34" s="2">
        <v>0.83091341285258957</v>
      </c>
      <c r="BT34" s="2">
        <v>0.73983251086112933</v>
      </c>
      <c r="BU34" s="2">
        <v>0.81943957028578296</v>
      </c>
      <c r="BV34" s="2">
        <v>0.75410078481478138</v>
      </c>
      <c r="BW34" s="2">
        <v>0.78484492522399152</v>
      </c>
      <c r="BX34" s="2">
        <v>0.81615430173322023</v>
      </c>
      <c r="BY34" s="2">
        <v>0.68918950157490344</v>
      </c>
      <c r="BZ34" s="2">
        <v>0.77519231244738918</v>
      </c>
      <c r="CA34" s="2">
        <v>0.68851925679065229</v>
      </c>
      <c r="CB34" s="2">
        <v>0.70307225974264165</v>
      </c>
      <c r="CC34" s="2">
        <v>0.78496809313617621</v>
      </c>
      <c r="CD34" s="2">
        <v>0.79134212221073963</v>
      </c>
      <c r="CE34" s="2">
        <v>0.71327228757577121</v>
      </c>
      <c r="CF34" s="2">
        <v>0.77190161049147465</v>
      </c>
      <c r="CG34" s="2">
        <v>0.81512028907355794</v>
      </c>
      <c r="CH34" s="2">
        <v>0.7557977387245377</v>
      </c>
      <c r="CI34" s="2">
        <v>0.67731279088944341</v>
      </c>
      <c r="CJ34" s="2">
        <v>0.80309235751575103</v>
      </c>
      <c r="CK34" s="2">
        <v>0.76490815652515887</v>
      </c>
      <c r="CL34" s="2">
        <v>0.80638976382823258</v>
      </c>
      <c r="CM34" s="2">
        <v>0.80481255757683778</v>
      </c>
      <c r="CN34" s="2">
        <v>0.79979005923580127</v>
      </c>
      <c r="CO34" s="2">
        <v>0.79158701041567026</v>
      </c>
      <c r="CP34" s="2">
        <v>0.73688658803636342</v>
      </c>
      <c r="CQ34" s="2">
        <v>0.72857170590699971</v>
      </c>
      <c r="CR34" s="2">
        <v>0.67735115116712574</v>
      </c>
      <c r="CS34" s="2">
        <v>0.7485791989471664</v>
      </c>
      <c r="CT34" s="2">
        <v>0.77369814177241181</v>
      </c>
      <c r="CU34" s="2">
        <v>0.77049352771924151</v>
      </c>
      <c r="CV34" s="2">
        <v>0.78262016440562898</v>
      </c>
      <c r="CW34" s="2">
        <v>0.78380562158883826</v>
      </c>
    </row>
    <row r="35" spans="1:101" x14ac:dyDescent="0.35">
      <c r="A35">
        <v>202410</v>
      </c>
      <c r="B35" s="2">
        <v>0.77375640012990765</v>
      </c>
      <c r="C35" s="2">
        <v>0.76449488335672211</v>
      </c>
      <c r="D35" s="2">
        <v>0.76405335802111618</v>
      </c>
      <c r="E35" s="2">
        <v>0.7014819762778971</v>
      </c>
      <c r="F35" s="2">
        <v>0.77137506039569037</v>
      </c>
      <c r="G35" s="2">
        <v>0.76057916470220477</v>
      </c>
      <c r="H35" s="2">
        <v>0.75483651892773307</v>
      </c>
      <c r="I35" s="2">
        <v>0.7655743187082551</v>
      </c>
      <c r="J35" s="2">
        <v>0.77017425481775603</v>
      </c>
      <c r="K35" s="2">
        <v>0.78875350270479794</v>
      </c>
      <c r="L35" s="2">
        <v>0.80899671329413103</v>
      </c>
      <c r="M35" s="2">
        <v>0.76442024714853429</v>
      </c>
      <c r="N35" s="2">
        <v>0.67317963978170803</v>
      </c>
      <c r="O35" s="2">
        <v>0.80121030820616146</v>
      </c>
      <c r="P35" s="2">
        <v>0.81255845168523544</v>
      </c>
      <c r="Q35" s="2">
        <v>0.81718582173339227</v>
      </c>
      <c r="R35" s="2">
        <v>0.72605105125745695</v>
      </c>
      <c r="S35" s="2">
        <v>0.85702549808765938</v>
      </c>
      <c r="T35" s="2">
        <v>0.80893021008750887</v>
      </c>
      <c r="U35" s="2">
        <v>0.76563237409124851</v>
      </c>
      <c r="V35" s="2">
        <v>0.74277542119283591</v>
      </c>
      <c r="W35" s="2">
        <v>0.76523622615223696</v>
      </c>
      <c r="X35" s="2">
        <v>0.7940119402863417</v>
      </c>
      <c r="Y35" s="2">
        <v>0.74904444273202964</v>
      </c>
      <c r="Z35" s="2">
        <v>0.80963909049925231</v>
      </c>
      <c r="AA35" s="2">
        <v>0.71822562365695786</v>
      </c>
      <c r="AB35" s="2">
        <v>0.76408092096259916</v>
      </c>
      <c r="AC35" s="2">
        <v>0.78175739512820008</v>
      </c>
      <c r="AD35" s="2">
        <v>0.75415385479367725</v>
      </c>
      <c r="AE35" s="2">
        <v>0.70868872327100485</v>
      </c>
      <c r="AF35" s="2">
        <v>0.72529350366310741</v>
      </c>
      <c r="AG35" s="2">
        <v>0.78471587596331027</v>
      </c>
      <c r="AH35" s="2">
        <v>0.78938841599503706</v>
      </c>
      <c r="AI35" s="2">
        <v>0.75049015783962303</v>
      </c>
      <c r="AJ35" s="2">
        <v>0.70402709632000116</v>
      </c>
      <c r="AK35" s="2">
        <v>0.71649946524207841</v>
      </c>
      <c r="AL35" s="2">
        <v>0.78719507568079428</v>
      </c>
      <c r="AM35" s="2">
        <v>0.70265442266067668</v>
      </c>
      <c r="AN35" s="2">
        <v>0.78500078982900001</v>
      </c>
      <c r="AO35" s="2">
        <v>0.77054368816056418</v>
      </c>
      <c r="AP35" s="2">
        <v>0.74050679199478653</v>
      </c>
      <c r="AQ35" s="2">
        <v>0.82873793253743766</v>
      </c>
      <c r="AR35" s="2">
        <v>0.73669743091275941</v>
      </c>
      <c r="AS35" s="2">
        <v>0.75959504360791363</v>
      </c>
      <c r="AT35" s="2">
        <v>0.75005982943833405</v>
      </c>
      <c r="AU35" s="2">
        <v>0.70834499976772858</v>
      </c>
      <c r="AV35" s="2">
        <v>0.71023810927496955</v>
      </c>
      <c r="AW35" s="2">
        <v>0.72149654318388301</v>
      </c>
      <c r="AX35" s="2">
        <v>0.73415985641364467</v>
      </c>
      <c r="AY35" s="2">
        <v>0.76264005770193666</v>
      </c>
      <c r="AZ35" s="2">
        <v>0.72812304712129761</v>
      </c>
      <c r="BA35" s="2">
        <v>0.81164739093099614</v>
      </c>
      <c r="BB35" s="2">
        <v>0.77384326727425046</v>
      </c>
      <c r="BC35" s="2">
        <v>0.80174959303176296</v>
      </c>
      <c r="BD35" s="2">
        <v>0.80034917794113192</v>
      </c>
      <c r="BE35" s="2">
        <v>0.74695721318062447</v>
      </c>
      <c r="BF35" s="2">
        <v>0.75663532732855188</v>
      </c>
      <c r="BG35" s="2">
        <v>0.79148564451269943</v>
      </c>
      <c r="BH35" s="2">
        <v>0.75350667914260905</v>
      </c>
      <c r="BI35" s="2">
        <v>0.80390252754004088</v>
      </c>
      <c r="BJ35" s="2">
        <v>0.72371920732952288</v>
      </c>
      <c r="BK35" s="2">
        <v>0.8001703660559436</v>
      </c>
      <c r="BL35" s="2">
        <v>0.73315711283043017</v>
      </c>
      <c r="BM35" s="2">
        <v>0.80217138902322027</v>
      </c>
      <c r="BN35" s="2">
        <v>0.78246249629587195</v>
      </c>
      <c r="BO35" s="2">
        <v>0.7186596962855587</v>
      </c>
      <c r="BP35" s="2">
        <v>0.7643150144443901</v>
      </c>
      <c r="BQ35" s="2">
        <v>0.79964732074096267</v>
      </c>
      <c r="BR35" s="2">
        <v>0.77939428406144362</v>
      </c>
      <c r="BS35" s="2">
        <v>0.81144234134490489</v>
      </c>
      <c r="BT35" s="2">
        <v>0.76840763478728946</v>
      </c>
      <c r="BU35" s="2">
        <v>0.83864487608278238</v>
      </c>
      <c r="BV35" s="2">
        <v>0.77192086857843112</v>
      </c>
      <c r="BW35" s="2">
        <v>0.78422910810167579</v>
      </c>
      <c r="BX35" s="2">
        <v>0.78420050204884006</v>
      </c>
      <c r="BY35" s="2">
        <v>0.69954343470882174</v>
      </c>
      <c r="BZ35" s="2">
        <v>0.78077096283710523</v>
      </c>
      <c r="CA35" s="2">
        <v>0.66790243380428138</v>
      </c>
      <c r="CB35" s="2">
        <v>0.67611839220753323</v>
      </c>
      <c r="CC35" s="2">
        <v>0.79789747820471335</v>
      </c>
      <c r="CD35" s="2">
        <v>0.78736948675782636</v>
      </c>
      <c r="CE35" s="2">
        <v>0.73236101014446053</v>
      </c>
      <c r="CF35" s="2">
        <v>0.75088906276117873</v>
      </c>
      <c r="CG35" s="2">
        <v>0.79630821226419357</v>
      </c>
      <c r="CH35" s="2">
        <v>0.74420499491071168</v>
      </c>
      <c r="CI35" s="2">
        <v>0.71277381720511956</v>
      </c>
      <c r="CJ35" s="2">
        <v>0.7554786947340586</v>
      </c>
      <c r="CK35" s="2">
        <v>0.7655919645240814</v>
      </c>
      <c r="CL35" s="2">
        <v>0.79466408086688789</v>
      </c>
      <c r="CM35" s="2">
        <v>0.80014417479795108</v>
      </c>
      <c r="CN35" s="2">
        <v>0.83198635444653812</v>
      </c>
      <c r="CO35" s="2">
        <v>0.78457387710244153</v>
      </c>
      <c r="CP35" s="2">
        <v>0.76626488876488785</v>
      </c>
      <c r="CQ35" s="2">
        <v>0.68631000539568165</v>
      </c>
      <c r="CR35" s="2">
        <v>0.70087346299217013</v>
      </c>
      <c r="CS35" s="2">
        <v>0.74216715884334838</v>
      </c>
      <c r="CT35" s="2">
        <v>0.7615611518672295</v>
      </c>
      <c r="CU35" s="2">
        <v>0.73548038542499972</v>
      </c>
      <c r="CV35" s="2">
        <v>0.7637262486330062</v>
      </c>
      <c r="CW35" s="2">
        <v>0.7767408791706335</v>
      </c>
    </row>
    <row r="36" spans="1:101" x14ac:dyDescent="0.35">
      <c r="A36">
        <v>202411</v>
      </c>
      <c r="B36" s="2">
        <v>0.77861050680642896</v>
      </c>
      <c r="C36" s="2">
        <v>0.74039136001391237</v>
      </c>
      <c r="D36" s="2">
        <v>0.6998074395511189</v>
      </c>
      <c r="E36" s="2">
        <v>0.68236927545670523</v>
      </c>
      <c r="F36" s="2">
        <v>0.77514666181187053</v>
      </c>
      <c r="G36" s="2">
        <v>0.7699570732732498</v>
      </c>
      <c r="H36" s="2">
        <v>0.75591749277180476</v>
      </c>
      <c r="I36" s="2">
        <v>0.75012523756332894</v>
      </c>
      <c r="J36" s="2">
        <v>0.76117394201226629</v>
      </c>
      <c r="K36" s="2">
        <v>0.7817948239025706</v>
      </c>
      <c r="L36" s="2">
        <v>0.80870090535770023</v>
      </c>
      <c r="M36" s="2">
        <v>0.75924368935861775</v>
      </c>
      <c r="N36" s="2">
        <v>0.69094558690457508</v>
      </c>
      <c r="O36" s="2">
        <v>0.77968720668264224</v>
      </c>
      <c r="P36" s="2">
        <v>0.8028916592931773</v>
      </c>
      <c r="Q36" s="2">
        <v>0.78434364418402747</v>
      </c>
      <c r="R36" s="2">
        <v>0.73145742293651739</v>
      </c>
      <c r="S36" s="2">
        <v>0.84262096306621304</v>
      </c>
      <c r="T36" s="2">
        <v>0.81948349243771168</v>
      </c>
      <c r="U36" s="2">
        <v>0.76777887135083855</v>
      </c>
      <c r="V36" s="2">
        <v>0.72706717019925438</v>
      </c>
      <c r="W36" s="2">
        <v>0.75448136321176096</v>
      </c>
      <c r="X36" s="2">
        <v>0.80895959763254632</v>
      </c>
      <c r="Y36" s="2">
        <v>0.74548062533128245</v>
      </c>
      <c r="Z36" s="2">
        <v>0.79061849518420302</v>
      </c>
      <c r="AA36" s="2">
        <v>0.71941871710262084</v>
      </c>
      <c r="AB36" s="2">
        <v>0.79021782835270238</v>
      </c>
      <c r="AC36" s="2">
        <v>0.78342782111794396</v>
      </c>
      <c r="AD36" s="2">
        <v>0.71390036062619666</v>
      </c>
      <c r="AE36" s="2">
        <v>0.69739772804040345</v>
      </c>
      <c r="AF36" s="2">
        <v>0.75061999994138007</v>
      </c>
      <c r="AG36" s="2">
        <v>0.7692128400724948</v>
      </c>
      <c r="AH36" s="2">
        <v>0.77959088109199881</v>
      </c>
      <c r="AI36" s="2">
        <v>0.76637033577474667</v>
      </c>
      <c r="AJ36" s="2">
        <v>0.731386695679342</v>
      </c>
      <c r="AK36" s="2">
        <v>0.73089414562352728</v>
      </c>
      <c r="AL36" s="2">
        <v>0.81716786387213836</v>
      </c>
      <c r="AM36" s="2">
        <v>0.71509335621280645</v>
      </c>
      <c r="AN36" s="2">
        <v>0.76833762173280917</v>
      </c>
      <c r="AO36" s="2">
        <v>0.74376202140761616</v>
      </c>
      <c r="AP36" s="2">
        <v>0.75340379547475111</v>
      </c>
      <c r="AQ36" s="2">
        <v>0.80776161483410924</v>
      </c>
      <c r="AR36" s="2">
        <v>0.7412287035641032</v>
      </c>
      <c r="AS36" s="2">
        <v>0.78853532993328423</v>
      </c>
      <c r="AT36" s="2">
        <v>0.75676494582563281</v>
      </c>
      <c r="AU36" s="2">
        <v>0.6943685410339735</v>
      </c>
      <c r="AV36" s="2">
        <v>0.71321261455264406</v>
      </c>
      <c r="AW36" s="2">
        <v>0.7410413293424305</v>
      </c>
      <c r="AX36" s="2">
        <v>0.76485052453062308</v>
      </c>
      <c r="AY36" s="2">
        <v>0.74098795115779725</v>
      </c>
      <c r="AZ36" s="2">
        <v>0.71419730781317081</v>
      </c>
      <c r="BA36" s="2">
        <v>0.82964231509244435</v>
      </c>
      <c r="BB36" s="2">
        <v>0.78176634043646487</v>
      </c>
      <c r="BC36" s="2">
        <v>0.78312970827967865</v>
      </c>
      <c r="BD36" s="2">
        <v>0.78090333796449329</v>
      </c>
      <c r="BE36" s="2">
        <v>0.76074171351774345</v>
      </c>
      <c r="BF36" s="2">
        <v>0.76453797261961154</v>
      </c>
      <c r="BG36" s="2">
        <v>0.80230958667695729</v>
      </c>
      <c r="BH36" s="2">
        <v>0.76848913804623098</v>
      </c>
      <c r="BI36" s="2">
        <v>0.830907581140514</v>
      </c>
      <c r="BJ36" s="2">
        <v>0.70186948076799049</v>
      </c>
      <c r="BK36" s="2">
        <v>0.77208468283464193</v>
      </c>
      <c r="BL36" s="2">
        <v>0.76144978375946615</v>
      </c>
      <c r="BM36" s="2">
        <v>0.79255867211742592</v>
      </c>
      <c r="BN36" s="2">
        <v>0.7874991362327951</v>
      </c>
      <c r="BO36" s="2">
        <v>0.74034514985004918</v>
      </c>
      <c r="BP36" s="2">
        <v>0.77999489557352186</v>
      </c>
      <c r="BQ36" s="2">
        <v>0.83449095019249575</v>
      </c>
      <c r="BR36" s="2">
        <v>0.79533456794901403</v>
      </c>
      <c r="BS36" s="2">
        <v>0.84096394934281105</v>
      </c>
      <c r="BT36" s="2">
        <v>0.80425278674841771</v>
      </c>
      <c r="BU36" s="2">
        <v>0.83820377930157808</v>
      </c>
      <c r="BV36" s="2">
        <v>0.77083720476116369</v>
      </c>
      <c r="BW36" s="2">
        <v>0.78329110474634522</v>
      </c>
      <c r="BX36" s="2">
        <v>0.82423538396650209</v>
      </c>
      <c r="BY36" s="2">
        <v>0.68720233448924462</v>
      </c>
      <c r="BZ36" s="2">
        <v>0.7811003186290798</v>
      </c>
      <c r="CA36" s="2">
        <v>0.6787650915943455</v>
      </c>
      <c r="CB36" s="2">
        <v>0.70353858280721426</v>
      </c>
      <c r="CC36" s="2">
        <v>0.7728241292985335</v>
      </c>
      <c r="CD36" s="2">
        <v>0.79495731428253313</v>
      </c>
      <c r="CE36" s="2">
        <v>0.71958795640326678</v>
      </c>
      <c r="CF36" s="2">
        <v>0.75719611635745587</v>
      </c>
      <c r="CG36" s="2">
        <v>0.78961131526926431</v>
      </c>
      <c r="CH36" s="2">
        <v>0.75258524320716547</v>
      </c>
      <c r="CI36" s="2">
        <v>0.69106151733551724</v>
      </c>
      <c r="CJ36" s="2">
        <v>0.78358158703217606</v>
      </c>
      <c r="CK36" s="2">
        <v>0.77272525466890452</v>
      </c>
      <c r="CL36" s="2">
        <v>0.81678915664128071</v>
      </c>
      <c r="CM36" s="2">
        <v>0.76801988829590218</v>
      </c>
      <c r="CN36" s="2">
        <v>0.77719699017907651</v>
      </c>
      <c r="CO36" s="2">
        <v>0.81702531846257243</v>
      </c>
      <c r="CP36" s="2">
        <v>0.75992192173242723</v>
      </c>
      <c r="CQ36" s="2">
        <v>0.71884897804452741</v>
      </c>
      <c r="CR36" s="2">
        <v>0.67783342742296393</v>
      </c>
      <c r="CS36" s="2">
        <v>0.7639264493364718</v>
      </c>
      <c r="CT36" s="2">
        <v>0.78964127054727784</v>
      </c>
      <c r="CU36" s="2">
        <v>0.75176837604086366</v>
      </c>
      <c r="CV36" s="2">
        <v>0.76527396861938934</v>
      </c>
      <c r="CW36" s="2">
        <v>0.77944669204805905</v>
      </c>
    </row>
    <row r="37" spans="1:101" x14ac:dyDescent="0.35">
      <c r="A37">
        <v>202412</v>
      </c>
      <c r="B37" s="2">
        <v>0.77607377128747501</v>
      </c>
      <c r="C37" s="2">
        <v>0.76940729485631121</v>
      </c>
      <c r="D37" s="2">
        <v>0.74585706304736821</v>
      </c>
      <c r="E37" s="2">
        <v>0.68600915150261321</v>
      </c>
      <c r="F37" s="2">
        <v>0.72935941374329161</v>
      </c>
      <c r="G37" s="2">
        <v>0.77139389042628348</v>
      </c>
      <c r="H37" s="2">
        <v>0.75107297928718153</v>
      </c>
      <c r="I37" s="2">
        <v>0.76133678150335105</v>
      </c>
      <c r="J37" s="2">
        <v>0.77048824527951076</v>
      </c>
      <c r="K37" s="2">
        <v>0.78567822136958632</v>
      </c>
      <c r="L37" s="2">
        <v>0.83786866509988045</v>
      </c>
      <c r="M37" s="2">
        <v>0.7751929818459059</v>
      </c>
      <c r="N37" s="2">
        <v>0.65519526576013842</v>
      </c>
      <c r="O37" s="2">
        <v>0.81322271168858273</v>
      </c>
      <c r="P37" s="2">
        <v>0.79334000329822019</v>
      </c>
      <c r="Q37" s="2">
        <v>0.79617175449782907</v>
      </c>
      <c r="R37" s="2">
        <v>0.75078955388452462</v>
      </c>
      <c r="S37" s="2">
        <v>0.85466613181773066</v>
      </c>
      <c r="T37" s="2">
        <v>0.81600797457439</v>
      </c>
      <c r="U37" s="2">
        <v>0.76108612970080869</v>
      </c>
      <c r="V37" s="2">
        <v>0.73504666992415846</v>
      </c>
      <c r="W37" s="2">
        <v>0.74623593020656076</v>
      </c>
      <c r="X37" s="2">
        <v>0.82377332647709467</v>
      </c>
      <c r="Y37" s="2">
        <v>0.72539656245128215</v>
      </c>
      <c r="Z37" s="2">
        <v>0.7911932306919679</v>
      </c>
      <c r="AA37" s="2">
        <v>0.68260921443799238</v>
      </c>
      <c r="AB37" s="2">
        <v>0.76432238574029243</v>
      </c>
      <c r="AC37" s="2">
        <v>0.78163169903019014</v>
      </c>
      <c r="AD37" s="2">
        <v>0.71947652052711886</v>
      </c>
      <c r="AE37" s="2">
        <v>0.7133192209335607</v>
      </c>
      <c r="AF37" s="2">
        <v>0.74369763191122662</v>
      </c>
      <c r="AG37" s="2">
        <v>0.77526512478595411</v>
      </c>
      <c r="AH37" s="2">
        <v>0.76787589876243889</v>
      </c>
      <c r="AI37" s="2">
        <v>0.77192893827911735</v>
      </c>
      <c r="AJ37" s="2">
        <v>0.71075697717068431</v>
      </c>
      <c r="AK37" s="2">
        <v>0.77571049597365715</v>
      </c>
      <c r="AL37" s="2">
        <v>0.78118140443491191</v>
      </c>
      <c r="AM37" s="2">
        <v>0.74086723418100098</v>
      </c>
      <c r="AN37" s="2">
        <v>0.81401471239424239</v>
      </c>
      <c r="AO37" s="2">
        <v>0.73583819539953177</v>
      </c>
      <c r="AP37" s="2">
        <v>0.74881594644445371</v>
      </c>
      <c r="AQ37" s="2">
        <v>0.80139913798899998</v>
      </c>
      <c r="AR37" s="2">
        <v>0.74751359921390148</v>
      </c>
      <c r="AS37" s="2">
        <v>0.75578124418290826</v>
      </c>
      <c r="AT37" s="2">
        <v>0.75421439682535618</v>
      </c>
      <c r="AU37" s="2">
        <v>0.73319539977519044</v>
      </c>
      <c r="AV37" s="2">
        <v>0.73854337599583142</v>
      </c>
      <c r="AW37" s="2">
        <v>0.74415658116823513</v>
      </c>
      <c r="AX37" s="2">
        <v>0.75342290444216808</v>
      </c>
      <c r="AY37" s="2">
        <v>0.74466369284626399</v>
      </c>
      <c r="AZ37" s="2">
        <v>0.73324746297382526</v>
      </c>
      <c r="BA37" s="2">
        <v>0.82400743971245782</v>
      </c>
      <c r="BB37" s="2">
        <v>0.79326370611805763</v>
      </c>
      <c r="BC37" s="2">
        <v>0.80723866786187548</v>
      </c>
      <c r="BD37" s="2">
        <v>0.79631670897406737</v>
      </c>
      <c r="BE37" s="2">
        <v>0.73117206875297347</v>
      </c>
      <c r="BF37" s="2">
        <v>0.735251944226197</v>
      </c>
      <c r="BG37" s="2">
        <v>0.80059019600499381</v>
      </c>
      <c r="BH37" s="2">
        <v>0.76308434697039063</v>
      </c>
      <c r="BI37" s="2">
        <v>0.81555731950194554</v>
      </c>
      <c r="BJ37" s="2">
        <v>0.7477272791667402</v>
      </c>
      <c r="BK37" s="2">
        <v>0.78690325192123134</v>
      </c>
      <c r="BL37" s="2">
        <v>0.78729007069989021</v>
      </c>
      <c r="BM37" s="2">
        <v>0.79561040530386595</v>
      </c>
      <c r="BN37" s="2">
        <v>0.77192940799234666</v>
      </c>
      <c r="BO37" s="2">
        <v>0.76315678872341852</v>
      </c>
      <c r="BP37" s="2">
        <v>0.75200747907212073</v>
      </c>
      <c r="BQ37" s="2">
        <v>0.78187179892735847</v>
      </c>
      <c r="BR37" s="2">
        <v>0.79889400554785361</v>
      </c>
      <c r="BS37" s="2">
        <v>0.79411544659055711</v>
      </c>
      <c r="BT37" s="2">
        <v>0.77684742624694014</v>
      </c>
      <c r="BU37" s="2">
        <v>0.8365823040364917</v>
      </c>
      <c r="BV37" s="2">
        <v>0.75152799915459434</v>
      </c>
      <c r="BW37" s="2">
        <v>0.77351351273113378</v>
      </c>
      <c r="BX37" s="2">
        <v>0.8024363259788202</v>
      </c>
      <c r="BY37" s="2">
        <v>0.69802620426849993</v>
      </c>
      <c r="BZ37" s="2">
        <v>0.76795922018182805</v>
      </c>
      <c r="CA37" s="2">
        <v>0.65769098820454908</v>
      </c>
      <c r="CB37" s="2">
        <v>0.69071644626891648</v>
      </c>
      <c r="CC37" s="2">
        <v>0.76901007938265897</v>
      </c>
      <c r="CD37" s="2">
        <v>0.80193247857322902</v>
      </c>
      <c r="CE37" s="2">
        <v>0.74636056130482131</v>
      </c>
      <c r="CF37" s="2">
        <v>0.74183971801172932</v>
      </c>
      <c r="CG37" s="2">
        <v>0.77888105854694267</v>
      </c>
      <c r="CH37" s="2">
        <v>0.73988213123651791</v>
      </c>
      <c r="CI37" s="2">
        <v>0.6856058676380592</v>
      </c>
      <c r="CJ37" s="2">
        <v>0.75944878478637401</v>
      </c>
      <c r="CK37" s="2">
        <v>0.77776959475216567</v>
      </c>
      <c r="CL37" s="2">
        <v>0.82483383164713509</v>
      </c>
      <c r="CM37" s="2">
        <v>0.82368609973735663</v>
      </c>
      <c r="CN37" s="2">
        <v>0.79397614983527343</v>
      </c>
      <c r="CO37" s="2">
        <v>0.80391448378492725</v>
      </c>
      <c r="CP37" s="2">
        <v>0.76851286588388945</v>
      </c>
      <c r="CQ37" s="2">
        <v>0.71371673900578492</v>
      </c>
      <c r="CR37" s="2">
        <v>0.7055907065860707</v>
      </c>
      <c r="CS37" s="2">
        <v>0.73868772827882523</v>
      </c>
      <c r="CT37" s="2">
        <v>0.78527868047301863</v>
      </c>
      <c r="CU37" s="2">
        <v>0.76847150566005873</v>
      </c>
      <c r="CV37" s="2">
        <v>0.7968179939027229</v>
      </c>
      <c r="CW37" s="2">
        <v>0.7723490499067408</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4E6F6-EF9D-4659-A4A4-FB043FC56A9E}">
  <sheetPr codeName="Sheet6">
    <tabColor theme="6" tint="0.59999389629810485"/>
  </sheetPr>
  <dimension ref="A1:CW84"/>
  <sheetViews>
    <sheetView workbookViewId="0">
      <selection activeCell="F20" sqref="F20"/>
    </sheetView>
  </sheetViews>
  <sheetFormatPr defaultRowHeight="14.5" x14ac:dyDescent="0.35"/>
  <cols>
    <col min="1" max="1" width="13" customWidth="1"/>
    <col min="2" max="10" width="13.81640625" customWidth="1"/>
    <col min="11" max="100" width="14.81640625" customWidth="1"/>
    <col min="101" max="101" width="15.81640625" customWidth="1"/>
  </cols>
  <sheetData>
    <row r="1" spans="1:101" x14ac:dyDescent="0.35">
      <c r="A1" t="s">
        <v>9</v>
      </c>
      <c r="B1" t="s">
        <v>10</v>
      </c>
      <c r="C1" t="s">
        <v>11</v>
      </c>
      <c r="D1" t="s">
        <v>12</v>
      </c>
      <c r="E1" t="s">
        <v>13</v>
      </c>
      <c r="F1" t="s">
        <v>14</v>
      </c>
      <c r="G1" t="s">
        <v>15</v>
      </c>
      <c r="H1" t="s">
        <v>16</v>
      </c>
      <c r="I1" t="s">
        <v>17</v>
      </c>
      <c r="J1" t="s">
        <v>18</v>
      </c>
      <c r="K1" t="s">
        <v>19</v>
      </c>
      <c r="L1" t="s">
        <v>20</v>
      </c>
      <c r="M1" t="s">
        <v>21</v>
      </c>
      <c r="N1" t="s">
        <v>22</v>
      </c>
      <c r="O1" t="s">
        <v>23</v>
      </c>
      <c r="P1" t="s">
        <v>24</v>
      </c>
      <c r="Q1" t="s">
        <v>25</v>
      </c>
      <c r="R1" t="s">
        <v>26</v>
      </c>
      <c r="S1" t="s">
        <v>27</v>
      </c>
      <c r="T1" t="s">
        <v>28</v>
      </c>
      <c r="U1" t="s">
        <v>29</v>
      </c>
      <c r="V1" t="s">
        <v>30</v>
      </c>
      <c r="W1" t="s">
        <v>31</v>
      </c>
      <c r="X1" t="s">
        <v>32</v>
      </c>
      <c r="Y1" t="s">
        <v>33</v>
      </c>
      <c r="Z1" t="s">
        <v>34</v>
      </c>
      <c r="AA1" t="s">
        <v>35</v>
      </c>
      <c r="AB1" t="s">
        <v>36</v>
      </c>
      <c r="AC1" t="s">
        <v>37</v>
      </c>
      <c r="AD1" t="s">
        <v>38</v>
      </c>
      <c r="AE1" t="s">
        <v>39</v>
      </c>
      <c r="AF1" t="s">
        <v>40</v>
      </c>
      <c r="AG1" t="s">
        <v>41</v>
      </c>
      <c r="AH1" t="s">
        <v>42</v>
      </c>
      <c r="AI1" t="s">
        <v>43</v>
      </c>
      <c r="AJ1" t="s">
        <v>44</v>
      </c>
      <c r="AK1" t="s">
        <v>45</v>
      </c>
      <c r="AL1" t="s">
        <v>46</v>
      </c>
      <c r="AM1" t="s">
        <v>47</v>
      </c>
      <c r="AN1" t="s">
        <v>48</v>
      </c>
      <c r="AO1" t="s">
        <v>49</v>
      </c>
      <c r="AP1" t="s">
        <v>50</v>
      </c>
      <c r="AQ1" t="s">
        <v>51</v>
      </c>
      <c r="AR1" t="s">
        <v>52</v>
      </c>
      <c r="AS1" t="s">
        <v>53</v>
      </c>
      <c r="AT1" t="s">
        <v>54</v>
      </c>
      <c r="AU1" t="s">
        <v>55</v>
      </c>
      <c r="AV1" t="s">
        <v>56</v>
      </c>
      <c r="AW1" t="s">
        <v>57</v>
      </c>
      <c r="AX1" t="s">
        <v>58</v>
      </c>
      <c r="AY1" t="s">
        <v>59</v>
      </c>
      <c r="AZ1" t="s">
        <v>60</v>
      </c>
      <c r="BA1" t="s">
        <v>61</v>
      </c>
      <c r="BB1" t="s">
        <v>62</v>
      </c>
      <c r="BC1" t="s">
        <v>63</v>
      </c>
      <c r="BD1" t="s">
        <v>64</v>
      </c>
      <c r="BE1" t="s">
        <v>65</v>
      </c>
      <c r="BF1" t="s">
        <v>66</v>
      </c>
      <c r="BG1" t="s">
        <v>67</v>
      </c>
      <c r="BH1" t="s">
        <v>68</v>
      </c>
      <c r="BI1" t="s">
        <v>69</v>
      </c>
      <c r="BJ1" t="s">
        <v>70</v>
      </c>
      <c r="BK1" t="s">
        <v>71</v>
      </c>
      <c r="BL1" t="s">
        <v>72</v>
      </c>
      <c r="BM1" t="s">
        <v>73</v>
      </c>
      <c r="BN1" t="s">
        <v>74</v>
      </c>
      <c r="BO1" t="s">
        <v>75</v>
      </c>
      <c r="BP1" t="s">
        <v>76</v>
      </c>
      <c r="BQ1" t="s">
        <v>77</v>
      </c>
      <c r="BR1" t="s">
        <v>78</v>
      </c>
      <c r="BS1" t="s">
        <v>79</v>
      </c>
      <c r="BT1" t="s">
        <v>80</v>
      </c>
      <c r="BU1" t="s">
        <v>81</v>
      </c>
      <c r="BV1" t="s">
        <v>82</v>
      </c>
      <c r="BW1" t="s">
        <v>83</v>
      </c>
      <c r="BX1" t="s">
        <v>84</v>
      </c>
      <c r="BY1" t="s">
        <v>85</v>
      </c>
      <c r="BZ1" t="s">
        <v>86</v>
      </c>
      <c r="CA1" t="s">
        <v>87</v>
      </c>
      <c r="CB1" t="s">
        <v>88</v>
      </c>
      <c r="CC1" t="s">
        <v>89</v>
      </c>
      <c r="CD1" t="s">
        <v>90</v>
      </c>
      <c r="CE1" t="s">
        <v>91</v>
      </c>
      <c r="CF1" t="s">
        <v>92</v>
      </c>
      <c r="CG1" t="s">
        <v>93</v>
      </c>
      <c r="CH1" t="s">
        <v>94</v>
      </c>
      <c r="CI1" t="s">
        <v>95</v>
      </c>
      <c r="CJ1" t="s">
        <v>96</v>
      </c>
      <c r="CK1" t="s">
        <v>97</v>
      </c>
      <c r="CL1" t="s">
        <v>98</v>
      </c>
      <c r="CM1" t="s">
        <v>99</v>
      </c>
      <c r="CN1" t="s">
        <v>100</v>
      </c>
      <c r="CO1" t="s">
        <v>101</v>
      </c>
      <c r="CP1" t="s">
        <v>102</v>
      </c>
      <c r="CQ1" t="s">
        <v>103</v>
      </c>
      <c r="CR1" t="s">
        <v>104</v>
      </c>
      <c r="CS1" t="s">
        <v>105</v>
      </c>
      <c r="CT1" t="s">
        <v>106</v>
      </c>
      <c r="CU1" t="s">
        <v>107</v>
      </c>
      <c r="CV1" t="s">
        <v>108</v>
      </c>
      <c r="CW1" t="s">
        <v>109</v>
      </c>
    </row>
    <row r="2" spans="1:101" x14ac:dyDescent="0.35">
      <c r="A2">
        <v>202201</v>
      </c>
      <c r="B2" s="3">
        <v>141066</v>
      </c>
      <c r="C2" s="3">
        <v>142774</v>
      </c>
      <c r="D2" s="3">
        <v>143803</v>
      </c>
      <c r="E2" s="3">
        <v>154699</v>
      </c>
      <c r="F2" s="3">
        <v>142045</v>
      </c>
      <c r="G2" s="3">
        <v>122288</v>
      </c>
      <c r="H2" s="3">
        <v>145954</v>
      </c>
      <c r="I2" s="3">
        <v>126046</v>
      </c>
      <c r="J2" s="3">
        <v>132240</v>
      </c>
      <c r="K2" s="3">
        <v>132471</v>
      </c>
      <c r="L2" s="3">
        <v>129125</v>
      </c>
      <c r="M2" s="3">
        <v>131566</v>
      </c>
      <c r="N2" s="3">
        <v>169616</v>
      </c>
      <c r="O2" s="3">
        <v>133827</v>
      </c>
      <c r="P2" s="3">
        <v>155074</v>
      </c>
      <c r="Q2" s="3">
        <v>133360</v>
      </c>
      <c r="R2" s="3">
        <v>123796</v>
      </c>
      <c r="S2" s="3">
        <v>142517</v>
      </c>
      <c r="T2" s="3">
        <v>136461</v>
      </c>
      <c r="U2" s="3">
        <v>136442</v>
      </c>
      <c r="V2" s="3">
        <v>135944</v>
      </c>
      <c r="W2" s="3">
        <v>139822</v>
      </c>
      <c r="X2" s="3">
        <v>127237</v>
      </c>
      <c r="Y2" s="3">
        <v>149491</v>
      </c>
      <c r="Z2" s="3">
        <v>145662</v>
      </c>
      <c r="AA2" s="3">
        <v>160722</v>
      </c>
      <c r="AB2" s="3">
        <v>151104</v>
      </c>
      <c r="AC2" s="3">
        <v>142591</v>
      </c>
      <c r="AD2" s="3">
        <v>162824</v>
      </c>
      <c r="AE2" s="3">
        <v>167697</v>
      </c>
      <c r="AF2" s="3">
        <v>137173</v>
      </c>
      <c r="AG2" s="3">
        <v>143567</v>
      </c>
      <c r="AH2" s="3">
        <v>132524</v>
      </c>
      <c r="AI2" s="3">
        <v>143419</v>
      </c>
      <c r="AJ2" s="3">
        <v>143275</v>
      </c>
      <c r="AK2" s="3">
        <v>134578</v>
      </c>
      <c r="AL2" s="3">
        <v>143527</v>
      </c>
      <c r="AM2" s="3">
        <v>136304</v>
      </c>
      <c r="AN2" s="3">
        <v>150196</v>
      </c>
      <c r="AO2" s="3">
        <v>165778</v>
      </c>
      <c r="AP2" s="3">
        <v>175386</v>
      </c>
      <c r="AQ2" s="3">
        <v>153673</v>
      </c>
      <c r="AR2" s="3">
        <v>141889</v>
      </c>
      <c r="AS2" s="3">
        <v>159412</v>
      </c>
      <c r="AT2" s="3">
        <v>155374</v>
      </c>
      <c r="AU2" s="3">
        <v>159836</v>
      </c>
      <c r="AV2" s="3">
        <v>162694</v>
      </c>
      <c r="AW2" s="3">
        <v>151112</v>
      </c>
      <c r="AX2" s="3">
        <v>131620</v>
      </c>
      <c r="AY2" s="3">
        <v>159649</v>
      </c>
      <c r="AZ2" s="3">
        <v>71344</v>
      </c>
      <c r="BA2" s="3">
        <v>119293</v>
      </c>
      <c r="BB2" s="3">
        <v>152115</v>
      </c>
      <c r="BC2" s="3">
        <v>133261</v>
      </c>
      <c r="BD2" s="3">
        <v>138675</v>
      </c>
      <c r="BE2" s="3">
        <v>155168</v>
      </c>
      <c r="BF2" s="3">
        <v>154898</v>
      </c>
      <c r="BG2" s="3">
        <v>136015</v>
      </c>
      <c r="BH2" s="3">
        <v>133592</v>
      </c>
      <c r="BI2" s="3">
        <v>138812</v>
      </c>
      <c r="BJ2" s="3">
        <v>137700</v>
      </c>
      <c r="BK2" s="3">
        <v>151399</v>
      </c>
      <c r="BL2" s="3">
        <v>118955</v>
      </c>
      <c r="BM2" s="3">
        <v>135420</v>
      </c>
      <c r="BN2" s="3">
        <v>154695</v>
      </c>
      <c r="BO2" s="3">
        <v>154993</v>
      </c>
      <c r="BP2" s="3">
        <v>152334</v>
      </c>
      <c r="BQ2" s="3">
        <v>116580</v>
      </c>
      <c r="BR2" s="3">
        <v>130290</v>
      </c>
      <c r="BS2" s="3">
        <v>137043</v>
      </c>
      <c r="BT2" s="3">
        <v>123292</v>
      </c>
      <c r="BU2" s="3">
        <v>144127</v>
      </c>
      <c r="BV2" s="3">
        <v>140277</v>
      </c>
      <c r="BW2" s="3">
        <v>136525</v>
      </c>
      <c r="BX2" s="3">
        <v>148225</v>
      </c>
      <c r="BY2" s="3">
        <v>159998</v>
      </c>
      <c r="BZ2" s="3">
        <v>157207</v>
      </c>
      <c r="CA2" s="3">
        <v>175465</v>
      </c>
      <c r="CB2" s="3">
        <v>153651</v>
      </c>
      <c r="CC2" s="3">
        <v>155268</v>
      </c>
      <c r="CD2" s="3">
        <v>82702</v>
      </c>
      <c r="CE2" s="3">
        <v>163332</v>
      </c>
      <c r="CF2" s="3">
        <v>146852</v>
      </c>
      <c r="CG2" s="3">
        <v>131655</v>
      </c>
      <c r="CH2" s="3">
        <v>163288</v>
      </c>
      <c r="CI2" s="3">
        <v>171667</v>
      </c>
      <c r="CJ2" s="3">
        <v>130671</v>
      </c>
      <c r="CK2" s="3">
        <v>142756</v>
      </c>
      <c r="CL2" s="3">
        <v>148055</v>
      </c>
      <c r="CM2" s="3">
        <v>128234</v>
      </c>
      <c r="CN2" s="3">
        <v>144953</v>
      </c>
      <c r="CO2" s="3">
        <v>119732</v>
      </c>
      <c r="CP2" s="3">
        <v>141107</v>
      </c>
      <c r="CQ2" s="3">
        <v>155130</v>
      </c>
      <c r="CR2" s="3">
        <v>155212</v>
      </c>
      <c r="CS2" s="3">
        <v>155600</v>
      </c>
      <c r="CT2" s="3">
        <v>115092</v>
      </c>
      <c r="CU2" s="3">
        <v>137122</v>
      </c>
      <c r="CV2" s="3">
        <v>132377</v>
      </c>
      <c r="CW2" s="3">
        <v>101664</v>
      </c>
    </row>
    <row r="3" spans="1:101" x14ac:dyDescent="0.35">
      <c r="A3">
        <v>202202</v>
      </c>
      <c r="B3" s="3">
        <v>149265</v>
      </c>
      <c r="C3" s="3">
        <v>159898</v>
      </c>
      <c r="D3" s="3">
        <v>169302</v>
      </c>
      <c r="E3" s="3">
        <v>166409</v>
      </c>
      <c r="F3" s="3">
        <v>156978</v>
      </c>
      <c r="G3" s="3">
        <v>135320</v>
      </c>
      <c r="H3" s="3">
        <v>170661</v>
      </c>
      <c r="I3" s="3">
        <v>144565</v>
      </c>
      <c r="J3" s="3">
        <v>152800</v>
      </c>
      <c r="K3" s="3">
        <v>155614</v>
      </c>
      <c r="L3" s="3">
        <v>144838</v>
      </c>
      <c r="M3" s="3">
        <v>147301</v>
      </c>
      <c r="N3" s="3">
        <v>187176</v>
      </c>
      <c r="O3" s="3">
        <v>147116</v>
      </c>
      <c r="P3" s="3">
        <v>177200</v>
      </c>
      <c r="Q3" s="3">
        <v>153607</v>
      </c>
      <c r="R3" s="3">
        <v>138911</v>
      </c>
      <c r="S3" s="3">
        <v>156286</v>
      </c>
      <c r="T3" s="3">
        <v>151040</v>
      </c>
      <c r="U3" s="3">
        <v>144371</v>
      </c>
      <c r="V3" s="3">
        <v>149900</v>
      </c>
      <c r="W3" s="3">
        <v>156531</v>
      </c>
      <c r="X3" s="3">
        <v>143200</v>
      </c>
      <c r="Y3" s="3">
        <v>166274</v>
      </c>
      <c r="Z3" s="3">
        <v>167262</v>
      </c>
      <c r="AA3" s="3">
        <v>187304</v>
      </c>
      <c r="AB3" s="3">
        <v>169064</v>
      </c>
      <c r="AC3" s="3">
        <v>166319</v>
      </c>
      <c r="AD3" s="3">
        <v>178654</v>
      </c>
      <c r="AE3" s="3">
        <v>176627</v>
      </c>
      <c r="AF3" s="3">
        <v>157068</v>
      </c>
      <c r="AG3" s="3">
        <v>166639</v>
      </c>
      <c r="AH3" s="3">
        <v>145388</v>
      </c>
      <c r="AI3" s="3">
        <v>164681</v>
      </c>
      <c r="AJ3" s="3">
        <v>152948</v>
      </c>
      <c r="AK3" s="3">
        <v>141343</v>
      </c>
      <c r="AL3" s="3">
        <v>167529</v>
      </c>
      <c r="AM3" s="3">
        <v>149896</v>
      </c>
      <c r="AN3" s="3">
        <v>176238</v>
      </c>
      <c r="AO3" s="3">
        <v>169447</v>
      </c>
      <c r="AP3" s="3">
        <v>186229</v>
      </c>
      <c r="AQ3" s="3">
        <v>168441</v>
      </c>
      <c r="AR3" s="3">
        <v>169315</v>
      </c>
      <c r="AS3" s="3">
        <v>181350</v>
      </c>
      <c r="AT3" s="3">
        <v>178775</v>
      </c>
      <c r="AU3" s="3">
        <v>175339</v>
      </c>
      <c r="AV3" s="3">
        <v>168326</v>
      </c>
      <c r="AW3" s="3">
        <v>173040</v>
      </c>
      <c r="AX3" s="3">
        <v>148871</v>
      </c>
      <c r="AY3" s="3">
        <v>179703</v>
      </c>
      <c r="AZ3" s="3">
        <v>80078</v>
      </c>
      <c r="BA3" s="3">
        <v>138608</v>
      </c>
      <c r="BB3" s="3">
        <v>174978</v>
      </c>
      <c r="BC3" s="3">
        <v>141639</v>
      </c>
      <c r="BD3" s="3">
        <v>158561</v>
      </c>
      <c r="BE3" s="3">
        <v>179636</v>
      </c>
      <c r="BF3" s="3">
        <v>172237</v>
      </c>
      <c r="BG3" s="3">
        <v>148796</v>
      </c>
      <c r="BH3" s="3">
        <v>153077</v>
      </c>
      <c r="BI3" s="3">
        <v>159993</v>
      </c>
      <c r="BJ3" s="3">
        <v>149675</v>
      </c>
      <c r="BK3" s="3">
        <v>169981</v>
      </c>
      <c r="BL3" s="3">
        <v>133652</v>
      </c>
      <c r="BM3" s="3">
        <v>157254</v>
      </c>
      <c r="BN3" s="3">
        <v>176386</v>
      </c>
      <c r="BO3" s="3">
        <v>174160</v>
      </c>
      <c r="BP3" s="3">
        <v>173953</v>
      </c>
      <c r="BQ3" s="3">
        <v>137198</v>
      </c>
      <c r="BR3" s="3">
        <v>147471</v>
      </c>
      <c r="BS3" s="3">
        <v>158100</v>
      </c>
      <c r="BT3" s="3">
        <v>139817</v>
      </c>
      <c r="BU3" s="3">
        <v>153392</v>
      </c>
      <c r="BV3" s="3">
        <v>159308</v>
      </c>
      <c r="BW3" s="3">
        <v>140408</v>
      </c>
      <c r="BX3" s="3">
        <v>157192</v>
      </c>
      <c r="BY3" s="3">
        <v>181643</v>
      </c>
      <c r="BZ3" s="3">
        <v>183643</v>
      </c>
      <c r="CA3" s="3">
        <v>193687</v>
      </c>
      <c r="CB3" s="3">
        <v>169322</v>
      </c>
      <c r="CC3" s="3">
        <v>162543</v>
      </c>
      <c r="CD3" s="3">
        <v>92127</v>
      </c>
      <c r="CE3" s="3">
        <v>177507</v>
      </c>
      <c r="CF3" s="3">
        <v>162324</v>
      </c>
      <c r="CG3" s="3">
        <v>141898</v>
      </c>
      <c r="CH3" s="3">
        <v>169678</v>
      </c>
      <c r="CI3" s="3">
        <v>190371</v>
      </c>
      <c r="CJ3" s="3">
        <v>143903</v>
      </c>
      <c r="CK3" s="3">
        <v>160638</v>
      </c>
      <c r="CL3" s="3">
        <v>176824</v>
      </c>
      <c r="CM3" s="3">
        <v>154199</v>
      </c>
      <c r="CN3" s="3">
        <v>165681</v>
      </c>
      <c r="CO3" s="3">
        <v>132370</v>
      </c>
      <c r="CP3" s="3">
        <v>157423</v>
      </c>
      <c r="CQ3" s="3">
        <v>171348</v>
      </c>
      <c r="CR3" s="3">
        <v>171702</v>
      </c>
      <c r="CS3" s="3">
        <v>173431</v>
      </c>
      <c r="CT3" s="3">
        <v>131754</v>
      </c>
      <c r="CU3" s="3">
        <v>152118</v>
      </c>
      <c r="CV3" s="3">
        <v>156249</v>
      </c>
      <c r="CW3" s="3">
        <v>109401</v>
      </c>
    </row>
    <row r="4" spans="1:101" x14ac:dyDescent="0.35">
      <c r="A4">
        <v>202203</v>
      </c>
      <c r="B4" s="3">
        <v>169964</v>
      </c>
      <c r="C4" s="3">
        <v>185067</v>
      </c>
      <c r="D4" s="3">
        <v>191364</v>
      </c>
      <c r="E4" s="3">
        <v>190755</v>
      </c>
      <c r="F4" s="3">
        <v>192838</v>
      </c>
      <c r="G4" s="3">
        <v>159115</v>
      </c>
      <c r="H4" s="3">
        <v>194983</v>
      </c>
      <c r="I4" s="3">
        <v>171479</v>
      </c>
      <c r="J4" s="3">
        <v>171791</v>
      </c>
      <c r="K4" s="3">
        <v>176192</v>
      </c>
      <c r="L4" s="3">
        <v>176325</v>
      </c>
      <c r="M4" s="3">
        <v>173419</v>
      </c>
      <c r="N4" s="3">
        <v>222997</v>
      </c>
      <c r="O4" s="3">
        <v>172678</v>
      </c>
      <c r="P4" s="3">
        <v>209296</v>
      </c>
      <c r="Q4" s="3">
        <v>182136</v>
      </c>
      <c r="R4" s="3">
        <v>167458</v>
      </c>
      <c r="S4" s="3">
        <v>184917</v>
      </c>
      <c r="T4" s="3">
        <v>185146</v>
      </c>
      <c r="U4" s="3">
        <v>173269</v>
      </c>
      <c r="V4" s="3">
        <v>175139</v>
      </c>
      <c r="W4" s="3">
        <v>197641</v>
      </c>
      <c r="X4" s="3">
        <v>166137</v>
      </c>
      <c r="Y4" s="3">
        <v>191740</v>
      </c>
      <c r="Z4" s="3">
        <v>196941</v>
      </c>
      <c r="AA4" s="3">
        <v>218470</v>
      </c>
      <c r="AB4" s="3">
        <v>196968</v>
      </c>
      <c r="AC4" s="3">
        <v>182548</v>
      </c>
      <c r="AD4" s="3">
        <v>203241</v>
      </c>
      <c r="AE4" s="3">
        <v>225418</v>
      </c>
      <c r="AF4" s="3">
        <v>187404</v>
      </c>
      <c r="AG4" s="3">
        <v>189076</v>
      </c>
      <c r="AH4" s="3">
        <v>178156</v>
      </c>
      <c r="AI4" s="3">
        <v>188330</v>
      </c>
      <c r="AJ4" s="3">
        <v>182568</v>
      </c>
      <c r="AK4" s="3">
        <v>164759</v>
      </c>
      <c r="AL4" s="3">
        <v>190861</v>
      </c>
      <c r="AM4" s="3">
        <v>184304</v>
      </c>
      <c r="AN4" s="3">
        <v>210992</v>
      </c>
      <c r="AO4" s="3">
        <v>200143</v>
      </c>
      <c r="AP4" s="3">
        <v>218551</v>
      </c>
      <c r="AQ4" s="3">
        <v>195820</v>
      </c>
      <c r="AR4" s="3">
        <v>190613</v>
      </c>
      <c r="AS4" s="3">
        <v>201235</v>
      </c>
      <c r="AT4" s="3">
        <v>209019</v>
      </c>
      <c r="AU4" s="3">
        <v>214048</v>
      </c>
      <c r="AV4" s="3">
        <v>200652</v>
      </c>
      <c r="AW4" s="3">
        <v>202471</v>
      </c>
      <c r="AX4" s="3">
        <v>171569</v>
      </c>
      <c r="AY4" s="3">
        <v>203664</v>
      </c>
      <c r="AZ4" s="3">
        <v>93158</v>
      </c>
      <c r="BA4" s="3">
        <v>157463</v>
      </c>
      <c r="BB4" s="3">
        <v>205007</v>
      </c>
      <c r="BC4" s="3">
        <v>157101</v>
      </c>
      <c r="BD4" s="3">
        <v>192179</v>
      </c>
      <c r="BE4" s="3">
        <v>200587</v>
      </c>
      <c r="BF4" s="3">
        <v>209385</v>
      </c>
      <c r="BG4" s="3">
        <v>171996</v>
      </c>
      <c r="BH4" s="3">
        <v>178109</v>
      </c>
      <c r="BI4" s="3">
        <v>186487</v>
      </c>
      <c r="BJ4" s="3">
        <v>184026</v>
      </c>
      <c r="BK4" s="3">
        <v>193948</v>
      </c>
      <c r="BL4" s="3">
        <v>156281</v>
      </c>
      <c r="BM4" s="3">
        <v>186870</v>
      </c>
      <c r="BN4" s="3">
        <v>207113</v>
      </c>
      <c r="BO4" s="3">
        <v>211870</v>
      </c>
      <c r="BP4" s="3">
        <v>189343</v>
      </c>
      <c r="BQ4" s="3">
        <v>159311</v>
      </c>
      <c r="BR4" s="3">
        <v>166795</v>
      </c>
      <c r="BS4" s="3">
        <v>193118</v>
      </c>
      <c r="BT4" s="3">
        <v>165419</v>
      </c>
      <c r="BU4" s="3">
        <v>177517</v>
      </c>
      <c r="BV4" s="3">
        <v>184301</v>
      </c>
      <c r="BW4" s="3">
        <v>174495</v>
      </c>
      <c r="BX4" s="3">
        <v>194078</v>
      </c>
      <c r="BY4" s="3">
        <v>213575</v>
      </c>
      <c r="BZ4" s="3">
        <v>211254</v>
      </c>
      <c r="CA4" s="3">
        <v>233119</v>
      </c>
      <c r="CB4" s="3">
        <v>200809</v>
      </c>
      <c r="CC4" s="3">
        <v>202043</v>
      </c>
      <c r="CD4" s="3">
        <v>109555</v>
      </c>
      <c r="CE4" s="3">
        <v>202894</v>
      </c>
      <c r="CF4" s="3">
        <v>190168</v>
      </c>
      <c r="CG4" s="3">
        <v>165077</v>
      </c>
      <c r="CH4" s="3">
        <v>210457</v>
      </c>
      <c r="CI4" s="3">
        <v>219461</v>
      </c>
      <c r="CJ4" s="3">
        <v>164669</v>
      </c>
      <c r="CK4" s="3">
        <v>189736</v>
      </c>
      <c r="CL4" s="3">
        <v>219126</v>
      </c>
      <c r="CM4" s="3">
        <v>168522</v>
      </c>
      <c r="CN4" s="3">
        <v>194011</v>
      </c>
      <c r="CO4" s="3">
        <v>162724</v>
      </c>
      <c r="CP4" s="3">
        <v>188245</v>
      </c>
      <c r="CQ4" s="3">
        <v>197685</v>
      </c>
      <c r="CR4" s="3">
        <v>206238</v>
      </c>
      <c r="CS4" s="3">
        <v>211551</v>
      </c>
      <c r="CT4" s="3">
        <v>144939</v>
      </c>
      <c r="CU4" s="3">
        <v>175930</v>
      </c>
      <c r="CV4" s="3">
        <v>175969</v>
      </c>
      <c r="CW4" s="3">
        <v>126916</v>
      </c>
    </row>
    <row r="5" spans="1:101" x14ac:dyDescent="0.35">
      <c r="A5">
        <v>202204</v>
      </c>
      <c r="B5" s="3">
        <v>209250</v>
      </c>
      <c r="C5" s="3">
        <v>210840</v>
      </c>
      <c r="D5" s="3">
        <v>232589</v>
      </c>
      <c r="E5" s="3">
        <v>221681</v>
      </c>
      <c r="F5" s="3">
        <v>218415</v>
      </c>
      <c r="G5" s="3">
        <v>186966</v>
      </c>
      <c r="H5" s="3">
        <v>227966</v>
      </c>
      <c r="I5" s="3">
        <v>199607</v>
      </c>
      <c r="J5" s="3">
        <v>195869</v>
      </c>
      <c r="K5" s="3">
        <v>206802</v>
      </c>
      <c r="L5" s="3">
        <v>193349</v>
      </c>
      <c r="M5" s="3">
        <v>220296</v>
      </c>
      <c r="N5" s="3">
        <v>262237</v>
      </c>
      <c r="O5" s="3">
        <v>209161</v>
      </c>
      <c r="P5" s="3">
        <v>236418</v>
      </c>
      <c r="Q5" s="3">
        <v>207469</v>
      </c>
      <c r="R5" s="3">
        <v>190987</v>
      </c>
      <c r="S5" s="3">
        <v>209888</v>
      </c>
      <c r="T5" s="3">
        <v>209250</v>
      </c>
      <c r="U5" s="3">
        <v>209693</v>
      </c>
      <c r="V5" s="3">
        <v>205679</v>
      </c>
      <c r="W5" s="3">
        <v>219089</v>
      </c>
      <c r="X5" s="3">
        <v>183520</v>
      </c>
      <c r="Y5" s="3">
        <v>221157</v>
      </c>
      <c r="Z5" s="3">
        <v>221781</v>
      </c>
      <c r="AA5" s="3">
        <v>263906</v>
      </c>
      <c r="AB5" s="3">
        <v>224474</v>
      </c>
      <c r="AC5" s="3">
        <v>222271</v>
      </c>
      <c r="AD5" s="3">
        <v>243011</v>
      </c>
      <c r="AE5" s="3">
        <v>254618</v>
      </c>
      <c r="AF5" s="3">
        <v>219250</v>
      </c>
      <c r="AG5" s="3">
        <v>217857</v>
      </c>
      <c r="AH5" s="3">
        <v>214565</v>
      </c>
      <c r="AI5" s="3">
        <v>217719</v>
      </c>
      <c r="AJ5" s="3">
        <v>214639</v>
      </c>
      <c r="AK5" s="3">
        <v>196792</v>
      </c>
      <c r="AL5" s="3">
        <v>229063</v>
      </c>
      <c r="AM5" s="3">
        <v>213202</v>
      </c>
      <c r="AN5" s="3">
        <v>245093</v>
      </c>
      <c r="AO5" s="3">
        <v>241508</v>
      </c>
      <c r="AP5" s="3">
        <v>250115</v>
      </c>
      <c r="AQ5" s="3">
        <v>227068</v>
      </c>
      <c r="AR5" s="3">
        <v>221806</v>
      </c>
      <c r="AS5" s="3">
        <v>233663</v>
      </c>
      <c r="AT5" s="3">
        <v>239938</v>
      </c>
      <c r="AU5" s="3">
        <v>242627</v>
      </c>
      <c r="AV5" s="3">
        <v>256062</v>
      </c>
      <c r="AW5" s="3">
        <v>246046</v>
      </c>
      <c r="AX5" s="3">
        <v>203762</v>
      </c>
      <c r="AY5" s="3">
        <v>241636</v>
      </c>
      <c r="AZ5" s="3">
        <v>112601</v>
      </c>
      <c r="BA5" s="3">
        <v>187493</v>
      </c>
      <c r="BB5" s="3">
        <v>237634</v>
      </c>
      <c r="BC5" s="3">
        <v>179888</v>
      </c>
      <c r="BD5" s="3">
        <v>219664</v>
      </c>
      <c r="BE5" s="3">
        <v>240592</v>
      </c>
      <c r="BF5" s="3">
        <v>238717</v>
      </c>
      <c r="BG5" s="3">
        <v>203245</v>
      </c>
      <c r="BH5" s="3">
        <v>198591</v>
      </c>
      <c r="BI5" s="3">
        <v>218156</v>
      </c>
      <c r="BJ5" s="3">
        <v>212527</v>
      </c>
      <c r="BK5" s="3">
        <v>224886</v>
      </c>
      <c r="BL5" s="3">
        <v>169727</v>
      </c>
      <c r="BM5" s="3">
        <v>219718</v>
      </c>
      <c r="BN5" s="3">
        <v>244837</v>
      </c>
      <c r="BO5" s="3">
        <v>238341</v>
      </c>
      <c r="BP5" s="3">
        <v>227506</v>
      </c>
      <c r="BQ5" s="3">
        <v>190078</v>
      </c>
      <c r="BR5" s="3">
        <v>198201</v>
      </c>
      <c r="BS5" s="3">
        <v>218437</v>
      </c>
      <c r="BT5" s="3">
        <v>189653</v>
      </c>
      <c r="BU5" s="3">
        <v>216923</v>
      </c>
      <c r="BV5" s="3">
        <v>215437</v>
      </c>
      <c r="BW5" s="3">
        <v>212211</v>
      </c>
      <c r="BX5" s="3">
        <v>224587</v>
      </c>
      <c r="BY5" s="3">
        <v>232752</v>
      </c>
      <c r="BZ5" s="3">
        <v>247385</v>
      </c>
      <c r="CA5" s="3">
        <v>263689</v>
      </c>
      <c r="CB5" s="3">
        <v>236212</v>
      </c>
      <c r="CC5" s="3">
        <v>230778</v>
      </c>
      <c r="CD5" s="3">
        <v>125528</v>
      </c>
      <c r="CE5" s="3">
        <v>251009</v>
      </c>
      <c r="CF5" s="3">
        <v>217490</v>
      </c>
      <c r="CG5" s="3">
        <v>190438</v>
      </c>
      <c r="CH5" s="3">
        <v>241048</v>
      </c>
      <c r="CI5" s="3">
        <v>265394</v>
      </c>
      <c r="CJ5" s="3">
        <v>199507</v>
      </c>
      <c r="CK5" s="3">
        <v>226899</v>
      </c>
      <c r="CL5" s="3">
        <v>245361</v>
      </c>
      <c r="CM5" s="3">
        <v>196872</v>
      </c>
      <c r="CN5" s="3">
        <v>209683</v>
      </c>
      <c r="CO5" s="3">
        <v>186604</v>
      </c>
      <c r="CP5" s="3">
        <v>220140</v>
      </c>
      <c r="CQ5" s="3">
        <v>239205</v>
      </c>
      <c r="CR5" s="3">
        <v>241457</v>
      </c>
      <c r="CS5" s="3">
        <v>252136</v>
      </c>
      <c r="CT5" s="3">
        <v>188763</v>
      </c>
      <c r="CU5" s="3">
        <v>212190</v>
      </c>
      <c r="CV5" s="3">
        <v>205988</v>
      </c>
      <c r="CW5" s="3">
        <v>152082</v>
      </c>
    </row>
    <row r="6" spans="1:101" x14ac:dyDescent="0.35">
      <c r="A6">
        <v>202205</v>
      </c>
      <c r="B6" s="3">
        <v>230459</v>
      </c>
      <c r="C6" s="3">
        <v>232179</v>
      </c>
      <c r="D6" s="3">
        <v>243372</v>
      </c>
      <c r="E6" s="3">
        <v>247153</v>
      </c>
      <c r="F6" s="3">
        <v>235283</v>
      </c>
      <c r="G6" s="3">
        <v>213921</v>
      </c>
      <c r="H6" s="3">
        <v>243313</v>
      </c>
      <c r="I6" s="3">
        <v>221155</v>
      </c>
      <c r="J6" s="3">
        <v>223736</v>
      </c>
      <c r="K6" s="3">
        <v>219453</v>
      </c>
      <c r="L6" s="3">
        <v>226991</v>
      </c>
      <c r="M6" s="3">
        <v>230199</v>
      </c>
      <c r="N6" s="3">
        <v>281878</v>
      </c>
      <c r="O6" s="3">
        <v>217837</v>
      </c>
      <c r="P6" s="3">
        <v>255452</v>
      </c>
      <c r="Q6" s="3">
        <v>223263</v>
      </c>
      <c r="R6" s="3">
        <v>213290</v>
      </c>
      <c r="S6" s="3">
        <v>247943</v>
      </c>
      <c r="T6" s="3">
        <v>240738</v>
      </c>
      <c r="U6" s="3">
        <v>208668</v>
      </c>
      <c r="V6" s="3">
        <v>233379</v>
      </c>
      <c r="W6" s="3">
        <v>246928</v>
      </c>
      <c r="X6" s="3">
        <v>228605</v>
      </c>
      <c r="Y6" s="3">
        <v>250119</v>
      </c>
      <c r="Z6" s="3">
        <v>244493</v>
      </c>
      <c r="AA6" s="3">
        <v>276441</v>
      </c>
      <c r="AB6" s="3">
        <v>237587</v>
      </c>
      <c r="AC6" s="3">
        <v>229865</v>
      </c>
      <c r="AD6" s="3">
        <v>267165</v>
      </c>
      <c r="AE6" s="3">
        <v>271746</v>
      </c>
      <c r="AF6" s="3">
        <v>239876</v>
      </c>
      <c r="AG6" s="3">
        <v>241284</v>
      </c>
      <c r="AH6" s="3">
        <v>230624</v>
      </c>
      <c r="AI6" s="3">
        <v>241890</v>
      </c>
      <c r="AJ6" s="3">
        <v>242658</v>
      </c>
      <c r="AK6" s="3">
        <v>216492</v>
      </c>
      <c r="AL6" s="3">
        <v>233768</v>
      </c>
      <c r="AM6" s="3">
        <v>243650</v>
      </c>
      <c r="AN6" s="3">
        <v>266287</v>
      </c>
      <c r="AO6" s="3">
        <v>260504</v>
      </c>
      <c r="AP6" s="3">
        <v>274106</v>
      </c>
      <c r="AQ6" s="3">
        <v>246282</v>
      </c>
      <c r="AR6" s="3">
        <v>247478</v>
      </c>
      <c r="AS6" s="3">
        <v>239237</v>
      </c>
      <c r="AT6" s="3">
        <v>280979</v>
      </c>
      <c r="AU6" s="3">
        <v>254378</v>
      </c>
      <c r="AV6" s="3">
        <v>267992</v>
      </c>
      <c r="AW6" s="3">
        <v>259733</v>
      </c>
      <c r="AX6" s="3">
        <v>222157</v>
      </c>
      <c r="AY6" s="3">
        <v>266561</v>
      </c>
      <c r="AZ6" s="3">
        <v>121360</v>
      </c>
      <c r="BA6" s="3">
        <v>201833</v>
      </c>
      <c r="BB6" s="3">
        <v>253955</v>
      </c>
      <c r="BC6" s="3">
        <v>210472</v>
      </c>
      <c r="BD6" s="3">
        <v>238646</v>
      </c>
      <c r="BE6" s="3">
        <v>266141</v>
      </c>
      <c r="BF6" s="3">
        <v>263836</v>
      </c>
      <c r="BG6" s="3">
        <v>218806</v>
      </c>
      <c r="BH6" s="3">
        <v>222346</v>
      </c>
      <c r="BI6" s="3">
        <v>233173</v>
      </c>
      <c r="BJ6" s="3">
        <v>231758</v>
      </c>
      <c r="BK6" s="3">
        <v>257397</v>
      </c>
      <c r="BL6" s="3">
        <v>197376</v>
      </c>
      <c r="BM6" s="3">
        <v>227505</v>
      </c>
      <c r="BN6" s="3">
        <v>255028</v>
      </c>
      <c r="BO6" s="3">
        <v>261793</v>
      </c>
      <c r="BP6" s="3">
        <v>248944</v>
      </c>
      <c r="BQ6" s="3">
        <v>200496</v>
      </c>
      <c r="BR6" s="3">
        <v>223966</v>
      </c>
      <c r="BS6" s="3">
        <v>241790</v>
      </c>
      <c r="BT6" s="3">
        <v>209089</v>
      </c>
      <c r="BU6" s="3">
        <v>245409</v>
      </c>
      <c r="BV6" s="3">
        <v>242019</v>
      </c>
      <c r="BW6" s="3">
        <v>229077</v>
      </c>
      <c r="BX6" s="3">
        <v>246261</v>
      </c>
      <c r="BY6" s="3">
        <v>263106</v>
      </c>
      <c r="BZ6" s="3">
        <v>276041</v>
      </c>
      <c r="CA6" s="3">
        <v>301536</v>
      </c>
      <c r="CB6" s="3">
        <v>261839</v>
      </c>
      <c r="CC6" s="3">
        <v>248833</v>
      </c>
      <c r="CD6" s="3">
        <v>141797</v>
      </c>
      <c r="CE6" s="3">
        <v>263179</v>
      </c>
      <c r="CF6" s="3">
        <v>245662</v>
      </c>
      <c r="CG6" s="3">
        <v>215542</v>
      </c>
      <c r="CH6" s="3">
        <v>269759</v>
      </c>
      <c r="CI6" s="3">
        <v>282734</v>
      </c>
      <c r="CJ6" s="3">
        <v>218839</v>
      </c>
      <c r="CK6" s="3">
        <v>235632</v>
      </c>
      <c r="CL6" s="3">
        <v>270553</v>
      </c>
      <c r="CM6" s="3">
        <v>217966</v>
      </c>
      <c r="CN6" s="3">
        <v>248591</v>
      </c>
      <c r="CO6" s="3">
        <v>200539</v>
      </c>
      <c r="CP6" s="3">
        <v>240738</v>
      </c>
      <c r="CQ6" s="3">
        <v>253489</v>
      </c>
      <c r="CR6" s="3">
        <v>265253</v>
      </c>
      <c r="CS6" s="3">
        <v>260086</v>
      </c>
      <c r="CT6" s="3">
        <v>197345</v>
      </c>
      <c r="CU6" s="3">
        <v>235492</v>
      </c>
      <c r="CV6" s="3">
        <v>227374</v>
      </c>
      <c r="CW6" s="3">
        <v>168814</v>
      </c>
    </row>
    <row r="7" spans="1:101" x14ac:dyDescent="0.35">
      <c r="A7">
        <v>202206</v>
      </c>
      <c r="B7" s="3">
        <v>240831</v>
      </c>
      <c r="C7" s="3">
        <v>250867</v>
      </c>
      <c r="D7" s="3">
        <v>271643</v>
      </c>
      <c r="E7" s="3">
        <v>256001</v>
      </c>
      <c r="F7" s="3">
        <v>248339</v>
      </c>
      <c r="G7" s="3">
        <v>214291</v>
      </c>
      <c r="H7" s="3">
        <v>263046</v>
      </c>
      <c r="I7" s="3">
        <v>219060</v>
      </c>
      <c r="J7" s="3">
        <v>231901</v>
      </c>
      <c r="K7" s="3">
        <v>233961</v>
      </c>
      <c r="L7" s="3">
        <v>216718</v>
      </c>
      <c r="M7" s="3">
        <v>242542</v>
      </c>
      <c r="N7" s="3">
        <v>293980</v>
      </c>
      <c r="O7" s="3">
        <v>231672</v>
      </c>
      <c r="P7" s="3">
        <v>271219</v>
      </c>
      <c r="Q7" s="3">
        <v>225518</v>
      </c>
      <c r="R7" s="3">
        <v>224673</v>
      </c>
      <c r="S7" s="3">
        <v>252442</v>
      </c>
      <c r="T7" s="3">
        <v>254395</v>
      </c>
      <c r="U7" s="3">
        <v>224257</v>
      </c>
      <c r="V7" s="3">
        <v>239016</v>
      </c>
      <c r="W7" s="3">
        <v>248952</v>
      </c>
      <c r="X7" s="3">
        <v>233007</v>
      </c>
      <c r="Y7" s="3">
        <v>266879</v>
      </c>
      <c r="Z7" s="3">
        <v>248121</v>
      </c>
      <c r="AA7" s="3">
        <v>307335</v>
      </c>
      <c r="AB7" s="3">
        <v>251051</v>
      </c>
      <c r="AC7" s="3">
        <v>236101</v>
      </c>
      <c r="AD7" s="3">
        <v>273893</v>
      </c>
      <c r="AE7" s="3">
        <v>305653</v>
      </c>
      <c r="AF7" s="3">
        <v>259660</v>
      </c>
      <c r="AG7" s="3">
        <v>248084</v>
      </c>
      <c r="AH7" s="3">
        <v>228378</v>
      </c>
      <c r="AI7" s="3">
        <v>248329</v>
      </c>
      <c r="AJ7" s="3">
        <v>241629</v>
      </c>
      <c r="AK7" s="3">
        <v>232788</v>
      </c>
      <c r="AL7" s="3">
        <v>260323</v>
      </c>
      <c r="AM7" s="3">
        <v>239554</v>
      </c>
      <c r="AN7" s="3">
        <v>275312</v>
      </c>
      <c r="AO7" s="3">
        <v>279096</v>
      </c>
      <c r="AP7" s="3">
        <v>292656</v>
      </c>
      <c r="AQ7" s="3">
        <v>254103</v>
      </c>
      <c r="AR7" s="3">
        <v>242659</v>
      </c>
      <c r="AS7" s="3">
        <v>262378</v>
      </c>
      <c r="AT7" s="3">
        <v>273613</v>
      </c>
      <c r="AU7" s="3">
        <v>293185</v>
      </c>
      <c r="AV7" s="3">
        <v>290555</v>
      </c>
      <c r="AW7" s="3">
        <v>263575</v>
      </c>
      <c r="AX7" s="3">
        <v>233122</v>
      </c>
      <c r="AY7" s="3">
        <v>272228</v>
      </c>
      <c r="AZ7" s="3">
        <v>126835</v>
      </c>
      <c r="BA7" s="3">
        <v>210448</v>
      </c>
      <c r="BB7" s="3">
        <v>268268</v>
      </c>
      <c r="BC7" s="3">
        <v>233586</v>
      </c>
      <c r="BD7" s="3">
        <v>244324</v>
      </c>
      <c r="BE7" s="3">
        <v>274705</v>
      </c>
      <c r="BF7" s="3">
        <v>277162</v>
      </c>
      <c r="BG7" s="3">
        <v>233259</v>
      </c>
      <c r="BH7" s="3">
        <v>241849</v>
      </c>
      <c r="BI7" s="3">
        <v>260474</v>
      </c>
      <c r="BJ7" s="3">
        <v>252793</v>
      </c>
      <c r="BK7" s="3">
        <v>261834</v>
      </c>
      <c r="BL7" s="3">
        <v>214391</v>
      </c>
      <c r="BM7" s="3">
        <v>231033</v>
      </c>
      <c r="BN7" s="3">
        <v>265647</v>
      </c>
      <c r="BO7" s="3">
        <v>278075</v>
      </c>
      <c r="BP7" s="3">
        <v>267556</v>
      </c>
      <c r="BQ7" s="3">
        <v>212203</v>
      </c>
      <c r="BR7" s="3">
        <v>232944</v>
      </c>
      <c r="BS7" s="3">
        <v>248379</v>
      </c>
      <c r="BT7" s="3">
        <v>221161</v>
      </c>
      <c r="BU7" s="3">
        <v>236349</v>
      </c>
      <c r="BV7" s="3">
        <v>255234</v>
      </c>
      <c r="BW7" s="3">
        <v>240174</v>
      </c>
      <c r="BX7" s="3">
        <v>260838</v>
      </c>
      <c r="BY7" s="3">
        <v>281046</v>
      </c>
      <c r="BZ7" s="3">
        <v>287006</v>
      </c>
      <c r="CA7" s="3">
        <v>305610</v>
      </c>
      <c r="CB7" s="3">
        <v>280027</v>
      </c>
      <c r="CC7" s="3">
        <v>271243</v>
      </c>
      <c r="CD7" s="3">
        <v>146537</v>
      </c>
      <c r="CE7" s="3">
        <v>287528</v>
      </c>
      <c r="CF7" s="3">
        <v>260999</v>
      </c>
      <c r="CG7" s="3">
        <v>229708</v>
      </c>
      <c r="CH7" s="3">
        <v>277587</v>
      </c>
      <c r="CI7" s="3">
        <v>301535</v>
      </c>
      <c r="CJ7" s="3">
        <v>226468</v>
      </c>
      <c r="CK7" s="3">
        <v>246696</v>
      </c>
      <c r="CL7" s="3">
        <v>272345</v>
      </c>
      <c r="CM7" s="3">
        <v>226242</v>
      </c>
      <c r="CN7" s="3">
        <v>259522</v>
      </c>
      <c r="CO7" s="3">
        <v>210074</v>
      </c>
      <c r="CP7" s="3">
        <v>253871</v>
      </c>
      <c r="CQ7" s="3">
        <v>264139</v>
      </c>
      <c r="CR7" s="3">
        <v>270494</v>
      </c>
      <c r="CS7" s="3">
        <v>271924</v>
      </c>
      <c r="CT7" s="3">
        <v>201187</v>
      </c>
      <c r="CU7" s="3">
        <v>232412</v>
      </c>
      <c r="CV7" s="3">
        <v>237548</v>
      </c>
      <c r="CW7" s="3">
        <v>176558</v>
      </c>
    </row>
    <row r="8" spans="1:101" x14ac:dyDescent="0.35">
      <c r="A8">
        <v>202207</v>
      </c>
      <c r="B8" s="3">
        <v>242066</v>
      </c>
      <c r="C8" s="3">
        <v>256267</v>
      </c>
      <c r="D8" s="3">
        <v>270606</v>
      </c>
      <c r="E8" s="3">
        <v>269013</v>
      </c>
      <c r="F8" s="3">
        <v>247921</v>
      </c>
      <c r="G8" s="3">
        <v>220984</v>
      </c>
      <c r="H8" s="3">
        <v>274265</v>
      </c>
      <c r="I8" s="3">
        <v>230955</v>
      </c>
      <c r="J8" s="3">
        <v>232450</v>
      </c>
      <c r="K8" s="3">
        <v>250017</v>
      </c>
      <c r="L8" s="3">
        <v>234073</v>
      </c>
      <c r="M8" s="3">
        <v>251124</v>
      </c>
      <c r="N8" s="3">
        <v>294774</v>
      </c>
      <c r="O8" s="3">
        <v>237924</v>
      </c>
      <c r="P8" s="3">
        <v>276232</v>
      </c>
      <c r="Q8" s="3">
        <v>249277</v>
      </c>
      <c r="R8" s="3">
        <v>230341</v>
      </c>
      <c r="S8" s="3">
        <v>256961</v>
      </c>
      <c r="T8" s="3">
        <v>257779</v>
      </c>
      <c r="U8" s="3">
        <v>232481</v>
      </c>
      <c r="V8" s="3">
        <v>251567</v>
      </c>
      <c r="W8" s="3">
        <v>259751</v>
      </c>
      <c r="X8" s="3">
        <v>236014</v>
      </c>
      <c r="Y8" s="3">
        <v>271417</v>
      </c>
      <c r="Z8" s="3">
        <v>258181</v>
      </c>
      <c r="AA8" s="3">
        <v>311819</v>
      </c>
      <c r="AB8" s="3">
        <v>265634</v>
      </c>
      <c r="AC8" s="3">
        <v>253129</v>
      </c>
      <c r="AD8" s="3">
        <v>298333</v>
      </c>
      <c r="AE8" s="3">
        <v>300840</v>
      </c>
      <c r="AF8" s="3">
        <v>265401</v>
      </c>
      <c r="AG8" s="3">
        <v>267993</v>
      </c>
      <c r="AH8" s="3">
        <v>245871</v>
      </c>
      <c r="AI8" s="3">
        <v>273107</v>
      </c>
      <c r="AJ8" s="3">
        <v>259859</v>
      </c>
      <c r="AK8" s="3">
        <v>231768</v>
      </c>
      <c r="AL8" s="3">
        <v>263948</v>
      </c>
      <c r="AM8" s="3">
        <v>253956</v>
      </c>
      <c r="AN8" s="3">
        <v>277099</v>
      </c>
      <c r="AO8" s="3">
        <v>287335</v>
      </c>
      <c r="AP8" s="3">
        <v>293297</v>
      </c>
      <c r="AQ8" s="3">
        <v>276774</v>
      </c>
      <c r="AR8" s="3">
        <v>257430</v>
      </c>
      <c r="AS8" s="3">
        <v>265458</v>
      </c>
      <c r="AT8" s="3">
        <v>271735</v>
      </c>
      <c r="AU8" s="3">
        <v>283109</v>
      </c>
      <c r="AV8" s="3">
        <v>310055</v>
      </c>
      <c r="AW8" s="3">
        <v>273344</v>
      </c>
      <c r="AX8" s="3">
        <v>242902</v>
      </c>
      <c r="AY8" s="3">
        <v>287385</v>
      </c>
      <c r="AZ8" s="3">
        <v>128099</v>
      </c>
      <c r="BA8" s="3">
        <v>214776</v>
      </c>
      <c r="BB8" s="3">
        <v>269793</v>
      </c>
      <c r="BC8" s="3">
        <v>215226</v>
      </c>
      <c r="BD8" s="3">
        <v>257362</v>
      </c>
      <c r="BE8" s="3">
        <v>273178</v>
      </c>
      <c r="BF8" s="3">
        <v>287778</v>
      </c>
      <c r="BG8" s="3">
        <v>243451</v>
      </c>
      <c r="BH8" s="3">
        <v>243962</v>
      </c>
      <c r="BI8" s="3">
        <v>258179</v>
      </c>
      <c r="BJ8" s="3">
        <v>247415</v>
      </c>
      <c r="BK8" s="3">
        <v>280832</v>
      </c>
      <c r="BL8" s="3">
        <v>216372</v>
      </c>
      <c r="BM8" s="3">
        <v>259424</v>
      </c>
      <c r="BN8" s="3">
        <v>276091</v>
      </c>
      <c r="BO8" s="3">
        <v>286383</v>
      </c>
      <c r="BP8" s="3">
        <v>289911</v>
      </c>
      <c r="BQ8" s="3">
        <v>218113</v>
      </c>
      <c r="BR8" s="3">
        <v>243624</v>
      </c>
      <c r="BS8" s="3">
        <v>246332</v>
      </c>
      <c r="BT8" s="3">
        <v>219830</v>
      </c>
      <c r="BU8" s="3">
        <v>245228</v>
      </c>
      <c r="BV8" s="3">
        <v>257129</v>
      </c>
      <c r="BW8" s="3">
        <v>243410</v>
      </c>
      <c r="BX8" s="3">
        <v>248474</v>
      </c>
      <c r="BY8" s="3">
        <v>283587</v>
      </c>
      <c r="BZ8" s="3">
        <v>282080</v>
      </c>
      <c r="CA8" s="3">
        <v>328920</v>
      </c>
      <c r="CB8" s="3">
        <v>278980</v>
      </c>
      <c r="CC8" s="3">
        <v>274835</v>
      </c>
      <c r="CD8" s="3">
        <v>151365</v>
      </c>
      <c r="CE8" s="3">
        <v>286643</v>
      </c>
      <c r="CF8" s="3">
        <v>262350</v>
      </c>
      <c r="CG8" s="3">
        <v>233284</v>
      </c>
      <c r="CH8" s="3">
        <v>281149</v>
      </c>
      <c r="CI8" s="3">
        <v>320350</v>
      </c>
      <c r="CJ8" s="3">
        <v>229008</v>
      </c>
      <c r="CK8" s="3">
        <v>259065</v>
      </c>
      <c r="CL8" s="3">
        <v>286068</v>
      </c>
      <c r="CM8" s="3">
        <v>235506</v>
      </c>
      <c r="CN8" s="3">
        <v>252931</v>
      </c>
      <c r="CO8" s="3">
        <v>220547</v>
      </c>
      <c r="CP8" s="3">
        <v>251521</v>
      </c>
      <c r="CQ8" s="3">
        <v>281979</v>
      </c>
      <c r="CR8" s="3">
        <v>285479</v>
      </c>
      <c r="CS8" s="3">
        <v>276459</v>
      </c>
      <c r="CT8" s="3">
        <v>202171</v>
      </c>
      <c r="CU8" s="3">
        <v>252903</v>
      </c>
      <c r="CV8" s="3">
        <v>247007</v>
      </c>
      <c r="CW8" s="3">
        <v>176327</v>
      </c>
    </row>
    <row r="9" spans="1:101" x14ac:dyDescent="0.35">
      <c r="A9">
        <v>202208</v>
      </c>
      <c r="B9" s="3">
        <v>229065</v>
      </c>
      <c r="C9" s="3">
        <v>224536</v>
      </c>
      <c r="D9" s="3">
        <v>244613</v>
      </c>
      <c r="E9" s="3">
        <v>234947</v>
      </c>
      <c r="F9" s="3">
        <v>221748</v>
      </c>
      <c r="G9" s="3">
        <v>192797</v>
      </c>
      <c r="H9" s="3">
        <v>241683</v>
      </c>
      <c r="I9" s="3">
        <v>204330</v>
      </c>
      <c r="J9" s="3">
        <v>198575</v>
      </c>
      <c r="K9" s="3">
        <v>204873</v>
      </c>
      <c r="L9" s="3">
        <v>205732</v>
      </c>
      <c r="M9" s="3">
        <v>212507</v>
      </c>
      <c r="N9" s="3">
        <v>269126</v>
      </c>
      <c r="O9" s="3">
        <v>204886</v>
      </c>
      <c r="P9" s="3">
        <v>253225</v>
      </c>
      <c r="Q9" s="3">
        <v>209248</v>
      </c>
      <c r="R9" s="3">
        <v>207763</v>
      </c>
      <c r="S9" s="3">
        <v>214826</v>
      </c>
      <c r="T9" s="3">
        <v>227140</v>
      </c>
      <c r="U9" s="3">
        <v>208682</v>
      </c>
      <c r="V9" s="3">
        <v>223358</v>
      </c>
      <c r="W9" s="3">
        <v>232827</v>
      </c>
      <c r="X9" s="3">
        <v>211616</v>
      </c>
      <c r="Y9" s="3">
        <v>232707</v>
      </c>
      <c r="Z9" s="3">
        <v>233112</v>
      </c>
      <c r="AA9" s="3">
        <v>268162</v>
      </c>
      <c r="AB9" s="3">
        <v>225646</v>
      </c>
      <c r="AC9" s="3">
        <v>228744</v>
      </c>
      <c r="AD9" s="3">
        <v>251013</v>
      </c>
      <c r="AE9" s="3">
        <v>258288</v>
      </c>
      <c r="AF9" s="3">
        <v>227462</v>
      </c>
      <c r="AG9" s="3">
        <v>224241</v>
      </c>
      <c r="AH9" s="3">
        <v>213512</v>
      </c>
      <c r="AI9" s="3">
        <v>228605</v>
      </c>
      <c r="AJ9" s="3">
        <v>219847</v>
      </c>
      <c r="AK9" s="3">
        <v>210189</v>
      </c>
      <c r="AL9" s="3">
        <v>220221</v>
      </c>
      <c r="AM9" s="3">
        <v>213672</v>
      </c>
      <c r="AN9" s="3">
        <v>242366</v>
      </c>
      <c r="AO9" s="3">
        <v>242182</v>
      </c>
      <c r="AP9" s="3">
        <v>249070</v>
      </c>
      <c r="AQ9" s="3">
        <v>236779</v>
      </c>
      <c r="AR9" s="3">
        <v>224693</v>
      </c>
      <c r="AS9" s="3">
        <v>247379</v>
      </c>
      <c r="AT9" s="3">
        <v>249449</v>
      </c>
      <c r="AU9" s="3">
        <v>257067</v>
      </c>
      <c r="AV9" s="3">
        <v>256565</v>
      </c>
      <c r="AW9" s="3">
        <v>241520</v>
      </c>
      <c r="AX9" s="3">
        <v>212766</v>
      </c>
      <c r="AY9" s="3">
        <v>249683</v>
      </c>
      <c r="AZ9" s="3">
        <v>111778</v>
      </c>
      <c r="BA9" s="3">
        <v>193042</v>
      </c>
      <c r="BB9" s="3">
        <v>249859</v>
      </c>
      <c r="BC9" s="3">
        <v>214698</v>
      </c>
      <c r="BD9" s="3">
        <v>217010</v>
      </c>
      <c r="BE9" s="3">
        <v>249588</v>
      </c>
      <c r="BF9" s="3">
        <v>245822</v>
      </c>
      <c r="BG9" s="3">
        <v>208857</v>
      </c>
      <c r="BH9" s="3">
        <v>213159</v>
      </c>
      <c r="BI9" s="3">
        <v>231829</v>
      </c>
      <c r="BJ9" s="3">
        <v>221376</v>
      </c>
      <c r="BK9" s="3">
        <v>246090</v>
      </c>
      <c r="BL9" s="3">
        <v>187262</v>
      </c>
      <c r="BM9" s="3">
        <v>219554</v>
      </c>
      <c r="BN9" s="3">
        <v>242371</v>
      </c>
      <c r="BO9" s="3">
        <v>249351</v>
      </c>
      <c r="BP9" s="3">
        <v>231699</v>
      </c>
      <c r="BQ9" s="3">
        <v>187358</v>
      </c>
      <c r="BR9" s="3">
        <v>205579</v>
      </c>
      <c r="BS9" s="3">
        <v>218542</v>
      </c>
      <c r="BT9" s="3">
        <v>197979</v>
      </c>
      <c r="BU9" s="3">
        <v>223318</v>
      </c>
      <c r="BV9" s="3">
        <v>229019</v>
      </c>
      <c r="BW9" s="3">
        <v>214351</v>
      </c>
      <c r="BX9" s="3">
        <v>235364</v>
      </c>
      <c r="BY9" s="3">
        <v>247421</v>
      </c>
      <c r="BZ9" s="3">
        <v>249893</v>
      </c>
      <c r="CA9" s="3">
        <v>270412</v>
      </c>
      <c r="CB9" s="3">
        <v>239517</v>
      </c>
      <c r="CC9" s="3">
        <v>241682</v>
      </c>
      <c r="CD9" s="3">
        <v>130294</v>
      </c>
      <c r="CE9" s="3">
        <v>275631</v>
      </c>
      <c r="CF9" s="3">
        <v>229720</v>
      </c>
      <c r="CG9" s="3">
        <v>203084</v>
      </c>
      <c r="CH9" s="3">
        <v>245200</v>
      </c>
      <c r="CI9" s="3">
        <v>277150</v>
      </c>
      <c r="CJ9" s="3">
        <v>197363</v>
      </c>
      <c r="CK9" s="3">
        <v>227921</v>
      </c>
      <c r="CL9" s="3">
        <v>246315</v>
      </c>
      <c r="CM9" s="3">
        <v>218094</v>
      </c>
      <c r="CN9" s="3">
        <v>217216</v>
      </c>
      <c r="CO9" s="3">
        <v>195236</v>
      </c>
      <c r="CP9" s="3">
        <v>222767</v>
      </c>
      <c r="CQ9" s="3">
        <v>246061</v>
      </c>
      <c r="CR9" s="3">
        <v>251687</v>
      </c>
      <c r="CS9" s="3">
        <v>245817</v>
      </c>
      <c r="CT9" s="3">
        <v>190502</v>
      </c>
      <c r="CU9" s="3">
        <v>214681</v>
      </c>
      <c r="CV9" s="3">
        <v>210831</v>
      </c>
      <c r="CW9" s="3">
        <v>159785</v>
      </c>
    </row>
    <row r="10" spans="1:101" x14ac:dyDescent="0.35">
      <c r="A10">
        <v>202209</v>
      </c>
      <c r="B10" s="3">
        <v>212133</v>
      </c>
      <c r="C10" s="3">
        <v>219688</v>
      </c>
      <c r="D10" s="3">
        <v>231185</v>
      </c>
      <c r="E10" s="3">
        <v>226241</v>
      </c>
      <c r="F10" s="3">
        <v>221234</v>
      </c>
      <c r="G10" s="3">
        <v>186116</v>
      </c>
      <c r="H10" s="3">
        <v>227440</v>
      </c>
      <c r="I10" s="3">
        <v>192105</v>
      </c>
      <c r="J10" s="3">
        <v>199923</v>
      </c>
      <c r="K10" s="3">
        <v>201743</v>
      </c>
      <c r="L10" s="3">
        <v>188781</v>
      </c>
      <c r="M10" s="3">
        <v>207630</v>
      </c>
      <c r="N10" s="3">
        <v>257195</v>
      </c>
      <c r="O10" s="3">
        <v>192838</v>
      </c>
      <c r="P10" s="3">
        <v>241123</v>
      </c>
      <c r="Q10" s="3">
        <v>196532</v>
      </c>
      <c r="R10" s="3">
        <v>193170</v>
      </c>
      <c r="S10" s="3">
        <v>207638</v>
      </c>
      <c r="T10" s="3">
        <v>219835</v>
      </c>
      <c r="U10" s="3">
        <v>201522</v>
      </c>
      <c r="V10" s="3">
        <v>216715</v>
      </c>
      <c r="W10" s="3">
        <v>219723</v>
      </c>
      <c r="X10" s="3">
        <v>203874</v>
      </c>
      <c r="Y10" s="3">
        <v>236276</v>
      </c>
      <c r="Z10" s="3">
        <v>224798</v>
      </c>
      <c r="AA10" s="3">
        <v>252963</v>
      </c>
      <c r="AB10" s="3">
        <v>226415</v>
      </c>
      <c r="AC10" s="3">
        <v>214684</v>
      </c>
      <c r="AD10" s="3">
        <v>242067</v>
      </c>
      <c r="AE10" s="3">
        <v>250644</v>
      </c>
      <c r="AF10" s="3">
        <v>219130</v>
      </c>
      <c r="AG10" s="3">
        <v>211459</v>
      </c>
      <c r="AH10" s="3">
        <v>196808</v>
      </c>
      <c r="AI10" s="3">
        <v>220232</v>
      </c>
      <c r="AJ10" s="3">
        <v>201819</v>
      </c>
      <c r="AK10" s="3">
        <v>199983</v>
      </c>
      <c r="AL10" s="3">
        <v>223732</v>
      </c>
      <c r="AM10" s="3">
        <v>205484</v>
      </c>
      <c r="AN10" s="3">
        <v>226014</v>
      </c>
      <c r="AO10" s="3">
        <v>237459</v>
      </c>
      <c r="AP10" s="3">
        <v>247093</v>
      </c>
      <c r="AQ10" s="3">
        <v>225835</v>
      </c>
      <c r="AR10" s="3">
        <v>215797</v>
      </c>
      <c r="AS10" s="3">
        <v>243285</v>
      </c>
      <c r="AT10" s="3">
        <v>238324</v>
      </c>
      <c r="AU10" s="3">
        <v>253990</v>
      </c>
      <c r="AV10" s="3">
        <v>243992</v>
      </c>
      <c r="AW10" s="3">
        <v>223761</v>
      </c>
      <c r="AX10" s="3">
        <v>197053</v>
      </c>
      <c r="AY10" s="3">
        <v>240399</v>
      </c>
      <c r="AZ10" s="3">
        <v>109790</v>
      </c>
      <c r="BA10" s="3">
        <v>188991</v>
      </c>
      <c r="BB10" s="3">
        <v>238100</v>
      </c>
      <c r="BC10" s="3">
        <v>189892</v>
      </c>
      <c r="BD10" s="3">
        <v>219018</v>
      </c>
      <c r="BE10" s="3">
        <v>224745</v>
      </c>
      <c r="BF10" s="3">
        <v>234002</v>
      </c>
      <c r="BG10" s="3">
        <v>198942</v>
      </c>
      <c r="BH10" s="3">
        <v>202325</v>
      </c>
      <c r="BI10" s="3">
        <v>211326</v>
      </c>
      <c r="BJ10" s="3">
        <v>212635</v>
      </c>
      <c r="BK10" s="3">
        <v>227945</v>
      </c>
      <c r="BL10" s="3">
        <v>183457</v>
      </c>
      <c r="BM10" s="3">
        <v>208160</v>
      </c>
      <c r="BN10" s="3">
        <v>225785</v>
      </c>
      <c r="BO10" s="3">
        <v>241765</v>
      </c>
      <c r="BP10" s="3">
        <v>221325</v>
      </c>
      <c r="BQ10" s="3">
        <v>185454</v>
      </c>
      <c r="BR10" s="3">
        <v>197973</v>
      </c>
      <c r="BS10" s="3">
        <v>220240</v>
      </c>
      <c r="BT10" s="3">
        <v>189985</v>
      </c>
      <c r="BU10" s="3">
        <v>223866</v>
      </c>
      <c r="BV10" s="3">
        <v>213895</v>
      </c>
      <c r="BW10" s="3">
        <v>200494</v>
      </c>
      <c r="BX10" s="3">
        <v>218894</v>
      </c>
      <c r="BY10" s="3">
        <v>230933</v>
      </c>
      <c r="BZ10" s="3">
        <v>239915</v>
      </c>
      <c r="CA10" s="3">
        <v>263938</v>
      </c>
      <c r="CB10" s="3">
        <v>229687</v>
      </c>
      <c r="CC10" s="3">
        <v>232932</v>
      </c>
      <c r="CD10" s="3">
        <v>126822</v>
      </c>
      <c r="CE10" s="3">
        <v>242449</v>
      </c>
      <c r="CF10" s="3">
        <v>219418</v>
      </c>
      <c r="CG10" s="3">
        <v>183413</v>
      </c>
      <c r="CH10" s="3">
        <v>243685</v>
      </c>
      <c r="CI10" s="3">
        <v>267883</v>
      </c>
      <c r="CJ10" s="3">
        <v>193921</v>
      </c>
      <c r="CK10" s="3">
        <v>219502</v>
      </c>
      <c r="CL10" s="3">
        <v>231751</v>
      </c>
      <c r="CM10" s="3">
        <v>208961</v>
      </c>
      <c r="CN10" s="3">
        <v>227607</v>
      </c>
      <c r="CO10" s="3">
        <v>182378</v>
      </c>
      <c r="CP10" s="3">
        <v>210971</v>
      </c>
      <c r="CQ10" s="3">
        <v>233086</v>
      </c>
      <c r="CR10" s="3">
        <v>229529</v>
      </c>
      <c r="CS10" s="3">
        <v>233785</v>
      </c>
      <c r="CT10" s="3">
        <v>167682</v>
      </c>
      <c r="CU10" s="3">
        <v>199011</v>
      </c>
      <c r="CV10" s="3">
        <v>206133</v>
      </c>
      <c r="CW10" s="3">
        <v>152902</v>
      </c>
    </row>
    <row r="11" spans="1:101" x14ac:dyDescent="0.35">
      <c r="A11">
        <v>202210</v>
      </c>
      <c r="B11" s="3">
        <v>202011</v>
      </c>
      <c r="C11" s="3">
        <v>204975</v>
      </c>
      <c r="D11" s="3">
        <v>218135</v>
      </c>
      <c r="E11" s="3">
        <v>211301</v>
      </c>
      <c r="F11" s="3">
        <v>210625</v>
      </c>
      <c r="G11" s="3">
        <v>180259</v>
      </c>
      <c r="H11" s="3">
        <v>227404</v>
      </c>
      <c r="I11" s="3">
        <v>182876</v>
      </c>
      <c r="J11" s="3">
        <v>190913</v>
      </c>
      <c r="K11" s="3">
        <v>190810</v>
      </c>
      <c r="L11" s="3">
        <v>209694</v>
      </c>
      <c r="M11" s="3">
        <v>197995</v>
      </c>
      <c r="N11" s="3">
        <v>250090</v>
      </c>
      <c r="O11" s="3">
        <v>196772</v>
      </c>
      <c r="P11" s="3">
        <v>229890</v>
      </c>
      <c r="Q11" s="3">
        <v>195741</v>
      </c>
      <c r="R11" s="3">
        <v>189020</v>
      </c>
      <c r="S11" s="3">
        <v>212352</v>
      </c>
      <c r="T11" s="3">
        <v>202669</v>
      </c>
      <c r="U11" s="3">
        <v>178744</v>
      </c>
      <c r="V11" s="3">
        <v>203861</v>
      </c>
      <c r="W11" s="3">
        <v>204508</v>
      </c>
      <c r="X11" s="3">
        <v>198946</v>
      </c>
      <c r="Y11" s="3">
        <v>211821</v>
      </c>
      <c r="Z11" s="3">
        <v>206918</v>
      </c>
      <c r="AA11" s="3">
        <v>231141</v>
      </c>
      <c r="AB11" s="3">
        <v>222847</v>
      </c>
      <c r="AC11" s="3">
        <v>204267</v>
      </c>
      <c r="AD11" s="3">
        <v>229294</v>
      </c>
      <c r="AE11" s="3">
        <v>252490</v>
      </c>
      <c r="AF11" s="3">
        <v>201846</v>
      </c>
      <c r="AG11" s="3">
        <v>210321</v>
      </c>
      <c r="AH11" s="3">
        <v>192227</v>
      </c>
      <c r="AI11" s="3">
        <v>211453</v>
      </c>
      <c r="AJ11" s="3">
        <v>199808</v>
      </c>
      <c r="AK11" s="3">
        <v>183489</v>
      </c>
      <c r="AL11" s="3">
        <v>219431</v>
      </c>
      <c r="AM11" s="3">
        <v>197194</v>
      </c>
      <c r="AN11" s="3">
        <v>222050</v>
      </c>
      <c r="AO11" s="3">
        <v>229461</v>
      </c>
      <c r="AP11" s="3">
        <v>227364</v>
      </c>
      <c r="AQ11" s="3">
        <v>218563</v>
      </c>
      <c r="AR11" s="3">
        <v>211506</v>
      </c>
      <c r="AS11" s="3">
        <v>216279</v>
      </c>
      <c r="AT11" s="3">
        <v>231143</v>
      </c>
      <c r="AU11" s="3">
        <v>240259</v>
      </c>
      <c r="AV11" s="3">
        <v>229694</v>
      </c>
      <c r="AW11" s="3">
        <v>224030</v>
      </c>
      <c r="AX11" s="3">
        <v>189130</v>
      </c>
      <c r="AY11" s="3">
        <v>226990</v>
      </c>
      <c r="AZ11" s="3">
        <v>102675</v>
      </c>
      <c r="BA11" s="3">
        <v>170654</v>
      </c>
      <c r="BB11" s="3">
        <v>225552</v>
      </c>
      <c r="BC11" s="3">
        <v>183286</v>
      </c>
      <c r="BD11" s="3">
        <v>204008</v>
      </c>
      <c r="BE11" s="3">
        <v>237151</v>
      </c>
      <c r="BF11" s="3">
        <v>232255</v>
      </c>
      <c r="BG11" s="3">
        <v>185438</v>
      </c>
      <c r="BH11" s="3">
        <v>198258</v>
      </c>
      <c r="BI11" s="3">
        <v>200268</v>
      </c>
      <c r="BJ11" s="3">
        <v>195372</v>
      </c>
      <c r="BK11" s="3">
        <v>215801</v>
      </c>
      <c r="BL11" s="3">
        <v>167782</v>
      </c>
      <c r="BM11" s="3">
        <v>193887</v>
      </c>
      <c r="BN11" s="3">
        <v>224019</v>
      </c>
      <c r="BO11" s="3">
        <v>228702</v>
      </c>
      <c r="BP11" s="3">
        <v>219577</v>
      </c>
      <c r="BQ11" s="3">
        <v>172574</v>
      </c>
      <c r="BR11" s="3">
        <v>193542</v>
      </c>
      <c r="BS11" s="3">
        <v>207411</v>
      </c>
      <c r="BT11" s="3">
        <v>179531</v>
      </c>
      <c r="BU11" s="3">
        <v>187807</v>
      </c>
      <c r="BV11" s="3">
        <v>209356</v>
      </c>
      <c r="BW11" s="3">
        <v>205658</v>
      </c>
      <c r="BX11" s="3">
        <v>223377</v>
      </c>
      <c r="BY11" s="3">
        <v>222397</v>
      </c>
      <c r="BZ11" s="3">
        <v>236988</v>
      </c>
      <c r="CA11" s="3">
        <v>243917</v>
      </c>
      <c r="CB11" s="3">
        <v>225995</v>
      </c>
      <c r="CC11" s="3">
        <v>221011</v>
      </c>
      <c r="CD11" s="3">
        <v>123495</v>
      </c>
      <c r="CE11" s="3">
        <v>227666</v>
      </c>
      <c r="CF11" s="3">
        <v>213145</v>
      </c>
      <c r="CG11" s="3">
        <v>182159</v>
      </c>
      <c r="CH11" s="3">
        <v>228509</v>
      </c>
      <c r="CI11" s="3">
        <v>236613</v>
      </c>
      <c r="CJ11" s="3">
        <v>190011</v>
      </c>
      <c r="CK11" s="3">
        <v>197919</v>
      </c>
      <c r="CL11" s="3">
        <v>238030</v>
      </c>
      <c r="CM11" s="3">
        <v>186708</v>
      </c>
      <c r="CN11" s="3">
        <v>214427</v>
      </c>
      <c r="CO11" s="3">
        <v>178349</v>
      </c>
      <c r="CP11" s="3">
        <v>205468</v>
      </c>
      <c r="CQ11" s="3">
        <v>229879</v>
      </c>
      <c r="CR11" s="3">
        <v>226655</v>
      </c>
      <c r="CS11" s="3">
        <v>233597</v>
      </c>
      <c r="CT11" s="3">
        <v>174777</v>
      </c>
      <c r="CU11" s="3">
        <v>202143</v>
      </c>
      <c r="CV11" s="3">
        <v>195542</v>
      </c>
      <c r="CW11" s="3">
        <v>144189</v>
      </c>
    </row>
    <row r="12" spans="1:101" x14ac:dyDescent="0.35">
      <c r="A12">
        <v>202211</v>
      </c>
      <c r="B12" s="3">
        <v>191296</v>
      </c>
      <c r="C12" s="3">
        <v>195505</v>
      </c>
      <c r="D12" s="3">
        <v>209809</v>
      </c>
      <c r="E12" s="3">
        <v>204015</v>
      </c>
      <c r="F12" s="3">
        <v>197972</v>
      </c>
      <c r="G12" s="3">
        <v>174650</v>
      </c>
      <c r="H12" s="3">
        <v>207363</v>
      </c>
      <c r="I12" s="3">
        <v>184187</v>
      </c>
      <c r="J12" s="3">
        <v>174808</v>
      </c>
      <c r="K12" s="3">
        <v>182927</v>
      </c>
      <c r="L12" s="3">
        <v>167785</v>
      </c>
      <c r="M12" s="3">
        <v>186050</v>
      </c>
      <c r="N12" s="3">
        <v>225620</v>
      </c>
      <c r="O12" s="3">
        <v>180311</v>
      </c>
      <c r="P12" s="3">
        <v>225116</v>
      </c>
      <c r="Q12" s="3">
        <v>184537</v>
      </c>
      <c r="R12" s="3">
        <v>170349</v>
      </c>
      <c r="S12" s="3">
        <v>198584</v>
      </c>
      <c r="T12" s="3">
        <v>195456</v>
      </c>
      <c r="U12" s="3">
        <v>179560</v>
      </c>
      <c r="V12" s="3">
        <v>188448</v>
      </c>
      <c r="W12" s="3">
        <v>196385</v>
      </c>
      <c r="X12" s="3">
        <v>170177</v>
      </c>
      <c r="Y12" s="3">
        <v>199297</v>
      </c>
      <c r="Z12" s="3">
        <v>200732</v>
      </c>
      <c r="AA12" s="3">
        <v>228501</v>
      </c>
      <c r="AB12" s="3">
        <v>196867</v>
      </c>
      <c r="AC12" s="3">
        <v>193001</v>
      </c>
      <c r="AD12" s="3">
        <v>208558</v>
      </c>
      <c r="AE12" s="3">
        <v>223783</v>
      </c>
      <c r="AF12" s="3">
        <v>194357</v>
      </c>
      <c r="AG12" s="3">
        <v>202017</v>
      </c>
      <c r="AH12" s="3">
        <v>184442</v>
      </c>
      <c r="AI12" s="3">
        <v>200237</v>
      </c>
      <c r="AJ12" s="3">
        <v>189471</v>
      </c>
      <c r="AK12" s="3">
        <v>177804</v>
      </c>
      <c r="AL12" s="3">
        <v>194964</v>
      </c>
      <c r="AM12" s="3">
        <v>192547</v>
      </c>
      <c r="AN12" s="3">
        <v>216053</v>
      </c>
      <c r="AO12" s="3">
        <v>221124</v>
      </c>
      <c r="AP12" s="3">
        <v>222645</v>
      </c>
      <c r="AQ12" s="3">
        <v>207309</v>
      </c>
      <c r="AR12" s="3">
        <v>197983</v>
      </c>
      <c r="AS12" s="3">
        <v>220496</v>
      </c>
      <c r="AT12" s="3">
        <v>224513</v>
      </c>
      <c r="AU12" s="3">
        <v>210760</v>
      </c>
      <c r="AV12" s="3">
        <v>229744</v>
      </c>
      <c r="AW12" s="3">
        <v>203821</v>
      </c>
      <c r="AX12" s="3">
        <v>180592</v>
      </c>
      <c r="AY12" s="3">
        <v>212225</v>
      </c>
      <c r="AZ12" s="3">
        <v>98025</v>
      </c>
      <c r="BA12" s="3">
        <v>171955</v>
      </c>
      <c r="BB12" s="3">
        <v>217913</v>
      </c>
      <c r="BC12" s="3">
        <v>177199</v>
      </c>
      <c r="BD12" s="3">
        <v>196520</v>
      </c>
      <c r="BE12" s="3">
        <v>224828</v>
      </c>
      <c r="BF12" s="3">
        <v>213120</v>
      </c>
      <c r="BG12" s="3">
        <v>180999</v>
      </c>
      <c r="BH12" s="3">
        <v>184079</v>
      </c>
      <c r="BI12" s="3">
        <v>198805</v>
      </c>
      <c r="BJ12" s="3">
        <v>190699</v>
      </c>
      <c r="BK12" s="3">
        <v>210668</v>
      </c>
      <c r="BL12" s="3">
        <v>167701</v>
      </c>
      <c r="BM12" s="3">
        <v>190134</v>
      </c>
      <c r="BN12" s="3">
        <v>220670</v>
      </c>
      <c r="BO12" s="3">
        <v>223035</v>
      </c>
      <c r="BP12" s="3">
        <v>202683</v>
      </c>
      <c r="BQ12" s="3">
        <v>169341</v>
      </c>
      <c r="BR12" s="3">
        <v>184515</v>
      </c>
      <c r="BS12" s="3">
        <v>199965</v>
      </c>
      <c r="BT12" s="3">
        <v>168090</v>
      </c>
      <c r="BU12" s="3">
        <v>198537</v>
      </c>
      <c r="BV12" s="3">
        <v>199202</v>
      </c>
      <c r="BW12" s="3">
        <v>183314</v>
      </c>
      <c r="BX12" s="3">
        <v>197469</v>
      </c>
      <c r="BY12" s="3">
        <v>219290</v>
      </c>
      <c r="BZ12" s="3">
        <v>218560</v>
      </c>
      <c r="CA12" s="3">
        <v>246163</v>
      </c>
      <c r="CB12" s="3">
        <v>212680</v>
      </c>
      <c r="CC12" s="3">
        <v>212634</v>
      </c>
      <c r="CD12" s="3">
        <v>114465</v>
      </c>
      <c r="CE12" s="3">
        <v>215747</v>
      </c>
      <c r="CF12" s="3">
        <v>203652</v>
      </c>
      <c r="CG12" s="3">
        <v>176721</v>
      </c>
      <c r="CH12" s="3">
        <v>228531</v>
      </c>
      <c r="CI12" s="3">
        <v>234622</v>
      </c>
      <c r="CJ12" s="3">
        <v>177222</v>
      </c>
      <c r="CK12" s="3">
        <v>199317</v>
      </c>
      <c r="CL12" s="3">
        <v>204700</v>
      </c>
      <c r="CM12" s="3">
        <v>191755</v>
      </c>
      <c r="CN12" s="3">
        <v>195629</v>
      </c>
      <c r="CO12" s="3">
        <v>166527</v>
      </c>
      <c r="CP12" s="3">
        <v>202182</v>
      </c>
      <c r="CQ12" s="3">
        <v>203243</v>
      </c>
      <c r="CR12" s="3">
        <v>210514</v>
      </c>
      <c r="CS12" s="3">
        <v>222522</v>
      </c>
      <c r="CT12" s="3">
        <v>171027</v>
      </c>
      <c r="CU12" s="3">
        <v>191128</v>
      </c>
      <c r="CV12" s="3">
        <v>190503</v>
      </c>
      <c r="CW12" s="3">
        <v>136194</v>
      </c>
    </row>
    <row r="13" spans="1:101" x14ac:dyDescent="0.35">
      <c r="A13">
        <v>202212</v>
      </c>
      <c r="B13" s="3">
        <v>183842</v>
      </c>
      <c r="C13" s="3">
        <v>187306</v>
      </c>
      <c r="D13" s="3">
        <v>198017</v>
      </c>
      <c r="E13" s="3">
        <v>204808</v>
      </c>
      <c r="F13" s="3">
        <v>196359</v>
      </c>
      <c r="G13" s="3">
        <v>161085</v>
      </c>
      <c r="H13" s="3">
        <v>197005</v>
      </c>
      <c r="I13" s="3">
        <v>177515</v>
      </c>
      <c r="J13" s="3">
        <v>178840</v>
      </c>
      <c r="K13" s="3">
        <v>179254</v>
      </c>
      <c r="L13" s="3">
        <v>170816</v>
      </c>
      <c r="M13" s="3">
        <v>185460</v>
      </c>
      <c r="N13" s="3">
        <v>221651</v>
      </c>
      <c r="O13" s="3">
        <v>175611</v>
      </c>
      <c r="P13" s="3">
        <v>209787</v>
      </c>
      <c r="Q13" s="3">
        <v>172061</v>
      </c>
      <c r="R13" s="3">
        <v>170253</v>
      </c>
      <c r="S13" s="3">
        <v>183815</v>
      </c>
      <c r="T13" s="3">
        <v>185726</v>
      </c>
      <c r="U13" s="3">
        <v>173386</v>
      </c>
      <c r="V13" s="3">
        <v>187446</v>
      </c>
      <c r="W13" s="3">
        <v>193911</v>
      </c>
      <c r="X13" s="3">
        <v>167404</v>
      </c>
      <c r="Y13" s="3">
        <v>204422</v>
      </c>
      <c r="Z13" s="3">
        <v>199685</v>
      </c>
      <c r="AA13" s="3">
        <v>219882</v>
      </c>
      <c r="AB13" s="3">
        <v>194255</v>
      </c>
      <c r="AC13" s="3">
        <v>193932</v>
      </c>
      <c r="AD13" s="3">
        <v>212688</v>
      </c>
      <c r="AE13" s="3">
        <v>225021</v>
      </c>
      <c r="AF13" s="3">
        <v>200575</v>
      </c>
      <c r="AG13" s="3">
        <v>195057</v>
      </c>
      <c r="AH13" s="3">
        <v>182853</v>
      </c>
      <c r="AI13" s="3">
        <v>192814</v>
      </c>
      <c r="AJ13" s="3">
        <v>184874</v>
      </c>
      <c r="AK13" s="3">
        <v>178059</v>
      </c>
      <c r="AL13" s="3">
        <v>188224</v>
      </c>
      <c r="AM13" s="3">
        <v>182260</v>
      </c>
      <c r="AN13" s="3">
        <v>197384</v>
      </c>
      <c r="AO13" s="3">
        <v>208590</v>
      </c>
      <c r="AP13" s="3">
        <v>222653</v>
      </c>
      <c r="AQ13" s="3">
        <v>209365</v>
      </c>
      <c r="AR13" s="3">
        <v>194208</v>
      </c>
      <c r="AS13" s="3">
        <v>207185</v>
      </c>
      <c r="AT13" s="3">
        <v>205895</v>
      </c>
      <c r="AU13" s="3">
        <v>207403</v>
      </c>
      <c r="AV13" s="3">
        <v>226032</v>
      </c>
      <c r="AW13" s="3">
        <v>213164</v>
      </c>
      <c r="AX13" s="3">
        <v>179907</v>
      </c>
      <c r="AY13" s="3">
        <v>204575</v>
      </c>
      <c r="AZ13" s="3">
        <v>96220</v>
      </c>
      <c r="BA13" s="3">
        <v>164218</v>
      </c>
      <c r="BB13" s="3">
        <v>203461</v>
      </c>
      <c r="BC13" s="3">
        <v>185917</v>
      </c>
      <c r="BD13" s="3">
        <v>194261</v>
      </c>
      <c r="BE13" s="3">
        <v>213346</v>
      </c>
      <c r="BF13" s="3">
        <v>213054</v>
      </c>
      <c r="BG13" s="3">
        <v>174251</v>
      </c>
      <c r="BH13" s="3">
        <v>177568</v>
      </c>
      <c r="BI13" s="3">
        <v>195928</v>
      </c>
      <c r="BJ13" s="3">
        <v>188448</v>
      </c>
      <c r="BK13" s="3">
        <v>202026</v>
      </c>
      <c r="BL13" s="3">
        <v>162298</v>
      </c>
      <c r="BM13" s="3">
        <v>180212</v>
      </c>
      <c r="BN13" s="3">
        <v>205648</v>
      </c>
      <c r="BO13" s="3">
        <v>205279</v>
      </c>
      <c r="BP13" s="3">
        <v>202567</v>
      </c>
      <c r="BQ13" s="3">
        <v>161466</v>
      </c>
      <c r="BR13" s="3">
        <v>179589</v>
      </c>
      <c r="BS13" s="3">
        <v>189372</v>
      </c>
      <c r="BT13" s="3">
        <v>169196</v>
      </c>
      <c r="BU13" s="3">
        <v>191809</v>
      </c>
      <c r="BV13" s="3">
        <v>192145</v>
      </c>
      <c r="BW13" s="3">
        <v>180621</v>
      </c>
      <c r="BX13" s="3">
        <v>213002</v>
      </c>
      <c r="BY13" s="3">
        <v>209312</v>
      </c>
      <c r="BZ13" s="3">
        <v>214938</v>
      </c>
      <c r="CA13" s="3">
        <v>229031</v>
      </c>
      <c r="CB13" s="3">
        <v>211269</v>
      </c>
      <c r="CC13" s="3">
        <v>205572</v>
      </c>
      <c r="CD13" s="3">
        <v>113312</v>
      </c>
      <c r="CE13" s="3">
        <v>214857</v>
      </c>
      <c r="CF13" s="3">
        <v>207339</v>
      </c>
      <c r="CG13" s="3">
        <v>170278</v>
      </c>
      <c r="CH13" s="3">
        <v>214867</v>
      </c>
      <c r="CI13" s="3">
        <v>223862</v>
      </c>
      <c r="CJ13" s="3">
        <v>170261</v>
      </c>
      <c r="CK13" s="3">
        <v>187935</v>
      </c>
      <c r="CL13" s="3">
        <v>205697</v>
      </c>
      <c r="CM13" s="3">
        <v>174941</v>
      </c>
      <c r="CN13" s="3">
        <v>198468</v>
      </c>
      <c r="CO13" s="3">
        <v>166017</v>
      </c>
      <c r="CP13" s="3">
        <v>194069</v>
      </c>
      <c r="CQ13" s="3">
        <v>206243</v>
      </c>
      <c r="CR13" s="3">
        <v>205201</v>
      </c>
      <c r="CS13" s="3">
        <v>210487</v>
      </c>
      <c r="CT13" s="3">
        <v>136816</v>
      </c>
      <c r="CU13" s="3">
        <v>185017</v>
      </c>
      <c r="CV13" s="3">
        <v>182124</v>
      </c>
      <c r="CW13" s="3">
        <v>136495</v>
      </c>
    </row>
    <row r="14" spans="1:101" x14ac:dyDescent="0.35">
      <c r="A14">
        <v>202301</v>
      </c>
      <c r="B14" s="3">
        <v>137437</v>
      </c>
      <c r="C14" s="3">
        <v>137561</v>
      </c>
      <c r="D14" s="3">
        <v>142169</v>
      </c>
      <c r="E14" s="3">
        <v>141425</v>
      </c>
      <c r="F14" s="3">
        <v>131758</v>
      </c>
      <c r="G14" s="3">
        <v>125065</v>
      </c>
      <c r="H14" s="3">
        <v>139572</v>
      </c>
      <c r="I14" s="3">
        <v>127806</v>
      </c>
      <c r="J14" s="3">
        <v>126664</v>
      </c>
      <c r="K14" s="3">
        <v>127246</v>
      </c>
      <c r="L14" s="3">
        <v>124166</v>
      </c>
      <c r="M14" s="3">
        <v>134212</v>
      </c>
      <c r="N14" s="3">
        <v>161240</v>
      </c>
      <c r="O14" s="3">
        <v>127318</v>
      </c>
      <c r="P14" s="3">
        <v>156812</v>
      </c>
      <c r="Q14" s="3">
        <v>137477</v>
      </c>
      <c r="R14" s="3">
        <v>121442</v>
      </c>
      <c r="S14" s="3">
        <v>145177</v>
      </c>
      <c r="T14" s="3">
        <v>133067</v>
      </c>
      <c r="U14" s="3">
        <v>126065</v>
      </c>
      <c r="V14" s="3">
        <v>133228</v>
      </c>
      <c r="W14" s="3">
        <v>141181</v>
      </c>
      <c r="X14" s="3">
        <v>124136</v>
      </c>
      <c r="Y14" s="3">
        <v>144451</v>
      </c>
      <c r="Z14" s="3">
        <v>142651</v>
      </c>
      <c r="AA14" s="3">
        <v>163147</v>
      </c>
      <c r="AB14" s="3">
        <v>142881</v>
      </c>
      <c r="AC14" s="3">
        <v>137012</v>
      </c>
      <c r="AD14" s="3">
        <v>150252</v>
      </c>
      <c r="AE14" s="3">
        <v>166629</v>
      </c>
      <c r="AF14" s="3">
        <v>142592</v>
      </c>
      <c r="AG14" s="3">
        <v>136596</v>
      </c>
      <c r="AH14" s="3">
        <v>136108</v>
      </c>
      <c r="AI14" s="3">
        <v>140562</v>
      </c>
      <c r="AJ14" s="3">
        <v>134600</v>
      </c>
      <c r="AK14" s="3">
        <v>125439</v>
      </c>
      <c r="AL14" s="3">
        <v>142618</v>
      </c>
      <c r="AM14" s="3">
        <v>136983</v>
      </c>
      <c r="AN14" s="3">
        <v>150209</v>
      </c>
      <c r="AO14" s="3">
        <v>148375</v>
      </c>
      <c r="AP14" s="3">
        <v>161597</v>
      </c>
      <c r="AQ14" s="3">
        <v>144353</v>
      </c>
      <c r="AR14" s="3">
        <v>138905</v>
      </c>
      <c r="AS14" s="3">
        <v>144694</v>
      </c>
      <c r="AT14" s="3">
        <v>139626</v>
      </c>
      <c r="AU14" s="3">
        <v>154524</v>
      </c>
      <c r="AV14" s="3">
        <v>157428</v>
      </c>
      <c r="AW14" s="3">
        <v>155542</v>
      </c>
      <c r="AX14" s="3">
        <v>129891</v>
      </c>
      <c r="AY14" s="3">
        <v>155101</v>
      </c>
      <c r="AZ14" s="3">
        <v>69424</v>
      </c>
      <c r="BA14" s="3">
        <v>111839</v>
      </c>
      <c r="BB14" s="3">
        <v>149343</v>
      </c>
      <c r="BC14" s="3">
        <v>129929</v>
      </c>
      <c r="BD14" s="3">
        <v>139701</v>
      </c>
      <c r="BE14" s="3">
        <v>154068</v>
      </c>
      <c r="BF14" s="3">
        <v>147769</v>
      </c>
      <c r="BG14" s="3">
        <v>131640</v>
      </c>
      <c r="BH14" s="3">
        <v>131899</v>
      </c>
      <c r="BI14" s="3">
        <v>138309</v>
      </c>
      <c r="BJ14" s="3">
        <v>134296</v>
      </c>
      <c r="BK14" s="3">
        <v>150677</v>
      </c>
      <c r="BL14" s="3">
        <v>119668</v>
      </c>
      <c r="BM14" s="3">
        <v>135614</v>
      </c>
      <c r="BN14" s="3">
        <v>150843</v>
      </c>
      <c r="BO14" s="3">
        <v>151867</v>
      </c>
      <c r="BP14" s="3">
        <v>154005</v>
      </c>
      <c r="BQ14" s="3">
        <v>122430</v>
      </c>
      <c r="BR14" s="3">
        <v>128354</v>
      </c>
      <c r="BS14" s="3">
        <v>143095</v>
      </c>
      <c r="BT14" s="3">
        <v>119200</v>
      </c>
      <c r="BU14" s="3">
        <v>136155</v>
      </c>
      <c r="BV14" s="3">
        <v>134309</v>
      </c>
      <c r="BW14" s="3">
        <v>130476</v>
      </c>
      <c r="BX14" s="3">
        <v>134020</v>
      </c>
      <c r="BY14" s="3">
        <v>154219</v>
      </c>
      <c r="BZ14" s="3">
        <v>153627</v>
      </c>
      <c r="CA14" s="3">
        <v>167730</v>
      </c>
      <c r="CB14" s="3">
        <v>156773</v>
      </c>
      <c r="CC14" s="3">
        <v>144647</v>
      </c>
      <c r="CD14" s="3">
        <v>80135</v>
      </c>
      <c r="CE14" s="3">
        <v>153683</v>
      </c>
      <c r="CF14" s="3">
        <v>145757</v>
      </c>
      <c r="CG14" s="3">
        <v>120713</v>
      </c>
      <c r="CH14" s="3">
        <v>151494</v>
      </c>
      <c r="CI14" s="3">
        <v>159949</v>
      </c>
      <c r="CJ14" s="3">
        <v>126408</v>
      </c>
      <c r="CK14" s="3">
        <v>136775</v>
      </c>
      <c r="CL14" s="3">
        <v>150685</v>
      </c>
      <c r="CM14" s="3">
        <v>124820</v>
      </c>
      <c r="CN14" s="3">
        <v>147617</v>
      </c>
      <c r="CO14" s="3">
        <v>113796</v>
      </c>
      <c r="CP14" s="3">
        <v>133762</v>
      </c>
      <c r="CQ14" s="3">
        <v>147075</v>
      </c>
      <c r="CR14" s="3">
        <v>146851</v>
      </c>
      <c r="CS14" s="3">
        <v>155859</v>
      </c>
      <c r="CT14" s="3">
        <v>120057</v>
      </c>
      <c r="CU14" s="3">
        <v>136674</v>
      </c>
      <c r="CV14" s="3">
        <v>133210</v>
      </c>
      <c r="CW14" s="3">
        <v>94167</v>
      </c>
    </row>
    <row r="15" spans="1:101" x14ac:dyDescent="0.35">
      <c r="A15">
        <v>202302</v>
      </c>
      <c r="B15" s="3">
        <v>156622</v>
      </c>
      <c r="C15" s="3">
        <v>157802</v>
      </c>
      <c r="D15" s="3">
        <v>166102</v>
      </c>
      <c r="E15" s="3">
        <v>162344</v>
      </c>
      <c r="F15" s="3">
        <v>160490</v>
      </c>
      <c r="G15" s="3">
        <v>135878</v>
      </c>
      <c r="H15" s="3">
        <v>166420</v>
      </c>
      <c r="I15" s="3">
        <v>138537</v>
      </c>
      <c r="J15" s="3">
        <v>142997</v>
      </c>
      <c r="K15" s="3">
        <v>147154</v>
      </c>
      <c r="L15" s="3">
        <v>141197</v>
      </c>
      <c r="M15" s="3">
        <v>155920</v>
      </c>
      <c r="N15" s="3">
        <v>192123</v>
      </c>
      <c r="O15" s="3">
        <v>145831</v>
      </c>
      <c r="P15" s="3">
        <v>171135</v>
      </c>
      <c r="Q15" s="3">
        <v>133931</v>
      </c>
      <c r="R15" s="3">
        <v>142546</v>
      </c>
      <c r="S15" s="3">
        <v>161586</v>
      </c>
      <c r="T15" s="3">
        <v>141327</v>
      </c>
      <c r="U15" s="3">
        <v>143069</v>
      </c>
      <c r="V15" s="3">
        <v>163418</v>
      </c>
      <c r="W15" s="3">
        <v>161053</v>
      </c>
      <c r="X15" s="3">
        <v>136651</v>
      </c>
      <c r="Y15" s="3">
        <v>165525</v>
      </c>
      <c r="Z15" s="3">
        <v>164131</v>
      </c>
      <c r="AA15" s="3">
        <v>192566</v>
      </c>
      <c r="AB15" s="3">
        <v>161535</v>
      </c>
      <c r="AC15" s="3">
        <v>159386</v>
      </c>
      <c r="AD15" s="3">
        <v>174267</v>
      </c>
      <c r="AE15" s="3">
        <v>178617</v>
      </c>
      <c r="AF15" s="3">
        <v>157467</v>
      </c>
      <c r="AG15" s="3">
        <v>153117</v>
      </c>
      <c r="AH15" s="3">
        <v>145368</v>
      </c>
      <c r="AI15" s="3">
        <v>160689</v>
      </c>
      <c r="AJ15" s="3">
        <v>154997</v>
      </c>
      <c r="AK15" s="3">
        <v>143514</v>
      </c>
      <c r="AL15" s="3">
        <v>159563</v>
      </c>
      <c r="AM15" s="3">
        <v>151859</v>
      </c>
      <c r="AN15" s="3">
        <v>170232</v>
      </c>
      <c r="AO15" s="3">
        <v>167669</v>
      </c>
      <c r="AP15" s="3">
        <v>175215</v>
      </c>
      <c r="AQ15" s="3">
        <v>166008</v>
      </c>
      <c r="AR15" s="3">
        <v>156924</v>
      </c>
      <c r="AS15" s="3">
        <v>174318</v>
      </c>
      <c r="AT15" s="3">
        <v>173043</v>
      </c>
      <c r="AU15" s="3">
        <v>175165</v>
      </c>
      <c r="AV15" s="3">
        <v>191896</v>
      </c>
      <c r="AW15" s="3">
        <v>171037</v>
      </c>
      <c r="AX15" s="3">
        <v>148855</v>
      </c>
      <c r="AY15" s="3">
        <v>169420</v>
      </c>
      <c r="AZ15" s="3">
        <v>81630</v>
      </c>
      <c r="BA15" s="3">
        <v>135689</v>
      </c>
      <c r="BB15" s="3">
        <v>174616</v>
      </c>
      <c r="BC15" s="3">
        <v>154881</v>
      </c>
      <c r="BD15" s="3">
        <v>161748</v>
      </c>
      <c r="BE15" s="3">
        <v>175870</v>
      </c>
      <c r="BF15" s="3">
        <v>171905</v>
      </c>
      <c r="BG15" s="3">
        <v>140538</v>
      </c>
      <c r="BH15" s="3">
        <v>143647</v>
      </c>
      <c r="BI15" s="3">
        <v>155495</v>
      </c>
      <c r="BJ15" s="3">
        <v>158448</v>
      </c>
      <c r="BK15" s="3">
        <v>166012</v>
      </c>
      <c r="BL15" s="3">
        <v>138244</v>
      </c>
      <c r="BM15" s="3">
        <v>150295</v>
      </c>
      <c r="BN15" s="3">
        <v>173429</v>
      </c>
      <c r="BO15" s="3">
        <v>179434</v>
      </c>
      <c r="BP15" s="3">
        <v>173463</v>
      </c>
      <c r="BQ15" s="3">
        <v>132011</v>
      </c>
      <c r="BR15" s="3">
        <v>149709</v>
      </c>
      <c r="BS15" s="3">
        <v>154615</v>
      </c>
      <c r="BT15" s="3">
        <v>137761</v>
      </c>
      <c r="BU15" s="3">
        <v>154135</v>
      </c>
      <c r="BV15" s="3">
        <v>164242</v>
      </c>
      <c r="BW15" s="3">
        <v>141756</v>
      </c>
      <c r="BX15" s="3">
        <v>165509</v>
      </c>
      <c r="BY15" s="3">
        <v>172625</v>
      </c>
      <c r="BZ15" s="3">
        <v>173939</v>
      </c>
      <c r="CA15" s="3">
        <v>189229</v>
      </c>
      <c r="CB15" s="3">
        <v>172729</v>
      </c>
      <c r="CC15" s="3">
        <v>168162</v>
      </c>
      <c r="CD15" s="3">
        <v>91872</v>
      </c>
      <c r="CE15" s="3">
        <v>171823</v>
      </c>
      <c r="CF15" s="3">
        <v>157785</v>
      </c>
      <c r="CG15" s="3">
        <v>142867</v>
      </c>
      <c r="CH15" s="3">
        <v>180688</v>
      </c>
      <c r="CI15" s="3">
        <v>180006</v>
      </c>
      <c r="CJ15" s="3">
        <v>137805</v>
      </c>
      <c r="CK15" s="3">
        <v>153990</v>
      </c>
      <c r="CL15" s="3">
        <v>172960</v>
      </c>
      <c r="CM15" s="3">
        <v>145924</v>
      </c>
      <c r="CN15" s="3">
        <v>161418</v>
      </c>
      <c r="CO15" s="3">
        <v>133908</v>
      </c>
      <c r="CP15" s="3">
        <v>153407</v>
      </c>
      <c r="CQ15" s="3">
        <v>166816</v>
      </c>
      <c r="CR15" s="3">
        <v>160324</v>
      </c>
      <c r="CS15" s="3">
        <v>171896</v>
      </c>
      <c r="CT15" s="3">
        <v>139955</v>
      </c>
      <c r="CU15" s="3">
        <v>144936</v>
      </c>
      <c r="CV15" s="3">
        <v>147321</v>
      </c>
      <c r="CW15" s="3">
        <v>110221</v>
      </c>
    </row>
    <row r="16" spans="1:101" x14ac:dyDescent="0.35">
      <c r="A16">
        <v>202303</v>
      </c>
      <c r="B16" s="3">
        <v>168201</v>
      </c>
      <c r="C16" s="3">
        <v>183544</v>
      </c>
      <c r="D16" s="3">
        <v>191149</v>
      </c>
      <c r="E16" s="3">
        <v>194849</v>
      </c>
      <c r="F16" s="3">
        <v>189210</v>
      </c>
      <c r="G16" s="3">
        <v>157080</v>
      </c>
      <c r="H16" s="3">
        <v>196652</v>
      </c>
      <c r="I16" s="3">
        <v>168040</v>
      </c>
      <c r="J16" s="3">
        <v>173116</v>
      </c>
      <c r="K16" s="3">
        <v>182905</v>
      </c>
      <c r="L16" s="3">
        <v>172575</v>
      </c>
      <c r="M16" s="3">
        <v>176453</v>
      </c>
      <c r="N16" s="3">
        <v>220985</v>
      </c>
      <c r="O16" s="3">
        <v>171077</v>
      </c>
      <c r="P16" s="3">
        <v>198562</v>
      </c>
      <c r="Q16" s="3">
        <v>170926</v>
      </c>
      <c r="R16" s="3">
        <v>164195</v>
      </c>
      <c r="S16" s="3">
        <v>188965</v>
      </c>
      <c r="T16" s="3">
        <v>177337</v>
      </c>
      <c r="U16" s="3">
        <v>170991</v>
      </c>
      <c r="V16" s="3">
        <v>166063</v>
      </c>
      <c r="W16" s="3">
        <v>182441</v>
      </c>
      <c r="X16" s="3">
        <v>165636</v>
      </c>
      <c r="Y16" s="3">
        <v>193705</v>
      </c>
      <c r="Z16" s="3">
        <v>186953</v>
      </c>
      <c r="AA16" s="3">
        <v>205123</v>
      </c>
      <c r="AB16" s="3">
        <v>192623</v>
      </c>
      <c r="AC16" s="3">
        <v>177900</v>
      </c>
      <c r="AD16" s="3">
        <v>210355</v>
      </c>
      <c r="AE16" s="3">
        <v>228620</v>
      </c>
      <c r="AF16" s="3">
        <v>175120</v>
      </c>
      <c r="AG16" s="3">
        <v>185161</v>
      </c>
      <c r="AH16" s="3">
        <v>171405</v>
      </c>
      <c r="AI16" s="3">
        <v>187416</v>
      </c>
      <c r="AJ16" s="3">
        <v>178784</v>
      </c>
      <c r="AK16" s="3">
        <v>166786</v>
      </c>
      <c r="AL16" s="3">
        <v>187433</v>
      </c>
      <c r="AM16" s="3">
        <v>173718</v>
      </c>
      <c r="AN16" s="3">
        <v>193590</v>
      </c>
      <c r="AO16" s="3">
        <v>205318</v>
      </c>
      <c r="AP16" s="3">
        <v>217645</v>
      </c>
      <c r="AQ16" s="3">
        <v>183201</v>
      </c>
      <c r="AR16" s="3">
        <v>187880</v>
      </c>
      <c r="AS16" s="3">
        <v>205751</v>
      </c>
      <c r="AT16" s="3">
        <v>194847</v>
      </c>
      <c r="AU16" s="3">
        <v>198974</v>
      </c>
      <c r="AV16" s="3">
        <v>204405</v>
      </c>
      <c r="AW16" s="3">
        <v>198164</v>
      </c>
      <c r="AX16" s="3">
        <v>176686</v>
      </c>
      <c r="AY16" s="3">
        <v>200159</v>
      </c>
      <c r="AZ16" s="3">
        <v>94852</v>
      </c>
      <c r="BA16" s="3">
        <v>162916</v>
      </c>
      <c r="BB16" s="3">
        <v>203712</v>
      </c>
      <c r="BC16" s="3">
        <v>162035</v>
      </c>
      <c r="BD16" s="3">
        <v>182403</v>
      </c>
      <c r="BE16" s="3">
        <v>200107</v>
      </c>
      <c r="BF16" s="3">
        <v>205461</v>
      </c>
      <c r="BG16" s="3">
        <v>164353</v>
      </c>
      <c r="BH16" s="3">
        <v>177455</v>
      </c>
      <c r="BI16" s="3">
        <v>187544</v>
      </c>
      <c r="BJ16" s="3">
        <v>182478</v>
      </c>
      <c r="BK16" s="3">
        <v>197245</v>
      </c>
      <c r="BL16" s="3">
        <v>143299</v>
      </c>
      <c r="BM16" s="3">
        <v>176601</v>
      </c>
      <c r="BN16" s="3">
        <v>197738</v>
      </c>
      <c r="BO16" s="3">
        <v>200781</v>
      </c>
      <c r="BP16" s="3">
        <v>198174</v>
      </c>
      <c r="BQ16" s="3">
        <v>161392</v>
      </c>
      <c r="BR16" s="3">
        <v>170233</v>
      </c>
      <c r="BS16" s="3">
        <v>190494</v>
      </c>
      <c r="BT16" s="3">
        <v>156614</v>
      </c>
      <c r="BU16" s="3">
        <v>183572</v>
      </c>
      <c r="BV16" s="3">
        <v>179146</v>
      </c>
      <c r="BW16" s="3">
        <v>177515</v>
      </c>
      <c r="BX16" s="3">
        <v>188520</v>
      </c>
      <c r="BY16" s="3">
        <v>207019</v>
      </c>
      <c r="BZ16" s="3">
        <v>209732</v>
      </c>
      <c r="CA16" s="3">
        <v>215055</v>
      </c>
      <c r="CB16" s="3">
        <v>199380</v>
      </c>
      <c r="CC16" s="3">
        <v>203127</v>
      </c>
      <c r="CD16" s="3">
        <v>104219</v>
      </c>
      <c r="CE16" s="3">
        <v>204962</v>
      </c>
      <c r="CF16" s="3">
        <v>196184</v>
      </c>
      <c r="CG16" s="3">
        <v>161958</v>
      </c>
      <c r="CH16" s="3">
        <v>199020</v>
      </c>
      <c r="CI16" s="3">
        <v>220407</v>
      </c>
      <c r="CJ16" s="3">
        <v>170297</v>
      </c>
      <c r="CK16" s="3">
        <v>180209</v>
      </c>
      <c r="CL16" s="3">
        <v>189224</v>
      </c>
      <c r="CM16" s="3">
        <v>164845</v>
      </c>
      <c r="CN16" s="3">
        <v>186922</v>
      </c>
      <c r="CO16" s="3">
        <v>157836</v>
      </c>
      <c r="CP16" s="3">
        <v>182712</v>
      </c>
      <c r="CQ16" s="3">
        <v>201609</v>
      </c>
      <c r="CR16" s="3">
        <v>199496</v>
      </c>
      <c r="CS16" s="3">
        <v>206722</v>
      </c>
      <c r="CT16" s="3">
        <v>161850</v>
      </c>
      <c r="CU16" s="3">
        <v>178467</v>
      </c>
      <c r="CV16" s="3">
        <v>176768</v>
      </c>
      <c r="CW16" s="3">
        <v>127622</v>
      </c>
    </row>
    <row r="17" spans="1:101" x14ac:dyDescent="0.35">
      <c r="A17">
        <v>202304</v>
      </c>
      <c r="B17" s="3">
        <v>209465</v>
      </c>
      <c r="C17" s="3">
        <v>220535</v>
      </c>
      <c r="D17" s="3">
        <v>225980</v>
      </c>
      <c r="E17" s="3">
        <v>223047</v>
      </c>
      <c r="F17" s="3">
        <v>223987</v>
      </c>
      <c r="G17" s="3">
        <v>185734</v>
      </c>
      <c r="H17" s="3">
        <v>233372</v>
      </c>
      <c r="I17" s="3">
        <v>194159</v>
      </c>
      <c r="J17" s="3">
        <v>190790</v>
      </c>
      <c r="K17" s="3">
        <v>209710</v>
      </c>
      <c r="L17" s="3">
        <v>196781</v>
      </c>
      <c r="M17" s="3">
        <v>198716</v>
      </c>
      <c r="N17" s="3">
        <v>245579</v>
      </c>
      <c r="O17" s="3">
        <v>197408</v>
      </c>
      <c r="P17" s="3">
        <v>232198</v>
      </c>
      <c r="Q17" s="3">
        <v>213718</v>
      </c>
      <c r="R17" s="3">
        <v>186354</v>
      </c>
      <c r="S17" s="3">
        <v>225085</v>
      </c>
      <c r="T17" s="3">
        <v>208498</v>
      </c>
      <c r="U17" s="3">
        <v>190772</v>
      </c>
      <c r="V17" s="3">
        <v>210702</v>
      </c>
      <c r="W17" s="3">
        <v>214511</v>
      </c>
      <c r="X17" s="3">
        <v>205842</v>
      </c>
      <c r="Y17" s="3">
        <v>220626</v>
      </c>
      <c r="Z17" s="3">
        <v>223306</v>
      </c>
      <c r="AA17" s="3">
        <v>256294</v>
      </c>
      <c r="AB17" s="3">
        <v>227129</v>
      </c>
      <c r="AC17" s="3">
        <v>212012</v>
      </c>
      <c r="AD17" s="3">
        <v>241658</v>
      </c>
      <c r="AE17" s="3">
        <v>248647</v>
      </c>
      <c r="AF17" s="3">
        <v>213485</v>
      </c>
      <c r="AG17" s="3">
        <v>219053</v>
      </c>
      <c r="AH17" s="3">
        <v>201737</v>
      </c>
      <c r="AI17" s="3">
        <v>227468</v>
      </c>
      <c r="AJ17" s="3">
        <v>204344</v>
      </c>
      <c r="AK17" s="3">
        <v>204720</v>
      </c>
      <c r="AL17" s="3">
        <v>215917</v>
      </c>
      <c r="AM17" s="3">
        <v>206271</v>
      </c>
      <c r="AN17" s="3">
        <v>229265</v>
      </c>
      <c r="AO17" s="3">
        <v>235234</v>
      </c>
      <c r="AP17" s="3">
        <v>251657</v>
      </c>
      <c r="AQ17" s="3">
        <v>221632</v>
      </c>
      <c r="AR17" s="3">
        <v>215879</v>
      </c>
      <c r="AS17" s="3">
        <v>228822</v>
      </c>
      <c r="AT17" s="3">
        <v>234371</v>
      </c>
      <c r="AU17" s="3">
        <v>247283</v>
      </c>
      <c r="AV17" s="3">
        <v>241469</v>
      </c>
      <c r="AW17" s="3">
        <v>236338</v>
      </c>
      <c r="AX17" s="3">
        <v>206242</v>
      </c>
      <c r="AY17" s="3">
        <v>238510</v>
      </c>
      <c r="AZ17" s="3">
        <v>106252</v>
      </c>
      <c r="BA17" s="3">
        <v>187913</v>
      </c>
      <c r="BB17" s="3">
        <v>243985</v>
      </c>
      <c r="BC17" s="3">
        <v>189786</v>
      </c>
      <c r="BD17" s="3">
        <v>217798</v>
      </c>
      <c r="BE17" s="3">
        <v>249463</v>
      </c>
      <c r="BF17" s="3">
        <v>235281</v>
      </c>
      <c r="BG17" s="3">
        <v>204525</v>
      </c>
      <c r="BH17" s="3">
        <v>209512</v>
      </c>
      <c r="BI17" s="3">
        <v>215055</v>
      </c>
      <c r="BJ17" s="3">
        <v>209511</v>
      </c>
      <c r="BK17" s="3">
        <v>234747</v>
      </c>
      <c r="BL17" s="3">
        <v>196405</v>
      </c>
      <c r="BM17" s="3">
        <v>205366</v>
      </c>
      <c r="BN17" s="3">
        <v>228730</v>
      </c>
      <c r="BO17" s="3">
        <v>233798</v>
      </c>
      <c r="BP17" s="3">
        <v>221827</v>
      </c>
      <c r="BQ17" s="3">
        <v>177805</v>
      </c>
      <c r="BR17" s="3">
        <v>198816</v>
      </c>
      <c r="BS17" s="3">
        <v>215587</v>
      </c>
      <c r="BT17" s="3">
        <v>189431</v>
      </c>
      <c r="BU17" s="3">
        <v>211670</v>
      </c>
      <c r="BV17" s="3">
        <v>217037</v>
      </c>
      <c r="BW17" s="3">
        <v>204600</v>
      </c>
      <c r="BX17" s="3">
        <v>226745</v>
      </c>
      <c r="BY17" s="3">
        <v>242445</v>
      </c>
      <c r="BZ17" s="3">
        <v>242880</v>
      </c>
      <c r="CA17" s="3">
        <v>270591</v>
      </c>
      <c r="CB17" s="3">
        <v>234011</v>
      </c>
      <c r="CC17" s="3">
        <v>222658</v>
      </c>
      <c r="CD17" s="3">
        <v>127172</v>
      </c>
      <c r="CE17" s="3">
        <v>237453</v>
      </c>
      <c r="CF17" s="3">
        <v>219262</v>
      </c>
      <c r="CG17" s="3">
        <v>186549</v>
      </c>
      <c r="CH17" s="3">
        <v>238577</v>
      </c>
      <c r="CI17" s="3">
        <v>246619</v>
      </c>
      <c r="CJ17" s="3">
        <v>191357</v>
      </c>
      <c r="CK17" s="3">
        <v>216964</v>
      </c>
      <c r="CL17" s="3">
        <v>234665</v>
      </c>
      <c r="CM17" s="3">
        <v>199469</v>
      </c>
      <c r="CN17" s="3">
        <v>222727</v>
      </c>
      <c r="CO17" s="3">
        <v>187536</v>
      </c>
      <c r="CP17" s="3">
        <v>205334</v>
      </c>
      <c r="CQ17" s="3">
        <v>230740</v>
      </c>
      <c r="CR17" s="3">
        <v>239355</v>
      </c>
      <c r="CS17" s="3">
        <v>245302</v>
      </c>
      <c r="CT17" s="3">
        <v>189493</v>
      </c>
      <c r="CU17" s="3">
        <v>211754</v>
      </c>
      <c r="CV17" s="3">
        <v>210373</v>
      </c>
      <c r="CW17" s="3">
        <v>150610</v>
      </c>
    </row>
    <row r="18" spans="1:101" x14ac:dyDescent="0.35">
      <c r="A18">
        <v>202305</v>
      </c>
      <c r="B18" s="3">
        <v>233849</v>
      </c>
      <c r="C18" s="3">
        <v>238566</v>
      </c>
      <c r="D18" s="3">
        <v>249831</v>
      </c>
      <c r="E18" s="3">
        <v>251348</v>
      </c>
      <c r="F18" s="3">
        <v>243453</v>
      </c>
      <c r="G18" s="3">
        <v>215344</v>
      </c>
      <c r="H18" s="3">
        <v>250167</v>
      </c>
      <c r="I18" s="3">
        <v>215691</v>
      </c>
      <c r="J18" s="3">
        <v>219644</v>
      </c>
      <c r="K18" s="3">
        <v>229913</v>
      </c>
      <c r="L18" s="3">
        <v>204053</v>
      </c>
      <c r="M18" s="3">
        <v>219266</v>
      </c>
      <c r="N18" s="3">
        <v>285017</v>
      </c>
      <c r="O18" s="3">
        <v>221397</v>
      </c>
      <c r="P18" s="3">
        <v>272182</v>
      </c>
      <c r="Q18" s="3">
        <v>233468</v>
      </c>
      <c r="R18" s="3">
        <v>213840</v>
      </c>
      <c r="S18" s="3">
        <v>225039</v>
      </c>
      <c r="T18" s="3">
        <v>235099</v>
      </c>
      <c r="U18" s="3">
        <v>201096</v>
      </c>
      <c r="V18" s="3">
        <v>232647</v>
      </c>
      <c r="W18" s="3">
        <v>243169</v>
      </c>
      <c r="X18" s="3">
        <v>222744</v>
      </c>
      <c r="Y18" s="3">
        <v>247389</v>
      </c>
      <c r="Z18" s="3">
        <v>241348</v>
      </c>
      <c r="AA18" s="3">
        <v>267083</v>
      </c>
      <c r="AB18" s="3">
        <v>233142</v>
      </c>
      <c r="AC18" s="3">
        <v>239008</v>
      </c>
      <c r="AD18" s="3">
        <v>257018</v>
      </c>
      <c r="AE18" s="3">
        <v>286794</v>
      </c>
      <c r="AF18" s="3">
        <v>237743</v>
      </c>
      <c r="AG18" s="3">
        <v>245211</v>
      </c>
      <c r="AH18" s="3">
        <v>224435</v>
      </c>
      <c r="AI18" s="3">
        <v>253974</v>
      </c>
      <c r="AJ18" s="3">
        <v>235521</v>
      </c>
      <c r="AK18" s="3">
        <v>216527</v>
      </c>
      <c r="AL18" s="3">
        <v>242695</v>
      </c>
      <c r="AM18" s="3">
        <v>234109</v>
      </c>
      <c r="AN18" s="3">
        <v>259913</v>
      </c>
      <c r="AO18" s="3">
        <v>266859</v>
      </c>
      <c r="AP18" s="3">
        <v>277429</v>
      </c>
      <c r="AQ18" s="3">
        <v>246707</v>
      </c>
      <c r="AR18" s="3">
        <v>235959</v>
      </c>
      <c r="AS18" s="3">
        <v>267309</v>
      </c>
      <c r="AT18" s="3">
        <v>261247</v>
      </c>
      <c r="AU18" s="3">
        <v>263047</v>
      </c>
      <c r="AV18" s="3">
        <v>278239</v>
      </c>
      <c r="AW18" s="3">
        <v>252151</v>
      </c>
      <c r="AX18" s="3">
        <v>230305</v>
      </c>
      <c r="AY18" s="3">
        <v>261276</v>
      </c>
      <c r="AZ18" s="3">
        <v>117634</v>
      </c>
      <c r="BA18" s="3">
        <v>211966</v>
      </c>
      <c r="BB18" s="3">
        <v>275044</v>
      </c>
      <c r="BC18" s="3">
        <v>226615</v>
      </c>
      <c r="BD18" s="3">
        <v>248267</v>
      </c>
      <c r="BE18" s="3">
        <v>263904</v>
      </c>
      <c r="BF18" s="3">
        <v>261367</v>
      </c>
      <c r="BG18" s="3">
        <v>219764</v>
      </c>
      <c r="BH18" s="3">
        <v>215923</v>
      </c>
      <c r="BI18" s="3">
        <v>246450</v>
      </c>
      <c r="BJ18" s="3">
        <v>225593</v>
      </c>
      <c r="BK18" s="3">
        <v>255353</v>
      </c>
      <c r="BL18" s="3">
        <v>213176</v>
      </c>
      <c r="BM18" s="3">
        <v>241991</v>
      </c>
      <c r="BN18" s="3">
        <v>260884</v>
      </c>
      <c r="BO18" s="3">
        <v>271699</v>
      </c>
      <c r="BP18" s="3">
        <v>247617</v>
      </c>
      <c r="BQ18" s="3">
        <v>202317</v>
      </c>
      <c r="BR18" s="3">
        <v>223774</v>
      </c>
      <c r="BS18" s="3">
        <v>230179</v>
      </c>
      <c r="BT18" s="3">
        <v>208304</v>
      </c>
      <c r="BU18" s="3">
        <v>249607</v>
      </c>
      <c r="BV18" s="3">
        <v>242309</v>
      </c>
      <c r="BW18" s="3">
        <v>221158</v>
      </c>
      <c r="BX18" s="3">
        <v>254867</v>
      </c>
      <c r="BY18" s="3">
        <v>275926</v>
      </c>
      <c r="BZ18" s="3">
        <v>268588</v>
      </c>
      <c r="CA18" s="3">
        <v>284512</v>
      </c>
      <c r="CB18" s="3">
        <v>261913</v>
      </c>
      <c r="CC18" s="3">
        <v>257679</v>
      </c>
      <c r="CD18" s="3">
        <v>142877</v>
      </c>
      <c r="CE18" s="3">
        <v>262650</v>
      </c>
      <c r="CF18" s="3">
        <v>243310</v>
      </c>
      <c r="CG18" s="3">
        <v>220826</v>
      </c>
      <c r="CH18" s="3">
        <v>265524</v>
      </c>
      <c r="CI18" s="3">
        <v>293898</v>
      </c>
      <c r="CJ18" s="3">
        <v>207254</v>
      </c>
      <c r="CK18" s="3">
        <v>238185</v>
      </c>
      <c r="CL18" s="3">
        <v>260913</v>
      </c>
      <c r="CM18" s="3">
        <v>213638</v>
      </c>
      <c r="CN18" s="3">
        <v>241296</v>
      </c>
      <c r="CO18" s="3">
        <v>206669</v>
      </c>
      <c r="CP18" s="3">
        <v>235156</v>
      </c>
      <c r="CQ18" s="3">
        <v>275850</v>
      </c>
      <c r="CR18" s="3">
        <v>255735</v>
      </c>
      <c r="CS18" s="3">
        <v>274555</v>
      </c>
      <c r="CT18" s="3">
        <v>210357</v>
      </c>
      <c r="CU18" s="3">
        <v>240032</v>
      </c>
      <c r="CV18" s="3">
        <v>225917</v>
      </c>
      <c r="CW18" s="3">
        <v>169892</v>
      </c>
    </row>
    <row r="19" spans="1:101" x14ac:dyDescent="0.35">
      <c r="A19">
        <v>202306</v>
      </c>
      <c r="B19" s="3">
        <v>248819</v>
      </c>
      <c r="C19" s="3">
        <v>251483</v>
      </c>
      <c r="D19" s="3">
        <v>254827</v>
      </c>
      <c r="E19" s="3">
        <v>255604</v>
      </c>
      <c r="F19" s="3">
        <v>234476</v>
      </c>
      <c r="G19" s="3">
        <v>216957</v>
      </c>
      <c r="H19" s="3">
        <v>255200</v>
      </c>
      <c r="I19" s="3">
        <v>233663</v>
      </c>
      <c r="J19" s="3">
        <v>229500</v>
      </c>
      <c r="K19" s="3">
        <v>235031</v>
      </c>
      <c r="L19" s="3">
        <v>219532</v>
      </c>
      <c r="M19" s="3">
        <v>239157</v>
      </c>
      <c r="N19" s="3">
        <v>296976</v>
      </c>
      <c r="O19" s="3">
        <v>225655</v>
      </c>
      <c r="P19" s="3">
        <v>271345</v>
      </c>
      <c r="Q19" s="3">
        <v>219362</v>
      </c>
      <c r="R19" s="3">
        <v>216526</v>
      </c>
      <c r="S19" s="3">
        <v>248681</v>
      </c>
      <c r="T19" s="3">
        <v>238693</v>
      </c>
      <c r="U19" s="3">
        <v>232153</v>
      </c>
      <c r="V19" s="3">
        <v>242410</v>
      </c>
      <c r="W19" s="3">
        <v>250166</v>
      </c>
      <c r="X19" s="3">
        <v>226712</v>
      </c>
      <c r="Y19" s="3">
        <v>256147</v>
      </c>
      <c r="Z19" s="3">
        <v>248304</v>
      </c>
      <c r="AA19" s="3">
        <v>284428</v>
      </c>
      <c r="AB19" s="3">
        <v>271968</v>
      </c>
      <c r="AC19" s="3">
        <v>256718</v>
      </c>
      <c r="AD19" s="3">
        <v>274782</v>
      </c>
      <c r="AE19" s="3">
        <v>289550</v>
      </c>
      <c r="AF19" s="3">
        <v>246491</v>
      </c>
      <c r="AG19" s="3">
        <v>249945</v>
      </c>
      <c r="AH19" s="3">
        <v>241152</v>
      </c>
      <c r="AI19" s="3">
        <v>252403</v>
      </c>
      <c r="AJ19" s="3">
        <v>233972</v>
      </c>
      <c r="AK19" s="3">
        <v>230564</v>
      </c>
      <c r="AL19" s="3">
        <v>247507</v>
      </c>
      <c r="AM19" s="3">
        <v>240270</v>
      </c>
      <c r="AN19" s="3">
        <v>266283</v>
      </c>
      <c r="AO19" s="3">
        <v>269755</v>
      </c>
      <c r="AP19" s="3">
        <v>281720</v>
      </c>
      <c r="AQ19" s="3">
        <v>242014</v>
      </c>
      <c r="AR19" s="3">
        <v>251245</v>
      </c>
      <c r="AS19" s="3">
        <v>284475</v>
      </c>
      <c r="AT19" s="3">
        <v>270765</v>
      </c>
      <c r="AU19" s="3">
        <v>294208</v>
      </c>
      <c r="AV19" s="3">
        <v>269760</v>
      </c>
      <c r="AW19" s="3">
        <v>271588</v>
      </c>
      <c r="AX19" s="3">
        <v>235208</v>
      </c>
      <c r="AY19" s="3">
        <v>261995</v>
      </c>
      <c r="AZ19" s="3">
        <v>122511</v>
      </c>
      <c r="BA19" s="3">
        <v>207602</v>
      </c>
      <c r="BB19" s="3">
        <v>268738</v>
      </c>
      <c r="BC19" s="3">
        <v>224760</v>
      </c>
      <c r="BD19" s="3">
        <v>254284</v>
      </c>
      <c r="BE19" s="3">
        <v>278098</v>
      </c>
      <c r="BF19" s="3">
        <v>267278</v>
      </c>
      <c r="BG19" s="3">
        <v>226499</v>
      </c>
      <c r="BH19" s="3">
        <v>229261</v>
      </c>
      <c r="BI19" s="3">
        <v>248126</v>
      </c>
      <c r="BJ19" s="3">
        <v>241605</v>
      </c>
      <c r="BK19" s="3">
        <v>256375</v>
      </c>
      <c r="BL19" s="3">
        <v>212080</v>
      </c>
      <c r="BM19" s="3">
        <v>254650</v>
      </c>
      <c r="BN19" s="3">
        <v>266040</v>
      </c>
      <c r="BO19" s="3">
        <v>277640</v>
      </c>
      <c r="BP19" s="3">
        <v>261566</v>
      </c>
      <c r="BQ19" s="3">
        <v>203795</v>
      </c>
      <c r="BR19" s="3">
        <v>222590</v>
      </c>
      <c r="BS19" s="3">
        <v>246800</v>
      </c>
      <c r="BT19" s="3">
        <v>217124</v>
      </c>
      <c r="BU19" s="3">
        <v>240333</v>
      </c>
      <c r="BV19" s="3">
        <v>254278</v>
      </c>
      <c r="BW19" s="3">
        <v>231800</v>
      </c>
      <c r="BX19" s="3">
        <v>253810</v>
      </c>
      <c r="BY19" s="3">
        <v>285892</v>
      </c>
      <c r="BZ19" s="3">
        <v>287401</v>
      </c>
      <c r="CA19" s="3">
        <v>281470</v>
      </c>
      <c r="CB19" s="3">
        <v>272204</v>
      </c>
      <c r="CC19" s="3">
        <v>250947</v>
      </c>
      <c r="CD19" s="3">
        <v>147343</v>
      </c>
      <c r="CE19" s="3">
        <v>295672</v>
      </c>
      <c r="CF19" s="3">
        <v>255053</v>
      </c>
      <c r="CG19" s="3">
        <v>226131</v>
      </c>
      <c r="CH19" s="3">
        <v>270566</v>
      </c>
      <c r="CI19" s="3">
        <v>306230</v>
      </c>
      <c r="CJ19" s="3">
        <v>218635</v>
      </c>
      <c r="CK19" s="3">
        <v>251289</v>
      </c>
      <c r="CL19" s="3">
        <v>277789</v>
      </c>
      <c r="CM19" s="3">
        <v>224590</v>
      </c>
      <c r="CN19" s="3">
        <v>261313</v>
      </c>
      <c r="CO19" s="3">
        <v>207604</v>
      </c>
      <c r="CP19" s="3">
        <v>246222</v>
      </c>
      <c r="CQ19" s="3">
        <v>254559</v>
      </c>
      <c r="CR19" s="3">
        <v>285486</v>
      </c>
      <c r="CS19" s="3">
        <v>274140</v>
      </c>
      <c r="CT19" s="3">
        <v>229789</v>
      </c>
      <c r="CU19" s="3">
        <v>246472</v>
      </c>
      <c r="CV19" s="3">
        <v>247121</v>
      </c>
      <c r="CW19" s="3">
        <v>173464</v>
      </c>
    </row>
    <row r="20" spans="1:101" x14ac:dyDescent="0.35">
      <c r="A20">
        <v>202307</v>
      </c>
      <c r="B20" s="3">
        <v>243801</v>
      </c>
      <c r="C20" s="3">
        <v>245368</v>
      </c>
      <c r="D20" s="3">
        <v>271170</v>
      </c>
      <c r="E20" s="3">
        <v>270123</v>
      </c>
      <c r="F20" s="3">
        <v>254239</v>
      </c>
      <c r="G20" s="3">
        <v>212348</v>
      </c>
      <c r="H20" s="3">
        <v>260842</v>
      </c>
      <c r="I20" s="3">
        <v>232508</v>
      </c>
      <c r="J20" s="3">
        <v>236916</v>
      </c>
      <c r="K20" s="3">
        <v>227868</v>
      </c>
      <c r="L20" s="3">
        <v>210160</v>
      </c>
      <c r="M20" s="3">
        <v>233024</v>
      </c>
      <c r="N20" s="3">
        <v>292067</v>
      </c>
      <c r="O20" s="3">
        <v>229286</v>
      </c>
      <c r="P20" s="3">
        <v>252500</v>
      </c>
      <c r="Q20" s="3">
        <v>239426</v>
      </c>
      <c r="R20" s="3">
        <v>229653</v>
      </c>
      <c r="S20" s="3">
        <v>226984</v>
      </c>
      <c r="T20" s="3">
        <v>233769</v>
      </c>
      <c r="U20" s="3">
        <v>225221</v>
      </c>
      <c r="V20" s="3">
        <v>234744</v>
      </c>
      <c r="W20" s="3">
        <v>253694</v>
      </c>
      <c r="X20" s="3">
        <v>214579</v>
      </c>
      <c r="Y20" s="3">
        <v>260259</v>
      </c>
      <c r="Z20" s="3">
        <v>259626</v>
      </c>
      <c r="AA20" s="3">
        <v>304595</v>
      </c>
      <c r="AB20" s="3">
        <v>264239</v>
      </c>
      <c r="AC20" s="3">
        <v>247905</v>
      </c>
      <c r="AD20" s="3">
        <v>282437</v>
      </c>
      <c r="AE20" s="3">
        <v>298091</v>
      </c>
      <c r="AF20" s="3">
        <v>251873</v>
      </c>
      <c r="AG20" s="3">
        <v>262454</v>
      </c>
      <c r="AH20" s="3">
        <v>237828</v>
      </c>
      <c r="AI20" s="3">
        <v>265865</v>
      </c>
      <c r="AJ20" s="3">
        <v>247470</v>
      </c>
      <c r="AK20" s="3">
        <v>239652</v>
      </c>
      <c r="AL20" s="3">
        <v>267894</v>
      </c>
      <c r="AM20" s="3">
        <v>246118</v>
      </c>
      <c r="AN20" s="3">
        <v>281156</v>
      </c>
      <c r="AO20" s="3">
        <v>289624</v>
      </c>
      <c r="AP20" s="3">
        <v>285497</v>
      </c>
      <c r="AQ20" s="3">
        <v>254656</v>
      </c>
      <c r="AR20" s="3">
        <v>250566</v>
      </c>
      <c r="AS20" s="3">
        <v>250714</v>
      </c>
      <c r="AT20" s="3">
        <v>272160</v>
      </c>
      <c r="AU20" s="3">
        <v>291871</v>
      </c>
      <c r="AV20" s="3">
        <v>292735</v>
      </c>
      <c r="AW20" s="3">
        <v>267576</v>
      </c>
      <c r="AX20" s="3">
        <v>236652</v>
      </c>
      <c r="AY20" s="3">
        <v>283718</v>
      </c>
      <c r="AZ20" s="3">
        <v>129215</v>
      </c>
      <c r="BA20" s="3">
        <v>216924</v>
      </c>
      <c r="BB20" s="3">
        <v>271447</v>
      </c>
      <c r="BC20" s="3">
        <v>240026</v>
      </c>
      <c r="BD20" s="3">
        <v>258301</v>
      </c>
      <c r="BE20" s="3">
        <v>288309</v>
      </c>
      <c r="BF20" s="3">
        <v>276972</v>
      </c>
      <c r="BG20" s="3">
        <v>226797</v>
      </c>
      <c r="BH20" s="3">
        <v>249426</v>
      </c>
      <c r="BI20" s="3">
        <v>244220</v>
      </c>
      <c r="BJ20" s="3">
        <v>251650</v>
      </c>
      <c r="BK20" s="3">
        <v>274137</v>
      </c>
      <c r="BL20" s="3">
        <v>218230</v>
      </c>
      <c r="BM20" s="3">
        <v>256784</v>
      </c>
      <c r="BN20" s="3">
        <v>271043</v>
      </c>
      <c r="BO20" s="3">
        <v>285767</v>
      </c>
      <c r="BP20" s="3">
        <v>282971</v>
      </c>
      <c r="BQ20" s="3">
        <v>221036</v>
      </c>
      <c r="BR20" s="3">
        <v>234513</v>
      </c>
      <c r="BS20" s="3">
        <v>234776</v>
      </c>
      <c r="BT20" s="3">
        <v>221808</v>
      </c>
      <c r="BU20" s="3">
        <v>226938</v>
      </c>
      <c r="BV20" s="3">
        <v>254284</v>
      </c>
      <c r="BW20" s="3">
        <v>240967</v>
      </c>
      <c r="BX20" s="3">
        <v>264056</v>
      </c>
      <c r="BY20" s="3">
        <v>288266</v>
      </c>
      <c r="BZ20" s="3">
        <v>269547</v>
      </c>
      <c r="CA20" s="3">
        <v>307667</v>
      </c>
      <c r="CB20" s="3">
        <v>282851</v>
      </c>
      <c r="CC20" s="3">
        <v>227044</v>
      </c>
      <c r="CD20" s="3">
        <v>153657</v>
      </c>
      <c r="CE20" s="3">
        <v>295419</v>
      </c>
      <c r="CF20" s="3">
        <v>263886</v>
      </c>
      <c r="CG20" s="3">
        <v>228713</v>
      </c>
      <c r="CH20" s="3">
        <v>281989</v>
      </c>
      <c r="CI20" s="3">
        <v>302326</v>
      </c>
      <c r="CJ20" s="3">
        <v>229627</v>
      </c>
      <c r="CK20" s="3">
        <v>256056</v>
      </c>
      <c r="CL20" s="3">
        <v>265012</v>
      </c>
      <c r="CM20" s="3">
        <v>232174</v>
      </c>
      <c r="CN20" s="3">
        <v>254780</v>
      </c>
      <c r="CO20" s="3">
        <v>224943</v>
      </c>
      <c r="CP20" s="3">
        <v>251988</v>
      </c>
      <c r="CQ20" s="3">
        <v>258571</v>
      </c>
      <c r="CR20" s="3">
        <v>273298</v>
      </c>
      <c r="CS20" s="3">
        <v>288713</v>
      </c>
      <c r="CT20" s="3">
        <v>208745</v>
      </c>
      <c r="CU20" s="3">
        <v>244096</v>
      </c>
      <c r="CV20" s="3">
        <v>224457</v>
      </c>
      <c r="CW20" s="3">
        <v>178186</v>
      </c>
    </row>
    <row r="21" spans="1:101" x14ac:dyDescent="0.35">
      <c r="A21">
        <v>202308</v>
      </c>
      <c r="B21" s="3">
        <v>209185</v>
      </c>
      <c r="C21" s="3">
        <v>221646</v>
      </c>
      <c r="D21" s="3">
        <v>237567</v>
      </c>
      <c r="E21" s="3">
        <v>227083</v>
      </c>
      <c r="F21" s="3">
        <v>219654</v>
      </c>
      <c r="G21" s="3">
        <v>198302</v>
      </c>
      <c r="H21" s="3">
        <v>228754</v>
      </c>
      <c r="I21" s="3">
        <v>205531</v>
      </c>
      <c r="J21" s="3">
        <v>211694</v>
      </c>
      <c r="K21" s="3">
        <v>222435</v>
      </c>
      <c r="L21" s="3">
        <v>173383</v>
      </c>
      <c r="M21" s="3">
        <v>212514</v>
      </c>
      <c r="N21" s="3">
        <v>255956</v>
      </c>
      <c r="O21" s="3">
        <v>205676</v>
      </c>
      <c r="P21" s="3">
        <v>223499</v>
      </c>
      <c r="Q21" s="3">
        <v>217022</v>
      </c>
      <c r="R21" s="3">
        <v>196654</v>
      </c>
      <c r="S21" s="3">
        <v>203525</v>
      </c>
      <c r="T21" s="3">
        <v>200995</v>
      </c>
      <c r="U21" s="3">
        <v>203054</v>
      </c>
      <c r="V21" s="3">
        <v>217387</v>
      </c>
      <c r="W21" s="3">
        <v>228139</v>
      </c>
      <c r="X21" s="3">
        <v>199082</v>
      </c>
      <c r="Y21" s="3">
        <v>230539</v>
      </c>
      <c r="Z21" s="3">
        <v>226269</v>
      </c>
      <c r="AA21" s="3">
        <v>264621</v>
      </c>
      <c r="AB21" s="3">
        <v>228657</v>
      </c>
      <c r="AC21" s="3">
        <v>211927</v>
      </c>
      <c r="AD21" s="3">
        <v>242638</v>
      </c>
      <c r="AE21" s="3">
        <v>259427</v>
      </c>
      <c r="AF21" s="3">
        <v>226409</v>
      </c>
      <c r="AG21" s="3">
        <v>225962</v>
      </c>
      <c r="AH21" s="3">
        <v>212872</v>
      </c>
      <c r="AI21" s="3">
        <v>235491</v>
      </c>
      <c r="AJ21" s="3">
        <v>217292</v>
      </c>
      <c r="AK21" s="3">
        <v>209485</v>
      </c>
      <c r="AL21" s="3">
        <v>223215</v>
      </c>
      <c r="AM21" s="3">
        <v>210484</v>
      </c>
      <c r="AN21" s="3">
        <v>225103</v>
      </c>
      <c r="AO21" s="3">
        <v>257080</v>
      </c>
      <c r="AP21" s="3">
        <v>254799</v>
      </c>
      <c r="AQ21" s="3">
        <v>236846</v>
      </c>
      <c r="AR21" s="3">
        <v>227598</v>
      </c>
      <c r="AS21" s="3">
        <v>225891</v>
      </c>
      <c r="AT21" s="3">
        <v>237267</v>
      </c>
      <c r="AU21" s="3">
        <v>253529</v>
      </c>
      <c r="AV21" s="3">
        <v>268813</v>
      </c>
      <c r="AW21" s="3">
        <v>243419</v>
      </c>
      <c r="AX21" s="3">
        <v>208223</v>
      </c>
      <c r="AY21" s="3">
        <v>245914</v>
      </c>
      <c r="AZ21" s="3">
        <v>111824</v>
      </c>
      <c r="BA21" s="3">
        <v>188724</v>
      </c>
      <c r="BB21" s="3">
        <v>233868</v>
      </c>
      <c r="BC21" s="3">
        <v>205264</v>
      </c>
      <c r="BD21" s="3">
        <v>226993</v>
      </c>
      <c r="BE21" s="3">
        <v>246968</v>
      </c>
      <c r="BF21" s="3">
        <v>241944</v>
      </c>
      <c r="BG21" s="3">
        <v>205105</v>
      </c>
      <c r="BH21" s="3">
        <v>214803</v>
      </c>
      <c r="BI21" s="3">
        <v>211674</v>
      </c>
      <c r="BJ21" s="3">
        <v>224562</v>
      </c>
      <c r="BK21" s="3">
        <v>246777</v>
      </c>
      <c r="BL21" s="3">
        <v>201234</v>
      </c>
      <c r="BM21" s="3">
        <v>212054</v>
      </c>
      <c r="BN21" s="3">
        <v>227225</v>
      </c>
      <c r="BO21" s="3">
        <v>262031</v>
      </c>
      <c r="BP21" s="3">
        <v>237968</v>
      </c>
      <c r="BQ21" s="3">
        <v>194174</v>
      </c>
      <c r="BR21" s="3">
        <v>207000</v>
      </c>
      <c r="BS21" s="3">
        <v>223449</v>
      </c>
      <c r="BT21" s="3">
        <v>194209</v>
      </c>
      <c r="BU21" s="3">
        <v>207237</v>
      </c>
      <c r="BV21" s="3">
        <v>223961</v>
      </c>
      <c r="BW21" s="3">
        <v>204756</v>
      </c>
      <c r="BX21" s="3">
        <v>237333</v>
      </c>
      <c r="BY21" s="3">
        <v>249671</v>
      </c>
      <c r="BZ21" s="3">
        <v>245532</v>
      </c>
      <c r="CA21" s="3">
        <v>270674</v>
      </c>
      <c r="CB21" s="3">
        <v>232778</v>
      </c>
      <c r="CC21" s="3">
        <v>228718</v>
      </c>
      <c r="CD21" s="3">
        <v>130023</v>
      </c>
      <c r="CE21" s="3">
        <v>254096</v>
      </c>
      <c r="CF21" s="3">
        <v>223288</v>
      </c>
      <c r="CG21" s="3">
        <v>198899</v>
      </c>
      <c r="CH21" s="3">
        <v>246788</v>
      </c>
      <c r="CI21" s="3">
        <v>276796</v>
      </c>
      <c r="CJ21" s="3">
        <v>201075</v>
      </c>
      <c r="CK21" s="3">
        <v>224845</v>
      </c>
      <c r="CL21" s="3">
        <v>230157</v>
      </c>
      <c r="CM21" s="3">
        <v>203242</v>
      </c>
      <c r="CN21" s="3">
        <v>231217</v>
      </c>
      <c r="CO21" s="3">
        <v>191548</v>
      </c>
      <c r="CP21" s="3">
        <v>227171</v>
      </c>
      <c r="CQ21" s="3">
        <v>243340</v>
      </c>
      <c r="CR21" s="3">
        <v>240377</v>
      </c>
      <c r="CS21" s="3">
        <v>250287</v>
      </c>
      <c r="CT21" s="3">
        <v>194505</v>
      </c>
      <c r="CU21" s="3">
        <v>207291</v>
      </c>
      <c r="CV21" s="3">
        <v>206387</v>
      </c>
      <c r="CW21" s="3">
        <v>156452</v>
      </c>
    </row>
    <row r="22" spans="1:101" x14ac:dyDescent="0.35">
      <c r="A22">
        <v>202309</v>
      </c>
      <c r="B22" s="3">
        <v>203123</v>
      </c>
      <c r="C22" s="3">
        <v>217758</v>
      </c>
      <c r="D22" s="3">
        <v>227039</v>
      </c>
      <c r="E22" s="3">
        <v>215815</v>
      </c>
      <c r="F22" s="3">
        <v>222704</v>
      </c>
      <c r="G22" s="3">
        <v>185162</v>
      </c>
      <c r="H22" s="3">
        <v>228667</v>
      </c>
      <c r="I22" s="3">
        <v>195867</v>
      </c>
      <c r="J22" s="3">
        <v>188527</v>
      </c>
      <c r="K22" s="3">
        <v>209235</v>
      </c>
      <c r="L22" s="3">
        <v>179710</v>
      </c>
      <c r="M22" s="3">
        <v>195404</v>
      </c>
      <c r="N22" s="3">
        <v>256025</v>
      </c>
      <c r="O22" s="3">
        <v>197813</v>
      </c>
      <c r="P22" s="3">
        <v>230414</v>
      </c>
      <c r="Q22" s="3">
        <v>197547</v>
      </c>
      <c r="R22" s="3">
        <v>190854</v>
      </c>
      <c r="S22" s="3">
        <v>207074</v>
      </c>
      <c r="T22" s="3">
        <v>191059</v>
      </c>
      <c r="U22" s="3">
        <v>208668</v>
      </c>
      <c r="V22" s="3">
        <v>213166</v>
      </c>
      <c r="W22" s="3">
        <v>221979</v>
      </c>
      <c r="X22" s="3">
        <v>168766</v>
      </c>
      <c r="Y22" s="3">
        <v>226947</v>
      </c>
      <c r="Z22" s="3">
        <v>226981</v>
      </c>
      <c r="AA22" s="3">
        <v>265190</v>
      </c>
      <c r="AB22" s="3">
        <v>223862</v>
      </c>
      <c r="AC22" s="3">
        <v>202890</v>
      </c>
      <c r="AD22" s="3">
        <v>240623</v>
      </c>
      <c r="AE22" s="3">
        <v>256014</v>
      </c>
      <c r="AF22" s="3">
        <v>218082</v>
      </c>
      <c r="AG22" s="3">
        <v>226016</v>
      </c>
      <c r="AH22" s="3">
        <v>209515</v>
      </c>
      <c r="AI22" s="3">
        <v>217694</v>
      </c>
      <c r="AJ22" s="3">
        <v>206692</v>
      </c>
      <c r="AK22" s="3">
        <v>198747</v>
      </c>
      <c r="AL22" s="3">
        <v>212963</v>
      </c>
      <c r="AM22" s="3">
        <v>209775</v>
      </c>
      <c r="AN22" s="3">
        <v>212260</v>
      </c>
      <c r="AO22" s="3">
        <v>246347</v>
      </c>
      <c r="AP22" s="3">
        <v>241298</v>
      </c>
      <c r="AQ22" s="3">
        <v>205522</v>
      </c>
      <c r="AR22" s="3">
        <v>217223</v>
      </c>
      <c r="AS22" s="3">
        <v>202334</v>
      </c>
      <c r="AT22" s="3">
        <v>242028</v>
      </c>
      <c r="AU22" s="3">
        <v>231339</v>
      </c>
      <c r="AV22" s="3">
        <v>260117</v>
      </c>
      <c r="AW22" s="3">
        <v>228550</v>
      </c>
      <c r="AX22" s="3">
        <v>202895</v>
      </c>
      <c r="AY22" s="3">
        <v>239664</v>
      </c>
      <c r="AZ22" s="3">
        <v>110827</v>
      </c>
      <c r="BA22" s="3">
        <v>178935</v>
      </c>
      <c r="BB22" s="3">
        <v>228136</v>
      </c>
      <c r="BC22" s="3">
        <v>208179</v>
      </c>
      <c r="BD22" s="3">
        <v>222667</v>
      </c>
      <c r="BE22" s="3">
        <v>234995</v>
      </c>
      <c r="BF22" s="3">
        <v>235464</v>
      </c>
      <c r="BG22" s="3">
        <v>187326</v>
      </c>
      <c r="BH22" s="3">
        <v>207305</v>
      </c>
      <c r="BI22" s="3">
        <v>207513</v>
      </c>
      <c r="BJ22" s="3">
        <v>211916</v>
      </c>
      <c r="BK22" s="3">
        <v>230170</v>
      </c>
      <c r="BL22" s="3">
        <v>176798</v>
      </c>
      <c r="BM22" s="3">
        <v>200166</v>
      </c>
      <c r="BN22" s="3">
        <v>221464</v>
      </c>
      <c r="BO22" s="3">
        <v>239172</v>
      </c>
      <c r="BP22" s="3">
        <v>223802</v>
      </c>
      <c r="BQ22" s="3">
        <v>176605</v>
      </c>
      <c r="BR22" s="3">
        <v>199374</v>
      </c>
      <c r="BS22" s="3">
        <v>200865</v>
      </c>
      <c r="BT22" s="3">
        <v>188562</v>
      </c>
      <c r="BU22" s="3">
        <v>188280</v>
      </c>
      <c r="BV22" s="3">
        <v>213704</v>
      </c>
      <c r="BW22" s="3">
        <v>208667</v>
      </c>
      <c r="BX22" s="3">
        <v>222465</v>
      </c>
      <c r="BY22" s="3">
        <v>241759</v>
      </c>
      <c r="BZ22" s="3">
        <v>238172</v>
      </c>
      <c r="CA22" s="3">
        <v>274033</v>
      </c>
      <c r="CB22" s="3">
        <v>224189</v>
      </c>
      <c r="CC22" s="3">
        <v>218804</v>
      </c>
      <c r="CD22" s="3">
        <v>128060</v>
      </c>
      <c r="CE22" s="3">
        <v>239498</v>
      </c>
      <c r="CF22" s="3">
        <v>227873</v>
      </c>
      <c r="CG22" s="3">
        <v>191768</v>
      </c>
      <c r="CH22" s="3">
        <v>228512</v>
      </c>
      <c r="CI22" s="3">
        <v>260051</v>
      </c>
      <c r="CJ22" s="3">
        <v>196386</v>
      </c>
      <c r="CK22" s="3">
        <v>213893</v>
      </c>
      <c r="CL22" s="3">
        <v>216589</v>
      </c>
      <c r="CM22" s="3">
        <v>199252</v>
      </c>
      <c r="CN22" s="3">
        <v>214605</v>
      </c>
      <c r="CO22" s="3">
        <v>187341</v>
      </c>
      <c r="CP22" s="3">
        <v>219865</v>
      </c>
      <c r="CQ22" s="3">
        <v>236037</v>
      </c>
      <c r="CR22" s="3">
        <v>232657</v>
      </c>
      <c r="CS22" s="3">
        <v>240577</v>
      </c>
      <c r="CT22" s="3">
        <v>173666</v>
      </c>
      <c r="CU22" s="3">
        <v>220512</v>
      </c>
      <c r="CV22" s="3">
        <v>192185</v>
      </c>
      <c r="CW22" s="3">
        <v>150274</v>
      </c>
    </row>
    <row r="23" spans="1:101" x14ac:dyDescent="0.35">
      <c r="A23">
        <v>202310</v>
      </c>
      <c r="B23" s="3">
        <v>198150</v>
      </c>
      <c r="C23" s="3">
        <v>201696</v>
      </c>
      <c r="D23" s="3">
        <v>218681</v>
      </c>
      <c r="E23" s="3">
        <v>213901</v>
      </c>
      <c r="F23" s="3">
        <v>204068</v>
      </c>
      <c r="G23" s="3">
        <v>175913</v>
      </c>
      <c r="H23" s="3">
        <v>200364</v>
      </c>
      <c r="I23" s="3">
        <v>181180</v>
      </c>
      <c r="J23" s="3">
        <v>190972</v>
      </c>
      <c r="K23" s="3">
        <v>206990</v>
      </c>
      <c r="L23" s="3">
        <v>163499</v>
      </c>
      <c r="M23" s="3">
        <v>195928</v>
      </c>
      <c r="N23" s="3">
        <v>233268</v>
      </c>
      <c r="O23" s="3">
        <v>183842</v>
      </c>
      <c r="P23" s="3">
        <v>209543</v>
      </c>
      <c r="Q23" s="3">
        <v>184806</v>
      </c>
      <c r="R23" s="3">
        <v>183488</v>
      </c>
      <c r="S23" s="3">
        <v>180022</v>
      </c>
      <c r="T23" s="3">
        <v>180242</v>
      </c>
      <c r="U23" s="3">
        <v>190249</v>
      </c>
      <c r="V23" s="3">
        <v>195405</v>
      </c>
      <c r="W23" s="3">
        <v>209476</v>
      </c>
      <c r="X23" s="3">
        <v>162202</v>
      </c>
      <c r="Y23" s="3">
        <v>212925</v>
      </c>
      <c r="Z23" s="3">
        <v>203611</v>
      </c>
      <c r="AA23" s="3">
        <v>245156</v>
      </c>
      <c r="AB23" s="3">
        <v>213537</v>
      </c>
      <c r="AC23" s="3">
        <v>175474</v>
      </c>
      <c r="AD23" s="3">
        <v>225499</v>
      </c>
      <c r="AE23" s="3">
        <v>235948</v>
      </c>
      <c r="AF23" s="3">
        <v>199038</v>
      </c>
      <c r="AG23" s="3">
        <v>211532</v>
      </c>
      <c r="AH23" s="3">
        <v>200731</v>
      </c>
      <c r="AI23" s="3">
        <v>214818</v>
      </c>
      <c r="AJ23" s="3">
        <v>200408</v>
      </c>
      <c r="AK23" s="3">
        <v>193005</v>
      </c>
      <c r="AL23" s="3">
        <v>217021</v>
      </c>
      <c r="AM23" s="3">
        <v>195815</v>
      </c>
      <c r="AN23" s="3">
        <v>214728</v>
      </c>
      <c r="AO23" s="3">
        <v>227831</v>
      </c>
      <c r="AP23" s="3">
        <v>230736</v>
      </c>
      <c r="AQ23" s="3">
        <v>208637</v>
      </c>
      <c r="AR23" s="3">
        <v>210349</v>
      </c>
      <c r="AS23" s="3">
        <v>206028</v>
      </c>
      <c r="AT23" s="3">
        <v>220299</v>
      </c>
      <c r="AU23" s="3">
        <v>238303</v>
      </c>
      <c r="AV23" s="3">
        <v>230637</v>
      </c>
      <c r="AW23" s="3">
        <v>216355</v>
      </c>
      <c r="AX23" s="3">
        <v>198172</v>
      </c>
      <c r="AY23" s="3">
        <v>216849</v>
      </c>
      <c r="AZ23" s="3">
        <v>104386</v>
      </c>
      <c r="BA23" s="3">
        <v>173788</v>
      </c>
      <c r="BB23" s="3">
        <v>214760</v>
      </c>
      <c r="BC23" s="3">
        <v>195353</v>
      </c>
      <c r="BD23" s="3">
        <v>201745</v>
      </c>
      <c r="BE23" s="3">
        <v>227729</v>
      </c>
      <c r="BF23" s="3">
        <v>226494</v>
      </c>
      <c r="BG23" s="3">
        <v>189204</v>
      </c>
      <c r="BH23" s="3">
        <v>197484</v>
      </c>
      <c r="BI23" s="3">
        <v>198026</v>
      </c>
      <c r="BJ23" s="3">
        <v>197779</v>
      </c>
      <c r="BK23" s="3">
        <v>210335</v>
      </c>
      <c r="BL23" s="3">
        <v>172571</v>
      </c>
      <c r="BM23" s="3">
        <v>203431</v>
      </c>
      <c r="BN23" s="3">
        <v>210598</v>
      </c>
      <c r="BO23" s="3">
        <v>220704</v>
      </c>
      <c r="BP23" s="3">
        <v>223356</v>
      </c>
      <c r="BQ23" s="3">
        <v>168352</v>
      </c>
      <c r="BR23" s="3">
        <v>183571</v>
      </c>
      <c r="BS23" s="3">
        <v>192104</v>
      </c>
      <c r="BT23" s="3">
        <v>183105</v>
      </c>
      <c r="BU23" s="3">
        <v>186678</v>
      </c>
      <c r="BV23" s="3">
        <v>204348</v>
      </c>
      <c r="BW23" s="3">
        <v>185710</v>
      </c>
      <c r="BX23" s="3">
        <v>215699</v>
      </c>
      <c r="BY23" s="3">
        <v>214689</v>
      </c>
      <c r="BZ23" s="3">
        <v>220243</v>
      </c>
      <c r="CA23" s="3">
        <v>251053</v>
      </c>
      <c r="CB23" s="3">
        <v>229147</v>
      </c>
      <c r="CC23" s="3">
        <v>207363</v>
      </c>
      <c r="CD23" s="3">
        <v>121310</v>
      </c>
      <c r="CE23" s="3">
        <v>237817</v>
      </c>
      <c r="CF23" s="3">
        <v>210084</v>
      </c>
      <c r="CG23" s="3">
        <v>188252</v>
      </c>
      <c r="CH23" s="3">
        <v>213565</v>
      </c>
      <c r="CI23" s="3">
        <v>240257</v>
      </c>
      <c r="CJ23" s="3">
        <v>181615</v>
      </c>
      <c r="CK23" s="3">
        <v>210022</v>
      </c>
      <c r="CL23" s="3">
        <v>214077</v>
      </c>
      <c r="CM23" s="3">
        <v>195651</v>
      </c>
      <c r="CN23" s="3">
        <v>211911</v>
      </c>
      <c r="CO23" s="3">
        <v>174991</v>
      </c>
      <c r="CP23" s="3">
        <v>201491</v>
      </c>
      <c r="CQ23" s="3">
        <v>223390</v>
      </c>
      <c r="CR23" s="3">
        <v>231475</v>
      </c>
      <c r="CS23" s="3">
        <v>223285</v>
      </c>
      <c r="CT23" s="3">
        <v>169975</v>
      </c>
      <c r="CU23" s="3">
        <v>194045</v>
      </c>
      <c r="CV23" s="3">
        <v>188136</v>
      </c>
      <c r="CW23" s="3">
        <v>145623</v>
      </c>
    </row>
    <row r="24" spans="1:101" x14ac:dyDescent="0.35">
      <c r="A24">
        <v>202311</v>
      </c>
      <c r="B24" s="3">
        <v>182964</v>
      </c>
      <c r="C24" s="3">
        <v>194675</v>
      </c>
      <c r="D24" s="3">
        <v>203151</v>
      </c>
      <c r="E24" s="3">
        <v>201353</v>
      </c>
      <c r="F24" s="3">
        <v>191792</v>
      </c>
      <c r="G24" s="3">
        <v>165867</v>
      </c>
      <c r="H24" s="3">
        <v>198343</v>
      </c>
      <c r="I24" s="3">
        <v>177767</v>
      </c>
      <c r="J24" s="3">
        <v>172990</v>
      </c>
      <c r="K24" s="3">
        <v>187136</v>
      </c>
      <c r="L24" s="3">
        <v>170095</v>
      </c>
      <c r="M24" s="3">
        <v>186474</v>
      </c>
      <c r="N24" s="3">
        <v>231891</v>
      </c>
      <c r="O24" s="3">
        <v>178103</v>
      </c>
      <c r="P24" s="3">
        <v>207415</v>
      </c>
      <c r="Q24" s="3">
        <v>189968</v>
      </c>
      <c r="R24" s="3">
        <v>167566</v>
      </c>
      <c r="S24" s="3">
        <v>188045</v>
      </c>
      <c r="T24" s="3">
        <v>172927</v>
      </c>
      <c r="U24" s="3">
        <v>174789</v>
      </c>
      <c r="V24" s="3">
        <v>187798</v>
      </c>
      <c r="W24" s="3">
        <v>195472</v>
      </c>
      <c r="X24" s="3">
        <v>170840</v>
      </c>
      <c r="Y24" s="3">
        <v>193951</v>
      </c>
      <c r="Z24" s="3">
        <v>198633</v>
      </c>
      <c r="AA24" s="3">
        <v>220356</v>
      </c>
      <c r="AB24" s="3">
        <v>203082</v>
      </c>
      <c r="AC24" s="3">
        <v>184086</v>
      </c>
      <c r="AD24" s="3">
        <v>207523</v>
      </c>
      <c r="AE24" s="3">
        <v>218859</v>
      </c>
      <c r="AF24" s="3">
        <v>193052</v>
      </c>
      <c r="AG24" s="3">
        <v>213225</v>
      </c>
      <c r="AH24" s="3">
        <v>194055</v>
      </c>
      <c r="AI24" s="3">
        <v>196122</v>
      </c>
      <c r="AJ24" s="3">
        <v>190796</v>
      </c>
      <c r="AK24" s="3">
        <v>172287</v>
      </c>
      <c r="AL24" s="3">
        <v>196232</v>
      </c>
      <c r="AM24" s="3">
        <v>187408</v>
      </c>
      <c r="AN24" s="3">
        <v>193670</v>
      </c>
      <c r="AO24" s="3">
        <v>210281</v>
      </c>
      <c r="AP24" s="3">
        <v>207518</v>
      </c>
      <c r="AQ24" s="3">
        <v>191236</v>
      </c>
      <c r="AR24" s="3">
        <v>192127</v>
      </c>
      <c r="AS24" s="3">
        <v>185283</v>
      </c>
      <c r="AT24" s="3">
        <v>211688</v>
      </c>
      <c r="AU24" s="3">
        <v>229044</v>
      </c>
      <c r="AV24" s="3">
        <v>213914</v>
      </c>
      <c r="AW24" s="3">
        <v>209314</v>
      </c>
      <c r="AX24" s="3">
        <v>185313</v>
      </c>
      <c r="AY24" s="3">
        <v>205264</v>
      </c>
      <c r="AZ24" s="3">
        <v>94818</v>
      </c>
      <c r="BA24" s="3">
        <v>164746</v>
      </c>
      <c r="BB24" s="3">
        <v>201804</v>
      </c>
      <c r="BC24" s="3">
        <v>170208</v>
      </c>
      <c r="BD24" s="3">
        <v>196804</v>
      </c>
      <c r="BE24" s="3">
        <v>211602</v>
      </c>
      <c r="BF24" s="3">
        <v>210892</v>
      </c>
      <c r="BG24" s="3">
        <v>168420</v>
      </c>
      <c r="BH24" s="3">
        <v>186017</v>
      </c>
      <c r="BI24" s="3">
        <v>188266</v>
      </c>
      <c r="BJ24" s="3">
        <v>192340</v>
      </c>
      <c r="BK24" s="3">
        <v>200009</v>
      </c>
      <c r="BL24" s="3">
        <v>150725</v>
      </c>
      <c r="BM24" s="3">
        <v>188403</v>
      </c>
      <c r="BN24" s="3">
        <v>200484</v>
      </c>
      <c r="BO24" s="3">
        <v>203390</v>
      </c>
      <c r="BP24" s="3">
        <v>217697</v>
      </c>
      <c r="BQ24" s="3">
        <v>168496</v>
      </c>
      <c r="BR24" s="3">
        <v>172378</v>
      </c>
      <c r="BS24" s="3">
        <v>189641</v>
      </c>
      <c r="BT24" s="3">
        <v>166391</v>
      </c>
      <c r="BU24" s="3">
        <v>185561</v>
      </c>
      <c r="BV24" s="3">
        <v>185653</v>
      </c>
      <c r="BW24" s="3">
        <v>183296</v>
      </c>
      <c r="BX24" s="3">
        <v>190928</v>
      </c>
      <c r="BY24" s="3">
        <v>212595</v>
      </c>
      <c r="BZ24" s="3">
        <v>205630</v>
      </c>
      <c r="CA24" s="3">
        <v>232175</v>
      </c>
      <c r="CB24" s="3">
        <v>212011</v>
      </c>
      <c r="CC24" s="3">
        <v>192854</v>
      </c>
      <c r="CD24" s="3">
        <v>112816</v>
      </c>
      <c r="CE24" s="3">
        <v>221710</v>
      </c>
      <c r="CF24" s="3">
        <v>200453</v>
      </c>
      <c r="CG24" s="3">
        <v>170717</v>
      </c>
      <c r="CH24" s="3">
        <v>210600</v>
      </c>
      <c r="CI24" s="3">
        <v>234345</v>
      </c>
      <c r="CJ24" s="3">
        <v>175312</v>
      </c>
      <c r="CK24" s="3">
        <v>198054</v>
      </c>
      <c r="CL24" s="3">
        <v>198666</v>
      </c>
      <c r="CM24" s="3">
        <v>183019</v>
      </c>
      <c r="CN24" s="3">
        <v>191964</v>
      </c>
      <c r="CO24" s="3">
        <v>168123</v>
      </c>
      <c r="CP24" s="3">
        <v>187434</v>
      </c>
      <c r="CQ24" s="3">
        <v>210063</v>
      </c>
      <c r="CR24" s="3">
        <v>215769</v>
      </c>
      <c r="CS24" s="3">
        <v>220816</v>
      </c>
      <c r="CT24" s="3">
        <v>159952</v>
      </c>
      <c r="CU24" s="3">
        <v>182821</v>
      </c>
      <c r="CV24" s="3">
        <v>186286</v>
      </c>
      <c r="CW24" s="3">
        <v>135375</v>
      </c>
    </row>
    <row r="25" spans="1:101" x14ac:dyDescent="0.35">
      <c r="A25">
        <v>202312</v>
      </c>
      <c r="B25" s="3">
        <v>185427</v>
      </c>
      <c r="C25" s="3">
        <v>191116</v>
      </c>
      <c r="D25" s="3">
        <v>204508</v>
      </c>
      <c r="E25" s="3">
        <v>197645</v>
      </c>
      <c r="F25" s="3">
        <v>189870</v>
      </c>
      <c r="G25" s="3">
        <v>165247</v>
      </c>
      <c r="H25" s="3">
        <v>196115</v>
      </c>
      <c r="I25" s="3">
        <v>173358</v>
      </c>
      <c r="J25" s="3">
        <v>174908</v>
      </c>
      <c r="K25" s="3">
        <v>171468</v>
      </c>
      <c r="L25" s="3">
        <v>162344</v>
      </c>
      <c r="M25" s="3">
        <v>187493</v>
      </c>
      <c r="N25" s="3">
        <v>217340</v>
      </c>
      <c r="O25" s="3">
        <v>175134</v>
      </c>
      <c r="P25" s="3">
        <v>202963</v>
      </c>
      <c r="Q25" s="3">
        <v>175224</v>
      </c>
      <c r="R25" s="3">
        <v>169020</v>
      </c>
      <c r="S25" s="3">
        <v>167378</v>
      </c>
      <c r="T25" s="3">
        <v>180566</v>
      </c>
      <c r="U25" s="3">
        <v>172971</v>
      </c>
      <c r="V25" s="3">
        <v>181710</v>
      </c>
      <c r="W25" s="3">
        <v>189583</v>
      </c>
      <c r="X25" s="3">
        <v>164433</v>
      </c>
      <c r="Y25" s="3">
        <v>197453</v>
      </c>
      <c r="Z25" s="3">
        <v>185164</v>
      </c>
      <c r="AA25" s="3">
        <v>218394</v>
      </c>
      <c r="AB25" s="3">
        <v>195589</v>
      </c>
      <c r="AC25" s="3">
        <v>187688</v>
      </c>
      <c r="AD25" s="3">
        <v>200911</v>
      </c>
      <c r="AE25" s="3">
        <v>214026</v>
      </c>
      <c r="AF25" s="3">
        <v>182422</v>
      </c>
      <c r="AG25" s="3">
        <v>190185</v>
      </c>
      <c r="AH25" s="3">
        <v>174765</v>
      </c>
      <c r="AI25" s="3">
        <v>193338</v>
      </c>
      <c r="AJ25" s="3">
        <v>186819</v>
      </c>
      <c r="AK25" s="3">
        <v>172630</v>
      </c>
      <c r="AL25" s="3">
        <v>195622</v>
      </c>
      <c r="AM25" s="3">
        <v>180357</v>
      </c>
      <c r="AN25" s="3">
        <v>195376</v>
      </c>
      <c r="AO25" s="3">
        <v>215322</v>
      </c>
      <c r="AP25" s="3">
        <v>221027</v>
      </c>
      <c r="AQ25" s="3">
        <v>186951</v>
      </c>
      <c r="AR25" s="3">
        <v>201156</v>
      </c>
      <c r="AS25" s="3">
        <v>182277</v>
      </c>
      <c r="AT25" s="3">
        <v>208180</v>
      </c>
      <c r="AU25" s="3">
        <v>211151</v>
      </c>
      <c r="AV25" s="3">
        <v>213024</v>
      </c>
      <c r="AW25" s="3">
        <v>209586</v>
      </c>
      <c r="AX25" s="3">
        <v>179013</v>
      </c>
      <c r="AY25" s="3">
        <v>201034</v>
      </c>
      <c r="AZ25" s="3">
        <v>94254</v>
      </c>
      <c r="BA25" s="3">
        <v>161053</v>
      </c>
      <c r="BB25" s="3">
        <v>209390</v>
      </c>
      <c r="BC25" s="3">
        <v>163820</v>
      </c>
      <c r="BD25" s="3">
        <v>195560</v>
      </c>
      <c r="BE25" s="3">
        <v>217629</v>
      </c>
      <c r="BF25" s="3">
        <v>219703</v>
      </c>
      <c r="BG25" s="3">
        <v>166479</v>
      </c>
      <c r="BH25" s="3">
        <v>178542</v>
      </c>
      <c r="BI25" s="3">
        <v>181257</v>
      </c>
      <c r="BJ25" s="3">
        <v>193066</v>
      </c>
      <c r="BK25" s="3">
        <v>205186</v>
      </c>
      <c r="BL25" s="3">
        <v>159946</v>
      </c>
      <c r="BM25" s="3">
        <v>196335</v>
      </c>
      <c r="BN25" s="3">
        <v>204886</v>
      </c>
      <c r="BO25" s="3">
        <v>210258</v>
      </c>
      <c r="BP25" s="3">
        <v>198389</v>
      </c>
      <c r="BQ25" s="3">
        <v>158910</v>
      </c>
      <c r="BR25" s="3">
        <v>173764</v>
      </c>
      <c r="BS25" s="3">
        <v>171162</v>
      </c>
      <c r="BT25" s="3">
        <v>161602</v>
      </c>
      <c r="BU25" s="3">
        <v>184500</v>
      </c>
      <c r="BV25" s="3">
        <v>184747</v>
      </c>
      <c r="BW25" s="3">
        <v>180839</v>
      </c>
      <c r="BX25" s="3">
        <v>192532</v>
      </c>
      <c r="BY25" s="3">
        <v>204202</v>
      </c>
      <c r="BZ25" s="3">
        <v>207098</v>
      </c>
      <c r="CA25" s="3">
        <v>237245</v>
      </c>
      <c r="CB25" s="3">
        <v>199866</v>
      </c>
      <c r="CC25" s="3">
        <v>186609</v>
      </c>
      <c r="CD25" s="3">
        <v>112287</v>
      </c>
      <c r="CE25" s="3">
        <v>215851</v>
      </c>
      <c r="CF25" s="3">
        <v>199060</v>
      </c>
      <c r="CG25" s="3">
        <v>170840</v>
      </c>
      <c r="CH25" s="3">
        <v>201200</v>
      </c>
      <c r="CI25" s="3">
        <v>213910</v>
      </c>
      <c r="CJ25" s="3">
        <v>165829</v>
      </c>
      <c r="CK25" s="3">
        <v>190254</v>
      </c>
      <c r="CL25" s="3">
        <v>206736</v>
      </c>
      <c r="CM25" s="3">
        <v>172923</v>
      </c>
      <c r="CN25" s="3">
        <v>201113</v>
      </c>
      <c r="CO25" s="3">
        <v>161585</v>
      </c>
      <c r="CP25" s="3">
        <v>193895</v>
      </c>
      <c r="CQ25" s="3">
        <v>206457</v>
      </c>
      <c r="CR25" s="3">
        <v>199466</v>
      </c>
      <c r="CS25" s="3">
        <v>201854</v>
      </c>
      <c r="CT25" s="3">
        <v>168696</v>
      </c>
      <c r="CU25" s="3">
        <v>179054</v>
      </c>
      <c r="CV25" s="3">
        <v>173361</v>
      </c>
      <c r="CW25" s="3">
        <v>133334</v>
      </c>
    </row>
    <row r="26" spans="1:101" x14ac:dyDescent="0.35">
      <c r="A26">
        <v>202401</v>
      </c>
      <c r="B26" s="3">
        <v>133641</v>
      </c>
      <c r="C26" s="3">
        <v>138763</v>
      </c>
      <c r="D26" s="3">
        <v>140892</v>
      </c>
      <c r="E26" s="3">
        <v>145142</v>
      </c>
      <c r="F26" s="3">
        <v>142385</v>
      </c>
      <c r="G26" s="3">
        <v>121447</v>
      </c>
      <c r="H26" s="3">
        <v>142586</v>
      </c>
      <c r="I26" s="3">
        <v>122967</v>
      </c>
      <c r="J26" s="3">
        <v>129162</v>
      </c>
      <c r="K26" s="3">
        <v>132105</v>
      </c>
      <c r="L26" s="3">
        <v>108859</v>
      </c>
      <c r="M26" s="3">
        <v>131383</v>
      </c>
      <c r="N26" s="3">
        <v>161328</v>
      </c>
      <c r="O26" s="3">
        <v>126250</v>
      </c>
      <c r="P26" s="3">
        <v>138645</v>
      </c>
      <c r="Q26" s="3">
        <v>128154</v>
      </c>
      <c r="R26" s="3">
        <v>123719</v>
      </c>
      <c r="S26" s="3">
        <v>125500</v>
      </c>
      <c r="T26" s="3">
        <v>127089</v>
      </c>
      <c r="U26" s="3">
        <v>124403</v>
      </c>
      <c r="V26" s="3">
        <v>134870</v>
      </c>
      <c r="W26" s="3">
        <v>138549</v>
      </c>
      <c r="X26" s="3">
        <v>117156</v>
      </c>
      <c r="Y26" s="3">
        <v>140685</v>
      </c>
      <c r="Z26" s="3">
        <v>142554</v>
      </c>
      <c r="AA26" s="3">
        <v>166822</v>
      </c>
      <c r="AB26" s="3">
        <v>149135</v>
      </c>
      <c r="AC26" s="3">
        <v>130000</v>
      </c>
      <c r="AD26" s="3">
        <v>157861</v>
      </c>
      <c r="AE26" s="3">
        <v>164505</v>
      </c>
      <c r="AF26" s="3">
        <v>146399</v>
      </c>
      <c r="AG26" s="3">
        <v>134159</v>
      </c>
      <c r="AH26" s="3">
        <v>134398</v>
      </c>
      <c r="AI26" s="3">
        <v>141544</v>
      </c>
      <c r="AJ26" s="3">
        <v>132263</v>
      </c>
      <c r="AK26" s="3">
        <v>125578</v>
      </c>
      <c r="AL26" s="3">
        <v>143702</v>
      </c>
      <c r="AM26" s="3">
        <v>135841</v>
      </c>
      <c r="AN26" s="3">
        <v>138113</v>
      </c>
      <c r="AO26" s="3">
        <v>151554</v>
      </c>
      <c r="AP26" s="3">
        <v>157051</v>
      </c>
      <c r="AQ26" s="3">
        <v>136818</v>
      </c>
      <c r="AR26" s="3">
        <v>138664</v>
      </c>
      <c r="AS26" s="3">
        <v>130210</v>
      </c>
      <c r="AT26" s="3">
        <v>150149</v>
      </c>
      <c r="AU26" s="3">
        <v>160141</v>
      </c>
      <c r="AV26" s="3">
        <v>159590</v>
      </c>
      <c r="AW26" s="3">
        <v>149407</v>
      </c>
      <c r="AX26" s="3">
        <v>134257</v>
      </c>
      <c r="AY26" s="3">
        <v>154825</v>
      </c>
      <c r="AZ26" s="3">
        <v>69792</v>
      </c>
      <c r="BA26" s="3">
        <v>117741</v>
      </c>
      <c r="BB26" s="3">
        <v>149022</v>
      </c>
      <c r="BC26" s="3">
        <v>127612</v>
      </c>
      <c r="BD26" s="3">
        <v>134699</v>
      </c>
      <c r="BE26" s="3">
        <v>156627</v>
      </c>
      <c r="BF26" s="3">
        <v>143106</v>
      </c>
      <c r="BG26" s="3">
        <v>120824</v>
      </c>
      <c r="BH26" s="3">
        <v>123037</v>
      </c>
      <c r="BI26" s="3">
        <v>130620</v>
      </c>
      <c r="BJ26" s="3">
        <v>133734</v>
      </c>
      <c r="BK26" s="3">
        <v>147583</v>
      </c>
      <c r="BL26" s="3">
        <v>112466</v>
      </c>
      <c r="BM26" s="3">
        <v>130328</v>
      </c>
      <c r="BN26" s="3">
        <v>139616</v>
      </c>
      <c r="BO26" s="3">
        <v>156497</v>
      </c>
      <c r="BP26" s="3">
        <v>143052</v>
      </c>
      <c r="BQ26" s="3">
        <v>123414</v>
      </c>
      <c r="BR26" s="3">
        <v>123804</v>
      </c>
      <c r="BS26" s="3">
        <v>125847</v>
      </c>
      <c r="BT26" s="3">
        <v>118577</v>
      </c>
      <c r="BU26" s="3">
        <v>130887</v>
      </c>
      <c r="BV26" s="3">
        <v>139387</v>
      </c>
      <c r="BW26" s="3">
        <v>128253</v>
      </c>
      <c r="BX26" s="3">
        <v>138654</v>
      </c>
      <c r="BY26" s="3">
        <v>152217</v>
      </c>
      <c r="BZ26" s="3">
        <v>144110</v>
      </c>
      <c r="CA26" s="3">
        <v>165140</v>
      </c>
      <c r="CB26" s="3">
        <v>144377</v>
      </c>
      <c r="CC26" s="3">
        <v>131961</v>
      </c>
      <c r="CD26" s="3">
        <v>81797</v>
      </c>
      <c r="CE26" s="3">
        <v>160165</v>
      </c>
      <c r="CF26" s="3">
        <v>145103</v>
      </c>
      <c r="CG26" s="3">
        <v>125073</v>
      </c>
      <c r="CH26" s="3">
        <v>146690</v>
      </c>
      <c r="CI26" s="3">
        <v>163690</v>
      </c>
      <c r="CJ26" s="3">
        <v>124572</v>
      </c>
      <c r="CK26" s="3">
        <v>137244</v>
      </c>
      <c r="CL26" s="3">
        <v>145046</v>
      </c>
      <c r="CM26" s="3">
        <v>123144</v>
      </c>
      <c r="CN26" s="3">
        <v>147375</v>
      </c>
      <c r="CO26" s="3">
        <v>123192</v>
      </c>
      <c r="CP26" s="3">
        <v>135502</v>
      </c>
      <c r="CQ26" s="3">
        <v>147653</v>
      </c>
      <c r="CR26" s="3">
        <v>148717</v>
      </c>
      <c r="CS26" s="3">
        <v>160977</v>
      </c>
      <c r="CT26" s="3">
        <v>113632</v>
      </c>
      <c r="CU26" s="3">
        <v>132917</v>
      </c>
      <c r="CV26" s="3">
        <v>126208</v>
      </c>
      <c r="CW26" s="3">
        <v>92845</v>
      </c>
    </row>
    <row r="27" spans="1:101" x14ac:dyDescent="0.35">
      <c r="A27">
        <v>202402</v>
      </c>
      <c r="B27" s="3">
        <v>146119</v>
      </c>
      <c r="C27" s="3">
        <v>153806</v>
      </c>
      <c r="D27" s="3">
        <v>166690</v>
      </c>
      <c r="E27" s="3">
        <v>159583</v>
      </c>
      <c r="F27" s="3">
        <v>155460</v>
      </c>
      <c r="G27" s="3">
        <v>134482</v>
      </c>
      <c r="H27" s="3">
        <v>167572</v>
      </c>
      <c r="I27" s="3">
        <v>142934</v>
      </c>
      <c r="J27" s="3">
        <v>141695</v>
      </c>
      <c r="K27" s="3">
        <v>154877</v>
      </c>
      <c r="L27" s="3">
        <v>128797</v>
      </c>
      <c r="M27" s="3">
        <v>156375</v>
      </c>
      <c r="N27" s="3">
        <v>187882</v>
      </c>
      <c r="O27" s="3">
        <v>143855</v>
      </c>
      <c r="P27" s="3">
        <v>162805</v>
      </c>
      <c r="Q27" s="3">
        <v>141132</v>
      </c>
      <c r="R27" s="3">
        <v>138571</v>
      </c>
      <c r="S27" s="3">
        <v>141518</v>
      </c>
      <c r="T27" s="3">
        <v>140473</v>
      </c>
      <c r="U27" s="3">
        <v>152367</v>
      </c>
      <c r="V27" s="3">
        <v>156956</v>
      </c>
      <c r="W27" s="3">
        <v>156933</v>
      </c>
      <c r="X27" s="3">
        <v>126701</v>
      </c>
      <c r="Y27" s="3">
        <v>159884</v>
      </c>
      <c r="Z27" s="3">
        <v>158968</v>
      </c>
      <c r="AA27" s="3">
        <v>188691</v>
      </c>
      <c r="AB27" s="3">
        <v>164194</v>
      </c>
      <c r="AC27" s="3">
        <v>147327</v>
      </c>
      <c r="AD27" s="3">
        <v>179667</v>
      </c>
      <c r="AE27" s="3">
        <v>189147</v>
      </c>
      <c r="AF27" s="3">
        <v>157820</v>
      </c>
      <c r="AG27" s="3">
        <v>154020</v>
      </c>
      <c r="AH27" s="3">
        <v>151138</v>
      </c>
      <c r="AI27" s="3">
        <v>159402</v>
      </c>
      <c r="AJ27" s="3">
        <v>156691</v>
      </c>
      <c r="AK27" s="3">
        <v>140211</v>
      </c>
      <c r="AL27" s="3">
        <v>157520</v>
      </c>
      <c r="AM27" s="3">
        <v>148583</v>
      </c>
      <c r="AN27" s="3">
        <v>157103</v>
      </c>
      <c r="AO27" s="3">
        <v>178397</v>
      </c>
      <c r="AP27" s="3">
        <v>179946</v>
      </c>
      <c r="AQ27" s="3">
        <v>151764</v>
      </c>
      <c r="AR27" s="3">
        <v>165885</v>
      </c>
      <c r="AS27" s="3">
        <v>151213</v>
      </c>
      <c r="AT27" s="3">
        <v>180029</v>
      </c>
      <c r="AU27" s="3">
        <v>186821</v>
      </c>
      <c r="AV27" s="3">
        <v>178981</v>
      </c>
      <c r="AW27" s="3">
        <v>166999</v>
      </c>
      <c r="AX27" s="3">
        <v>150977</v>
      </c>
      <c r="AY27" s="3">
        <v>168538</v>
      </c>
      <c r="AZ27" s="3">
        <v>79401</v>
      </c>
      <c r="BA27" s="3">
        <v>132107</v>
      </c>
      <c r="BB27" s="3">
        <v>157012</v>
      </c>
      <c r="BC27" s="3">
        <v>148754</v>
      </c>
      <c r="BD27" s="3">
        <v>161608</v>
      </c>
      <c r="BE27" s="3">
        <v>173698</v>
      </c>
      <c r="BF27" s="3">
        <v>175617</v>
      </c>
      <c r="BG27" s="3">
        <v>136534</v>
      </c>
      <c r="BH27" s="3">
        <v>147464</v>
      </c>
      <c r="BI27" s="3">
        <v>153349</v>
      </c>
      <c r="BJ27" s="3">
        <v>153355</v>
      </c>
      <c r="BK27" s="3">
        <v>165116</v>
      </c>
      <c r="BL27" s="3">
        <v>128296</v>
      </c>
      <c r="BM27" s="3">
        <v>143176</v>
      </c>
      <c r="BN27" s="3">
        <v>155666</v>
      </c>
      <c r="BO27" s="3">
        <v>170198</v>
      </c>
      <c r="BP27" s="3">
        <v>163013</v>
      </c>
      <c r="BQ27" s="3">
        <v>133745</v>
      </c>
      <c r="BR27" s="3">
        <v>149680</v>
      </c>
      <c r="BS27" s="3">
        <v>146849</v>
      </c>
      <c r="BT27" s="3">
        <v>134850</v>
      </c>
      <c r="BU27" s="3">
        <v>142798</v>
      </c>
      <c r="BV27" s="3">
        <v>155102</v>
      </c>
      <c r="BW27" s="3">
        <v>143206</v>
      </c>
      <c r="BX27" s="3">
        <v>159562</v>
      </c>
      <c r="BY27" s="3">
        <v>173487</v>
      </c>
      <c r="BZ27" s="3">
        <v>169649</v>
      </c>
      <c r="CA27" s="3">
        <v>188587</v>
      </c>
      <c r="CB27" s="3">
        <v>169136</v>
      </c>
      <c r="CC27" s="3">
        <v>152484</v>
      </c>
      <c r="CD27" s="3">
        <v>90113</v>
      </c>
      <c r="CE27" s="3">
        <v>179069</v>
      </c>
      <c r="CF27" s="3">
        <v>157347</v>
      </c>
      <c r="CG27" s="3">
        <v>132288</v>
      </c>
      <c r="CH27" s="3">
        <v>173516</v>
      </c>
      <c r="CI27" s="3">
        <v>184000</v>
      </c>
      <c r="CJ27" s="3">
        <v>143472</v>
      </c>
      <c r="CK27" s="3">
        <v>155094</v>
      </c>
      <c r="CL27" s="3">
        <v>161321</v>
      </c>
      <c r="CM27" s="3">
        <v>149694</v>
      </c>
      <c r="CN27" s="3">
        <v>165713</v>
      </c>
      <c r="CO27" s="3">
        <v>132016</v>
      </c>
      <c r="CP27" s="3">
        <v>157878</v>
      </c>
      <c r="CQ27" s="3">
        <v>172531</v>
      </c>
      <c r="CR27" s="3">
        <v>170485</v>
      </c>
      <c r="CS27" s="3">
        <v>172630</v>
      </c>
      <c r="CT27" s="3">
        <v>133773</v>
      </c>
      <c r="CU27" s="3">
        <v>152002</v>
      </c>
      <c r="CV27" s="3">
        <v>141145</v>
      </c>
      <c r="CW27" s="3">
        <v>106390</v>
      </c>
    </row>
    <row r="28" spans="1:101" x14ac:dyDescent="0.35">
      <c r="A28">
        <v>202403</v>
      </c>
      <c r="B28" s="3">
        <v>170294</v>
      </c>
      <c r="C28" s="3">
        <v>182704</v>
      </c>
      <c r="D28" s="3">
        <v>188345</v>
      </c>
      <c r="E28" s="3">
        <v>192316</v>
      </c>
      <c r="F28" s="3">
        <v>178094</v>
      </c>
      <c r="G28" s="3">
        <v>160258</v>
      </c>
      <c r="H28" s="3">
        <v>197550</v>
      </c>
      <c r="I28" s="3">
        <v>169828</v>
      </c>
      <c r="J28" s="3">
        <v>168779</v>
      </c>
      <c r="K28" s="3">
        <v>174118</v>
      </c>
      <c r="L28" s="3">
        <v>143253</v>
      </c>
      <c r="M28" s="3">
        <v>170291</v>
      </c>
      <c r="N28" s="3">
        <v>212462</v>
      </c>
      <c r="O28" s="3">
        <v>168780</v>
      </c>
      <c r="P28" s="3">
        <v>185547</v>
      </c>
      <c r="Q28" s="3">
        <v>178977</v>
      </c>
      <c r="R28" s="3">
        <v>162913</v>
      </c>
      <c r="S28" s="3">
        <v>161547</v>
      </c>
      <c r="T28" s="3">
        <v>166998</v>
      </c>
      <c r="U28" s="3">
        <v>170055</v>
      </c>
      <c r="V28" s="3">
        <v>177562</v>
      </c>
      <c r="W28" s="3">
        <v>193139</v>
      </c>
      <c r="X28" s="3">
        <v>153051</v>
      </c>
      <c r="Y28" s="3">
        <v>188883</v>
      </c>
      <c r="Z28" s="3">
        <v>187301</v>
      </c>
      <c r="AA28" s="3">
        <v>221232</v>
      </c>
      <c r="AB28" s="3">
        <v>193676</v>
      </c>
      <c r="AC28" s="3">
        <v>170886</v>
      </c>
      <c r="AD28" s="3">
        <v>207024</v>
      </c>
      <c r="AE28" s="3">
        <v>214867</v>
      </c>
      <c r="AF28" s="3">
        <v>184914</v>
      </c>
      <c r="AG28" s="3">
        <v>175958</v>
      </c>
      <c r="AH28" s="3">
        <v>181303</v>
      </c>
      <c r="AI28" s="3">
        <v>187939</v>
      </c>
      <c r="AJ28" s="3">
        <v>181167</v>
      </c>
      <c r="AK28" s="3">
        <v>163011</v>
      </c>
      <c r="AL28" s="3">
        <v>186049</v>
      </c>
      <c r="AM28" s="3">
        <v>182051</v>
      </c>
      <c r="AN28" s="3">
        <v>187916</v>
      </c>
      <c r="AO28" s="3">
        <v>201050</v>
      </c>
      <c r="AP28" s="3">
        <v>218962</v>
      </c>
      <c r="AQ28" s="3">
        <v>182523</v>
      </c>
      <c r="AR28" s="3">
        <v>175021</v>
      </c>
      <c r="AS28" s="3">
        <v>188430</v>
      </c>
      <c r="AT28" s="3">
        <v>203765</v>
      </c>
      <c r="AU28" s="3">
        <v>204549</v>
      </c>
      <c r="AV28" s="3">
        <v>214241</v>
      </c>
      <c r="AW28" s="3">
        <v>202809</v>
      </c>
      <c r="AX28" s="3">
        <v>174836</v>
      </c>
      <c r="AY28" s="3">
        <v>203405</v>
      </c>
      <c r="AZ28" s="3">
        <v>94620</v>
      </c>
      <c r="BA28" s="3">
        <v>155235</v>
      </c>
      <c r="BB28" s="3">
        <v>195990</v>
      </c>
      <c r="BC28" s="3">
        <v>156219</v>
      </c>
      <c r="BD28" s="3">
        <v>182104</v>
      </c>
      <c r="BE28" s="3">
        <v>201170</v>
      </c>
      <c r="BF28" s="3">
        <v>205173</v>
      </c>
      <c r="BG28" s="3">
        <v>167899</v>
      </c>
      <c r="BH28" s="3">
        <v>174366</v>
      </c>
      <c r="BI28" s="3">
        <v>171783</v>
      </c>
      <c r="BJ28" s="3">
        <v>176827</v>
      </c>
      <c r="BK28" s="3">
        <v>192580</v>
      </c>
      <c r="BL28" s="3">
        <v>146541</v>
      </c>
      <c r="BM28" s="3">
        <v>176750</v>
      </c>
      <c r="BN28" s="3">
        <v>195105</v>
      </c>
      <c r="BO28" s="3">
        <v>196807</v>
      </c>
      <c r="BP28" s="3">
        <v>196031</v>
      </c>
      <c r="BQ28" s="3">
        <v>156666</v>
      </c>
      <c r="BR28" s="3">
        <v>169724</v>
      </c>
      <c r="BS28" s="3">
        <v>170652</v>
      </c>
      <c r="BT28" s="3">
        <v>159328</v>
      </c>
      <c r="BU28" s="3">
        <v>167941</v>
      </c>
      <c r="BV28" s="3">
        <v>178392</v>
      </c>
      <c r="BW28" s="3">
        <v>167001</v>
      </c>
      <c r="BX28" s="3">
        <v>189920</v>
      </c>
      <c r="BY28" s="3">
        <v>204244</v>
      </c>
      <c r="BZ28" s="3">
        <v>201531</v>
      </c>
      <c r="CA28" s="3">
        <v>220585</v>
      </c>
      <c r="CB28" s="3">
        <v>204116</v>
      </c>
      <c r="CC28" s="3">
        <v>182361</v>
      </c>
      <c r="CD28" s="3">
        <v>108743</v>
      </c>
      <c r="CE28" s="3">
        <v>214402</v>
      </c>
      <c r="CF28" s="3">
        <v>192408</v>
      </c>
      <c r="CG28" s="3">
        <v>167919</v>
      </c>
      <c r="CH28" s="3">
        <v>199114</v>
      </c>
      <c r="CI28" s="3">
        <v>217817</v>
      </c>
      <c r="CJ28" s="3">
        <v>163952</v>
      </c>
      <c r="CK28" s="3">
        <v>185016</v>
      </c>
      <c r="CL28" s="3">
        <v>193925</v>
      </c>
      <c r="CM28" s="3">
        <v>161943</v>
      </c>
      <c r="CN28" s="3">
        <v>193351</v>
      </c>
      <c r="CO28" s="3">
        <v>156773</v>
      </c>
      <c r="CP28" s="3">
        <v>177696</v>
      </c>
      <c r="CQ28" s="3">
        <v>200359</v>
      </c>
      <c r="CR28" s="3">
        <v>196748</v>
      </c>
      <c r="CS28" s="3">
        <v>208323</v>
      </c>
      <c r="CT28" s="3">
        <v>153304</v>
      </c>
      <c r="CU28" s="3">
        <v>179917</v>
      </c>
      <c r="CV28" s="3">
        <v>170714</v>
      </c>
      <c r="CW28" s="3">
        <v>124411</v>
      </c>
    </row>
    <row r="29" spans="1:101" x14ac:dyDescent="0.35">
      <c r="A29">
        <v>202404</v>
      </c>
      <c r="B29" s="3">
        <v>209176</v>
      </c>
      <c r="C29" s="3">
        <v>208006</v>
      </c>
      <c r="D29" s="3">
        <v>233285</v>
      </c>
      <c r="E29" s="3">
        <v>223013</v>
      </c>
      <c r="F29" s="3">
        <v>220830</v>
      </c>
      <c r="G29" s="3">
        <v>183143</v>
      </c>
      <c r="H29" s="3">
        <v>219261</v>
      </c>
      <c r="I29" s="3">
        <v>193016</v>
      </c>
      <c r="J29" s="3">
        <v>202262</v>
      </c>
      <c r="K29" s="3">
        <v>196689</v>
      </c>
      <c r="L29" s="3">
        <v>169767</v>
      </c>
      <c r="M29" s="3">
        <v>202515</v>
      </c>
      <c r="N29" s="3">
        <v>248772</v>
      </c>
      <c r="O29" s="3">
        <v>186506</v>
      </c>
      <c r="P29" s="3">
        <v>205255</v>
      </c>
      <c r="Q29" s="3">
        <v>200824</v>
      </c>
      <c r="R29" s="3">
        <v>190022</v>
      </c>
      <c r="S29" s="3">
        <v>189343</v>
      </c>
      <c r="T29" s="3">
        <v>183457</v>
      </c>
      <c r="U29" s="3">
        <v>200834</v>
      </c>
      <c r="V29" s="3">
        <v>211300</v>
      </c>
      <c r="W29" s="3">
        <v>213295</v>
      </c>
      <c r="X29" s="3">
        <v>189077</v>
      </c>
      <c r="Y29" s="3">
        <v>225018</v>
      </c>
      <c r="Z29" s="3">
        <v>215327</v>
      </c>
      <c r="AA29" s="3">
        <v>245300</v>
      </c>
      <c r="AB29" s="3">
        <v>211944</v>
      </c>
      <c r="AC29" s="3">
        <v>196633</v>
      </c>
      <c r="AD29" s="3">
        <v>242733</v>
      </c>
      <c r="AE29" s="3">
        <v>247216</v>
      </c>
      <c r="AF29" s="3">
        <v>216968</v>
      </c>
      <c r="AG29" s="3">
        <v>222074</v>
      </c>
      <c r="AH29" s="3">
        <v>201510</v>
      </c>
      <c r="AI29" s="3">
        <v>224161</v>
      </c>
      <c r="AJ29" s="3">
        <v>210361</v>
      </c>
      <c r="AK29" s="3">
        <v>187427</v>
      </c>
      <c r="AL29" s="3">
        <v>225866</v>
      </c>
      <c r="AM29" s="3">
        <v>207834</v>
      </c>
      <c r="AN29" s="3">
        <v>217180</v>
      </c>
      <c r="AO29" s="3">
        <v>233319</v>
      </c>
      <c r="AP29" s="3">
        <v>246029</v>
      </c>
      <c r="AQ29" s="3">
        <v>228713</v>
      </c>
      <c r="AR29" s="3">
        <v>211619</v>
      </c>
      <c r="AS29" s="3">
        <v>201152</v>
      </c>
      <c r="AT29" s="3">
        <v>233158</v>
      </c>
      <c r="AU29" s="3">
        <v>233151</v>
      </c>
      <c r="AV29" s="3">
        <v>237255</v>
      </c>
      <c r="AW29" s="3">
        <v>238654</v>
      </c>
      <c r="AX29" s="3">
        <v>192812</v>
      </c>
      <c r="AY29" s="3">
        <v>228468</v>
      </c>
      <c r="AZ29" s="3">
        <v>105851</v>
      </c>
      <c r="BA29" s="3">
        <v>181670</v>
      </c>
      <c r="BB29" s="3">
        <v>218098</v>
      </c>
      <c r="BC29" s="3">
        <v>189959</v>
      </c>
      <c r="BD29" s="3">
        <v>211309</v>
      </c>
      <c r="BE29" s="3">
        <v>232760</v>
      </c>
      <c r="BF29" s="3">
        <v>229383</v>
      </c>
      <c r="BG29" s="3">
        <v>189146</v>
      </c>
      <c r="BH29" s="3">
        <v>200546</v>
      </c>
      <c r="BI29" s="3">
        <v>207256</v>
      </c>
      <c r="BJ29" s="3">
        <v>214783</v>
      </c>
      <c r="BK29" s="3">
        <v>225638</v>
      </c>
      <c r="BL29" s="3">
        <v>180586</v>
      </c>
      <c r="BM29" s="3">
        <v>212038</v>
      </c>
      <c r="BN29" s="3">
        <v>220503</v>
      </c>
      <c r="BO29" s="3">
        <v>227188</v>
      </c>
      <c r="BP29" s="3">
        <v>219224</v>
      </c>
      <c r="BQ29" s="3">
        <v>185070</v>
      </c>
      <c r="BR29" s="3">
        <v>187141</v>
      </c>
      <c r="BS29" s="3">
        <v>208756</v>
      </c>
      <c r="BT29" s="3">
        <v>184499</v>
      </c>
      <c r="BU29" s="3">
        <v>197776</v>
      </c>
      <c r="BV29" s="3">
        <v>216738</v>
      </c>
      <c r="BW29" s="3">
        <v>195906</v>
      </c>
      <c r="BX29" s="3">
        <v>226762</v>
      </c>
      <c r="BY29" s="3">
        <v>234915</v>
      </c>
      <c r="BZ29" s="3">
        <v>229314</v>
      </c>
      <c r="CA29" s="3">
        <v>267258</v>
      </c>
      <c r="CB29" s="3">
        <v>221221</v>
      </c>
      <c r="CC29" s="3">
        <v>221723</v>
      </c>
      <c r="CD29" s="3">
        <v>123498</v>
      </c>
      <c r="CE29" s="3">
        <v>231703</v>
      </c>
      <c r="CF29" s="3">
        <v>220586</v>
      </c>
      <c r="CG29" s="3">
        <v>189094</v>
      </c>
      <c r="CH29" s="3">
        <v>232337</v>
      </c>
      <c r="CI29" s="3">
        <v>253195</v>
      </c>
      <c r="CJ29" s="3">
        <v>194551</v>
      </c>
      <c r="CK29" s="3">
        <v>214310</v>
      </c>
      <c r="CL29" s="3">
        <v>230318</v>
      </c>
      <c r="CM29" s="3">
        <v>196244</v>
      </c>
      <c r="CN29" s="3">
        <v>225084</v>
      </c>
      <c r="CO29" s="3">
        <v>182550</v>
      </c>
      <c r="CP29" s="3">
        <v>205130</v>
      </c>
      <c r="CQ29" s="3">
        <v>221736</v>
      </c>
      <c r="CR29" s="3">
        <v>234211</v>
      </c>
      <c r="CS29" s="3">
        <v>228636</v>
      </c>
      <c r="CT29" s="3">
        <v>176085</v>
      </c>
      <c r="CU29" s="3">
        <v>207503</v>
      </c>
      <c r="CV29" s="3">
        <v>196450</v>
      </c>
      <c r="CW29" s="3">
        <v>145606</v>
      </c>
    </row>
    <row r="30" spans="1:101" x14ac:dyDescent="0.35">
      <c r="A30">
        <v>202405</v>
      </c>
      <c r="B30" s="3">
        <v>224565</v>
      </c>
      <c r="C30" s="3">
        <v>235605</v>
      </c>
      <c r="D30" s="3">
        <v>251460</v>
      </c>
      <c r="E30" s="3">
        <v>245483</v>
      </c>
      <c r="F30" s="3">
        <v>244809</v>
      </c>
      <c r="G30" s="3">
        <v>202638</v>
      </c>
      <c r="H30" s="3">
        <v>254480</v>
      </c>
      <c r="I30" s="3">
        <v>214711</v>
      </c>
      <c r="J30" s="3">
        <v>218249</v>
      </c>
      <c r="K30" s="3">
        <v>224956</v>
      </c>
      <c r="L30" s="3">
        <v>191781</v>
      </c>
      <c r="M30" s="3">
        <v>231889</v>
      </c>
      <c r="N30" s="3">
        <v>275564</v>
      </c>
      <c r="O30" s="3">
        <v>216757</v>
      </c>
      <c r="P30" s="3">
        <v>243673</v>
      </c>
      <c r="Q30" s="3">
        <v>220045</v>
      </c>
      <c r="R30" s="3">
        <v>213746</v>
      </c>
      <c r="S30" s="3">
        <v>208196</v>
      </c>
      <c r="T30" s="3">
        <v>220204</v>
      </c>
      <c r="U30" s="3">
        <v>236232</v>
      </c>
      <c r="V30" s="3">
        <v>225981</v>
      </c>
      <c r="W30" s="3">
        <v>241398</v>
      </c>
      <c r="X30" s="3">
        <v>198013</v>
      </c>
      <c r="Y30" s="3">
        <v>244027</v>
      </c>
      <c r="Z30" s="3">
        <v>232645</v>
      </c>
      <c r="AA30" s="3">
        <v>284082</v>
      </c>
      <c r="AB30" s="3">
        <v>238443</v>
      </c>
      <c r="AC30" s="3">
        <v>225897</v>
      </c>
      <c r="AD30" s="3">
        <v>270547</v>
      </c>
      <c r="AE30" s="3">
        <v>276447</v>
      </c>
      <c r="AF30" s="3">
        <v>242424</v>
      </c>
      <c r="AG30" s="3">
        <v>240371</v>
      </c>
      <c r="AH30" s="3">
        <v>225393</v>
      </c>
      <c r="AI30" s="3">
        <v>252046</v>
      </c>
      <c r="AJ30" s="3">
        <v>237878</v>
      </c>
      <c r="AK30" s="3">
        <v>215054</v>
      </c>
      <c r="AL30" s="3">
        <v>232980</v>
      </c>
      <c r="AM30" s="3">
        <v>227992</v>
      </c>
      <c r="AN30" s="3">
        <v>251112</v>
      </c>
      <c r="AO30" s="3">
        <v>255610</v>
      </c>
      <c r="AP30" s="3">
        <v>274744</v>
      </c>
      <c r="AQ30" s="3">
        <v>231926</v>
      </c>
      <c r="AR30" s="3">
        <v>234603</v>
      </c>
      <c r="AS30" s="3">
        <v>233768</v>
      </c>
      <c r="AT30" s="3">
        <v>257587</v>
      </c>
      <c r="AU30" s="3">
        <v>272805</v>
      </c>
      <c r="AV30" s="3">
        <v>270443</v>
      </c>
      <c r="AW30" s="3">
        <v>261152</v>
      </c>
      <c r="AX30" s="3">
        <v>227419</v>
      </c>
      <c r="AY30" s="3">
        <v>248111</v>
      </c>
      <c r="AZ30" s="3">
        <v>117503</v>
      </c>
      <c r="BA30" s="3">
        <v>197312</v>
      </c>
      <c r="BB30" s="3">
        <v>255859</v>
      </c>
      <c r="BC30" s="3">
        <v>217892</v>
      </c>
      <c r="BD30" s="3">
        <v>241628</v>
      </c>
      <c r="BE30" s="3">
        <v>264323</v>
      </c>
      <c r="BF30" s="3">
        <v>270114</v>
      </c>
      <c r="BG30" s="3">
        <v>203937</v>
      </c>
      <c r="BH30" s="3">
        <v>223998</v>
      </c>
      <c r="BI30" s="3">
        <v>231559</v>
      </c>
      <c r="BJ30" s="3">
        <v>229971</v>
      </c>
      <c r="BK30" s="3">
        <v>250076</v>
      </c>
      <c r="BL30" s="3">
        <v>182707</v>
      </c>
      <c r="BM30" s="3">
        <v>222837</v>
      </c>
      <c r="BN30" s="3">
        <v>241181</v>
      </c>
      <c r="BO30" s="3">
        <v>255248</v>
      </c>
      <c r="BP30" s="3">
        <v>253763</v>
      </c>
      <c r="BQ30" s="3">
        <v>202928</v>
      </c>
      <c r="BR30" s="3">
        <v>208986</v>
      </c>
      <c r="BS30" s="3">
        <v>219453</v>
      </c>
      <c r="BT30" s="3">
        <v>208476</v>
      </c>
      <c r="BU30" s="3">
        <v>217730</v>
      </c>
      <c r="BV30" s="3">
        <v>243922</v>
      </c>
      <c r="BW30" s="3">
        <v>223208</v>
      </c>
      <c r="BX30" s="3">
        <v>245751</v>
      </c>
      <c r="BY30" s="3">
        <v>270104</v>
      </c>
      <c r="BZ30" s="3">
        <v>262405</v>
      </c>
      <c r="CA30" s="3">
        <v>284991</v>
      </c>
      <c r="CB30" s="3">
        <v>254503</v>
      </c>
      <c r="CC30" s="3">
        <v>246865</v>
      </c>
      <c r="CD30" s="3">
        <v>137710</v>
      </c>
      <c r="CE30" s="3">
        <v>267532</v>
      </c>
      <c r="CF30" s="3">
        <v>241326</v>
      </c>
      <c r="CG30" s="3">
        <v>209845</v>
      </c>
      <c r="CH30" s="3">
        <v>261754</v>
      </c>
      <c r="CI30" s="3">
        <v>289059</v>
      </c>
      <c r="CJ30" s="3">
        <v>211965</v>
      </c>
      <c r="CK30" s="3">
        <v>241498</v>
      </c>
      <c r="CL30" s="3">
        <v>244734</v>
      </c>
      <c r="CM30" s="3">
        <v>214054</v>
      </c>
      <c r="CN30" s="3">
        <v>236293</v>
      </c>
      <c r="CO30" s="3">
        <v>202819</v>
      </c>
      <c r="CP30" s="3">
        <v>227278</v>
      </c>
      <c r="CQ30" s="3">
        <v>262066</v>
      </c>
      <c r="CR30" s="3">
        <v>248934</v>
      </c>
      <c r="CS30" s="3">
        <v>253412</v>
      </c>
      <c r="CT30" s="3">
        <v>203358</v>
      </c>
      <c r="CU30" s="3">
        <v>221999</v>
      </c>
      <c r="CV30" s="3">
        <v>214556</v>
      </c>
      <c r="CW30" s="3">
        <v>164055</v>
      </c>
    </row>
    <row r="31" spans="1:101" x14ac:dyDescent="0.35">
      <c r="A31">
        <v>202406</v>
      </c>
      <c r="B31" s="3">
        <v>241100</v>
      </c>
      <c r="C31" s="3">
        <v>242923</v>
      </c>
      <c r="D31" s="3">
        <v>244476</v>
      </c>
      <c r="E31" s="3">
        <v>241880</v>
      </c>
      <c r="F31" s="3">
        <v>237691</v>
      </c>
      <c r="G31" s="3">
        <v>208291</v>
      </c>
      <c r="H31" s="3">
        <v>266549</v>
      </c>
      <c r="I31" s="3">
        <v>215793</v>
      </c>
      <c r="J31" s="3">
        <v>219995</v>
      </c>
      <c r="K31" s="3">
        <v>237523</v>
      </c>
      <c r="L31" s="3">
        <v>196520</v>
      </c>
      <c r="M31" s="3">
        <v>232410</v>
      </c>
      <c r="N31" s="3">
        <v>285349</v>
      </c>
      <c r="O31" s="3">
        <v>221926</v>
      </c>
      <c r="P31" s="3">
        <v>244570</v>
      </c>
      <c r="Q31" s="3">
        <v>226690</v>
      </c>
      <c r="R31" s="3">
        <v>218311</v>
      </c>
      <c r="S31" s="3">
        <v>231036</v>
      </c>
      <c r="T31" s="3">
        <v>205620</v>
      </c>
      <c r="U31" s="3">
        <v>210967</v>
      </c>
      <c r="V31" s="3">
        <v>239691</v>
      </c>
      <c r="W31" s="3">
        <v>243409</v>
      </c>
      <c r="X31" s="3">
        <v>223503</v>
      </c>
      <c r="Y31" s="3">
        <v>252215</v>
      </c>
      <c r="Z31" s="3">
        <v>242150</v>
      </c>
      <c r="AA31" s="3">
        <v>288347</v>
      </c>
      <c r="AB31" s="3">
        <v>246234</v>
      </c>
      <c r="AC31" s="3">
        <v>231775</v>
      </c>
      <c r="AD31" s="3">
        <v>260576</v>
      </c>
      <c r="AE31" s="3">
        <v>291400</v>
      </c>
      <c r="AF31" s="3">
        <v>248244</v>
      </c>
      <c r="AG31" s="3">
        <v>249730</v>
      </c>
      <c r="AH31" s="3">
        <v>226810</v>
      </c>
      <c r="AI31" s="3">
        <v>255027</v>
      </c>
      <c r="AJ31" s="3">
        <v>236530</v>
      </c>
      <c r="AK31" s="3">
        <v>217961</v>
      </c>
      <c r="AL31" s="3">
        <v>239080</v>
      </c>
      <c r="AM31" s="3">
        <v>234113</v>
      </c>
      <c r="AN31" s="3">
        <v>256683</v>
      </c>
      <c r="AO31" s="3">
        <v>270753</v>
      </c>
      <c r="AP31" s="3">
        <v>283969</v>
      </c>
      <c r="AQ31" s="3">
        <v>234974</v>
      </c>
      <c r="AR31" s="3">
        <v>233308</v>
      </c>
      <c r="AS31" s="3">
        <v>222321</v>
      </c>
      <c r="AT31" s="3">
        <v>257402</v>
      </c>
      <c r="AU31" s="3">
        <v>267992</v>
      </c>
      <c r="AV31" s="3">
        <v>272441</v>
      </c>
      <c r="AW31" s="3">
        <v>260707</v>
      </c>
      <c r="AX31" s="3">
        <v>231585</v>
      </c>
      <c r="AY31" s="3">
        <v>266661</v>
      </c>
      <c r="AZ31" s="3">
        <v>123979</v>
      </c>
      <c r="BA31" s="3">
        <v>204175</v>
      </c>
      <c r="BB31" s="3">
        <v>257149</v>
      </c>
      <c r="BC31" s="3">
        <v>207734</v>
      </c>
      <c r="BD31" s="3">
        <v>244987</v>
      </c>
      <c r="BE31" s="3">
        <v>259567</v>
      </c>
      <c r="BF31" s="3">
        <v>261295</v>
      </c>
      <c r="BG31" s="3">
        <v>213354</v>
      </c>
      <c r="BH31" s="3">
        <v>234756</v>
      </c>
      <c r="BI31" s="3">
        <v>226400</v>
      </c>
      <c r="BJ31" s="3">
        <v>243843</v>
      </c>
      <c r="BK31" s="3">
        <v>252841</v>
      </c>
      <c r="BL31" s="3">
        <v>200978</v>
      </c>
      <c r="BM31" s="3">
        <v>230476</v>
      </c>
      <c r="BN31" s="3">
        <v>251085</v>
      </c>
      <c r="BO31" s="3">
        <v>277140</v>
      </c>
      <c r="BP31" s="3">
        <v>252839</v>
      </c>
      <c r="BQ31" s="3">
        <v>200802</v>
      </c>
      <c r="BR31" s="3">
        <v>212575</v>
      </c>
      <c r="BS31" s="3">
        <v>242660</v>
      </c>
      <c r="BT31" s="3">
        <v>210595</v>
      </c>
      <c r="BU31" s="3">
        <v>218252</v>
      </c>
      <c r="BV31" s="3">
        <v>237244</v>
      </c>
      <c r="BW31" s="3">
        <v>218083</v>
      </c>
      <c r="BX31" s="3">
        <v>258015</v>
      </c>
      <c r="BY31" s="3">
        <v>266817</v>
      </c>
      <c r="BZ31" s="3">
        <v>260994</v>
      </c>
      <c r="CA31" s="3">
        <v>291539</v>
      </c>
      <c r="CB31" s="3">
        <v>260512</v>
      </c>
      <c r="CC31" s="3">
        <v>254515</v>
      </c>
      <c r="CD31" s="3">
        <v>142703</v>
      </c>
      <c r="CE31" s="3">
        <v>277315</v>
      </c>
      <c r="CF31" s="3">
        <v>258542</v>
      </c>
      <c r="CG31" s="3">
        <v>212238</v>
      </c>
      <c r="CH31" s="3">
        <v>262196</v>
      </c>
      <c r="CI31" s="3">
        <v>298721</v>
      </c>
      <c r="CJ31" s="3">
        <v>218744</v>
      </c>
      <c r="CK31" s="3">
        <v>239351</v>
      </c>
      <c r="CL31" s="3">
        <v>252264</v>
      </c>
      <c r="CM31" s="3">
        <v>218947</v>
      </c>
      <c r="CN31" s="3">
        <v>264513</v>
      </c>
      <c r="CO31" s="3">
        <v>208273</v>
      </c>
      <c r="CP31" s="3">
        <v>240844</v>
      </c>
      <c r="CQ31" s="3">
        <v>262729</v>
      </c>
      <c r="CR31" s="3">
        <v>258694</v>
      </c>
      <c r="CS31" s="3">
        <v>267675</v>
      </c>
      <c r="CT31" s="3">
        <v>193278</v>
      </c>
      <c r="CU31" s="3">
        <v>239000</v>
      </c>
      <c r="CV31" s="3">
        <v>221606</v>
      </c>
      <c r="CW31" s="3">
        <v>159195</v>
      </c>
    </row>
    <row r="32" spans="1:101" x14ac:dyDescent="0.35">
      <c r="A32">
        <v>202407</v>
      </c>
      <c r="B32" s="3">
        <v>250702</v>
      </c>
      <c r="C32" s="3">
        <v>255102</v>
      </c>
      <c r="D32" s="3">
        <v>262350</v>
      </c>
      <c r="E32" s="3">
        <v>259603</v>
      </c>
      <c r="F32" s="3">
        <v>250267</v>
      </c>
      <c r="G32" s="3">
        <v>220893</v>
      </c>
      <c r="H32" s="3">
        <v>265638</v>
      </c>
      <c r="I32" s="3">
        <v>223859</v>
      </c>
      <c r="J32" s="3">
        <v>227695</v>
      </c>
      <c r="K32" s="3">
        <v>236780</v>
      </c>
      <c r="L32" s="3">
        <v>191399</v>
      </c>
      <c r="M32" s="3">
        <v>243650</v>
      </c>
      <c r="N32" s="3">
        <v>298391</v>
      </c>
      <c r="O32" s="3">
        <v>230953</v>
      </c>
      <c r="P32" s="3">
        <v>256081</v>
      </c>
      <c r="Q32" s="3">
        <v>241289</v>
      </c>
      <c r="R32" s="3">
        <v>226353</v>
      </c>
      <c r="S32" s="3">
        <v>240940</v>
      </c>
      <c r="T32" s="3">
        <v>238801</v>
      </c>
      <c r="U32" s="3">
        <v>227423</v>
      </c>
      <c r="V32" s="3">
        <v>241797</v>
      </c>
      <c r="W32" s="3">
        <v>243321</v>
      </c>
      <c r="X32" s="3">
        <v>211104</v>
      </c>
      <c r="Y32" s="3">
        <v>259184</v>
      </c>
      <c r="Z32" s="3">
        <v>251518</v>
      </c>
      <c r="AA32" s="3">
        <v>298855</v>
      </c>
      <c r="AB32" s="3">
        <v>266250</v>
      </c>
      <c r="AC32" s="3">
        <v>250585</v>
      </c>
      <c r="AD32" s="3">
        <v>274180</v>
      </c>
      <c r="AE32" s="3">
        <v>291716</v>
      </c>
      <c r="AF32" s="3">
        <v>251191</v>
      </c>
      <c r="AG32" s="3">
        <v>259289</v>
      </c>
      <c r="AH32" s="3">
        <v>234172</v>
      </c>
      <c r="AI32" s="3">
        <v>263191</v>
      </c>
      <c r="AJ32" s="3">
        <v>254437</v>
      </c>
      <c r="AK32" s="3">
        <v>225285</v>
      </c>
      <c r="AL32" s="3">
        <v>258082</v>
      </c>
      <c r="AM32" s="3">
        <v>239874</v>
      </c>
      <c r="AN32" s="3">
        <v>273546</v>
      </c>
      <c r="AO32" s="3">
        <v>278161</v>
      </c>
      <c r="AP32" s="3">
        <v>272595</v>
      </c>
      <c r="AQ32" s="3">
        <v>257851</v>
      </c>
      <c r="AR32" s="3">
        <v>256725</v>
      </c>
      <c r="AS32" s="3">
        <v>241807</v>
      </c>
      <c r="AT32" s="3">
        <v>268581</v>
      </c>
      <c r="AU32" s="3">
        <v>288990</v>
      </c>
      <c r="AV32" s="3">
        <v>282102</v>
      </c>
      <c r="AW32" s="3">
        <v>276071</v>
      </c>
      <c r="AX32" s="3">
        <v>236118</v>
      </c>
      <c r="AY32" s="3">
        <v>269432</v>
      </c>
      <c r="AZ32" s="3">
        <v>128821</v>
      </c>
      <c r="BA32" s="3">
        <v>210802</v>
      </c>
      <c r="BB32" s="3">
        <v>265973</v>
      </c>
      <c r="BC32" s="3">
        <v>234902</v>
      </c>
      <c r="BD32" s="3">
        <v>251027</v>
      </c>
      <c r="BE32" s="3">
        <v>271582</v>
      </c>
      <c r="BF32" s="3">
        <v>265798</v>
      </c>
      <c r="BG32" s="3">
        <v>217947</v>
      </c>
      <c r="BH32" s="3">
        <v>240795</v>
      </c>
      <c r="BI32" s="3">
        <v>245481</v>
      </c>
      <c r="BJ32" s="3">
        <v>246033</v>
      </c>
      <c r="BK32" s="3">
        <v>264469</v>
      </c>
      <c r="BL32" s="3">
        <v>210349</v>
      </c>
      <c r="BM32" s="3">
        <v>251391</v>
      </c>
      <c r="BN32" s="3">
        <v>260346</v>
      </c>
      <c r="BO32" s="3">
        <v>288594</v>
      </c>
      <c r="BP32" s="3">
        <v>266235</v>
      </c>
      <c r="BQ32" s="3">
        <v>206964</v>
      </c>
      <c r="BR32" s="3">
        <v>230068</v>
      </c>
      <c r="BS32" s="3">
        <v>230116</v>
      </c>
      <c r="BT32" s="3">
        <v>224519</v>
      </c>
      <c r="BU32" s="3">
        <v>236496</v>
      </c>
      <c r="BV32" s="3">
        <v>251058</v>
      </c>
      <c r="BW32" s="3">
        <v>237734</v>
      </c>
      <c r="BX32" s="3">
        <v>261130</v>
      </c>
      <c r="BY32" s="3">
        <v>270399</v>
      </c>
      <c r="BZ32" s="3">
        <v>267981</v>
      </c>
      <c r="CA32" s="3">
        <v>302170</v>
      </c>
      <c r="CB32" s="3">
        <v>275555</v>
      </c>
      <c r="CC32" s="3">
        <v>252497</v>
      </c>
      <c r="CD32" s="3">
        <v>152052</v>
      </c>
      <c r="CE32" s="3">
        <v>272778</v>
      </c>
      <c r="CF32" s="3">
        <v>261350</v>
      </c>
      <c r="CG32" s="3">
        <v>218809</v>
      </c>
      <c r="CH32" s="3">
        <v>267213</v>
      </c>
      <c r="CI32" s="3">
        <v>292690</v>
      </c>
      <c r="CJ32" s="3">
        <v>220354</v>
      </c>
      <c r="CK32" s="3">
        <v>235032</v>
      </c>
      <c r="CL32" s="3">
        <v>268785</v>
      </c>
      <c r="CM32" s="3">
        <v>217779</v>
      </c>
      <c r="CN32" s="3">
        <v>240824</v>
      </c>
      <c r="CO32" s="3">
        <v>214961</v>
      </c>
      <c r="CP32" s="3">
        <v>250959</v>
      </c>
      <c r="CQ32" s="3">
        <v>264353</v>
      </c>
      <c r="CR32" s="3">
        <v>272788</v>
      </c>
      <c r="CS32" s="3">
        <v>262337</v>
      </c>
      <c r="CT32" s="3">
        <v>214570</v>
      </c>
      <c r="CU32" s="3">
        <v>252896</v>
      </c>
      <c r="CV32" s="3">
        <v>228516</v>
      </c>
      <c r="CW32" s="3">
        <v>176297</v>
      </c>
    </row>
    <row r="33" spans="1:101" x14ac:dyDescent="0.35">
      <c r="A33">
        <v>202408</v>
      </c>
      <c r="B33" s="3">
        <v>202811</v>
      </c>
      <c r="C33" s="3">
        <v>219692</v>
      </c>
      <c r="D33" s="3">
        <v>227399</v>
      </c>
      <c r="E33" s="3">
        <v>223931</v>
      </c>
      <c r="F33" s="3">
        <v>219948</v>
      </c>
      <c r="G33" s="3">
        <v>189604</v>
      </c>
      <c r="H33" s="3">
        <v>218600</v>
      </c>
      <c r="I33" s="3">
        <v>196732</v>
      </c>
      <c r="J33" s="3">
        <v>199289</v>
      </c>
      <c r="K33" s="3">
        <v>207442</v>
      </c>
      <c r="L33" s="3">
        <v>176984</v>
      </c>
      <c r="M33" s="3">
        <v>210242</v>
      </c>
      <c r="N33" s="3">
        <v>267302</v>
      </c>
      <c r="O33" s="3">
        <v>200708</v>
      </c>
      <c r="P33" s="3">
        <v>232898</v>
      </c>
      <c r="Q33" s="3">
        <v>219455</v>
      </c>
      <c r="R33" s="3">
        <v>194636</v>
      </c>
      <c r="S33" s="3">
        <v>188167</v>
      </c>
      <c r="T33" s="3">
        <v>198512</v>
      </c>
      <c r="U33" s="3">
        <v>194667</v>
      </c>
      <c r="V33" s="3">
        <v>212635</v>
      </c>
      <c r="W33" s="3">
        <v>222338</v>
      </c>
      <c r="X33" s="3">
        <v>186966</v>
      </c>
      <c r="Y33" s="3">
        <v>231113</v>
      </c>
      <c r="Z33" s="3">
        <v>217818</v>
      </c>
      <c r="AA33" s="3">
        <v>266254</v>
      </c>
      <c r="AB33" s="3">
        <v>223704</v>
      </c>
      <c r="AC33" s="3">
        <v>214371</v>
      </c>
      <c r="AD33" s="3">
        <v>244949</v>
      </c>
      <c r="AE33" s="3">
        <v>256042</v>
      </c>
      <c r="AF33" s="3">
        <v>222946</v>
      </c>
      <c r="AG33" s="3">
        <v>229754</v>
      </c>
      <c r="AH33" s="3">
        <v>212992</v>
      </c>
      <c r="AI33" s="3">
        <v>226764</v>
      </c>
      <c r="AJ33" s="3">
        <v>205123</v>
      </c>
      <c r="AK33" s="3">
        <v>193065</v>
      </c>
      <c r="AL33" s="3">
        <v>225602</v>
      </c>
      <c r="AM33" s="3">
        <v>216664</v>
      </c>
      <c r="AN33" s="3">
        <v>217292</v>
      </c>
      <c r="AO33" s="3">
        <v>242379</v>
      </c>
      <c r="AP33" s="3">
        <v>236058</v>
      </c>
      <c r="AQ33" s="3">
        <v>217522</v>
      </c>
      <c r="AR33" s="3">
        <v>217691</v>
      </c>
      <c r="AS33" s="3">
        <v>206753</v>
      </c>
      <c r="AT33" s="3">
        <v>241858</v>
      </c>
      <c r="AU33" s="3">
        <v>234914</v>
      </c>
      <c r="AV33" s="3">
        <v>251490</v>
      </c>
      <c r="AW33" s="3">
        <v>238877</v>
      </c>
      <c r="AX33" s="3">
        <v>198966</v>
      </c>
      <c r="AY33" s="3">
        <v>241435</v>
      </c>
      <c r="AZ33" s="3">
        <v>110450</v>
      </c>
      <c r="BA33" s="3">
        <v>182791</v>
      </c>
      <c r="BB33" s="3">
        <v>223038</v>
      </c>
      <c r="BC33" s="3">
        <v>216529</v>
      </c>
      <c r="BD33" s="3">
        <v>222623</v>
      </c>
      <c r="BE33" s="3">
        <v>237847</v>
      </c>
      <c r="BF33" s="3">
        <v>237284</v>
      </c>
      <c r="BG33" s="3">
        <v>200057</v>
      </c>
      <c r="BH33" s="3">
        <v>206257</v>
      </c>
      <c r="BI33" s="3">
        <v>213010</v>
      </c>
      <c r="BJ33" s="3">
        <v>210206</v>
      </c>
      <c r="BK33" s="3">
        <v>229108</v>
      </c>
      <c r="BL33" s="3">
        <v>190446</v>
      </c>
      <c r="BM33" s="3">
        <v>218795</v>
      </c>
      <c r="BN33" s="3">
        <v>234851</v>
      </c>
      <c r="BO33" s="3">
        <v>236001</v>
      </c>
      <c r="BP33" s="3">
        <v>228428</v>
      </c>
      <c r="BQ33" s="3">
        <v>185893</v>
      </c>
      <c r="BR33" s="3">
        <v>190617</v>
      </c>
      <c r="BS33" s="3">
        <v>215909</v>
      </c>
      <c r="BT33" s="3">
        <v>188900</v>
      </c>
      <c r="BU33" s="3">
        <v>211018</v>
      </c>
      <c r="BV33" s="3">
        <v>215345</v>
      </c>
      <c r="BW33" s="3">
        <v>201603</v>
      </c>
      <c r="BX33" s="3">
        <v>212059</v>
      </c>
      <c r="BY33" s="3">
        <v>238045</v>
      </c>
      <c r="BZ33" s="3">
        <v>240383</v>
      </c>
      <c r="CA33" s="3">
        <v>263015</v>
      </c>
      <c r="CB33" s="3">
        <v>237772</v>
      </c>
      <c r="CC33" s="3">
        <v>208199</v>
      </c>
      <c r="CD33" s="3">
        <v>131453</v>
      </c>
      <c r="CE33" s="3">
        <v>245259</v>
      </c>
      <c r="CF33" s="3">
        <v>222458</v>
      </c>
      <c r="CG33" s="3">
        <v>191227</v>
      </c>
      <c r="CH33" s="3">
        <v>243902</v>
      </c>
      <c r="CI33" s="3">
        <v>271971</v>
      </c>
      <c r="CJ33" s="3">
        <v>195339</v>
      </c>
      <c r="CK33" s="3">
        <v>211384</v>
      </c>
      <c r="CL33" s="3">
        <v>219959</v>
      </c>
      <c r="CM33" s="3">
        <v>209017</v>
      </c>
      <c r="CN33" s="3">
        <v>235750</v>
      </c>
      <c r="CO33" s="3">
        <v>184968</v>
      </c>
      <c r="CP33" s="3">
        <v>218377</v>
      </c>
      <c r="CQ33" s="3">
        <v>244639</v>
      </c>
      <c r="CR33" s="3">
        <v>235383</v>
      </c>
      <c r="CS33" s="3">
        <v>245463</v>
      </c>
      <c r="CT33" s="3">
        <v>176838</v>
      </c>
      <c r="CU33" s="3">
        <v>219024</v>
      </c>
      <c r="CV33" s="3">
        <v>196352</v>
      </c>
      <c r="CW33" s="3">
        <v>150573</v>
      </c>
    </row>
    <row r="34" spans="1:101" x14ac:dyDescent="0.35">
      <c r="A34">
        <v>202409</v>
      </c>
      <c r="B34" s="3">
        <v>206579</v>
      </c>
      <c r="C34" s="3">
        <v>213555</v>
      </c>
      <c r="D34" s="3">
        <v>217269</v>
      </c>
      <c r="E34" s="3">
        <v>215946</v>
      </c>
      <c r="F34" s="3">
        <v>202997</v>
      </c>
      <c r="G34" s="3">
        <v>180319</v>
      </c>
      <c r="H34" s="3">
        <v>219365</v>
      </c>
      <c r="I34" s="3">
        <v>186638</v>
      </c>
      <c r="J34" s="3">
        <v>198704</v>
      </c>
      <c r="K34" s="3">
        <v>203932</v>
      </c>
      <c r="L34" s="3">
        <v>173304</v>
      </c>
      <c r="M34" s="3">
        <v>210532</v>
      </c>
      <c r="N34" s="3">
        <v>240488</v>
      </c>
      <c r="O34" s="3">
        <v>192927</v>
      </c>
      <c r="P34" s="3">
        <v>205800</v>
      </c>
      <c r="Q34" s="3">
        <v>205498</v>
      </c>
      <c r="R34" s="3">
        <v>188023</v>
      </c>
      <c r="S34" s="3">
        <v>196628</v>
      </c>
      <c r="T34" s="3">
        <v>195704</v>
      </c>
      <c r="U34" s="3">
        <v>191441</v>
      </c>
      <c r="V34" s="3">
        <v>207752</v>
      </c>
      <c r="W34" s="3">
        <v>209065</v>
      </c>
      <c r="X34" s="3">
        <v>176626</v>
      </c>
      <c r="Y34" s="3">
        <v>229524</v>
      </c>
      <c r="Z34" s="3">
        <v>210335</v>
      </c>
      <c r="AA34" s="3">
        <v>248249</v>
      </c>
      <c r="AB34" s="3">
        <v>225384</v>
      </c>
      <c r="AC34" s="3">
        <v>214090</v>
      </c>
      <c r="AD34" s="3">
        <v>230975</v>
      </c>
      <c r="AE34" s="3">
        <v>245643</v>
      </c>
      <c r="AF34" s="3">
        <v>214190</v>
      </c>
      <c r="AG34" s="3">
        <v>201694</v>
      </c>
      <c r="AH34" s="3">
        <v>193064</v>
      </c>
      <c r="AI34" s="3">
        <v>216391</v>
      </c>
      <c r="AJ34" s="3">
        <v>205981</v>
      </c>
      <c r="AK34" s="3">
        <v>195578</v>
      </c>
      <c r="AL34" s="3">
        <v>217363</v>
      </c>
      <c r="AM34" s="3">
        <v>201446</v>
      </c>
      <c r="AN34" s="3">
        <v>207726</v>
      </c>
      <c r="AO34" s="3">
        <v>228622</v>
      </c>
      <c r="AP34" s="3">
        <v>251353</v>
      </c>
      <c r="AQ34" s="3">
        <v>198899</v>
      </c>
      <c r="AR34" s="3">
        <v>222677</v>
      </c>
      <c r="AS34" s="3">
        <v>193865</v>
      </c>
      <c r="AT34" s="3">
        <v>226192</v>
      </c>
      <c r="AU34" s="3">
        <v>227749</v>
      </c>
      <c r="AV34" s="3">
        <v>233778</v>
      </c>
      <c r="AW34" s="3">
        <v>225042</v>
      </c>
      <c r="AX34" s="3">
        <v>188418</v>
      </c>
      <c r="AY34" s="3">
        <v>226278</v>
      </c>
      <c r="AZ34" s="3">
        <v>105567</v>
      </c>
      <c r="BA34" s="3">
        <v>182740</v>
      </c>
      <c r="BB34" s="3">
        <v>229184</v>
      </c>
      <c r="BC34" s="3">
        <v>186104</v>
      </c>
      <c r="BD34" s="3">
        <v>215848</v>
      </c>
      <c r="BE34" s="3">
        <v>237907</v>
      </c>
      <c r="BF34" s="3">
        <v>226098</v>
      </c>
      <c r="BG34" s="3">
        <v>188772</v>
      </c>
      <c r="BH34" s="3">
        <v>196122</v>
      </c>
      <c r="BI34" s="3">
        <v>198517</v>
      </c>
      <c r="BJ34" s="3">
        <v>208633</v>
      </c>
      <c r="BK34" s="3">
        <v>231150</v>
      </c>
      <c r="BL34" s="3">
        <v>177772</v>
      </c>
      <c r="BM34" s="3">
        <v>205780</v>
      </c>
      <c r="BN34" s="3">
        <v>221183</v>
      </c>
      <c r="BO34" s="3">
        <v>234885</v>
      </c>
      <c r="BP34" s="3">
        <v>217462</v>
      </c>
      <c r="BQ34" s="3">
        <v>179246</v>
      </c>
      <c r="BR34" s="3">
        <v>189572</v>
      </c>
      <c r="BS34" s="3">
        <v>197854</v>
      </c>
      <c r="BT34" s="3">
        <v>185773</v>
      </c>
      <c r="BU34" s="3">
        <v>193538</v>
      </c>
      <c r="BV34" s="3">
        <v>205529</v>
      </c>
      <c r="BW34" s="3">
        <v>197457</v>
      </c>
      <c r="BX34" s="3">
        <v>204038</v>
      </c>
      <c r="BY34" s="3">
        <v>229308</v>
      </c>
      <c r="BZ34" s="3">
        <v>227888</v>
      </c>
      <c r="CA34" s="3">
        <v>264411</v>
      </c>
      <c r="CB34" s="3">
        <v>221998</v>
      </c>
      <c r="CC34" s="3">
        <v>197426</v>
      </c>
      <c r="CD34" s="3">
        <v>122012</v>
      </c>
      <c r="CE34" s="3">
        <v>238716</v>
      </c>
      <c r="CF34" s="3">
        <v>210000</v>
      </c>
      <c r="CG34" s="3">
        <v>186632</v>
      </c>
      <c r="CH34" s="3">
        <v>226295</v>
      </c>
      <c r="CI34" s="3">
        <v>257147</v>
      </c>
      <c r="CJ34" s="3">
        <v>188966</v>
      </c>
      <c r="CK34" s="3">
        <v>208211</v>
      </c>
      <c r="CL34" s="3">
        <v>212720</v>
      </c>
      <c r="CM34" s="3">
        <v>186092</v>
      </c>
      <c r="CN34" s="3">
        <v>213056</v>
      </c>
      <c r="CO34" s="3">
        <v>180988</v>
      </c>
      <c r="CP34" s="3">
        <v>209011</v>
      </c>
      <c r="CQ34" s="3">
        <v>225946</v>
      </c>
      <c r="CR34" s="3">
        <v>228988</v>
      </c>
      <c r="CS34" s="3">
        <v>230646</v>
      </c>
      <c r="CT34" s="3">
        <v>165410</v>
      </c>
      <c r="CU34" s="3">
        <v>199133</v>
      </c>
      <c r="CV34" s="3">
        <v>194998</v>
      </c>
      <c r="CW34" s="3">
        <v>143817</v>
      </c>
    </row>
    <row r="35" spans="1:101" x14ac:dyDescent="0.35">
      <c r="A35">
        <v>202410</v>
      </c>
      <c r="B35" s="3">
        <v>194077</v>
      </c>
      <c r="C35" s="3">
        <v>197151</v>
      </c>
      <c r="D35" s="3">
        <v>204396</v>
      </c>
      <c r="E35" s="3">
        <v>200319</v>
      </c>
      <c r="F35" s="3">
        <v>195905</v>
      </c>
      <c r="G35" s="3">
        <v>176576</v>
      </c>
      <c r="H35" s="3">
        <v>205142</v>
      </c>
      <c r="I35" s="3">
        <v>178679</v>
      </c>
      <c r="J35" s="3">
        <v>183945</v>
      </c>
      <c r="K35" s="3">
        <v>189472</v>
      </c>
      <c r="L35" s="3">
        <v>172601</v>
      </c>
      <c r="M35" s="3">
        <v>191875</v>
      </c>
      <c r="N35" s="3">
        <v>234503</v>
      </c>
      <c r="O35" s="3">
        <v>178947</v>
      </c>
      <c r="P35" s="3">
        <v>201358</v>
      </c>
      <c r="Q35" s="3">
        <v>177889</v>
      </c>
      <c r="R35" s="3">
        <v>182284</v>
      </c>
      <c r="S35" s="3">
        <v>173022</v>
      </c>
      <c r="T35" s="3">
        <v>182775</v>
      </c>
      <c r="U35" s="3">
        <v>181480</v>
      </c>
      <c r="V35" s="3">
        <v>191096</v>
      </c>
      <c r="W35" s="3">
        <v>198935</v>
      </c>
      <c r="X35" s="3">
        <v>181395</v>
      </c>
      <c r="Y35" s="3">
        <v>206806</v>
      </c>
      <c r="Z35" s="3">
        <v>197420</v>
      </c>
      <c r="AA35" s="3">
        <v>230611</v>
      </c>
      <c r="AB35" s="3">
        <v>207289</v>
      </c>
      <c r="AC35" s="3">
        <v>198842</v>
      </c>
      <c r="AD35" s="3">
        <v>217609</v>
      </c>
      <c r="AE35" s="3">
        <v>232268</v>
      </c>
      <c r="AF35" s="3">
        <v>202586</v>
      </c>
      <c r="AG35" s="3">
        <v>201750</v>
      </c>
      <c r="AH35" s="3">
        <v>184051</v>
      </c>
      <c r="AI35" s="3">
        <v>204624</v>
      </c>
      <c r="AJ35" s="3">
        <v>203646</v>
      </c>
      <c r="AK35" s="3">
        <v>184645</v>
      </c>
      <c r="AL35" s="3">
        <v>201164</v>
      </c>
      <c r="AM35" s="3">
        <v>193429</v>
      </c>
      <c r="AN35" s="3">
        <v>203850</v>
      </c>
      <c r="AO35" s="3">
        <v>215760</v>
      </c>
      <c r="AP35" s="3">
        <v>223319</v>
      </c>
      <c r="AQ35" s="3">
        <v>192500</v>
      </c>
      <c r="AR35" s="3">
        <v>205088</v>
      </c>
      <c r="AS35" s="3">
        <v>205675</v>
      </c>
      <c r="AT35" s="3">
        <v>222220</v>
      </c>
      <c r="AU35" s="3">
        <v>229918</v>
      </c>
      <c r="AV35" s="3">
        <v>227935</v>
      </c>
      <c r="AW35" s="3">
        <v>215664</v>
      </c>
      <c r="AX35" s="3">
        <v>195583</v>
      </c>
      <c r="AY35" s="3">
        <v>213381</v>
      </c>
      <c r="AZ35" s="3">
        <v>99384</v>
      </c>
      <c r="BA35" s="3">
        <v>166847</v>
      </c>
      <c r="BB35" s="3">
        <v>213539</v>
      </c>
      <c r="BC35" s="3">
        <v>175301</v>
      </c>
      <c r="BD35" s="3">
        <v>198169</v>
      </c>
      <c r="BE35" s="3">
        <v>211168</v>
      </c>
      <c r="BF35" s="3">
        <v>216089</v>
      </c>
      <c r="BG35" s="3">
        <v>176994</v>
      </c>
      <c r="BH35" s="3">
        <v>194707</v>
      </c>
      <c r="BI35" s="3">
        <v>197531</v>
      </c>
      <c r="BJ35" s="3">
        <v>196269</v>
      </c>
      <c r="BK35" s="3">
        <v>203859</v>
      </c>
      <c r="BL35" s="3">
        <v>185591</v>
      </c>
      <c r="BM35" s="3">
        <v>184101</v>
      </c>
      <c r="BN35" s="3">
        <v>200339</v>
      </c>
      <c r="BO35" s="3">
        <v>224254</v>
      </c>
      <c r="BP35" s="3">
        <v>205842</v>
      </c>
      <c r="BQ35" s="3">
        <v>163423</v>
      </c>
      <c r="BR35" s="3">
        <v>183251</v>
      </c>
      <c r="BS35" s="3">
        <v>197536</v>
      </c>
      <c r="BT35" s="3">
        <v>175093</v>
      </c>
      <c r="BU35" s="3">
        <v>182017</v>
      </c>
      <c r="BV35" s="3">
        <v>196412</v>
      </c>
      <c r="BW35" s="3">
        <v>189300</v>
      </c>
      <c r="BX35" s="3">
        <v>208465</v>
      </c>
      <c r="BY35" s="3">
        <v>215190</v>
      </c>
      <c r="BZ35" s="3">
        <v>212667</v>
      </c>
      <c r="CA35" s="3">
        <v>245911</v>
      </c>
      <c r="CB35" s="3">
        <v>221311</v>
      </c>
      <c r="CC35" s="3">
        <v>185058</v>
      </c>
      <c r="CD35" s="3">
        <v>115433</v>
      </c>
      <c r="CE35" s="3">
        <v>221536</v>
      </c>
      <c r="CF35" s="3">
        <v>208596</v>
      </c>
      <c r="CG35" s="3">
        <v>181309</v>
      </c>
      <c r="CH35" s="3">
        <v>224250</v>
      </c>
      <c r="CI35" s="3">
        <v>234689</v>
      </c>
      <c r="CJ35" s="3">
        <v>187736</v>
      </c>
      <c r="CK35" s="3">
        <v>195558</v>
      </c>
      <c r="CL35" s="3">
        <v>206547</v>
      </c>
      <c r="CM35" s="3">
        <v>175703</v>
      </c>
      <c r="CN35" s="3">
        <v>197953</v>
      </c>
      <c r="CO35" s="3">
        <v>175623</v>
      </c>
      <c r="CP35" s="3">
        <v>189434</v>
      </c>
      <c r="CQ35" s="3">
        <v>228144</v>
      </c>
      <c r="CR35" s="3">
        <v>210547</v>
      </c>
      <c r="CS35" s="3">
        <v>222258</v>
      </c>
      <c r="CT35" s="3">
        <v>168443</v>
      </c>
      <c r="CU35" s="3">
        <v>196666</v>
      </c>
      <c r="CV35" s="3">
        <v>189207</v>
      </c>
      <c r="CW35" s="3">
        <v>139428</v>
      </c>
    </row>
    <row r="36" spans="1:101" x14ac:dyDescent="0.35">
      <c r="A36">
        <v>202411</v>
      </c>
      <c r="B36" s="3">
        <v>179870</v>
      </c>
      <c r="C36" s="3">
        <v>187704</v>
      </c>
      <c r="D36" s="3">
        <v>211744</v>
      </c>
      <c r="E36" s="3">
        <v>197341</v>
      </c>
      <c r="F36" s="3">
        <v>182489</v>
      </c>
      <c r="G36" s="3">
        <v>159624</v>
      </c>
      <c r="H36" s="3">
        <v>195231</v>
      </c>
      <c r="I36" s="3">
        <v>169495</v>
      </c>
      <c r="J36" s="3">
        <v>176432</v>
      </c>
      <c r="K36" s="3">
        <v>181759</v>
      </c>
      <c r="L36" s="3">
        <v>166780</v>
      </c>
      <c r="M36" s="3">
        <v>186721</v>
      </c>
      <c r="N36" s="3">
        <v>218226</v>
      </c>
      <c r="O36" s="3">
        <v>175382</v>
      </c>
      <c r="P36" s="3">
        <v>188598</v>
      </c>
      <c r="Q36" s="3">
        <v>183580</v>
      </c>
      <c r="R36" s="3">
        <v>170396</v>
      </c>
      <c r="S36" s="3">
        <v>168207</v>
      </c>
      <c r="T36" s="3">
        <v>169905</v>
      </c>
      <c r="U36" s="3">
        <v>169098</v>
      </c>
      <c r="V36" s="3">
        <v>185980</v>
      </c>
      <c r="W36" s="3">
        <v>193694</v>
      </c>
      <c r="X36" s="3">
        <v>158585</v>
      </c>
      <c r="Y36" s="3">
        <v>193257</v>
      </c>
      <c r="Z36" s="3">
        <v>190630</v>
      </c>
      <c r="AA36" s="3">
        <v>222046</v>
      </c>
      <c r="AB36" s="3">
        <v>189964</v>
      </c>
      <c r="AC36" s="3">
        <v>183763</v>
      </c>
      <c r="AD36" s="3">
        <v>208691</v>
      </c>
      <c r="AE36" s="3">
        <v>225298</v>
      </c>
      <c r="AF36" s="3">
        <v>187067</v>
      </c>
      <c r="AG36" s="3">
        <v>195277</v>
      </c>
      <c r="AH36" s="3">
        <v>181893</v>
      </c>
      <c r="AI36" s="3">
        <v>191470</v>
      </c>
      <c r="AJ36" s="3">
        <v>187325</v>
      </c>
      <c r="AK36" s="3">
        <v>168720</v>
      </c>
      <c r="AL36" s="3">
        <v>189054</v>
      </c>
      <c r="AM36" s="3">
        <v>184261</v>
      </c>
      <c r="AN36" s="3">
        <v>197444</v>
      </c>
      <c r="AO36" s="3">
        <v>210334</v>
      </c>
      <c r="AP36" s="3">
        <v>205378</v>
      </c>
      <c r="AQ36" s="3">
        <v>188754</v>
      </c>
      <c r="AR36" s="3">
        <v>192302</v>
      </c>
      <c r="AS36" s="3">
        <v>179078</v>
      </c>
      <c r="AT36" s="3">
        <v>204980</v>
      </c>
      <c r="AU36" s="3">
        <v>224516</v>
      </c>
      <c r="AV36" s="3">
        <v>218784</v>
      </c>
      <c r="AW36" s="3">
        <v>206148</v>
      </c>
      <c r="AX36" s="3">
        <v>173656</v>
      </c>
      <c r="AY36" s="3">
        <v>205296</v>
      </c>
      <c r="AZ36" s="3">
        <v>95037</v>
      </c>
      <c r="BA36" s="3">
        <v>162476</v>
      </c>
      <c r="BB36" s="3">
        <v>201118</v>
      </c>
      <c r="BC36" s="3">
        <v>170432</v>
      </c>
      <c r="BD36" s="3">
        <v>191897</v>
      </c>
      <c r="BE36" s="3">
        <v>203784</v>
      </c>
      <c r="BF36" s="3">
        <v>202580</v>
      </c>
      <c r="BG36" s="3">
        <v>166586</v>
      </c>
      <c r="BH36" s="3">
        <v>179507</v>
      </c>
      <c r="BI36" s="3">
        <v>181358</v>
      </c>
      <c r="BJ36" s="3">
        <v>188354</v>
      </c>
      <c r="BK36" s="3">
        <v>202332</v>
      </c>
      <c r="BL36" s="3">
        <v>166076</v>
      </c>
      <c r="BM36" s="3">
        <v>178077</v>
      </c>
      <c r="BN36" s="3">
        <v>192941</v>
      </c>
      <c r="BO36" s="3">
        <v>207065</v>
      </c>
      <c r="BP36" s="3">
        <v>193187</v>
      </c>
      <c r="BQ36" s="3">
        <v>154368</v>
      </c>
      <c r="BR36" s="3">
        <v>170318</v>
      </c>
      <c r="BS36" s="3">
        <v>184866</v>
      </c>
      <c r="BT36" s="3">
        <v>163479</v>
      </c>
      <c r="BU36" s="3">
        <v>171228</v>
      </c>
      <c r="BV36" s="3">
        <v>180874</v>
      </c>
      <c r="BW36" s="3">
        <v>178095</v>
      </c>
      <c r="BX36" s="3">
        <v>184522</v>
      </c>
      <c r="BY36" s="3">
        <v>210226</v>
      </c>
      <c r="BZ36" s="3">
        <v>200178</v>
      </c>
      <c r="CA36" s="3">
        <v>233817</v>
      </c>
      <c r="CB36" s="3">
        <v>208969</v>
      </c>
      <c r="CC36" s="3">
        <v>182603</v>
      </c>
      <c r="CD36" s="3">
        <v>111041</v>
      </c>
      <c r="CE36" s="3">
        <v>213684</v>
      </c>
      <c r="CF36" s="3">
        <v>195782</v>
      </c>
      <c r="CG36" s="3">
        <v>171132</v>
      </c>
      <c r="CH36" s="3">
        <v>202320</v>
      </c>
      <c r="CI36" s="3">
        <v>229927</v>
      </c>
      <c r="CJ36" s="3">
        <v>170019</v>
      </c>
      <c r="CK36" s="3">
        <v>186817</v>
      </c>
      <c r="CL36" s="3">
        <v>191300</v>
      </c>
      <c r="CM36" s="3">
        <v>177072</v>
      </c>
      <c r="CN36" s="3">
        <v>198681</v>
      </c>
      <c r="CO36" s="3">
        <v>161800</v>
      </c>
      <c r="CP36" s="3">
        <v>179422</v>
      </c>
      <c r="CQ36" s="3">
        <v>207585</v>
      </c>
      <c r="CR36" s="3">
        <v>203743</v>
      </c>
      <c r="CS36" s="3">
        <v>206246</v>
      </c>
      <c r="CT36" s="3">
        <v>143640</v>
      </c>
      <c r="CU36" s="3">
        <v>179411</v>
      </c>
      <c r="CV36" s="3">
        <v>177805</v>
      </c>
      <c r="CW36" s="3">
        <v>131897</v>
      </c>
    </row>
    <row r="37" spans="1:101" x14ac:dyDescent="0.35">
      <c r="A37">
        <v>202412</v>
      </c>
      <c r="B37" s="3">
        <v>177938</v>
      </c>
      <c r="C37" s="3">
        <v>182064</v>
      </c>
      <c r="D37" s="3">
        <v>186283</v>
      </c>
      <c r="E37" s="3">
        <v>191119</v>
      </c>
      <c r="F37" s="3">
        <v>182722</v>
      </c>
      <c r="G37" s="3">
        <v>156171</v>
      </c>
      <c r="H37" s="3">
        <v>190845</v>
      </c>
      <c r="I37" s="3">
        <v>163652</v>
      </c>
      <c r="J37" s="3">
        <v>169485</v>
      </c>
      <c r="K37" s="3">
        <v>177594</v>
      </c>
      <c r="L37" s="3">
        <v>148080</v>
      </c>
      <c r="M37" s="3">
        <v>177471</v>
      </c>
      <c r="N37" s="3">
        <v>221755</v>
      </c>
      <c r="O37" s="3">
        <v>169693</v>
      </c>
      <c r="P37" s="3">
        <v>188006</v>
      </c>
      <c r="Q37" s="3">
        <v>172694</v>
      </c>
      <c r="R37" s="3">
        <v>165765</v>
      </c>
      <c r="S37" s="3">
        <v>161853</v>
      </c>
      <c r="T37" s="3">
        <v>169302</v>
      </c>
      <c r="U37" s="3">
        <v>168527</v>
      </c>
      <c r="V37" s="3">
        <v>177562</v>
      </c>
      <c r="W37" s="3">
        <v>185679</v>
      </c>
      <c r="X37" s="3">
        <v>152554</v>
      </c>
      <c r="Y37" s="3">
        <v>194203</v>
      </c>
      <c r="Z37" s="3">
        <v>183730</v>
      </c>
      <c r="AA37" s="3">
        <v>230580</v>
      </c>
      <c r="AB37" s="3">
        <v>195392</v>
      </c>
      <c r="AC37" s="3">
        <v>182504</v>
      </c>
      <c r="AD37" s="3">
        <v>208974</v>
      </c>
      <c r="AE37" s="3">
        <v>216190</v>
      </c>
      <c r="AF37" s="3">
        <v>183257</v>
      </c>
      <c r="AG37" s="3">
        <v>190607</v>
      </c>
      <c r="AH37" s="3">
        <v>173486</v>
      </c>
      <c r="AI37" s="3">
        <v>184161</v>
      </c>
      <c r="AJ37" s="3">
        <v>186419</v>
      </c>
      <c r="AK37" s="3">
        <v>158033</v>
      </c>
      <c r="AL37" s="3">
        <v>195072</v>
      </c>
      <c r="AM37" s="3">
        <v>172984</v>
      </c>
      <c r="AN37" s="3">
        <v>178806</v>
      </c>
      <c r="AO37" s="3">
        <v>211554</v>
      </c>
      <c r="AP37" s="3">
        <v>203718</v>
      </c>
      <c r="AQ37" s="3">
        <v>181846</v>
      </c>
      <c r="AR37" s="3">
        <v>184065</v>
      </c>
      <c r="AS37" s="3">
        <v>191149</v>
      </c>
      <c r="AT37" s="3">
        <v>198999</v>
      </c>
      <c r="AU37" s="3">
        <v>201917</v>
      </c>
      <c r="AV37" s="3">
        <v>200023</v>
      </c>
      <c r="AW37" s="3">
        <v>194216</v>
      </c>
      <c r="AX37" s="3">
        <v>172400</v>
      </c>
      <c r="AY37" s="3">
        <v>201762</v>
      </c>
      <c r="AZ37" s="3">
        <v>93524</v>
      </c>
      <c r="BA37" s="3">
        <v>156612</v>
      </c>
      <c r="BB37" s="3">
        <v>194584</v>
      </c>
      <c r="BC37" s="3">
        <v>163610</v>
      </c>
      <c r="BD37" s="3">
        <v>187526</v>
      </c>
      <c r="BE37" s="3">
        <v>203152</v>
      </c>
      <c r="BF37" s="3">
        <v>206997</v>
      </c>
      <c r="BG37" s="3">
        <v>166893</v>
      </c>
      <c r="BH37" s="3">
        <v>179471</v>
      </c>
      <c r="BI37" s="3">
        <v>174300</v>
      </c>
      <c r="BJ37" s="3">
        <v>175135</v>
      </c>
      <c r="BK37" s="3">
        <v>197380</v>
      </c>
      <c r="BL37" s="3">
        <v>147472</v>
      </c>
      <c r="BM37" s="3">
        <v>173270</v>
      </c>
      <c r="BN37" s="3">
        <v>192787</v>
      </c>
      <c r="BO37" s="3">
        <v>198211</v>
      </c>
      <c r="BP37" s="3">
        <v>194167</v>
      </c>
      <c r="BQ37" s="3">
        <v>161102</v>
      </c>
      <c r="BR37" s="3">
        <v>165635</v>
      </c>
      <c r="BS37" s="3">
        <v>186591</v>
      </c>
      <c r="BT37" s="3">
        <v>159230</v>
      </c>
      <c r="BU37" s="3">
        <v>169647</v>
      </c>
      <c r="BV37" s="3">
        <v>180522</v>
      </c>
      <c r="BW37" s="3">
        <v>177855</v>
      </c>
      <c r="BX37" s="3">
        <v>187537</v>
      </c>
      <c r="BY37" s="3">
        <v>202652</v>
      </c>
      <c r="BZ37" s="3">
        <v>200291</v>
      </c>
      <c r="CA37" s="3">
        <v>236444</v>
      </c>
      <c r="CB37" s="3">
        <v>198557</v>
      </c>
      <c r="CC37" s="3">
        <v>180973</v>
      </c>
      <c r="CD37" s="3">
        <v>104094</v>
      </c>
      <c r="CE37" s="3">
        <v>199952</v>
      </c>
      <c r="CF37" s="3">
        <v>191724</v>
      </c>
      <c r="CG37" s="3">
        <v>165265</v>
      </c>
      <c r="CH37" s="3">
        <v>204597</v>
      </c>
      <c r="CI37" s="3">
        <v>230445</v>
      </c>
      <c r="CJ37" s="3">
        <v>166402</v>
      </c>
      <c r="CK37" s="3">
        <v>183075</v>
      </c>
      <c r="CL37" s="3">
        <v>188341</v>
      </c>
      <c r="CM37" s="3">
        <v>159121</v>
      </c>
      <c r="CN37" s="3">
        <v>193313</v>
      </c>
      <c r="CO37" s="3">
        <v>159498</v>
      </c>
      <c r="CP37" s="3">
        <v>176135</v>
      </c>
      <c r="CQ37" s="3">
        <v>202536</v>
      </c>
      <c r="CR37" s="3">
        <v>196221</v>
      </c>
      <c r="CS37" s="3">
        <v>205185</v>
      </c>
      <c r="CT37" s="3">
        <v>145696</v>
      </c>
      <c r="CU37" s="3">
        <v>176628</v>
      </c>
      <c r="CV37" s="3">
        <v>168767</v>
      </c>
      <c r="CW37" s="3">
        <v>126276</v>
      </c>
    </row>
    <row r="40" spans="1:101" x14ac:dyDescent="0.35">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row>
    <row r="41" spans="1:101" x14ac:dyDescent="0.3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row>
    <row r="42" spans="1:101" x14ac:dyDescent="0.35">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row>
    <row r="43" spans="1:101" x14ac:dyDescent="0.35">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row>
    <row r="44" spans="1:101" x14ac:dyDescent="0.35">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row>
    <row r="45" spans="1:101" x14ac:dyDescent="0.35">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row>
    <row r="46" spans="1:101" x14ac:dyDescent="0.35">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row>
    <row r="47" spans="1:101" x14ac:dyDescent="0.35">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row>
    <row r="48" spans="1:101" x14ac:dyDescent="0.35">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row>
    <row r="49" spans="2:101" x14ac:dyDescent="0.35">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row>
    <row r="50" spans="2:101" x14ac:dyDescent="0.35">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row>
    <row r="51" spans="2:101" x14ac:dyDescent="0.35">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row>
    <row r="52" spans="2:101" x14ac:dyDescent="0.35">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row>
    <row r="53" spans="2:101" x14ac:dyDescent="0.35">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row>
    <row r="54" spans="2:101" x14ac:dyDescent="0.35">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row>
    <row r="55" spans="2:101" x14ac:dyDescent="0.35">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row>
    <row r="56" spans="2:101" x14ac:dyDescent="0.35">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row>
    <row r="57" spans="2:101" x14ac:dyDescent="0.35">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row>
    <row r="58" spans="2:101" x14ac:dyDescent="0.35">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row>
    <row r="59" spans="2:101" x14ac:dyDescent="0.35">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row>
    <row r="60" spans="2:101" x14ac:dyDescent="0.35">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row>
    <row r="61" spans="2:101" x14ac:dyDescent="0.35">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row>
    <row r="62" spans="2:101" x14ac:dyDescent="0.35">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row>
    <row r="63" spans="2:101" x14ac:dyDescent="0.35">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row>
    <row r="64" spans="2:101" x14ac:dyDescent="0.35">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row>
    <row r="65" spans="2:101" x14ac:dyDescent="0.35">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row>
    <row r="66" spans="2:101" x14ac:dyDescent="0.35">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row>
    <row r="67" spans="2:101" x14ac:dyDescent="0.35">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row>
    <row r="68" spans="2:101" x14ac:dyDescent="0.35">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row>
    <row r="69" spans="2:101" x14ac:dyDescent="0.35">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row>
    <row r="70" spans="2:101" x14ac:dyDescent="0.35">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row>
    <row r="71" spans="2:101" x14ac:dyDescent="0.35">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row>
    <row r="72" spans="2:101" x14ac:dyDescent="0.35">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row>
    <row r="73" spans="2:101" x14ac:dyDescent="0.35">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row>
    <row r="74" spans="2:101" x14ac:dyDescent="0.35">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row>
    <row r="75" spans="2:101" x14ac:dyDescent="0.35">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row>
    <row r="76" spans="2:101" x14ac:dyDescent="0.35">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row>
    <row r="77" spans="2:101" x14ac:dyDescent="0.35">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row>
    <row r="78" spans="2:101" x14ac:dyDescent="0.35">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row>
    <row r="79" spans="2:101" x14ac:dyDescent="0.35">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row>
    <row r="80" spans="2:101" x14ac:dyDescent="0.35">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row>
    <row r="81" spans="2:101" x14ac:dyDescent="0.35">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row>
    <row r="82" spans="2:101" x14ac:dyDescent="0.35">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row>
    <row r="83" spans="2:101" x14ac:dyDescent="0.35">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row>
    <row r="84" spans="2:101" x14ac:dyDescent="0.35">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32990-4A62-4238-83B9-E5C0F52DBB0C}">
  <sheetPr codeName="Sheet7">
    <tabColor theme="6" tint="0.59999389629810485"/>
  </sheetPr>
  <dimension ref="A1:CW37"/>
  <sheetViews>
    <sheetView workbookViewId="0">
      <selection activeCell="F44" sqref="F44"/>
    </sheetView>
  </sheetViews>
  <sheetFormatPr defaultRowHeight="14.5" x14ac:dyDescent="0.35"/>
  <cols>
    <col min="1" max="1" width="13" customWidth="1"/>
    <col min="2" max="10" width="13.81640625" customWidth="1"/>
    <col min="11" max="100" width="14.81640625" customWidth="1"/>
    <col min="101" max="101" width="15.81640625" customWidth="1"/>
  </cols>
  <sheetData>
    <row r="1" spans="1:101" x14ac:dyDescent="0.35">
      <c r="A1" t="s">
        <v>9</v>
      </c>
      <c r="B1" t="s">
        <v>10</v>
      </c>
      <c r="C1" t="s">
        <v>11</v>
      </c>
      <c r="D1" t="s">
        <v>12</v>
      </c>
      <c r="E1" t="s">
        <v>13</v>
      </c>
      <c r="F1" t="s">
        <v>14</v>
      </c>
      <c r="G1" t="s">
        <v>15</v>
      </c>
      <c r="H1" t="s">
        <v>16</v>
      </c>
      <c r="I1" t="s">
        <v>17</v>
      </c>
      <c r="J1" t="s">
        <v>18</v>
      </c>
      <c r="K1" t="s">
        <v>19</v>
      </c>
      <c r="L1" t="s">
        <v>20</v>
      </c>
      <c r="M1" t="s">
        <v>21</v>
      </c>
      <c r="N1" t="s">
        <v>22</v>
      </c>
      <c r="O1" t="s">
        <v>23</v>
      </c>
      <c r="P1" t="s">
        <v>24</v>
      </c>
      <c r="Q1" t="s">
        <v>25</v>
      </c>
      <c r="R1" t="s">
        <v>26</v>
      </c>
      <c r="S1" t="s">
        <v>27</v>
      </c>
      <c r="T1" t="s">
        <v>28</v>
      </c>
      <c r="U1" t="s">
        <v>29</v>
      </c>
      <c r="V1" t="s">
        <v>30</v>
      </c>
      <c r="W1" t="s">
        <v>31</v>
      </c>
      <c r="X1" t="s">
        <v>32</v>
      </c>
      <c r="Y1" t="s">
        <v>33</v>
      </c>
      <c r="Z1" t="s">
        <v>34</v>
      </c>
      <c r="AA1" t="s">
        <v>35</v>
      </c>
      <c r="AB1" t="s">
        <v>36</v>
      </c>
      <c r="AC1" t="s">
        <v>37</v>
      </c>
      <c r="AD1" t="s">
        <v>38</v>
      </c>
      <c r="AE1" t="s">
        <v>39</v>
      </c>
      <c r="AF1" t="s">
        <v>40</v>
      </c>
      <c r="AG1" t="s">
        <v>41</v>
      </c>
      <c r="AH1" t="s">
        <v>42</v>
      </c>
      <c r="AI1" t="s">
        <v>43</v>
      </c>
      <c r="AJ1" t="s">
        <v>44</v>
      </c>
      <c r="AK1" t="s">
        <v>45</v>
      </c>
      <c r="AL1" t="s">
        <v>46</v>
      </c>
      <c r="AM1" t="s">
        <v>47</v>
      </c>
      <c r="AN1" t="s">
        <v>48</v>
      </c>
      <c r="AO1" t="s">
        <v>49</v>
      </c>
      <c r="AP1" t="s">
        <v>50</v>
      </c>
      <c r="AQ1" t="s">
        <v>51</v>
      </c>
      <c r="AR1" t="s">
        <v>52</v>
      </c>
      <c r="AS1" t="s">
        <v>53</v>
      </c>
      <c r="AT1" t="s">
        <v>54</v>
      </c>
      <c r="AU1" t="s">
        <v>55</v>
      </c>
      <c r="AV1" t="s">
        <v>56</v>
      </c>
      <c r="AW1" t="s">
        <v>57</v>
      </c>
      <c r="AX1" t="s">
        <v>58</v>
      </c>
      <c r="AY1" t="s">
        <v>59</v>
      </c>
      <c r="AZ1" t="s">
        <v>60</v>
      </c>
      <c r="BA1" t="s">
        <v>61</v>
      </c>
      <c r="BB1" t="s">
        <v>62</v>
      </c>
      <c r="BC1" t="s">
        <v>63</v>
      </c>
      <c r="BD1" t="s">
        <v>64</v>
      </c>
      <c r="BE1" t="s">
        <v>65</v>
      </c>
      <c r="BF1" t="s">
        <v>66</v>
      </c>
      <c r="BG1" t="s">
        <v>67</v>
      </c>
      <c r="BH1" t="s">
        <v>68</v>
      </c>
      <c r="BI1" t="s">
        <v>69</v>
      </c>
      <c r="BJ1" t="s">
        <v>70</v>
      </c>
      <c r="BK1" t="s">
        <v>71</v>
      </c>
      <c r="BL1" t="s">
        <v>72</v>
      </c>
      <c r="BM1" t="s">
        <v>73</v>
      </c>
      <c r="BN1" t="s">
        <v>74</v>
      </c>
      <c r="BO1" t="s">
        <v>75</v>
      </c>
      <c r="BP1" t="s">
        <v>76</v>
      </c>
      <c r="BQ1" t="s">
        <v>77</v>
      </c>
      <c r="BR1" t="s">
        <v>78</v>
      </c>
      <c r="BS1" t="s">
        <v>79</v>
      </c>
      <c r="BT1" t="s">
        <v>80</v>
      </c>
      <c r="BU1" t="s">
        <v>81</v>
      </c>
      <c r="BV1" t="s">
        <v>82</v>
      </c>
      <c r="BW1" t="s">
        <v>83</v>
      </c>
      <c r="BX1" t="s">
        <v>84</v>
      </c>
      <c r="BY1" t="s">
        <v>85</v>
      </c>
      <c r="BZ1" t="s">
        <v>86</v>
      </c>
      <c r="CA1" t="s">
        <v>87</v>
      </c>
      <c r="CB1" t="s">
        <v>88</v>
      </c>
      <c r="CC1" t="s">
        <v>89</v>
      </c>
      <c r="CD1" t="s">
        <v>90</v>
      </c>
      <c r="CE1" t="s">
        <v>91</v>
      </c>
      <c r="CF1" t="s">
        <v>92</v>
      </c>
      <c r="CG1" t="s">
        <v>93</v>
      </c>
      <c r="CH1" t="s">
        <v>94</v>
      </c>
      <c r="CI1" t="s">
        <v>95</v>
      </c>
      <c r="CJ1" t="s">
        <v>96</v>
      </c>
      <c r="CK1" t="s">
        <v>97</v>
      </c>
      <c r="CL1" t="s">
        <v>98</v>
      </c>
      <c r="CM1" t="s">
        <v>99</v>
      </c>
      <c r="CN1" t="s">
        <v>100</v>
      </c>
      <c r="CO1" t="s">
        <v>101</v>
      </c>
      <c r="CP1" t="s">
        <v>102</v>
      </c>
      <c r="CQ1" t="s">
        <v>103</v>
      </c>
      <c r="CR1" t="s">
        <v>104</v>
      </c>
      <c r="CS1" t="s">
        <v>105</v>
      </c>
      <c r="CT1" t="s">
        <v>106</v>
      </c>
      <c r="CU1" t="s">
        <v>107</v>
      </c>
      <c r="CV1" t="s">
        <v>108</v>
      </c>
      <c r="CW1" t="s">
        <v>109</v>
      </c>
    </row>
    <row r="2" spans="1:101" x14ac:dyDescent="0.35">
      <c r="A2">
        <v>202201</v>
      </c>
      <c r="B2" s="1">
        <v>101748.94648603973</v>
      </c>
      <c r="C2" s="1">
        <v>100953.27427962629</v>
      </c>
      <c r="D2" s="1">
        <v>98235.734819683959</v>
      </c>
      <c r="E2" s="1">
        <v>94517.517491295395</v>
      </c>
      <c r="F2" s="1">
        <v>98406.356185097437</v>
      </c>
      <c r="G2" s="1">
        <v>88596.745169121248</v>
      </c>
      <c r="H2" s="1">
        <v>100449.56076731028</v>
      </c>
      <c r="I2" s="1">
        <v>85317.254203615012</v>
      </c>
      <c r="J2" s="1">
        <v>92096.802391911566</v>
      </c>
      <c r="K2" s="1">
        <v>96616.24616836608</v>
      </c>
      <c r="L2" s="1">
        <v>94427.348995948909</v>
      </c>
      <c r="M2" s="1">
        <v>95517.460943602215</v>
      </c>
      <c r="N2" s="1">
        <v>106430.67956421241</v>
      </c>
      <c r="O2" s="1">
        <v>96968.045162988594</v>
      </c>
      <c r="P2" s="1">
        <v>108551.47368312438</v>
      </c>
      <c r="Q2" s="1">
        <v>97480.652365299684</v>
      </c>
      <c r="R2" s="1">
        <v>86318.643369010708</v>
      </c>
      <c r="S2" s="1">
        <v>103595.66190273836</v>
      </c>
      <c r="T2" s="1">
        <v>97692.856708030842</v>
      </c>
      <c r="U2" s="1">
        <v>91907.331820899752</v>
      </c>
      <c r="V2" s="1">
        <v>93168.59163553144</v>
      </c>
      <c r="W2" s="1">
        <v>97330.351415261728</v>
      </c>
      <c r="X2" s="1">
        <v>93648.255116356348</v>
      </c>
      <c r="Y2" s="1">
        <v>101018.6721864334</v>
      </c>
      <c r="Z2" s="1">
        <v>103767.58237641906</v>
      </c>
      <c r="AA2" s="1">
        <v>107931.55341932274</v>
      </c>
      <c r="AB2" s="1">
        <v>105350.45037821507</v>
      </c>
      <c r="AC2" s="1">
        <v>102650.72897503439</v>
      </c>
      <c r="AD2" s="1">
        <v>107383.14047272014</v>
      </c>
      <c r="AE2" s="1">
        <v>110609.79888409949</v>
      </c>
      <c r="AF2" s="1">
        <v>94093.202784954294</v>
      </c>
      <c r="AG2" s="1">
        <v>102336.01319332675</v>
      </c>
      <c r="AH2" s="1">
        <v>95466.431687276126</v>
      </c>
      <c r="AI2" s="1">
        <v>100520.92009800205</v>
      </c>
      <c r="AJ2" s="1">
        <v>93393.682585540766</v>
      </c>
      <c r="AK2" s="1">
        <v>87579.468060512721</v>
      </c>
      <c r="AL2" s="1">
        <v>105847.2578378469</v>
      </c>
      <c r="AM2" s="1">
        <v>88780.377348235837</v>
      </c>
      <c r="AN2" s="1">
        <v>104919.99083198483</v>
      </c>
      <c r="AO2" s="1">
        <v>108277.92441901038</v>
      </c>
      <c r="AP2" s="1">
        <v>111798.31234303485</v>
      </c>
      <c r="AQ2" s="1">
        <v>106997.75093147332</v>
      </c>
      <c r="AR2" s="1">
        <v>96442.814255824545</v>
      </c>
      <c r="AS2" s="1">
        <v>107275.72994428733</v>
      </c>
      <c r="AT2" s="1">
        <v>106501.29820900937</v>
      </c>
      <c r="AU2" s="1">
        <v>105152.97133968939</v>
      </c>
      <c r="AV2" s="1">
        <v>106358.14087519133</v>
      </c>
      <c r="AW2" s="1">
        <v>104067.22986228472</v>
      </c>
      <c r="AX2" s="1">
        <v>92092.356130010652</v>
      </c>
      <c r="AY2" s="1">
        <v>106907.57549064881</v>
      </c>
      <c r="AZ2" s="1">
        <v>48509.860380582446</v>
      </c>
      <c r="BA2" s="1">
        <v>89382.819582768454</v>
      </c>
      <c r="BB2" s="1">
        <v>107638.57325812009</v>
      </c>
      <c r="BC2" s="1">
        <v>95560.436058781139</v>
      </c>
      <c r="BD2" s="1">
        <v>101784.17748044038</v>
      </c>
      <c r="BE2" s="1">
        <v>104534.73956997441</v>
      </c>
      <c r="BF2" s="1">
        <v>106654.53234079735</v>
      </c>
      <c r="BG2" s="1">
        <v>93416.343201695214</v>
      </c>
      <c r="BH2" s="1">
        <v>94141.505259856465</v>
      </c>
      <c r="BI2" s="1">
        <v>102230.82469762376</v>
      </c>
      <c r="BJ2" s="1">
        <v>92647.957273695749</v>
      </c>
      <c r="BK2" s="1">
        <v>106772.78383080024</v>
      </c>
      <c r="BL2" s="1">
        <v>84479.612402641622</v>
      </c>
      <c r="BM2" s="1">
        <v>96307.958757258049</v>
      </c>
      <c r="BN2" s="1">
        <v>105779.63904959241</v>
      </c>
      <c r="BO2" s="1">
        <v>106399.14210309248</v>
      </c>
      <c r="BP2" s="1">
        <v>104107.80699348864</v>
      </c>
      <c r="BQ2" s="1">
        <v>86616.81327895906</v>
      </c>
      <c r="BR2" s="1">
        <v>94442.671358021835</v>
      </c>
      <c r="BS2" s="1">
        <v>104195.19681663014</v>
      </c>
      <c r="BT2" s="1">
        <v>85892.637651444951</v>
      </c>
      <c r="BU2" s="1">
        <v>104539.07861747978</v>
      </c>
      <c r="BV2" s="1">
        <v>99112.079070863096</v>
      </c>
      <c r="BW2" s="1">
        <v>97644.146262231501</v>
      </c>
      <c r="BX2" s="1">
        <v>106545.4002458481</v>
      </c>
      <c r="BY2" s="1">
        <v>101346.34452229019</v>
      </c>
      <c r="BZ2" s="1">
        <v>107825.14621127884</v>
      </c>
      <c r="CA2" s="1">
        <v>109367.76311416599</v>
      </c>
      <c r="CB2" s="1">
        <v>96776.98294605843</v>
      </c>
      <c r="CC2" s="1">
        <v>100815.45088911217</v>
      </c>
      <c r="CD2" s="1">
        <v>58498.474984466331</v>
      </c>
      <c r="CE2" s="1">
        <v>105432.97040244291</v>
      </c>
      <c r="CF2" s="1">
        <v>100285.98962344504</v>
      </c>
      <c r="CG2" s="1">
        <v>94456.120808710693</v>
      </c>
      <c r="CH2" s="1">
        <v>107360.31046151381</v>
      </c>
      <c r="CI2" s="1">
        <v>109309.59165236737</v>
      </c>
      <c r="CJ2" s="1">
        <v>93657.026124855387</v>
      </c>
      <c r="CK2" s="1">
        <v>100812.63562111549</v>
      </c>
      <c r="CL2" s="1">
        <v>106174.918845062</v>
      </c>
      <c r="CM2" s="1">
        <v>94878.02571488588</v>
      </c>
      <c r="CN2" s="1">
        <v>104097.47440633223</v>
      </c>
      <c r="CO2" s="1">
        <v>89157.702615619026</v>
      </c>
      <c r="CP2" s="1">
        <v>95479.048705117326</v>
      </c>
      <c r="CQ2" s="1">
        <v>102015.77379541802</v>
      </c>
      <c r="CR2" s="1">
        <v>94890.666351709209</v>
      </c>
      <c r="CS2" s="1">
        <v>106225.88026326621</v>
      </c>
      <c r="CT2" s="1">
        <v>82398.574327368842</v>
      </c>
      <c r="CU2" s="1">
        <v>95907.958181184207</v>
      </c>
      <c r="CV2" s="1">
        <v>93291.57930323093</v>
      </c>
      <c r="CW2" s="1">
        <v>70783.356219194189</v>
      </c>
    </row>
    <row r="3" spans="1:101" x14ac:dyDescent="0.35">
      <c r="A3">
        <v>202202</v>
      </c>
      <c r="B3" s="1">
        <v>109343.61378633462</v>
      </c>
      <c r="C3" s="1">
        <v>111309.18460715395</v>
      </c>
      <c r="D3" s="1">
        <v>114631.17251822757</v>
      </c>
      <c r="E3" s="1">
        <v>105716.91536717728</v>
      </c>
      <c r="F3" s="1">
        <v>110354.59802532275</v>
      </c>
      <c r="G3" s="1">
        <v>96726.457073408252</v>
      </c>
      <c r="H3" s="1">
        <v>116446.37800207084</v>
      </c>
      <c r="I3" s="1">
        <v>99002.525945376503</v>
      </c>
      <c r="J3" s="1">
        <v>106270.99951552553</v>
      </c>
      <c r="K3" s="1">
        <v>108360.76508153316</v>
      </c>
      <c r="L3" s="1">
        <v>106815.28707150232</v>
      </c>
      <c r="M3" s="1">
        <v>108101.81067300586</v>
      </c>
      <c r="N3" s="1">
        <v>118177.22056814778</v>
      </c>
      <c r="O3" s="1">
        <v>108281.09750140154</v>
      </c>
      <c r="P3" s="1">
        <v>125116.91707994798</v>
      </c>
      <c r="Q3" s="1">
        <v>112155.82196657597</v>
      </c>
      <c r="R3" s="1">
        <v>98158.811795952424</v>
      </c>
      <c r="S3" s="1">
        <v>116398.33171349409</v>
      </c>
      <c r="T3" s="1">
        <v>111954.49884479838</v>
      </c>
      <c r="U3" s="1">
        <v>101454.91871212462</v>
      </c>
      <c r="V3" s="1">
        <v>106346.5222312956</v>
      </c>
      <c r="W3" s="1">
        <v>110544.48643041633</v>
      </c>
      <c r="X3" s="1">
        <v>104637.13996999266</v>
      </c>
      <c r="Y3" s="1">
        <v>111079.85151933218</v>
      </c>
      <c r="Z3" s="1">
        <v>120114.46874467016</v>
      </c>
      <c r="AA3" s="1">
        <v>124310.47773713311</v>
      </c>
      <c r="AB3" s="1">
        <v>119108.84939689402</v>
      </c>
      <c r="AC3" s="1">
        <v>116948.03122506911</v>
      </c>
      <c r="AD3" s="1">
        <v>122156.73987983077</v>
      </c>
      <c r="AE3" s="1">
        <v>120253.25617934525</v>
      </c>
      <c r="AF3" s="1">
        <v>106583.08571420627</v>
      </c>
      <c r="AG3" s="1">
        <v>118081.89906770468</v>
      </c>
      <c r="AH3" s="1">
        <v>107609.74374913106</v>
      </c>
      <c r="AI3" s="1">
        <v>116697.22221911044</v>
      </c>
      <c r="AJ3" s="1">
        <v>104701.19420589494</v>
      </c>
      <c r="AK3" s="1">
        <v>97552.640541234461</v>
      </c>
      <c r="AL3" s="1">
        <v>121043.76873397855</v>
      </c>
      <c r="AM3" s="1">
        <v>103025.85100174577</v>
      </c>
      <c r="AN3" s="1">
        <v>120657.38862348252</v>
      </c>
      <c r="AO3" s="1">
        <v>120179.57551805209</v>
      </c>
      <c r="AP3" s="1">
        <v>126039.5932285751</v>
      </c>
      <c r="AQ3" s="1">
        <v>119738.30792037012</v>
      </c>
      <c r="AR3" s="1">
        <v>114568.39071206593</v>
      </c>
      <c r="AS3" s="1">
        <v>123044.54864468837</v>
      </c>
      <c r="AT3" s="1">
        <v>120242.03779729505</v>
      </c>
      <c r="AU3" s="1">
        <v>119442.72641467607</v>
      </c>
      <c r="AV3" s="1">
        <v>116886.71755621373</v>
      </c>
      <c r="AW3" s="1">
        <v>117670.81966632466</v>
      </c>
      <c r="AX3" s="1">
        <v>104410.9223607212</v>
      </c>
      <c r="AY3" s="1">
        <v>121835.02396299219</v>
      </c>
      <c r="AZ3" s="1">
        <v>55000.712975996008</v>
      </c>
      <c r="BA3" s="1">
        <v>99997.479926991087</v>
      </c>
      <c r="BB3" s="1">
        <v>124622.24756893433</v>
      </c>
      <c r="BC3" s="1">
        <v>104869.55613925539</v>
      </c>
      <c r="BD3" s="1">
        <v>114812.43114023605</v>
      </c>
      <c r="BE3" s="1">
        <v>117920.67577648333</v>
      </c>
      <c r="BF3" s="1">
        <v>120090.897066406</v>
      </c>
      <c r="BG3" s="1">
        <v>108502.18287514339</v>
      </c>
      <c r="BH3" s="1">
        <v>108203.15425251024</v>
      </c>
      <c r="BI3" s="1">
        <v>116774.82918059081</v>
      </c>
      <c r="BJ3" s="1">
        <v>103654.03286148822</v>
      </c>
      <c r="BK3" s="1">
        <v>121401.86136326788</v>
      </c>
      <c r="BL3" s="1">
        <v>96201.943020676961</v>
      </c>
      <c r="BM3" s="1">
        <v>112977.04515326346</v>
      </c>
      <c r="BN3" s="1">
        <v>116268.3628847473</v>
      </c>
      <c r="BO3" s="1">
        <v>120770.46249635034</v>
      </c>
      <c r="BP3" s="1">
        <v>117930.40063630606</v>
      </c>
      <c r="BQ3" s="1">
        <v>98613.166015399023</v>
      </c>
      <c r="BR3" s="1">
        <v>105910.35692781859</v>
      </c>
      <c r="BS3" s="1">
        <v>120045.94414416375</v>
      </c>
      <c r="BT3" s="1">
        <v>98723.872288888248</v>
      </c>
      <c r="BU3" s="1">
        <v>112120.30512043388</v>
      </c>
      <c r="BV3" s="1">
        <v>110012.64802387638</v>
      </c>
      <c r="BW3" s="1">
        <v>105456.17297858135</v>
      </c>
      <c r="BX3" s="1">
        <v>118180.00761863073</v>
      </c>
      <c r="BY3" s="1">
        <v>113997.11124639916</v>
      </c>
      <c r="BZ3" s="1">
        <v>125684.91906471495</v>
      </c>
      <c r="CA3" s="1">
        <v>124696.37924497067</v>
      </c>
      <c r="CB3" s="1">
        <v>111722.86668298415</v>
      </c>
      <c r="CC3" s="1">
        <v>111376.01581879774</v>
      </c>
      <c r="CD3" s="1">
        <v>67776.588770058588</v>
      </c>
      <c r="CE3" s="1">
        <v>121381.90412252009</v>
      </c>
      <c r="CF3" s="1">
        <v>112545.79623004737</v>
      </c>
      <c r="CG3" s="1">
        <v>107100.84206127976</v>
      </c>
      <c r="CH3" s="1">
        <v>124422.20239345635</v>
      </c>
      <c r="CI3" s="1">
        <v>122784.29850351943</v>
      </c>
      <c r="CJ3" s="1">
        <v>106673.02180193478</v>
      </c>
      <c r="CK3" s="1">
        <v>113558.22040918932</v>
      </c>
      <c r="CL3" s="1">
        <v>125283.28954662332</v>
      </c>
      <c r="CM3" s="1">
        <v>110999.3653051177</v>
      </c>
      <c r="CN3" s="1">
        <v>121216.6780920223</v>
      </c>
      <c r="CO3" s="1">
        <v>101406.50426876867</v>
      </c>
      <c r="CP3" s="1">
        <v>108965.24850612129</v>
      </c>
      <c r="CQ3" s="1">
        <v>114716.29117466515</v>
      </c>
      <c r="CR3" s="1">
        <v>109809.85288872945</v>
      </c>
      <c r="CS3" s="1">
        <v>122266.11945121357</v>
      </c>
      <c r="CT3" s="1">
        <v>94522.808292899674</v>
      </c>
      <c r="CU3" s="1">
        <v>106409.44292996752</v>
      </c>
      <c r="CV3" s="1">
        <v>104639.77707979834</v>
      </c>
      <c r="CW3" s="1">
        <v>78923.894878814666</v>
      </c>
    </row>
    <row r="4" spans="1:101" x14ac:dyDescent="0.35">
      <c r="A4">
        <v>202203</v>
      </c>
      <c r="B4" s="1">
        <v>126977.71951142768</v>
      </c>
      <c r="C4" s="1">
        <v>134594.63899843782</v>
      </c>
      <c r="D4" s="1">
        <v>131039.32572790388</v>
      </c>
      <c r="E4" s="1">
        <v>123423.97738745897</v>
      </c>
      <c r="F4" s="1">
        <v>135277.13802679002</v>
      </c>
      <c r="G4" s="1">
        <v>114735.51144618368</v>
      </c>
      <c r="H4" s="1">
        <v>137622.32108271305</v>
      </c>
      <c r="I4" s="1">
        <v>116773.04829483337</v>
      </c>
      <c r="J4" s="1">
        <v>121553.24726768187</v>
      </c>
      <c r="K4" s="1">
        <v>130180.5320170623</v>
      </c>
      <c r="L4" s="1">
        <v>129375.02700243153</v>
      </c>
      <c r="M4" s="1">
        <v>128648.80402246778</v>
      </c>
      <c r="N4" s="1">
        <v>139882.61050113538</v>
      </c>
      <c r="O4" s="1">
        <v>124991.46034020319</v>
      </c>
      <c r="P4" s="1">
        <v>147224.15857260706</v>
      </c>
      <c r="Q4" s="1">
        <v>131885.51245085729</v>
      </c>
      <c r="R4" s="1">
        <v>116746.00493308813</v>
      </c>
      <c r="S4" s="1">
        <v>137536.11251184504</v>
      </c>
      <c r="T4" s="1">
        <v>130690.93618493155</v>
      </c>
      <c r="U4" s="1">
        <v>121096.08029954073</v>
      </c>
      <c r="V4" s="1">
        <v>123152.9046510195</v>
      </c>
      <c r="W4" s="1">
        <v>132042.88056648435</v>
      </c>
      <c r="X4" s="1">
        <v>120509.8663843316</v>
      </c>
      <c r="Y4" s="1">
        <v>130964.03715530247</v>
      </c>
      <c r="Z4" s="1">
        <v>139343.78800684161</v>
      </c>
      <c r="AA4" s="1">
        <v>145147.55657857136</v>
      </c>
      <c r="AB4" s="1">
        <v>141214.14637009907</v>
      </c>
      <c r="AC4" s="1">
        <v>133015.15461579792</v>
      </c>
      <c r="AD4" s="1">
        <v>142348.76797185143</v>
      </c>
      <c r="AE4" s="1">
        <v>150027.26898411132</v>
      </c>
      <c r="AF4" s="1">
        <v>129207.37707692747</v>
      </c>
      <c r="AG4" s="1">
        <v>137337.23308608949</v>
      </c>
      <c r="AH4" s="1">
        <v>130910.24668164266</v>
      </c>
      <c r="AI4" s="1">
        <v>135566.06416242948</v>
      </c>
      <c r="AJ4" s="1">
        <v>119173.55439641267</v>
      </c>
      <c r="AK4" s="1">
        <v>113876.47449091474</v>
      </c>
      <c r="AL4" s="1">
        <v>141094.43994202593</v>
      </c>
      <c r="AM4" s="1">
        <v>123702.06481790822</v>
      </c>
      <c r="AN4" s="1">
        <v>141385.49346878266</v>
      </c>
      <c r="AO4" s="1">
        <v>144375.90051940724</v>
      </c>
      <c r="AP4" s="1">
        <v>145478.992676497</v>
      </c>
      <c r="AQ4" s="1">
        <v>140577.61739958116</v>
      </c>
      <c r="AR4" s="1">
        <v>132566.77738828611</v>
      </c>
      <c r="AS4" s="1">
        <v>138720.66949750308</v>
      </c>
      <c r="AT4" s="1">
        <v>144257.19017918059</v>
      </c>
      <c r="AU4" s="1">
        <v>141316.7546135872</v>
      </c>
      <c r="AV4" s="1">
        <v>138516.84999787383</v>
      </c>
      <c r="AW4" s="1">
        <v>139043.44075543803</v>
      </c>
      <c r="AX4" s="1">
        <v>125197.34353869442</v>
      </c>
      <c r="AY4" s="1">
        <v>141483.67262636829</v>
      </c>
      <c r="AZ4" s="1">
        <v>63301.738368531107</v>
      </c>
      <c r="BA4" s="1">
        <v>120050.69604585074</v>
      </c>
      <c r="BB4" s="1">
        <v>145780.96380747881</v>
      </c>
      <c r="BC4" s="1">
        <v>118767.39785291575</v>
      </c>
      <c r="BD4" s="1">
        <v>138382.6959977737</v>
      </c>
      <c r="BE4" s="1">
        <v>138959.7982748003</v>
      </c>
      <c r="BF4" s="1">
        <v>143489.59801806553</v>
      </c>
      <c r="BG4" s="1">
        <v>125897.22795203005</v>
      </c>
      <c r="BH4" s="1">
        <v>126325.62128677263</v>
      </c>
      <c r="BI4" s="1">
        <v>136030.57710609806</v>
      </c>
      <c r="BJ4" s="1">
        <v>119167.33478425055</v>
      </c>
      <c r="BK4" s="1">
        <v>145000.66667597633</v>
      </c>
      <c r="BL4" s="1">
        <v>112598.389818269</v>
      </c>
      <c r="BM4" s="1">
        <v>132073.24254105322</v>
      </c>
      <c r="BN4" s="1">
        <v>140679.50757859417</v>
      </c>
      <c r="BO4" s="1">
        <v>141077.95193345213</v>
      </c>
      <c r="BP4" s="1">
        <v>139130.15414164885</v>
      </c>
      <c r="BQ4" s="1">
        <v>118194.2143219662</v>
      </c>
      <c r="BR4" s="1">
        <v>124291.99841674209</v>
      </c>
      <c r="BS4" s="1">
        <v>140505.4513051929</v>
      </c>
      <c r="BT4" s="1">
        <v>120361.21681685641</v>
      </c>
      <c r="BU4" s="1">
        <v>134940.29914602428</v>
      </c>
      <c r="BV4" s="1">
        <v>130944.49528693242</v>
      </c>
      <c r="BW4" s="1">
        <v>124107.00934539197</v>
      </c>
      <c r="BX4" s="1">
        <v>144355.47268058534</v>
      </c>
      <c r="BY4" s="1">
        <v>138621.19893625792</v>
      </c>
      <c r="BZ4" s="1">
        <v>146615.57615224499</v>
      </c>
      <c r="CA4" s="1">
        <v>149907.67026515523</v>
      </c>
      <c r="CB4" s="1">
        <v>127314.76752634149</v>
      </c>
      <c r="CC4" s="1">
        <v>138545.36612013174</v>
      </c>
      <c r="CD4" s="1">
        <v>81689.494809532669</v>
      </c>
      <c r="CE4" s="1">
        <v>139130.59810209999</v>
      </c>
      <c r="CF4" s="1">
        <v>134791.7442135431</v>
      </c>
      <c r="CG4" s="1">
        <v>123962.05299799218</v>
      </c>
      <c r="CH4" s="1">
        <v>143178.78833089519</v>
      </c>
      <c r="CI4" s="1">
        <v>143511.07866060641</v>
      </c>
      <c r="CJ4" s="1">
        <v>119389.79520398917</v>
      </c>
      <c r="CK4" s="1">
        <v>134984.25717387497</v>
      </c>
      <c r="CL4" s="1">
        <v>150803.74242062456</v>
      </c>
      <c r="CM4" s="1">
        <v>123913.74202905425</v>
      </c>
      <c r="CN4" s="1">
        <v>143557.83826909121</v>
      </c>
      <c r="CO4" s="1">
        <v>116359.26055472485</v>
      </c>
      <c r="CP4" s="1">
        <v>128229.10230466907</v>
      </c>
      <c r="CQ4" s="1">
        <v>135621.24639116123</v>
      </c>
      <c r="CR4" s="1">
        <v>126577.09939552644</v>
      </c>
      <c r="CS4" s="1">
        <v>144304.44201233424</v>
      </c>
      <c r="CT4" s="1">
        <v>106423.00773874832</v>
      </c>
      <c r="CU4" s="1">
        <v>123353.36433431739</v>
      </c>
      <c r="CV4" s="1">
        <v>124753.66648460724</v>
      </c>
      <c r="CW4" s="1">
        <v>90725.806531653754</v>
      </c>
    </row>
    <row r="5" spans="1:101" x14ac:dyDescent="0.35">
      <c r="A5">
        <v>202204</v>
      </c>
      <c r="B5" s="1">
        <v>150537.75712896732</v>
      </c>
      <c r="C5" s="1">
        <v>155395.96298909344</v>
      </c>
      <c r="D5" s="1">
        <v>157504.19582080308</v>
      </c>
      <c r="E5" s="1">
        <v>144846.18109163057</v>
      </c>
      <c r="F5" s="1">
        <v>155656.90174361569</v>
      </c>
      <c r="G5" s="1">
        <v>134978.13606095681</v>
      </c>
      <c r="H5" s="1">
        <v>161388.6444970431</v>
      </c>
      <c r="I5" s="1">
        <v>136576.69690899379</v>
      </c>
      <c r="J5" s="1">
        <v>140196.05008794495</v>
      </c>
      <c r="K5" s="1">
        <v>152075.76809517835</v>
      </c>
      <c r="L5" s="1">
        <v>143118.80980335778</v>
      </c>
      <c r="M5" s="1">
        <v>152919.67823412668</v>
      </c>
      <c r="N5" s="1">
        <v>163725.54104588617</v>
      </c>
      <c r="O5" s="1">
        <v>148492.71429881107</v>
      </c>
      <c r="P5" s="1">
        <v>168015.12544503939</v>
      </c>
      <c r="Q5" s="1">
        <v>152730.98305225195</v>
      </c>
      <c r="R5" s="1">
        <v>135517.85810298583</v>
      </c>
      <c r="S5" s="1">
        <v>157948.60153830837</v>
      </c>
      <c r="T5" s="1">
        <v>153577.38291003255</v>
      </c>
      <c r="U5" s="1">
        <v>143957.36809941957</v>
      </c>
      <c r="V5" s="1">
        <v>141966.62566809566</v>
      </c>
      <c r="W5" s="1">
        <v>149993.84951167111</v>
      </c>
      <c r="X5" s="1">
        <v>139467.40572239642</v>
      </c>
      <c r="Y5" s="1">
        <v>154622.7885076052</v>
      </c>
      <c r="Z5" s="1">
        <v>162320.21189352125</v>
      </c>
      <c r="AA5" s="1">
        <v>172050.838087048</v>
      </c>
      <c r="AB5" s="1">
        <v>160759.56031041505</v>
      </c>
      <c r="AC5" s="1">
        <v>157984.0448107408</v>
      </c>
      <c r="AD5" s="1">
        <v>164395.26864269021</v>
      </c>
      <c r="AE5" s="1">
        <v>167762.21833176463</v>
      </c>
      <c r="AF5" s="1">
        <v>144569.88693624776</v>
      </c>
      <c r="AG5" s="1">
        <v>162258.74852260511</v>
      </c>
      <c r="AH5" s="1">
        <v>149209.08291237833</v>
      </c>
      <c r="AI5" s="1">
        <v>157771.67581601947</v>
      </c>
      <c r="AJ5" s="1">
        <v>143994.29640105605</v>
      </c>
      <c r="AK5" s="1">
        <v>134893.25414610756</v>
      </c>
      <c r="AL5" s="1">
        <v>165581.82600293114</v>
      </c>
      <c r="AM5" s="1">
        <v>138286.03175501234</v>
      </c>
      <c r="AN5" s="1">
        <v>164113.25753033423</v>
      </c>
      <c r="AO5" s="1">
        <v>167945.75250532018</v>
      </c>
      <c r="AP5" s="1">
        <v>171784.0210797576</v>
      </c>
      <c r="AQ5" s="1">
        <v>162018.6711756048</v>
      </c>
      <c r="AR5" s="1">
        <v>153554.89686514961</v>
      </c>
      <c r="AS5" s="1">
        <v>160830.68685265118</v>
      </c>
      <c r="AT5" s="1">
        <v>167091.2574424074</v>
      </c>
      <c r="AU5" s="1">
        <v>163485.6762817858</v>
      </c>
      <c r="AV5" s="1">
        <v>169130.00246121109</v>
      </c>
      <c r="AW5" s="1">
        <v>164970.87641383483</v>
      </c>
      <c r="AX5" s="1">
        <v>147458.15189325894</v>
      </c>
      <c r="AY5" s="1">
        <v>164342.41278045232</v>
      </c>
      <c r="AZ5" s="1">
        <v>77438.605183422682</v>
      </c>
      <c r="BA5" s="1">
        <v>138189.74834552506</v>
      </c>
      <c r="BB5" s="1">
        <v>167501.08994604653</v>
      </c>
      <c r="BC5" s="1">
        <v>137790.04278303581</v>
      </c>
      <c r="BD5" s="1">
        <v>159631.14151157782</v>
      </c>
      <c r="BE5" s="1">
        <v>166055.37403526541</v>
      </c>
      <c r="BF5" s="1">
        <v>164803.65228283618</v>
      </c>
      <c r="BG5" s="1">
        <v>145922.47778605405</v>
      </c>
      <c r="BH5" s="1">
        <v>151690.53872642404</v>
      </c>
      <c r="BI5" s="1">
        <v>160869.6594153397</v>
      </c>
      <c r="BJ5" s="1">
        <v>137214.62562726671</v>
      </c>
      <c r="BK5" s="1">
        <v>170262.04116451758</v>
      </c>
      <c r="BL5" s="1">
        <v>125095.43240795979</v>
      </c>
      <c r="BM5" s="1">
        <v>154293.65091296114</v>
      </c>
      <c r="BN5" s="1">
        <v>163537.30558752798</v>
      </c>
      <c r="BO5" s="1">
        <v>164668.05984386615</v>
      </c>
      <c r="BP5" s="1">
        <v>163590.02997780591</v>
      </c>
      <c r="BQ5" s="1">
        <v>138027.3539072898</v>
      </c>
      <c r="BR5" s="1">
        <v>144686.58506855296</v>
      </c>
      <c r="BS5" s="1">
        <v>163523.70962972374</v>
      </c>
      <c r="BT5" s="1">
        <v>133842.6529873691</v>
      </c>
      <c r="BU5" s="1">
        <v>157396.41679036283</v>
      </c>
      <c r="BV5" s="1">
        <v>149770.27303324352</v>
      </c>
      <c r="BW5" s="1">
        <v>151329.04087661378</v>
      </c>
      <c r="BX5" s="1">
        <v>165629.77205133042</v>
      </c>
      <c r="BY5" s="1">
        <v>154885.66317643167</v>
      </c>
      <c r="BZ5" s="1">
        <v>174316.31376492482</v>
      </c>
      <c r="CA5" s="1">
        <v>166499.4559453183</v>
      </c>
      <c r="CB5" s="1">
        <v>149120.81345880363</v>
      </c>
      <c r="CC5" s="1">
        <v>157273.83932839005</v>
      </c>
      <c r="CD5" s="1">
        <v>93732.418976953355</v>
      </c>
      <c r="CE5" s="1">
        <v>164678.85763190364</v>
      </c>
      <c r="CF5" s="1">
        <v>153592.07032135277</v>
      </c>
      <c r="CG5" s="1">
        <v>140469.30796627078</v>
      </c>
      <c r="CH5" s="1">
        <v>167280.26101042624</v>
      </c>
      <c r="CI5" s="1">
        <v>171301.62688904695</v>
      </c>
      <c r="CJ5" s="1">
        <v>144782.84602929826</v>
      </c>
      <c r="CK5" s="1">
        <v>156490.38066877029</v>
      </c>
      <c r="CL5" s="1">
        <v>173386.91637358218</v>
      </c>
      <c r="CM5" s="1">
        <v>144284.11532084693</v>
      </c>
      <c r="CN5" s="1">
        <v>162066.95444938695</v>
      </c>
      <c r="CO5" s="1">
        <v>141044.25468234703</v>
      </c>
      <c r="CP5" s="1">
        <v>148980.27770265928</v>
      </c>
      <c r="CQ5" s="1">
        <v>156706.26303252258</v>
      </c>
      <c r="CR5" s="1">
        <v>150270.26357972706</v>
      </c>
      <c r="CS5" s="1">
        <v>166356.57671448792</v>
      </c>
      <c r="CT5" s="1">
        <v>132198.47291429574</v>
      </c>
      <c r="CU5" s="1">
        <v>147343.48345829482</v>
      </c>
      <c r="CV5" s="1">
        <v>144591.26392187239</v>
      </c>
      <c r="CW5" s="1">
        <v>107540.02455061622</v>
      </c>
    </row>
    <row r="6" spans="1:101" x14ac:dyDescent="0.35">
      <c r="A6">
        <v>202205</v>
      </c>
      <c r="B6" s="1">
        <v>172083.43037860069</v>
      </c>
      <c r="C6" s="1">
        <v>167743.04701214921</v>
      </c>
      <c r="D6" s="1">
        <v>170515.00385674322</v>
      </c>
      <c r="E6" s="1">
        <v>158642.11559830778</v>
      </c>
      <c r="F6" s="1">
        <v>165984.35605138654</v>
      </c>
      <c r="G6" s="1">
        <v>149266.73251343172</v>
      </c>
      <c r="H6" s="1">
        <v>173040.94020513407</v>
      </c>
      <c r="I6" s="1">
        <v>148540.12137079719</v>
      </c>
      <c r="J6" s="1">
        <v>157975.9571262947</v>
      </c>
      <c r="K6" s="1">
        <v>162330.44611349129</v>
      </c>
      <c r="L6" s="1">
        <v>164684.66369161714</v>
      </c>
      <c r="M6" s="1">
        <v>165451.24898165636</v>
      </c>
      <c r="N6" s="1">
        <v>178521.59210542822</v>
      </c>
      <c r="O6" s="1">
        <v>161858.44187609525</v>
      </c>
      <c r="P6" s="1">
        <v>185918.81409016118</v>
      </c>
      <c r="Q6" s="1">
        <v>168556.1339455861</v>
      </c>
      <c r="R6" s="1">
        <v>149790.41004194488</v>
      </c>
      <c r="S6" s="1">
        <v>177639.93094563467</v>
      </c>
      <c r="T6" s="1">
        <v>169938.62776880059</v>
      </c>
      <c r="U6" s="1">
        <v>150522.7331894454</v>
      </c>
      <c r="V6" s="1">
        <v>158722.90400486338</v>
      </c>
      <c r="W6" s="1">
        <v>164452.99478152933</v>
      </c>
      <c r="X6" s="1">
        <v>158505.24157502368</v>
      </c>
      <c r="Y6" s="1">
        <v>173201.50287869727</v>
      </c>
      <c r="Z6" s="1">
        <v>179974.11886433349</v>
      </c>
      <c r="AA6" s="1">
        <v>184224.46512706557</v>
      </c>
      <c r="AB6" s="1">
        <v>176290.33210772972</v>
      </c>
      <c r="AC6" s="1">
        <v>171206.20782700132</v>
      </c>
      <c r="AD6" s="1">
        <v>179035.43853451731</v>
      </c>
      <c r="AE6" s="1">
        <v>184912.35354262369</v>
      </c>
      <c r="AF6" s="1">
        <v>158519.39016306636</v>
      </c>
      <c r="AG6" s="1">
        <v>174823.04982431958</v>
      </c>
      <c r="AH6" s="1">
        <v>165602.87464360916</v>
      </c>
      <c r="AI6" s="1">
        <v>173199.38126663506</v>
      </c>
      <c r="AJ6" s="1">
        <v>160337.44284966754</v>
      </c>
      <c r="AK6" s="1">
        <v>150587.23585416889</v>
      </c>
      <c r="AL6" s="1">
        <v>177918.38165447084</v>
      </c>
      <c r="AM6" s="1">
        <v>151986.99037224776</v>
      </c>
      <c r="AN6" s="1">
        <v>179133.61894001937</v>
      </c>
      <c r="AO6" s="1">
        <v>184376.94807229968</v>
      </c>
      <c r="AP6" s="1">
        <v>187844.09364591163</v>
      </c>
      <c r="AQ6" s="1">
        <v>177612.03127670087</v>
      </c>
      <c r="AR6" s="1">
        <v>168120.86977050937</v>
      </c>
      <c r="AS6" s="1">
        <v>171021.99854594286</v>
      </c>
      <c r="AT6" s="1">
        <v>189930.8339023992</v>
      </c>
      <c r="AU6" s="1">
        <v>178204.33582378362</v>
      </c>
      <c r="AV6" s="1">
        <v>183275.57982766983</v>
      </c>
      <c r="AW6" s="1">
        <v>177900.44625286205</v>
      </c>
      <c r="AX6" s="1">
        <v>156830.63906712542</v>
      </c>
      <c r="AY6" s="1">
        <v>182310.52558186548</v>
      </c>
      <c r="AZ6" s="1">
        <v>82576.899632823217</v>
      </c>
      <c r="BA6" s="1">
        <v>150235.83512954292</v>
      </c>
      <c r="BB6" s="1">
        <v>180954.45830342645</v>
      </c>
      <c r="BC6" s="1">
        <v>158460.85734138178</v>
      </c>
      <c r="BD6" s="1">
        <v>172650.97090727574</v>
      </c>
      <c r="BE6" s="1">
        <v>178519.96743569052</v>
      </c>
      <c r="BF6" s="1">
        <v>181847.99747916785</v>
      </c>
      <c r="BG6" s="1">
        <v>156666.653001578</v>
      </c>
      <c r="BH6" s="1">
        <v>158363.37441045928</v>
      </c>
      <c r="BI6" s="1">
        <v>175304.52382997723</v>
      </c>
      <c r="BJ6" s="1">
        <v>157540.65568745206</v>
      </c>
      <c r="BK6" s="1">
        <v>187028.52674860411</v>
      </c>
      <c r="BL6" s="1">
        <v>143183.2440246745</v>
      </c>
      <c r="BM6" s="1">
        <v>167505.89132084054</v>
      </c>
      <c r="BN6" s="1">
        <v>174422.32276102845</v>
      </c>
      <c r="BO6" s="1">
        <v>181511.70740181542</v>
      </c>
      <c r="BP6" s="1">
        <v>175756.23013921385</v>
      </c>
      <c r="BQ6" s="1">
        <v>152169.31170870777</v>
      </c>
      <c r="BR6" s="1">
        <v>164163.1094982205</v>
      </c>
      <c r="BS6" s="1">
        <v>181418.24229456903</v>
      </c>
      <c r="BT6" s="1">
        <v>149059.74853406913</v>
      </c>
      <c r="BU6" s="1">
        <v>177768.9261324821</v>
      </c>
      <c r="BV6" s="1">
        <v>171154.0011468867</v>
      </c>
      <c r="BW6" s="1">
        <v>162097.46689187337</v>
      </c>
      <c r="BX6" s="1">
        <v>179590.36458191159</v>
      </c>
      <c r="BY6" s="1">
        <v>168883.37939365549</v>
      </c>
      <c r="BZ6" s="1">
        <v>190441.55801974685</v>
      </c>
      <c r="CA6" s="1">
        <v>188137.04925248158</v>
      </c>
      <c r="CB6" s="1">
        <v>168862.26681014511</v>
      </c>
      <c r="CC6" s="1">
        <v>171062.19520965306</v>
      </c>
      <c r="CD6" s="1">
        <v>101841.04141279888</v>
      </c>
      <c r="CE6" s="1">
        <v>180846.19589676915</v>
      </c>
      <c r="CF6" s="1">
        <v>170482.78103807737</v>
      </c>
      <c r="CG6" s="1">
        <v>162531.1389686914</v>
      </c>
      <c r="CH6" s="1">
        <v>186030.00249610338</v>
      </c>
      <c r="CI6" s="1">
        <v>185035.47511916823</v>
      </c>
      <c r="CJ6" s="1">
        <v>160098.34527093862</v>
      </c>
      <c r="CK6" s="1">
        <v>170310.28443154984</v>
      </c>
      <c r="CL6" s="1">
        <v>190212.47249676476</v>
      </c>
      <c r="CM6" s="1">
        <v>160329.29283528798</v>
      </c>
      <c r="CN6" s="1">
        <v>180512.56627982709</v>
      </c>
      <c r="CO6" s="1">
        <v>150531.05395655858</v>
      </c>
      <c r="CP6" s="1">
        <v>164244.50310808863</v>
      </c>
      <c r="CQ6" s="1">
        <v>171426.48846374368</v>
      </c>
      <c r="CR6" s="1">
        <v>164288.56774157449</v>
      </c>
      <c r="CS6" s="1">
        <v>178942.49593821418</v>
      </c>
      <c r="CT6" s="1">
        <v>142154.2730249106</v>
      </c>
      <c r="CU6" s="1">
        <v>159648.60256899858</v>
      </c>
      <c r="CV6" s="1">
        <v>156391.63758623457</v>
      </c>
      <c r="CW6" s="1">
        <v>119766.71309483651</v>
      </c>
    </row>
    <row r="7" spans="1:101" x14ac:dyDescent="0.35">
      <c r="A7">
        <v>202206</v>
      </c>
      <c r="B7" s="1">
        <v>174666.4437268773</v>
      </c>
      <c r="C7" s="1">
        <v>174091.20324905039</v>
      </c>
      <c r="D7" s="1">
        <v>185313.95107288266</v>
      </c>
      <c r="E7" s="1">
        <v>170582.79989104177</v>
      </c>
      <c r="F7" s="1">
        <v>174269.464987991</v>
      </c>
      <c r="G7" s="1">
        <v>154751.47424006768</v>
      </c>
      <c r="H7" s="1">
        <v>183399.9180056465</v>
      </c>
      <c r="I7" s="1">
        <v>150752.64948589652</v>
      </c>
      <c r="J7" s="1">
        <v>164908.32145396003</v>
      </c>
      <c r="K7" s="1">
        <v>171030.57049936624</v>
      </c>
      <c r="L7" s="1">
        <v>162778.81548330007</v>
      </c>
      <c r="M7" s="1">
        <v>173330.8846870439</v>
      </c>
      <c r="N7" s="1">
        <v>181373.32346369768</v>
      </c>
      <c r="O7" s="1">
        <v>168968.02287469979</v>
      </c>
      <c r="P7" s="1">
        <v>192094.6860514174</v>
      </c>
      <c r="Q7" s="1">
        <v>168745.72854001357</v>
      </c>
      <c r="R7" s="1">
        <v>154285.93563811234</v>
      </c>
      <c r="S7" s="1">
        <v>182070.77605028893</v>
      </c>
      <c r="T7" s="1">
        <v>177978.79718582809</v>
      </c>
      <c r="U7" s="1">
        <v>156441.09094367854</v>
      </c>
      <c r="V7" s="1">
        <v>163975.17352570753</v>
      </c>
      <c r="W7" s="1">
        <v>167679.85069520399</v>
      </c>
      <c r="X7" s="1">
        <v>166150.5210777825</v>
      </c>
      <c r="Y7" s="1">
        <v>178941.05174471423</v>
      </c>
      <c r="Z7" s="1">
        <v>178578.1648967911</v>
      </c>
      <c r="AA7" s="1">
        <v>199738.61773710875</v>
      </c>
      <c r="AB7" s="1">
        <v>184586.76485937976</v>
      </c>
      <c r="AC7" s="1">
        <v>176938.69529785917</v>
      </c>
      <c r="AD7" s="1">
        <v>185004.0884810625</v>
      </c>
      <c r="AE7" s="1">
        <v>195248.76920844641</v>
      </c>
      <c r="AF7" s="1">
        <v>174396.69744204517</v>
      </c>
      <c r="AG7" s="1">
        <v>187081.37655361384</v>
      </c>
      <c r="AH7" s="1">
        <v>168755.73117572925</v>
      </c>
      <c r="AI7" s="1">
        <v>178656.15773667133</v>
      </c>
      <c r="AJ7" s="1">
        <v>162984.51991490572</v>
      </c>
      <c r="AK7" s="1">
        <v>153198.50335761235</v>
      </c>
      <c r="AL7" s="1">
        <v>189305.71244854172</v>
      </c>
      <c r="AM7" s="1">
        <v>159959.39331637838</v>
      </c>
      <c r="AN7" s="1">
        <v>189189.65335723507</v>
      </c>
      <c r="AO7" s="1">
        <v>193003.62073614402</v>
      </c>
      <c r="AP7" s="1">
        <v>192834.36018806958</v>
      </c>
      <c r="AQ7" s="1">
        <v>186986.23420079707</v>
      </c>
      <c r="AR7" s="1">
        <v>168446.19351242788</v>
      </c>
      <c r="AS7" s="1">
        <v>182235.06382282695</v>
      </c>
      <c r="AT7" s="1">
        <v>189320.29284230201</v>
      </c>
      <c r="AU7" s="1">
        <v>196897.54973470251</v>
      </c>
      <c r="AV7" s="1">
        <v>193290.1819367288</v>
      </c>
      <c r="AW7" s="1">
        <v>180331.09360942699</v>
      </c>
      <c r="AX7" s="1">
        <v>164716.07325866068</v>
      </c>
      <c r="AY7" s="1">
        <v>184975.1104033642</v>
      </c>
      <c r="AZ7" s="1">
        <v>87899.755241792489</v>
      </c>
      <c r="BA7" s="1">
        <v>160645.2115315205</v>
      </c>
      <c r="BB7" s="1">
        <v>192574.31749525733</v>
      </c>
      <c r="BC7" s="1">
        <v>169881.70260757479</v>
      </c>
      <c r="BD7" s="1">
        <v>175925.83668386741</v>
      </c>
      <c r="BE7" s="1">
        <v>189518.85045482428</v>
      </c>
      <c r="BF7" s="1">
        <v>193047.83028874299</v>
      </c>
      <c r="BG7" s="1">
        <v>166870.96548897124</v>
      </c>
      <c r="BH7" s="1">
        <v>172709.93934461754</v>
      </c>
      <c r="BI7" s="1">
        <v>180326.42500116304</v>
      </c>
      <c r="BJ7" s="1">
        <v>165177.36735804012</v>
      </c>
      <c r="BK7" s="1">
        <v>196150.05832230288</v>
      </c>
      <c r="BL7" s="1">
        <v>151604.32694608637</v>
      </c>
      <c r="BM7" s="1">
        <v>171883.85138691589</v>
      </c>
      <c r="BN7" s="1">
        <v>182895.68836425271</v>
      </c>
      <c r="BO7" s="1">
        <v>189674.11846278131</v>
      </c>
      <c r="BP7" s="1">
        <v>189114.1954198381</v>
      </c>
      <c r="BQ7" s="1">
        <v>159535.04594528765</v>
      </c>
      <c r="BR7" s="1">
        <v>165651.50090094053</v>
      </c>
      <c r="BS7" s="1">
        <v>185862.59787663058</v>
      </c>
      <c r="BT7" s="1">
        <v>158229.16984171004</v>
      </c>
      <c r="BU7" s="1">
        <v>177713.01066062637</v>
      </c>
      <c r="BV7" s="1">
        <v>174908.86397265451</v>
      </c>
      <c r="BW7" s="1">
        <v>169284.01184443332</v>
      </c>
      <c r="BX7" s="1">
        <v>192109.86649687545</v>
      </c>
      <c r="BY7" s="1">
        <v>179195.3660586465</v>
      </c>
      <c r="BZ7" s="1">
        <v>194951.58025005064</v>
      </c>
      <c r="CA7" s="1">
        <v>192750.79153257117</v>
      </c>
      <c r="CB7" s="1">
        <v>173282.3057074674</v>
      </c>
      <c r="CC7" s="1">
        <v>183303.57918268803</v>
      </c>
      <c r="CD7" s="1">
        <v>107393.17144556712</v>
      </c>
      <c r="CE7" s="1">
        <v>188983.65475272844</v>
      </c>
      <c r="CF7" s="1">
        <v>179360.78491459842</v>
      </c>
      <c r="CG7" s="1">
        <v>169194.17016214324</v>
      </c>
      <c r="CH7" s="1">
        <v>190839.44432351191</v>
      </c>
      <c r="CI7" s="1">
        <v>192412.51729429475</v>
      </c>
      <c r="CJ7" s="1">
        <v>167101.38918286795</v>
      </c>
      <c r="CK7" s="1">
        <v>179048.99256581336</v>
      </c>
      <c r="CL7" s="1">
        <v>193914.94798649161</v>
      </c>
      <c r="CM7" s="1">
        <v>165541.47537773472</v>
      </c>
      <c r="CN7" s="1">
        <v>188825.85372502293</v>
      </c>
      <c r="CO7" s="1">
        <v>154102.72696472215</v>
      </c>
      <c r="CP7" s="1">
        <v>168046.81795450699</v>
      </c>
      <c r="CQ7" s="1">
        <v>183342.66862915034</v>
      </c>
      <c r="CR7" s="1">
        <v>171967.66605889809</v>
      </c>
      <c r="CS7" s="1">
        <v>189875.38444938749</v>
      </c>
      <c r="CT7" s="1">
        <v>145578.34274270956</v>
      </c>
      <c r="CU7" s="1">
        <v>169325.33664701806</v>
      </c>
      <c r="CV7" s="1">
        <v>169173.11020209966</v>
      </c>
      <c r="CW7" s="1">
        <v>127586.20766904343</v>
      </c>
    </row>
    <row r="8" spans="1:101" x14ac:dyDescent="0.35">
      <c r="A8">
        <v>202207</v>
      </c>
      <c r="B8" s="1">
        <v>179850.97320784055</v>
      </c>
      <c r="C8" s="1">
        <v>182384.29015803727</v>
      </c>
      <c r="D8" s="1">
        <v>185060.60702595368</v>
      </c>
      <c r="E8" s="1">
        <v>173650.79405446351</v>
      </c>
      <c r="F8" s="1">
        <v>178134.00068904413</v>
      </c>
      <c r="G8" s="1">
        <v>157222.14101359557</v>
      </c>
      <c r="H8" s="1">
        <v>189770.33136134499</v>
      </c>
      <c r="I8" s="1">
        <v>157226.89472613597</v>
      </c>
      <c r="J8" s="1">
        <v>166878.35584751502</v>
      </c>
      <c r="K8" s="1">
        <v>179900.27363540547</v>
      </c>
      <c r="L8" s="1">
        <v>173783.68493257216</v>
      </c>
      <c r="M8" s="1">
        <v>172827.60689752371</v>
      </c>
      <c r="N8" s="1">
        <v>190232.93531556331</v>
      </c>
      <c r="O8" s="1">
        <v>173027.52448484354</v>
      </c>
      <c r="P8" s="1">
        <v>199482.89984827975</v>
      </c>
      <c r="Q8" s="1">
        <v>181799.56674048689</v>
      </c>
      <c r="R8" s="1">
        <v>161425.49628581523</v>
      </c>
      <c r="S8" s="1">
        <v>187388.06998921774</v>
      </c>
      <c r="T8" s="1">
        <v>183508.46687285256</v>
      </c>
      <c r="U8" s="1">
        <v>164941.67637864617</v>
      </c>
      <c r="V8" s="1">
        <v>169634.0181707021</v>
      </c>
      <c r="W8" s="1">
        <v>175287.98063571617</v>
      </c>
      <c r="X8" s="1">
        <v>170736.39383967067</v>
      </c>
      <c r="Y8" s="1">
        <v>184949.91590644798</v>
      </c>
      <c r="Z8" s="1">
        <v>187746.2706505683</v>
      </c>
      <c r="AA8" s="1">
        <v>200267.47796031446</v>
      </c>
      <c r="AB8" s="1">
        <v>194104.33148314146</v>
      </c>
      <c r="AC8" s="1">
        <v>185786.48021241021</v>
      </c>
      <c r="AD8" s="1">
        <v>191755.60621050806</v>
      </c>
      <c r="AE8" s="1">
        <v>200572.28894394104</v>
      </c>
      <c r="AF8" s="1">
        <v>177186.14098909864</v>
      </c>
      <c r="AG8" s="1">
        <v>194060.42634145569</v>
      </c>
      <c r="AH8" s="1">
        <v>175407.90657342272</v>
      </c>
      <c r="AI8" s="1">
        <v>180967.82034552121</v>
      </c>
      <c r="AJ8" s="1">
        <v>174109.64535784777</v>
      </c>
      <c r="AK8" s="1">
        <v>158738.39612628383</v>
      </c>
      <c r="AL8" s="1">
        <v>191004.4221928828</v>
      </c>
      <c r="AM8" s="1">
        <v>168295.07503644636</v>
      </c>
      <c r="AN8" s="1">
        <v>196849.05643678104</v>
      </c>
      <c r="AO8" s="1">
        <v>201226.11320700031</v>
      </c>
      <c r="AP8" s="1">
        <v>202537.09540036289</v>
      </c>
      <c r="AQ8" s="1">
        <v>195748.09977863086</v>
      </c>
      <c r="AR8" s="1">
        <v>178817.86677867413</v>
      </c>
      <c r="AS8" s="1">
        <v>186229.63246311102</v>
      </c>
      <c r="AT8" s="1">
        <v>193574.33662779132</v>
      </c>
      <c r="AU8" s="1">
        <v>196054.14420963565</v>
      </c>
      <c r="AV8" s="1">
        <v>201614.90400177299</v>
      </c>
      <c r="AW8" s="1">
        <v>188330.32303947993</v>
      </c>
      <c r="AX8" s="1">
        <v>168230.14228903828</v>
      </c>
      <c r="AY8" s="1">
        <v>196013.83421155671</v>
      </c>
      <c r="AZ8" s="1">
        <v>85836.954732412327</v>
      </c>
      <c r="BA8" s="1">
        <v>161539.39107016602</v>
      </c>
      <c r="BB8" s="1">
        <v>191010.97230524613</v>
      </c>
      <c r="BC8" s="1">
        <v>162478.76663866005</v>
      </c>
      <c r="BD8" s="1">
        <v>189969.28470984465</v>
      </c>
      <c r="BE8" s="1">
        <v>190350.24512475237</v>
      </c>
      <c r="BF8" s="1">
        <v>196160.3765799586</v>
      </c>
      <c r="BG8" s="1">
        <v>171561.30198258214</v>
      </c>
      <c r="BH8" s="1">
        <v>174252.54214731796</v>
      </c>
      <c r="BI8" s="1">
        <v>188110.28001229532</v>
      </c>
      <c r="BJ8" s="1">
        <v>172055.96899330305</v>
      </c>
      <c r="BK8" s="1">
        <v>203499.38711480191</v>
      </c>
      <c r="BL8" s="1">
        <v>155253.17292006902</v>
      </c>
      <c r="BM8" s="1">
        <v>185931.83458908461</v>
      </c>
      <c r="BN8" s="1">
        <v>187133.81011358261</v>
      </c>
      <c r="BO8" s="1">
        <v>194438.41600003652</v>
      </c>
      <c r="BP8" s="1">
        <v>197455.76565737484</v>
      </c>
      <c r="BQ8" s="1">
        <v>163650.35336148413</v>
      </c>
      <c r="BR8" s="1">
        <v>171700.24317195691</v>
      </c>
      <c r="BS8" s="1">
        <v>190180.8058899095</v>
      </c>
      <c r="BT8" s="1">
        <v>155559.17944000979</v>
      </c>
      <c r="BU8" s="1">
        <v>183641.78725345311</v>
      </c>
      <c r="BV8" s="1">
        <v>174681.13474695254</v>
      </c>
      <c r="BW8" s="1">
        <v>174992.34230649931</v>
      </c>
      <c r="BX8" s="1">
        <v>188356.93565279743</v>
      </c>
      <c r="BY8" s="1">
        <v>186404.53222371676</v>
      </c>
      <c r="BZ8" s="1">
        <v>200529.1023389326</v>
      </c>
      <c r="CA8" s="1">
        <v>207207.14363329663</v>
      </c>
      <c r="CB8" s="1">
        <v>177844.96964115699</v>
      </c>
      <c r="CC8" s="1">
        <v>186303.8486643011</v>
      </c>
      <c r="CD8" s="1">
        <v>113407.03794977404</v>
      </c>
      <c r="CE8" s="1">
        <v>192075.7963888293</v>
      </c>
      <c r="CF8" s="1">
        <v>180741.38212770974</v>
      </c>
      <c r="CG8" s="1">
        <v>174951.13365942007</v>
      </c>
      <c r="CH8" s="1">
        <v>201721.00776809754</v>
      </c>
      <c r="CI8" s="1">
        <v>201293.95512003425</v>
      </c>
      <c r="CJ8" s="1">
        <v>173466.7895926708</v>
      </c>
      <c r="CK8" s="1">
        <v>183073.42536435559</v>
      </c>
      <c r="CL8" s="1">
        <v>205854.78522608374</v>
      </c>
      <c r="CM8" s="1">
        <v>172898.75769699772</v>
      </c>
      <c r="CN8" s="1">
        <v>195137.68525940244</v>
      </c>
      <c r="CO8" s="1">
        <v>165246.94179520407</v>
      </c>
      <c r="CP8" s="1">
        <v>175198.46030771502</v>
      </c>
      <c r="CQ8" s="1">
        <v>187404.52047722175</v>
      </c>
      <c r="CR8" s="1">
        <v>174827.68062802407</v>
      </c>
      <c r="CS8" s="1">
        <v>196652.02222038803</v>
      </c>
      <c r="CT8" s="1">
        <v>147736.62128470672</v>
      </c>
      <c r="CU8" s="1">
        <v>171628.15753678212</v>
      </c>
      <c r="CV8" s="1">
        <v>177215.10123402308</v>
      </c>
      <c r="CW8" s="1">
        <v>123136.73733614592</v>
      </c>
    </row>
    <row r="9" spans="1:101" x14ac:dyDescent="0.35">
      <c r="A9">
        <v>202208</v>
      </c>
      <c r="B9" s="1">
        <v>160313.58142874207</v>
      </c>
      <c r="C9" s="1">
        <v>158994.89105303376</v>
      </c>
      <c r="D9" s="1">
        <v>165642.93470510017</v>
      </c>
      <c r="E9" s="1">
        <v>151370.56568970875</v>
      </c>
      <c r="F9" s="1">
        <v>156311.85505388453</v>
      </c>
      <c r="G9" s="1">
        <v>143034.28672395993</v>
      </c>
      <c r="H9" s="1">
        <v>168276.05720606094</v>
      </c>
      <c r="I9" s="1">
        <v>141428.80641097587</v>
      </c>
      <c r="J9" s="1">
        <v>145734.86959384693</v>
      </c>
      <c r="K9" s="1">
        <v>153271.13193329473</v>
      </c>
      <c r="L9" s="1">
        <v>152630.511742034</v>
      </c>
      <c r="M9" s="1">
        <v>154853.9941245245</v>
      </c>
      <c r="N9" s="1">
        <v>170732.51585596774</v>
      </c>
      <c r="O9" s="1">
        <v>151553.86676732212</v>
      </c>
      <c r="P9" s="1">
        <v>175302.16463160311</v>
      </c>
      <c r="Q9" s="1">
        <v>159546.98318333624</v>
      </c>
      <c r="R9" s="1">
        <v>136307.65886075463</v>
      </c>
      <c r="S9" s="1">
        <v>162249.2202659059</v>
      </c>
      <c r="T9" s="1">
        <v>161484.06162757427</v>
      </c>
      <c r="U9" s="1">
        <v>147113.49729387453</v>
      </c>
      <c r="V9" s="1">
        <v>150068.0111375071</v>
      </c>
      <c r="W9" s="1">
        <v>156103.32547494539</v>
      </c>
      <c r="X9" s="1">
        <v>151777.2678704368</v>
      </c>
      <c r="Y9" s="1">
        <v>158158.04713073579</v>
      </c>
      <c r="Z9" s="1">
        <v>166112.15634703528</v>
      </c>
      <c r="AA9" s="1">
        <v>177666.38833379885</v>
      </c>
      <c r="AB9" s="1">
        <v>165653.3190797515</v>
      </c>
      <c r="AC9" s="1">
        <v>164986.08842177971</v>
      </c>
      <c r="AD9" s="1">
        <v>169951.55966260307</v>
      </c>
      <c r="AE9" s="1">
        <v>174222.31639065791</v>
      </c>
      <c r="AF9" s="1">
        <v>151158.70381232159</v>
      </c>
      <c r="AG9" s="1">
        <v>166806.25261151307</v>
      </c>
      <c r="AH9" s="1">
        <v>152689.87240528679</v>
      </c>
      <c r="AI9" s="1">
        <v>161778.3373640627</v>
      </c>
      <c r="AJ9" s="1">
        <v>145243.9824253252</v>
      </c>
      <c r="AK9" s="1">
        <v>136938.31051897022</v>
      </c>
      <c r="AL9" s="1">
        <v>170185.96195937486</v>
      </c>
      <c r="AM9" s="1">
        <v>141906.38145367929</v>
      </c>
      <c r="AN9" s="1">
        <v>170468.84950829524</v>
      </c>
      <c r="AO9" s="1">
        <v>175466.20197178525</v>
      </c>
      <c r="AP9" s="1">
        <v>175350.13418822802</v>
      </c>
      <c r="AQ9" s="1">
        <v>171266.23429110122</v>
      </c>
      <c r="AR9" s="1">
        <v>156210.48954285099</v>
      </c>
      <c r="AS9" s="1">
        <v>170230.77519886359</v>
      </c>
      <c r="AT9" s="1">
        <v>172784.55532156129</v>
      </c>
      <c r="AU9" s="1">
        <v>173204.55061793647</v>
      </c>
      <c r="AV9" s="1">
        <v>174107.71300659949</v>
      </c>
      <c r="AW9" s="1">
        <v>164581.44172742096</v>
      </c>
      <c r="AX9" s="1">
        <v>154117.29311867245</v>
      </c>
      <c r="AY9" s="1">
        <v>168334.39494423932</v>
      </c>
      <c r="AZ9" s="1">
        <v>76640.671919604021</v>
      </c>
      <c r="BA9" s="1">
        <v>140820.59871128615</v>
      </c>
      <c r="BB9" s="1">
        <v>173057.65379204581</v>
      </c>
      <c r="BC9" s="1">
        <v>155987.75463890401</v>
      </c>
      <c r="BD9" s="1">
        <v>164019.28754274419</v>
      </c>
      <c r="BE9" s="1">
        <v>171445.61375268651</v>
      </c>
      <c r="BF9" s="1">
        <v>172398.81353968143</v>
      </c>
      <c r="BG9" s="1">
        <v>149091.72935703478</v>
      </c>
      <c r="BH9" s="1">
        <v>152313.38040283919</v>
      </c>
      <c r="BI9" s="1">
        <v>164782.51144241533</v>
      </c>
      <c r="BJ9" s="1">
        <v>149617.94217412226</v>
      </c>
      <c r="BK9" s="1">
        <v>176830.40151917329</v>
      </c>
      <c r="BL9" s="1">
        <v>135556.47929688016</v>
      </c>
      <c r="BM9" s="1">
        <v>158339.14040107871</v>
      </c>
      <c r="BN9" s="1">
        <v>164837.21664101846</v>
      </c>
      <c r="BO9" s="1">
        <v>173180.6099568886</v>
      </c>
      <c r="BP9" s="1">
        <v>170276.05163236553</v>
      </c>
      <c r="BQ9" s="1">
        <v>139372.38680659395</v>
      </c>
      <c r="BR9" s="1">
        <v>149944.48907412693</v>
      </c>
      <c r="BS9" s="1">
        <v>166974.44684631479</v>
      </c>
      <c r="BT9" s="1">
        <v>137531.24312284988</v>
      </c>
      <c r="BU9" s="1">
        <v>165889.40629688805</v>
      </c>
      <c r="BV9" s="1">
        <v>152230.86192776845</v>
      </c>
      <c r="BW9" s="1">
        <v>153530.7343822667</v>
      </c>
      <c r="BX9" s="1">
        <v>173932.84367771211</v>
      </c>
      <c r="BY9" s="1">
        <v>160257.56552868764</v>
      </c>
      <c r="BZ9" s="1">
        <v>176565.67115292777</v>
      </c>
      <c r="CA9" s="1">
        <v>173626.83187796507</v>
      </c>
      <c r="CB9" s="1">
        <v>154741.95316697942</v>
      </c>
      <c r="CC9" s="1">
        <v>164998.98844359559</v>
      </c>
      <c r="CD9" s="1">
        <v>94649.520396350184</v>
      </c>
      <c r="CE9" s="1">
        <v>177957.6245555928</v>
      </c>
      <c r="CF9" s="1">
        <v>157340.20284396957</v>
      </c>
      <c r="CG9" s="1">
        <v>150432.08003852775</v>
      </c>
      <c r="CH9" s="1">
        <v>170018.46539261623</v>
      </c>
      <c r="CI9" s="1">
        <v>178502.239895787</v>
      </c>
      <c r="CJ9" s="1">
        <v>144612.23301718483</v>
      </c>
      <c r="CK9" s="1">
        <v>161546.23711916583</v>
      </c>
      <c r="CL9" s="1">
        <v>178893.08887775862</v>
      </c>
      <c r="CM9" s="1">
        <v>154023.31732918328</v>
      </c>
      <c r="CN9" s="1">
        <v>170788.88132326808</v>
      </c>
      <c r="CO9" s="1">
        <v>143596.16189992003</v>
      </c>
      <c r="CP9" s="1">
        <v>151383.18191207678</v>
      </c>
      <c r="CQ9" s="1">
        <v>164437.14199663239</v>
      </c>
      <c r="CR9" s="1">
        <v>156936.79010843305</v>
      </c>
      <c r="CS9" s="1">
        <v>172609.4200041958</v>
      </c>
      <c r="CT9" s="1">
        <v>135943.82235884637</v>
      </c>
      <c r="CU9" s="1">
        <v>148367.62790703343</v>
      </c>
      <c r="CV9" s="1">
        <v>151446.49804774759</v>
      </c>
      <c r="CW9" s="1">
        <v>113515.79768358948</v>
      </c>
    </row>
    <row r="10" spans="1:101" x14ac:dyDescent="0.35">
      <c r="A10">
        <v>202209</v>
      </c>
      <c r="B10" s="1">
        <v>152126.02683372883</v>
      </c>
      <c r="C10" s="1">
        <v>153048.58609436813</v>
      </c>
      <c r="D10" s="1">
        <v>155163.58306321132</v>
      </c>
      <c r="E10" s="1">
        <v>140918.49479004552</v>
      </c>
      <c r="F10" s="1">
        <v>150291.46423298129</v>
      </c>
      <c r="G10" s="1">
        <v>132278.14209991408</v>
      </c>
      <c r="H10" s="1">
        <v>159014.76345723349</v>
      </c>
      <c r="I10" s="1">
        <v>133830.21941633549</v>
      </c>
      <c r="J10" s="1">
        <v>143016.63504715529</v>
      </c>
      <c r="K10" s="1">
        <v>146477.66662313376</v>
      </c>
      <c r="L10" s="1">
        <v>140474.31390754937</v>
      </c>
      <c r="M10" s="1">
        <v>148423.78717181055</v>
      </c>
      <c r="N10" s="1">
        <v>161178.29293005867</v>
      </c>
      <c r="O10" s="1">
        <v>141345.2651529632</v>
      </c>
      <c r="P10" s="1">
        <v>171634.39193513166</v>
      </c>
      <c r="Q10" s="1">
        <v>148825.77633842584</v>
      </c>
      <c r="R10" s="1">
        <v>135725.68710929723</v>
      </c>
      <c r="S10" s="1">
        <v>156448.62664156326</v>
      </c>
      <c r="T10" s="1">
        <v>155034.21269603207</v>
      </c>
      <c r="U10" s="1">
        <v>140569.60849975422</v>
      </c>
      <c r="V10" s="1">
        <v>144706.326821683</v>
      </c>
      <c r="W10" s="1">
        <v>145676.06161385812</v>
      </c>
      <c r="X10" s="1">
        <v>142908.44753892825</v>
      </c>
      <c r="Y10" s="1">
        <v>154312.06095010927</v>
      </c>
      <c r="Z10" s="1">
        <v>161197.99894046556</v>
      </c>
      <c r="AA10" s="1">
        <v>170043.06535357985</v>
      </c>
      <c r="AB10" s="1">
        <v>162177.90900219325</v>
      </c>
      <c r="AC10" s="1">
        <v>154182.32141569752</v>
      </c>
      <c r="AD10" s="1">
        <v>159985.19180295087</v>
      </c>
      <c r="AE10" s="1">
        <v>165422.69801135745</v>
      </c>
      <c r="AF10" s="1">
        <v>146936.12824316623</v>
      </c>
      <c r="AG10" s="1">
        <v>157441.96636578679</v>
      </c>
      <c r="AH10" s="1">
        <v>145088.2581266191</v>
      </c>
      <c r="AI10" s="1">
        <v>156144.82873290605</v>
      </c>
      <c r="AJ10" s="1">
        <v>141263.52431746709</v>
      </c>
      <c r="AK10" s="1">
        <v>136173.39476978683</v>
      </c>
      <c r="AL10" s="1">
        <v>162785.64208374481</v>
      </c>
      <c r="AM10" s="1">
        <v>136626.37826861427</v>
      </c>
      <c r="AN10" s="1">
        <v>160110.15400285643</v>
      </c>
      <c r="AO10" s="1">
        <v>164419.18382870822</v>
      </c>
      <c r="AP10" s="1">
        <v>170687.63723053195</v>
      </c>
      <c r="AQ10" s="1">
        <v>163033.06769966448</v>
      </c>
      <c r="AR10" s="1">
        <v>149381.43313835247</v>
      </c>
      <c r="AS10" s="1">
        <v>163266.56226712101</v>
      </c>
      <c r="AT10" s="1">
        <v>168300.32941416875</v>
      </c>
      <c r="AU10" s="1">
        <v>166756.46832404198</v>
      </c>
      <c r="AV10" s="1">
        <v>163864.31197574391</v>
      </c>
      <c r="AW10" s="1">
        <v>156989.939377128</v>
      </c>
      <c r="AX10" s="1">
        <v>141333.53132684663</v>
      </c>
      <c r="AY10" s="1">
        <v>163729.36762484425</v>
      </c>
      <c r="AZ10" s="1">
        <v>72692.756257728237</v>
      </c>
      <c r="BA10" s="1">
        <v>141890.1768433894</v>
      </c>
      <c r="BB10" s="1">
        <v>166763.64365837708</v>
      </c>
      <c r="BC10" s="1">
        <v>140776.39113788184</v>
      </c>
      <c r="BD10" s="1">
        <v>158291.14566586644</v>
      </c>
      <c r="BE10" s="1">
        <v>158390.16797725324</v>
      </c>
      <c r="BF10" s="1">
        <v>163044.20206591929</v>
      </c>
      <c r="BG10" s="1">
        <v>142443.49271224599</v>
      </c>
      <c r="BH10" s="1">
        <v>146182.58589005674</v>
      </c>
      <c r="BI10" s="1">
        <v>157518.55854722863</v>
      </c>
      <c r="BJ10" s="1">
        <v>140019.54048177678</v>
      </c>
      <c r="BK10" s="1">
        <v>166517.83817732643</v>
      </c>
      <c r="BL10" s="1">
        <v>131663.26730171073</v>
      </c>
      <c r="BM10" s="1">
        <v>152214.46485230472</v>
      </c>
      <c r="BN10" s="1">
        <v>155615.77386626211</v>
      </c>
      <c r="BO10" s="1">
        <v>164218.41585492832</v>
      </c>
      <c r="BP10" s="1">
        <v>161240.68292265086</v>
      </c>
      <c r="BQ10" s="1">
        <v>138942.53836944402</v>
      </c>
      <c r="BR10" s="1">
        <v>147151.94049406573</v>
      </c>
      <c r="BS10" s="1">
        <v>162509.61468667831</v>
      </c>
      <c r="BT10" s="1">
        <v>131832.75183793562</v>
      </c>
      <c r="BU10" s="1">
        <v>155954.7070224995</v>
      </c>
      <c r="BV10" s="1">
        <v>145038.54788477087</v>
      </c>
      <c r="BW10" s="1">
        <v>147593.83126680527</v>
      </c>
      <c r="BX10" s="1">
        <v>162002.52765861878</v>
      </c>
      <c r="BY10" s="1">
        <v>152006.61961623366</v>
      </c>
      <c r="BZ10" s="1">
        <v>166872.620861804</v>
      </c>
      <c r="CA10" s="1">
        <v>171870.67199828179</v>
      </c>
      <c r="CB10" s="1">
        <v>151428.17849057319</v>
      </c>
      <c r="CC10" s="1">
        <v>160197.58238303591</v>
      </c>
      <c r="CD10" s="1">
        <v>93004.611621586388</v>
      </c>
      <c r="CE10" s="1">
        <v>161662.62012679948</v>
      </c>
      <c r="CF10" s="1">
        <v>154973.44558173246</v>
      </c>
      <c r="CG10" s="1">
        <v>141926.70358368524</v>
      </c>
      <c r="CH10" s="1">
        <v>163937.20754786168</v>
      </c>
      <c r="CI10" s="1">
        <v>168252.1776897097</v>
      </c>
      <c r="CJ10" s="1">
        <v>138171.24083994175</v>
      </c>
      <c r="CK10" s="1">
        <v>155469.14646143385</v>
      </c>
      <c r="CL10" s="1">
        <v>166138.76159771412</v>
      </c>
      <c r="CM10" s="1">
        <v>149153.99054957356</v>
      </c>
      <c r="CN10" s="1">
        <v>167194.4096008889</v>
      </c>
      <c r="CO10" s="1">
        <v>135116.24734286842</v>
      </c>
      <c r="CP10" s="1">
        <v>144907.90721108511</v>
      </c>
      <c r="CQ10" s="1">
        <v>152929.47448840112</v>
      </c>
      <c r="CR10" s="1">
        <v>145074.98886595631</v>
      </c>
      <c r="CS10" s="1">
        <v>164061.02293429043</v>
      </c>
      <c r="CT10" s="1">
        <v>123171.91728617351</v>
      </c>
      <c r="CU10" s="1">
        <v>142810.86164612049</v>
      </c>
      <c r="CV10" s="1">
        <v>141209.09431413776</v>
      </c>
      <c r="CW10" s="1">
        <v>108429.3638644709</v>
      </c>
    </row>
    <row r="11" spans="1:101" x14ac:dyDescent="0.35">
      <c r="A11">
        <v>202210</v>
      </c>
      <c r="B11" s="1">
        <v>146927.65290020243</v>
      </c>
      <c r="C11" s="1">
        <v>144374.90941796088</v>
      </c>
      <c r="D11" s="1">
        <v>146122.35868591745</v>
      </c>
      <c r="E11" s="1">
        <v>140252.96194893747</v>
      </c>
      <c r="F11" s="1">
        <v>148496.03351462001</v>
      </c>
      <c r="G11" s="1">
        <v>130383.73020491729</v>
      </c>
      <c r="H11" s="1">
        <v>153960.47427916902</v>
      </c>
      <c r="I11" s="1">
        <v>131825.71274443585</v>
      </c>
      <c r="J11" s="1">
        <v>132525.66475677342</v>
      </c>
      <c r="K11" s="1">
        <v>141039.53873015288</v>
      </c>
      <c r="L11" s="1">
        <v>149685.14067333398</v>
      </c>
      <c r="M11" s="1">
        <v>142420.39833500388</v>
      </c>
      <c r="N11" s="1">
        <v>155429.72676358445</v>
      </c>
      <c r="O11" s="1">
        <v>139154.396975626</v>
      </c>
      <c r="P11" s="1">
        <v>163199.52018007371</v>
      </c>
      <c r="Q11" s="1">
        <v>146935.63908812002</v>
      </c>
      <c r="R11" s="1">
        <v>129943.80550847326</v>
      </c>
      <c r="S11" s="1">
        <v>155062.11753547555</v>
      </c>
      <c r="T11" s="1">
        <v>144551.02133628013</v>
      </c>
      <c r="U11" s="1">
        <v>130366.41079467634</v>
      </c>
      <c r="V11" s="1">
        <v>135131.35747693598</v>
      </c>
      <c r="W11" s="1">
        <v>141895.79398605644</v>
      </c>
      <c r="X11" s="1">
        <v>140302.9248226193</v>
      </c>
      <c r="Y11" s="1">
        <v>147860.56026909448</v>
      </c>
      <c r="Z11" s="1">
        <v>153050.10979561968</v>
      </c>
      <c r="AA11" s="1">
        <v>156895.28169412026</v>
      </c>
      <c r="AB11" s="1">
        <v>154572.39322927786</v>
      </c>
      <c r="AC11" s="1">
        <v>149601.04226651113</v>
      </c>
      <c r="AD11" s="1">
        <v>157009.13423307409</v>
      </c>
      <c r="AE11" s="1">
        <v>163197.96827363368</v>
      </c>
      <c r="AF11" s="1">
        <v>141160.58999867158</v>
      </c>
      <c r="AG11" s="1">
        <v>151871.66786663359</v>
      </c>
      <c r="AH11" s="1">
        <v>140443.93423959814</v>
      </c>
      <c r="AI11" s="1">
        <v>147614.97555840545</v>
      </c>
      <c r="AJ11" s="1">
        <v>134246.35531439245</v>
      </c>
      <c r="AK11" s="1">
        <v>125748.2887513746</v>
      </c>
      <c r="AL11" s="1">
        <v>158018.78351564225</v>
      </c>
      <c r="AM11" s="1">
        <v>130093.70174957385</v>
      </c>
      <c r="AN11" s="1">
        <v>153557.75898961816</v>
      </c>
      <c r="AO11" s="1">
        <v>160726.34815004203</v>
      </c>
      <c r="AP11" s="1">
        <v>160085.78599925392</v>
      </c>
      <c r="AQ11" s="1">
        <v>158216.20875531714</v>
      </c>
      <c r="AR11" s="1">
        <v>146378.77936248376</v>
      </c>
      <c r="AS11" s="1">
        <v>152460.89181348492</v>
      </c>
      <c r="AT11" s="1">
        <v>158770.89884833936</v>
      </c>
      <c r="AU11" s="1">
        <v>158459.79820210309</v>
      </c>
      <c r="AV11" s="1">
        <v>156785.98069546703</v>
      </c>
      <c r="AW11" s="1">
        <v>154184.728658582</v>
      </c>
      <c r="AX11" s="1">
        <v>137061.37495381307</v>
      </c>
      <c r="AY11" s="1">
        <v>154915.39770328606</v>
      </c>
      <c r="AZ11" s="1">
        <v>70075.318455155284</v>
      </c>
      <c r="BA11" s="1">
        <v>133402.96457833805</v>
      </c>
      <c r="BB11" s="1">
        <v>161041.99291414357</v>
      </c>
      <c r="BC11" s="1">
        <v>135041.15033850304</v>
      </c>
      <c r="BD11" s="1">
        <v>148033.1939379609</v>
      </c>
      <c r="BE11" s="1">
        <v>157510.37209281928</v>
      </c>
      <c r="BF11" s="1">
        <v>158676.08229193848</v>
      </c>
      <c r="BG11" s="1">
        <v>136242.99099925638</v>
      </c>
      <c r="BH11" s="1">
        <v>142710.35925483186</v>
      </c>
      <c r="BI11" s="1">
        <v>148927.13899534394</v>
      </c>
      <c r="BJ11" s="1">
        <v>136317.18360416079</v>
      </c>
      <c r="BK11" s="1">
        <v>160966.4386753366</v>
      </c>
      <c r="BL11" s="1">
        <v>122862.76707166775</v>
      </c>
      <c r="BM11" s="1">
        <v>144988.09371908699</v>
      </c>
      <c r="BN11" s="1">
        <v>150679.27452201408</v>
      </c>
      <c r="BO11" s="1">
        <v>159800.79695700138</v>
      </c>
      <c r="BP11" s="1">
        <v>154214.74023973674</v>
      </c>
      <c r="BQ11" s="1">
        <v>125839.51211066598</v>
      </c>
      <c r="BR11" s="1">
        <v>140672.18433426908</v>
      </c>
      <c r="BS11" s="1">
        <v>153082.23871419724</v>
      </c>
      <c r="BT11" s="1">
        <v>131799.96208896308</v>
      </c>
      <c r="BU11" s="1">
        <v>147395.88012718299</v>
      </c>
      <c r="BV11" s="1">
        <v>142820.065698519</v>
      </c>
      <c r="BW11" s="1">
        <v>144579.81122212121</v>
      </c>
      <c r="BX11" s="1">
        <v>161332.39899176505</v>
      </c>
      <c r="BY11" s="1">
        <v>144776.15028933363</v>
      </c>
      <c r="BZ11" s="1">
        <v>161607.21461473708</v>
      </c>
      <c r="CA11" s="1">
        <v>158407.11956807578</v>
      </c>
      <c r="CB11" s="1">
        <v>142067.20086548425</v>
      </c>
      <c r="CC11" s="1">
        <v>154707.1616606598</v>
      </c>
      <c r="CD11" s="1">
        <v>88997.729972631845</v>
      </c>
      <c r="CE11" s="1">
        <v>154435.18647692632</v>
      </c>
      <c r="CF11" s="1">
        <v>146519.13287231643</v>
      </c>
      <c r="CG11" s="1">
        <v>138046.38788675432</v>
      </c>
      <c r="CH11" s="1">
        <v>159447.46807758615</v>
      </c>
      <c r="CI11" s="1">
        <v>156991.74686686703</v>
      </c>
      <c r="CJ11" s="1">
        <v>135033.97508334238</v>
      </c>
      <c r="CK11" s="1">
        <v>147138.29337861243</v>
      </c>
      <c r="CL11" s="1">
        <v>164483.85928856273</v>
      </c>
      <c r="CM11" s="1">
        <v>139151.05338336894</v>
      </c>
      <c r="CN11" s="1">
        <v>158887.66153607806</v>
      </c>
      <c r="CO11" s="1">
        <v>135622.2294868906</v>
      </c>
      <c r="CP11" s="1">
        <v>139684.98433479076</v>
      </c>
      <c r="CQ11" s="1">
        <v>151902.60522142061</v>
      </c>
      <c r="CR11" s="1">
        <v>144343.94441193691</v>
      </c>
      <c r="CS11" s="1">
        <v>161526.24884616624</v>
      </c>
      <c r="CT11" s="1">
        <v>124754.38695854235</v>
      </c>
      <c r="CU11" s="1">
        <v>137568.2154163458</v>
      </c>
      <c r="CV11" s="1">
        <v>135609.92951887258</v>
      </c>
      <c r="CW11" s="1">
        <v>106127.18380063579</v>
      </c>
    </row>
    <row r="12" spans="1:101" x14ac:dyDescent="0.35">
      <c r="A12">
        <v>202211</v>
      </c>
      <c r="B12" s="1">
        <v>134492.61575883551</v>
      </c>
      <c r="C12" s="1">
        <v>133237.72212003137</v>
      </c>
      <c r="D12" s="1">
        <v>144520.6265798363</v>
      </c>
      <c r="E12" s="1">
        <v>133152.98701465022</v>
      </c>
      <c r="F12" s="1">
        <v>139244.53492987686</v>
      </c>
      <c r="G12" s="1">
        <v>122116.86591235742</v>
      </c>
      <c r="H12" s="1">
        <v>145457.69996112242</v>
      </c>
      <c r="I12" s="1">
        <v>122147.12307028341</v>
      </c>
      <c r="J12" s="1">
        <v>127666.07734771445</v>
      </c>
      <c r="K12" s="1">
        <v>134636.75446532597</v>
      </c>
      <c r="L12" s="1">
        <v>127165.5300655657</v>
      </c>
      <c r="M12" s="1">
        <v>131969.59929912034</v>
      </c>
      <c r="N12" s="1">
        <v>146268.01404918681</v>
      </c>
      <c r="O12" s="1">
        <v>132524.29895695878</v>
      </c>
      <c r="P12" s="1">
        <v>155968.67538310718</v>
      </c>
      <c r="Q12" s="1">
        <v>136491.02024649264</v>
      </c>
      <c r="R12" s="1">
        <v>120955.97724618281</v>
      </c>
      <c r="S12" s="1">
        <v>145330.34848441233</v>
      </c>
      <c r="T12" s="1">
        <v>139456.78824406315</v>
      </c>
      <c r="U12" s="1">
        <v>126784.90967644528</v>
      </c>
      <c r="V12" s="1">
        <v>128815.58395274651</v>
      </c>
      <c r="W12" s="1">
        <v>134491.62738199421</v>
      </c>
      <c r="X12" s="1">
        <v>126320.26014192004</v>
      </c>
      <c r="Y12" s="1">
        <v>137013.79731574282</v>
      </c>
      <c r="Z12" s="1">
        <v>143662.46253177509</v>
      </c>
      <c r="AA12" s="1">
        <v>152907.38889600834</v>
      </c>
      <c r="AB12" s="1">
        <v>145812.23949753493</v>
      </c>
      <c r="AC12" s="1">
        <v>138879.17143165821</v>
      </c>
      <c r="AD12" s="1">
        <v>143457.68219833204</v>
      </c>
      <c r="AE12" s="1">
        <v>147679.6741968524</v>
      </c>
      <c r="AF12" s="1">
        <v>133814.97537122565</v>
      </c>
      <c r="AG12" s="1">
        <v>144397.57283074065</v>
      </c>
      <c r="AH12" s="1">
        <v>130918.45329390223</v>
      </c>
      <c r="AI12" s="1">
        <v>138335.42323142383</v>
      </c>
      <c r="AJ12" s="1">
        <v>126412.00731687488</v>
      </c>
      <c r="AK12" s="1">
        <v>122545.22262581493</v>
      </c>
      <c r="AL12" s="1">
        <v>145604.23427611717</v>
      </c>
      <c r="AM12" s="1">
        <v>125367.53319016054</v>
      </c>
      <c r="AN12" s="1">
        <v>148075.39291355625</v>
      </c>
      <c r="AO12" s="1">
        <v>152171.55135348259</v>
      </c>
      <c r="AP12" s="1">
        <v>149589.24787947585</v>
      </c>
      <c r="AQ12" s="1">
        <v>147808.63736495908</v>
      </c>
      <c r="AR12" s="1">
        <v>135340.33093497972</v>
      </c>
      <c r="AS12" s="1">
        <v>148914.3453845843</v>
      </c>
      <c r="AT12" s="1">
        <v>155505.71741860462</v>
      </c>
      <c r="AU12" s="1">
        <v>146451.31807026564</v>
      </c>
      <c r="AV12" s="1">
        <v>153453.46420406876</v>
      </c>
      <c r="AW12" s="1">
        <v>141963.32234843331</v>
      </c>
      <c r="AX12" s="1">
        <v>130713.40633987349</v>
      </c>
      <c r="AY12" s="1">
        <v>148269.09281467451</v>
      </c>
      <c r="AZ12" s="1">
        <v>65136.387674436315</v>
      </c>
      <c r="BA12" s="1">
        <v>127369.28387780111</v>
      </c>
      <c r="BB12" s="1">
        <v>155336.97602099497</v>
      </c>
      <c r="BC12" s="1">
        <v>129869.13302084044</v>
      </c>
      <c r="BD12" s="1">
        <v>147671.84496588921</v>
      </c>
      <c r="BE12" s="1">
        <v>148343.29808459751</v>
      </c>
      <c r="BF12" s="1">
        <v>147155.24741947706</v>
      </c>
      <c r="BG12" s="1">
        <v>129410.30355163016</v>
      </c>
      <c r="BH12" s="1">
        <v>134241.6925496225</v>
      </c>
      <c r="BI12" s="1">
        <v>142949.24461107654</v>
      </c>
      <c r="BJ12" s="1">
        <v>127349.73897100209</v>
      </c>
      <c r="BK12" s="1">
        <v>151684.8433911844</v>
      </c>
      <c r="BL12" s="1">
        <v>120604.58452000098</v>
      </c>
      <c r="BM12" s="1">
        <v>138371.86273618956</v>
      </c>
      <c r="BN12" s="1">
        <v>148926.1287165184</v>
      </c>
      <c r="BO12" s="1">
        <v>146848.82035618229</v>
      </c>
      <c r="BP12" s="1">
        <v>148797.5449070303</v>
      </c>
      <c r="BQ12" s="1">
        <v>128264.3887874272</v>
      </c>
      <c r="BR12" s="1">
        <v>130743.22211330851</v>
      </c>
      <c r="BS12" s="1">
        <v>147135.13767812989</v>
      </c>
      <c r="BT12" s="1">
        <v>119770.63729276264</v>
      </c>
      <c r="BU12" s="1">
        <v>145279.67094655245</v>
      </c>
      <c r="BV12" s="1">
        <v>137626.30328685604</v>
      </c>
      <c r="BW12" s="1">
        <v>134802.80099025977</v>
      </c>
      <c r="BX12" s="1">
        <v>148854.22419487871</v>
      </c>
      <c r="BY12" s="1">
        <v>139513.00355837704</v>
      </c>
      <c r="BZ12" s="1">
        <v>154857.56501738628</v>
      </c>
      <c r="CA12" s="1">
        <v>155752.84532673546</v>
      </c>
      <c r="CB12" s="1">
        <v>137021.96969359909</v>
      </c>
      <c r="CC12" s="1">
        <v>143411.87262132252</v>
      </c>
      <c r="CD12" s="1">
        <v>82630.241629230106</v>
      </c>
      <c r="CE12" s="1">
        <v>145101.13537327596</v>
      </c>
      <c r="CF12" s="1">
        <v>141971.33425564357</v>
      </c>
      <c r="CG12" s="1">
        <v>132044.14527940977</v>
      </c>
      <c r="CH12" s="1">
        <v>153886.50148181958</v>
      </c>
      <c r="CI12" s="1">
        <v>152162.54592246213</v>
      </c>
      <c r="CJ12" s="1">
        <v>133800.40138090955</v>
      </c>
      <c r="CK12" s="1">
        <v>139113.78555063941</v>
      </c>
      <c r="CL12" s="1">
        <v>150928.7937534177</v>
      </c>
      <c r="CM12" s="1">
        <v>135235.18422516659</v>
      </c>
      <c r="CN12" s="1">
        <v>146781.16217708873</v>
      </c>
      <c r="CO12" s="1">
        <v>127490.60592710521</v>
      </c>
      <c r="CP12" s="1">
        <v>135312.15947631371</v>
      </c>
      <c r="CQ12" s="1">
        <v>141162.07469688525</v>
      </c>
      <c r="CR12" s="1">
        <v>134332.38430715093</v>
      </c>
      <c r="CS12" s="1">
        <v>148512.59273142993</v>
      </c>
      <c r="CT12" s="1">
        <v>120312.48513549054</v>
      </c>
      <c r="CU12" s="1">
        <v>131211.47003507902</v>
      </c>
      <c r="CV12" s="1">
        <v>131516.50746378585</v>
      </c>
      <c r="CW12" s="1">
        <v>99130.093469223211</v>
      </c>
    </row>
    <row r="13" spans="1:101" x14ac:dyDescent="0.35">
      <c r="A13">
        <v>202212</v>
      </c>
      <c r="B13" s="1">
        <v>134256.84526747742</v>
      </c>
      <c r="C13" s="1">
        <v>134449.84117427698</v>
      </c>
      <c r="D13" s="1">
        <v>137850.55476488607</v>
      </c>
      <c r="E13" s="1">
        <v>126147.92127857836</v>
      </c>
      <c r="F13" s="1">
        <v>134321.23029069524</v>
      </c>
      <c r="G13" s="1">
        <v>116482.64464751027</v>
      </c>
      <c r="H13" s="1">
        <v>139677.3125664953</v>
      </c>
      <c r="I13" s="1">
        <v>119150.80862210944</v>
      </c>
      <c r="J13" s="1">
        <v>123022.36651409139</v>
      </c>
      <c r="K13" s="1">
        <v>131231.08114413696</v>
      </c>
      <c r="L13" s="1">
        <v>127020.06122543357</v>
      </c>
      <c r="M13" s="1">
        <v>131254.8012538506</v>
      </c>
      <c r="N13" s="1">
        <v>142023.28414787835</v>
      </c>
      <c r="O13" s="1">
        <v>129874.72442127884</v>
      </c>
      <c r="P13" s="1">
        <v>148693.9844381618</v>
      </c>
      <c r="Q13" s="1">
        <v>131337.98494829627</v>
      </c>
      <c r="R13" s="1">
        <v>117187.01897949184</v>
      </c>
      <c r="S13" s="1">
        <v>139257.78303272848</v>
      </c>
      <c r="T13" s="1">
        <v>134514.24353583812</v>
      </c>
      <c r="U13" s="1">
        <v>122649.79773719203</v>
      </c>
      <c r="V13" s="1">
        <v>128161.68805038603</v>
      </c>
      <c r="W13" s="1">
        <v>130256.00109902769</v>
      </c>
      <c r="X13" s="1">
        <v>123608.8123732578</v>
      </c>
      <c r="Y13" s="1">
        <v>137172.79300785775</v>
      </c>
      <c r="Z13" s="1">
        <v>144255.31833459059</v>
      </c>
      <c r="AA13" s="1">
        <v>147496.52851479617</v>
      </c>
      <c r="AB13" s="1">
        <v>140814.96339598155</v>
      </c>
      <c r="AC13" s="1">
        <v>137145.06564810919</v>
      </c>
      <c r="AD13" s="1">
        <v>142997.66506528112</v>
      </c>
      <c r="AE13" s="1">
        <v>146078.04962995506</v>
      </c>
      <c r="AF13" s="1">
        <v>134766.46745928819</v>
      </c>
      <c r="AG13" s="1">
        <v>139886.43606101442</v>
      </c>
      <c r="AH13" s="1">
        <v>127027.58137587961</v>
      </c>
      <c r="AI13" s="1">
        <v>138100.85165411187</v>
      </c>
      <c r="AJ13" s="1">
        <v>126780.31287619691</v>
      </c>
      <c r="AK13" s="1">
        <v>121130.97697984107</v>
      </c>
      <c r="AL13" s="1">
        <v>141326.20871625838</v>
      </c>
      <c r="AM13" s="1">
        <v>121967.78040348849</v>
      </c>
      <c r="AN13" s="1">
        <v>142705.19616709516</v>
      </c>
      <c r="AO13" s="1">
        <v>146358.92616520799</v>
      </c>
      <c r="AP13" s="1">
        <v>151798.01702037908</v>
      </c>
      <c r="AQ13" s="1">
        <v>147025.22387735115</v>
      </c>
      <c r="AR13" s="1">
        <v>133938.70608966961</v>
      </c>
      <c r="AS13" s="1">
        <v>142390.37470906868</v>
      </c>
      <c r="AT13" s="1">
        <v>145319.55696723258</v>
      </c>
      <c r="AU13" s="1">
        <v>140831.53181903559</v>
      </c>
      <c r="AV13" s="1">
        <v>147584.13741386528</v>
      </c>
      <c r="AW13" s="1">
        <v>146400.01755182067</v>
      </c>
      <c r="AX13" s="1">
        <v>125877.20666417225</v>
      </c>
      <c r="AY13" s="1">
        <v>142219.91128991221</v>
      </c>
      <c r="AZ13" s="1">
        <v>66093.495946972223</v>
      </c>
      <c r="BA13" s="1">
        <v>123242.68544230158</v>
      </c>
      <c r="BB13" s="1">
        <v>148324.28875633841</v>
      </c>
      <c r="BC13" s="1">
        <v>132953.35677531848</v>
      </c>
      <c r="BD13" s="1">
        <v>134636.76659763075</v>
      </c>
      <c r="BE13" s="1">
        <v>140715.54103433143</v>
      </c>
      <c r="BF13" s="1">
        <v>146655.27945973451</v>
      </c>
      <c r="BG13" s="1">
        <v>125508.73863378128</v>
      </c>
      <c r="BH13" s="1">
        <v>126482.39738796682</v>
      </c>
      <c r="BI13" s="1">
        <v>137450.5681254917</v>
      </c>
      <c r="BJ13" s="1">
        <v>125483.38729626412</v>
      </c>
      <c r="BK13" s="1">
        <v>149241.12633290197</v>
      </c>
      <c r="BL13" s="1">
        <v>116512.46857198674</v>
      </c>
      <c r="BM13" s="1">
        <v>133911.20738126797</v>
      </c>
      <c r="BN13" s="1">
        <v>139706.55204643944</v>
      </c>
      <c r="BO13" s="1">
        <v>143871.30963986772</v>
      </c>
      <c r="BP13" s="1">
        <v>141953.96166400911</v>
      </c>
      <c r="BQ13" s="1">
        <v>122204.88168518247</v>
      </c>
      <c r="BR13" s="1">
        <v>129904.19882449921</v>
      </c>
      <c r="BS13" s="1">
        <v>143282.0868359172</v>
      </c>
      <c r="BT13" s="1">
        <v>121182.23903379183</v>
      </c>
      <c r="BU13" s="1">
        <v>139921.27861326406</v>
      </c>
      <c r="BV13" s="1">
        <v>131118.76139178051</v>
      </c>
      <c r="BW13" s="1">
        <v>131181.71335302707</v>
      </c>
      <c r="BX13" s="1">
        <v>149356.02389470258</v>
      </c>
      <c r="BY13" s="1">
        <v>137322.36789719592</v>
      </c>
      <c r="BZ13" s="1">
        <v>147000.13193521861</v>
      </c>
      <c r="CA13" s="1">
        <v>148546.91219594268</v>
      </c>
      <c r="CB13" s="1">
        <v>131697.10220886031</v>
      </c>
      <c r="CC13" s="1">
        <v>139501.58839775992</v>
      </c>
      <c r="CD13" s="1">
        <v>83149.804711534613</v>
      </c>
      <c r="CE13" s="1">
        <v>140653.98716820043</v>
      </c>
      <c r="CF13" s="1">
        <v>140229.1320854502</v>
      </c>
      <c r="CG13" s="1">
        <v>127376.24198371166</v>
      </c>
      <c r="CH13" s="1">
        <v>143708.84778860898</v>
      </c>
      <c r="CI13" s="1">
        <v>146040.56038572182</v>
      </c>
      <c r="CJ13" s="1">
        <v>121008.74348224224</v>
      </c>
      <c r="CK13" s="1">
        <v>134517.03357871552</v>
      </c>
      <c r="CL13" s="1">
        <v>147629.25662139087</v>
      </c>
      <c r="CM13" s="1">
        <v>128899.60965731056</v>
      </c>
      <c r="CN13" s="1">
        <v>143971.99117630959</v>
      </c>
      <c r="CO13" s="1">
        <v>120291.38805935558</v>
      </c>
      <c r="CP13" s="1">
        <v>128295.04720425734</v>
      </c>
      <c r="CQ13" s="1">
        <v>139254.19379854409</v>
      </c>
      <c r="CR13" s="1">
        <v>131221.2280207799</v>
      </c>
      <c r="CS13" s="1">
        <v>143747.45038632603</v>
      </c>
      <c r="CT13" s="1">
        <v>102246.26361428952</v>
      </c>
      <c r="CU13" s="1">
        <v>126672.58416892686</v>
      </c>
      <c r="CV13" s="1">
        <v>126490.07218091519</v>
      </c>
      <c r="CW13" s="1">
        <v>96648.467283239646</v>
      </c>
    </row>
    <row r="14" spans="1:101" x14ac:dyDescent="0.35">
      <c r="A14">
        <v>202301</v>
      </c>
      <c r="B14" s="1">
        <v>100395.80148459288</v>
      </c>
      <c r="C14" s="1">
        <v>102671.44355388921</v>
      </c>
      <c r="D14" s="1">
        <v>100983.78672026345</v>
      </c>
      <c r="E14" s="1">
        <v>95403.019371690287</v>
      </c>
      <c r="F14" s="1">
        <v>99070.297741504764</v>
      </c>
      <c r="G14" s="1">
        <v>89164.177286066188</v>
      </c>
      <c r="H14" s="1">
        <v>101937.2631958586</v>
      </c>
      <c r="I14" s="1">
        <v>89592.291557847871</v>
      </c>
      <c r="J14" s="1">
        <v>93053.702901382698</v>
      </c>
      <c r="K14" s="1">
        <v>96400.076470238811</v>
      </c>
      <c r="L14" s="1">
        <v>94639.114357614642</v>
      </c>
      <c r="M14" s="1">
        <v>98392.904609617515</v>
      </c>
      <c r="N14" s="1">
        <v>105381.18214356185</v>
      </c>
      <c r="O14" s="1">
        <v>95415.043842942236</v>
      </c>
      <c r="P14" s="1">
        <v>112439.72027553289</v>
      </c>
      <c r="Q14" s="1">
        <v>101185.67131875908</v>
      </c>
      <c r="R14" s="1">
        <v>86929.624280695352</v>
      </c>
      <c r="S14" s="1">
        <v>105209.86744892098</v>
      </c>
      <c r="T14" s="1">
        <v>99250.983637351208</v>
      </c>
      <c r="U14" s="1">
        <v>91363.367317167911</v>
      </c>
      <c r="V14" s="1">
        <v>94894.819551340232</v>
      </c>
      <c r="W14" s="1">
        <v>95352.362033066107</v>
      </c>
      <c r="X14" s="1">
        <v>92499.410037113121</v>
      </c>
      <c r="Y14" s="1">
        <v>101890.63421199979</v>
      </c>
      <c r="Z14" s="1">
        <v>104664.92474310807</v>
      </c>
      <c r="AA14" s="1">
        <v>110575.15809177146</v>
      </c>
      <c r="AB14" s="1">
        <v>106406.69765629656</v>
      </c>
      <c r="AC14" s="1">
        <v>101092.10016403775</v>
      </c>
      <c r="AD14" s="1">
        <v>105596.38404981275</v>
      </c>
      <c r="AE14" s="1">
        <v>111257.84481633922</v>
      </c>
      <c r="AF14" s="1">
        <v>97901.52941522497</v>
      </c>
      <c r="AG14" s="1">
        <v>104428.42825302837</v>
      </c>
      <c r="AH14" s="1">
        <v>97180.629938266604</v>
      </c>
      <c r="AI14" s="1">
        <v>106102.50328735879</v>
      </c>
      <c r="AJ14" s="1">
        <v>91893.641718391009</v>
      </c>
      <c r="AK14" s="1">
        <v>87343.599966715294</v>
      </c>
      <c r="AL14" s="1">
        <v>106148.998632752</v>
      </c>
      <c r="AM14" s="1">
        <v>94206.391349143669</v>
      </c>
      <c r="AN14" s="1">
        <v>105188.77046838959</v>
      </c>
      <c r="AO14" s="1">
        <v>107585.75046044325</v>
      </c>
      <c r="AP14" s="1">
        <v>112703.32310430912</v>
      </c>
      <c r="AQ14" s="1">
        <v>106272.05734611645</v>
      </c>
      <c r="AR14" s="1">
        <v>99352.606364417181</v>
      </c>
      <c r="AS14" s="1">
        <v>103363.95831467526</v>
      </c>
      <c r="AT14" s="1">
        <v>102312.4087651088</v>
      </c>
      <c r="AU14" s="1">
        <v>107260.87701187222</v>
      </c>
      <c r="AV14" s="1">
        <v>107879.57520003295</v>
      </c>
      <c r="AW14" s="1">
        <v>104753.08011124903</v>
      </c>
      <c r="AX14" s="1">
        <v>94772.09084344127</v>
      </c>
      <c r="AY14" s="1">
        <v>107016.49200289258</v>
      </c>
      <c r="AZ14" s="1">
        <v>48767.821394448671</v>
      </c>
      <c r="BA14" s="1">
        <v>89265.225004055363</v>
      </c>
      <c r="BB14" s="1">
        <v>109066.31747548125</v>
      </c>
      <c r="BC14" s="1">
        <v>96635.135873790976</v>
      </c>
      <c r="BD14" s="1">
        <v>103130.4595506442</v>
      </c>
      <c r="BE14" s="1">
        <v>106608.52559192516</v>
      </c>
      <c r="BF14" s="1">
        <v>106702.10490505864</v>
      </c>
      <c r="BG14" s="1">
        <v>94343.085798874788</v>
      </c>
      <c r="BH14" s="1">
        <v>95800.061537911955</v>
      </c>
      <c r="BI14" s="1">
        <v>103144.72866682042</v>
      </c>
      <c r="BJ14" s="1">
        <v>93141.691505987212</v>
      </c>
      <c r="BK14" s="1">
        <v>108680.5736046263</v>
      </c>
      <c r="BL14" s="1">
        <v>87518.621957277108</v>
      </c>
      <c r="BM14" s="1">
        <v>99918.273070727781</v>
      </c>
      <c r="BN14" s="1">
        <v>104533.78347253878</v>
      </c>
      <c r="BO14" s="1">
        <v>107369.31463944929</v>
      </c>
      <c r="BP14" s="1">
        <v>106575.31907862483</v>
      </c>
      <c r="BQ14" s="1">
        <v>90730.314702467207</v>
      </c>
      <c r="BR14" s="1">
        <v>95007.645661711562</v>
      </c>
      <c r="BS14" s="1">
        <v>106267.40603860337</v>
      </c>
      <c r="BT14" s="1">
        <v>88495.21426412421</v>
      </c>
      <c r="BU14" s="1">
        <v>101970.01132250667</v>
      </c>
      <c r="BV14" s="1">
        <v>96192.809633558645</v>
      </c>
      <c r="BW14" s="1">
        <v>96392.121777435648</v>
      </c>
      <c r="BX14" s="1">
        <v>104000.19715994873</v>
      </c>
      <c r="BY14" s="1">
        <v>102348.66361280011</v>
      </c>
      <c r="BZ14" s="1">
        <v>108871.930692154</v>
      </c>
      <c r="CA14" s="1">
        <v>108165.52355795435</v>
      </c>
      <c r="CB14" s="1">
        <v>100635.15100654532</v>
      </c>
      <c r="CC14" s="1">
        <v>103229.644792992</v>
      </c>
      <c r="CD14" s="1">
        <v>62397.812240689673</v>
      </c>
      <c r="CE14" s="1">
        <v>107002.66633403953</v>
      </c>
      <c r="CF14" s="1">
        <v>103638.99019628741</v>
      </c>
      <c r="CG14" s="1">
        <v>93564.372278512557</v>
      </c>
      <c r="CH14" s="1">
        <v>107328.45771948357</v>
      </c>
      <c r="CI14" s="1">
        <v>107505.13658522686</v>
      </c>
      <c r="CJ14" s="1">
        <v>93711.213001406664</v>
      </c>
      <c r="CK14" s="1">
        <v>102463.46620255997</v>
      </c>
      <c r="CL14" s="1">
        <v>109478.98786412617</v>
      </c>
      <c r="CM14" s="1">
        <v>94874.338958729655</v>
      </c>
      <c r="CN14" s="1">
        <v>109696.72572331324</v>
      </c>
      <c r="CO14" s="1">
        <v>91548.135624812596</v>
      </c>
      <c r="CP14" s="1">
        <v>93862.469647061662</v>
      </c>
      <c r="CQ14" s="1">
        <v>102678.66849934334</v>
      </c>
      <c r="CR14" s="1">
        <v>95840.770903419281</v>
      </c>
      <c r="CS14" s="1">
        <v>108897.02911423075</v>
      </c>
      <c r="CT14" s="1">
        <v>86411.07989190123</v>
      </c>
      <c r="CU14" s="1">
        <v>94959.625486677469</v>
      </c>
      <c r="CV14" s="1">
        <v>94343.079997580935</v>
      </c>
      <c r="CW14" s="1">
        <v>69909.557270202335</v>
      </c>
    </row>
    <row r="15" spans="1:101" x14ac:dyDescent="0.35">
      <c r="A15">
        <v>202302</v>
      </c>
      <c r="B15" s="1">
        <v>109995.51012886861</v>
      </c>
      <c r="C15" s="1">
        <v>113379.38990397241</v>
      </c>
      <c r="D15" s="1">
        <v>115027.44936094027</v>
      </c>
      <c r="E15" s="1">
        <v>108798.44197302203</v>
      </c>
      <c r="F15" s="1">
        <v>116345.67578698031</v>
      </c>
      <c r="G15" s="1">
        <v>98187.358624161687</v>
      </c>
      <c r="H15" s="1">
        <v>120854.06763742832</v>
      </c>
      <c r="I15" s="1">
        <v>102067.05627349993</v>
      </c>
      <c r="J15" s="1">
        <v>105826.62743054472</v>
      </c>
      <c r="K15" s="1">
        <v>112000.0133977365</v>
      </c>
      <c r="L15" s="1">
        <v>107802.03036328637</v>
      </c>
      <c r="M15" s="1">
        <v>113286.07143241951</v>
      </c>
      <c r="N15" s="1">
        <v>121880.18322820921</v>
      </c>
      <c r="O15" s="1">
        <v>109291.97187365644</v>
      </c>
      <c r="P15" s="1">
        <v>127586.34726325273</v>
      </c>
      <c r="Q15" s="1">
        <v>107561.27485145548</v>
      </c>
      <c r="R15" s="1">
        <v>100795.72635024754</v>
      </c>
      <c r="S15" s="1">
        <v>119736.51973516292</v>
      </c>
      <c r="T15" s="1">
        <v>109477.4217329674</v>
      </c>
      <c r="U15" s="1">
        <v>102150.62648954353</v>
      </c>
      <c r="V15" s="1">
        <v>108321.49772633633</v>
      </c>
      <c r="W15" s="1">
        <v>112026.06413083832</v>
      </c>
      <c r="X15" s="1">
        <v>103071.91703856288</v>
      </c>
      <c r="Y15" s="1">
        <v>116476.41394360233</v>
      </c>
      <c r="Z15" s="1">
        <v>119209.62865601317</v>
      </c>
      <c r="AA15" s="1">
        <v>126984.46834262027</v>
      </c>
      <c r="AB15" s="1">
        <v>118476.54517108426</v>
      </c>
      <c r="AC15" s="1">
        <v>118788.87997710584</v>
      </c>
      <c r="AD15" s="1">
        <v>119803.57504375069</v>
      </c>
      <c r="AE15" s="1">
        <v>124046.37700987178</v>
      </c>
      <c r="AF15" s="1">
        <v>110313.12341321993</v>
      </c>
      <c r="AG15" s="1">
        <v>117981.62695395725</v>
      </c>
      <c r="AH15" s="1">
        <v>107910.79194538765</v>
      </c>
      <c r="AI15" s="1">
        <v>113228.83254767121</v>
      </c>
      <c r="AJ15" s="1">
        <v>104887.2960505579</v>
      </c>
      <c r="AK15" s="1">
        <v>99086.650567863195</v>
      </c>
      <c r="AL15" s="1">
        <v>119559.59699426986</v>
      </c>
      <c r="AM15" s="1">
        <v>105804.87378891809</v>
      </c>
      <c r="AN15" s="1">
        <v>121769.2458148476</v>
      </c>
      <c r="AO15" s="1">
        <v>123680.47477374448</v>
      </c>
      <c r="AP15" s="1">
        <v>122641.85631951118</v>
      </c>
      <c r="AQ15" s="1">
        <v>121583.98976205236</v>
      </c>
      <c r="AR15" s="1">
        <v>111936.69850782768</v>
      </c>
      <c r="AS15" s="1">
        <v>121915.70512771381</v>
      </c>
      <c r="AT15" s="1">
        <v>122673.10131783677</v>
      </c>
      <c r="AU15" s="1">
        <v>122858.67313134624</v>
      </c>
      <c r="AV15" s="1">
        <v>127065.12182991361</v>
      </c>
      <c r="AW15" s="1">
        <v>120236.94946173078</v>
      </c>
      <c r="AX15" s="1">
        <v>105796.93378446961</v>
      </c>
      <c r="AY15" s="1">
        <v>121790.82530756867</v>
      </c>
      <c r="AZ15" s="1">
        <v>56798.584795772418</v>
      </c>
      <c r="BA15" s="1">
        <v>103989.97452241259</v>
      </c>
      <c r="BB15" s="1">
        <v>127773.85007198545</v>
      </c>
      <c r="BC15" s="1">
        <v>112155.77619981526</v>
      </c>
      <c r="BD15" s="1">
        <v>117540.91825500716</v>
      </c>
      <c r="BE15" s="1">
        <v>120819.61378850327</v>
      </c>
      <c r="BF15" s="1">
        <v>124049.42512572584</v>
      </c>
      <c r="BG15" s="1">
        <v>102919.22309082936</v>
      </c>
      <c r="BH15" s="1">
        <v>108001.86177650995</v>
      </c>
      <c r="BI15" s="1">
        <v>116330.82009277125</v>
      </c>
      <c r="BJ15" s="1">
        <v>109182.94780360805</v>
      </c>
      <c r="BK15" s="1">
        <v>124737.93433362672</v>
      </c>
      <c r="BL15" s="1">
        <v>101086.97710218793</v>
      </c>
      <c r="BM15" s="1">
        <v>113025.93414609454</v>
      </c>
      <c r="BN15" s="1">
        <v>120059.18482648446</v>
      </c>
      <c r="BO15" s="1">
        <v>122710.51655463464</v>
      </c>
      <c r="BP15" s="1">
        <v>121023.68999987277</v>
      </c>
      <c r="BQ15" s="1">
        <v>99382.144834436083</v>
      </c>
      <c r="BR15" s="1">
        <v>108956.31807042391</v>
      </c>
      <c r="BS15" s="1">
        <v>119772.80023105194</v>
      </c>
      <c r="BT15" s="1">
        <v>100460.11420897231</v>
      </c>
      <c r="BU15" s="1">
        <v>114712.39531984206</v>
      </c>
      <c r="BV15" s="1">
        <v>112330.57057033267</v>
      </c>
      <c r="BW15" s="1">
        <v>106816.65860875195</v>
      </c>
      <c r="BX15" s="1">
        <v>122623.62099849131</v>
      </c>
      <c r="BY15" s="1">
        <v>113286.10408997588</v>
      </c>
      <c r="BZ15" s="1">
        <v>126163.44685295281</v>
      </c>
      <c r="CA15" s="1">
        <v>125082.39037793987</v>
      </c>
      <c r="CB15" s="1">
        <v>112886.37965180626</v>
      </c>
      <c r="CC15" s="1">
        <v>116457.56702917822</v>
      </c>
      <c r="CD15" s="1">
        <v>70000.593276279309</v>
      </c>
      <c r="CE15" s="1">
        <v>121082.08443350959</v>
      </c>
      <c r="CF15" s="1">
        <v>116258.1903048114</v>
      </c>
      <c r="CG15" s="1">
        <v>105368.71945242664</v>
      </c>
      <c r="CH15" s="1">
        <v>122297.03119768779</v>
      </c>
      <c r="CI15" s="1">
        <v>123820.66164095514</v>
      </c>
      <c r="CJ15" s="1">
        <v>104258.13124096602</v>
      </c>
      <c r="CK15" s="1">
        <v>116353.63429720374</v>
      </c>
      <c r="CL15" s="1">
        <v>128050.41722068557</v>
      </c>
      <c r="CM15" s="1">
        <v>108552.22266751312</v>
      </c>
      <c r="CN15" s="1">
        <v>122588.24857847045</v>
      </c>
      <c r="CO15" s="1">
        <v>101051.60387343148</v>
      </c>
      <c r="CP15" s="1">
        <v>107996.80215141531</v>
      </c>
      <c r="CQ15" s="1">
        <v>114902.08411794087</v>
      </c>
      <c r="CR15" s="1">
        <v>108148.5106450358</v>
      </c>
      <c r="CS15" s="1">
        <v>121845.38701521723</v>
      </c>
      <c r="CT15" s="1">
        <v>99724.862373557931</v>
      </c>
      <c r="CU15" s="1">
        <v>105244.04363886605</v>
      </c>
      <c r="CV15" s="1">
        <v>105258.94995155542</v>
      </c>
      <c r="CW15" s="1">
        <v>82557.620690753742</v>
      </c>
    </row>
    <row r="16" spans="1:101" x14ac:dyDescent="0.35">
      <c r="A16">
        <v>202303</v>
      </c>
      <c r="B16" s="1">
        <v>130027.034543585</v>
      </c>
      <c r="C16" s="1">
        <v>128995.06428671392</v>
      </c>
      <c r="D16" s="1">
        <v>132755.91725497469</v>
      </c>
      <c r="E16" s="1">
        <v>124371.96695786582</v>
      </c>
      <c r="F16" s="1">
        <v>134642.88885456554</v>
      </c>
      <c r="G16" s="1">
        <v>114701.36649320726</v>
      </c>
      <c r="H16" s="1">
        <v>138726.55321060371</v>
      </c>
      <c r="I16" s="1">
        <v>119424.8096065428</v>
      </c>
      <c r="J16" s="1">
        <v>123881.52462052311</v>
      </c>
      <c r="K16" s="1">
        <v>132508.37459656023</v>
      </c>
      <c r="L16" s="1">
        <v>131682.84096471284</v>
      </c>
      <c r="M16" s="1">
        <v>130222.43678453847</v>
      </c>
      <c r="N16" s="1">
        <v>139746.90951066179</v>
      </c>
      <c r="O16" s="1">
        <v>128951.0400038542</v>
      </c>
      <c r="P16" s="1">
        <v>144606.99161278037</v>
      </c>
      <c r="Q16" s="1">
        <v>129725.19674630929</v>
      </c>
      <c r="R16" s="1">
        <v>118742.58699953245</v>
      </c>
      <c r="S16" s="1">
        <v>141532.7042233184</v>
      </c>
      <c r="T16" s="1">
        <v>131983.40312786281</v>
      </c>
      <c r="U16" s="1">
        <v>122593.68061630777</v>
      </c>
      <c r="V16" s="1">
        <v>121915.22741841723</v>
      </c>
      <c r="W16" s="1">
        <v>127890.07938652944</v>
      </c>
      <c r="X16" s="1">
        <v>123070.62651640689</v>
      </c>
      <c r="Y16" s="1">
        <v>138251.29583265603</v>
      </c>
      <c r="Z16" s="1">
        <v>138897.48008573893</v>
      </c>
      <c r="AA16" s="1">
        <v>144390.09541649805</v>
      </c>
      <c r="AB16" s="1">
        <v>144811.79753828116</v>
      </c>
      <c r="AC16" s="1">
        <v>135682.41517083065</v>
      </c>
      <c r="AD16" s="1">
        <v>145671.184763464</v>
      </c>
      <c r="AE16" s="1">
        <v>151358.81131788704</v>
      </c>
      <c r="AF16" s="1">
        <v>126819.46424891814</v>
      </c>
      <c r="AG16" s="1">
        <v>137501.43516397485</v>
      </c>
      <c r="AH16" s="1">
        <v>127398.92465554776</v>
      </c>
      <c r="AI16" s="1">
        <v>135789.99983096358</v>
      </c>
      <c r="AJ16" s="1">
        <v>126436.53277087702</v>
      </c>
      <c r="AK16" s="1">
        <v>117620.50443761359</v>
      </c>
      <c r="AL16" s="1">
        <v>143447.56401512542</v>
      </c>
      <c r="AM16" s="1">
        <v>118520.89142080127</v>
      </c>
      <c r="AN16" s="1">
        <v>140707.21954089822</v>
      </c>
      <c r="AO16" s="1">
        <v>148215.70039929711</v>
      </c>
      <c r="AP16" s="1">
        <v>150684.75659387239</v>
      </c>
      <c r="AQ16" s="1">
        <v>138764.8654828842</v>
      </c>
      <c r="AR16" s="1">
        <v>130953.99832941039</v>
      </c>
      <c r="AS16" s="1">
        <v>142435.85641850744</v>
      </c>
      <c r="AT16" s="1">
        <v>143692.87539602138</v>
      </c>
      <c r="AU16" s="1">
        <v>141544.77461728486</v>
      </c>
      <c r="AV16" s="1">
        <v>142507.99263889427</v>
      </c>
      <c r="AW16" s="1">
        <v>140445.2656156187</v>
      </c>
      <c r="AX16" s="1">
        <v>127125.06157479843</v>
      </c>
      <c r="AY16" s="1">
        <v>143077.80659067578</v>
      </c>
      <c r="AZ16" s="1">
        <v>65328.748564439447</v>
      </c>
      <c r="BA16" s="1">
        <v>123174.84195767425</v>
      </c>
      <c r="BB16" s="1">
        <v>145368.15288301179</v>
      </c>
      <c r="BC16" s="1">
        <v>123661.2335536412</v>
      </c>
      <c r="BD16" s="1">
        <v>141399.20318635483</v>
      </c>
      <c r="BE16" s="1">
        <v>139414.04811153514</v>
      </c>
      <c r="BF16" s="1">
        <v>145013.36766567489</v>
      </c>
      <c r="BG16" s="1">
        <v>123536.72758760698</v>
      </c>
      <c r="BH16" s="1">
        <v>131082.78507544039</v>
      </c>
      <c r="BI16" s="1">
        <v>139879.12692423057</v>
      </c>
      <c r="BJ16" s="1">
        <v>122006.03204292312</v>
      </c>
      <c r="BK16" s="1">
        <v>148767.58557164378</v>
      </c>
      <c r="BL16" s="1">
        <v>108652.74819927629</v>
      </c>
      <c r="BM16" s="1">
        <v>132150.12259441195</v>
      </c>
      <c r="BN16" s="1">
        <v>137075.49294651559</v>
      </c>
      <c r="BO16" s="1">
        <v>142997.10567568665</v>
      </c>
      <c r="BP16" s="1">
        <v>140068.79599051989</v>
      </c>
      <c r="BQ16" s="1">
        <v>118661.78973891554</v>
      </c>
      <c r="BR16" s="1">
        <v>129990.95343780862</v>
      </c>
      <c r="BS16" s="1">
        <v>143036.56338800865</v>
      </c>
      <c r="BT16" s="1">
        <v>116652.30328480178</v>
      </c>
      <c r="BU16" s="1">
        <v>138555.21183890683</v>
      </c>
      <c r="BV16" s="1">
        <v>129701.79732712594</v>
      </c>
      <c r="BW16" s="1">
        <v>131306.38475717691</v>
      </c>
      <c r="BX16" s="1">
        <v>142082.69516497967</v>
      </c>
      <c r="BY16" s="1">
        <v>134922.56897400174</v>
      </c>
      <c r="BZ16" s="1">
        <v>145547.18545902165</v>
      </c>
      <c r="CA16" s="1">
        <v>145159.98991192892</v>
      </c>
      <c r="CB16" s="1">
        <v>132969.30397413287</v>
      </c>
      <c r="CC16" s="1">
        <v>140809.00312949531</v>
      </c>
      <c r="CD16" s="1">
        <v>81359.598987822072</v>
      </c>
      <c r="CE16" s="1">
        <v>141397.67192193359</v>
      </c>
      <c r="CF16" s="1">
        <v>137810.75905427083</v>
      </c>
      <c r="CG16" s="1">
        <v>123549.1291611433</v>
      </c>
      <c r="CH16" s="1">
        <v>143991.90733557733</v>
      </c>
      <c r="CI16" s="1">
        <v>147048.3504362742</v>
      </c>
      <c r="CJ16" s="1">
        <v>124826.12826458107</v>
      </c>
      <c r="CK16" s="1">
        <v>134050.31109643049</v>
      </c>
      <c r="CL16" s="1">
        <v>144729.06587686503</v>
      </c>
      <c r="CM16" s="1">
        <v>126833.25822191488</v>
      </c>
      <c r="CN16" s="1">
        <v>139507.72512908952</v>
      </c>
      <c r="CO16" s="1">
        <v>119746.6538041757</v>
      </c>
      <c r="CP16" s="1">
        <v>129770.091861911</v>
      </c>
      <c r="CQ16" s="1">
        <v>137483.20194311155</v>
      </c>
      <c r="CR16" s="1">
        <v>129399.11631838704</v>
      </c>
      <c r="CS16" s="1">
        <v>145688.82007943431</v>
      </c>
      <c r="CT16" s="1">
        <v>117337.49360729323</v>
      </c>
      <c r="CU16" s="1">
        <v>129535.91319651098</v>
      </c>
      <c r="CV16" s="1">
        <v>125736.65314350133</v>
      </c>
      <c r="CW16" s="1">
        <v>93765.937671626991</v>
      </c>
    </row>
    <row r="17" spans="1:101" x14ac:dyDescent="0.35">
      <c r="A17">
        <v>202304</v>
      </c>
      <c r="B17" s="1">
        <v>155196.61083989343</v>
      </c>
      <c r="C17" s="1">
        <v>154917.20842908131</v>
      </c>
      <c r="D17" s="1">
        <v>160400.71459989852</v>
      </c>
      <c r="E17" s="1">
        <v>146151.07940521295</v>
      </c>
      <c r="F17" s="1">
        <v>155315.75720255807</v>
      </c>
      <c r="G17" s="1">
        <v>137879.47971287181</v>
      </c>
      <c r="H17" s="1">
        <v>164730.64952881297</v>
      </c>
      <c r="I17" s="1">
        <v>138949.20667252387</v>
      </c>
      <c r="J17" s="1">
        <v>141259.25741719987</v>
      </c>
      <c r="K17" s="1">
        <v>155559.66740913145</v>
      </c>
      <c r="L17" s="1">
        <v>149538.88878641967</v>
      </c>
      <c r="M17" s="1">
        <v>151262.07206691202</v>
      </c>
      <c r="N17" s="1">
        <v>163547.968786763</v>
      </c>
      <c r="O17" s="1">
        <v>147225.08488965369</v>
      </c>
      <c r="P17" s="1">
        <v>172000.14872772244</v>
      </c>
      <c r="Q17" s="1">
        <v>158645.0507529426</v>
      </c>
      <c r="R17" s="1">
        <v>133782.97009502584</v>
      </c>
      <c r="S17" s="1">
        <v>165241.06231939618</v>
      </c>
      <c r="T17" s="1">
        <v>154206.5310389548</v>
      </c>
      <c r="U17" s="1">
        <v>140021.54329798251</v>
      </c>
      <c r="V17" s="1">
        <v>143071.38557981033</v>
      </c>
      <c r="W17" s="1">
        <v>149043.23413193793</v>
      </c>
      <c r="X17" s="1">
        <v>149420.82368085126</v>
      </c>
      <c r="Y17" s="1">
        <v>153580.09879788241</v>
      </c>
      <c r="Z17" s="1">
        <v>162896.83891159977</v>
      </c>
      <c r="AA17" s="1">
        <v>172414.24317021391</v>
      </c>
      <c r="AB17" s="1">
        <v>163837.11943511266</v>
      </c>
      <c r="AC17" s="1">
        <v>157984.99607480649</v>
      </c>
      <c r="AD17" s="1">
        <v>167741.48271809288</v>
      </c>
      <c r="AE17" s="1">
        <v>170249.13797564231</v>
      </c>
      <c r="AF17" s="1">
        <v>151318.64698179328</v>
      </c>
      <c r="AG17" s="1">
        <v>160626.26767193343</v>
      </c>
      <c r="AH17" s="1">
        <v>149429.51439813682</v>
      </c>
      <c r="AI17" s="1">
        <v>157722.70278368102</v>
      </c>
      <c r="AJ17" s="1">
        <v>141834.82183718553</v>
      </c>
      <c r="AK17" s="1">
        <v>139538.43297455888</v>
      </c>
      <c r="AL17" s="1">
        <v>166229.79214668006</v>
      </c>
      <c r="AM17" s="1">
        <v>137778.62460316904</v>
      </c>
      <c r="AN17" s="1">
        <v>164614.18874273976</v>
      </c>
      <c r="AO17" s="1">
        <v>172262.54252237518</v>
      </c>
      <c r="AP17" s="1">
        <v>172985.18919175572</v>
      </c>
      <c r="AQ17" s="1">
        <v>164703.41713729023</v>
      </c>
      <c r="AR17" s="1">
        <v>154376.04574624638</v>
      </c>
      <c r="AS17" s="1">
        <v>163514.45562659064</v>
      </c>
      <c r="AT17" s="1">
        <v>168381.20167181437</v>
      </c>
      <c r="AU17" s="1">
        <v>169029.03440201044</v>
      </c>
      <c r="AV17" s="1">
        <v>165908.42438943838</v>
      </c>
      <c r="AW17" s="1">
        <v>163697.58247296975</v>
      </c>
      <c r="AX17" s="1">
        <v>149205.8530324435</v>
      </c>
      <c r="AY17" s="1">
        <v>167916.1005841312</v>
      </c>
      <c r="AZ17" s="1">
        <v>76336.320425030703</v>
      </c>
      <c r="BA17" s="1">
        <v>142904.7139702017</v>
      </c>
      <c r="BB17" s="1">
        <v>172799.96159398888</v>
      </c>
      <c r="BC17" s="1">
        <v>144189.32827925059</v>
      </c>
      <c r="BD17" s="1">
        <v>163772.33988854804</v>
      </c>
      <c r="BE17" s="1">
        <v>168581.57010365059</v>
      </c>
      <c r="BF17" s="1">
        <v>169047.54203714407</v>
      </c>
      <c r="BG17" s="1">
        <v>146417.66897398778</v>
      </c>
      <c r="BH17" s="1">
        <v>148665.70718752663</v>
      </c>
      <c r="BI17" s="1">
        <v>163194.31176762757</v>
      </c>
      <c r="BJ17" s="1">
        <v>145591.43798841655</v>
      </c>
      <c r="BK17" s="1">
        <v>172057.25761952109</v>
      </c>
      <c r="BL17" s="1">
        <v>140458.2655418923</v>
      </c>
      <c r="BM17" s="1">
        <v>153019.2522934335</v>
      </c>
      <c r="BN17" s="1">
        <v>162251.54450114988</v>
      </c>
      <c r="BO17" s="1">
        <v>167922.33532202366</v>
      </c>
      <c r="BP17" s="1">
        <v>163871.94719902214</v>
      </c>
      <c r="BQ17" s="1">
        <v>137352.92413777424</v>
      </c>
      <c r="BR17" s="1">
        <v>144697.96181936582</v>
      </c>
      <c r="BS17" s="1">
        <v>163531.54661346518</v>
      </c>
      <c r="BT17" s="1">
        <v>138359.05083034682</v>
      </c>
      <c r="BU17" s="1">
        <v>161727.18177089607</v>
      </c>
      <c r="BV17" s="1">
        <v>155378.4374654631</v>
      </c>
      <c r="BW17" s="1">
        <v>152285.66991648939</v>
      </c>
      <c r="BX17" s="1">
        <v>168629.09437899495</v>
      </c>
      <c r="BY17" s="1">
        <v>159237.38430970444</v>
      </c>
      <c r="BZ17" s="1">
        <v>174158.46335186195</v>
      </c>
      <c r="CA17" s="1">
        <v>177320.85921751312</v>
      </c>
      <c r="CB17" s="1">
        <v>154044.71544251163</v>
      </c>
      <c r="CC17" s="1">
        <v>156625.80909338055</v>
      </c>
      <c r="CD17" s="1">
        <v>92697.563713308002</v>
      </c>
      <c r="CE17" s="1">
        <v>165394.78259651747</v>
      </c>
      <c r="CF17" s="1">
        <v>157995.84322017326</v>
      </c>
      <c r="CG17" s="1">
        <v>144815.36807036787</v>
      </c>
      <c r="CH17" s="1">
        <v>170136.64750310945</v>
      </c>
      <c r="CI17" s="1">
        <v>168035.52573270156</v>
      </c>
      <c r="CJ17" s="1">
        <v>144106.39380975469</v>
      </c>
      <c r="CK17" s="1">
        <v>157054.40153779282</v>
      </c>
      <c r="CL17" s="1">
        <v>171188.64351742147</v>
      </c>
      <c r="CM17" s="1">
        <v>145520.46936976074</v>
      </c>
      <c r="CN17" s="1">
        <v>164195.65542989358</v>
      </c>
      <c r="CO17" s="1">
        <v>143157.73075830139</v>
      </c>
      <c r="CP17" s="1">
        <v>146296.89604318977</v>
      </c>
      <c r="CQ17" s="1">
        <v>157607.54134466959</v>
      </c>
      <c r="CR17" s="1">
        <v>147560.68775868879</v>
      </c>
      <c r="CS17" s="1">
        <v>170959.65165584118</v>
      </c>
      <c r="CT17" s="1">
        <v>136637.61385261829</v>
      </c>
      <c r="CU17" s="1">
        <v>149671.57987066213</v>
      </c>
      <c r="CV17" s="1">
        <v>146877.30473843272</v>
      </c>
      <c r="CW17" s="1">
        <v>111185.11444710733</v>
      </c>
    </row>
    <row r="18" spans="1:101" x14ac:dyDescent="0.35">
      <c r="A18">
        <v>202305</v>
      </c>
      <c r="B18" s="1">
        <v>170193.25545359598</v>
      </c>
      <c r="C18" s="1">
        <v>170638.40072663358</v>
      </c>
      <c r="D18" s="1">
        <v>174830.53785001228</v>
      </c>
      <c r="E18" s="1">
        <v>163504.51573697216</v>
      </c>
      <c r="F18" s="1">
        <v>167101.40990595429</v>
      </c>
      <c r="G18" s="1">
        <v>154023.86122381492</v>
      </c>
      <c r="H18" s="1">
        <v>180537.12448931998</v>
      </c>
      <c r="I18" s="1">
        <v>153245.15011089548</v>
      </c>
      <c r="J18" s="1">
        <v>159190.37224186357</v>
      </c>
      <c r="K18" s="1">
        <v>171876.73019634836</v>
      </c>
      <c r="L18" s="1">
        <v>155946.57178049741</v>
      </c>
      <c r="M18" s="1">
        <v>164169.69109809716</v>
      </c>
      <c r="N18" s="1">
        <v>185669.09002102847</v>
      </c>
      <c r="O18" s="1">
        <v>163094.01501652203</v>
      </c>
      <c r="P18" s="1">
        <v>190189.3158564269</v>
      </c>
      <c r="Q18" s="1">
        <v>170825.13917847307</v>
      </c>
      <c r="R18" s="1">
        <v>147954.81053238682</v>
      </c>
      <c r="S18" s="1">
        <v>172550.28425472195</v>
      </c>
      <c r="T18" s="1">
        <v>170632.34421542546</v>
      </c>
      <c r="U18" s="1">
        <v>149442.79020007883</v>
      </c>
      <c r="V18" s="1">
        <v>162593.73151477342</v>
      </c>
      <c r="W18" s="1">
        <v>165147.02263608787</v>
      </c>
      <c r="X18" s="1">
        <v>159460.29942643279</v>
      </c>
      <c r="Y18" s="1">
        <v>171112.50651033901</v>
      </c>
      <c r="Z18" s="1">
        <v>181279.39449187444</v>
      </c>
      <c r="AA18" s="1">
        <v>186331.51360970282</v>
      </c>
      <c r="AB18" s="1">
        <v>171281.44769977784</v>
      </c>
      <c r="AC18" s="1">
        <v>174092.76589317981</v>
      </c>
      <c r="AD18" s="1">
        <v>179730.9418057811</v>
      </c>
      <c r="AE18" s="1">
        <v>193649.68322167057</v>
      </c>
      <c r="AF18" s="1">
        <v>162691.06389230251</v>
      </c>
      <c r="AG18" s="1">
        <v>179644.10834719701</v>
      </c>
      <c r="AH18" s="1">
        <v>164284.1224493261</v>
      </c>
      <c r="AI18" s="1">
        <v>172038.4859462922</v>
      </c>
      <c r="AJ18" s="1">
        <v>154556.74751302868</v>
      </c>
      <c r="AK18" s="1">
        <v>154029.1839106906</v>
      </c>
      <c r="AL18" s="1">
        <v>178286.69105016327</v>
      </c>
      <c r="AM18" s="1">
        <v>157937.41593931735</v>
      </c>
      <c r="AN18" s="1">
        <v>183038.72122779436</v>
      </c>
      <c r="AO18" s="1">
        <v>186930.89677714408</v>
      </c>
      <c r="AP18" s="1">
        <v>191608.64887148762</v>
      </c>
      <c r="AQ18" s="1">
        <v>182755.66609828742</v>
      </c>
      <c r="AR18" s="1">
        <v>168257.2703322474</v>
      </c>
      <c r="AS18" s="1">
        <v>183775.55754836314</v>
      </c>
      <c r="AT18" s="1">
        <v>185446.29732398383</v>
      </c>
      <c r="AU18" s="1">
        <v>183388.9255147592</v>
      </c>
      <c r="AV18" s="1">
        <v>187086.35376850527</v>
      </c>
      <c r="AW18" s="1">
        <v>182388.42393317091</v>
      </c>
      <c r="AX18" s="1">
        <v>158907.79039100301</v>
      </c>
      <c r="AY18" s="1">
        <v>184788.18635721091</v>
      </c>
      <c r="AZ18" s="1">
        <v>84387.291833931537</v>
      </c>
      <c r="BA18" s="1">
        <v>156361.03156160252</v>
      </c>
      <c r="BB18" s="1">
        <v>188187.83303874827</v>
      </c>
      <c r="BC18" s="1">
        <v>166354.77379826186</v>
      </c>
      <c r="BD18" s="1">
        <v>177549.41314031757</v>
      </c>
      <c r="BE18" s="1">
        <v>181374.88108565198</v>
      </c>
      <c r="BF18" s="1">
        <v>183186.00367029806</v>
      </c>
      <c r="BG18" s="1">
        <v>161629.54567990685</v>
      </c>
      <c r="BH18" s="1">
        <v>163309.68079708517</v>
      </c>
      <c r="BI18" s="1">
        <v>179807.92449726694</v>
      </c>
      <c r="BJ18" s="1">
        <v>159411.66184169191</v>
      </c>
      <c r="BK18" s="1">
        <v>188352.86398289245</v>
      </c>
      <c r="BL18" s="1">
        <v>151642.57943717693</v>
      </c>
      <c r="BM18" s="1">
        <v>174630.39921308673</v>
      </c>
      <c r="BN18" s="1">
        <v>174837.1016826517</v>
      </c>
      <c r="BO18" s="1">
        <v>186202.01581800487</v>
      </c>
      <c r="BP18" s="1">
        <v>180469.2364784315</v>
      </c>
      <c r="BQ18" s="1">
        <v>149510.30546343041</v>
      </c>
      <c r="BR18" s="1">
        <v>165706.54633394547</v>
      </c>
      <c r="BS18" s="1">
        <v>177789.71619834783</v>
      </c>
      <c r="BT18" s="1">
        <v>150914.79820330773</v>
      </c>
      <c r="BU18" s="1">
        <v>178293.90118317094</v>
      </c>
      <c r="BV18" s="1">
        <v>165704.25568308143</v>
      </c>
      <c r="BW18" s="1">
        <v>165255.76076104681</v>
      </c>
      <c r="BX18" s="1">
        <v>186631.32997517311</v>
      </c>
      <c r="BY18" s="1">
        <v>177566.14202048793</v>
      </c>
      <c r="BZ18" s="1">
        <v>191906.28192377827</v>
      </c>
      <c r="CA18" s="1">
        <v>188611.41890011373</v>
      </c>
      <c r="CB18" s="1">
        <v>171345.60265220073</v>
      </c>
      <c r="CC18" s="1">
        <v>178483.80574467298</v>
      </c>
      <c r="CD18" s="1">
        <v>104402.00355697387</v>
      </c>
      <c r="CE18" s="1">
        <v>178695.55111477457</v>
      </c>
      <c r="CF18" s="1">
        <v>177935.5261734903</v>
      </c>
      <c r="CG18" s="1">
        <v>159882.09888791427</v>
      </c>
      <c r="CH18" s="1">
        <v>186438.28157640883</v>
      </c>
      <c r="CI18" s="1">
        <v>190207.52973223664</v>
      </c>
      <c r="CJ18" s="1">
        <v>157004.05692565211</v>
      </c>
      <c r="CK18" s="1">
        <v>168628.12917493354</v>
      </c>
      <c r="CL18" s="1">
        <v>190166.51828217489</v>
      </c>
      <c r="CM18" s="1">
        <v>161602.85307981379</v>
      </c>
      <c r="CN18" s="1">
        <v>178764.22971108631</v>
      </c>
      <c r="CO18" s="1">
        <v>153714.47649653509</v>
      </c>
      <c r="CP18" s="1">
        <v>168494.97739339093</v>
      </c>
      <c r="CQ18" s="1">
        <v>183358.74202052143</v>
      </c>
      <c r="CR18" s="1">
        <v>167962.23262958083</v>
      </c>
      <c r="CS18" s="1">
        <v>186820.24700007844</v>
      </c>
      <c r="CT18" s="1">
        <v>150398.64213862194</v>
      </c>
      <c r="CU18" s="1">
        <v>164848.93554049439</v>
      </c>
      <c r="CV18" s="1">
        <v>158248.72450372763</v>
      </c>
      <c r="CW18" s="1">
        <v>124995.3907073555</v>
      </c>
    </row>
    <row r="19" spans="1:101" x14ac:dyDescent="0.35">
      <c r="A19">
        <v>202306</v>
      </c>
      <c r="B19" s="1">
        <v>177892.22998250794</v>
      </c>
      <c r="C19" s="1">
        <v>173770.29837604403</v>
      </c>
      <c r="D19" s="1">
        <v>178565.24546416415</v>
      </c>
      <c r="E19" s="1">
        <v>167045.31976352018</v>
      </c>
      <c r="F19" s="1">
        <v>172545.18246966766</v>
      </c>
      <c r="G19" s="1">
        <v>159192.20976501904</v>
      </c>
      <c r="H19" s="1">
        <v>183802.59229934536</v>
      </c>
      <c r="I19" s="1">
        <v>158874.9519330652</v>
      </c>
      <c r="J19" s="1">
        <v>159374.19144117003</v>
      </c>
      <c r="K19" s="1">
        <v>172240.2801947151</v>
      </c>
      <c r="L19" s="1">
        <v>166934.90368440058</v>
      </c>
      <c r="M19" s="1">
        <v>171344.32452295691</v>
      </c>
      <c r="N19" s="1">
        <v>188455.8453913859</v>
      </c>
      <c r="O19" s="1">
        <v>170091.63115142201</v>
      </c>
      <c r="P19" s="1">
        <v>194252.55931687256</v>
      </c>
      <c r="Q19" s="1">
        <v>173472.83087514344</v>
      </c>
      <c r="R19" s="1">
        <v>158611.60209977027</v>
      </c>
      <c r="S19" s="1">
        <v>182363.28691631599</v>
      </c>
      <c r="T19" s="1">
        <v>175958.75802039172</v>
      </c>
      <c r="U19" s="1">
        <v>165205.68925860012</v>
      </c>
      <c r="V19" s="1">
        <v>167764.18706768993</v>
      </c>
      <c r="W19" s="1">
        <v>174857.25373423123</v>
      </c>
      <c r="X19" s="1">
        <v>165055.68340902403</v>
      </c>
      <c r="Y19" s="1">
        <v>174168.3657050585</v>
      </c>
      <c r="Z19" s="1">
        <v>186828.54735490106</v>
      </c>
      <c r="AA19" s="1">
        <v>195547.25806582521</v>
      </c>
      <c r="AB19" s="1">
        <v>189130.48860420179</v>
      </c>
      <c r="AC19" s="1">
        <v>183530.89130755808</v>
      </c>
      <c r="AD19" s="1">
        <v>191882.73885707409</v>
      </c>
      <c r="AE19" s="1">
        <v>194986.21571251616</v>
      </c>
      <c r="AF19" s="1">
        <v>172585.5278450562</v>
      </c>
      <c r="AG19" s="1">
        <v>189821.38160491028</v>
      </c>
      <c r="AH19" s="1">
        <v>167919.76572098417</v>
      </c>
      <c r="AI19" s="1">
        <v>182560.36065076193</v>
      </c>
      <c r="AJ19" s="1">
        <v>163543.58627994085</v>
      </c>
      <c r="AK19" s="1">
        <v>158333.23501911748</v>
      </c>
      <c r="AL19" s="1">
        <v>187212.98713783413</v>
      </c>
      <c r="AM19" s="1">
        <v>159158.28799191891</v>
      </c>
      <c r="AN19" s="1">
        <v>190813.06054592028</v>
      </c>
      <c r="AO19" s="1">
        <v>190263.85531908358</v>
      </c>
      <c r="AP19" s="1">
        <v>192159.61788771872</v>
      </c>
      <c r="AQ19" s="1">
        <v>181882.39637911003</v>
      </c>
      <c r="AR19" s="1">
        <v>174940.06048587439</v>
      </c>
      <c r="AS19" s="1">
        <v>194922.34140082757</v>
      </c>
      <c r="AT19" s="1">
        <v>189031.96703308079</v>
      </c>
      <c r="AU19" s="1">
        <v>195563.59293604546</v>
      </c>
      <c r="AV19" s="1">
        <v>191498.14955460018</v>
      </c>
      <c r="AW19" s="1">
        <v>190939.06978842165</v>
      </c>
      <c r="AX19" s="1">
        <v>166645.81350920521</v>
      </c>
      <c r="AY19" s="1">
        <v>187771.11371232104</v>
      </c>
      <c r="AZ19" s="1">
        <v>84655.634429594124</v>
      </c>
      <c r="BA19" s="1">
        <v>158614.25214124858</v>
      </c>
      <c r="BB19" s="1">
        <v>198527.4278876982</v>
      </c>
      <c r="BC19" s="1">
        <v>167568.52318434214</v>
      </c>
      <c r="BD19" s="1">
        <v>189435.6430126515</v>
      </c>
      <c r="BE19" s="1">
        <v>191583.92973226774</v>
      </c>
      <c r="BF19" s="1">
        <v>190575.69602734144</v>
      </c>
      <c r="BG19" s="1">
        <v>163238.40591924437</v>
      </c>
      <c r="BH19" s="1">
        <v>171611.46796425214</v>
      </c>
      <c r="BI19" s="1">
        <v>186225.24862490053</v>
      </c>
      <c r="BJ19" s="1">
        <v>168807.76477480886</v>
      </c>
      <c r="BK19" s="1">
        <v>191607.9383439309</v>
      </c>
      <c r="BL19" s="1">
        <v>155553.29128453045</v>
      </c>
      <c r="BM19" s="1">
        <v>182003.10752121668</v>
      </c>
      <c r="BN19" s="1">
        <v>184921.47110465079</v>
      </c>
      <c r="BO19" s="1">
        <v>191992.79940841315</v>
      </c>
      <c r="BP19" s="1">
        <v>189900.81753153907</v>
      </c>
      <c r="BQ19" s="1">
        <v>153223.43542163816</v>
      </c>
      <c r="BR19" s="1">
        <v>166701.75791831865</v>
      </c>
      <c r="BS19" s="1">
        <v>188334.57813971333</v>
      </c>
      <c r="BT19" s="1">
        <v>157513.5589795752</v>
      </c>
      <c r="BU19" s="1">
        <v>183163.3171074345</v>
      </c>
      <c r="BV19" s="1">
        <v>175965.6450091383</v>
      </c>
      <c r="BW19" s="1">
        <v>172440.55067941459</v>
      </c>
      <c r="BX19" s="1">
        <v>189662.52224039519</v>
      </c>
      <c r="BY19" s="1">
        <v>183404.80184545595</v>
      </c>
      <c r="BZ19" s="1">
        <v>199010.63019938188</v>
      </c>
      <c r="CA19" s="1">
        <v>190789.6730609278</v>
      </c>
      <c r="CB19" s="1">
        <v>175472.84827425145</v>
      </c>
      <c r="CC19" s="1">
        <v>178169.81788266805</v>
      </c>
      <c r="CD19" s="1">
        <v>108596.47722518376</v>
      </c>
      <c r="CE19" s="1">
        <v>192388.24066296348</v>
      </c>
      <c r="CF19" s="1">
        <v>179953.78170844555</v>
      </c>
      <c r="CG19" s="1">
        <v>163199.72417081357</v>
      </c>
      <c r="CH19" s="1">
        <v>195093.01090089028</v>
      </c>
      <c r="CI19" s="1">
        <v>194208.92607090881</v>
      </c>
      <c r="CJ19" s="1">
        <v>164590.58498975541</v>
      </c>
      <c r="CK19" s="1">
        <v>181437.83106251972</v>
      </c>
      <c r="CL19" s="1">
        <v>194693.83496072129</v>
      </c>
      <c r="CM19" s="1">
        <v>169640.40988886717</v>
      </c>
      <c r="CN19" s="1">
        <v>193978.78945440287</v>
      </c>
      <c r="CO19" s="1">
        <v>159048.17897144787</v>
      </c>
      <c r="CP19" s="1">
        <v>168669.27764087662</v>
      </c>
      <c r="CQ19" s="1">
        <v>179859.61201494857</v>
      </c>
      <c r="CR19" s="1">
        <v>171467.32328776349</v>
      </c>
      <c r="CS19" s="1">
        <v>194672.04482996499</v>
      </c>
      <c r="CT19" s="1">
        <v>160381.01224725749</v>
      </c>
      <c r="CU19" s="1">
        <v>174919.02803581534</v>
      </c>
      <c r="CV19" s="1">
        <v>166660.12282153533</v>
      </c>
      <c r="CW19" s="1">
        <v>125591.42353713523</v>
      </c>
    </row>
    <row r="20" spans="1:101" x14ac:dyDescent="0.35">
      <c r="A20">
        <v>202307</v>
      </c>
      <c r="B20" s="1">
        <v>182483.39823657068</v>
      </c>
      <c r="C20" s="1">
        <v>185667.65340305</v>
      </c>
      <c r="D20" s="1">
        <v>185774.61249078612</v>
      </c>
      <c r="E20" s="1">
        <v>175844.98327473464</v>
      </c>
      <c r="F20" s="1">
        <v>184063.9440563294</v>
      </c>
      <c r="G20" s="1">
        <v>160014.51553653131</v>
      </c>
      <c r="H20" s="1">
        <v>190190.20512801703</v>
      </c>
      <c r="I20" s="1">
        <v>165718.72197281077</v>
      </c>
      <c r="J20" s="1">
        <v>172447.53056432339</v>
      </c>
      <c r="K20" s="1">
        <v>176543.49125231034</v>
      </c>
      <c r="L20" s="1">
        <v>165637.06452178746</v>
      </c>
      <c r="M20" s="1">
        <v>176559.37067344674</v>
      </c>
      <c r="N20" s="1">
        <v>194293.69958808535</v>
      </c>
      <c r="O20" s="1">
        <v>173229.36272611306</v>
      </c>
      <c r="P20" s="1">
        <v>197561.07945224174</v>
      </c>
      <c r="Q20" s="1">
        <v>182305.34586213235</v>
      </c>
      <c r="R20" s="1">
        <v>162780.09895308659</v>
      </c>
      <c r="S20" s="1">
        <v>182148.91388931076</v>
      </c>
      <c r="T20" s="1">
        <v>179030.92631801477</v>
      </c>
      <c r="U20" s="1">
        <v>164838.94057735361</v>
      </c>
      <c r="V20" s="1">
        <v>168147.97965160376</v>
      </c>
      <c r="W20" s="1">
        <v>175779.0819033361</v>
      </c>
      <c r="X20" s="1">
        <v>167275.26471349358</v>
      </c>
      <c r="Y20" s="1">
        <v>185210.6133293992</v>
      </c>
      <c r="Z20" s="1">
        <v>195002.31567017082</v>
      </c>
      <c r="AA20" s="1">
        <v>204539.24945632872</v>
      </c>
      <c r="AB20" s="1">
        <v>196315.58878715133</v>
      </c>
      <c r="AC20" s="1">
        <v>189364.41137852619</v>
      </c>
      <c r="AD20" s="1">
        <v>194113.55305246901</v>
      </c>
      <c r="AE20" s="1">
        <v>201396.33750800294</v>
      </c>
      <c r="AF20" s="1">
        <v>177827.66956429053</v>
      </c>
      <c r="AG20" s="1">
        <v>192853.2438270686</v>
      </c>
      <c r="AH20" s="1">
        <v>174274.13906726861</v>
      </c>
      <c r="AI20" s="1">
        <v>185270.67027052623</v>
      </c>
      <c r="AJ20" s="1">
        <v>171521.02474071339</v>
      </c>
      <c r="AK20" s="1">
        <v>160416.75706410044</v>
      </c>
      <c r="AL20" s="1">
        <v>194745.21257634051</v>
      </c>
      <c r="AM20" s="1">
        <v>171141.32866293003</v>
      </c>
      <c r="AN20" s="1">
        <v>196524.16733699187</v>
      </c>
      <c r="AO20" s="1">
        <v>200427.44539651537</v>
      </c>
      <c r="AP20" s="1">
        <v>201211.64803400304</v>
      </c>
      <c r="AQ20" s="1">
        <v>195853.45312370037</v>
      </c>
      <c r="AR20" s="1">
        <v>178070.3167038791</v>
      </c>
      <c r="AS20" s="1">
        <v>182677.00127375399</v>
      </c>
      <c r="AT20" s="1">
        <v>195302.91629763317</v>
      </c>
      <c r="AU20" s="1">
        <v>198596.52472098568</v>
      </c>
      <c r="AV20" s="1">
        <v>197862.00057545182</v>
      </c>
      <c r="AW20" s="1">
        <v>189551.76254146066</v>
      </c>
      <c r="AX20" s="1">
        <v>176536.69789115826</v>
      </c>
      <c r="AY20" s="1">
        <v>198316.83181950627</v>
      </c>
      <c r="AZ20" s="1">
        <v>87937.787358298214</v>
      </c>
      <c r="BA20" s="1">
        <v>165592.7050053979</v>
      </c>
      <c r="BB20" s="1">
        <v>204411.59912673524</v>
      </c>
      <c r="BC20" s="1">
        <v>176751.94116737653</v>
      </c>
      <c r="BD20" s="1">
        <v>187905.96790081635</v>
      </c>
      <c r="BE20" s="1">
        <v>197879.78730150216</v>
      </c>
      <c r="BF20" s="1">
        <v>194933.80075850425</v>
      </c>
      <c r="BG20" s="1">
        <v>171429.51098857756</v>
      </c>
      <c r="BH20" s="1">
        <v>181364.37047095332</v>
      </c>
      <c r="BI20" s="1">
        <v>190721.60466772481</v>
      </c>
      <c r="BJ20" s="1">
        <v>171916.06929226726</v>
      </c>
      <c r="BK20" s="1">
        <v>203281.29415170744</v>
      </c>
      <c r="BL20" s="1">
        <v>158655.28984201959</v>
      </c>
      <c r="BM20" s="1">
        <v>189760.80122930667</v>
      </c>
      <c r="BN20" s="1">
        <v>194985.46947055578</v>
      </c>
      <c r="BO20" s="1">
        <v>199632.11187542285</v>
      </c>
      <c r="BP20" s="1">
        <v>203404.49632132173</v>
      </c>
      <c r="BQ20" s="1">
        <v>161676.94286859909</v>
      </c>
      <c r="BR20" s="1">
        <v>174882.35187961327</v>
      </c>
      <c r="BS20" s="1">
        <v>189532.63578687087</v>
      </c>
      <c r="BT20" s="1">
        <v>165307.31888496046</v>
      </c>
      <c r="BU20" s="1">
        <v>181903.30305975364</v>
      </c>
      <c r="BV20" s="1">
        <v>183370.77573368917</v>
      </c>
      <c r="BW20" s="1">
        <v>173803.92040129125</v>
      </c>
      <c r="BX20" s="1">
        <v>199762.3489369989</v>
      </c>
      <c r="BY20" s="1">
        <v>184954.33881267492</v>
      </c>
      <c r="BZ20" s="1">
        <v>202250.56606005988</v>
      </c>
      <c r="CA20" s="1">
        <v>199579.20824027597</v>
      </c>
      <c r="CB20" s="1">
        <v>187192.03300406769</v>
      </c>
      <c r="CC20" s="1">
        <v>173936.38310186871</v>
      </c>
      <c r="CD20" s="1">
        <v>113622.41398450156</v>
      </c>
      <c r="CE20" s="1">
        <v>199594.23881128317</v>
      </c>
      <c r="CF20" s="1">
        <v>186898.18006648793</v>
      </c>
      <c r="CG20" s="1">
        <v>173055.14717870866</v>
      </c>
      <c r="CH20" s="1">
        <v>203136.48031116254</v>
      </c>
      <c r="CI20" s="1">
        <v>199608.9571740735</v>
      </c>
      <c r="CJ20" s="1">
        <v>172240.74446933289</v>
      </c>
      <c r="CK20" s="1">
        <v>187736.66713230198</v>
      </c>
      <c r="CL20" s="1">
        <v>202777.80720197162</v>
      </c>
      <c r="CM20" s="1">
        <v>175324.49035201134</v>
      </c>
      <c r="CN20" s="1">
        <v>197184.04322950696</v>
      </c>
      <c r="CO20" s="1">
        <v>169768.41817565818</v>
      </c>
      <c r="CP20" s="1">
        <v>175193.08600334628</v>
      </c>
      <c r="CQ20" s="1">
        <v>184315.63652633305</v>
      </c>
      <c r="CR20" s="1">
        <v>177130.81549648743</v>
      </c>
      <c r="CS20" s="1">
        <v>199213.05172596415</v>
      </c>
      <c r="CT20" s="1">
        <v>153304.38318181576</v>
      </c>
      <c r="CU20" s="1">
        <v>175061.64040962924</v>
      </c>
      <c r="CV20" s="1">
        <v>167142.35778566042</v>
      </c>
      <c r="CW20" s="1">
        <v>130504.00705337354</v>
      </c>
    </row>
    <row r="21" spans="1:101" x14ac:dyDescent="0.35">
      <c r="A21">
        <v>202308</v>
      </c>
      <c r="B21" s="1">
        <v>158707.16804692132</v>
      </c>
      <c r="C21" s="1">
        <v>157324.42666154314</v>
      </c>
      <c r="D21" s="1">
        <v>165515.93414326003</v>
      </c>
      <c r="E21" s="1">
        <v>153818.55357811844</v>
      </c>
      <c r="F21" s="1">
        <v>157684.94558122975</v>
      </c>
      <c r="G21" s="1">
        <v>143131.13786135585</v>
      </c>
      <c r="H21" s="1">
        <v>168827.07952797553</v>
      </c>
      <c r="I21" s="1">
        <v>146363.30780789431</v>
      </c>
      <c r="J21" s="1">
        <v>149213.62202239069</v>
      </c>
      <c r="K21" s="1">
        <v>160403.45951774658</v>
      </c>
      <c r="L21" s="1">
        <v>137905.40826954812</v>
      </c>
      <c r="M21" s="1">
        <v>155763.34512584089</v>
      </c>
      <c r="N21" s="1">
        <v>167955.99913809603</v>
      </c>
      <c r="O21" s="1">
        <v>150485.75344432858</v>
      </c>
      <c r="P21" s="1">
        <v>174610.96291866543</v>
      </c>
      <c r="Q21" s="1">
        <v>160236.30900113515</v>
      </c>
      <c r="R21" s="1">
        <v>141739.11065285112</v>
      </c>
      <c r="S21" s="1">
        <v>163113.67853652142</v>
      </c>
      <c r="T21" s="1">
        <v>155601.62657801039</v>
      </c>
      <c r="U21" s="1">
        <v>145211.22414058636</v>
      </c>
      <c r="V21" s="1">
        <v>149972.41148194822</v>
      </c>
      <c r="W21" s="1">
        <v>159625.47227830318</v>
      </c>
      <c r="X21" s="1">
        <v>150546.21765248367</v>
      </c>
      <c r="Y21" s="1">
        <v>164330.42256965998</v>
      </c>
      <c r="Z21" s="1">
        <v>169515.71853004972</v>
      </c>
      <c r="AA21" s="1">
        <v>179385.97639722901</v>
      </c>
      <c r="AB21" s="1">
        <v>172127.29564464881</v>
      </c>
      <c r="AC21" s="1">
        <v>164271.05913219208</v>
      </c>
      <c r="AD21" s="1">
        <v>170928.18465457097</v>
      </c>
      <c r="AE21" s="1">
        <v>176878.2144906446</v>
      </c>
      <c r="AF21" s="1">
        <v>157153.97223328051</v>
      </c>
      <c r="AG21" s="1">
        <v>166043.90202838523</v>
      </c>
      <c r="AH21" s="1">
        <v>157865.0422122477</v>
      </c>
      <c r="AI21" s="1">
        <v>164850.9601396542</v>
      </c>
      <c r="AJ21" s="1">
        <v>149047.82425114792</v>
      </c>
      <c r="AK21" s="1">
        <v>140289.51805837909</v>
      </c>
      <c r="AL21" s="1">
        <v>170385.40165545192</v>
      </c>
      <c r="AM21" s="1">
        <v>142993.13738100693</v>
      </c>
      <c r="AN21" s="1">
        <v>166893.76409700839</v>
      </c>
      <c r="AO21" s="1">
        <v>175518.95313550465</v>
      </c>
      <c r="AP21" s="1">
        <v>175978.38527259711</v>
      </c>
      <c r="AQ21" s="1">
        <v>173486.84356396316</v>
      </c>
      <c r="AR21" s="1">
        <v>160373.25196700895</v>
      </c>
      <c r="AS21" s="1">
        <v>164590.46543913157</v>
      </c>
      <c r="AT21" s="1">
        <v>168841.53653059437</v>
      </c>
      <c r="AU21" s="1">
        <v>174232.82007386323</v>
      </c>
      <c r="AV21" s="1">
        <v>177751.30616883037</v>
      </c>
      <c r="AW21" s="1">
        <v>169707.36934221772</v>
      </c>
      <c r="AX21" s="1">
        <v>146749.12352041402</v>
      </c>
      <c r="AY21" s="1">
        <v>171761.65801302798</v>
      </c>
      <c r="AZ21" s="1">
        <v>78329.523836048742</v>
      </c>
      <c r="BA21" s="1">
        <v>148653.81673237891</v>
      </c>
      <c r="BB21" s="1">
        <v>180884.19864262291</v>
      </c>
      <c r="BC21" s="1">
        <v>153389.67579389908</v>
      </c>
      <c r="BD21" s="1">
        <v>167107.86656692903</v>
      </c>
      <c r="BE21" s="1">
        <v>168388.56927601795</v>
      </c>
      <c r="BF21" s="1">
        <v>169841.20107696555</v>
      </c>
      <c r="BG21" s="1">
        <v>152975.20156153844</v>
      </c>
      <c r="BH21" s="1">
        <v>154894.68504779172</v>
      </c>
      <c r="BI21" s="1">
        <v>165367.50833199787</v>
      </c>
      <c r="BJ21" s="1">
        <v>151192.30276319719</v>
      </c>
      <c r="BK21" s="1">
        <v>176041.59923002127</v>
      </c>
      <c r="BL21" s="1">
        <v>142942.11787175032</v>
      </c>
      <c r="BM21" s="1">
        <v>161770.18331590563</v>
      </c>
      <c r="BN21" s="1">
        <v>166999.61805230059</v>
      </c>
      <c r="BO21" s="1">
        <v>173569.90595847167</v>
      </c>
      <c r="BP21" s="1">
        <v>173636.3314577211</v>
      </c>
      <c r="BQ21" s="1">
        <v>147906.40414273358</v>
      </c>
      <c r="BR21" s="1">
        <v>152738.75233885489</v>
      </c>
      <c r="BS21" s="1">
        <v>174890.64081005775</v>
      </c>
      <c r="BT21" s="1">
        <v>141546.81209445599</v>
      </c>
      <c r="BU21" s="1">
        <v>161119.36955671955</v>
      </c>
      <c r="BV21" s="1">
        <v>157257.00518260253</v>
      </c>
      <c r="BW21" s="1">
        <v>151758.79021944053</v>
      </c>
      <c r="BX21" s="1">
        <v>174396.71010502739</v>
      </c>
      <c r="BY21" s="1">
        <v>163459.91917935139</v>
      </c>
      <c r="BZ21" s="1">
        <v>181681.14451725403</v>
      </c>
      <c r="CA21" s="1">
        <v>177402.34011182899</v>
      </c>
      <c r="CB21" s="1">
        <v>162068.16877529107</v>
      </c>
      <c r="CC21" s="1">
        <v>164727.97836949182</v>
      </c>
      <c r="CD21" s="1">
        <v>96277.116700466446</v>
      </c>
      <c r="CE21" s="1">
        <v>169972.34129045205</v>
      </c>
      <c r="CF21" s="1">
        <v>159769.06332823087</v>
      </c>
      <c r="CG21" s="1">
        <v>147501.22956869841</v>
      </c>
      <c r="CH21" s="1">
        <v>177289.46328768833</v>
      </c>
      <c r="CI21" s="1">
        <v>180227.22779690314</v>
      </c>
      <c r="CJ21" s="1">
        <v>151217.60170291783</v>
      </c>
      <c r="CK21" s="1">
        <v>167822.1986615799</v>
      </c>
      <c r="CL21" s="1">
        <v>176719.48712780929</v>
      </c>
      <c r="CM21" s="1">
        <v>152715.49887880532</v>
      </c>
      <c r="CN21" s="1">
        <v>175450.56602825108</v>
      </c>
      <c r="CO21" s="1">
        <v>143028.10828838081</v>
      </c>
      <c r="CP21" s="1">
        <v>157314.26487652655</v>
      </c>
      <c r="CQ21" s="1">
        <v>166673.27334600282</v>
      </c>
      <c r="CR21" s="1">
        <v>159066.97483856164</v>
      </c>
      <c r="CS21" s="1">
        <v>172964.68338634999</v>
      </c>
      <c r="CT21" s="1">
        <v>138976.81191641084</v>
      </c>
      <c r="CU21" s="1">
        <v>151564.00087321748</v>
      </c>
      <c r="CV21" s="1">
        <v>150468.3715948553</v>
      </c>
      <c r="CW21" s="1">
        <v>111107.27675150693</v>
      </c>
    </row>
    <row r="22" spans="1:101" x14ac:dyDescent="0.35">
      <c r="A22">
        <v>202309</v>
      </c>
      <c r="B22" s="1">
        <v>151847.72906163422</v>
      </c>
      <c r="C22" s="1">
        <v>155720.32705718224</v>
      </c>
      <c r="D22" s="1">
        <v>157260.86113479108</v>
      </c>
      <c r="E22" s="1">
        <v>144505.486293244</v>
      </c>
      <c r="F22" s="1">
        <v>155545.40889430346</v>
      </c>
      <c r="G22" s="1">
        <v>138837.93068321841</v>
      </c>
      <c r="H22" s="1">
        <v>161655.49461859339</v>
      </c>
      <c r="I22" s="1">
        <v>140983.80538278801</v>
      </c>
      <c r="J22" s="1">
        <v>143111.56453142531</v>
      </c>
      <c r="K22" s="1">
        <v>151559.73978467332</v>
      </c>
      <c r="L22" s="1">
        <v>141095.0840117292</v>
      </c>
      <c r="M22" s="1">
        <v>146013.00663527512</v>
      </c>
      <c r="N22" s="1">
        <v>165100.20991426584</v>
      </c>
      <c r="O22" s="1">
        <v>142894.86185456681</v>
      </c>
      <c r="P22" s="1">
        <v>170222.69279620357</v>
      </c>
      <c r="Q22" s="1">
        <v>150460.51647914018</v>
      </c>
      <c r="R22" s="1">
        <v>135798.57151939257</v>
      </c>
      <c r="S22" s="1">
        <v>158682.35095967969</v>
      </c>
      <c r="T22" s="1">
        <v>149196.75966300975</v>
      </c>
      <c r="U22" s="1">
        <v>145955.23133272916</v>
      </c>
      <c r="V22" s="1">
        <v>144841.82538167347</v>
      </c>
      <c r="W22" s="1">
        <v>152607.1891546938</v>
      </c>
      <c r="X22" s="1">
        <v>134656.38191414109</v>
      </c>
      <c r="Y22" s="1">
        <v>156982.62866297946</v>
      </c>
      <c r="Z22" s="1">
        <v>162892.22112600904</v>
      </c>
      <c r="AA22" s="1">
        <v>175733.47856025118</v>
      </c>
      <c r="AB22" s="1">
        <v>163277.8358985598</v>
      </c>
      <c r="AC22" s="1">
        <v>158278.5513595095</v>
      </c>
      <c r="AD22" s="1">
        <v>166111.73845026048</v>
      </c>
      <c r="AE22" s="1">
        <v>169732.59482716638</v>
      </c>
      <c r="AF22" s="1">
        <v>149071.43397164447</v>
      </c>
      <c r="AG22" s="1">
        <v>165025.72563342622</v>
      </c>
      <c r="AH22" s="1">
        <v>151760.45106232585</v>
      </c>
      <c r="AI22" s="1">
        <v>159927.00583916361</v>
      </c>
      <c r="AJ22" s="1">
        <v>140147.13102258701</v>
      </c>
      <c r="AK22" s="1">
        <v>135510.2194124762</v>
      </c>
      <c r="AL22" s="1">
        <v>165657.73217416983</v>
      </c>
      <c r="AM22" s="1">
        <v>143681.62372419206</v>
      </c>
      <c r="AN22" s="1">
        <v>158589.83267009747</v>
      </c>
      <c r="AO22" s="1">
        <v>172384.27625454662</v>
      </c>
      <c r="AP22" s="1">
        <v>168035.27739821296</v>
      </c>
      <c r="AQ22" s="1">
        <v>157600.60433258716</v>
      </c>
      <c r="AR22" s="1">
        <v>155206.81458264348</v>
      </c>
      <c r="AS22" s="1">
        <v>150992.34909089206</v>
      </c>
      <c r="AT22" s="1">
        <v>163323.62962195851</v>
      </c>
      <c r="AU22" s="1">
        <v>163792.62519483725</v>
      </c>
      <c r="AV22" s="1">
        <v>168313.54146061736</v>
      </c>
      <c r="AW22" s="1">
        <v>162786.34311419463</v>
      </c>
      <c r="AX22" s="1">
        <v>142572.00426464828</v>
      </c>
      <c r="AY22" s="1">
        <v>166617.41674296197</v>
      </c>
      <c r="AZ22" s="1">
        <v>76224.84866716151</v>
      </c>
      <c r="BA22" s="1">
        <v>137565.5485748068</v>
      </c>
      <c r="BB22" s="1">
        <v>170196.81015966219</v>
      </c>
      <c r="BC22" s="1">
        <v>152551.08493332149</v>
      </c>
      <c r="BD22" s="1">
        <v>156654.42160258547</v>
      </c>
      <c r="BE22" s="1">
        <v>162315.37733973825</v>
      </c>
      <c r="BF22" s="1">
        <v>167924.61968226254</v>
      </c>
      <c r="BG22" s="1">
        <v>145320.2715350592</v>
      </c>
      <c r="BH22" s="1">
        <v>152850.82049036352</v>
      </c>
      <c r="BI22" s="1">
        <v>160950.35195547211</v>
      </c>
      <c r="BJ22" s="1">
        <v>142279.84450385862</v>
      </c>
      <c r="BK22" s="1">
        <v>171310.31586671609</v>
      </c>
      <c r="BL22" s="1">
        <v>131464.3809826264</v>
      </c>
      <c r="BM22" s="1">
        <v>150881.52939366925</v>
      </c>
      <c r="BN22" s="1">
        <v>159811.69872158</v>
      </c>
      <c r="BO22" s="1">
        <v>167265.04400053402</v>
      </c>
      <c r="BP22" s="1">
        <v>164623.53776640623</v>
      </c>
      <c r="BQ22" s="1">
        <v>132619.53971616999</v>
      </c>
      <c r="BR22" s="1">
        <v>149172.28005330797</v>
      </c>
      <c r="BS22" s="1">
        <v>161614.43635091404</v>
      </c>
      <c r="BT22" s="1">
        <v>135461.74603649764</v>
      </c>
      <c r="BU22" s="1">
        <v>152212.72373051502</v>
      </c>
      <c r="BV22" s="1">
        <v>150165.17350441485</v>
      </c>
      <c r="BW22" s="1">
        <v>152858.31774472646</v>
      </c>
      <c r="BX22" s="1">
        <v>168179.20353719647</v>
      </c>
      <c r="BY22" s="1">
        <v>157657.55717095453</v>
      </c>
      <c r="BZ22" s="1">
        <v>172415.00040924066</v>
      </c>
      <c r="CA22" s="1">
        <v>172414.03174000926</v>
      </c>
      <c r="CB22" s="1">
        <v>150291.97049675352</v>
      </c>
      <c r="CC22" s="1">
        <v>157534.55156022459</v>
      </c>
      <c r="CD22" s="1">
        <v>93102.820677024123</v>
      </c>
      <c r="CE22" s="1">
        <v>166494.08961305083</v>
      </c>
      <c r="CF22" s="1">
        <v>152955.0308892988</v>
      </c>
      <c r="CG22" s="1">
        <v>146581.34977131206</v>
      </c>
      <c r="CH22" s="1">
        <v>168441.1617113362</v>
      </c>
      <c r="CI22" s="1">
        <v>173649.14023365013</v>
      </c>
      <c r="CJ22" s="1">
        <v>143060.0939720482</v>
      </c>
      <c r="CK22" s="1">
        <v>153748.49108099661</v>
      </c>
      <c r="CL22" s="1">
        <v>166362.21037444851</v>
      </c>
      <c r="CM22" s="1">
        <v>147452.60651760103</v>
      </c>
      <c r="CN22" s="1">
        <v>165641.70127514252</v>
      </c>
      <c r="CO22" s="1">
        <v>137159.0302277804</v>
      </c>
      <c r="CP22" s="1">
        <v>150109.52202348711</v>
      </c>
      <c r="CQ22" s="1">
        <v>160607.26250026736</v>
      </c>
      <c r="CR22" s="1">
        <v>149460.30129873866</v>
      </c>
      <c r="CS22" s="1">
        <v>165662.06975398076</v>
      </c>
      <c r="CT22" s="1">
        <v>127965.25973383515</v>
      </c>
      <c r="CU22" s="1">
        <v>151418.04589159953</v>
      </c>
      <c r="CV22" s="1">
        <v>144561.18627621193</v>
      </c>
      <c r="CW22" s="1">
        <v>111359.85451938298</v>
      </c>
    </row>
    <row r="23" spans="1:101" x14ac:dyDescent="0.35">
      <c r="A23">
        <v>202310</v>
      </c>
      <c r="B23" s="1">
        <v>144106.60322843207</v>
      </c>
      <c r="C23" s="1">
        <v>143342.52834045194</v>
      </c>
      <c r="D23" s="1">
        <v>148205.6735156888</v>
      </c>
      <c r="E23" s="1">
        <v>139642.19310034631</v>
      </c>
      <c r="F23" s="1">
        <v>144415.24778894981</v>
      </c>
      <c r="G23" s="1">
        <v>129862.97902548032</v>
      </c>
      <c r="H23" s="1">
        <v>147266.84911399861</v>
      </c>
      <c r="I23" s="1">
        <v>130312.15821930829</v>
      </c>
      <c r="J23" s="1">
        <v>137456.90313644047</v>
      </c>
      <c r="K23" s="1">
        <v>144330.51724192646</v>
      </c>
      <c r="L23" s="1">
        <v>129761.4969575071</v>
      </c>
      <c r="M23" s="1">
        <v>140606.91246026673</v>
      </c>
      <c r="N23" s="1">
        <v>151758.67051677848</v>
      </c>
      <c r="O23" s="1">
        <v>138708.39313826032</v>
      </c>
      <c r="P23" s="1">
        <v>161720.15067258233</v>
      </c>
      <c r="Q23" s="1">
        <v>144098.27444454574</v>
      </c>
      <c r="R23" s="1">
        <v>132608.11260384961</v>
      </c>
      <c r="S23" s="1">
        <v>147464.84727359816</v>
      </c>
      <c r="T23" s="1">
        <v>143333.51240960899</v>
      </c>
      <c r="U23" s="1">
        <v>137891.08619390632</v>
      </c>
      <c r="V23" s="1">
        <v>137363.45858938186</v>
      </c>
      <c r="W23" s="1">
        <v>146612.47806631197</v>
      </c>
      <c r="X23" s="1">
        <v>129941.35390354235</v>
      </c>
      <c r="Y23" s="1">
        <v>150207.12090369605</v>
      </c>
      <c r="Z23" s="1">
        <v>155167.48528637571</v>
      </c>
      <c r="AA23" s="1">
        <v>164024.68076974957</v>
      </c>
      <c r="AB23" s="1">
        <v>155794.78036953491</v>
      </c>
      <c r="AC23" s="1">
        <v>143585.61919311216</v>
      </c>
      <c r="AD23" s="1">
        <v>157444.80972382872</v>
      </c>
      <c r="AE23" s="1">
        <v>161537.85420492876</v>
      </c>
      <c r="AF23" s="1">
        <v>140599.26929333192</v>
      </c>
      <c r="AG23" s="1">
        <v>158460.16415486051</v>
      </c>
      <c r="AH23" s="1">
        <v>141622.53421089289</v>
      </c>
      <c r="AI23" s="1">
        <v>151970.69001542244</v>
      </c>
      <c r="AJ23" s="1">
        <v>137110.75388207886</v>
      </c>
      <c r="AK23" s="1">
        <v>138242.18186728199</v>
      </c>
      <c r="AL23" s="1">
        <v>161469.80003659087</v>
      </c>
      <c r="AM23" s="1">
        <v>134489.54872624727</v>
      </c>
      <c r="AN23" s="1">
        <v>160681.16213846064</v>
      </c>
      <c r="AO23" s="1">
        <v>160588.57028577049</v>
      </c>
      <c r="AP23" s="1">
        <v>162825.87483405575</v>
      </c>
      <c r="AQ23" s="1">
        <v>157723.5094579639</v>
      </c>
      <c r="AR23" s="1">
        <v>145895.12271324435</v>
      </c>
      <c r="AS23" s="1">
        <v>150539.50518950261</v>
      </c>
      <c r="AT23" s="1">
        <v>157917.3302538401</v>
      </c>
      <c r="AU23" s="1">
        <v>162072.05535985323</v>
      </c>
      <c r="AV23" s="1">
        <v>159032.17275520079</v>
      </c>
      <c r="AW23" s="1">
        <v>153853.57072779562</v>
      </c>
      <c r="AX23" s="1">
        <v>142586.08969571764</v>
      </c>
      <c r="AY23" s="1">
        <v>155680.13995068226</v>
      </c>
      <c r="AZ23" s="1">
        <v>72657.091211331252</v>
      </c>
      <c r="BA23" s="1">
        <v>133959.23206761508</v>
      </c>
      <c r="BB23" s="1">
        <v>163775.55832276479</v>
      </c>
      <c r="BC23" s="1">
        <v>143264.57261580983</v>
      </c>
      <c r="BD23" s="1">
        <v>154080.59629994311</v>
      </c>
      <c r="BE23" s="1">
        <v>160607.50284903278</v>
      </c>
      <c r="BF23" s="1">
        <v>159818.8517340098</v>
      </c>
      <c r="BG23" s="1">
        <v>138059.85895307976</v>
      </c>
      <c r="BH23" s="1">
        <v>145946.71789464095</v>
      </c>
      <c r="BI23" s="1">
        <v>156339.08165783776</v>
      </c>
      <c r="BJ23" s="1">
        <v>139425.34497487306</v>
      </c>
      <c r="BK23" s="1">
        <v>160642.69639791275</v>
      </c>
      <c r="BL23" s="1">
        <v>126884.54606767654</v>
      </c>
      <c r="BM23" s="1">
        <v>148849.69845630974</v>
      </c>
      <c r="BN23" s="1">
        <v>155660.39223017663</v>
      </c>
      <c r="BO23" s="1">
        <v>157213.06654498208</v>
      </c>
      <c r="BP23" s="1">
        <v>160560.04193065429</v>
      </c>
      <c r="BQ23" s="1">
        <v>130523.37632071027</v>
      </c>
      <c r="BR23" s="1">
        <v>139167.33935207047</v>
      </c>
      <c r="BS23" s="1">
        <v>153869.06904803016</v>
      </c>
      <c r="BT23" s="1">
        <v>132844.48173875787</v>
      </c>
      <c r="BU23" s="1">
        <v>148634.74839103004</v>
      </c>
      <c r="BV23" s="1">
        <v>145332.47314882922</v>
      </c>
      <c r="BW23" s="1">
        <v>138948.84342334114</v>
      </c>
      <c r="BX23" s="1">
        <v>158044.22274972399</v>
      </c>
      <c r="BY23" s="1">
        <v>148271.2175926987</v>
      </c>
      <c r="BZ23" s="1">
        <v>165387.70235686243</v>
      </c>
      <c r="CA23" s="1">
        <v>167477.01355122076</v>
      </c>
      <c r="CB23" s="1">
        <v>147233.06229085755</v>
      </c>
      <c r="CC23" s="1">
        <v>146745.57029696452</v>
      </c>
      <c r="CD23" s="1">
        <v>91555.210576270882</v>
      </c>
      <c r="CE23" s="1">
        <v>164053.94096364549</v>
      </c>
      <c r="CF23" s="1">
        <v>153269.72789880898</v>
      </c>
      <c r="CG23" s="1">
        <v>139242.2138904703</v>
      </c>
      <c r="CH23" s="1">
        <v>160996.65422656899</v>
      </c>
      <c r="CI23" s="1">
        <v>160780.79034061817</v>
      </c>
      <c r="CJ23" s="1">
        <v>135721.12669662599</v>
      </c>
      <c r="CK23" s="1">
        <v>150460.44707511491</v>
      </c>
      <c r="CL23" s="1">
        <v>161436.00713503605</v>
      </c>
      <c r="CM23" s="1">
        <v>143606.6906683929</v>
      </c>
      <c r="CN23" s="1">
        <v>158531.42151245562</v>
      </c>
      <c r="CO23" s="1">
        <v>132070.3777570427</v>
      </c>
      <c r="CP23" s="1">
        <v>143105.91259644725</v>
      </c>
      <c r="CQ23" s="1">
        <v>153867.22890750159</v>
      </c>
      <c r="CR23" s="1">
        <v>143645.61305746899</v>
      </c>
      <c r="CS23" s="1">
        <v>158591.88728188808</v>
      </c>
      <c r="CT23" s="1">
        <v>124333.99434186101</v>
      </c>
      <c r="CU23" s="1">
        <v>142291.15290585617</v>
      </c>
      <c r="CV23" s="1">
        <v>141803.21317885959</v>
      </c>
      <c r="CW23" s="1">
        <v>107266.88268372336</v>
      </c>
    </row>
    <row r="24" spans="1:101" x14ac:dyDescent="0.35">
      <c r="A24">
        <v>202311</v>
      </c>
      <c r="B24" s="1">
        <v>139211.7939879802</v>
      </c>
      <c r="C24" s="1">
        <v>140993.61231389831</v>
      </c>
      <c r="D24" s="1">
        <v>142045.00167200534</v>
      </c>
      <c r="E24" s="1">
        <v>132981.08513914212</v>
      </c>
      <c r="F24" s="1">
        <v>135441.83291061639</v>
      </c>
      <c r="G24" s="1">
        <v>122873.67009702673</v>
      </c>
      <c r="H24" s="1">
        <v>142004.70755190303</v>
      </c>
      <c r="I24" s="1">
        <v>121857.74864881736</v>
      </c>
      <c r="J24" s="1">
        <v>130494.01753368134</v>
      </c>
      <c r="K24" s="1">
        <v>139349.11495150605</v>
      </c>
      <c r="L24" s="1">
        <v>132332.66778183074</v>
      </c>
      <c r="M24" s="1">
        <v>138227.32471168574</v>
      </c>
      <c r="N24" s="1">
        <v>150842.30549481229</v>
      </c>
      <c r="O24" s="1">
        <v>135760.57894368065</v>
      </c>
      <c r="P24" s="1">
        <v>158313.9681716683</v>
      </c>
      <c r="Q24" s="1">
        <v>142709.99711198764</v>
      </c>
      <c r="R24" s="1">
        <v>120079.69799481415</v>
      </c>
      <c r="S24" s="1">
        <v>145129.15832783075</v>
      </c>
      <c r="T24" s="1">
        <v>136099.83275484655</v>
      </c>
      <c r="U24" s="1">
        <v>125961.01820199515</v>
      </c>
      <c r="V24" s="1">
        <v>133490.83232277658</v>
      </c>
      <c r="W24" s="1">
        <v>138800.65651670648</v>
      </c>
      <c r="X24" s="1">
        <v>132530.68005034357</v>
      </c>
      <c r="Y24" s="1">
        <v>143651.13501315468</v>
      </c>
      <c r="Z24" s="1">
        <v>150414.8903983804</v>
      </c>
      <c r="AA24" s="1">
        <v>153176.85341220704</v>
      </c>
      <c r="AB24" s="1">
        <v>146444.37413470351</v>
      </c>
      <c r="AC24" s="1">
        <v>142529.25845766818</v>
      </c>
      <c r="AD24" s="1">
        <v>142905.4877746366</v>
      </c>
      <c r="AE24" s="1">
        <v>153874.34162532722</v>
      </c>
      <c r="AF24" s="1">
        <v>134168.8122080547</v>
      </c>
      <c r="AG24" s="1">
        <v>152025.85339061139</v>
      </c>
      <c r="AH24" s="1">
        <v>139112.10930170794</v>
      </c>
      <c r="AI24" s="1">
        <v>141903.65674982613</v>
      </c>
      <c r="AJ24" s="1">
        <v>128606.18892316359</v>
      </c>
      <c r="AK24" s="1">
        <v>122546.5485600988</v>
      </c>
      <c r="AL24" s="1">
        <v>148056.46823171541</v>
      </c>
      <c r="AM24" s="1">
        <v>127552.6734950847</v>
      </c>
      <c r="AN24" s="1">
        <v>146043.79901471906</v>
      </c>
      <c r="AO24" s="1">
        <v>151298.53796859185</v>
      </c>
      <c r="AP24" s="1">
        <v>151763.24337604083</v>
      </c>
      <c r="AQ24" s="1">
        <v>147034.43620378737</v>
      </c>
      <c r="AR24" s="1">
        <v>141679.49658180241</v>
      </c>
      <c r="AS24" s="1">
        <v>138385.06641899035</v>
      </c>
      <c r="AT24" s="1">
        <v>151833.85628913809</v>
      </c>
      <c r="AU24" s="1">
        <v>154751.57956332358</v>
      </c>
      <c r="AV24" s="1">
        <v>149938.27591514186</v>
      </c>
      <c r="AW24" s="1">
        <v>147066.40703090292</v>
      </c>
      <c r="AX24" s="1">
        <v>134455.27215672148</v>
      </c>
      <c r="AY24" s="1">
        <v>146903.52081578909</v>
      </c>
      <c r="AZ24" s="1">
        <v>66429.102045081789</v>
      </c>
      <c r="BA24" s="1">
        <v>132007.32680805816</v>
      </c>
      <c r="BB24" s="1">
        <v>155332.99241186661</v>
      </c>
      <c r="BC24" s="1">
        <v>131235.21549916908</v>
      </c>
      <c r="BD24" s="1">
        <v>145349.07845862734</v>
      </c>
      <c r="BE24" s="1">
        <v>148318.95353913083</v>
      </c>
      <c r="BF24" s="1">
        <v>150804.20406126112</v>
      </c>
      <c r="BG24" s="1">
        <v>129621.92757742651</v>
      </c>
      <c r="BH24" s="1">
        <v>131725.39583842902</v>
      </c>
      <c r="BI24" s="1">
        <v>150293.53577103588</v>
      </c>
      <c r="BJ24" s="1">
        <v>132124.3210876626</v>
      </c>
      <c r="BK24" s="1">
        <v>151705.08817997918</v>
      </c>
      <c r="BL24" s="1">
        <v>114343.83025098706</v>
      </c>
      <c r="BM24" s="1">
        <v>141716.40752918753</v>
      </c>
      <c r="BN24" s="1">
        <v>147764.83019380417</v>
      </c>
      <c r="BO24" s="1">
        <v>149433.34041645171</v>
      </c>
      <c r="BP24" s="1">
        <v>154080.42853577188</v>
      </c>
      <c r="BQ24" s="1">
        <v>123504.10710210227</v>
      </c>
      <c r="BR24" s="1">
        <v>132227.48902830665</v>
      </c>
      <c r="BS24" s="1">
        <v>147228.07929416513</v>
      </c>
      <c r="BT24" s="1">
        <v>120199.38307147491</v>
      </c>
      <c r="BU24" s="1">
        <v>143511.81217593577</v>
      </c>
      <c r="BV24" s="1">
        <v>135095.25940467604</v>
      </c>
      <c r="BW24" s="1">
        <v>136728.83169657053</v>
      </c>
      <c r="BX24" s="1">
        <v>147850.34265268696</v>
      </c>
      <c r="BY24" s="1">
        <v>145003.6905164904</v>
      </c>
      <c r="BZ24" s="1">
        <v>157074.20414959418</v>
      </c>
      <c r="CA24" s="1">
        <v>155017.40206333267</v>
      </c>
      <c r="CB24" s="1">
        <v>138525.96369483953</v>
      </c>
      <c r="CC24" s="1">
        <v>140067.04974430418</v>
      </c>
      <c r="CD24" s="1">
        <v>86421.268391389662</v>
      </c>
      <c r="CE24" s="1">
        <v>151661.4083984574</v>
      </c>
      <c r="CF24" s="1">
        <v>143913.94018174976</v>
      </c>
      <c r="CG24" s="1">
        <v>132204.36317279536</v>
      </c>
      <c r="CH24" s="1">
        <v>152967.68411972671</v>
      </c>
      <c r="CI24" s="1">
        <v>155941.66797275277</v>
      </c>
      <c r="CJ24" s="1">
        <v>135174.33727135501</v>
      </c>
      <c r="CK24" s="1">
        <v>143215.65554004599</v>
      </c>
      <c r="CL24" s="1">
        <v>153168.53165058515</v>
      </c>
      <c r="CM24" s="1">
        <v>134309.69474069998</v>
      </c>
      <c r="CN24" s="1">
        <v>150658.97024206852</v>
      </c>
      <c r="CO24" s="1">
        <v>124670.95314718885</v>
      </c>
      <c r="CP24" s="1">
        <v>134206.5700777802</v>
      </c>
      <c r="CQ24" s="1">
        <v>144756.73857816932</v>
      </c>
      <c r="CR24" s="1">
        <v>139674.29844893087</v>
      </c>
      <c r="CS24" s="1">
        <v>151617.77939757056</v>
      </c>
      <c r="CT24" s="1">
        <v>117608.24263498133</v>
      </c>
      <c r="CU24" s="1">
        <v>132971.70736464544</v>
      </c>
      <c r="CV24" s="1">
        <v>135263.21523164064</v>
      </c>
      <c r="CW24" s="1">
        <v>101419.87089897794</v>
      </c>
    </row>
    <row r="25" spans="1:101" x14ac:dyDescent="0.35">
      <c r="A25">
        <v>202312</v>
      </c>
      <c r="B25" s="1">
        <v>139085.06750683583</v>
      </c>
      <c r="C25" s="1">
        <v>138169.60420260974</v>
      </c>
      <c r="D25" s="1">
        <v>141747.31621960297</v>
      </c>
      <c r="E25" s="1">
        <v>128433.83503671146</v>
      </c>
      <c r="F25" s="1">
        <v>136855.14929765029</v>
      </c>
      <c r="G25" s="1">
        <v>118690.88298492097</v>
      </c>
      <c r="H25" s="1">
        <v>141144.54318713603</v>
      </c>
      <c r="I25" s="1">
        <v>121385.03318173926</v>
      </c>
      <c r="J25" s="1">
        <v>125569.46480798237</v>
      </c>
      <c r="K25" s="1">
        <v>132581.53779196076</v>
      </c>
      <c r="L25" s="1">
        <v>126122.16752299604</v>
      </c>
      <c r="M25" s="1">
        <v>135731.74329205765</v>
      </c>
      <c r="N25" s="1">
        <v>143241.4481207027</v>
      </c>
      <c r="O25" s="1">
        <v>131404.12226413024</v>
      </c>
      <c r="P25" s="1">
        <v>153143.76907070787</v>
      </c>
      <c r="Q25" s="1">
        <v>133101.01063083671</v>
      </c>
      <c r="R25" s="1">
        <v>121313.42616796847</v>
      </c>
      <c r="S25" s="1">
        <v>134098.59501187634</v>
      </c>
      <c r="T25" s="1">
        <v>136368.86047695237</v>
      </c>
      <c r="U25" s="1">
        <v>123429.64884612874</v>
      </c>
      <c r="V25" s="1">
        <v>128255.48407818617</v>
      </c>
      <c r="W25" s="1">
        <v>134509.10986315185</v>
      </c>
      <c r="X25" s="1">
        <v>125834.27598133462</v>
      </c>
      <c r="Y25" s="1">
        <v>137822.5608144548</v>
      </c>
      <c r="Z25" s="1">
        <v>143337.33035151468</v>
      </c>
      <c r="AA25" s="1">
        <v>149230.53799108692</v>
      </c>
      <c r="AB25" s="1">
        <v>143149.52250436394</v>
      </c>
      <c r="AC25" s="1">
        <v>139537.23882784703</v>
      </c>
      <c r="AD25" s="1">
        <v>143257.53679266101</v>
      </c>
      <c r="AE25" s="1">
        <v>147499.0013905963</v>
      </c>
      <c r="AF25" s="1">
        <v>132934.7128238302</v>
      </c>
      <c r="AG25" s="1">
        <v>144962.77273987772</v>
      </c>
      <c r="AH25" s="1">
        <v>129153.09359664963</v>
      </c>
      <c r="AI25" s="1">
        <v>139940.48354714626</v>
      </c>
      <c r="AJ25" s="1">
        <v>128826.7244967164</v>
      </c>
      <c r="AK25" s="1">
        <v>122596.31563762552</v>
      </c>
      <c r="AL25" s="1">
        <v>146741.54807266337</v>
      </c>
      <c r="AM25" s="1">
        <v>125563.224461199</v>
      </c>
      <c r="AN25" s="1">
        <v>144970.26939064503</v>
      </c>
      <c r="AO25" s="1">
        <v>152303.40110803756</v>
      </c>
      <c r="AP25" s="1">
        <v>150867.76673912638</v>
      </c>
      <c r="AQ25" s="1">
        <v>142840.39754787902</v>
      </c>
      <c r="AR25" s="1">
        <v>136847.89003559816</v>
      </c>
      <c r="AS25" s="1">
        <v>135335.93081116048</v>
      </c>
      <c r="AT25" s="1">
        <v>146678.57741056904</v>
      </c>
      <c r="AU25" s="1">
        <v>144577.92389729433</v>
      </c>
      <c r="AV25" s="1">
        <v>147287.26647591009</v>
      </c>
      <c r="AW25" s="1">
        <v>145427.66362846468</v>
      </c>
      <c r="AX25" s="1">
        <v>128789.02510710519</v>
      </c>
      <c r="AY25" s="1">
        <v>144774.70314277237</v>
      </c>
      <c r="AZ25" s="1">
        <v>65170.515098743577</v>
      </c>
      <c r="BA25" s="1">
        <v>124985.57956150391</v>
      </c>
      <c r="BB25" s="1">
        <v>151882.0351959065</v>
      </c>
      <c r="BC25" s="1">
        <v>125721.50666852279</v>
      </c>
      <c r="BD25" s="1">
        <v>140259.66783490471</v>
      </c>
      <c r="BE25" s="1">
        <v>148559.9907229933</v>
      </c>
      <c r="BF25" s="1">
        <v>154435.20639868398</v>
      </c>
      <c r="BG25" s="1">
        <v>129473.63167084548</v>
      </c>
      <c r="BH25" s="1">
        <v>129979.77041697716</v>
      </c>
      <c r="BI25" s="1">
        <v>142548.78092230263</v>
      </c>
      <c r="BJ25" s="1">
        <v>126955.56963632186</v>
      </c>
      <c r="BK25" s="1">
        <v>149541.06337139555</v>
      </c>
      <c r="BL25" s="1">
        <v>117816.13334733134</v>
      </c>
      <c r="BM25" s="1">
        <v>140547.08964467901</v>
      </c>
      <c r="BN25" s="1">
        <v>146364.93612198977</v>
      </c>
      <c r="BO25" s="1">
        <v>144855.4432840677</v>
      </c>
      <c r="BP25" s="1">
        <v>145734.53667829541</v>
      </c>
      <c r="BQ25" s="1">
        <v>119738.57305495441</v>
      </c>
      <c r="BR25" s="1">
        <v>132543.28857095653</v>
      </c>
      <c r="BS25" s="1">
        <v>141568.71877424486</v>
      </c>
      <c r="BT25" s="1">
        <v>121287.1872059803</v>
      </c>
      <c r="BU25" s="1">
        <v>143150.66328284881</v>
      </c>
      <c r="BV25" s="1">
        <v>136711.03709212496</v>
      </c>
      <c r="BW25" s="1">
        <v>130462.203315127</v>
      </c>
      <c r="BX25" s="1">
        <v>147027.12955225201</v>
      </c>
      <c r="BY25" s="1">
        <v>136601.38734657317</v>
      </c>
      <c r="BZ25" s="1">
        <v>153465.02025968151</v>
      </c>
      <c r="CA25" s="1">
        <v>152685.02650479242</v>
      </c>
      <c r="CB25" s="1">
        <v>132507.5882452105</v>
      </c>
      <c r="CC25" s="1">
        <v>136827.76993096372</v>
      </c>
      <c r="CD25" s="1">
        <v>85273.675282915108</v>
      </c>
      <c r="CE25" s="1">
        <v>146813.27343064925</v>
      </c>
      <c r="CF25" s="1">
        <v>138906.45809877536</v>
      </c>
      <c r="CG25" s="1">
        <v>128900.94329011203</v>
      </c>
      <c r="CH25" s="1">
        <v>144683.68999963813</v>
      </c>
      <c r="CI25" s="1">
        <v>147285.43960731846</v>
      </c>
      <c r="CJ25" s="1">
        <v>127496.04356589208</v>
      </c>
      <c r="CK25" s="1">
        <v>138876.61013642323</v>
      </c>
      <c r="CL25" s="1">
        <v>152850.63475065472</v>
      </c>
      <c r="CM25" s="1">
        <v>131765.71616628469</v>
      </c>
      <c r="CN25" s="1">
        <v>152569.03809532587</v>
      </c>
      <c r="CO25" s="1">
        <v>121003.62007791996</v>
      </c>
      <c r="CP25" s="1">
        <v>133724.16705780683</v>
      </c>
      <c r="CQ25" s="1">
        <v>140756.00239511317</v>
      </c>
      <c r="CR25" s="1">
        <v>132112.26399456192</v>
      </c>
      <c r="CS25" s="1">
        <v>145646.93256376861</v>
      </c>
      <c r="CT25" s="1">
        <v>120912.33876660895</v>
      </c>
      <c r="CU25" s="1">
        <v>131007.37164800891</v>
      </c>
      <c r="CV25" s="1">
        <v>131300.66502128911</v>
      </c>
      <c r="CW25" s="1">
        <v>97691.295056877469</v>
      </c>
    </row>
    <row r="26" spans="1:101" x14ac:dyDescent="0.35">
      <c r="A26">
        <v>202401</v>
      </c>
      <c r="B26" s="1">
        <v>101357.58190501279</v>
      </c>
      <c r="C26" s="1">
        <v>102273.22230321573</v>
      </c>
      <c r="D26" s="1">
        <v>104218.56104980921</v>
      </c>
      <c r="E26" s="1">
        <v>97450.766887933685</v>
      </c>
      <c r="F26" s="1">
        <v>102111.53263925083</v>
      </c>
      <c r="G26" s="1">
        <v>86304.859180657862</v>
      </c>
      <c r="H26" s="1">
        <v>104821.77918005107</v>
      </c>
      <c r="I26" s="1">
        <v>88556.0618963905</v>
      </c>
      <c r="J26" s="1">
        <v>95310.31745291916</v>
      </c>
      <c r="K26" s="1">
        <v>98757.82167923548</v>
      </c>
      <c r="L26" s="1">
        <v>88777.346255973971</v>
      </c>
      <c r="M26" s="1">
        <v>98426.264456812889</v>
      </c>
      <c r="N26" s="1">
        <v>108508.40115096355</v>
      </c>
      <c r="O26" s="1">
        <v>96412.079481593886</v>
      </c>
      <c r="P26" s="1">
        <v>109269.86320241106</v>
      </c>
      <c r="Q26" s="1">
        <v>101483.55661778899</v>
      </c>
      <c r="R26" s="1">
        <v>88284.920380350988</v>
      </c>
      <c r="S26" s="1">
        <v>101887.65023898019</v>
      </c>
      <c r="T26" s="1">
        <v>100448.87659608432</v>
      </c>
      <c r="U26" s="1">
        <v>91571.465652689061</v>
      </c>
      <c r="V26" s="1">
        <v>94337.21842085832</v>
      </c>
      <c r="W26" s="1">
        <v>100515.40661904748</v>
      </c>
      <c r="X26" s="1">
        <v>91973.996886785273</v>
      </c>
      <c r="Y26" s="1">
        <v>101480.91951867154</v>
      </c>
      <c r="Z26" s="1">
        <v>107066.3446791701</v>
      </c>
      <c r="AA26" s="1">
        <v>114441.77971941496</v>
      </c>
      <c r="AB26" s="1">
        <v>107257.13020950137</v>
      </c>
      <c r="AC26" s="1">
        <v>104151.43003086321</v>
      </c>
      <c r="AD26" s="1">
        <v>111096.98497364024</v>
      </c>
      <c r="AE26" s="1">
        <v>113884.7604361112</v>
      </c>
      <c r="AF26" s="1">
        <v>99988.411501674258</v>
      </c>
      <c r="AG26" s="1">
        <v>106142.18434112756</v>
      </c>
      <c r="AH26" s="1">
        <v>97329.365244394285</v>
      </c>
      <c r="AI26" s="1">
        <v>105142.13230825451</v>
      </c>
      <c r="AJ26" s="1">
        <v>93760.273021373869</v>
      </c>
      <c r="AK26" s="1">
        <v>87657.588718095678</v>
      </c>
      <c r="AL26" s="1">
        <v>110793.75394103101</v>
      </c>
      <c r="AM26" s="1">
        <v>93272.978134289151</v>
      </c>
      <c r="AN26" s="1">
        <v>105393.52562665154</v>
      </c>
      <c r="AO26" s="1">
        <v>109883.83804894275</v>
      </c>
      <c r="AP26" s="1">
        <v>111843.41539171243</v>
      </c>
      <c r="AQ26" s="1">
        <v>106390.27419082318</v>
      </c>
      <c r="AR26" s="1">
        <v>98288.759583576451</v>
      </c>
      <c r="AS26" s="1">
        <v>99144.447093516064</v>
      </c>
      <c r="AT26" s="1">
        <v>111354.59013958035</v>
      </c>
      <c r="AU26" s="1">
        <v>111607.75674213137</v>
      </c>
      <c r="AV26" s="1">
        <v>111295.88824891321</v>
      </c>
      <c r="AW26" s="1">
        <v>106597.84888478175</v>
      </c>
      <c r="AX26" s="1">
        <v>96689.772759595406</v>
      </c>
      <c r="AY26" s="1">
        <v>109864.9873139852</v>
      </c>
      <c r="AZ26" s="1">
        <v>50567.665624996414</v>
      </c>
      <c r="BA26" s="1">
        <v>93389.594153691374</v>
      </c>
      <c r="BB26" s="1">
        <v>114008.53426083173</v>
      </c>
      <c r="BC26" s="1">
        <v>97749.860141207071</v>
      </c>
      <c r="BD26" s="1">
        <v>105669.20663863528</v>
      </c>
      <c r="BE26" s="1">
        <v>108861.23902863575</v>
      </c>
      <c r="BF26" s="1">
        <v>105959.56365995319</v>
      </c>
      <c r="BG26" s="1">
        <v>94585.433440249792</v>
      </c>
      <c r="BH26" s="1">
        <v>96942.024992273786</v>
      </c>
      <c r="BI26" s="1">
        <v>103291.10762545007</v>
      </c>
      <c r="BJ26" s="1">
        <v>94416.906440391598</v>
      </c>
      <c r="BK26" s="1">
        <v>113634.34247231604</v>
      </c>
      <c r="BL26" s="1">
        <v>85981.963582055192</v>
      </c>
      <c r="BM26" s="1">
        <v>100827.4358989044</v>
      </c>
      <c r="BN26" s="1">
        <v>107331.34732603225</v>
      </c>
      <c r="BO26" s="1">
        <v>108089.95465711522</v>
      </c>
      <c r="BP26" s="1">
        <v>107991.00544576353</v>
      </c>
      <c r="BQ26" s="1">
        <v>91181.748853993588</v>
      </c>
      <c r="BR26" s="1">
        <v>95009.805965278923</v>
      </c>
      <c r="BS26" s="1">
        <v>103734.70577583989</v>
      </c>
      <c r="BT26" s="1">
        <v>89977.972980151302</v>
      </c>
      <c r="BU26" s="1">
        <v>104972.06447416927</v>
      </c>
      <c r="BV26" s="1">
        <v>100198.18703108621</v>
      </c>
      <c r="BW26" s="1">
        <v>97276.19976053093</v>
      </c>
      <c r="BX26" s="1">
        <v>107926.47340770226</v>
      </c>
      <c r="BY26" s="1">
        <v>103211.51547843619</v>
      </c>
      <c r="BZ26" s="1">
        <v>113387.43429471989</v>
      </c>
      <c r="CA26" s="1">
        <v>111688.44198239462</v>
      </c>
      <c r="CB26" s="1">
        <v>99689.633261973329</v>
      </c>
      <c r="CC26" s="1">
        <v>99600.156449544258</v>
      </c>
      <c r="CD26" s="1">
        <v>62097.284844779198</v>
      </c>
      <c r="CE26" s="1">
        <v>108573.04882430137</v>
      </c>
      <c r="CF26" s="1">
        <v>104712.41986438607</v>
      </c>
      <c r="CG26" s="1">
        <v>95821.715866521597</v>
      </c>
      <c r="CH26" s="1">
        <v>110059.54499948614</v>
      </c>
      <c r="CI26" s="1">
        <v>112440.16239890398</v>
      </c>
      <c r="CJ26" s="1">
        <v>95830.765464279844</v>
      </c>
      <c r="CK26" s="1">
        <v>103916.20451631294</v>
      </c>
      <c r="CL26" s="1">
        <v>112964.85784113334</v>
      </c>
      <c r="CM26" s="1">
        <v>96055.98342989813</v>
      </c>
      <c r="CN26" s="1">
        <v>112378.18252752916</v>
      </c>
      <c r="CO26" s="1">
        <v>92032.518953232007</v>
      </c>
      <c r="CP26" s="1">
        <v>99550.836227105407</v>
      </c>
      <c r="CQ26" s="1">
        <v>106140.96651599415</v>
      </c>
      <c r="CR26" s="1">
        <v>100437.2141510673</v>
      </c>
      <c r="CS26" s="1">
        <v>109324.97086522781</v>
      </c>
      <c r="CT26" s="1">
        <v>84963.921990923714</v>
      </c>
      <c r="CU26" s="1">
        <v>96370.848207533694</v>
      </c>
      <c r="CV26" s="1">
        <v>97585.186578305045</v>
      </c>
      <c r="CW26" s="1">
        <v>74250.045836072779</v>
      </c>
    </row>
    <row r="27" spans="1:101" x14ac:dyDescent="0.35">
      <c r="A27">
        <v>202402</v>
      </c>
      <c r="B27" s="1">
        <v>113107.2605256901</v>
      </c>
      <c r="C27" s="1">
        <v>111089.54077148702</v>
      </c>
      <c r="D27" s="1">
        <v>119335.31780984915</v>
      </c>
      <c r="E27" s="1">
        <v>108282.70842930507</v>
      </c>
      <c r="F27" s="1">
        <v>111038.1741042963</v>
      </c>
      <c r="G27" s="1">
        <v>103796.39300359784</v>
      </c>
      <c r="H27" s="1">
        <v>121102.53286920596</v>
      </c>
      <c r="I27" s="1">
        <v>106095.73322982655</v>
      </c>
      <c r="J27" s="1">
        <v>105297.0941571747</v>
      </c>
      <c r="K27" s="1">
        <v>114294.0845764605</v>
      </c>
      <c r="L27" s="1">
        <v>103454.91653145134</v>
      </c>
      <c r="M27" s="1">
        <v>112549.19798252644</v>
      </c>
      <c r="N27" s="1">
        <v>123641.33292008082</v>
      </c>
      <c r="O27" s="1">
        <v>107463.53491479042</v>
      </c>
      <c r="P27" s="1">
        <v>127112.16935323624</v>
      </c>
      <c r="Q27" s="1">
        <v>112807.6614487278</v>
      </c>
      <c r="R27" s="1">
        <v>100249.79876584753</v>
      </c>
      <c r="S27" s="1">
        <v>113692.40564505814</v>
      </c>
      <c r="T27" s="1">
        <v>110536.02865385043</v>
      </c>
      <c r="U27" s="1">
        <v>109633.61883489336</v>
      </c>
      <c r="V27" s="1">
        <v>110160.7599281187</v>
      </c>
      <c r="W27" s="1">
        <v>111121.34413929273</v>
      </c>
      <c r="X27" s="1">
        <v>101373.24858467965</v>
      </c>
      <c r="Y27" s="1">
        <v>115405.10032442078</v>
      </c>
      <c r="Z27" s="1">
        <v>123525.75629269467</v>
      </c>
      <c r="AA27" s="1">
        <v>131410.7835042568</v>
      </c>
      <c r="AB27" s="1">
        <v>120947.28086653251</v>
      </c>
      <c r="AC27" s="1">
        <v>115642.87072073511</v>
      </c>
      <c r="AD27" s="1">
        <v>126820.16020427975</v>
      </c>
      <c r="AE27" s="1">
        <v>129664.7391718096</v>
      </c>
      <c r="AF27" s="1">
        <v>109846.66284599049</v>
      </c>
      <c r="AG27" s="1">
        <v>119249.70879703366</v>
      </c>
      <c r="AH27" s="1">
        <v>113747.06898649507</v>
      </c>
      <c r="AI27" s="1">
        <v>119157.58306934529</v>
      </c>
      <c r="AJ27" s="1">
        <v>107563.74455702171</v>
      </c>
      <c r="AK27" s="1">
        <v>98162.027453492134</v>
      </c>
      <c r="AL27" s="1">
        <v>121755.18633825536</v>
      </c>
      <c r="AM27" s="1">
        <v>102127.01343016414</v>
      </c>
      <c r="AN27" s="1">
        <v>122409.3547313704</v>
      </c>
      <c r="AO27" s="1">
        <v>127231.80489885101</v>
      </c>
      <c r="AP27" s="1">
        <v>125501.74330739652</v>
      </c>
      <c r="AQ27" s="1">
        <v>120756.10373180594</v>
      </c>
      <c r="AR27" s="1">
        <v>116420.76318759665</v>
      </c>
      <c r="AS27" s="1">
        <v>115589.07510180691</v>
      </c>
      <c r="AT27" s="1">
        <v>126196.89961627992</v>
      </c>
      <c r="AU27" s="1">
        <v>128198.17599827949</v>
      </c>
      <c r="AV27" s="1">
        <v>124714.25863279677</v>
      </c>
      <c r="AW27" s="1">
        <v>121162.70691086442</v>
      </c>
      <c r="AX27" s="1">
        <v>111713.09537156145</v>
      </c>
      <c r="AY27" s="1">
        <v>121992.88136501053</v>
      </c>
      <c r="AZ27" s="1">
        <v>57460.071082414732</v>
      </c>
      <c r="BA27" s="1">
        <v>104721.76473902896</v>
      </c>
      <c r="BB27" s="1">
        <v>127926.16450048896</v>
      </c>
      <c r="BC27" s="1">
        <v>113117.64678433932</v>
      </c>
      <c r="BD27" s="1">
        <v>121007.62482573169</v>
      </c>
      <c r="BE27" s="1">
        <v>122300.55155835995</v>
      </c>
      <c r="BF27" s="1">
        <v>125358.07713490046</v>
      </c>
      <c r="BG27" s="1">
        <v>107716.82051058179</v>
      </c>
      <c r="BH27" s="1">
        <v>108252.44475445937</v>
      </c>
      <c r="BI27" s="1">
        <v>119008.39904447545</v>
      </c>
      <c r="BJ27" s="1">
        <v>106575.81328246207</v>
      </c>
      <c r="BK27" s="1">
        <v>123115.83619262493</v>
      </c>
      <c r="BL27" s="1">
        <v>97015.961103062582</v>
      </c>
      <c r="BM27" s="1">
        <v>111650.40092087594</v>
      </c>
      <c r="BN27" s="1">
        <v>117490.98049712702</v>
      </c>
      <c r="BO27" s="1">
        <v>124104.99827064428</v>
      </c>
      <c r="BP27" s="1">
        <v>118291.58989043701</v>
      </c>
      <c r="BQ27" s="1">
        <v>103695.61343046809</v>
      </c>
      <c r="BR27" s="1">
        <v>109610.14833562975</v>
      </c>
      <c r="BS27" s="1">
        <v>119889.3351632367</v>
      </c>
      <c r="BT27" s="1">
        <v>99991.043696640379</v>
      </c>
      <c r="BU27" s="1">
        <v>116642.30816129722</v>
      </c>
      <c r="BV27" s="1">
        <v>113419.66450788788</v>
      </c>
      <c r="BW27" s="1">
        <v>111537.49962626871</v>
      </c>
      <c r="BX27" s="1">
        <v>124133.73693992442</v>
      </c>
      <c r="BY27" s="1">
        <v>116730.46670150387</v>
      </c>
      <c r="BZ27" s="1">
        <v>130943.2525289841</v>
      </c>
      <c r="CA27" s="1">
        <v>127075.73504743486</v>
      </c>
      <c r="CB27" s="1">
        <v>116778.25387520932</v>
      </c>
      <c r="CC27" s="1">
        <v>114355.44866799642</v>
      </c>
      <c r="CD27" s="1">
        <v>70038.919389513831</v>
      </c>
      <c r="CE27" s="1">
        <v>124022.06262529804</v>
      </c>
      <c r="CF27" s="1">
        <v>117198.05485130945</v>
      </c>
      <c r="CG27" s="1">
        <v>107415.62838509493</v>
      </c>
      <c r="CH27" s="1">
        <v>124719.41441723077</v>
      </c>
      <c r="CI27" s="1">
        <v>126310.90109391166</v>
      </c>
      <c r="CJ27" s="1">
        <v>108646.89212191573</v>
      </c>
      <c r="CK27" s="1">
        <v>115983.44597324454</v>
      </c>
      <c r="CL27" s="1">
        <v>127492.74198441536</v>
      </c>
      <c r="CM27" s="1">
        <v>111981.85191945914</v>
      </c>
      <c r="CN27" s="1">
        <v>128123.32598756006</v>
      </c>
      <c r="CO27" s="1">
        <v>101135.70602960199</v>
      </c>
      <c r="CP27" s="1">
        <v>110482.37692194364</v>
      </c>
      <c r="CQ27" s="1">
        <v>121222.71569116626</v>
      </c>
      <c r="CR27" s="1">
        <v>114275.44674163015</v>
      </c>
      <c r="CS27" s="1">
        <v>122894.30193002557</v>
      </c>
      <c r="CT27" s="1">
        <v>98937.81371833889</v>
      </c>
      <c r="CU27" s="1">
        <v>111799.65953690436</v>
      </c>
      <c r="CV27" s="1">
        <v>109819.17976136791</v>
      </c>
      <c r="CW27" s="1">
        <v>81869.542226378457</v>
      </c>
    </row>
    <row r="28" spans="1:101" x14ac:dyDescent="0.35">
      <c r="A28">
        <v>202403</v>
      </c>
      <c r="B28" s="1">
        <v>131631.25444207119</v>
      </c>
      <c r="C28" s="1">
        <v>132554.81487840871</v>
      </c>
      <c r="D28" s="1">
        <v>137812.72772952184</v>
      </c>
      <c r="E28" s="1">
        <v>131290.17514849253</v>
      </c>
      <c r="F28" s="1">
        <v>133118.1455198671</v>
      </c>
      <c r="G28" s="1">
        <v>117404.13059291047</v>
      </c>
      <c r="H28" s="1">
        <v>143293.07628634805</v>
      </c>
      <c r="I28" s="1">
        <v>121040.45741306584</v>
      </c>
      <c r="J28" s="1">
        <v>125255.16688165239</v>
      </c>
      <c r="K28" s="1">
        <v>134914.99422199506</v>
      </c>
      <c r="L28" s="1">
        <v>117362.84553534174</v>
      </c>
      <c r="M28" s="1">
        <v>131686.34496098818</v>
      </c>
      <c r="N28" s="1">
        <v>142544.08538189519</v>
      </c>
      <c r="O28" s="1">
        <v>126954.58783116669</v>
      </c>
      <c r="P28" s="1">
        <v>150074.64718056959</v>
      </c>
      <c r="Q28" s="1">
        <v>138920.53646841439</v>
      </c>
      <c r="R28" s="1">
        <v>117435.65812778602</v>
      </c>
      <c r="S28" s="1">
        <v>134499.72463130663</v>
      </c>
      <c r="T28" s="1">
        <v>134607.80444858974</v>
      </c>
      <c r="U28" s="1">
        <v>125941.54798104137</v>
      </c>
      <c r="V28" s="1">
        <v>127168.81910295194</v>
      </c>
      <c r="W28" s="1">
        <v>136104.92825122413</v>
      </c>
      <c r="X28" s="1">
        <v>122569.85414847784</v>
      </c>
      <c r="Y28" s="1">
        <v>139620.23269404328</v>
      </c>
      <c r="Z28" s="1">
        <v>144438.08566008584</v>
      </c>
      <c r="AA28" s="1">
        <v>150255.58939342646</v>
      </c>
      <c r="AB28" s="1">
        <v>143971.26388634896</v>
      </c>
      <c r="AC28" s="1">
        <v>139497.96938060876</v>
      </c>
      <c r="AD28" s="1">
        <v>145505.25756597961</v>
      </c>
      <c r="AE28" s="1">
        <v>150701.13783644157</v>
      </c>
      <c r="AF28" s="1">
        <v>132329.49140563034</v>
      </c>
      <c r="AG28" s="1">
        <v>138472.1462546566</v>
      </c>
      <c r="AH28" s="1">
        <v>137736.84809810467</v>
      </c>
      <c r="AI28" s="1">
        <v>140617.51454735768</v>
      </c>
      <c r="AJ28" s="1">
        <v>127941.25194372681</v>
      </c>
      <c r="AK28" s="1">
        <v>119826.06502288733</v>
      </c>
      <c r="AL28" s="1">
        <v>144991.98686909952</v>
      </c>
      <c r="AM28" s="1">
        <v>128106.52157669068</v>
      </c>
      <c r="AN28" s="1">
        <v>144433.5955972326</v>
      </c>
      <c r="AO28" s="1">
        <v>150189.53674934997</v>
      </c>
      <c r="AP28" s="1">
        <v>155362.67972450997</v>
      </c>
      <c r="AQ28" s="1">
        <v>144360.41904132551</v>
      </c>
      <c r="AR28" s="1">
        <v>132638.64519155762</v>
      </c>
      <c r="AS28" s="1">
        <v>140791.01587011651</v>
      </c>
      <c r="AT28" s="1">
        <v>148317.05546824212</v>
      </c>
      <c r="AU28" s="1">
        <v>148413.28878890991</v>
      </c>
      <c r="AV28" s="1">
        <v>149260.51210062919</v>
      </c>
      <c r="AW28" s="1">
        <v>143585.50096369404</v>
      </c>
      <c r="AX28" s="1">
        <v>130073.71914233812</v>
      </c>
      <c r="AY28" s="1">
        <v>146659.04024705404</v>
      </c>
      <c r="AZ28" s="1">
        <v>67200.496943983555</v>
      </c>
      <c r="BA28" s="1">
        <v>126062.73278933641</v>
      </c>
      <c r="BB28" s="1">
        <v>153127.42583255193</v>
      </c>
      <c r="BC28" s="1">
        <v>122026.78856066111</v>
      </c>
      <c r="BD28" s="1">
        <v>140636.78090000292</v>
      </c>
      <c r="BE28" s="1">
        <v>143247.40461060769</v>
      </c>
      <c r="BF28" s="1">
        <v>147840.67921318088</v>
      </c>
      <c r="BG28" s="1">
        <v>131290.4016946771</v>
      </c>
      <c r="BH28" s="1">
        <v>131779.89738911833</v>
      </c>
      <c r="BI28" s="1">
        <v>140057.68391489517</v>
      </c>
      <c r="BJ28" s="1">
        <v>129712.21207236395</v>
      </c>
      <c r="BK28" s="1">
        <v>151178.83968158293</v>
      </c>
      <c r="BL28" s="1">
        <v>112649.42399472291</v>
      </c>
      <c r="BM28" s="1">
        <v>137433.17598764456</v>
      </c>
      <c r="BN28" s="1">
        <v>144043.12546110526</v>
      </c>
      <c r="BO28" s="1">
        <v>148569.58113725306</v>
      </c>
      <c r="BP28" s="1">
        <v>147429.68077245791</v>
      </c>
      <c r="BQ28" s="1">
        <v>123273.78949242807</v>
      </c>
      <c r="BR28" s="1">
        <v>130518.9920854634</v>
      </c>
      <c r="BS28" s="1">
        <v>139971.73935289486</v>
      </c>
      <c r="BT28" s="1">
        <v>121941.78906046147</v>
      </c>
      <c r="BU28" s="1">
        <v>138267.74633705954</v>
      </c>
      <c r="BV28" s="1">
        <v>130095.10358649478</v>
      </c>
      <c r="BW28" s="1">
        <v>129205.09257496124</v>
      </c>
      <c r="BX28" s="1">
        <v>144139.61940576616</v>
      </c>
      <c r="BY28" s="1">
        <v>141013.62716033688</v>
      </c>
      <c r="BZ28" s="1">
        <v>152487.33586491933</v>
      </c>
      <c r="CA28" s="1">
        <v>150603.71733932314</v>
      </c>
      <c r="CB28" s="1">
        <v>137007.34238332766</v>
      </c>
      <c r="CC28" s="1">
        <v>137031.11666455839</v>
      </c>
      <c r="CD28" s="1">
        <v>85147.020946143617</v>
      </c>
      <c r="CE28" s="1">
        <v>149849.54680276607</v>
      </c>
      <c r="CF28" s="1">
        <v>138725.9459142969</v>
      </c>
      <c r="CG28" s="1">
        <v>123300.10105583981</v>
      </c>
      <c r="CH28" s="1">
        <v>148074.88492256592</v>
      </c>
      <c r="CI28" s="1">
        <v>147801.71556069085</v>
      </c>
      <c r="CJ28" s="1">
        <v>127559.2334520483</v>
      </c>
      <c r="CK28" s="1">
        <v>138484.26520728762</v>
      </c>
      <c r="CL28" s="1">
        <v>153908.66005087164</v>
      </c>
      <c r="CM28" s="1">
        <v>128771.69847763712</v>
      </c>
      <c r="CN28" s="1">
        <v>149581.05213671201</v>
      </c>
      <c r="CO28" s="1">
        <v>123575.17146307327</v>
      </c>
      <c r="CP28" s="1">
        <v>131261.50450952022</v>
      </c>
      <c r="CQ28" s="1">
        <v>139073.46001025737</v>
      </c>
      <c r="CR28" s="1">
        <v>128898.93182153472</v>
      </c>
      <c r="CS28" s="1">
        <v>145241.62037943813</v>
      </c>
      <c r="CT28" s="1">
        <v>115194.01801427022</v>
      </c>
      <c r="CU28" s="1">
        <v>130474.9352787353</v>
      </c>
      <c r="CV28" s="1">
        <v>128697.42995949578</v>
      </c>
      <c r="CW28" s="1">
        <v>100651.83566266125</v>
      </c>
    </row>
    <row r="29" spans="1:101" x14ac:dyDescent="0.35">
      <c r="A29">
        <v>202404</v>
      </c>
      <c r="B29" s="1">
        <v>158842.43009824082</v>
      </c>
      <c r="C29" s="1">
        <v>155973.31065008679</v>
      </c>
      <c r="D29" s="1">
        <v>162357.15788583737</v>
      </c>
      <c r="E29" s="1">
        <v>148224.90381065768</v>
      </c>
      <c r="F29" s="1">
        <v>157345.72423776539</v>
      </c>
      <c r="G29" s="1">
        <v>141446.12080146724</v>
      </c>
      <c r="H29" s="1">
        <v>162707.31416583279</v>
      </c>
      <c r="I29" s="1">
        <v>138871.13922130602</v>
      </c>
      <c r="J29" s="1">
        <v>151314.0807690006</v>
      </c>
      <c r="K29" s="1">
        <v>154047.61905633807</v>
      </c>
      <c r="L29" s="1">
        <v>139370.16972465577</v>
      </c>
      <c r="M29" s="1">
        <v>156777.51000553218</v>
      </c>
      <c r="N29" s="1">
        <v>164618.76483863656</v>
      </c>
      <c r="O29" s="1">
        <v>147643.0532847218</v>
      </c>
      <c r="P29" s="1">
        <v>165980.10173163319</v>
      </c>
      <c r="Q29" s="1">
        <v>156325.02848847845</v>
      </c>
      <c r="R29" s="1">
        <v>137913.30208929881</v>
      </c>
      <c r="S29" s="1">
        <v>156268.5714077662</v>
      </c>
      <c r="T29" s="1">
        <v>151111.72489409242</v>
      </c>
      <c r="U29" s="1">
        <v>149917.84187699156</v>
      </c>
      <c r="V29" s="1">
        <v>151649.68269443433</v>
      </c>
      <c r="W29" s="1">
        <v>155193.1807947045</v>
      </c>
      <c r="X29" s="1">
        <v>147273.29702815993</v>
      </c>
      <c r="Y29" s="1">
        <v>163348.36153590446</v>
      </c>
      <c r="Z29" s="1">
        <v>168906.45020266582</v>
      </c>
      <c r="AA29" s="1">
        <v>173636.31443088417</v>
      </c>
      <c r="AB29" s="1">
        <v>167742.91286004972</v>
      </c>
      <c r="AC29" s="1">
        <v>159947.35216683627</v>
      </c>
      <c r="AD29" s="1">
        <v>170810.03213348769</v>
      </c>
      <c r="AE29" s="1">
        <v>172906.49025537926</v>
      </c>
      <c r="AF29" s="1">
        <v>154050.60084974047</v>
      </c>
      <c r="AG29" s="1">
        <v>166711.81978063728</v>
      </c>
      <c r="AH29" s="1">
        <v>151461.31924202022</v>
      </c>
      <c r="AI29" s="1">
        <v>167135.09649890722</v>
      </c>
      <c r="AJ29" s="1">
        <v>145281.60869395614</v>
      </c>
      <c r="AK29" s="1">
        <v>139797.84373685252</v>
      </c>
      <c r="AL29" s="1">
        <v>174467.47837328745</v>
      </c>
      <c r="AM29" s="1">
        <v>141502.10647627691</v>
      </c>
      <c r="AN29" s="1">
        <v>167452.45559182193</v>
      </c>
      <c r="AO29" s="1">
        <v>171400.40026685424</v>
      </c>
      <c r="AP29" s="1">
        <v>178724.73590333294</v>
      </c>
      <c r="AQ29" s="1">
        <v>174226.61695793329</v>
      </c>
      <c r="AR29" s="1">
        <v>157604.82638997311</v>
      </c>
      <c r="AS29" s="1">
        <v>157118.21579220332</v>
      </c>
      <c r="AT29" s="1">
        <v>171736.30617742153</v>
      </c>
      <c r="AU29" s="1">
        <v>168024.90280271755</v>
      </c>
      <c r="AV29" s="1">
        <v>172141.28547201815</v>
      </c>
      <c r="AW29" s="1">
        <v>170412.07820290892</v>
      </c>
      <c r="AX29" s="1">
        <v>144536.38818188294</v>
      </c>
      <c r="AY29" s="1">
        <v>168123.2889560514</v>
      </c>
      <c r="AZ29" s="1">
        <v>77153.726869388207</v>
      </c>
      <c r="BA29" s="1">
        <v>144328.12828372454</v>
      </c>
      <c r="BB29" s="1">
        <v>173557.13609339183</v>
      </c>
      <c r="BC29" s="1">
        <v>148218.29109352516</v>
      </c>
      <c r="BD29" s="1">
        <v>165438.99554118488</v>
      </c>
      <c r="BE29" s="1">
        <v>167093.07309850302</v>
      </c>
      <c r="BF29" s="1">
        <v>168897.76611432264</v>
      </c>
      <c r="BG29" s="1">
        <v>149670.02665744588</v>
      </c>
      <c r="BH29" s="1">
        <v>152130.41452574657</v>
      </c>
      <c r="BI29" s="1">
        <v>168078.67803947107</v>
      </c>
      <c r="BJ29" s="1">
        <v>150431.84917788772</v>
      </c>
      <c r="BK29" s="1">
        <v>172915.26524707981</v>
      </c>
      <c r="BL29" s="1">
        <v>135950.65515285637</v>
      </c>
      <c r="BM29" s="1">
        <v>157824.63488501529</v>
      </c>
      <c r="BN29" s="1">
        <v>167874.24946634527</v>
      </c>
      <c r="BO29" s="1">
        <v>171044.95321386703</v>
      </c>
      <c r="BP29" s="1">
        <v>165609.43343790839</v>
      </c>
      <c r="BQ29" s="1">
        <v>140527.69101682623</v>
      </c>
      <c r="BR29" s="1">
        <v>151971.42560576156</v>
      </c>
      <c r="BS29" s="1">
        <v>168244.44426110599</v>
      </c>
      <c r="BT29" s="1">
        <v>136882.62168880354</v>
      </c>
      <c r="BU29" s="1">
        <v>160575.12802556314</v>
      </c>
      <c r="BV29" s="1">
        <v>161174.33022250628</v>
      </c>
      <c r="BW29" s="1">
        <v>151000.94974234389</v>
      </c>
      <c r="BX29" s="1">
        <v>172978.41178183723</v>
      </c>
      <c r="BY29" s="1">
        <v>153543.97952678226</v>
      </c>
      <c r="BZ29" s="1">
        <v>177852.37880995407</v>
      </c>
      <c r="CA29" s="1">
        <v>176807.51909688985</v>
      </c>
      <c r="CB29" s="1">
        <v>151380.81891463898</v>
      </c>
      <c r="CC29" s="1">
        <v>164085.72170122905</v>
      </c>
      <c r="CD29" s="1">
        <v>96818.600670218759</v>
      </c>
      <c r="CE29" s="1">
        <v>166007.34397152762</v>
      </c>
      <c r="CF29" s="1">
        <v>161549.05809661563</v>
      </c>
      <c r="CG29" s="1">
        <v>150823.21167386411</v>
      </c>
      <c r="CH29" s="1">
        <v>172263.20932768597</v>
      </c>
      <c r="CI29" s="1">
        <v>172186.6216801886</v>
      </c>
      <c r="CJ29" s="1">
        <v>150346.79354872752</v>
      </c>
      <c r="CK29" s="1">
        <v>162866.8258425422</v>
      </c>
      <c r="CL29" s="1">
        <v>178302.69007615108</v>
      </c>
      <c r="CM29" s="1">
        <v>152788.70913026869</v>
      </c>
      <c r="CN29" s="1">
        <v>175122.38128791007</v>
      </c>
      <c r="CO29" s="1">
        <v>140037.250172776</v>
      </c>
      <c r="CP29" s="1">
        <v>151101.99415926469</v>
      </c>
      <c r="CQ29" s="1">
        <v>163231.48642292438</v>
      </c>
      <c r="CR29" s="1">
        <v>155762.05820218887</v>
      </c>
      <c r="CS29" s="1">
        <v>165492.29058054808</v>
      </c>
      <c r="CT29" s="1">
        <v>132569.25864816902</v>
      </c>
      <c r="CU29" s="1">
        <v>153260.60605314674</v>
      </c>
      <c r="CV29" s="1">
        <v>152589.17897556108</v>
      </c>
      <c r="CW29" s="1">
        <v>110396.34018610846</v>
      </c>
    </row>
    <row r="30" spans="1:101" x14ac:dyDescent="0.35">
      <c r="A30">
        <v>202405</v>
      </c>
      <c r="B30" s="1">
        <v>169870.45085627842</v>
      </c>
      <c r="C30" s="1">
        <v>176288.34887629977</v>
      </c>
      <c r="D30" s="1">
        <v>177173.29875328118</v>
      </c>
      <c r="E30" s="1">
        <v>166944.01046384068</v>
      </c>
      <c r="F30" s="1">
        <v>174028.95661063536</v>
      </c>
      <c r="G30" s="1">
        <v>154904.23449148974</v>
      </c>
      <c r="H30" s="1">
        <v>184428.41257275941</v>
      </c>
      <c r="I30" s="1">
        <v>157205.28983205391</v>
      </c>
      <c r="J30" s="1">
        <v>166759.32597828805</v>
      </c>
      <c r="K30" s="1">
        <v>171701.65508514771</v>
      </c>
      <c r="L30" s="1">
        <v>155611.26234668458</v>
      </c>
      <c r="M30" s="1">
        <v>167700.58603156629</v>
      </c>
      <c r="N30" s="1">
        <v>187875.90022048992</v>
      </c>
      <c r="O30" s="1">
        <v>169156.59422284414</v>
      </c>
      <c r="P30" s="1">
        <v>190762.92275035862</v>
      </c>
      <c r="Q30" s="1">
        <v>174856.3097612237</v>
      </c>
      <c r="R30" s="1">
        <v>157162.14331232128</v>
      </c>
      <c r="S30" s="1">
        <v>173176.3388507998</v>
      </c>
      <c r="T30" s="1">
        <v>171900.44339517361</v>
      </c>
      <c r="U30" s="1">
        <v>170474.92331590076</v>
      </c>
      <c r="V30" s="1">
        <v>163197.79317448445</v>
      </c>
      <c r="W30" s="1">
        <v>169808.50795230339</v>
      </c>
      <c r="X30" s="1">
        <v>158376.2736489056</v>
      </c>
      <c r="Y30" s="1">
        <v>175997.78420200618</v>
      </c>
      <c r="Z30" s="1">
        <v>184317.35156203399</v>
      </c>
      <c r="AA30" s="1">
        <v>197164.66576751648</v>
      </c>
      <c r="AB30" s="1">
        <v>184170.55770114835</v>
      </c>
      <c r="AC30" s="1">
        <v>177135.29780847492</v>
      </c>
      <c r="AD30" s="1">
        <v>188227.3840103244</v>
      </c>
      <c r="AE30" s="1">
        <v>192619.36424494232</v>
      </c>
      <c r="AF30" s="1">
        <v>168879.50591368283</v>
      </c>
      <c r="AG30" s="1">
        <v>182966.26795469582</v>
      </c>
      <c r="AH30" s="1">
        <v>170089.99528110161</v>
      </c>
      <c r="AI30" s="1">
        <v>183923.31291979415</v>
      </c>
      <c r="AJ30" s="1">
        <v>159076.27517509056</v>
      </c>
      <c r="AK30" s="1">
        <v>152007.56645512342</v>
      </c>
      <c r="AL30" s="1">
        <v>182733.57103827453</v>
      </c>
      <c r="AM30" s="1">
        <v>158966.53669850258</v>
      </c>
      <c r="AN30" s="1">
        <v>185737.1944164017</v>
      </c>
      <c r="AO30" s="1">
        <v>188103.69904323071</v>
      </c>
      <c r="AP30" s="1">
        <v>196165.02685203825</v>
      </c>
      <c r="AQ30" s="1">
        <v>183606.55334603233</v>
      </c>
      <c r="AR30" s="1">
        <v>171963.81323152172</v>
      </c>
      <c r="AS30" s="1">
        <v>178950.43201075864</v>
      </c>
      <c r="AT30" s="1">
        <v>186075.42001255412</v>
      </c>
      <c r="AU30" s="1">
        <v>188895.37124386735</v>
      </c>
      <c r="AV30" s="1">
        <v>187196.26972663906</v>
      </c>
      <c r="AW30" s="1">
        <v>185673.92463225691</v>
      </c>
      <c r="AX30" s="1">
        <v>165663.82236094555</v>
      </c>
      <c r="AY30" s="1">
        <v>187253.306973589</v>
      </c>
      <c r="AZ30" s="1">
        <v>82012.775151007518</v>
      </c>
      <c r="BA30" s="1">
        <v>162780.9510309287</v>
      </c>
      <c r="BB30" s="1">
        <v>194592.52792591427</v>
      </c>
      <c r="BC30" s="1">
        <v>165130.65786682945</v>
      </c>
      <c r="BD30" s="1">
        <v>181979.49509932686</v>
      </c>
      <c r="BE30" s="1">
        <v>188472.28484099213</v>
      </c>
      <c r="BF30" s="1">
        <v>190592.76383969051</v>
      </c>
      <c r="BG30" s="1">
        <v>167243.13667025426</v>
      </c>
      <c r="BH30" s="1">
        <v>171881.09173860849</v>
      </c>
      <c r="BI30" s="1">
        <v>183357.87511115576</v>
      </c>
      <c r="BJ30" s="1">
        <v>163570.31052721638</v>
      </c>
      <c r="BK30" s="1">
        <v>187686.65585568213</v>
      </c>
      <c r="BL30" s="1">
        <v>142469.8604115519</v>
      </c>
      <c r="BM30" s="1">
        <v>171689.62832445238</v>
      </c>
      <c r="BN30" s="1">
        <v>185446.10332625196</v>
      </c>
      <c r="BO30" s="1">
        <v>187059.36680116516</v>
      </c>
      <c r="BP30" s="1">
        <v>182531.4604357848</v>
      </c>
      <c r="BQ30" s="1">
        <v>152463.27524003378</v>
      </c>
      <c r="BR30" s="1">
        <v>163678.2833217778</v>
      </c>
      <c r="BS30" s="1">
        <v>182523.21781688655</v>
      </c>
      <c r="BT30" s="1">
        <v>151806.69407543962</v>
      </c>
      <c r="BU30" s="1">
        <v>175061.82567599198</v>
      </c>
      <c r="BV30" s="1">
        <v>171461.23138588684</v>
      </c>
      <c r="BW30" s="1">
        <v>169056.44592169891</v>
      </c>
      <c r="BX30" s="1">
        <v>194122.46446214168</v>
      </c>
      <c r="BY30" s="1">
        <v>177169.99449553149</v>
      </c>
      <c r="BZ30" s="1">
        <v>199141.73825063591</v>
      </c>
      <c r="CA30" s="1">
        <v>197398.30798431276</v>
      </c>
      <c r="CB30" s="1">
        <v>171931.08249211361</v>
      </c>
      <c r="CC30" s="1">
        <v>181407.80679103918</v>
      </c>
      <c r="CD30" s="1">
        <v>111296.66804125205</v>
      </c>
      <c r="CE30" s="1">
        <v>188741.55675743311</v>
      </c>
      <c r="CF30" s="1">
        <v>175704.75975838036</v>
      </c>
      <c r="CG30" s="1">
        <v>161237.8201668463</v>
      </c>
      <c r="CH30" s="1">
        <v>190964.41159358711</v>
      </c>
      <c r="CI30" s="1">
        <v>195413.30933815707</v>
      </c>
      <c r="CJ30" s="1">
        <v>165688.68838930217</v>
      </c>
      <c r="CK30" s="1">
        <v>177395.64634965471</v>
      </c>
      <c r="CL30" s="1">
        <v>192629.69284311356</v>
      </c>
      <c r="CM30" s="1">
        <v>164698.10019843097</v>
      </c>
      <c r="CN30" s="1">
        <v>189447.24419013926</v>
      </c>
      <c r="CO30" s="1">
        <v>154361.08312634574</v>
      </c>
      <c r="CP30" s="1">
        <v>168333.23751989755</v>
      </c>
      <c r="CQ30" s="1">
        <v>183293.52893567854</v>
      </c>
      <c r="CR30" s="1">
        <v>167661.11934621903</v>
      </c>
      <c r="CS30" s="1">
        <v>185292.66303117067</v>
      </c>
      <c r="CT30" s="1">
        <v>151103.90248217128</v>
      </c>
      <c r="CU30" s="1">
        <v>163593.17479499316</v>
      </c>
      <c r="CV30" s="1">
        <v>167357.31227994573</v>
      </c>
      <c r="CW30" s="1">
        <v>125111.68487418297</v>
      </c>
    </row>
    <row r="31" spans="1:101" x14ac:dyDescent="0.35">
      <c r="A31">
        <v>202406</v>
      </c>
      <c r="B31" s="1">
        <v>181106.24450881331</v>
      </c>
      <c r="C31" s="1">
        <v>183045.88427774637</v>
      </c>
      <c r="D31" s="1">
        <v>183056.50027720444</v>
      </c>
      <c r="E31" s="1">
        <v>174670.41755944799</v>
      </c>
      <c r="F31" s="1">
        <v>177459.66997683383</v>
      </c>
      <c r="G31" s="1">
        <v>159324.06745915781</v>
      </c>
      <c r="H31" s="1">
        <v>194017.15217015072</v>
      </c>
      <c r="I31" s="1">
        <v>160321.85055780126</v>
      </c>
      <c r="J31" s="1">
        <v>171001.70131526815</v>
      </c>
      <c r="K31" s="1">
        <v>178997.4573764503</v>
      </c>
      <c r="L31" s="1">
        <v>160071.15265342974</v>
      </c>
      <c r="M31" s="1">
        <v>179504.49030550668</v>
      </c>
      <c r="N31" s="1">
        <v>193479.32751931515</v>
      </c>
      <c r="O31" s="1">
        <v>178196.43496319465</v>
      </c>
      <c r="P31" s="1">
        <v>196878.33449067583</v>
      </c>
      <c r="Q31" s="1">
        <v>181177.46927918729</v>
      </c>
      <c r="R31" s="1">
        <v>161067.48799699396</v>
      </c>
      <c r="S31" s="1">
        <v>186448.70420587593</v>
      </c>
      <c r="T31" s="1">
        <v>171908.68225457182</v>
      </c>
      <c r="U31" s="1">
        <v>161664.59539258867</v>
      </c>
      <c r="V31" s="1">
        <v>173620.64686911975</v>
      </c>
      <c r="W31" s="1">
        <v>183107.7012060587</v>
      </c>
      <c r="X31" s="1">
        <v>172253.81341310361</v>
      </c>
      <c r="Y31" s="1">
        <v>190885.05892871469</v>
      </c>
      <c r="Z31" s="1">
        <v>188832.20652258815</v>
      </c>
      <c r="AA31" s="1">
        <v>202391.32616240915</v>
      </c>
      <c r="AB31" s="1">
        <v>187661.83016327559</v>
      </c>
      <c r="AC31" s="1">
        <v>184503.21330505144</v>
      </c>
      <c r="AD31" s="1">
        <v>189055.87849704843</v>
      </c>
      <c r="AE31" s="1">
        <v>204746.39665077729</v>
      </c>
      <c r="AF31" s="1">
        <v>176418.90936319748</v>
      </c>
      <c r="AG31" s="1">
        <v>194372.08560243499</v>
      </c>
      <c r="AH31" s="1">
        <v>176101.94710130687</v>
      </c>
      <c r="AI31" s="1">
        <v>185391.02045701357</v>
      </c>
      <c r="AJ31" s="1">
        <v>165200.60816233858</v>
      </c>
      <c r="AK31" s="1">
        <v>160685.4092407618</v>
      </c>
      <c r="AL31" s="1">
        <v>192308.15690825944</v>
      </c>
      <c r="AM31" s="1">
        <v>169023.66858975968</v>
      </c>
      <c r="AN31" s="1">
        <v>198656.94169873893</v>
      </c>
      <c r="AO31" s="1">
        <v>201409.55685183257</v>
      </c>
      <c r="AP31" s="1">
        <v>203422.4353886586</v>
      </c>
      <c r="AQ31" s="1">
        <v>187683.13439454039</v>
      </c>
      <c r="AR31" s="1">
        <v>173394.58669084657</v>
      </c>
      <c r="AS31" s="1">
        <v>175194.48734159197</v>
      </c>
      <c r="AT31" s="1">
        <v>193023.46699429286</v>
      </c>
      <c r="AU31" s="1">
        <v>193115.83166120818</v>
      </c>
      <c r="AV31" s="1">
        <v>195158.72938623722</v>
      </c>
      <c r="AW31" s="1">
        <v>192527.37445485979</v>
      </c>
      <c r="AX31" s="1">
        <v>171454.95048727843</v>
      </c>
      <c r="AY31" s="1">
        <v>193537.85891881166</v>
      </c>
      <c r="AZ31" s="1">
        <v>88517.316629005465</v>
      </c>
      <c r="BA31" s="1">
        <v>165241.29557332007</v>
      </c>
      <c r="BB31" s="1">
        <v>199820.51984455311</v>
      </c>
      <c r="BC31" s="1">
        <v>166456.26550132217</v>
      </c>
      <c r="BD31" s="1">
        <v>185450.32540187583</v>
      </c>
      <c r="BE31" s="1">
        <v>187952.67408976026</v>
      </c>
      <c r="BF31" s="1">
        <v>195086.15664129311</v>
      </c>
      <c r="BG31" s="1">
        <v>171834.58175367257</v>
      </c>
      <c r="BH31" s="1">
        <v>178675.38581606935</v>
      </c>
      <c r="BI31" s="1">
        <v>186136.81160758174</v>
      </c>
      <c r="BJ31" s="1">
        <v>172186.52353066695</v>
      </c>
      <c r="BK31" s="1">
        <v>199103.00721181935</v>
      </c>
      <c r="BL31" s="1">
        <v>155694.30910178373</v>
      </c>
      <c r="BM31" s="1">
        <v>179432.53112103214</v>
      </c>
      <c r="BN31" s="1">
        <v>190439.05954142226</v>
      </c>
      <c r="BO31" s="1">
        <v>197274.46221678029</v>
      </c>
      <c r="BP31" s="1">
        <v>195334.82993684395</v>
      </c>
      <c r="BQ31" s="1">
        <v>160001.87606645003</v>
      </c>
      <c r="BR31" s="1">
        <v>169795.49625447695</v>
      </c>
      <c r="BS31" s="1">
        <v>192997.8708867126</v>
      </c>
      <c r="BT31" s="1">
        <v>161072.51586738112</v>
      </c>
      <c r="BU31" s="1">
        <v>179090.76242338435</v>
      </c>
      <c r="BV31" s="1">
        <v>176255.79276198079</v>
      </c>
      <c r="BW31" s="1">
        <v>171723.05846563677</v>
      </c>
      <c r="BX31" s="1">
        <v>199663.19423260773</v>
      </c>
      <c r="BY31" s="1">
        <v>186590.75555214865</v>
      </c>
      <c r="BZ31" s="1">
        <v>200741.32984561336</v>
      </c>
      <c r="CA31" s="1">
        <v>202728.07147254961</v>
      </c>
      <c r="CB31" s="1">
        <v>180851.10357382722</v>
      </c>
      <c r="CC31" s="1">
        <v>188761.34347650976</v>
      </c>
      <c r="CD31" s="1">
        <v>113554.99037285343</v>
      </c>
      <c r="CE31" s="1">
        <v>195545.75280979706</v>
      </c>
      <c r="CF31" s="1">
        <v>186152.37303150646</v>
      </c>
      <c r="CG31" s="1">
        <v>166712.93448649865</v>
      </c>
      <c r="CH31" s="1">
        <v>198695.10404606012</v>
      </c>
      <c r="CI31" s="1">
        <v>203369.65731690725</v>
      </c>
      <c r="CJ31" s="1">
        <v>176414.3434995799</v>
      </c>
      <c r="CK31" s="1">
        <v>183272.83424245493</v>
      </c>
      <c r="CL31" s="1">
        <v>197546.36837412996</v>
      </c>
      <c r="CM31" s="1">
        <v>171748.65667581215</v>
      </c>
      <c r="CN31" s="1">
        <v>197356.7520123409</v>
      </c>
      <c r="CO31" s="1">
        <v>163492.14847409146</v>
      </c>
      <c r="CP31" s="1">
        <v>173485.05079005644</v>
      </c>
      <c r="CQ31" s="1">
        <v>187375.28037647417</v>
      </c>
      <c r="CR31" s="1">
        <v>177029.57133461849</v>
      </c>
      <c r="CS31" s="1">
        <v>199239.07678147714</v>
      </c>
      <c r="CT31" s="1">
        <v>149836.66061106982</v>
      </c>
      <c r="CU31" s="1">
        <v>176920.07359217611</v>
      </c>
      <c r="CV31" s="1">
        <v>171640.55465883852</v>
      </c>
      <c r="CW31" s="1">
        <v>126368.77913285459</v>
      </c>
    </row>
    <row r="32" spans="1:101" x14ac:dyDescent="0.35">
      <c r="A32">
        <v>202407</v>
      </c>
      <c r="B32" s="1">
        <v>190377.08954558871</v>
      </c>
      <c r="C32" s="1">
        <v>189379.8148420096</v>
      </c>
      <c r="D32" s="1">
        <v>192435.32693184845</v>
      </c>
      <c r="E32" s="1">
        <v>176660.73167377722</v>
      </c>
      <c r="F32" s="1">
        <v>187142.63648498352</v>
      </c>
      <c r="G32" s="1">
        <v>169048.11600864388</v>
      </c>
      <c r="H32" s="1">
        <v>197067.78328892312</v>
      </c>
      <c r="I32" s="1">
        <v>167029.94086645308</v>
      </c>
      <c r="J32" s="1">
        <v>171746.68774859043</v>
      </c>
      <c r="K32" s="1">
        <v>183977.38869110451</v>
      </c>
      <c r="L32" s="1">
        <v>159360.71870248925</v>
      </c>
      <c r="M32" s="1">
        <v>183756.30928199962</v>
      </c>
      <c r="N32" s="1">
        <v>197040.57050039657</v>
      </c>
      <c r="O32" s="1">
        <v>178716.07665634074</v>
      </c>
      <c r="P32" s="1">
        <v>201381.75520604433</v>
      </c>
      <c r="Q32" s="1">
        <v>185991.54991132708</v>
      </c>
      <c r="R32" s="1">
        <v>167005.13257598985</v>
      </c>
      <c r="S32" s="1">
        <v>198025.98419151982</v>
      </c>
      <c r="T32" s="1">
        <v>184826.02545291066</v>
      </c>
      <c r="U32" s="1">
        <v>171848.45774661674</v>
      </c>
      <c r="V32" s="1">
        <v>177576.67267010381</v>
      </c>
      <c r="W32" s="1">
        <v>184956.96790287615</v>
      </c>
      <c r="X32" s="1">
        <v>167212.75131385867</v>
      </c>
      <c r="Y32" s="1">
        <v>189108.89911977237</v>
      </c>
      <c r="Z32" s="1">
        <v>201979.91291341293</v>
      </c>
      <c r="AA32" s="1">
        <v>210234.83863088992</v>
      </c>
      <c r="AB32" s="1">
        <v>199187.30319359057</v>
      </c>
      <c r="AC32" s="1">
        <v>195147.3038472133</v>
      </c>
      <c r="AD32" s="1">
        <v>199260.38281568504</v>
      </c>
      <c r="AE32" s="1">
        <v>205164.72110919902</v>
      </c>
      <c r="AF32" s="1">
        <v>178536.84032678924</v>
      </c>
      <c r="AG32" s="1">
        <v>197207.44479683953</v>
      </c>
      <c r="AH32" s="1">
        <v>175359.60632208243</v>
      </c>
      <c r="AI32" s="1">
        <v>192214.84486446003</v>
      </c>
      <c r="AJ32" s="1">
        <v>172421.61063148457</v>
      </c>
      <c r="AK32" s="1">
        <v>164840.21869844612</v>
      </c>
      <c r="AL32" s="1">
        <v>201415.42524045607</v>
      </c>
      <c r="AM32" s="1">
        <v>171052.03696906962</v>
      </c>
      <c r="AN32" s="1">
        <v>203264.925530062</v>
      </c>
      <c r="AO32" s="1">
        <v>206447.76783311236</v>
      </c>
      <c r="AP32" s="1">
        <v>198054.99460252095</v>
      </c>
      <c r="AQ32" s="1">
        <v>198748.49503170027</v>
      </c>
      <c r="AR32" s="1">
        <v>185009.75691362674</v>
      </c>
      <c r="AS32" s="1">
        <v>186613.82157754188</v>
      </c>
      <c r="AT32" s="1">
        <v>202013.56852540711</v>
      </c>
      <c r="AU32" s="1">
        <v>202846.68515838205</v>
      </c>
      <c r="AV32" s="1">
        <v>201488.64804896584</v>
      </c>
      <c r="AW32" s="1">
        <v>196209.5082769997</v>
      </c>
      <c r="AX32" s="1">
        <v>177543.61314585243</v>
      </c>
      <c r="AY32" s="1">
        <v>196975.12965861376</v>
      </c>
      <c r="AZ32" s="1">
        <v>93183.329422521478</v>
      </c>
      <c r="BA32" s="1">
        <v>172121.62193539063</v>
      </c>
      <c r="BB32" s="1">
        <v>211795.7902414033</v>
      </c>
      <c r="BC32" s="1">
        <v>178632.2270489177</v>
      </c>
      <c r="BD32" s="1">
        <v>191706.45763077604</v>
      </c>
      <c r="BE32" s="1">
        <v>200020.64255739996</v>
      </c>
      <c r="BF32" s="1">
        <v>199981.41388327588</v>
      </c>
      <c r="BG32" s="1">
        <v>175175.70622742319</v>
      </c>
      <c r="BH32" s="1">
        <v>179458.44074110364</v>
      </c>
      <c r="BI32" s="1">
        <v>197917.9983256722</v>
      </c>
      <c r="BJ32" s="1">
        <v>174964.41022198173</v>
      </c>
      <c r="BK32" s="1">
        <v>203514.12904907181</v>
      </c>
      <c r="BL32" s="1">
        <v>160614.04818869501</v>
      </c>
      <c r="BM32" s="1">
        <v>192103.86710229749</v>
      </c>
      <c r="BN32" s="1">
        <v>197601.07510028215</v>
      </c>
      <c r="BO32" s="1">
        <v>201888.98912395205</v>
      </c>
      <c r="BP32" s="1">
        <v>195940.97471312154</v>
      </c>
      <c r="BQ32" s="1">
        <v>163893.15535130232</v>
      </c>
      <c r="BR32" s="1">
        <v>179803.46682040885</v>
      </c>
      <c r="BS32" s="1">
        <v>193697.12989121661</v>
      </c>
      <c r="BT32" s="1">
        <v>164130.5968667524</v>
      </c>
      <c r="BU32" s="1">
        <v>191010.77074012786</v>
      </c>
      <c r="BV32" s="1">
        <v>178936.7554929039</v>
      </c>
      <c r="BW32" s="1">
        <v>182237.48044255126</v>
      </c>
      <c r="BX32" s="1">
        <v>203492.43767355467</v>
      </c>
      <c r="BY32" s="1">
        <v>192809.95504863921</v>
      </c>
      <c r="BZ32" s="1">
        <v>205668.75182397169</v>
      </c>
      <c r="CA32" s="1">
        <v>204253.66590112876</v>
      </c>
      <c r="CB32" s="1">
        <v>184908.41542906401</v>
      </c>
      <c r="CC32" s="1">
        <v>187409.97001173926</v>
      </c>
      <c r="CD32" s="1">
        <v>116838.44641872507</v>
      </c>
      <c r="CE32" s="1">
        <v>194797.92416290028</v>
      </c>
      <c r="CF32" s="1">
        <v>190997.75222616782</v>
      </c>
      <c r="CG32" s="1">
        <v>172323.35214983969</v>
      </c>
      <c r="CH32" s="1">
        <v>202213.82547717248</v>
      </c>
      <c r="CI32" s="1">
        <v>206898.5656958895</v>
      </c>
      <c r="CJ32" s="1">
        <v>174186.38255979115</v>
      </c>
      <c r="CK32" s="1">
        <v>188482.87283178183</v>
      </c>
      <c r="CL32" s="1">
        <v>206240.4682961239</v>
      </c>
      <c r="CM32" s="1">
        <v>175841.94147513574</v>
      </c>
      <c r="CN32" s="1">
        <v>202021.42937286696</v>
      </c>
      <c r="CO32" s="1">
        <v>167803.60393148134</v>
      </c>
      <c r="CP32" s="1">
        <v>181232.71749765577</v>
      </c>
      <c r="CQ32" s="1">
        <v>192114.40733760377</v>
      </c>
      <c r="CR32" s="1">
        <v>185313.29523838157</v>
      </c>
      <c r="CS32" s="1">
        <v>199455.74719297251</v>
      </c>
      <c r="CT32" s="1">
        <v>161240.27296495967</v>
      </c>
      <c r="CU32" s="1">
        <v>178913.29572891837</v>
      </c>
      <c r="CV32" s="1">
        <v>178190.5556316367</v>
      </c>
      <c r="CW32" s="1">
        <v>134405.61506519731</v>
      </c>
    </row>
    <row r="33" spans="1:101" x14ac:dyDescent="0.35">
      <c r="A33">
        <v>202408</v>
      </c>
      <c r="B33" s="1">
        <v>161881.23397482332</v>
      </c>
      <c r="C33" s="1">
        <v>161896.74427458688</v>
      </c>
      <c r="D33" s="1">
        <v>167478.65857347564</v>
      </c>
      <c r="E33" s="1">
        <v>151759.36826634628</v>
      </c>
      <c r="F33" s="1">
        <v>165268.26459801354</v>
      </c>
      <c r="G33" s="1">
        <v>143323.62700367891</v>
      </c>
      <c r="H33" s="1">
        <v>167090.01114565312</v>
      </c>
      <c r="I33" s="1">
        <v>150620.44830530361</v>
      </c>
      <c r="J33" s="1">
        <v>151244.8350019416</v>
      </c>
      <c r="K33" s="1">
        <v>162110.69346700882</v>
      </c>
      <c r="L33" s="1">
        <v>145206.79588744973</v>
      </c>
      <c r="M33" s="1">
        <v>159371.07839507688</v>
      </c>
      <c r="N33" s="1">
        <v>176039.33519266226</v>
      </c>
      <c r="O33" s="1">
        <v>155949.84732537015</v>
      </c>
      <c r="P33" s="1">
        <v>180984.11897621749</v>
      </c>
      <c r="Q33" s="1">
        <v>166512.67645759977</v>
      </c>
      <c r="R33" s="1">
        <v>144935.40256927579</v>
      </c>
      <c r="S33" s="1">
        <v>162307.64108221681</v>
      </c>
      <c r="T33" s="1">
        <v>161168.28564481621</v>
      </c>
      <c r="U33" s="1">
        <v>147952.07116467404</v>
      </c>
      <c r="V33" s="1">
        <v>156622.94158584587</v>
      </c>
      <c r="W33" s="1">
        <v>161158.58909891319</v>
      </c>
      <c r="X33" s="1">
        <v>150158.14375824615</v>
      </c>
      <c r="Y33" s="1">
        <v>163533.36700078001</v>
      </c>
      <c r="Z33" s="1">
        <v>174449.96216446304</v>
      </c>
      <c r="AA33" s="1">
        <v>184941.15333742491</v>
      </c>
      <c r="AB33" s="1">
        <v>172485.01644935203</v>
      </c>
      <c r="AC33" s="1">
        <v>172627.13033784597</v>
      </c>
      <c r="AD33" s="1">
        <v>176022.05527255163</v>
      </c>
      <c r="AE33" s="1">
        <v>182861.3101039684</v>
      </c>
      <c r="AF33" s="1">
        <v>161946.4760766004</v>
      </c>
      <c r="AG33" s="1">
        <v>174696.93383722383</v>
      </c>
      <c r="AH33" s="1">
        <v>156752.00681874863</v>
      </c>
      <c r="AI33" s="1">
        <v>167164.45005935407</v>
      </c>
      <c r="AJ33" s="1">
        <v>147031.11263424414</v>
      </c>
      <c r="AK33" s="1">
        <v>142330.90218075193</v>
      </c>
      <c r="AL33" s="1">
        <v>177664.78010095767</v>
      </c>
      <c r="AM33" s="1">
        <v>152050.45748964444</v>
      </c>
      <c r="AN33" s="1">
        <v>170543.56845245947</v>
      </c>
      <c r="AO33" s="1">
        <v>182845.98705664073</v>
      </c>
      <c r="AP33" s="1">
        <v>175786.84602624035</v>
      </c>
      <c r="AQ33" s="1">
        <v>175386.83654935172</v>
      </c>
      <c r="AR33" s="1">
        <v>165421.03068586314</v>
      </c>
      <c r="AS33" s="1">
        <v>162993.91691787823</v>
      </c>
      <c r="AT33" s="1">
        <v>179826.05854797389</v>
      </c>
      <c r="AU33" s="1">
        <v>170843.79100310034</v>
      </c>
      <c r="AV33" s="1">
        <v>176643.92783165959</v>
      </c>
      <c r="AW33" s="1">
        <v>174156.36104147907</v>
      </c>
      <c r="AX33" s="1">
        <v>152917.37235483481</v>
      </c>
      <c r="AY33" s="1">
        <v>173869.12248319137</v>
      </c>
      <c r="AZ33" s="1">
        <v>82527.042111994568</v>
      </c>
      <c r="BA33" s="1">
        <v>150794.6265613648</v>
      </c>
      <c r="BB33" s="1">
        <v>179780.78787172146</v>
      </c>
      <c r="BC33" s="1">
        <v>162059.14847679652</v>
      </c>
      <c r="BD33" s="1">
        <v>172121.60696211379</v>
      </c>
      <c r="BE33" s="1">
        <v>175561.40756568668</v>
      </c>
      <c r="BF33" s="1">
        <v>176577.98304973979</v>
      </c>
      <c r="BG33" s="1">
        <v>158414.32059416073</v>
      </c>
      <c r="BH33" s="1">
        <v>160906.76034452952</v>
      </c>
      <c r="BI33" s="1">
        <v>170165.91159354016</v>
      </c>
      <c r="BJ33" s="1">
        <v>151211.02544962379</v>
      </c>
      <c r="BK33" s="1">
        <v>177814.6955233418</v>
      </c>
      <c r="BL33" s="1">
        <v>143907.73047553384</v>
      </c>
      <c r="BM33" s="1">
        <v>165010.87294282109</v>
      </c>
      <c r="BN33" s="1">
        <v>174453.69938156224</v>
      </c>
      <c r="BO33" s="1">
        <v>178516.58551604714</v>
      </c>
      <c r="BP33" s="1">
        <v>172365.67566690472</v>
      </c>
      <c r="BQ33" s="1">
        <v>148763.49452326327</v>
      </c>
      <c r="BR33" s="1">
        <v>153548.32993337649</v>
      </c>
      <c r="BS33" s="1">
        <v>174960.99869070147</v>
      </c>
      <c r="BT33" s="1">
        <v>147542.0802416855</v>
      </c>
      <c r="BU33" s="1">
        <v>170184.2800274161</v>
      </c>
      <c r="BV33" s="1">
        <v>161239.84872362411</v>
      </c>
      <c r="BW33" s="1">
        <v>157325.57799243997</v>
      </c>
      <c r="BX33" s="1">
        <v>172959.97679436268</v>
      </c>
      <c r="BY33" s="1">
        <v>165650.89137501086</v>
      </c>
      <c r="BZ33" s="1">
        <v>184585.57673001275</v>
      </c>
      <c r="CA33" s="1">
        <v>180398.59722939957</v>
      </c>
      <c r="CB33" s="1">
        <v>163787.46066503722</v>
      </c>
      <c r="CC33" s="1">
        <v>163374.89266722076</v>
      </c>
      <c r="CD33" s="1">
        <v>102781.96592481475</v>
      </c>
      <c r="CE33" s="1">
        <v>177140.92785157161</v>
      </c>
      <c r="CF33" s="1">
        <v>162795.20589240524</v>
      </c>
      <c r="CG33" s="1">
        <v>154982.7325734878</v>
      </c>
      <c r="CH33" s="1">
        <v>178710.64784756079</v>
      </c>
      <c r="CI33" s="1">
        <v>184101.28439479065</v>
      </c>
      <c r="CJ33" s="1">
        <v>155803.80933036256</v>
      </c>
      <c r="CK33" s="1">
        <v>165230.45600198852</v>
      </c>
      <c r="CL33" s="1">
        <v>180168.33485546106</v>
      </c>
      <c r="CM33" s="1">
        <v>159003.20979446985</v>
      </c>
      <c r="CN33" s="1">
        <v>179755.30778154975</v>
      </c>
      <c r="CO33" s="1">
        <v>147682.2000206426</v>
      </c>
      <c r="CP33" s="1">
        <v>162285.6728841388</v>
      </c>
      <c r="CQ33" s="1">
        <v>173337.15698716175</v>
      </c>
      <c r="CR33" s="1">
        <v>157042.76118790303</v>
      </c>
      <c r="CS33" s="1">
        <v>178271.38940636543</v>
      </c>
      <c r="CT33" s="1">
        <v>134956.29908332677</v>
      </c>
      <c r="CU33" s="1">
        <v>158465.8557208417</v>
      </c>
      <c r="CV33" s="1">
        <v>153105.99402398415</v>
      </c>
      <c r="CW33" s="1">
        <v>117239.58202829715</v>
      </c>
    </row>
    <row r="34" spans="1:101" x14ac:dyDescent="0.35">
      <c r="A34">
        <v>202409</v>
      </c>
      <c r="B34" s="1">
        <v>156723.43808027677</v>
      </c>
      <c r="C34" s="1">
        <v>161645.10270612125</v>
      </c>
      <c r="D34" s="1">
        <v>158245.18321501216</v>
      </c>
      <c r="E34" s="1">
        <v>149939.81131889159</v>
      </c>
      <c r="F34" s="1">
        <v>157219.10367092787</v>
      </c>
      <c r="G34" s="1">
        <v>135372.96884437065</v>
      </c>
      <c r="H34" s="1">
        <v>163999.65905780005</v>
      </c>
      <c r="I34" s="1">
        <v>138008.81307327011</v>
      </c>
      <c r="J34" s="1">
        <v>147409.20087596076</v>
      </c>
      <c r="K34" s="1">
        <v>158094.32671585871</v>
      </c>
      <c r="L34" s="1">
        <v>142845.83994488697</v>
      </c>
      <c r="M34" s="1">
        <v>163937.53742399137</v>
      </c>
      <c r="N34" s="1">
        <v>167669.43476970258</v>
      </c>
      <c r="O34" s="1">
        <v>146506.51186083152</v>
      </c>
      <c r="P34" s="1">
        <v>169875.77351817215</v>
      </c>
      <c r="Q34" s="1">
        <v>160597.20253291939</v>
      </c>
      <c r="R34" s="1">
        <v>138414.44570103861</v>
      </c>
      <c r="S34" s="1">
        <v>162070.44385552351</v>
      </c>
      <c r="T34" s="1">
        <v>157005.66471362577</v>
      </c>
      <c r="U34" s="1">
        <v>146461.93703354383</v>
      </c>
      <c r="V34" s="1">
        <v>149588.49440910987</v>
      </c>
      <c r="W34" s="1">
        <v>157083.0834552586</v>
      </c>
      <c r="X34" s="1">
        <v>142451.86612301721</v>
      </c>
      <c r="Y34" s="1">
        <v>162998.83630697298</v>
      </c>
      <c r="Z34" s="1">
        <v>162908.37585996877</v>
      </c>
      <c r="AA34" s="1">
        <v>176270.21958087644</v>
      </c>
      <c r="AB34" s="1">
        <v>168758.81257460505</v>
      </c>
      <c r="AC34" s="1">
        <v>165767.17327956046</v>
      </c>
      <c r="AD34" s="1">
        <v>166992.55105269654</v>
      </c>
      <c r="AE34" s="1">
        <v>175170.13110922737</v>
      </c>
      <c r="AF34" s="1">
        <v>153498.80512153517</v>
      </c>
      <c r="AG34" s="1">
        <v>165577.78093399378</v>
      </c>
      <c r="AH34" s="1">
        <v>151419.64329863686</v>
      </c>
      <c r="AI34" s="1">
        <v>160419.94269481371</v>
      </c>
      <c r="AJ34" s="1">
        <v>148278.6263486942</v>
      </c>
      <c r="AK34" s="1">
        <v>143271.20296716702</v>
      </c>
      <c r="AL34" s="1">
        <v>171854.7783555217</v>
      </c>
      <c r="AM34" s="1">
        <v>145591.9321411213</v>
      </c>
      <c r="AN34" s="1">
        <v>163915.92066337785</v>
      </c>
      <c r="AO34" s="1">
        <v>170992.02608956196</v>
      </c>
      <c r="AP34" s="1">
        <v>180404.99141717693</v>
      </c>
      <c r="AQ34" s="1">
        <v>163916.73125477383</v>
      </c>
      <c r="AR34" s="1">
        <v>160440.27190578295</v>
      </c>
      <c r="AS34" s="1">
        <v>153081.91787460604</v>
      </c>
      <c r="AT34" s="1">
        <v>166603.88840398128</v>
      </c>
      <c r="AU34" s="1">
        <v>166721.68568864136</v>
      </c>
      <c r="AV34" s="1">
        <v>169530.53790966381</v>
      </c>
      <c r="AW34" s="1">
        <v>166532.60788628727</v>
      </c>
      <c r="AX34" s="1">
        <v>144964.73389115866</v>
      </c>
      <c r="AY34" s="1">
        <v>167552.69271776633</v>
      </c>
      <c r="AZ34" s="1">
        <v>78072.904743863561</v>
      </c>
      <c r="BA34" s="1">
        <v>146732.073398273</v>
      </c>
      <c r="BB34" s="1">
        <v>179586.21881832709</v>
      </c>
      <c r="BC34" s="1">
        <v>147296.88241279029</v>
      </c>
      <c r="BD34" s="1">
        <v>167326.34573771327</v>
      </c>
      <c r="BE34" s="1">
        <v>171460.10998054474</v>
      </c>
      <c r="BF34" s="1">
        <v>168803.14152264432</v>
      </c>
      <c r="BG34" s="1">
        <v>151127.01985061969</v>
      </c>
      <c r="BH34" s="1">
        <v>148263.39625312091</v>
      </c>
      <c r="BI34" s="1">
        <v>164836.21096406886</v>
      </c>
      <c r="BJ34" s="1">
        <v>147469.24535538669</v>
      </c>
      <c r="BK34" s="1">
        <v>178886.76951725766</v>
      </c>
      <c r="BL34" s="1">
        <v>135549.09870665465</v>
      </c>
      <c r="BM34" s="1">
        <v>160664.92176861354</v>
      </c>
      <c r="BN34" s="1">
        <v>168597.49029338927</v>
      </c>
      <c r="BO34" s="1">
        <v>172798.67877788789</v>
      </c>
      <c r="BP34" s="1">
        <v>169501.67677690211</v>
      </c>
      <c r="BQ34" s="1">
        <v>146391.84543477991</v>
      </c>
      <c r="BR34" s="1">
        <v>150169.00339954201</v>
      </c>
      <c r="BS34" s="1">
        <v>164399.54238653625</v>
      </c>
      <c r="BT34" s="1">
        <v>137440.90504020458</v>
      </c>
      <c r="BU34" s="1">
        <v>158592.69555396985</v>
      </c>
      <c r="BV34" s="1">
        <v>154989.58020219719</v>
      </c>
      <c r="BW34" s="1">
        <v>154973.1243999537</v>
      </c>
      <c r="BX34" s="1">
        <v>166526.49141704279</v>
      </c>
      <c r="BY34" s="1">
        <v>158036.66622713796</v>
      </c>
      <c r="BZ34" s="1">
        <v>176657.02569901061</v>
      </c>
      <c r="CA34" s="1">
        <v>182052.06520727318</v>
      </c>
      <c r="CB34" s="1">
        <v>156080.63551834697</v>
      </c>
      <c r="CC34" s="1">
        <v>154973.11075550271</v>
      </c>
      <c r="CD34" s="1">
        <v>96553.23501517676</v>
      </c>
      <c r="CE34" s="1">
        <v>170269.50740093781</v>
      </c>
      <c r="CF34" s="1">
        <v>162099.33820320969</v>
      </c>
      <c r="CG34" s="1">
        <v>152127.52979037625</v>
      </c>
      <c r="CH34" s="1">
        <v>171033.24928466926</v>
      </c>
      <c r="CI34" s="1">
        <v>174168.95223884771</v>
      </c>
      <c r="CJ34" s="1">
        <v>151757.1504303214</v>
      </c>
      <c r="CK34" s="1">
        <v>159262.29217825984</v>
      </c>
      <c r="CL34" s="1">
        <v>171535.23056154163</v>
      </c>
      <c r="CM34" s="1">
        <v>149769.17846458888</v>
      </c>
      <c r="CN34" s="1">
        <v>170400.07086054288</v>
      </c>
      <c r="CO34" s="1">
        <v>143267.74984111133</v>
      </c>
      <c r="CP34" s="1">
        <v>154017.40265206835</v>
      </c>
      <c r="CQ34" s="1">
        <v>164617.86266286296</v>
      </c>
      <c r="CR34" s="1">
        <v>155105.28540345779</v>
      </c>
      <c r="CS34" s="1">
        <v>172656.79792036815</v>
      </c>
      <c r="CT34" s="1">
        <v>127977.40963057464</v>
      </c>
      <c r="CU34" s="1">
        <v>153430.68765531571</v>
      </c>
      <c r="CV34" s="1">
        <v>152609.36681876885</v>
      </c>
      <c r="CW34" s="1">
        <v>112724.57308004196</v>
      </c>
    </row>
    <row r="35" spans="1:101" x14ac:dyDescent="0.35">
      <c r="A35">
        <v>202410</v>
      </c>
      <c r="B35" s="1">
        <v>150168.32086801209</v>
      </c>
      <c r="C35" s="1">
        <v>150720.93074866111</v>
      </c>
      <c r="D35" s="1">
        <v>156169.45016608408</v>
      </c>
      <c r="E35" s="1">
        <v>140520.16800601207</v>
      </c>
      <c r="F35" s="1">
        <v>151116.23120681773</v>
      </c>
      <c r="G35" s="1">
        <v>134300.02658645652</v>
      </c>
      <c r="H35" s="1">
        <v>154848.67316587301</v>
      </c>
      <c r="I35" s="1">
        <v>136792.05369247231</v>
      </c>
      <c r="J35" s="1">
        <v>141669.70330245214</v>
      </c>
      <c r="K35" s="1">
        <v>149446.70366448347</v>
      </c>
      <c r="L35" s="1">
        <v>139633.6417112803</v>
      </c>
      <c r="M35" s="1">
        <v>146673.13492162502</v>
      </c>
      <c r="N35" s="1">
        <v>157862.64506772987</v>
      </c>
      <c r="O35" s="1">
        <v>143374.18102256797</v>
      </c>
      <c r="P35" s="1">
        <v>163615.14471443565</v>
      </c>
      <c r="Q35" s="1">
        <v>145368.36864233142</v>
      </c>
      <c r="R35" s="1">
        <v>132347.48982741428</v>
      </c>
      <c r="S35" s="1">
        <v>148284.26573012301</v>
      </c>
      <c r="T35" s="1">
        <v>147852.21914874442</v>
      </c>
      <c r="U35" s="1">
        <v>138946.96325007977</v>
      </c>
      <c r="V35" s="1">
        <v>141941.41188826616</v>
      </c>
      <c r="W35" s="1">
        <v>152232.26864959527</v>
      </c>
      <c r="X35" s="1">
        <v>144029.79590824095</v>
      </c>
      <c r="Y35" s="1">
        <v>154906.88502364012</v>
      </c>
      <c r="Z35" s="1">
        <v>159838.9492463624</v>
      </c>
      <c r="AA35" s="1">
        <v>165630.7292971547</v>
      </c>
      <c r="AB35" s="1">
        <v>158385.57002541621</v>
      </c>
      <c r="AC35" s="1">
        <v>155446.20396208155</v>
      </c>
      <c r="AD35" s="1">
        <v>164110.66618779732</v>
      </c>
      <c r="AE35" s="1">
        <v>164605.71237670977</v>
      </c>
      <c r="AF35" s="1">
        <v>146934.30973309427</v>
      </c>
      <c r="AG35" s="1">
        <v>158316.42797559785</v>
      </c>
      <c r="AH35" s="1">
        <v>145287.72735230258</v>
      </c>
      <c r="AI35" s="1">
        <v>153568.29805777501</v>
      </c>
      <c r="AJ35" s="1">
        <v>143372.30205718297</v>
      </c>
      <c r="AK35" s="1">
        <v>132298.04375962357</v>
      </c>
      <c r="AL35" s="1">
        <v>158355.31020425129</v>
      </c>
      <c r="AM35" s="1">
        <v>135913.74232083204</v>
      </c>
      <c r="AN35" s="1">
        <v>160022.41100664166</v>
      </c>
      <c r="AO35" s="1">
        <v>166252.50615752334</v>
      </c>
      <c r="AP35" s="1">
        <v>165369.23628148373</v>
      </c>
      <c r="AQ35" s="1">
        <v>159532.05201345676</v>
      </c>
      <c r="AR35" s="1">
        <v>151087.802711036</v>
      </c>
      <c r="AS35" s="1">
        <v>156229.71059405763</v>
      </c>
      <c r="AT35" s="1">
        <v>166678.29529778659</v>
      </c>
      <c r="AU35" s="1">
        <v>162861.26565659663</v>
      </c>
      <c r="AV35" s="1">
        <v>161888.1234375902</v>
      </c>
      <c r="AW35" s="1">
        <v>155600.83048920895</v>
      </c>
      <c r="AX35" s="1">
        <v>143589.18719694988</v>
      </c>
      <c r="AY35" s="1">
        <v>162732.89815249696</v>
      </c>
      <c r="AZ35" s="1">
        <v>72363.780915103038</v>
      </c>
      <c r="BA35" s="1">
        <v>135420.93223466392</v>
      </c>
      <c r="BB35" s="1">
        <v>165245.71745047616</v>
      </c>
      <c r="BC35" s="1">
        <v>140547.50540806109</v>
      </c>
      <c r="BD35" s="1">
        <v>158604.39624341618</v>
      </c>
      <c r="BE35" s="1">
        <v>157733.46079292611</v>
      </c>
      <c r="BF35" s="1">
        <v>163500.57124709943</v>
      </c>
      <c r="BG35" s="1">
        <v>140088.21016488073</v>
      </c>
      <c r="BH35" s="1">
        <v>146713.02497581998</v>
      </c>
      <c r="BI35" s="1">
        <v>158795.67016751182</v>
      </c>
      <c r="BJ35" s="1">
        <v>142043.64510335814</v>
      </c>
      <c r="BK35" s="1">
        <v>163121.9306537986</v>
      </c>
      <c r="BL35" s="1">
        <v>136067.36172731235</v>
      </c>
      <c r="BM35" s="1">
        <v>147680.55489056389</v>
      </c>
      <c r="BN35" s="1">
        <v>156757.7540454187</v>
      </c>
      <c r="BO35" s="1">
        <v>161162.31153082169</v>
      </c>
      <c r="BP35" s="1">
        <v>157328.13120326214</v>
      </c>
      <c r="BQ35" s="1">
        <v>130680.76409745034</v>
      </c>
      <c r="BR35" s="1">
        <v>142824.78194854362</v>
      </c>
      <c r="BS35" s="1">
        <v>160289.07433990712</v>
      </c>
      <c r="BT35" s="1">
        <v>134542.79799781088</v>
      </c>
      <c r="BU35" s="1">
        <v>152647.6244099598</v>
      </c>
      <c r="BV35" s="1">
        <v>151614.52163922682</v>
      </c>
      <c r="BW35" s="1">
        <v>148454.57016364724</v>
      </c>
      <c r="BX35" s="1">
        <v>163478.35765961144</v>
      </c>
      <c r="BY35" s="1">
        <v>150534.75171499135</v>
      </c>
      <c r="BZ35" s="1">
        <v>166044.21835367865</v>
      </c>
      <c r="CA35" s="1">
        <v>164244.55539924465</v>
      </c>
      <c r="CB35" s="1">
        <v>149632.4374978414</v>
      </c>
      <c r="CC35" s="1">
        <v>147657.31152160783</v>
      </c>
      <c r="CD35" s="1">
        <v>90888.421964916168</v>
      </c>
      <c r="CE35" s="1">
        <v>162244.32874336321</v>
      </c>
      <c r="CF35" s="1">
        <v>156632.45493573084</v>
      </c>
      <c r="CG35" s="1">
        <v>144377.84565740867</v>
      </c>
      <c r="CH35" s="1">
        <v>166887.97010872708</v>
      </c>
      <c r="CI35" s="1">
        <v>167280.1743860523</v>
      </c>
      <c r="CJ35" s="1">
        <v>141830.54823459321</v>
      </c>
      <c r="CK35" s="1">
        <v>149717.6333984003</v>
      </c>
      <c r="CL35" s="1">
        <v>164135.48191081311</v>
      </c>
      <c r="CM35" s="1">
        <v>140587.73194452439</v>
      </c>
      <c r="CN35" s="1">
        <v>164694.19482175555</v>
      </c>
      <c r="CO35" s="1">
        <v>137789.21801836209</v>
      </c>
      <c r="CP35" s="1">
        <v>145156.62293828776</v>
      </c>
      <c r="CQ35" s="1">
        <v>156577.50987099239</v>
      </c>
      <c r="CR35" s="1">
        <v>147566.80501261246</v>
      </c>
      <c r="CS35" s="1">
        <v>164952.58839020494</v>
      </c>
      <c r="CT35" s="1">
        <v>128279.64510397174</v>
      </c>
      <c r="CU35" s="1">
        <v>144643.98547999299</v>
      </c>
      <c r="CV35" s="1">
        <v>144502.3523251052</v>
      </c>
      <c r="CW35" s="1">
        <v>108299.42730100309</v>
      </c>
    </row>
    <row r="36" spans="1:101" x14ac:dyDescent="0.35">
      <c r="A36">
        <v>202411</v>
      </c>
      <c r="B36" s="1">
        <v>140048.67185927238</v>
      </c>
      <c r="C36" s="1">
        <v>138974.41984005141</v>
      </c>
      <c r="D36" s="1">
        <v>148180.02648031211</v>
      </c>
      <c r="E36" s="1">
        <v>134659.43518790166</v>
      </c>
      <c r="F36" s="1">
        <v>141455.73916738643</v>
      </c>
      <c r="G36" s="1">
        <v>122903.62786416923</v>
      </c>
      <c r="H36" s="1">
        <v>147578.52803133221</v>
      </c>
      <c r="I36" s="1">
        <v>127142.47714079644</v>
      </c>
      <c r="J36" s="1">
        <v>134295.44093710816</v>
      </c>
      <c r="K36" s="1">
        <v>142098.24539770733</v>
      </c>
      <c r="L36" s="1">
        <v>134875.13699555723</v>
      </c>
      <c r="M36" s="1">
        <v>141766.74092073046</v>
      </c>
      <c r="N36" s="1">
        <v>150782.29164783779</v>
      </c>
      <c r="O36" s="1">
        <v>136743.10168241517</v>
      </c>
      <c r="P36" s="1">
        <v>151423.76115937464</v>
      </c>
      <c r="Q36" s="1">
        <v>143989.80619930377</v>
      </c>
      <c r="R36" s="1">
        <v>124637.41903869082</v>
      </c>
      <c r="S36" s="1">
        <v>141734.74433447848</v>
      </c>
      <c r="T36" s="1">
        <v>139234.34278262939</v>
      </c>
      <c r="U36" s="1">
        <v>129829.8715876841</v>
      </c>
      <c r="V36" s="1">
        <v>135219.95231365733</v>
      </c>
      <c r="W36" s="1">
        <v>146138.51316593881</v>
      </c>
      <c r="X36" s="1">
        <v>128288.85779055736</v>
      </c>
      <c r="Y36" s="1">
        <v>144069.34920964765</v>
      </c>
      <c r="Z36" s="1">
        <v>150715.60373696461</v>
      </c>
      <c r="AA36" s="1">
        <v>159744.04845776854</v>
      </c>
      <c r="AB36" s="1">
        <v>150112.93954519276</v>
      </c>
      <c r="AC36" s="1">
        <v>143965.04669209674</v>
      </c>
      <c r="AD36" s="1">
        <v>148984.5801594416</v>
      </c>
      <c r="AE36" s="1">
        <v>157122.31333204682</v>
      </c>
      <c r="AF36" s="1">
        <v>140416.23152903415</v>
      </c>
      <c r="AG36" s="1">
        <v>150209.57577083656</v>
      </c>
      <c r="AH36" s="1">
        <v>141802.12413446693</v>
      </c>
      <c r="AI36" s="1">
        <v>146736.92819079076</v>
      </c>
      <c r="AJ36" s="1">
        <v>137007.01276813273</v>
      </c>
      <c r="AK36" s="1">
        <v>123316.46024960153</v>
      </c>
      <c r="AL36" s="1">
        <v>154488.85333648324</v>
      </c>
      <c r="AM36" s="1">
        <v>131763.81690912793</v>
      </c>
      <c r="AN36" s="1">
        <v>151703.65338541276</v>
      </c>
      <c r="AO36" s="1">
        <v>156438.44101074955</v>
      </c>
      <c r="AP36" s="1">
        <v>154732.56470701343</v>
      </c>
      <c r="AQ36" s="1">
        <v>152468.23584639747</v>
      </c>
      <c r="AR36" s="1">
        <v>142539.76215278418</v>
      </c>
      <c r="AS36" s="1">
        <v>141209.32981379266</v>
      </c>
      <c r="AT36" s="1">
        <v>155121.67859533822</v>
      </c>
      <c r="AU36" s="1">
        <v>155896.84735878359</v>
      </c>
      <c r="AV36" s="1">
        <v>156039.50866228569</v>
      </c>
      <c r="AW36" s="1">
        <v>152764.18796128337</v>
      </c>
      <c r="AX36" s="1">
        <v>132820.88268788988</v>
      </c>
      <c r="AY36" s="1">
        <v>152121.86242089115</v>
      </c>
      <c r="AZ36" s="1">
        <v>67875.169542640317</v>
      </c>
      <c r="BA36" s="1">
        <v>134796.96478695999</v>
      </c>
      <c r="BB36" s="1">
        <v>157227.28285590094</v>
      </c>
      <c r="BC36" s="1">
        <v>133470.36244152219</v>
      </c>
      <c r="BD36" s="1">
        <v>149853.00784537237</v>
      </c>
      <c r="BE36" s="1">
        <v>155026.98934749982</v>
      </c>
      <c r="BF36" s="1">
        <v>154880.10249328089</v>
      </c>
      <c r="BG36" s="1">
        <v>133653.5448061676</v>
      </c>
      <c r="BH36" s="1">
        <v>137949.17970326479</v>
      </c>
      <c r="BI36" s="1">
        <v>150691.73710048135</v>
      </c>
      <c r="BJ36" s="1">
        <v>132199.92418057407</v>
      </c>
      <c r="BK36" s="1">
        <v>156217.43804729878</v>
      </c>
      <c r="BL36" s="1">
        <v>126458.5342876371</v>
      </c>
      <c r="BM36" s="1">
        <v>141136.47065465487</v>
      </c>
      <c r="BN36" s="1">
        <v>151940.87084389172</v>
      </c>
      <c r="BO36" s="1">
        <v>153299.56845370043</v>
      </c>
      <c r="BP36" s="1">
        <v>150684.87389116196</v>
      </c>
      <c r="BQ36" s="1">
        <v>128818.69899931518</v>
      </c>
      <c r="BR36" s="1">
        <v>135459.79294394018</v>
      </c>
      <c r="BS36" s="1">
        <v>155465.6414592081</v>
      </c>
      <c r="BT36" s="1">
        <v>131478.44132484458</v>
      </c>
      <c r="BU36" s="1">
        <v>143523.95672225062</v>
      </c>
      <c r="BV36" s="1">
        <v>139424.40857397072</v>
      </c>
      <c r="BW36" s="1">
        <v>139500.22929980035</v>
      </c>
      <c r="BX36" s="1">
        <v>152089.5615202669</v>
      </c>
      <c r="BY36" s="1">
        <v>144467.79797033593</v>
      </c>
      <c r="BZ36" s="1">
        <v>156359.09958253193</v>
      </c>
      <c r="CA36" s="1">
        <v>158706.81742131509</v>
      </c>
      <c r="CB36" s="1">
        <v>147017.75411064076</v>
      </c>
      <c r="CC36" s="1">
        <v>141120.00448230011</v>
      </c>
      <c r="CD36" s="1">
        <v>88272.855135246762</v>
      </c>
      <c r="CE36" s="1">
        <v>153764.43287607565</v>
      </c>
      <c r="CF36" s="1">
        <v>148245.37005269542</v>
      </c>
      <c r="CG36" s="1">
        <v>135127.76360465973</v>
      </c>
      <c r="CH36" s="1">
        <v>152263.04640567373</v>
      </c>
      <c r="CI36" s="1">
        <v>158893.70149640346</v>
      </c>
      <c r="CJ36" s="1">
        <v>133223.75784562354</v>
      </c>
      <c r="CK36" s="1">
        <v>144358.21390148075</v>
      </c>
      <c r="CL36" s="1">
        <v>156251.765665477</v>
      </c>
      <c r="CM36" s="1">
        <v>135994.81766033199</v>
      </c>
      <c r="CN36" s="1">
        <v>154414.27520576911</v>
      </c>
      <c r="CO36" s="1">
        <v>132194.69652724423</v>
      </c>
      <c r="CP36" s="1">
        <v>136346.71104107556</v>
      </c>
      <c r="CQ36" s="1">
        <v>149222.26510737321</v>
      </c>
      <c r="CR36" s="1">
        <v>138103.81600343695</v>
      </c>
      <c r="CS36" s="1">
        <v>157556.77446984997</v>
      </c>
      <c r="CT36" s="1">
        <v>113424.07210141099</v>
      </c>
      <c r="CU36" s="1">
        <v>134875.5161138674</v>
      </c>
      <c r="CV36" s="1">
        <v>136069.53799037053</v>
      </c>
      <c r="CW36" s="1">
        <v>102806.68034106285</v>
      </c>
    </row>
    <row r="37" spans="1:101" x14ac:dyDescent="0.35">
      <c r="A37">
        <v>202412</v>
      </c>
      <c r="B37" s="1">
        <v>138093.01471535073</v>
      </c>
      <c r="C37" s="1">
        <v>140081.36973071945</v>
      </c>
      <c r="D37" s="1">
        <v>138940.49127565289</v>
      </c>
      <c r="E37" s="1">
        <v>131109.38302602794</v>
      </c>
      <c r="F37" s="1">
        <v>133270.01079800172</v>
      </c>
      <c r="G37" s="1">
        <v>120469.35526176312</v>
      </c>
      <c r="H37" s="1">
        <v>143338.52273206215</v>
      </c>
      <c r="I37" s="1">
        <v>124594.2869665864</v>
      </c>
      <c r="J37" s="1">
        <v>130586.20025119788</v>
      </c>
      <c r="K37" s="1">
        <v>139531.73804591032</v>
      </c>
      <c r="L37" s="1">
        <v>124071.5919279903</v>
      </c>
      <c r="M37" s="1">
        <v>137574.27368117476</v>
      </c>
      <c r="N37" s="1">
        <v>145292.82615863951</v>
      </c>
      <c r="O37" s="1">
        <v>137998.20161457066</v>
      </c>
      <c r="P37" s="1">
        <v>149152.68066008517</v>
      </c>
      <c r="Q37" s="1">
        <v>137494.08497124808</v>
      </c>
      <c r="R37" s="1">
        <v>124454.63039966823</v>
      </c>
      <c r="S37" s="1">
        <v>138330.27743309515</v>
      </c>
      <c r="T37" s="1">
        <v>138151.78211139338</v>
      </c>
      <c r="U37" s="1">
        <v>128263.56218008819</v>
      </c>
      <c r="V37" s="1">
        <v>130516.35680507342</v>
      </c>
      <c r="W37" s="1">
        <v>138560.34128482398</v>
      </c>
      <c r="X37" s="1">
        <v>125669.91604738669</v>
      </c>
      <c r="Y37" s="1">
        <v>140874.18861772635</v>
      </c>
      <c r="Z37" s="1">
        <v>145365.93227503527</v>
      </c>
      <c r="AA37" s="1">
        <v>157396.03266511229</v>
      </c>
      <c r="AB37" s="1">
        <v>149342.47959456721</v>
      </c>
      <c r="AC37" s="1">
        <v>142650.91159980581</v>
      </c>
      <c r="AD37" s="1">
        <v>150351.88640063413</v>
      </c>
      <c r="AE37" s="1">
        <v>154212.4823736265</v>
      </c>
      <c r="AF37" s="1">
        <v>136287.79693115567</v>
      </c>
      <c r="AG37" s="1">
        <v>147770.95964007635</v>
      </c>
      <c r="AH37" s="1">
        <v>133215.71817270046</v>
      </c>
      <c r="AI37" s="1">
        <v>142159.20520242053</v>
      </c>
      <c r="AJ37" s="1">
        <v>132498.60492718179</v>
      </c>
      <c r="AK37" s="1">
        <v>122587.85681020496</v>
      </c>
      <c r="AL37" s="1">
        <v>152386.61892592715</v>
      </c>
      <c r="AM37" s="1">
        <v>128158.17763756627</v>
      </c>
      <c r="AN37" s="1">
        <v>145550.7146643649</v>
      </c>
      <c r="AO37" s="1">
        <v>155669.51358955255</v>
      </c>
      <c r="AP37" s="1">
        <v>152547.28697777123</v>
      </c>
      <c r="AQ37" s="1">
        <v>145731.22764674769</v>
      </c>
      <c r="AR37" s="1">
        <v>137591.09063930679</v>
      </c>
      <c r="AS37" s="1">
        <v>144466.82904431873</v>
      </c>
      <c r="AT37" s="1">
        <v>150087.91075384905</v>
      </c>
      <c r="AU37" s="1">
        <v>148044.61553640713</v>
      </c>
      <c r="AV37" s="1">
        <v>147725.66169681418</v>
      </c>
      <c r="AW37" s="1">
        <v>144527.11456816996</v>
      </c>
      <c r="AX37" s="1">
        <v>129890.10872582978</v>
      </c>
      <c r="AY37" s="1">
        <v>150244.83599604791</v>
      </c>
      <c r="AZ37" s="1">
        <v>68576.235727164036</v>
      </c>
      <c r="BA37" s="1">
        <v>129049.45314824744</v>
      </c>
      <c r="BB37" s="1">
        <v>154356.42499127612</v>
      </c>
      <c r="BC37" s="1">
        <v>132072.31844888144</v>
      </c>
      <c r="BD37" s="1">
        <v>149330.08716707095</v>
      </c>
      <c r="BE37" s="1">
        <v>148539.06811130408</v>
      </c>
      <c r="BF37" s="1">
        <v>152194.9466989901</v>
      </c>
      <c r="BG37" s="1">
        <v>133612.89958186142</v>
      </c>
      <c r="BH37" s="1">
        <v>136951.51083512299</v>
      </c>
      <c r="BI37" s="1">
        <v>142151.64078918911</v>
      </c>
      <c r="BJ37" s="1">
        <v>130953.21703686705</v>
      </c>
      <c r="BK37" s="1">
        <v>155318.96386421265</v>
      </c>
      <c r="BL37" s="1">
        <v>116103.2413062542</v>
      </c>
      <c r="BM37" s="1">
        <v>137855.41492700085</v>
      </c>
      <c r="BN37" s="1">
        <v>148817.95477862054</v>
      </c>
      <c r="BO37" s="1">
        <v>151266.0702496575</v>
      </c>
      <c r="BP37" s="1">
        <v>146015.03618899646</v>
      </c>
      <c r="BQ37" s="1">
        <v>125961.1105507953</v>
      </c>
      <c r="BR37" s="1">
        <v>132324.80860891874</v>
      </c>
      <c r="BS37" s="1">
        <v>148174.79529477865</v>
      </c>
      <c r="BT37" s="1">
        <v>123697.41568130028</v>
      </c>
      <c r="BU37" s="1">
        <v>141923.6781328787</v>
      </c>
      <c r="BV37" s="1">
        <v>135667.33746338569</v>
      </c>
      <c r="BW37" s="1">
        <v>137573.24580679581</v>
      </c>
      <c r="BX37" s="1">
        <v>150486.50126509002</v>
      </c>
      <c r="BY37" s="1">
        <v>141456.40634742004</v>
      </c>
      <c r="BZ37" s="1">
        <v>153815.32016943852</v>
      </c>
      <c r="CA37" s="1">
        <v>155507.0880150364</v>
      </c>
      <c r="CB37" s="1">
        <v>137146.58542181726</v>
      </c>
      <c r="CC37" s="1">
        <v>139170.06109611795</v>
      </c>
      <c r="CD37" s="1">
        <v>83476.359424601702</v>
      </c>
      <c r="CE37" s="1">
        <v>149236.28695402163</v>
      </c>
      <c r="CF37" s="1">
        <v>142228.4780960808</v>
      </c>
      <c r="CG37" s="1">
        <v>128721.77814076048</v>
      </c>
      <c r="CH37" s="1">
        <v>151377.66440459786</v>
      </c>
      <c r="CI37" s="1">
        <v>157994.44416785255</v>
      </c>
      <c r="CJ37" s="1">
        <v>126373.79668602221</v>
      </c>
      <c r="CK37" s="1">
        <v>142390.16855925272</v>
      </c>
      <c r="CL37" s="1">
        <v>155350.02868625306</v>
      </c>
      <c r="CM37" s="1">
        <v>131065.75587630793</v>
      </c>
      <c r="CN37" s="1">
        <v>153485.91145310621</v>
      </c>
      <c r="CO37" s="1">
        <v>128222.75233472833</v>
      </c>
      <c r="CP37" s="1">
        <v>135362.01363245887</v>
      </c>
      <c r="CQ37" s="1">
        <v>144553.33345127566</v>
      </c>
      <c r="CR37" s="1">
        <v>138451.71403702538</v>
      </c>
      <c r="CS37" s="1">
        <v>151567.64152689074</v>
      </c>
      <c r="CT37" s="1">
        <v>114411.96263019693</v>
      </c>
      <c r="CU37" s="1">
        <v>135733.58510172486</v>
      </c>
      <c r="CV37" s="1">
        <v>134476.58237698083</v>
      </c>
      <c r="CW37" s="1">
        <v>97529.148626023598</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54B65-5334-4B9D-B205-ADA2A7458ABE}">
  <sheetPr codeName="Sheet8">
    <tabColor theme="6" tint="0.59999389629810485"/>
  </sheetPr>
  <dimension ref="A1:EON6"/>
  <sheetViews>
    <sheetView workbookViewId="0">
      <selection activeCell="A6" sqref="A6"/>
    </sheetView>
  </sheetViews>
  <sheetFormatPr defaultRowHeight="14.5" x14ac:dyDescent="0.35"/>
  <cols>
    <col min="1" max="1" width="11.26953125" bestFit="1" customWidth="1"/>
    <col min="2" max="6" width="10" bestFit="1" customWidth="1"/>
    <col min="7" max="7" width="9" bestFit="1" customWidth="1"/>
    <col min="8" max="16" width="10" bestFit="1" customWidth="1"/>
    <col min="17" max="19" width="9" bestFit="1" customWidth="1"/>
    <col min="20" max="20" width="10" bestFit="1" customWidth="1"/>
    <col min="21" max="21" width="9" bestFit="1" customWidth="1"/>
    <col min="22" max="23" width="10" bestFit="1" customWidth="1"/>
    <col min="24" max="37" width="8.26953125" bestFit="1" customWidth="1"/>
    <col min="38" max="38" width="9" bestFit="1" customWidth="1"/>
    <col min="39" max="58" width="8.26953125" bestFit="1" customWidth="1"/>
    <col min="59" max="59" width="9" bestFit="1" customWidth="1"/>
    <col min="60" max="61" width="10" bestFit="1" customWidth="1"/>
    <col min="62" max="62" width="9" bestFit="1" customWidth="1"/>
    <col min="63" max="63" width="10" bestFit="1" customWidth="1"/>
    <col min="64" max="68" width="9" bestFit="1" customWidth="1"/>
    <col min="69" max="69" width="10" bestFit="1" customWidth="1"/>
    <col min="70" max="70" width="9" bestFit="1" customWidth="1"/>
    <col min="71" max="71" width="10" bestFit="1" customWidth="1"/>
    <col min="72" max="72" width="9" bestFit="1" customWidth="1"/>
    <col min="73" max="74" width="10" bestFit="1" customWidth="1"/>
    <col min="75" max="75" width="9" bestFit="1" customWidth="1"/>
    <col min="76" max="77" width="10" bestFit="1" customWidth="1"/>
    <col min="78" max="78" width="9" bestFit="1" customWidth="1"/>
    <col min="79" max="79" width="10" bestFit="1" customWidth="1"/>
    <col min="80" max="83" width="9" bestFit="1" customWidth="1"/>
    <col min="84" max="85" width="10" bestFit="1" customWidth="1"/>
    <col min="86" max="87" width="9" bestFit="1" customWidth="1"/>
    <col min="88" max="88" width="10" bestFit="1" customWidth="1"/>
    <col min="89" max="96" width="9" bestFit="1" customWidth="1"/>
    <col min="97" max="99" width="10" bestFit="1" customWidth="1"/>
    <col min="100" max="100" width="9" bestFit="1" customWidth="1"/>
    <col min="101" max="101" width="10" bestFit="1" customWidth="1"/>
    <col min="102" max="104" width="9" bestFit="1" customWidth="1"/>
    <col min="105" max="106" width="10" bestFit="1" customWidth="1"/>
    <col min="107" max="109" width="9" bestFit="1" customWidth="1"/>
    <col min="110" max="110" width="10" bestFit="1" customWidth="1"/>
    <col min="111" max="114" width="9" bestFit="1" customWidth="1"/>
    <col min="115" max="115" width="8.26953125" bestFit="1" customWidth="1"/>
    <col min="116" max="119" width="9" bestFit="1" customWidth="1"/>
    <col min="120" max="121" width="10" bestFit="1" customWidth="1"/>
    <col min="122" max="126" width="9" bestFit="1" customWidth="1"/>
    <col min="127" max="127" width="10" bestFit="1" customWidth="1"/>
    <col min="128" max="129" width="9" bestFit="1" customWidth="1"/>
    <col min="130" max="130" width="8.26953125" bestFit="1" customWidth="1"/>
    <col min="131" max="132" width="9" bestFit="1" customWidth="1"/>
    <col min="133" max="133" width="10" bestFit="1" customWidth="1"/>
    <col min="134" max="135" width="9" bestFit="1" customWidth="1"/>
    <col min="136" max="136" width="8.26953125" bestFit="1" customWidth="1"/>
    <col min="137" max="141" width="9" bestFit="1" customWidth="1"/>
    <col min="142" max="144" width="10" bestFit="1" customWidth="1"/>
    <col min="145" max="153" width="9" bestFit="1" customWidth="1"/>
    <col min="154" max="156" width="10" bestFit="1" customWidth="1"/>
    <col min="157" max="166" width="9" bestFit="1" customWidth="1"/>
    <col min="167" max="167" width="8.26953125" bestFit="1" customWidth="1"/>
    <col min="168" max="172" width="9" bestFit="1" customWidth="1"/>
    <col min="173" max="173" width="10" bestFit="1" customWidth="1"/>
    <col min="174" max="174" width="9" bestFit="1" customWidth="1"/>
    <col min="175" max="177" width="10" bestFit="1" customWidth="1"/>
    <col min="178" max="178" width="9" bestFit="1" customWidth="1"/>
    <col min="179" max="179" width="10" bestFit="1" customWidth="1"/>
    <col min="180" max="182" width="9" bestFit="1" customWidth="1"/>
    <col min="183" max="183" width="10" bestFit="1" customWidth="1"/>
    <col min="184" max="200" width="9" bestFit="1" customWidth="1"/>
    <col min="201" max="201" width="8.26953125" bestFit="1" customWidth="1"/>
    <col min="202" max="202" width="9" bestFit="1" customWidth="1"/>
    <col min="203" max="203" width="10" bestFit="1" customWidth="1"/>
    <col min="204" max="207" width="9" bestFit="1" customWidth="1"/>
    <col min="208" max="208" width="10" bestFit="1" customWidth="1"/>
    <col min="209" max="210" width="9" bestFit="1" customWidth="1"/>
    <col min="211" max="211" width="10" bestFit="1" customWidth="1"/>
    <col min="212" max="212" width="9" bestFit="1" customWidth="1"/>
    <col min="213" max="213" width="10" bestFit="1" customWidth="1"/>
    <col min="214" max="214" width="8.26953125" bestFit="1" customWidth="1"/>
    <col min="215" max="217" width="9" bestFit="1" customWidth="1"/>
    <col min="218" max="219" width="10" bestFit="1" customWidth="1"/>
    <col min="220" max="220" width="9" bestFit="1" customWidth="1"/>
    <col min="221" max="221" width="8.26953125" bestFit="1" customWidth="1"/>
    <col min="222" max="224" width="9" bestFit="1" customWidth="1"/>
    <col min="225" max="225" width="8.26953125" bestFit="1" customWidth="1"/>
    <col min="226" max="226" width="10" bestFit="1" customWidth="1"/>
    <col min="227" max="234" width="9" bestFit="1" customWidth="1"/>
    <col min="235" max="237" width="10" bestFit="1" customWidth="1"/>
    <col min="238" max="238" width="9" bestFit="1" customWidth="1"/>
    <col min="239" max="239" width="10" bestFit="1" customWidth="1"/>
    <col min="240" max="245" width="9" bestFit="1" customWidth="1"/>
    <col min="246" max="247" width="10" bestFit="1" customWidth="1"/>
    <col min="248" max="248" width="9" bestFit="1" customWidth="1"/>
    <col min="249" max="249" width="10" bestFit="1" customWidth="1"/>
    <col min="250" max="250" width="8.26953125" bestFit="1" customWidth="1"/>
    <col min="251" max="251" width="9" bestFit="1" customWidth="1"/>
    <col min="252" max="254" width="10" bestFit="1" customWidth="1"/>
    <col min="255" max="256" width="9" bestFit="1" customWidth="1"/>
    <col min="257" max="258" width="8.26953125" bestFit="1" customWidth="1"/>
    <col min="259" max="260" width="9" bestFit="1" customWidth="1"/>
    <col min="261" max="262" width="10" bestFit="1" customWidth="1"/>
    <col min="263" max="264" width="9" bestFit="1" customWidth="1"/>
    <col min="265" max="265" width="10" bestFit="1" customWidth="1"/>
    <col min="266" max="266" width="9" bestFit="1" customWidth="1"/>
    <col min="267" max="267" width="10" bestFit="1" customWidth="1"/>
    <col min="268" max="272" width="9" bestFit="1" customWidth="1"/>
    <col min="273" max="273" width="10" bestFit="1" customWidth="1"/>
    <col min="274" max="278" width="9" bestFit="1" customWidth="1"/>
    <col min="279" max="279" width="8.26953125" bestFit="1" customWidth="1"/>
    <col min="280" max="297" width="9" bestFit="1" customWidth="1"/>
    <col min="298" max="298" width="8.26953125" bestFit="1" customWidth="1"/>
    <col min="299" max="307" width="9" bestFit="1" customWidth="1"/>
    <col min="308" max="308" width="8.26953125" bestFit="1" customWidth="1"/>
    <col min="309" max="325" width="9" bestFit="1" customWidth="1"/>
    <col min="326" max="326" width="10" bestFit="1" customWidth="1"/>
    <col min="327" max="327" width="9" bestFit="1" customWidth="1"/>
    <col min="328" max="328" width="10" bestFit="1" customWidth="1"/>
    <col min="329" max="333" width="9" bestFit="1" customWidth="1"/>
    <col min="334" max="334" width="10" bestFit="1" customWidth="1"/>
    <col min="335" max="352" width="9" bestFit="1" customWidth="1"/>
    <col min="353" max="353" width="10" bestFit="1" customWidth="1"/>
    <col min="354" max="371" width="9" bestFit="1" customWidth="1"/>
    <col min="372" max="372" width="8.26953125" bestFit="1" customWidth="1"/>
    <col min="373" max="375" width="9" bestFit="1" customWidth="1"/>
    <col min="376" max="376" width="8.26953125" bestFit="1" customWidth="1"/>
    <col min="377" max="377" width="9" bestFit="1" customWidth="1"/>
    <col min="378" max="379" width="8.26953125" bestFit="1" customWidth="1"/>
    <col min="380" max="380" width="9" bestFit="1" customWidth="1"/>
    <col min="381" max="381" width="8.26953125" bestFit="1" customWidth="1"/>
    <col min="382" max="384" width="9" bestFit="1" customWidth="1"/>
    <col min="385" max="385" width="8.26953125" bestFit="1" customWidth="1"/>
    <col min="386" max="387" width="9" bestFit="1" customWidth="1"/>
    <col min="388" max="389" width="10" bestFit="1" customWidth="1"/>
    <col min="390" max="400" width="9" bestFit="1" customWidth="1"/>
    <col min="401" max="401" width="8.26953125" bestFit="1" customWidth="1"/>
    <col min="402" max="419" width="9" bestFit="1" customWidth="1"/>
    <col min="420" max="420" width="10" bestFit="1" customWidth="1"/>
    <col min="421" max="431" width="9" bestFit="1" customWidth="1"/>
    <col min="432" max="432" width="8.26953125" bestFit="1" customWidth="1"/>
    <col min="433" max="433" width="9" bestFit="1" customWidth="1"/>
    <col min="434" max="434" width="8.26953125" bestFit="1" customWidth="1"/>
    <col min="435" max="448" width="9" bestFit="1" customWidth="1"/>
    <col min="449" max="449" width="10" bestFit="1" customWidth="1"/>
    <col min="450" max="450" width="8.26953125" bestFit="1" customWidth="1"/>
    <col min="451" max="460" width="9" bestFit="1" customWidth="1"/>
    <col min="461" max="461" width="10" bestFit="1" customWidth="1"/>
    <col min="462" max="462" width="9" bestFit="1" customWidth="1"/>
    <col min="463" max="463" width="8.26953125" bestFit="1" customWidth="1"/>
    <col min="464" max="471" width="9" bestFit="1" customWidth="1"/>
    <col min="472" max="472" width="8.26953125" bestFit="1" customWidth="1"/>
    <col min="473" max="483" width="9" bestFit="1" customWidth="1"/>
    <col min="484" max="484" width="8.26953125" bestFit="1" customWidth="1"/>
    <col min="485" max="487" width="9" bestFit="1" customWidth="1"/>
    <col min="488" max="488" width="8.26953125" bestFit="1" customWidth="1"/>
    <col min="489" max="489" width="10" bestFit="1" customWidth="1"/>
    <col min="490" max="506" width="9" bestFit="1" customWidth="1"/>
    <col min="507" max="507" width="10" bestFit="1" customWidth="1"/>
    <col min="508" max="514" width="9" bestFit="1" customWidth="1"/>
    <col min="515" max="515" width="8.26953125" bestFit="1" customWidth="1"/>
    <col min="516" max="519" width="9" bestFit="1" customWidth="1"/>
    <col min="520" max="520" width="8.26953125" bestFit="1" customWidth="1"/>
    <col min="521" max="524" width="9" bestFit="1" customWidth="1"/>
    <col min="525" max="526" width="10" bestFit="1" customWidth="1"/>
    <col min="527" max="536" width="9" bestFit="1" customWidth="1"/>
    <col min="537" max="537" width="8.26953125" bestFit="1" customWidth="1"/>
    <col min="538" max="552" width="9" bestFit="1" customWidth="1"/>
    <col min="553" max="553" width="10" bestFit="1" customWidth="1"/>
    <col min="554" max="555" width="9" bestFit="1" customWidth="1"/>
    <col min="556" max="556" width="8.26953125" bestFit="1" customWidth="1"/>
    <col min="557" max="571" width="9" bestFit="1" customWidth="1"/>
    <col min="572" max="572" width="8.26953125" bestFit="1" customWidth="1"/>
    <col min="573" max="574" width="9" bestFit="1" customWidth="1"/>
    <col min="575" max="575" width="8.26953125" bestFit="1" customWidth="1"/>
    <col min="576" max="582" width="9" bestFit="1" customWidth="1"/>
    <col min="583" max="583" width="10" bestFit="1" customWidth="1"/>
    <col min="584" max="584" width="9" bestFit="1" customWidth="1"/>
    <col min="585" max="586" width="10" bestFit="1" customWidth="1"/>
    <col min="587" max="587" width="9" bestFit="1" customWidth="1"/>
    <col min="588" max="588" width="8.26953125" bestFit="1" customWidth="1"/>
    <col min="589" max="595" width="9" bestFit="1" customWidth="1"/>
    <col min="596" max="596" width="10" bestFit="1" customWidth="1"/>
    <col min="597" max="597" width="9" bestFit="1" customWidth="1"/>
    <col min="598" max="598" width="8.26953125" bestFit="1" customWidth="1"/>
    <col min="599" max="599" width="10" bestFit="1" customWidth="1"/>
    <col min="600" max="608" width="9" bestFit="1" customWidth="1"/>
    <col min="609" max="609" width="8.26953125" bestFit="1" customWidth="1"/>
    <col min="610" max="610" width="9" bestFit="1" customWidth="1"/>
    <col min="611" max="611" width="10" bestFit="1" customWidth="1"/>
    <col min="612" max="613" width="9" bestFit="1" customWidth="1"/>
    <col min="614" max="614" width="8.26953125" bestFit="1" customWidth="1"/>
    <col min="615" max="623" width="9" bestFit="1" customWidth="1"/>
    <col min="624" max="624" width="10" bestFit="1" customWidth="1"/>
    <col min="625" max="625" width="9" bestFit="1" customWidth="1"/>
    <col min="626" max="626" width="8.26953125" bestFit="1" customWidth="1"/>
    <col min="627" max="638" width="9" bestFit="1" customWidth="1"/>
    <col min="639" max="639" width="8.26953125" bestFit="1" customWidth="1"/>
    <col min="640" max="647" width="9" bestFit="1" customWidth="1"/>
    <col min="648" max="648" width="8.26953125" bestFit="1" customWidth="1"/>
    <col min="649" max="651" width="9" bestFit="1" customWidth="1"/>
    <col min="652" max="652" width="10" bestFit="1" customWidth="1"/>
    <col min="653" max="654" width="9" bestFit="1" customWidth="1"/>
    <col min="655" max="655" width="8.26953125" bestFit="1" customWidth="1"/>
    <col min="656" max="660" width="9" bestFit="1" customWidth="1"/>
    <col min="661" max="661" width="8.26953125" bestFit="1" customWidth="1"/>
    <col min="662" max="690" width="9" bestFit="1" customWidth="1"/>
    <col min="691" max="692" width="8.26953125" bestFit="1" customWidth="1"/>
    <col min="693" max="693" width="9" bestFit="1" customWidth="1"/>
    <col min="694" max="694" width="8.26953125" bestFit="1" customWidth="1"/>
    <col min="695" max="705" width="9" bestFit="1" customWidth="1"/>
    <col min="706" max="706" width="8.26953125" bestFit="1" customWidth="1"/>
    <col min="707" max="715" width="9" bestFit="1" customWidth="1"/>
    <col min="716" max="716" width="8.26953125" bestFit="1" customWidth="1"/>
    <col min="717" max="746" width="9" bestFit="1" customWidth="1"/>
    <col min="747" max="747" width="10" bestFit="1" customWidth="1"/>
    <col min="748" max="749" width="9" bestFit="1" customWidth="1"/>
    <col min="750" max="751" width="10" bestFit="1" customWidth="1"/>
    <col min="752" max="754" width="9" bestFit="1" customWidth="1"/>
    <col min="755" max="755" width="8.26953125" bestFit="1" customWidth="1"/>
    <col min="756" max="757" width="9" bestFit="1" customWidth="1"/>
    <col min="758" max="758" width="10" bestFit="1" customWidth="1"/>
    <col min="759" max="759" width="8.26953125" bestFit="1" customWidth="1"/>
    <col min="760" max="765" width="9" bestFit="1" customWidth="1"/>
    <col min="766" max="766" width="10" bestFit="1" customWidth="1"/>
    <col min="767" max="789" width="9" bestFit="1" customWidth="1"/>
    <col min="790" max="790" width="8.26953125" bestFit="1" customWidth="1"/>
    <col min="791" max="807" width="9" bestFit="1" customWidth="1"/>
    <col min="808" max="808" width="8.26953125" bestFit="1" customWidth="1"/>
    <col min="809" max="811" width="9" bestFit="1" customWidth="1"/>
    <col min="812" max="819" width="10" bestFit="1" customWidth="1"/>
    <col min="820" max="820" width="9" bestFit="1" customWidth="1"/>
    <col min="821" max="827" width="10" bestFit="1" customWidth="1"/>
    <col min="828" max="828" width="8.26953125" bestFit="1" customWidth="1"/>
    <col min="829" max="832" width="10" bestFit="1" customWidth="1"/>
    <col min="833" max="833" width="9" bestFit="1" customWidth="1"/>
    <col min="834" max="834" width="10" bestFit="1" customWidth="1"/>
    <col min="835" max="835" width="9" bestFit="1" customWidth="1"/>
    <col min="836" max="846" width="10" bestFit="1" customWidth="1"/>
    <col min="847" max="847" width="9" bestFit="1" customWidth="1"/>
    <col min="848" max="850" width="10" bestFit="1" customWidth="1"/>
    <col min="851" max="852" width="8.26953125" bestFit="1" customWidth="1"/>
    <col min="853" max="856" width="9" bestFit="1" customWidth="1"/>
    <col min="857" max="861" width="10" bestFit="1" customWidth="1"/>
    <col min="862" max="862" width="9" bestFit="1" customWidth="1"/>
    <col min="863" max="864" width="10" bestFit="1" customWidth="1"/>
    <col min="865" max="865" width="8.26953125" bestFit="1" customWidth="1"/>
    <col min="866" max="872" width="10" bestFit="1" customWidth="1"/>
    <col min="873" max="873" width="9" bestFit="1" customWidth="1"/>
    <col min="874" max="876" width="10" bestFit="1" customWidth="1"/>
    <col min="877" max="878" width="9" bestFit="1" customWidth="1"/>
    <col min="879" max="879" width="10" bestFit="1" customWidth="1"/>
    <col min="880" max="881" width="9" bestFit="1" customWidth="1"/>
    <col min="882" max="885" width="10" bestFit="1" customWidth="1"/>
    <col min="886" max="886" width="9" bestFit="1" customWidth="1"/>
    <col min="887" max="892" width="10" bestFit="1" customWidth="1"/>
    <col min="893" max="894" width="9" bestFit="1" customWidth="1"/>
    <col min="895" max="895" width="8.26953125" bestFit="1" customWidth="1"/>
    <col min="896" max="896" width="9" bestFit="1" customWidth="1"/>
    <col min="897" max="897" width="10" bestFit="1" customWidth="1"/>
    <col min="898" max="901" width="9" bestFit="1" customWidth="1"/>
    <col min="902" max="906" width="10" bestFit="1" customWidth="1"/>
    <col min="907" max="907" width="9" bestFit="1" customWidth="1"/>
    <col min="908" max="911" width="10" bestFit="1" customWidth="1"/>
    <col min="912" max="912" width="9" bestFit="1" customWidth="1"/>
    <col min="913" max="913" width="8.26953125" bestFit="1" customWidth="1"/>
    <col min="914" max="919" width="10" bestFit="1" customWidth="1"/>
    <col min="920" max="924" width="9" bestFit="1" customWidth="1"/>
    <col min="925" max="953" width="10" bestFit="1" customWidth="1"/>
    <col min="954" max="954" width="9" bestFit="1" customWidth="1"/>
    <col min="955" max="958" width="10" bestFit="1" customWidth="1"/>
    <col min="959" max="959" width="9" bestFit="1" customWidth="1"/>
    <col min="960" max="962" width="8.26953125" bestFit="1" customWidth="1"/>
    <col min="963" max="964" width="10" bestFit="1" customWidth="1"/>
    <col min="965" max="965" width="9" bestFit="1" customWidth="1"/>
    <col min="966" max="967" width="10" bestFit="1" customWidth="1"/>
    <col min="968" max="969" width="9" bestFit="1" customWidth="1"/>
    <col min="970" max="970" width="10" bestFit="1" customWidth="1"/>
    <col min="971" max="971" width="9" bestFit="1" customWidth="1"/>
    <col min="972" max="972" width="10" bestFit="1" customWidth="1"/>
    <col min="973" max="974" width="9" bestFit="1" customWidth="1"/>
    <col min="975" max="976" width="10" bestFit="1" customWidth="1"/>
    <col min="977" max="977" width="9" bestFit="1" customWidth="1"/>
    <col min="978" max="985" width="10" bestFit="1" customWidth="1"/>
    <col min="986" max="986" width="9" bestFit="1" customWidth="1"/>
    <col min="987" max="987" width="8.26953125" bestFit="1" customWidth="1"/>
    <col min="988" max="988" width="10" bestFit="1" customWidth="1"/>
    <col min="989" max="989" width="9" bestFit="1" customWidth="1"/>
    <col min="990" max="992" width="10" bestFit="1" customWidth="1"/>
    <col min="993" max="993" width="9" bestFit="1" customWidth="1"/>
    <col min="994" max="1005" width="10" bestFit="1" customWidth="1"/>
    <col min="1006" max="1006" width="8.26953125" bestFit="1" customWidth="1"/>
    <col min="1007" max="1008" width="10" bestFit="1" customWidth="1"/>
    <col min="1009" max="1009" width="9" bestFit="1" customWidth="1"/>
    <col min="1010" max="1023" width="10" bestFit="1" customWidth="1"/>
    <col min="1024" max="1024" width="8.26953125" bestFit="1" customWidth="1"/>
    <col min="1025" max="1032" width="10" bestFit="1" customWidth="1"/>
    <col min="1033" max="1033" width="9" bestFit="1" customWidth="1"/>
    <col min="1034" max="1035" width="10" bestFit="1" customWidth="1"/>
    <col min="1036" max="1036" width="9" bestFit="1" customWidth="1"/>
    <col min="1037" max="1051" width="10" bestFit="1" customWidth="1"/>
    <col min="1052" max="1059" width="9" bestFit="1" customWidth="1"/>
    <col min="1060" max="1060" width="10" bestFit="1" customWidth="1"/>
    <col min="1061" max="1068" width="9" bestFit="1" customWidth="1"/>
    <col min="1069" max="1069" width="10" bestFit="1" customWidth="1"/>
    <col min="1070" max="1077" width="9" bestFit="1" customWidth="1"/>
    <col min="1078" max="1078" width="10" bestFit="1" customWidth="1"/>
    <col min="1079" max="1081" width="9" bestFit="1" customWidth="1"/>
    <col min="1082" max="1082" width="8.26953125" bestFit="1" customWidth="1"/>
    <col min="1083" max="1086" width="9" bestFit="1" customWidth="1"/>
    <col min="1087" max="1087" width="8.26953125" bestFit="1" customWidth="1"/>
    <col min="1088" max="1088" width="9" bestFit="1" customWidth="1"/>
    <col min="1089" max="1092" width="8.26953125" bestFit="1" customWidth="1"/>
    <col min="1093" max="1093" width="9" bestFit="1" customWidth="1"/>
    <col min="1094" max="1094" width="8.26953125" bestFit="1" customWidth="1"/>
    <col min="1095" max="1095" width="10" bestFit="1" customWidth="1"/>
    <col min="1096" max="1096" width="9" bestFit="1" customWidth="1"/>
    <col min="1097" max="1099" width="10" bestFit="1" customWidth="1"/>
    <col min="1100" max="1119" width="9" bestFit="1" customWidth="1"/>
    <col min="1120" max="1120" width="8.26953125" bestFit="1" customWidth="1"/>
    <col min="1121" max="1125" width="9" bestFit="1" customWidth="1"/>
    <col min="1126" max="1126" width="10" bestFit="1" customWidth="1"/>
    <col min="1127" max="1127" width="9" bestFit="1" customWidth="1"/>
    <col min="1128" max="1129" width="10" bestFit="1" customWidth="1"/>
    <col min="1130" max="1136" width="9" bestFit="1" customWidth="1"/>
    <col min="1137" max="1137" width="10" bestFit="1" customWidth="1"/>
    <col min="1138" max="1141" width="9" bestFit="1" customWidth="1"/>
    <col min="1142" max="1142" width="10" bestFit="1" customWidth="1"/>
    <col min="1143" max="1143" width="9" bestFit="1" customWidth="1"/>
    <col min="1144" max="1144" width="10" bestFit="1" customWidth="1"/>
    <col min="1145" max="1148" width="9" bestFit="1" customWidth="1"/>
    <col min="1149" max="1149" width="8.26953125" bestFit="1" customWidth="1"/>
    <col min="1150" max="1152" width="10" bestFit="1" customWidth="1"/>
    <col min="1153" max="1155" width="9" bestFit="1" customWidth="1"/>
    <col min="1156" max="1157" width="10" bestFit="1" customWidth="1"/>
    <col min="1158" max="1159" width="9" bestFit="1" customWidth="1"/>
    <col min="1160" max="1161" width="10" bestFit="1" customWidth="1"/>
    <col min="1162" max="1164" width="9" bestFit="1" customWidth="1"/>
    <col min="1165" max="1165" width="10" bestFit="1" customWidth="1"/>
    <col min="1166" max="1167" width="9" bestFit="1" customWidth="1"/>
    <col min="1168" max="1169" width="10" bestFit="1" customWidth="1"/>
    <col min="1170" max="1171" width="9" bestFit="1" customWidth="1"/>
    <col min="1172" max="1172" width="10" bestFit="1" customWidth="1"/>
    <col min="1173" max="1176" width="9" bestFit="1" customWidth="1"/>
    <col min="1177" max="1178" width="10" bestFit="1" customWidth="1"/>
    <col min="1179" max="1179" width="9" bestFit="1" customWidth="1"/>
    <col min="1180" max="1184" width="10" bestFit="1" customWidth="1"/>
    <col min="1185" max="1185" width="8.26953125" bestFit="1" customWidth="1"/>
    <col min="1186" max="1186" width="10" bestFit="1" customWidth="1"/>
    <col min="1187" max="1187" width="9" bestFit="1" customWidth="1"/>
    <col min="1188" max="1189" width="10" bestFit="1" customWidth="1"/>
    <col min="1190" max="1190" width="8.26953125" bestFit="1" customWidth="1"/>
    <col min="1191" max="1193" width="10" bestFit="1" customWidth="1"/>
    <col min="1194" max="1195" width="9" bestFit="1" customWidth="1"/>
    <col min="1196" max="1196" width="10" bestFit="1" customWidth="1"/>
    <col min="1197" max="1197" width="9" bestFit="1" customWidth="1"/>
    <col min="1198" max="1198" width="10" bestFit="1" customWidth="1"/>
    <col min="1199" max="1199" width="9" bestFit="1" customWidth="1"/>
    <col min="1200" max="1200" width="8.26953125" bestFit="1" customWidth="1"/>
    <col min="1201" max="1201" width="10" bestFit="1" customWidth="1"/>
    <col min="1202" max="1203" width="9" bestFit="1" customWidth="1"/>
    <col min="1204" max="1204" width="8.26953125" bestFit="1" customWidth="1"/>
    <col min="1205" max="1205" width="9" bestFit="1" customWidth="1"/>
    <col min="1206" max="1210" width="10" bestFit="1" customWidth="1"/>
    <col min="1211" max="1211" width="8.26953125" bestFit="1" customWidth="1"/>
    <col min="1212" max="1213" width="9" bestFit="1" customWidth="1"/>
    <col min="1214" max="1222" width="10" bestFit="1" customWidth="1"/>
    <col min="1223" max="1223" width="9" bestFit="1" customWidth="1"/>
    <col min="1224" max="1224" width="8.26953125" bestFit="1" customWidth="1"/>
    <col min="1225" max="1225" width="9" bestFit="1" customWidth="1"/>
    <col min="1226" max="1227" width="10" bestFit="1" customWidth="1"/>
    <col min="1228" max="1231" width="9" bestFit="1" customWidth="1"/>
    <col min="1232" max="1233" width="10" bestFit="1" customWidth="1"/>
    <col min="1234" max="1234" width="9" bestFit="1" customWidth="1"/>
    <col min="1235" max="1236" width="10" bestFit="1" customWidth="1"/>
    <col min="1237" max="1238" width="9" bestFit="1" customWidth="1"/>
    <col min="1239" max="1239" width="10" bestFit="1" customWidth="1"/>
    <col min="1240" max="1240" width="9" bestFit="1" customWidth="1"/>
    <col min="1241" max="1241" width="10" bestFit="1" customWidth="1"/>
    <col min="1242" max="1247" width="9" bestFit="1" customWidth="1"/>
    <col min="1248" max="1249" width="10" bestFit="1" customWidth="1"/>
    <col min="1250" max="1252" width="9" bestFit="1" customWidth="1"/>
    <col min="1253" max="1253" width="10" bestFit="1" customWidth="1"/>
    <col min="1254" max="1261" width="9" bestFit="1" customWidth="1"/>
    <col min="1262" max="1262" width="8.26953125" bestFit="1" customWidth="1"/>
    <col min="1263" max="1264" width="9" bestFit="1" customWidth="1"/>
    <col min="1265" max="1265" width="10" bestFit="1" customWidth="1"/>
    <col min="1266" max="1266" width="9" bestFit="1" customWidth="1"/>
    <col min="1267" max="1267" width="8.26953125" bestFit="1" customWidth="1"/>
    <col min="1268" max="1269" width="9" bestFit="1" customWidth="1"/>
    <col min="1270" max="1270" width="10" bestFit="1" customWidth="1"/>
    <col min="1271" max="1272" width="9" bestFit="1" customWidth="1"/>
    <col min="1273" max="1273" width="8.26953125" bestFit="1" customWidth="1"/>
    <col min="1274" max="1274" width="10" bestFit="1" customWidth="1"/>
    <col min="1275" max="1275" width="8.26953125" bestFit="1" customWidth="1"/>
    <col min="1276" max="1277" width="9" bestFit="1" customWidth="1"/>
    <col min="1278" max="1278" width="10" bestFit="1" customWidth="1"/>
    <col min="1279" max="1282" width="9" bestFit="1" customWidth="1"/>
    <col min="1283" max="1283" width="10" bestFit="1" customWidth="1"/>
    <col min="1284" max="1284" width="9" bestFit="1" customWidth="1"/>
    <col min="1285" max="1286" width="10" bestFit="1" customWidth="1"/>
    <col min="1287" max="1287" width="9" bestFit="1" customWidth="1"/>
    <col min="1288" max="1288" width="8.26953125" bestFit="1" customWidth="1"/>
    <col min="1289" max="1302" width="9" bestFit="1" customWidth="1"/>
    <col min="1303" max="1303" width="10" bestFit="1" customWidth="1"/>
    <col min="1304" max="1310" width="9" bestFit="1" customWidth="1"/>
    <col min="1311" max="1311" width="10" bestFit="1" customWidth="1"/>
    <col min="1312" max="1328" width="9" bestFit="1" customWidth="1"/>
    <col min="1329" max="1330" width="8.26953125" bestFit="1" customWidth="1"/>
    <col min="1331" max="1332" width="9" bestFit="1" customWidth="1"/>
    <col min="1333" max="1333" width="8.26953125" bestFit="1" customWidth="1"/>
    <col min="1334" max="1339" width="9" bestFit="1" customWidth="1"/>
    <col min="1340" max="1340" width="8.26953125" bestFit="1" customWidth="1"/>
    <col min="1341" max="1346" width="9" bestFit="1" customWidth="1"/>
    <col min="1347" max="1347" width="10" bestFit="1" customWidth="1"/>
    <col min="1348" max="1351" width="9" bestFit="1" customWidth="1"/>
    <col min="1352" max="1352" width="8.26953125" bestFit="1" customWidth="1"/>
    <col min="1353" max="1356" width="9" bestFit="1" customWidth="1"/>
    <col min="1357" max="1357" width="8.26953125" bestFit="1" customWidth="1"/>
    <col min="1358" max="1363" width="9" bestFit="1" customWidth="1"/>
    <col min="1364" max="1364" width="8.26953125" bestFit="1" customWidth="1"/>
    <col min="1365" max="1365" width="10" bestFit="1" customWidth="1"/>
    <col min="1366" max="1379" width="9" bestFit="1" customWidth="1"/>
    <col min="1380" max="1380" width="10" bestFit="1" customWidth="1"/>
    <col min="1381" max="1381" width="9" bestFit="1" customWidth="1"/>
    <col min="1382" max="1382" width="10" bestFit="1" customWidth="1"/>
    <col min="1383" max="1392" width="9" bestFit="1" customWidth="1"/>
    <col min="1393" max="1393" width="8.26953125" bestFit="1" customWidth="1"/>
    <col min="1394" max="1394" width="9" bestFit="1" customWidth="1"/>
    <col min="1395" max="1396" width="10" bestFit="1" customWidth="1"/>
    <col min="1397" max="1399" width="9" bestFit="1" customWidth="1"/>
    <col min="1400" max="1400" width="8.26953125" bestFit="1" customWidth="1"/>
    <col min="1401" max="1403" width="9" bestFit="1" customWidth="1"/>
    <col min="1404" max="1404" width="10" bestFit="1" customWidth="1"/>
    <col min="1405" max="1419" width="9" bestFit="1" customWidth="1"/>
    <col min="1420" max="1421" width="8.26953125" bestFit="1" customWidth="1"/>
    <col min="1422" max="1423" width="9" bestFit="1" customWidth="1"/>
    <col min="1424" max="1425" width="10" bestFit="1" customWidth="1"/>
    <col min="1426" max="1427" width="9" bestFit="1" customWidth="1"/>
    <col min="1428" max="1428" width="8.26953125" bestFit="1" customWidth="1"/>
    <col min="1429" max="1429" width="10" bestFit="1" customWidth="1"/>
    <col min="1430" max="1432" width="9" bestFit="1" customWidth="1"/>
    <col min="1433" max="1434" width="10" bestFit="1" customWidth="1"/>
    <col min="1435" max="1435" width="9" bestFit="1" customWidth="1"/>
    <col min="1436" max="1439" width="10" bestFit="1" customWidth="1"/>
    <col min="1440" max="1442" width="9" bestFit="1" customWidth="1"/>
    <col min="1443" max="1443" width="10" bestFit="1" customWidth="1"/>
    <col min="1444" max="1445" width="9" bestFit="1" customWidth="1"/>
    <col min="1446" max="1447" width="10" bestFit="1" customWidth="1"/>
    <col min="1448" max="1449" width="9" bestFit="1" customWidth="1"/>
    <col min="1450" max="1451" width="8.26953125" bestFit="1" customWidth="1"/>
    <col min="1452" max="1454" width="9" bestFit="1" customWidth="1"/>
    <col min="1455" max="1456" width="10" bestFit="1" customWidth="1"/>
    <col min="1457" max="1465" width="9" bestFit="1" customWidth="1"/>
    <col min="1466" max="1466" width="8.26953125" bestFit="1" customWidth="1"/>
    <col min="1467" max="1468" width="9" bestFit="1" customWidth="1"/>
    <col min="1469" max="1470" width="10" bestFit="1" customWidth="1"/>
    <col min="1471" max="1474" width="9" bestFit="1" customWidth="1"/>
    <col min="1475" max="1475" width="8.26953125" bestFit="1" customWidth="1"/>
    <col min="1476" max="1476" width="10" bestFit="1" customWidth="1"/>
    <col min="1477" max="1484" width="9" bestFit="1" customWidth="1"/>
    <col min="1485" max="1485" width="8.26953125" bestFit="1" customWidth="1"/>
    <col min="1486" max="1486" width="10" bestFit="1" customWidth="1"/>
    <col min="1487" max="1488" width="9" bestFit="1" customWidth="1"/>
    <col min="1489" max="1489" width="10" bestFit="1" customWidth="1"/>
    <col min="1490" max="1491" width="8.26953125" bestFit="1" customWidth="1"/>
    <col min="1492" max="1493" width="9" bestFit="1" customWidth="1"/>
    <col min="1494" max="1494" width="8.26953125" bestFit="1" customWidth="1"/>
    <col min="1495" max="1500" width="9" bestFit="1" customWidth="1"/>
    <col min="1501" max="1501" width="10" bestFit="1" customWidth="1"/>
    <col min="1502" max="1504" width="9" bestFit="1" customWidth="1"/>
    <col min="1505" max="1507" width="10" bestFit="1" customWidth="1"/>
    <col min="1508" max="1508" width="9" bestFit="1" customWidth="1"/>
    <col min="1509" max="1509" width="10" bestFit="1" customWidth="1"/>
    <col min="1510" max="1511" width="8.26953125" bestFit="1" customWidth="1"/>
    <col min="1512" max="1516" width="9" bestFit="1" customWidth="1"/>
    <col min="1517" max="1518" width="8.26953125" bestFit="1" customWidth="1"/>
    <col min="1519" max="1519" width="9" bestFit="1" customWidth="1"/>
    <col min="1520" max="1520" width="10" bestFit="1" customWidth="1"/>
    <col min="1521" max="1532" width="9" bestFit="1" customWidth="1"/>
    <col min="1533" max="1533" width="8.26953125" bestFit="1" customWidth="1"/>
    <col min="1534" max="1585" width="9" bestFit="1" customWidth="1"/>
    <col min="1586" max="1586" width="8.26953125" bestFit="1" customWidth="1"/>
    <col min="1587" max="1589" width="9" bestFit="1" customWidth="1"/>
    <col min="1590" max="1590" width="8.26953125" bestFit="1" customWidth="1"/>
    <col min="1591" max="1608" width="9" bestFit="1" customWidth="1"/>
    <col min="1609" max="1609" width="10" bestFit="1" customWidth="1"/>
    <col min="1610" max="1616" width="9" bestFit="1" customWidth="1"/>
    <col min="1617" max="1617" width="10" bestFit="1" customWidth="1"/>
    <col min="1618" max="1618" width="9" bestFit="1" customWidth="1"/>
    <col min="1619" max="1619" width="10" bestFit="1" customWidth="1"/>
    <col min="1620" max="1632" width="9" bestFit="1" customWidth="1"/>
    <col min="1633" max="1633" width="10" bestFit="1" customWidth="1"/>
    <col min="1634" max="1638" width="9" bestFit="1" customWidth="1"/>
    <col min="1639" max="1639" width="10" bestFit="1" customWidth="1"/>
    <col min="1640" max="1657" width="9" bestFit="1" customWidth="1"/>
    <col min="1658" max="1658" width="8.26953125" bestFit="1" customWidth="1"/>
    <col min="1659" max="1667" width="9" bestFit="1" customWidth="1"/>
    <col min="1668" max="1668" width="8.26953125" bestFit="1" customWidth="1"/>
    <col min="1669" max="1669" width="9" bestFit="1" customWidth="1"/>
    <col min="1670" max="1670" width="8.26953125" bestFit="1" customWidth="1"/>
    <col min="1671" max="1673" width="9" bestFit="1" customWidth="1"/>
    <col min="1674" max="1674" width="8.26953125" bestFit="1" customWidth="1"/>
    <col min="1675" max="1676" width="9" bestFit="1" customWidth="1"/>
    <col min="1677" max="1677" width="10" bestFit="1" customWidth="1"/>
    <col min="1678" max="1680" width="9" bestFit="1" customWidth="1"/>
    <col min="1681" max="1682" width="10" bestFit="1" customWidth="1"/>
    <col min="1683" max="1683" width="8.26953125" bestFit="1" customWidth="1"/>
    <col min="1684" max="1684" width="9" bestFit="1" customWidth="1"/>
    <col min="1685" max="1685" width="8.26953125" bestFit="1" customWidth="1"/>
    <col min="1686" max="1693" width="9" bestFit="1" customWidth="1"/>
    <col min="1694" max="1694" width="8.26953125" bestFit="1" customWidth="1"/>
    <col min="1695" max="1695" width="10" bestFit="1" customWidth="1"/>
    <col min="1696" max="1696" width="8.26953125" bestFit="1" customWidth="1"/>
    <col min="1697" max="1697" width="9" bestFit="1" customWidth="1"/>
    <col min="1698" max="1699" width="10" bestFit="1" customWidth="1"/>
    <col min="1700" max="1710" width="9" bestFit="1" customWidth="1"/>
    <col min="1711" max="1711" width="10" bestFit="1" customWidth="1"/>
    <col min="1712" max="1713" width="9" bestFit="1" customWidth="1"/>
    <col min="1714" max="1716" width="10" bestFit="1" customWidth="1"/>
    <col min="1717" max="1717" width="8.26953125" bestFit="1" customWidth="1"/>
    <col min="1718" max="1722" width="9" bestFit="1" customWidth="1"/>
    <col min="1723" max="1723" width="10" bestFit="1" customWidth="1"/>
    <col min="1724" max="1751" width="9" bestFit="1" customWidth="1"/>
    <col min="1752" max="1752" width="10" bestFit="1" customWidth="1"/>
    <col min="1753" max="1753" width="9" bestFit="1" customWidth="1"/>
    <col min="1754" max="1755" width="10" bestFit="1" customWidth="1"/>
    <col min="1756" max="1758" width="9" bestFit="1" customWidth="1"/>
    <col min="1759" max="1759" width="10" bestFit="1" customWidth="1"/>
    <col min="1760" max="1760" width="9" bestFit="1" customWidth="1"/>
    <col min="1761" max="1763" width="10" bestFit="1" customWidth="1"/>
    <col min="1764" max="1769" width="9" bestFit="1" customWidth="1"/>
    <col min="1770" max="1770" width="8.26953125" bestFit="1" customWidth="1"/>
    <col min="1771" max="1771" width="10" bestFit="1" customWidth="1"/>
    <col min="1772" max="1772" width="9" bestFit="1" customWidth="1"/>
    <col min="1773" max="1773" width="8.26953125" bestFit="1" customWidth="1"/>
    <col min="1774" max="1775" width="9" bestFit="1" customWidth="1"/>
    <col min="1776" max="1776" width="10" bestFit="1" customWidth="1"/>
    <col min="1777" max="1777" width="9" bestFit="1" customWidth="1"/>
    <col min="1778" max="1778" width="8.26953125" bestFit="1" customWidth="1"/>
    <col min="1779" max="1780" width="10" bestFit="1" customWidth="1"/>
    <col min="1781" max="1782" width="8.26953125" bestFit="1" customWidth="1"/>
    <col min="1783" max="1788" width="9" bestFit="1" customWidth="1"/>
    <col min="1789" max="1790" width="8.26953125" bestFit="1" customWidth="1"/>
    <col min="1791" max="1801" width="9" bestFit="1" customWidth="1"/>
    <col min="1802" max="1802" width="8.26953125" bestFit="1" customWidth="1"/>
    <col min="1803" max="1811" width="9" bestFit="1" customWidth="1"/>
    <col min="1812" max="1812" width="10" bestFit="1" customWidth="1"/>
    <col min="1813" max="1818" width="9" bestFit="1" customWidth="1"/>
    <col min="1819" max="1819" width="10" bestFit="1" customWidth="1"/>
    <col min="1820" max="1821" width="9" bestFit="1" customWidth="1"/>
    <col min="1822" max="1822" width="8.26953125" bestFit="1" customWidth="1"/>
    <col min="1823" max="1825" width="9" bestFit="1" customWidth="1"/>
    <col min="1826" max="1826" width="8.26953125" bestFit="1" customWidth="1"/>
    <col min="1827" max="1838" width="9" bestFit="1" customWidth="1"/>
    <col min="1839" max="1839" width="10" bestFit="1" customWidth="1"/>
    <col min="1840" max="1842" width="9" bestFit="1" customWidth="1"/>
    <col min="1843" max="1843" width="8.26953125" bestFit="1" customWidth="1"/>
    <col min="1844" max="1862" width="9" bestFit="1" customWidth="1"/>
    <col min="1863" max="1863" width="10" bestFit="1" customWidth="1"/>
    <col min="1864" max="1889" width="9" bestFit="1" customWidth="1"/>
    <col min="1890" max="1890" width="10" bestFit="1" customWidth="1"/>
    <col min="1891" max="1913" width="9" bestFit="1" customWidth="1"/>
    <col min="1914" max="1914" width="10" bestFit="1" customWidth="1"/>
    <col min="1915" max="1917" width="9" bestFit="1" customWidth="1"/>
    <col min="1918" max="1918" width="8.26953125" bestFit="1" customWidth="1"/>
    <col min="1919" max="1938" width="9" bestFit="1" customWidth="1"/>
    <col min="1939" max="1940" width="8.26953125" bestFit="1" customWidth="1"/>
    <col min="1941" max="1943" width="9" bestFit="1" customWidth="1"/>
    <col min="1944" max="1944" width="10" bestFit="1" customWidth="1"/>
    <col min="1945" max="1962" width="9" bestFit="1" customWidth="1"/>
    <col min="1963" max="1963" width="10" bestFit="1" customWidth="1"/>
    <col min="1964" max="1965" width="9" bestFit="1" customWidth="1"/>
    <col min="1966" max="1966" width="10" bestFit="1" customWidth="1"/>
    <col min="1967" max="1967" width="9" bestFit="1" customWidth="1"/>
    <col min="1968" max="1968" width="8.26953125" bestFit="1" customWidth="1"/>
    <col min="1969" max="1973" width="9" bestFit="1" customWidth="1"/>
    <col min="1974" max="1974" width="8.26953125" bestFit="1" customWidth="1"/>
    <col min="1975" max="1988" width="9" bestFit="1" customWidth="1"/>
    <col min="1989" max="1989" width="10" bestFit="1" customWidth="1"/>
    <col min="1990" max="2000" width="9" bestFit="1" customWidth="1"/>
    <col min="2001" max="2001" width="8.26953125" bestFit="1" customWidth="1"/>
    <col min="2002" max="2009" width="9" bestFit="1" customWidth="1"/>
    <col min="2010" max="2010" width="8.26953125" bestFit="1" customWidth="1"/>
    <col min="2011" max="2019" width="9" bestFit="1" customWidth="1"/>
    <col min="2020" max="2020" width="8.26953125" bestFit="1" customWidth="1"/>
    <col min="2021" max="2026" width="9" bestFit="1" customWidth="1"/>
    <col min="2027" max="2027" width="8.26953125" bestFit="1" customWidth="1"/>
    <col min="2028" max="2030" width="9" bestFit="1" customWidth="1"/>
    <col min="2031" max="2031" width="8.26953125" bestFit="1" customWidth="1"/>
    <col min="2032" max="2032" width="9" bestFit="1" customWidth="1"/>
    <col min="2033" max="2033" width="8.26953125" bestFit="1" customWidth="1"/>
    <col min="2034" max="2036" width="9" bestFit="1" customWidth="1"/>
    <col min="2037" max="2037" width="10" bestFit="1" customWidth="1"/>
    <col min="2038" max="2044" width="9" bestFit="1" customWidth="1"/>
    <col min="2045" max="2045" width="10" bestFit="1" customWidth="1"/>
    <col min="2046" max="2055" width="9" bestFit="1" customWidth="1"/>
    <col min="2056" max="2056" width="10" bestFit="1" customWidth="1"/>
    <col min="2057" max="2062" width="9" bestFit="1" customWidth="1"/>
    <col min="2063" max="2063" width="8.26953125" bestFit="1" customWidth="1"/>
    <col min="2064" max="2079" width="9" bestFit="1" customWidth="1"/>
    <col min="2080" max="2080" width="10" bestFit="1" customWidth="1"/>
    <col min="2081" max="2082" width="9" bestFit="1" customWidth="1"/>
    <col min="2083" max="2083" width="10" bestFit="1" customWidth="1"/>
    <col min="2084" max="2084" width="9" bestFit="1" customWidth="1"/>
    <col min="2085" max="2085" width="8.26953125" bestFit="1" customWidth="1"/>
    <col min="2086" max="2091" width="9" bestFit="1" customWidth="1"/>
    <col min="2092" max="2092" width="10" bestFit="1" customWidth="1"/>
    <col min="2093" max="2095" width="9" bestFit="1" customWidth="1"/>
    <col min="2096" max="2096" width="8.26953125" bestFit="1" customWidth="1"/>
    <col min="2097" max="2100" width="9" bestFit="1" customWidth="1"/>
    <col min="2101" max="2101" width="8.26953125" bestFit="1" customWidth="1"/>
    <col min="2102" max="2102" width="9" bestFit="1" customWidth="1"/>
    <col min="2103" max="2103" width="10" bestFit="1" customWidth="1"/>
    <col min="2104" max="2104" width="8.26953125" bestFit="1" customWidth="1"/>
    <col min="2105" max="2105" width="10" bestFit="1" customWidth="1"/>
    <col min="2106" max="2110" width="9" bestFit="1" customWidth="1"/>
    <col min="2111" max="2111" width="8.26953125" bestFit="1" customWidth="1"/>
    <col min="2112" max="2114" width="9" bestFit="1" customWidth="1"/>
    <col min="2115" max="2115" width="10" bestFit="1" customWidth="1"/>
    <col min="2116" max="2141" width="9" bestFit="1" customWidth="1"/>
    <col min="2142" max="2143" width="10" bestFit="1" customWidth="1"/>
    <col min="2144" max="2144" width="9" bestFit="1" customWidth="1"/>
    <col min="2145" max="2153" width="10" bestFit="1" customWidth="1"/>
    <col min="2154" max="2154" width="8.26953125" bestFit="1" customWidth="1"/>
    <col min="2155" max="2155" width="9" bestFit="1" customWidth="1"/>
    <col min="2156" max="2178" width="10" bestFit="1" customWidth="1"/>
    <col min="2179" max="2179" width="9" bestFit="1" customWidth="1"/>
    <col min="2180" max="2195" width="10" bestFit="1" customWidth="1"/>
    <col min="2196" max="2196" width="8.26953125" bestFit="1" customWidth="1"/>
    <col min="2197" max="2197" width="10" bestFit="1" customWidth="1"/>
    <col min="2198" max="2198" width="9" bestFit="1" customWidth="1"/>
    <col min="2199" max="2209" width="10" bestFit="1" customWidth="1"/>
    <col min="2210" max="2210" width="9" bestFit="1" customWidth="1"/>
    <col min="2211" max="2231" width="10" bestFit="1" customWidth="1"/>
    <col min="2232" max="2232" width="8.26953125" bestFit="1" customWidth="1"/>
    <col min="2233" max="2237" width="10" bestFit="1" customWidth="1"/>
    <col min="2238" max="2238" width="9" bestFit="1" customWidth="1"/>
    <col min="2239" max="2242" width="10" bestFit="1" customWidth="1"/>
    <col min="2243" max="2243" width="9" bestFit="1" customWidth="1"/>
    <col min="2244" max="2246" width="10" bestFit="1" customWidth="1"/>
    <col min="2247" max="2247" width="9" bestFit="1" customWidth="1"/>
    <col min="2248" max="2251" width="10" bestFit="1" customWidth="1"/>
    <col min="2252" max="2256" width="9" bestFit="1" customWidth="1"/>
    <col min="2257" max="2258" width="10" bestFit="1" customWidth="1"/>
    <col min="2259" max="2263" width="9" bestFit="1" customWidth="1"/>
    <col min="2264" max="2264" width="8.26953125" bestFit="1" customWidth="1"/>
    <col min="2265" max="2268" width="9" bestFit="1" customWidth="1"/>
    <col min="2269" max="2269" width="10" bestFit="1" customWidth="1"/>
    <col min="2270" max="2272" width="9" bestFit="1" customWidth="1"/>
    <col min="2273" max="2273" width="10" bestFit="1" customWidth="1"/>
    <col min="2274" max="2277" width="9" bestFit="1" customWidth="1"/>
    <col min="2278" max="2280" width="10" bestFit="1" customWidth="1"/>
    <col min="2281" max="2281" width="8.26953125" bestFit="1" customWidth="1"/>
    <col min="2282" max="2282" width="9" bestFit="1" customWidth="1"/>
    <col min="2283" max="2283" width="10" bestFit="1" customWidth="1"/>
    <col min="2284" max="2284" width="9" bestFit="1" customWidth="1"/>
    <col min="2285" max="2285" width="8.26953125" bestFit="1" customWidth="1"/>
    <col min="2286" max="2289" width="10" bestFit="1" customWidth="1"/>
    <col min="2290" max="2290" width="9" bestFit="1" customWidth="1"/>
    <col min="2291" max="2291" width="10" bestFit="1" customWidth="1"/>
    <col min="2292" max="2292" width="9" bestFit="1" customWidth="1"/>
    <col min="2293" max="2293" width="10" bestFit="1" customWidth="1"/>
    <col min="2294" max="2296" width="9" bestFit="1" customWidth="1"/>
    <col min="2297" max="2297" width="10" bestFit="1" customWidth="1"/>
    <col min="2298" max="2299" width="9" bestFit="1" customWidth="1"/>
    <col min="2300" max="2303" width="10" bestFit="1" customWidth="1"/>
    <col min="2304" max="2304" width="9" bestFit="1" customWidth="1"/>
    <col min="2305" max="2305" width="10" bestFit="1" customWidth="1"/>
    <col min="2306" max="2307" width="9" bestFit="1" customWidth="1"/>
    <col min="2308" max="2311" width="10" bestFit="1" customWidth="1"/>
    <col min="2312" max="2312" width="8.26953125" bestFit="1" customWidth="1"/>
    <col min="2313" max="2314" width="9" bestFit="1" customWidth="1"/>
    <col min="2315" max="2315" width="8.26953125" bestFit="1" customWidth="1"/>
    <col min="2316" max="2318" width="9" bestFit="1" customWidth="1"/>
    <col min="2319" max="2320" width="10" bestFit="1" customWidth="1"/>
    <col min="2321" max="2322" width="9" bestFit="1" customWidth="1"/>
    <col min="2323" max="2323" width="10" bestFit="1" customWidth="1"/>
    <col min="2324" max="2325" width="9" bestFit="1" customWidth="1"/>
    <col min="2326" max="2326" width="10" bestFit="1" customWidth="1"/>
    <col min="2327" max="2327" width="9" bestFit="1" customWidth="1"/>
    <col min="2328" max="2328" width="10" bestFit="1" customWidth="1"/>
    <col min="2329" max="2329" width="9" bestFit="1" customWidth="1"/>
    <col min="2330" max="2332" width="10" bestFit="1" customWidth="1"/>
    <col min="2333" max="2333" width="9" bestFit="1" customWidth="1"/>
    <col min="2334" max="2336" width="10" bestFit="1" customWidth="1"/>
    <col min="2337" max="2337" width="8.26953125" bestFit="1" customWidth="1"/>
    <col min="2338" max="2338" width="10" bestFit="1" customWidth="1"/>
    <col min="2339" max="2339" width="8.26953125" bestFit="1" customWidth="1"/>
    <col min="2340" max="2341" width="9" bestFit="1" customWidth="1"/>
    <col min="2342" max="2342" width="10" bestFit="1" customWidth="1"/>
    <col min="2343" max="2344" width="8.26953125" bestFit="1" customWidth="1"/>
    <col min="2345" max="2345" width="9" bestFit="1" customWidth="1"/>
    <col min="2346" max="2346" width="8.26953125" bestFit="1" customWidth="1"/>
    <col min="2347" max="2349" width="9" bestFit="1" customWidth="1"/>
    <col min="2350" max="2350" width="10" bestFit="1" customWidth="1"/>
    <col min="2351" max="2353" width="9" bestFit="1" customWidth="1"/>
    <col min="2354" max="2355" width="10" bestFit="1" customWidth="1"/>
    <col min="2356" max="2356" width="9" bestFit="1" customWidth="1"/>
    <col min="2357" max="2358" width="10" bestFit="1" customWidth="1"/>
    <col min="2359" max="2359" width="8.26953125" bestFit="1" customWidth="1"/>
    <col min="2360" max="2361" width="9" bestFit="1" customWidth="1"/>
    <col min="2362" max="2362" width="8.26953125" bestFit="1" customWidth="1"/>
    <col min="2363" max="2380" width="9" bestFit="1" customWidth="1"/>
    <col min="2381" max="2381" width="8.26953125" bestFit="1" customWidth="1"/>
    <col min="2382" max="2382" width="10" bestFit="1" customWidth="1"/>
    <col min="2383" max="2390" width="9" bestFit="1" customWidth="1"/>
    <col min="2391" max="2392" width="8.26953125" bestFit="1" customWidth="1"/>
    <col min="2393" max="2394" width="10" bestFit="1" customWidth="1"/>
    <col min="2395" max="2395" width="9" bestFit="1" customWidth="1"/>
    <col min="2396" max="2400" width="10" bestFit="1" customWidth="1"/>
    <col min="2401" max="2401" width="9" bestFit="1" customWidth="1"/>
    <col min="2402" max="2402" width="10" bestFit="1" customWidth="1"/>
    <col min="2403" max="2403" width="9" bestFit="1" customWidth="1"/>
    <col min="2404" max="2404" width="10" bestFit="1" customWidth="1"/>
    <col min="2405" max="2405" width="9" bestFit="1" customWidth="1"/>
    <col min="2406" max="2408" width="10" bestFit="1" customWidth="1"/>
    <col min="2409" max="2411" width="9" bestFit="1" customWidth="1"/>
    <col min="2412" max="2412" width="8.26953125" bestFit="1" customWidth="1"/>
    <col min="2413" max="2414" width="10" bestFit="1" customWidth="1"/>
    <col min="2415" max="2415" width="9" bestFit="1" customWidth="1"/>
    <col min="2416" max="2417" width="10" bestFit="1" customWidth="1"/>
    <col min="2418" max="2421" width="9" bestFit="1" customWidth="1"/>
    <col min="2422" max="2422" width="10" bestFit="1" customWidth="1"/>
    <col min="2423" max="2423" width="9" bestFit="1" customWidth="1"/>
    <col min="2424" max="2424" width="10" bestFit="1" customWidth="1"/>
    <col min="2425" max="2426" width="9" bestFit="1" customWidth="1"/>
    <col min="2427" max="2427" width="8.26953125" bestFit="1" customWidth="1"/>
    <col min="2428" max="2431" width="9" bestFit="1" customWidth="1"/>
    <col min="2432" max="2433" width="10" bestFit="1" customWidth="1"/>
    <col min="2434" max="2434" width="8.26953125" bestFit="1" customWidth="1"/>
    <col min="2435" max="2436" width="9" bestFit="1" customWidth="1"/>
    <col min="2437" max="2437" width="10" bestFit="1" customWidth="1"/>
    <col min="2438" max="2440" width="9" bestFit="1" customWidth="1"/>
    <col min="2441" max="2442" width="10" bestFit="1" customWidth="1"/>
    <col min="2443" max="2443" width="9" bestFit="1" customWidth="1"/>
    <col min="2444" max="2444" width="10" bestFit="1" customWidth="1"/>
    <col min="2445" max="2450" width="9" bestFit="1" customWidth="1"/>
    <col min="2451" max="2453" width="10" bestFit="1" customWidth="1"/>
    <col min="2454" max="2455" width="9" bestFit="1" customWidth="1"/>
    <col min="2456" max="2456" width="10" bestFit="1" customWidth="1"/>
    <col min="2457" max="2458" width="9" bestFit="1" customWidth="1"/>
    <col min="2459" max="2459" width="10" bestFit="1" customWidth="1"/>
    <col min="2460" max="2460" width="9" bestFit="1" customWidth="1"/>
    <col min="2461" max="2461" width="10" bestFit="1" customWidth="1"/>
    <col min="2462" max="2464" width="9" bestFit="1" customWidth="1"/>
    <col min="2465" max="2465" width="10" bestFit="1" customWidth="1"/>
    <col min="2466" max="2466" width="9" bestFit="1" customWidth="1"/>
    <col min="2467" max="2467" width="8.26953125" bestFit="1" customWidth="1"/>
    <col min="2468" max="2471" width="9" bestFit="1" customWidth="1"/>
    <col min="2472" max="2472" width="10" bestFit="1" customWidth="1"/>
    <col min="2473" max="2475" width="9" bestFit="1" customWidth="1"/>
    <col min="2476" max="2477" width="10" bestFit="1" customWidth="1"/>
    <col min="2478" max="2478" width="9" bestFit="1" customWidth="1"/>
    <col min="2479" max="2479" width="10" bestFit="1" customWidth="1"/>
    <col min="2480" max="2482" width="9" bestFit="1" customWidth="1"/>
    <col min="2483" max="2486" width="10" bestFit="1" customWidth="1"/>
    <col min="2487" max="2488" width="9" bestFit="1" customWidth="1"/>
    <col min="2489" max="2489" width="10" bestFit="1" customWidth="1"/>
    <col min="2490" max="2490" width="9" bestFit="1" customWidth="1"/>
    <col min="2491" max="2491" width="10" bestFit="1" customWidth="1"/>
    <col min="2492" max="2492" width="9" bestFit="1" customWidth="1"/>
    <col min="2493" max="2494" width="10" bestFit="1" customWidth="1"/>
    <col min="2495" max="2495" width="8.26953125" bestFit="1" customWidth="1"/>
    <col min="2496" max="2496" width="9" bestFit="1" customWidth="1"/>
    <col min="2497" max="2497" width="10" bestFit="1" customWidth="1"/>
    <col min="2498" max="2498" width="9" bestFit="1" customWidth="1"/>
    <col min="2499" max="2500" width="10" bestFit="1" customWidth="1"/>
    <col min="2501" max="2501" width="8.26953125" bestFit="1" customWidth="1"/>
    <col min="2502" max="2504" width="9" bestFit="1" customWidth="1"/>
    <col min="2505" max="2505" width="10" bestFit="1" customWidth="1"/>
    <col min="2506" max="2506" width="9" bestFit="1" customWidth="1"/>
    <col min="2507" max="2508" width="8.26953125" bestFit="1" customWidth="1"/>
    <col min="2509" max="2509" width="9" bestFit="1" customWidth="1"/>
    <col min="2510" max="2510" width="10" bestFit="1" customWidth="1"/>
    <col min="2511" max="2511" width="9" bestFit="1" customWidth="1"/>
    <col min="2512" max="2512" width="8.26953125" bestFit="1" customWidth="1"/>
    <col min="2513" max="2517" width="9" bestFit="1" customWidth="1"/>
    <col min="2518" max="2520" width="10" bestFit="1" customWidth="1"/>
    <col min="2521" max="2527" width="9" bestFit="1" customWidth="1"/>
    <col min="2528" max="2528" width="10" bestFit="1" customWidth="1"/>
    <col min="2529" max="2530" width="9" bestFit="1" customWidth="1"/>
    <col min="2531" max="2531" width="10" bestFit="1" customWidth="1"/>
    <col min="2532" max="2533" width="9" bestFit="1" customWidth="1"/>
    <col min="2534" max="2534" width="10" bestFit="1" customWidth="1"/>
    <col min="2535" max="2536" width="9" bestFit="1" customWidth="1"/>
    <col min="2537" max="2537" width="10" bestFit="1" customWidth="1"/>
    <col min="2538" max="2538" width="9" bestFit="1" customWidth="1"/>
    <col min="2539" max="2539" width="10" bestFit="1" customWidth="1"/>
    <col min="2540" max="2540" width="8.26953125" bestFit="1" customWidth="1"/>
    <col min="2541" max="2542" width="9" bestFit="1" customWidth="1"/>
    <col min="2543" max="2543" width="8.26953125" bestFit="1" customWidth="1"/>
    <col min="2544" max="2544" width="9" bestFit="1" customWidth="1"/>
    <col min="2545" max="2545" width="8.26953125" bestFit="1" customWidth="1"/>
    <col min="2546" max="2548" width="10" bestFit="1" customWidth="1"/>
    <col min="2549" max="2551" width="9" bestFit="1" customWidth="1"/>
    <col min="2552" max="2552" width="10" bestFit="1" customWidth="1"/>
    <col min="2553" max="2555" width="9" bestFit="1" customWidth="1"/>
    <col min="2556" max="2558" width="10" bestFit="1" customWidth="1"/>
    <col min="2559" max="2562" width="9" bestFit="1" customWidth="1"/>
    <col min="2563" max="2563" width="10" bestFit="1" customWidth="1"/>
    <col min="2564" max="2564" width="9" bestFit="1" customWidth="1"/>
    <col min="2565" max="2566" width="10" bestFit="1" customWidth="1"/>
    <col min="2567" max="2569" width="9" bestFit="1" customWidth="1"/>
    <col min="2570" max="2572" width="8.26953125" bestFit="1" customWidth="1"/>
    <col min="2573" max="2575" width="9" bestFit="1" customWidth="1"/>
    <col min="2576" max="2576" width="8.26953125" bestFit="1" customWidth="1"/>
    <col min="2577" max="2579" width="9" bestFit="1" customWidth="1"/>
    <col min="2580" max="2580" width="8.26953125" bestFit="1" customWidth="1"/>
    <col min="2581" max="2588" width="9" bestFit="1" customWidth="1"/>
    <col min="2589" max="2589" width="8.26953125" bestFit="1" customWidth="1"/>
    <col min="2590" max="2590" width="9" bestFit="1" customWidth="1"/>
    <col min="2591" max="2593" width="10" bestFit="1" customWidth="1"/>
    <col min="2594" max="2594" width="9" bestFit="1" customWidth="1"/>
    <col min="2595" max="2596" width="10" bestFit="1" customWidth="1"/>
    <col min="2597" max="2599" width="9" bestFit="1" customWidth="1"/>
    <col min="2600" max="2600" width="8.26953125" bestFit="1" customWidth="1"/>
    <col min="2601" max="2601" width="9" bestFit="1" customWidth="1"/>
    <col min="2602" max="2602" width="10" bestFit="1" customWidth="1"/>
    <col min="2603" max="2604" width="9" bestFit="1" customWidth="1"/>
    <col min="2605" max="2605" width="10" bestFit="1" customWidth="1"/>
    <col min="2606" max="2606" width="9" bestFit="1" customWidth="1"/>
    <col min="2607" max="2608" width="10" bestFit="1" customWidth="1"/>
    <col min="2609" max="2611" width="8.26953125" bestFit="1" customWidth="1"/>
    <col min="2612" max="2621" width="9" bestFit="1" customWidth="1"/>
    <col min="2622" max="2622" width="10" bestFit="1" customWidth="1"/>
    <col min="2623" max="2630" width="9" bestFit="1" customWidth="1"/>
    <col min="2631" max="2631" width="8.26953125" bestFit="1" customWidth="1"/>
    <col min="2632" max="2639" width="9" bestFit="1" customWidth="1"/>
    <col min="2640" max="2640" width="10" bestFit="1" customWidth="1"/>
    <col min="2641" max="2641" width="9" bestFit="1" customWidth="1"/>
    <col min="2642" max="2642" width="10" bestFit="1" customWidth="1"/>
    <col min="2643" max="2646" width="9" bestFit="1" customWidth="1"/>
    <col min="2647" max="2648" width="8.26953125" bestFit="1" customWidth="1"/>
    <col min="2649" max="2649" width="9" bestFit="1" customWidth="1"/>
    <col min="2650" max="2650" width="8.26953125" bestFit="1" customWidth="1"/>
    <col min="2651" max="2651" width="10" bestFit="1" customWidth="1"/>
    <col min="2652" max="2652" width="8.26953125" bestFit="1" customWidth="1"/>
    <col min="2653" max="2655" width="10" bestFit="1" customWidth="1"/>
    <col min="2656" max="2660" width="9" bestFit="1" customWidth="1"/>
    <col min="2661" max="2662" width="8.26953125" bestFit="1" customWidth="1"/>
    <col min="2663" max="2670" width="9" bestFit="1" customWidth="1"/>
    <col min="2671" max="2671" width="10" bestFit="1" customWidth="1"/>
    <col min="2672" max="2672" width="9" bestFit="1" customWidth="1"/>
    <col min="2673" max="2673" width="10" bestFit="1" customWidth="1"/>
    <col min="2674" max="2675" width="9" bestFit="1" customWidth="1"/>
    <col min="2676" max="2676" width="10" bestFit="1" customWidth="1"/>
    <col min="2677" max="2677" width="9" bestFit="1" customWidth="1"/>
    <col min="2678" max="2678" width="10" bestFit="1" customWidth="1"/>
    <col min="2679" max="2681" width="9" bestFit="1" customWidth="1"/>
    <col min="2682" max="2682" width="10" bestFit="1" customWidth="1"/>
    <col min="2683" max="2684" width="9" bestFit="1" customWidth="1"/>
    <col min="2685" max="2685" width="10" bestFit="1" customWidth="1"/>
    <col min="2686" max="2690" width="9" bestFit="1" customWidth="1"/>
    <col min="2691" max="2691" width="10" bestFit="1" customWidth="1"/>
    <col min="2692" max="2695" width="9" bestFit="1" customWidth="1"/>
    <col min="2696" max="2696" width="8.26953125" bestFit="1" customWidth="1"/>
    <col min="2697" max="2702" width="9" bestFit="1" customWidth="1"/>
    <col min="2703" max="2703" width="10" bestFit="1" customWidth="1"/>
    <col min="2704" max="2705" width="9" bestFit="1" customWidth="1"/>
    <col min="2706" max="2706" width="8.26953125" bestFit="1" customWidth="1"/>
    <col min="2707" max="2707" width="10" bestFit="1" customWidth="1"/>
    <col min="2708" max="2711" width="9" bestFit="1" customWidth="1"/>
    <col min="2712" max="2712" width="8.26953125" bestFit="1" customWidth="1"/>
    <col min="2713" max="2718" width="9" bestFit="1" customWidth="1"/>
    <col min="2719" max="2719" width="8.26953125" bestFit="1" customWidth="1"/>
    <col min="2720" max="2729" width="9" bestFit="1" customWidth="1"/>
    <col min="2730" max="2730" width="10" bestFit="1" customWidth="1"/>
    <col min="2731" max="2734" width="9" bestFit="1" customWidth="1"/>
    <col min="2735" max="2735" width="8.26953125" bestFit="1" customWidth="1"/>
    <col min="2736" max="2738" width="9" bestFit="1" customWidth="1"/>
    <col min="2739" max="2739" width="8.26953125" bestFit="1" customWidth="1"/>
    <col min="2740" max="2740" width="9" bestFit="1" customWidth="1"/>
    <col min="2741" max="2741" width="8.26953125" bestFit="1" customWidth="1"/>
    <col min="2742" max="2762" width="9" bestFit="1" customWidth="1"/>
    <col min="2763" max="2764" width="8.26953125" bestFit="1" customWidth="1"/>
    <col min="2765" max="2770" width="9" bestFit="1" customWidth="1"/>
    <col min="2771" max="2771" width="8.26953125" bestFit="1" customWidth="1"/>
    <col min="2772" max="2777" width="9" bestFit="1" customWidth="1"/>
    <col min="2778" max="2778" width="10" bestFit="1" customWidth="1"/>
    <col min="2779" max="2784" width="9" bestFit="1" customWidth="1"/>
    <col min="2785" max="2785" width="10" bestFit="1" customWidth="1"/>
    <col min="2786" max="2787" width="9" bestFit="1" customWidth="1"/>
    <col min="2788" max="2788" width="10" bestFit="1" customWidth="1"/>
    <col min="2789" max="2807" width="9" bestFit="1" customWidth="1"/>
    <col min="2808" max="2810" width="8.26953125" bestFit="1" customWidth="1"/>
    <col min="2811" max="2817" width="9" bestFit="1" customWidth="1"/>
    <col min="2818" max="2818" width="8.26953125" bestFit="1" customWidth="1"/>
    <col min="2819" max="2832" width="9" bestFit="1" customWidth="1"/>
    <col min="2833" max="2833" width="10" bestFit="1" customWidth="1"/>
    <col min="2834" max="2852" width="9" bestFit="1" customWidth="1"/>
    <col min="2853" max="2853" width="8.26953125" bestFit="1" customWidth="1"/>
    <col min="2854" max="2886" width="9" bestFit="1" customWidth="1"/>
    <col min="2887" max="2887" width="8.26953125" bestFit="1" customWidth="1"/>
    <col min="2888" max="2895" width="9" bestFit="1" customWidth="1"/>
    <col min="2896" max="2896" width="8.26953125" bestFit="1" customWidth="1"/>
    <col min="2897" max="2921" width="9" bestFit="1" customWidth="1"/>
    <col min="2922" max="2923" width="8.26953125" bestFit="1" customWidth="1"/>
    <col min="2924" max="2924" width="9" bestFit="1" customWidth="1"/>
    <col min="2925" max="2925" width="8.26953125" bestFit="1" customWidth="1"/>
    <col min="2926" max="2948" width="9" bestFit="1" customWidth="1"/>
    <col min="2949" max="2949" width="10" bestFit="1" customWidth="1"/>
    <col min="2950" max="2950" width="8.26953125" bestFit="1" customWidth="1"/>
    <col min="2951" max="2951" width="10" bestFit="1" customWidth="1"/>
    <col min="2952" max="2967" width="9" bestFit="1" customWidth="1"/>
    <col min="2968" max="2968" width="8.26953125" bestFit="1" customWidth="1"/>
    <col min="2969" max="2980" width="9" bestFit="1" customWidth="1"/>
    <col min="2981" max="2981" width="10" bestFit="1" customWidth="1"/>
    <col min="2982" max="2999" width="9" bestFit="1" customWidth="1"/>
    <col min="3000" max="3000" width="8.26953125" bestFit="1" customWidth="1"/>
    <col min="3001" max="3007" width="9" bestFit="1" customWidth="1"/>
    <col min="3008" max="3008" width="8.26953125" bestFit="1" customWidth="1"/>
    <col min="3009" max="3011" width="9" bestFit="1" customWidth="1"/>
    <col min="3012" max="3012" width="10" bestFit="1" customWidth="1"/>
    <col min="3013" max="3019" width="9" bestFit="1" customWidth="1"/>
    <col min="3020" max="3020" width="8.26953125" bestFit="1" customWidth="1"/>
    <col min="3021" max="3025" width="9" bestFit="1" customWidth="1"/>
    <col min="3026" max="3026" width="10" bestFit="1" customWidth="1"/>
    <col min="3027" max="3051" width="9" bestFit="1" customWidth="1"/>
    <col min="3052" max="3052" width="8.26953125" bestFit="1" customWidth="1"/>
    <col min="3053" max="3055" width="9" bestFit="1" customWidth="1"/>
    <col min="3056" max="3057" width="8.26953125" bestFit="1" customWidth="1"/>
    <col min="3058" max="3059" width="9" bestFit="1" customWidth="1"/>
    <col min="3060" max="3060" width="8.26953125" bestFit="1" customWidth="1"/>
    <col min="3061" max="3066" width="9" bestFit="1" customWidth="1"/>
    <col min="3067" max="3069" width="8.26953125" bestFit="1" customWidth="1"/>
    <col min="3070" max="3071" width="9" bestFit="1" customWidth="1"/>
    <col min="3072" max="3073" width="10" bestFit="1" customWidth="1"/>
    <col min="3074" max="3074" width="8.26953125" bestFit="1" customWidth="1"/>
    <col min="3075" max="3081" width="9" bestFit="1" customWidth="1"/>
    <col min="3082" max="3082" width="8.26953125" bestFit="1" customWidth="1"/>
    <col min="3083" max="3084" width="9" bestFit="1" customWidth="1"/>
    <col min="3085" max="3085" width="8.26953125" bestFit="1" customWidth="1"/>
    <col min="3086" max="3088" width="9" bestFit="1" customWidth="1"/>
    <col min="3089" max="3089" width="8.26953125" bestFit="1" customWidth="1"/>
    <col min="3090" max="3098" width="9" bestFit="1" customWidth="1"/>
    <col min="3099" max="3099" width="8.26953125" bestFit="1" customWidth="1"/>
    <col min="3100" max="3112" width="9" bestFit="1" customWidth="1"/>
    <col min="3113" max="3113" width="8.26953125" bestFit="1" customWidth="1"/>
    <col min="3114" max="3116" width="9" bestFit="1" customWidth="1"/>
    <col min="3117" max="3118" width="8.26953125" bestFit="1" customWidth="1"/>
    <col min="3119" max="3138" width="9" bestFit="1" customWidth="1"/>
    <col min="3139" max="3139" width="10" bestFit="1" customWidth="1"/>
    <col min="3140" max="3140" width="8.26953125" bestFit="1" customWidth="1"/>
    <col min="3141" max="3146" width="9" bestFit="1" customWidth="1"/>
    <col min="3147" max="3147" width="10" bestFit="1" customWidth="1"/>
    <col min="3148" max="3152" width="9" bestFit="1" customWidth="1"/>
    <col min="3153" max="3154" width="8.26953125" bestFit="1" customWidth="1"/>
    <col min="3155" max="3157" width="9" bestFit="1" customWidth="1"/>
    <col min="3158" max="3158" width="8.26953125" bestFit="1" customWidth="1"/>
    <col min="3159" max="3162" width="9" bestFit="1" customWidth="1"/>
    <col min="3163" max="3163" width="8.26953125" bestFit="1" customWidth="1"/>
    <col min="3164" max="3179" width="9" bestFit="1" customWidth="1"/>
    <col min="3180" max="3180" width="10" bestFit="1" customWidth="1"/>
    <col min="3181" max="3183" width="9" bestFit="1" customWidth="1"/>
    <col min="3184" max="3184" width="8.26953125" bestFit="1" customWidth="1"/>
    <col min="3185" max="3185" width="10" bestFit="1" customWidth="1"/>
    <col min="3186" max="3186" width="8.26953125" bestFit="1" customWidth="1"/>
    <col min="3187" max="3187" width="9" bestFit="1" customWidth="1"/>
    <col min="3188" max="3188" width="8.26953125" bestFit="1" customWidth="1"/>
    <col min="3189" max="3195" width="9" bestFit="1" customWidth="1"/>
    <col min="3196" max="3196" width="10" bestFit="1" customWidth="1"/>
    <col min="3197" max="3203" width="9" bestFit="1" customWidth="1"/>
    <col min="3204" max="3204" width="10" bestFit="1" customWidth="1"/>
    <col min="3205" max="3205" width="9" bestFit="1" customWidth="1"/>
    <col min="3206" max="3206" width="8.26953125" bestFit="1" customWidth="1"/>
    <col min="3207" max="3211" width="9" bestFit="1" customWidth="1"/>
    <col min="3212" max="3212" width="8.26953125" bestFit="1" customWidth="1"/>
    <col min="3213" max="3225" width="9" bestFit="1" customWidth="1"/>
    <col min="3226" max="3226" width="10" bestFit="1" customWidth="1"/>
    <col min="3227" max="3227" width="9" bestFit="1" customWidth="1"/>
    <col min="3228" max="3228" width="10" bestFit="1" customWidth="1"/>
    <col min="3229" max="3233" width="9" bestFit="1" customWidth="1"/>
    <col min="3234" max="3234" width="8.26953125" bestFit="1" customWidth="1"/>
    <col min="3235" max="3236" width="9" bestFit="1" customWidth="1"/>
    <col min="3237" max="3237" width="8.26953125" bestFit="1" customWidth="1"/>
    <col min="3238" max="3243" width="9" bestFit="1" customWidth="1"/>
    <col min="3244" max="3244" width="10" bestFit="1" customWidth="1"/>
    <col min="3245" max="3248" width="9" bestFit="1" customWidth="1"/>
    <col min="3249" max="3249" width="8.26953125" bestFit="1" customWidth="1"/>
    <col min="3250" max="3250" width="9" bestFit="1" customWidth="1"/>
    <col min="3251" max="3252" width="8.26953125" bestFit="1" customWidth="1"/>
    <col min="3253" max="3255" width="9" bestFit="1" customWidth="1"/>
    <col min="3256" max="3256" width="8.26953125" bestFit="1" customWidth="1"/>
    <col min="3257" max="3257" width="9" bestFit="1" customWidth="1"/>
    <col min="3258" max="3258" width="8.26953125" bestFit="1" customWidth="1"/>
    <col min="3259" max="3264" width="9" bestFit="1" customWidth="1"/>
    <col min="3265" max="3265" width="10" bestFit="1" customWidth="1"/>
    <col min="3266" max="3266" width="9" bestFit="1" customWidth="1"/>
    <col min="3267" max="3267" width="8.26953125" bestFit="1" customWidth="1"/>
    <col min="3268" max="3299" width="9" bestFit="1" customWidth="1"/>
    <col min="3300" max="3300" width="8.26953125" bestFit="1" customWidth="1"/>
    <col min="3301" max="3314" width="9" bestFit="1" customWidth="1"/>
    <col min="3315" max="3316" width="10" bestFit="1" customWidth="1"/>
    <col min="3317" max="3318" width="9" bestFit="1" customWidth="1"/>
    <col min="3319" max="3319" width="8.26953125" bestFit="1" customWidth="1"/>
    <col min="3320" max="3329" width="9" bestFit="1" customWidth="1"/>
    <col min="3330" max="3333" width="10" bestFit="1" customWidth="1"/>
    <col min="3334" max="3337" width="9" bestFit="1" customWidth="1"/>
    <col min="3338" max="3338" width="8.26953125" bestFit="1" customWidth="1"/>
    <col min="3339" max="3357" width="9" bestFit="1" customWidth="1"/>
    <col min="3358" max="3358" width="8.26953125" bestFit="1" customWidth="1"/>
    <col min="3359" max="3359" width="9" bestFit="1" customWidth="1"/>
    <col min="3360" max="3360" width="8.26953125" bestFit="1" customWidth="1"/>
    <col min="3361" max="3366" width="9" bestFit="1" customWidth="1"/>
    <col min="3367" max="3368" width="10" bestFit="1" customWidth="1"/>
    <col min="3369" max="3378" width="9" bestFit="1" customWidth="1"/>
    <col min="3379" max="3379" width="8.26953125" bestFit="1" customWidth="1"/>
    <col min="3380" max="3386" width="9" bestFit="1" customWidth="1"/>
    <col min="3387" max="3387" width="10" bestFit="1" customWidth="1"/>
    <col min="3388" max="3395" width="9" bestFit="1" customWidth="1"/>
    <col min="3396" max="3396" width="8.26953125" bestFit="1" customWidth="1"/>
    <col min="3397" max="3399" width="9" bestFit="1" customWidth="1"/>
    <col min="3400" max="3400" width="8.26953125" bestFit="1" customWidth="1"/>
    <col min="3401" max="3411" width="9" bestFit="1" customWidth="1"/>
    <col min="3412" max="3412" width="8.26953125" bestFit="1" customWidth="1"/>
    <col min="3413" max="3415" width="9" bestFit="1" customWidth="1"/>
    <col min="3416" max="3416" width="8.26953125" bestFit="1" customWidth="1"/>
    <col min="3417" max="3421" width="9" bestFit="1" customWidth="1"/>
    <col min="3422" max="3422" width="8.26953125" bestFit="1" customWidth="1"/>
    <col min="3423" max="3423" width="9" bestFit="1" customWidth="1"/>
    <col min="3424" max="3425" width="8.26953125" bestFit="1" customWidth="1"/>
    <col min="3426" max="3429" width="9" bestFit="1" customWidth="1"/>
    <col min="3430" max="3430" width="10" bestFit="1" customWidth="1"/>
    <col min="3431" max="3431" width="8.26953125" bestFit="1" customWidth="1"/>
    <col min="3432" max="3432" width="9" bestFit="1" customWidth="1"/>
    <col min="3433" max="3433" width="8.26953125" bestFit="1" customWidth="1"/>
    <col min="3434" max="3436" width="9" bestFit="1" customWidth="1"/>
    <col min="3437" max="3437" width="8.26953125" bestFit="1" customWidth="1"/>
    <col min="3438" max="3438" width="9" bestFit="1" customWidth="1"/>
    <col min="3439" max="3439" width="8.26953125" bestFit="1" customWidth="1"/>
    <col min="3440" max="3444" width="9" bestFit="1" customWidth="1"/>
    <col min="3445" max="3445" width="8.26953125" bestFit="1" customWidth="1"/>
    <col min="3446" max="3447" width="9" bestFit="1" customWidth="1"/>
    <col min="3448" max="3449" width="8.26953125" bestFit="1" customWidth="1"/>
    <col min="3450" max="3451" width="9" bestFit="1" customWidth="1"/>
    <col min="3452" max="3452" width="8.26953125" bestFit="1" customWidth="1"/>
    <col min="3453" max="3453" width="10" bestFit="1" customWidth="1"/>
    <col min="3454" max="3457" width="9" bestFit="1" customWidth="1"/>
    <col min="3458" max="3458" width="8.26953125" bestFit="1" customWidth="1"/>
    <col min="3459" max="3467" width="9" bestFit="1" customWidth="1"/>
    <col min="3468" max="3468" width="8.26953125" bestFit="1" customWidth="1"/>
    <col min="3469" max="3470" width="9" bestFit="1" customWidth="1"/>
    <col min="3471" max="3471" width="8.26953125" bestFit="1" customWidth="1"/>
    <col min="3472" max="3475" width="9" bestFit="1" customWidth="1"/>
    <col min="3476" max="3476" width="8.26953125" bestFit="1" customWidth="1"/>
    <col min="3477" max="3478" width="9" bestFit="1" customWidth="1"/>
    <col min="3479" max="3479" width="10" bestFit="1" customWidth="1"/>
    <col min="3480" max="3480" width="9" bestFit="1" customWidth="1"/>
    <col min="3481" max="3481" width="8.26953125" bestFit="1" customWidth="1"/>
    <col min="3482" max="3483" width="9" bestFit="1" customWidth="1"/>
    <col min="3484" max="3484" width="8.26953125" bestFit="1" customWidth="1"/>
    <col min="3485" max="3486" width="9" bestFit="1" customWidth="1"/>
    <col min="3487" max="3487" width="8.26953125" bestFit="1" customWidth="1"/>
    <col min="3488" max="3495" width="9" bestFit="1" customWidth="1"/>
    <col min="3496" max="3496" width="8.26953125" bestFit="1" customWidth="1"/>
    <col min="3497" max="3501" width="9" bestFit="1" customWidth="1"/>
    <col min="3502" max="3502" width="10" bestFit="1" customWidth="1"/>
    <col min="3503" max="3503" width="8.26953125" bestFit="1" customWidth="1"/>
    <col min="3504" max="3510" width="9" bestFit="1" customWidth="1"/>
    <col min="3511" max="3511" width="10" bestFit="1" customWidth="1"/>
    <col min="3512" max="3519" width="9" bestFit="1" customWidth="1"/>
    <col min="3520" max="3520" width="10" bestFit="1" customWidth="1"/>
    <col min="3521" max="3521" width="8.26953125" bestFit="1" customWidth="1"/>
    <col min="3522" max="3534" width="9" bestFit="1" customWidth="1"/>
    <col min="3535" max="3535" width="10" bestFit="1" customWidth="1"/>
    <col min="3536" max="3544" width="9" bestFit="1" customWidth="1"/>
    <col min="3545" max="3545" width="8.26953125" bestFit="1" customWidth="1"/>
    <col min="3546" max="3549" width="9" bestFit="1" customWidth="1"/>
    <col min="3550" max="3550" width="8.26953125" bestFit="1" customWidth="1"/>
    <col min="3551" max="3567" width="9" bestFit="1" customWidth="1"/>
    <col min="3568" max="3568" width="8.26953125" bestFit="1" customWidth="1"/>
    <col min="3569" max="3569" width="9" bestFit="1" customWidth="1"/>
    <col min="3570" max="3570" width="8.26953125" bestFit="1" customWidth="1"/>
    <col min="3571" max="3573" width="9" bestFit="1" customWidth="1"/>
    <col min="3574" max="3575" width="8.26953125" bestFit="1" customWidth="1"/>
    <col min="3576" max="3576" width="9" bestFit="1" customWidth="1"/>
    <col min="3577" max="3577" width="8.26953125" bestFit="1" customWidth="1"/>
    <col min="3578" max="3589" width="9" bestFit="1" customWidth="1"/>
    <col min="3590" max="3590" width="8.26953125" bestFit="1" customWidth="1"/>
    <col min="3591" max="3591" width="9" bestFit="1" customWidth="1"/>
    <col min="3592" max="3592" width="8.26953125" bestFit="1" customWidth="1"/>
    <col min="3593" max="3606" width="9" bestFit="1" customWidth="1"/>
    <col min="3607" max="3607" width="8.26953125" bestFit="1" customWidth="1"/>
    <col min="3608" max="3608" width="9" bestFit="1" customWidth="1"/>
    <col min="3609" max="3609" width="10" bestFit="1" customWidth="1"/>
    <col min="3610" max="3610" width="9" bestFit="1" customWidth="1"/>
    <col min="3611" max="3611" width="8.26953125" bestFit="1" customWidth="1"/>
    <col min="3612" max="3614" width="9" bestFit="1" customWidth="1"/>
    <col min="3615" max="3615" width="10" bestFit="1" customWidth="1"/>
    <col min="3616" max="3633" width="9" bestFit="1" customWidth="1"/>
    <col min="3634" max="3634" width="8.26953125" bestFit="1" customWidth="1"/>
    <col min="3635" max="3635" width="9" bestFit="1" customWidth="1"/>
    <col min="3636" max="3636" width="10" bestFit="1" customWidth="1"/>
    <col min="3637" max="3659" width="9" bestFit="1" customWidth="1"/>
    <col min="3660" max="3660" width="8.26953125" bestFit="1" customWidth="1"/>
    <col min="3661" max="3674" width="9" bestFit="1" customWidth="1"/>
    <col min="3675" max="3675" width="8.26953125" bestFit="1" customWidth="1"/>
    <col min="3676" max="3679" width="9" bestFit="1" customWidth="1"/>
    <col min="3680" max="3680" width="10" bestFit="1" customWidth="1"/>
    <col min="3681" max="3685" width="9" bestFit="1" customWidth="1"/>
    <col min="3686" max="3687" width="8.26953125" bestFit="1" customWidth="1"/>
    <col min="3688" max="3691" width="9" bestFit="1" customWidth="1"/>
    <col min="3692" max="3692" width="8.26953125" bestFit="1" customWidth="1"/>
    <col min="3693" max="3707" width="9" bestFit="1" customWidth="1"/>
    <col min="3708" max="3708" width="10" bestFit="1" customWidth="1"/>
    <col min="3709" max="3720" width="9" bestFit="1" customWidth="1"/>
    <col min="3721" max="3721" width="8.26953125" bestFit="1" customWidth="1"/>
    <col min="3722" max="3722" width="9" bestFit="1" customWidth="1"/>
    <col min="3723" max="3723" width="10" bestFit="1" customWidth="1"/>
    <col min="3724" max="3725" width="9" bestFit="1" customWidth="1"/>
    <col min="3726" max="3726" width="10" bestFit="1" customWidth="1"/>
    <col min="3727" max="3727" width="8.26953125" bestFit="1" customWidth="1"/>
    <col min="3728" max="3728" width="10" bestFit="1" customWidth="1"/>
    <col min="3729" max="3742" width="9" bestFit="1" customWidth="1"/>
    <col min="3743" max="3743" width="10" bestFit="1" customWidth="1"/>
    <col min="3744" max="3749" width="9" bestFit="1" customWidth="1"/>
    <col min="3750" max="3750" width="8.26953125" bestFit="1" customWidth="1"/>
    <col min="3751" max="3759" width="9" bestFit="1" customWidth="1"/>
    <col min="3760" max="3760" width="10" bestFit="1" customWidth="1"/>
    <col min="3761" max="3769" width="9" bestFit="1" customWidth="1"/>
    <col min="3770" max="3770" width="10" bestFit="1" customWidth="1"/>
    <col min="3771" max="3771" width="9" bestFit="1" customWidth="1"/>
    <col min="3772" max="3772" width="8.26953125" bestFit="1" customWidth="1"/>
    <col min="3773" max="3774" width="9" bestFit="1" customWidth="1"/>
    <col min="3775" max="3775" width="8.26953125" bestFit="1" customWidth="1"/>
    <col min="3776" max="3784" width="9" bestFit="1" customWidth="1"/>
  </cols>
  <sheetData>
    <row r="1" spans="1:3784" x14ac:dyDescent="0.35">
      <c r="A1" t="s">
        <v>110</v>
      </c>
      <c r="B1" t="s">
        <v>114</v>
      </c>
      <c r="C1" t="s">
        <v>115</v>
      </c>
      <c r="D1" t="s">
        <v>116</v>
      </c>
      <c r="E1" t="s">
        <v>117</v>
      </c>
      <c r="F1" t="s">
        <v>118</v>
      </c>
      <c r="G1" t="s">
        <v>119</v>
      </c>
      <c r="H1" t="s">
        <v>120</v>
      </c>
      <c r="I1" t="s">
        <v>121</v>
      </c>
      <c r="J1" t="s">
        <v>122</v>
      </c>
      <c r="K1" t="s">
        <v>123</v>
      </c>
      <c r="L1" t="s">
        <v>124</v>
      </c>
      <c r="M1" t="s">
        <v>125</v>
      </c>
      <c r="N1" t="s">
        <v>126</v>
      </c>
      <c r="O1" t="s">
        <v>127</v>
      </c>
      <c r="P1" t="s">
        <v>128</v>
      </c>
      <c r="Q1" t="s">
        <v>129</v>
      </c>
      <c r="R1" t="s">
        <v>130</v>
      </c>
      <c r="S1" t="s">
        <v>131</v>
      </c>
      <c r="T1" t="s">
        <v>132</v>
      </c>
      <c r="U1" t="s">
        <v>133</v>
      </c>
      <c r="V1" t="s">
        <v>134</v>
      </c>
      <c r="W1" t="s">
        <v>135</v>
      </c>
      <c r="X1" t="s">
        <v>136</v>
      </c>
      <c r="Y1" t="s">
        <v>137</v>
      </c>
      <c r="Z1" t="s">
        <v>138</v>
      </c>
      <c r="AA1" t="s">
        <v>139</v>
      </c>
      <c r="AB1" t="s">
        <v>140</v>
      </c>
      <c r="AC1" t="s">
        <v>141</v>
      </c>
      <c r="AD1" t="s">
        <v>142</v>
      </c>
      <c r="AE1" t="s">
        <v>143</v>
      </c>
      <c r="AF1" t="s">
        <v>144</v>
      </c>
      <c r="AG1" t="s">
        <v>145</v>
      </c>
      <c r="AH1" t="s">
        <v>146</v>
      </c>
      <c r="AI1" t="s">
        <v>147</v>
      </c>
      <c r="AJ1" t="s">
        <v>148</v>
      </c>
      <c r="AK1" t="s">
        <v>149</v>
      </c>
      <c r="AL1" t="s">
        <v>150</v>
      </c>
      <c r="AM1" t="s">
        <v>151</v>
      </c>
      <c r="AN1" t="s">
        <v>152</v>
      </c>
      <c r="AO1" t="s">
        <v>153</v>
      </c>
      <c r="AP1" t="s">
        <v>154</v>
      </c>
      <c r="AQ1" t="s">
        <v>155</v>
      </c>
      <c r="AR1" t="s">
        <v>156</v>
      </c>
      <c r="AS1" t="s">
        <v>157</v>
      </c>
      <c r="AT1" t="s">
        <v>158</v>
      </c>
      <c r="AU1" t="s">
        <v>159</v>
      </c>
      <c r="AV1" t="s">
        <v>160</v>
      </c>
      <c r="AW1" t="s">
        <v>161</v>
      </c>
      <c r="AX1" t="s">
        <v>162</v>
      </c>
      <c r="AY1" t="s">
        <v>163</v>
      </c>
      <c r="AZ1" t="s">
        <v>164</v>
      </c>
      <c r="BA1" t="s">
        <v>165</v>
      </c>
      <c r="BB1" t="s">
        <v>166</v>
      </c>
      <c r="BC1" t="s">
        <v>167</v>
      </c>
      <c r="BD1" t="s">
        <v>168</v>
      </c>
      <c r="BE1" t="s">
        <v>169</v>
      </c>
      <c r="BF1" t="s">
        <v>170</v>
      </c>
      <c r="BG1" t="s">
        <v>171</v>
      </c>
      <c r="BH1" t="s">
        <v>172</v>
      </c>
      <c r="BI1" t="s">
        <v>173</v>
      </c>
      <c r="BJ1" t="s">
        <v>174</v>
      </c>
      <c r="BK1" t="s">
        <v>175</v>
      </c>
      <c r="BL1" t="s">
        <v>176</v>
      </c>
      <c r="BM1" t="s">
        <v>177</v>
      </c>
      <c r="BN1" t="s">
        <v>178</v>
      </c>
      <c r="BO1" t="s">
        <v>179</v>
      </c>
      <c r="BP1" t="s">
        <v>180</v>
      </c>
      <c r="BQ1" t="s">
        <v>181</v>
      </c>
      <c r="BR1" t="s">
        <v>182</v>
      </c>
      <c r="BS1" t="s">
        <v>183</v>
      </c>
      <c r="BT1" t="s">
        <v>184</v>
      </c>
      <c r="BU1" t="s">
        <v>185</v>
      </c>
      <c r="BV1" t="s">
        <v>186</v>
      </c>
      <c r="BW1" t="s">
        <v>187</v>
      </c>
      <c r="BX1" t="s">
        <v>188</v>
      </c>
      <c r="BY1" t="s">
        <v>189</v>
      </c>
      <c r="BZ1" t="s">
        <v>190</v>
      </c>
      <c r="CA1" t="s">
        <v>191</v>
      </c>
      <c r="CB1" t="s">
        <v>192</v>
      </c>
      <c r="CC1" t="s">
        <v>193</v>
      </c>
      <c r="CD1" t="s">
        <v>194</v>
      </c>
      <c r="CE1" t="s">
        <v>195</v>
      </c>
      <c r="CF1" t="s">
        <v>196</v>
      </c>
      <c r="CG1" t="s">
        <v>197</v>
      </c>
      <c r="CH1" t="s">
        <v>198</v>
      </c>
      <c r="CI1" t="s">
        <v>199</v>
      </c>
      <c r="CJ1" t="s">
        <v>200</v>
      </c>
      <c r="CK1" t="s">
        <v>201</v>
      </c>
      <c r="CL1" t="s">
        <v>202</v>
      </c>
      <c r="CM1" t="s">
        <v>203</v>
      </c>
      <c r="CN1" t="s">
        <v>204</v>
      </c>
      <c r="CO1" t="s">
        <v>205</v>
      </c>
      <c r="CP1" t="s">
        <v>206</v>
      </c>
      <c r="CQ1" t="s">
        <v>207</v>
      </c>
      <c r="CR1" t="s">
        <v>208</v>
      </c>
      <c r="CS1" t="s">
        <v>209</v>
      </c>
      <c r="CT1" t="s">
        <v>210</v>
      </c>
      <c r="CU1" t="s">
        <v>211</v>
      </c>
      <c r="CV1" t="s">
        <v>212</v>
      </c>
      <c r="CW1" t="s">
        <v>213</v>
      </c>
      <c r="CX1" t="s">
        <v>214</v>
      </c>
      <c r="CY1" t="s">
        <v>215</v>
      </c>
      <c r="CZ1" t="s">
        <v>216</v>
      </c>
      <c r="DA1" t="s">
        <v>217</v>
      </c>
      <c r="DB1" t="s">
        <v>218</v>
      </c>
      <c r="DC1" t="s">
        <v>219</v>
      </c>
      <c r="DD1" t="s">
        <v>220</v>
      </c>
      <c r="DE1" t="s">
        <v>221</v>
      </c>
      <c r="DF1" t="s">
        <v>222</v>
      </c>
      <c r="DG1" t="s">
        <v>223</v>
      </c>
      <c r="DH1" t="s">
        <v>224</v>
      </c>
      <c r="DI1" t="s">
        <v>225</v>
      </c>
      <c r="DJ1" t="s">
        <v>226</v>
      </c>
      <c r="DK1" t="s">
        <v>227</v>
      </c>
      <c r="DL1" t="s">
        <v>228</v>
      </c>
      <c r="DM1" t="s">
        <v>229</v>
      </c>
      <c r="DN1" t="s">
        <v>230</v>
      </c>
      <c r="DO1" t="s">
        <v>231</v>
      </c>
      <c r="DP1" t="s">
        <v>232</v>
      </c>
      <c r="DQ1" t="s">
        <v>233</v>
      </c>
      <c r="DR1" t="s">
        <v>234</v>
      </c>
      <c r="DS1" t="s">
        <v>235</v>
      </c>
      <c r="DT1" t="s">
        <v>236</v>
      </c>
      <c r="DU1" t="s">
        <v>237</v>
      </c>
      <c r="DV1" t="s">
        <v>238</v>
      </c>
      <c r="DW1" t="s">
        <v>239</v>
      </c>
      <c r="DX1" t="s">
        <v>240</v>
      </c>
      <c r="DY1" t="s">
        <v>241</v>
      </c>
      <c r="DZ1" t="s">
        <v>242</v>
      </c>
      <c r="EA1" t="s">
        <v>243</v>
      </c>
      <c r="EB1" t="s">
        <v>244</v>
      </c>
      <c r="EC1" t="s">
        <v>245</v>
      </c>
      <c r="ED1" t="s">
        <v>246</v>
      </c>
      <c r="EE1" t="s">
        <v>247</v>
      </c>
      <c r="EF1" t="s">
        <v>248</v>
      </c>
      <c r="EG1" t="s">
        <v>249</v>
      </c>
      <c r="EH1" t="s">
        <v>250</v>
      </c>
      <c r="EI1" t="s">
        <v>251</v>
      </c>
      <c r="EJ1" t="s">
        <v>252</v>
      </c>
      <c r="EK1" t="s">
        <v>253</v>
      </c>
      <c r="EL1" t="s">
        <v>254</v>
      </c>
      <c r="EM1" t="s">
        <v>255</v>
      </c>
      <c r="EN1" t="s">
        <v>256</v>
      </c>
      <c r="EO1" t="s">
        <v>257</v>
      </c>
      <c r="EP1" t="s">
        <v>258</v>
      </c>
      <c r="EQ1" t="s">
        <v>259</v>
      </c>
      <c r="ER1" t="s">
        <v>260</v>
      </c>
      <c r="ES1" t="s">
        <v>261</v>
      </c>
      <c r="ET1" t="s">
        <v>262</v>
      </c>
      <c r="EU1" t="s">
        <v>263</v>
      </c>
      <c r="EV1" t="s">
        <v>264</v>
      </c>
      <c r="EW1" t="s">
        <v>265</v>
      </c>
      <c r="EX1" t="s">
        <v>266</v>
      </c>
      <c r="EY1" t="s">
        <v>267</v>
      </c>
      <c r="EZ1" t="s">
        <v>268</v>
      </c>
      <c r="FA1" t="s">
        <v>269</v>
      </c>
      <c r="FB1" t="s">
        <v>270</v>
      </c>
      <c r="FC1" t="s">
        <v>271</v>
      </c>
      <c r="FD1" t="s">
        <v>272</v>
      </c>
      <c r="FE1" t="s">
        <v>273</v>
      </c>
      <c r="FF1" t="s">
        <v>274</v>
      </c>
      <c r="FG1" t="s">
        <v>275</v>
      </c>
      <c r="FH1" t="s">
        <v>276</v>
      </c>
      <c r="FI1" t="s">
        <v>277</v>
      </c>
      <c r="FJ1" t="s">
        <v>278</v>
      </c>
      <c r="FK1" t="s">
        <v>279</v>
      </c>
      <c r="FL1" t="s">
        <v>280</v>
      </c>
      <c r="FM1" t="s">
        <v>281</v>
      </c>
      <c r="FN1" t="s">
        <v>282</v>
      </c>
      <c r="FO1" t="s">
        <v>283</v>
      </c>
      <c r="FP1" t="s">
        <v>284</v>
      </c>
      <c r="FQ1" t="s">
        <v>285</v>
      </c>
      <c r="FR1" t="s">
        <v>286</v>
      </c>
      <c r="FS1" t="s">
        <v>287</v>
      </c>
      <c r="FT1" t="s">
        <v>288</v>
      </c>
      <c r="FU1" t="s">
        <v>289</v>
      </c>
      <c r="FV1" t="s">
        <v>290</v>
      </c>
      <c r="FW1" t="s">
        <v>291</v>
      </c>
      <c r="FX1" t="s">
        <v>292</v>
      </c>
      <c r="FY1" t="s">
        <v>293</v>
      </c>
      <c r="FZ1" t="s">
        <v>294</v>
      </c>
      <c r="GA1" t="s">
        <v>295</v>
      </c>
      <c r="GB1" t="s">
        <v>296</v>
      </c>
      <c r="GC1" t="s">
        <v>297</v>
      </c>
      <c r="GD1" t="s">
        <v>298</v>
      </c>
      <c r="GE1" t="s">
        <v>299</v>
      </c>
      <c r="GF1" t="s">
        <v>300</v>
      </c>
      <c r="GG1" t="s">
        <v>301</v>
      </c>
      <c r="GH1" t="s">
        <v>302</v>
      </c>
      <c r="GI1" t="s">
        <v>303</v>
      </c>
      <c r="GJ1" t="s">
        <v>304</v>
      </c>
      <c r="GK1" t="s">
        <v>305</v>
      </c>
      <c r="GL1" t="s">
        <v>306</v>
      </c>
      <c r="GM1" t="s">
        <v>307</v>
      </c>
      <c r="GN1" t="s">
        <v>308</v>
      </c>
      <c r="GO1" t="s">
        <v>309</v>
      </c>
      <c r="GP1" t="s">
        <v>310</v>
      </c>
      <c r="GQ1" t="s">
        <v>311</v>
      </c>
      <c r="GR1" t="s">
        <v>312</v>
      </c>
      <c r="GS1" t="s">
        <v>313</v>
      </c>
      <c r="GT1" t="s">
        <v>314</v>
      </c>
      <c r="GU1" t="s">
        <v>315</v>
      </c>
      <c r="GV1" t="s">
        <v>316</v>
      </c>
      <c r="GW1" t="s">
        <v>317</v>
      </c>
      <c r="GX1" t="s">
        <v>318</v>
      </c>
      <c r="GY1" t="s">
        <v>319</v>
      </c>
      <c r="GZ1" t="s">
        <v>320</v>
      </c>
      <c r="HA1" t="s">
        <v>321</v>
      </c>
      <c r="HB1" t="s">
        <v>322</v>
      </c>
      <c r="HC1" t="s">
        <v>323</v>
      </c>
      <c r="HD1" t="s">
        <v>324</v>
      </c>
      <c r="HE1" t="s">
        <v>325</v>
      </c>
      <c r="HF1" t="s">
        <v>326</v>
      </c>
      <c r="HG1" t="s">
        <v>327</v>
      </c>
      <c r="HH1" t="s">
        <v>328</v>
      </c>
      <c r="HI1" t="s">
        <v>329</v>
      </c>
      <c r="HJ1" t="s">
        <v>330</v>
      </c>
      <c r="HK1" t="s">
        <v>331</v>
      </c>
      <c r="HL1" t="s">
        <v>332</v>
      </c>
      <c r="HM1" t="s">
        <v>333</v>
      </c>
      <c r="HN1" t="s">
        <v>334</v>
      </c>
      <c r="HO1" t="s">
        <v>335</v>
      </c>
      <c r="HP1" t="s">
        <v>336</v>
      </c>
      <c r="HQ1" t="s">
        <v>337</v>
      </c>
      <c r="HR1" t="s">
        <v>338</v>
      </c>
      <c r="HS1" t="s">
        <v>339</v>
      </c>
      <c r="HT1" t="s">
        <v>340</v>
      </c>
      <c r="HU1" t="s">
        <v>341</v>
      </c>
      <c r="HV1" t="s">
        <v>342</v>
      </c>
      <c r="HW1" t="s">
        <v>343</v>
      </c>
      <c r="HX1" t="s">
        <v>344</v>
      </c>
      <c r="HY1" t="s">
        <v>345</v>
      </c>
      <c r="HZ1" t="s">
        <v>346</v>
      </c>
      <c r="IA1" t="s">
        <v>347</v>
      </c>
      <c r="IB1" t="s">
        <v>348</v>
      </c>
      <c r="IC1" t="s">
        <v>349</v>
      </c>
      <c r="ID1" t="s">
        <v>350</v>
      </c>
      <c r="IE1" t="s">
        <v>351</v>
      </c>
      <c r="IF1" t="s">
        <v>352</v>
      </c>
      <c r="IG1" t="s">
        <v>353</v>
      </c>
      <c r="IH1" t="s">
        <v>354</v>
      </c>
      <c r="II1" t="s">
        <v>355</v>
      </c>
      <c r="IJ1" t="s">
        <v>356</v>
      </c>
      <c r="IK1" t="s">
        <v>357</v>
      </c>
      <c r="IL1" t="s">
        <v>358</v>
      </c>
      <c r="IM1" t="s">
        <v>359</v>
      </c>
      <c r="IN1" t="s">
        <v>360</v>
      </c>
      <c r="IO1" t="s">
        <v>361</v>
      </c>
      <c r="IP1" t="s">
        <v>362</v>
      </c>
      <c r="IQ1" t="s">
        <v>363</v>
      </c>
      <c r="IR1" t="s">
        <v>364</v>
      </c>
      <c r="IS1" t="s">
        <v>365</v>
      </c>
      <c r="IT1" t="s">
        <v>366</v>
      </c>
      <c r="IU1" t="s">
        <v>367</v>
      </c>
      <c r="IV1" t="s">
        <v>368</v>
      </c>
      <c r="IW1" t="s">
        <v>369</v>
      </c>
      <c r="IX1" t="s">
        <v>370</v>
      </c>
      <c r="IY1" t="s">
        <v>371</v>
      </c>
      <c r="IZ1" t="s">
        <v>372</v>
      </c>
      <c r="JA1" t="s">
        <v>373</v>
      </c>
      <c r="JB1" t="s">
        <v>374</v>
      </c>
      <c r="JC1" t="s">
        <v>375</v>
      </c>
      <c r="JD1" t="s">
        <v>376</v>
      </c>
      <c r="JE1" t="s">
        <v>377</v>
      </c>
      <c r="JF1" t="s">
        <v>378</v>
      </c>
      <c r="JG1" t="s">
        <v>379</v>
      </c>
      <c r="JH1" t="s">
        <v>380</v>
      </c>
      <c r="JI1" t="s">
        <v>381</v>
      </c>
      <c r="JJ1" t="s">
        <v>382</v>
      </c>
      <c r="JK1" t="s">
        <v>383</v>
      </c>
      <c r="JL1" t="s">
        <v>384</v>
      </c>
      <c r="JM1" t="s">
        <v>385</v>
      </c>
      <c r="JN1" t="s">
        <v>386</v>
      </c>
      <c r="JO1" t="s">
        <v>387</v>
      </c>
      <c r="JP1" t="s">
        <v>388</v>
      </c>
      <c r="JQ1" t="s">
        <v>389</v>
      </c>
      <c r="JR1" t="s">
        <v>390</v>
      </c>
      <c r="JS1" t="s">
        <v>391</v>
      </c>
      <c r="JT1" t="s">
        <v>392</v>
      </c>
      <c r="JU1" t="s">
        <v>393</v>
      </c>
      <c r="JV1" t="s">
        <v>394</v>
      </c>
      <c r="JW1" t="s">
        <v>395</v>
      </c>
      <c r="JX1" t="s">
        <v>396</v>
      </c>
      <c r="JY1" t="s">
        <v>397</v>
      </c>
      <c r="JZ1" t="s">
        <v>398</v>
      </c>
      <c r="KA1" t="s">
        <v>399</v>
      </c>
      <c r="KB1" t="s">
        <v>400</v>
      </c>
      <c r="KC1" t="s">
        <v>401</v>
      </c>
      <c r="KD1" t="s">
        <v>402</v>
      </c>
      <c r="KE1" t="s">
        <v>403</v>
      </c>
      <c r="KF1" t="s">
        <v>404</v>
      </c>
      <c r="KG1" t="s">
        <v>405</v>
      </c>
      <c r="KH1" t="s">
        <v>406</v>
      </c>
      <c r="KI1" t="s">
        <v>407</v>
      </c>
      <c r="KJ1" t="s">
        <v>408</v>
      </c>
      <c r="KK1" t="s">
        <v>409</v>
      </c>
      <c r="KL1" t="s">
        <v>410</v>
      </c>
      <c r="KM1" t="s">
        <v>411</v>
      </c>
      <c r="KN1" t="s">
        <v>412</v>
      </c>
      <c r="KO1" t="s">
        <v>413</v>
      </c>
      <c r="KP1" t="s">
        <v>414</v>
      </c>
      <c r="KQ1" t="s">
        <v>415</v>
      </c>
      <c r="KR1" t="s">
        <v>416</v>
      </c>
      <c r="KS1" t="s">
        <v>417</v>
      </c>
      <c r="KT1" t="s">
        <v>418</v>
      </c>
      <c r="KU1" t="s">
        <v>419</v>
      </c>
      <c r="KV1" t="s">
        <v>420</v>
      </c>
      <c r="KW1" t="s">
        <v>421</v>
      </c>
      <c r="KX1" t="s">
        <v>422</v>
      </c>
      <c r="KY1" t="s">
        <v>423</v>
      </c>
      <c r="KZ1" t="s">
        <v>424</v>
      </c>
      <c r="LA1" t="s">
        <v>425</v>
      </c>
      <c r="LB1" t="s">
        <v>426</v>
      </c>
      <c r="LC1" t="s">
        <v>427</v>
      </c>
      <c r="LD1" t="s">
        <v>428</v>
      </c>
      <c r="LE1" t="s">
        <v>429</v>
      </c>
      <c r="LF1" t="s">
        <v>430</v>
      </c>
      <c r="LG1" t="s">
        <v>431</v>
      </c>
      <c r="LH1" t="s">
        <v>432</v>
      </c>
      <c r="LI1" t="s">
        <v>433</v>
      </c>
      <c r="LJ1" t="s">
        <v>434</v>
      </c>
      <c r="LK1" t="s">
        <v>435</v>
      </c>
      <c r="LL1" t="s">
        <v>436</v>
      </c>
      <c r="LM1" t="s">
        <v>437</v>
      </c>
      <c r="LN1" t="s">
        <v>438</v>
      </c>
      <c r="LO1" t="s">
        <v>439</v>
      </c>
      <c r="LP1" t="s">
        <v>440</v>
      </c>
      <c r="LQ1" t="s">
        <v>441</v>
      </c>
      <c r="LR1" t="s">
        <v>442</v>
      </c>
      <c r="LS1" t="s">
        <v>443</v>
      </c>
      <c r="LT1" t="s">
        <v>444</v>
      </c>
      <c r="LU1" t="s">
        <v>445</v>
      </c>
      <c r="LV1" t="s">
        <v>446</v>
      </c>
      <c r="LW1" t="s">
        <v>447</v>
      </c>
      <c r="LX1" t="s">
        <v>448</v>
      </c>
      <c r="LY1" t="s">
        <v>449</v>
      </c>
      <c r="LZ1" t="s">
        <v>450</v>
      </c>
      <c r="MA1" t="s">
        <v>451</v>
      </c>
      <c r="MB1" t="s">
        <v>452</v>
      </c>
      <c r="MC1" t="s">
        <v>453</v>
      </c>
      <c r="MD1" t="s">
        <v>454</v>
      </c>
      <c r="ME1" t="s">
        <v>455</v>
      </c>
      <c r="MF1" t="s">
        <v>456</v>
      </c>
      <c r="MG1" t="s">
        <v>457</v>
      </c>
      <c r="MH1" t="s">
        <v>458</v>
      </c>
      <c r="MI1" t="s">
        <v>459</v>
      </c>
      <c r="MJ1" t="s">
        <v>460</v>
      </c>
      <c r="MK1" t="s">
        <v>461</v>
      </c>
      <c r="ML1" t="s">
        <v>462</v>
      </c>
      <c r="MM1" t="s">
        <v>463</v>
      </c>
      <c r="MN1" t="s">
        <v>464</v>
      </c>
      <c r="MO1" t="s">
        <v>465</v>
      </c>
      <c r="MP1" t="s">
        <v>466</v>
      </c>
      <c r="MQ1" t="s">
        <v>467</v>
      </c>
      <c r="MR1" t="s">
        <v>468</v>
      </c>
      <c r="MS1" t="s">
        <v>469</v>
      </c>
      <c r="MT1" t="s">
        <v>470</v>
      </c>
      <c r="MU1" t="s">
        <v>471</v>
      </c>
      <c r="MV1" t="s">
        <v>472</v>
      </c>
      <c r="MW1" t="s">
        <v>473</v>
      </c>
      <c r="MX1" t="s">
        <v>474</v>
      </c>
      <c r="MY1" t="s">
        <v>475</v>
      </c>
      <c r="MZ1" t="s">
        <v>476</v>
      </c>
      <c r="NA1" t="s">
        <v>477</v>
      </c>
      <c r="NB1" t="s">
        <v>478</v>
      </c>
      <c r="NC1" t="s">
        <v>479</v>
      </c>
      <c r="ND1" t="s">
        <v>480</v>
      </c>
      <c r="NE1" t="s">
        <v>481</v>
      </c>
      <c r="NF1" t="s">
        <v>482</v>
      </c>
      <c r="NG1" t="s">
        <v>483</v>
      </c>
      <c r="NH1" t="s">
        <v>484</v>
      </c>
      <c r="NI1" t="s">
        <v>485</v>
      </c>
      <c r="NJ1" t="s">
        <v>486</v>
      </c>
      <c r="NK1" t="s">
        <v>487</v>
      </c>
      <c r="NL1" t="s">
        <v>488</v>
      </c>
      <c r="NM1" t="s">
        <v>489</v>
      </c>
      <c r="NN1" t="s">
        <v>490</v>
      </c>
      <c r="NO1" t="s">
        <v>491</v>
      </c>
      <c r="NP1" t="s">
        <v>492</v>
      </c>
      <c r="NQ1" t="s">
        <v>493</v>
      </c>
      <c r="NR1" t="s">
        <v>494</v>
      </c>
      <c r="NS1" t="s">
        <v>495</v>
      </c>
      <c r="NT1" t="s">
        <v>496</v>
      </c>
      <c r="NU1" t="s">
        <v>497</v>
      </c>
      <c r="NV1" t="s">
        <v>498</v>
      </c>
      <c r="NW1" t="s">
        <v>499</v>
      </c>
      <c r="NX1" t="s">
        <v>500</v>
      </c>
      <c r="NY1" t="s">
        <v>501</v>
      </c>
      <c r="NZ1" t="s">
        <v>502</v>
      </c>
      <c r="OA1" t="s">
        <v>503</v>
      </c>
      <c r="OB1" t="s">
        <v>504</v>
      </c>
      <c r="OC1" t="s">
        <v>505</v>
      </c>
      <c r="OD1" t="s">
        <v>506</v>
      </c>
      <c r="OE1" t="s">
        <v>507</v>
      </c>
      <c r="OF1" t="s">
        <v>508</v>
      </c>
      <c r="OG1" t="s">
        <v>509</v>
      </c>
      <c r="OH1" t="s">
        <v>510</v>
      </c>
      <c r="OI1" t="s">
        <v>511</v>
      </c>
      <c r="OJ1" t="s">
        <v>512</v>
      </c>
      <c r="OK1" t="s">
        <v>513</v>
      </c>
      <c r="OL1" t="s">
        <v>514</v>
      </c>
      <c r="OM1" t="s">
        <v>515</v>
      </c>
      <c r="ON1" t="s">
        <v>516</v>
      </c>
      <c r="OO1" t="s">
        <v>517</v>
      </c>
      <c r="OP1" t="s">
        <v>518</v>
      </c>
      <c r="OQ1" t="s">
        <v>519</v>
      </c>
      <c r="OR1" t="s">
        <v>520</v>
      </c>
      <c r="OS1" t="s">
        <v>521</v>
      </c>
      <c r="OT1" t="s">
        <v>522</v>
      </c>
      <c r="OU1" t="s">
        <v>523</v>
      </c>
      <c r="OV1" t="s">
        <v>524</v>
      </c>
      <c r="OW1" t="s">
        <v>525</v>
      </c>
      <c r="OX1" t="s">
        <v>526</v>
      </c>
      <c r="OY1" t="s">
        <v>527</v>
      </c>
      <c r="OZ1" t="s">
        <v>528</v>
      </c>
      <c r="PA1" t="s">
        <v>529</v>
      </c>
      <c r="PB1" t="s">
        <v>530</v>
      </c>
      <c r="PC1" t="s">
        <v>531</v>
      </c>
      <c r="PD1" t="s">
        <v>532</v>
      </c>
      <c r="PE1" t="s">
        <v>533</v>
      </c>
      <c r="PF1" t="s">
        <v>534</v>
      </c>
      <c r="PG1" t="s">
        <v>535</v>
      </c>
      <c r="PH1" t="s">
        <v>536</v>
      </c>
      <c r="PI1" t="s">
        <v>537</v>
      </c>
      <c r="PJ1" t="s">
        <v>538</v>
      </c>
      <c r="PK1" t="s">
        <v>539</v>
      </c>
      <c r="PL1" t="s">
        <v>540</v>
      </c>
      <c r="PM1" t="s">
        <v>541</v>
      </c>
      <c r="PN1" t="s">
        <v>542</v>
      </c>
      <c r="PO1" t="s">
        <v>543</v>
      </c>
      <c r="PP1" t="s">
        <v>544</v>
      </c>
      <c r="PQ1" t="s">
        <v>545</v>
      </c>
      <c r="PR1" t="s">
        <v>546</v>
      </c>
      <c r="PS1" t="s">
        <v>547</v>
      </c>
      <c r="PT1" t="s">
        <v>548</v>
      </c>
      <c r="PU1" t="s">
        <v>549</v>
      </c>
      <c r="PV1" t="s">
        <v>550</v>
      </c>
      <c r="PW1" t="s">
        <v>551</v>
      </c>
      <c r="PX1" t="s">
        <v>552</v>
      </c>
      <c r="PY1" t="s">
        <v>553</v>
      </c>
      <c r="PZ1" t="s">
        <v>554</v>
      </c>
      <c r="QA1" t="s">
        <v>555</v>
      </c>
      <c r="QB1" t="s">
        <v>556</v>
      </c>
      <c r="QC1" t="s">
        <v>557</v>
      </c>
      <c r="QD1" t="s">
        <v>558</v>
      </c>
      <c r="QE1" t="s">
        <v>559</v>
      </c>
      <c r="QF1" t="s">
        <v>560</v>
      </c>
      <c r="QG1" t="s">
        <v>561</v>
      </c>
      <c r="QH1" t="s">
        <v>562</v>
      </c>
      <c r="QI1" t="s">
        <v>563</v>
      </c>
      <c r="QJ1" t="s">
        <v>564</v>
      </c>
      <c r="QK1" t="s">
        <v>565</v>
      </c>
      <c r="QL1" t="s">
        <v>566</v>
      </c>
      <c r="QM1" t="s">
        <v>567</v>
      </c>
      <c r="QN1" t="s">
        <v>568</v>
      </c>
      <c r="QO1" t="s">
        <v>569</v>
      </c>
      <c r="QP1" t="s">
        <v>570</v>
      </c>
      <c r="QQ1" t="s">
        <v>571</v>
      </c>
      <c r="QR1" t="s">
        <v>572</v>
      </c>
      <c r="QS1" t="s">
        <v>573</v>
      </c>
      <c r="QT1" t="s">
        <v>574</v>
      </c>
      <c r="QU1" t="s">
        <v>575</v>
      </c>
      <c r="QV1" t="s">
        <v>576</v>
      </c>
      <c r="QW1" t="s">
        <v>577</v>
      </c>
      <c r="QX1" t="s">
        <v>578</v>
      </c>
      <c r="QY1" t="s">
        <v>579</v>
      </c>
      <c r="QZ1" t="s">
        <v>580</v>
      </c>
      <c r="RA1" t="s">
        <v>581</v>
      </c>
      <c r="RB1" t="s">
        <v>582</v>
      </c>
      <c r="RC1" t="s">
        <v>583</v>
      </c>
      <c r="RD1" t="s">
        <v>584</v>
      </c>
      <c r="RE1" t="s">
        <v>585</v>
      </c>
      <c r="RF1" t="s">
        <v>586</v>
      </c>
      <c r="RG1" t="s">
        <v>587</v>
      </c>
      <c r="RH1" t="s">
        <v>588</v>
      </c>
      <c r="RI1" t="s">
        <v>589</v>
      </c>
      <c r="RJ1" t="s">
        <v>590</v>
      </c>
      <c r="RK1" t="s">
        <v>591</v>
      </c>
      <c r="RL1" t="s">
        <v>592</v>
      </c>
      <c r="RM1" t="s">
        <v>593</v>
      </c>
      <c r="RN1" t="s">
        <v>594</v>
      </c>
      <c r="RO1" t="s">
        <v>595</v>
      </c>
      <c r="RP1" t="s">
        <v>596</v>
      </c>
      <c r="RQ1" t="s">
        <v>597</v>
      </c>
      <c r="RR1" t="s">
        <v>598</v>
      </c>
      <c r="RS1" t="s">
        <v>599</v>
      </c>
      <c r="RT1" t="s">
        <v>600</v>
      </c>
      <c r="RU1" t="s">
        <v>601</v>
      </c>
      <c r="RV1" t="s">
        <v>602</v>
      </c>
      <c r="RW1" t="s">
        <v>603</v>
      </c>
      <c r="RX1" t="s">
        <v>604</v>
      </c>
      <c r="RY1" t="s">
        <v>605</v>
      </c>
      <c r="RZ1" t="s">
        <v>606</v>
      </c>
      <c r="SA1" t="s">
        <v>607</v>
      </c>
      <c r="SB1" t="s">
        <v>608</v>
      </c>
      <c r="SC1" t="s">
        <v>609</v>
      </c>
      <c r="SD1" t="s">
        <v>610</v>
      </c>
      <c r="SE1" t="s">
        <v>611</v>
      </c>
      <c r="SF1" t="s">
        <v>612</v>
      </c>
      <c r="SG1" t="s">
        <v>613</v>
      </c>
      <c r="SH1" t="s">
        <v>614</v>
      </c>
      <c r="SI1" t="s">
        <v>615</v>
      </c>
      <c r="SJ1" t="s">
        <v>616</v>
      </c>
      <c r="SK1" t="s">
        <v>617</v>
      </c>
      <c r="SL1" t="s">
        <v>618</v>
      </c>
      <c r="SM1" t="s">
        <v>619</v>
      </c>
      <c r="SN1" t="s">
        <v>620</v>
      </c>
      <c r="SO1" t="s">
        <v>621</v>
      </c>
      <c r="SP1" t="s">
        <v>622</v>
      </c>
      <c r="SQ1" t="s">
        <v>623</v>
      </c>
      <c r="SR1" t="s">
        <v>624</v>
      </c>
      <c r="SS1" t="s">
        <v>625</v>
      </c>
      <c r="ST1" t="s">
        <v>626</v>
      </c>
      <c r="SU1" t="s">
        <v>627</v>
      </c>
      <c r="SV1" t="s">
        <v>628</v>
      </c>
      <c r="SW1" t="s">
        <v>629</v>
      </c>
      <c r="SX1" t="s">
        <v>630</v>
      </c>
      <c r="SY1" t="s">
        <v>631</v>
      </c>
      <c r="SZ1" t="s">
        <v>632</v>
      </c>
      <c r="TA1" t="s">
        <v>633</v>
      </c>
      <c r="TB1" t="s">
        <v>634</v>
      </c>
      <c r="TC1" t="s">
        <v>635</v>
      </c>
      <c r="TD1" t="s">
        <v>636</v>
      </c>
      <c r="TE1" t="s">
        <v>637</v>
      </c>
      <c r="TF1" t="s">
        <v>638</v>
      </c>
      <c r="TG1" t="s">
        <v>639</v>
      </c>
      <c r="TH1" t="s">
        <v>640</v>
      </c>
      <c r="TI1" t="s">
        <v>641</v>
      </c>
      <c r="TJ1" t="s">
        <v>642</v>
      </c>
      <c r="TK1" t="s">
        <v>643</v>
      </c>
      <c r="TL1" t="s">
        <v>644</v>
      </c>
      <c r="TM1" t="s">
        <v>645</v>
      </c>
      <c r="TN1" t="s">
        <v>646</v>
      </c>
      <c r="TO1" t="s">
        <v>647</v>
      </c>
      <c r="TP1" t="s">
        <v>648</v>
      </c>
      <c r="TQ1" t="s">
        <v>649</v>
      </c>
      <c r="TR1" t="s">
        <v>650</v>
      </c>
      <c r="TS1" t="s">
        <v>651</v>
      </c>
      <c r="TT1" t="s">
        <v>652</v>
      </c>
      <c r="TU1" t="s">
        <v>653</v>
      </c>
      <c r="TV1" t="s">
        <v>654</v>
      </c>
      <c r="TW1" t="s">
        <v>655</v>
      </c>
      <c r="TX1" t="s">
        <v>656</v>
      </c>
      <c r="TY1" t="s">
        <v>657</v>
      </c>
      <c r="TZ1" t="s">
        <v>658</v>
      </c>
      <c r="UA1" t="s">
        <v>659</v>
      </c>
      <c r="UB1" t="s">
        <v>660</v>
      </c>
      <c r="UC1" t="s">
        <v>661</v>
      </c>
      <c r="UD1" t="s">
        <v>662</v>
      </c>
      <c r="UE1" t="s">
        <v>663</v>
      </c>
      <c r="UF1" t="s">
        <v>664</v>
      </c>
      <c r="UG1" t="s">
        <v>665</v>
      </c>
      <c r="UH1" t="s">
        <v>666</v>
      </c>
      <c r="UI1" t="s">
        <v>667</v>
      </c>
      <c r="UJ1" t="s">
        <v>668</v>
      </c>
      <c r="UK1" t="s">
        <v>669</v>
      </c>
      <c r="UL1" t="s">
        <v>670</v>
      </c>
      <c r="UM1" t="s">
        <v>671</v>
      </c>
      <c r="UN1" t="s">
        <v>672</v>
      </c>
      <c r="UO1" t="s">
        <v>673</v>
      </c>
      <c r="UP1" t="s">
        <v>674</v>
      </c>
      <c r="UQ1" t="s">
        <v>675</v>
      </c>
      <c r="UR1" t="s">
        <v>676</v>
      </c>
      <c r="US1" t="s">
        <v>677</v>
      </c>
      <c r="UT1" t="s">
        <v>678</v>
      </c>
      <c r="UU1" t="s">
        <v>679</v>
      </c>
      <c r="UV1" t="s">
        <v>680</v>
      </c>
      <c r="UW1" t="s">
        <v>681</v>
      </c>
      <c r="UX1" t="s">
        <v>682</v>
      </c>
      <c r="UY1" t="s">
        <v>683</v>
      </c>
      <c r="UZ1" t="s">
        <v>684</v>
      </c>
      <c r="VA1" t="s">
        <v>685</v>
      </c>
      <c r="VB1" t="s">
        <v>686</v>
      </c>
      <c r="VC1" t="s">
        <v>687</v>
      </c>
      <c r="VD1" t="s">
        <v>688</v>
      </c>
      <c r="VE1" t="s">
        <v>689</v>
      </c>
      <c r="VF1" t="s">
        <v>690</v>
      </c>
      <c r="VG1" t="s">
        <v>691</v>
      </c>
      <c r="VH1" t="s">
        <v>692</v>
      </c>
      <c r="VI1" t="s">
        <v>693</v>
      </c>
      <c r="VJ1" t="s">
        <v>694</v>
      </c>
      <c r="VK1" t="s">
        <v>695</v>
      </c>
      <c r="VL1" t="s">
        <v>696</v>
      </c>
      <c r="VM1" t="s">
        <v>697</v>
      </c>
      <c r="VN1" t="s">
        <v>698</v>
      </c>
      <c r="VO1" t="s">
        <v>699</v>
      </c>
      <c r="VP1" t="s">
        <v>700</v>
      </c>
      <c r="VQ1" t="s">
        <v>701</v>
      </c>
      <c r="VR1" t="s">
        <v>702</v>
      </c>
      <c r="VS1" t="s">
        <v>703</v>
      </c>
      <c r="VT1" t="s">
        <v>704</v>
      </c>
      <c r="VU1" t="s">
        <v>705</v>
      </c>
      <c r="VV1" t="s">
        <v>706</v>
      </c>
      <c r="VW1" t="s">
        <v>707</v>
      </c>
      <c r="VX1" t="s">
        <v>708</v>
      </c>
      <c r="VY1" t="s">
        <v>709</v>
      </c>
      <c r="VZ1" t="s">
        <v>710</v>
      </c>
      <c r="WA1" t="s">
        <v>711</v>
      </c>
      <c r="WB1" t="s">
        <v>712</v>
      </c>
      <c r="WC1" t="s">
        <v>713</v>
      </c>
      <c r="WD1" t="s">
        <v>714</v>
      </c>
      <c r="WE1" t="s">
        <v>715</v>
      </c>
      <c r="WF1" t="s">
        <v>716</v>
      </c>
      <c r="WG1" t="s">
        <v>717</v>
      </c>
      <c r="WH1" t="s">
        <v>718</v>
      </c>
      <c r="WI1" t="s">
        <v>719</v>
      </c>
      <c r="WJ1" t="s">
        <v>720</v>
      </c>
      <c r="WK1" t="s">
        <v>721</v>
      </c>
      <c r="WL1" t="s">
        <v>722</v>
      </c>
      <c r="WM1" t="s">
        <v>723</v>
      </c>
      <c r="WN1" t="s">
        <v>724</v>
      </c>
      <c r="WO1" t="s">
        <v>725</v>
      </c>
      <c r="WP1" t="s">
        <v>726</v>
      </c>
      <c r="WQ1" t="s">
        <v>727</v>
      </c>
      <c r="WR1" t="s">
        <v>728</v>
      </c>
      <c r="WS1" t="s">
        <v>729</v>
      </c>
      <c r="WT1" t="s">
        <v>730</v>
      </c>
      <c r="WU1" t="s">
        <v>731</v>
      </c>
      <c r="WV1" t="s">
        <v>732</v>
      </c>
      <c r="WW1" t="s">
        <v>733</v>
      </c>
      <c r="WX1" t="s">
        <v>734</v>
      </c>
      <c r="WY1" t="s">
        <v>735</v>
      </c>
      <c r="WZ1" t="s">
        <v>736</v>
      </c>
      <c r="XA1" t="s">
        <v>737</v>
      </c>
      <c r="XB1" t="s">
        <v>738</v>
      </c>
      <c r="XC1" t="s">
        <v>739</v>
      </c>
      <c r="XD1" t="s">
        <v>740</v>
      </c>
      <c r="XE1" t="s">
        <v>741</v>
      </c>
      <c r="XF1" t="s">
        <v>742</v>
      </c>
      <c r="XG1" t="s">
        <v>743</v>
      </c>
      <c r="XH1" t="s">
        <v>744</v>
      </c>
      <c r="XI1" t="s">
        <v>745</v>
      </c>
      <c r="XJ1" t="s">
        <v>746</v>
      </c>
      <c r="XK1" t="s">
        <v>747</v>
      </c>
      <c r="XL1" t="s">
        <v>748</v>
      </c>
      <c r="XM1" t="s">
        <v>749</v>
      </c>
      <c r="XN1" t="s">
        <v>750</v>
      </c>
      <c r="XO1" t="s">
        <v>751</v>
      </c>
      <c r="XP1" t="s">
        <v>752</v>
      </c>
      <c r="XQ1" t="s">
        <v>753</v>
      </c>
      <c r="XR1" t="s">
        <v>754</v>
      </c>
      <c r="XS1" t="s">
        <v>755</v>
      </c>
      <c r="XT1" t="s">
        <v>756</v>
      </c>
      <c r="XU1" t="s">
        <v>757</v>
      </c>
      <c r="XV1" t="s">
        <v>758</v>
      </c>
      <c r="XW1" t="s">
        <v>759</v>
      </c>
      <c r="XX1" t="s">
        <v>760</v>
      </c>
      <c r="XY1" t="s">
        <v>761</v>
      </c>
      <c r="XZ1" t="s">
        <v>762</v>
      </c>
      <c r="YA1" t="s">
        <v>763</v>
      </c>
      <c r="YB1" t="s">
        <v>764</v>
      </c>
      <c r="YC1" t="s">
        <v>765</v>
      </c>
      <c r="YD1" t="s">
        <v>766</v>
      </c>
      <c r="YE1" t="s">
        <v>767</v>
      </c>
      <c r="YF1" t="s">
        <v>768</v>
      </c>
      <c r="YG1" t="s">
        <v>769</v>
      </c>
      <c r="YH1" t="s">
        <v>770</v>
      </c>
      <c r="YI1" t="s">
        <v>771</v>
      </c>
      <c r="YJ1" t="s">
        <v>772</v>
      </c>
      <c r="YK1" t="s">
        <v>773</v>
      </c>
      <c r="YL1" t="s">
        <v>774</v>
      </c>
      <c r="YM1" t="s">
        <v>775</v>
      </c>
      <c r="YN1" t="s">
        <v>776</v>
      </c>
      <c r="YO1" t="s">
        <v>777</v>
      </c>
      <c r="YP1" t="s">
        <v>778</v>
      </c>
      <c r="YQ1" t="s">
        <v>779</v>
      </c>
      <c r="YR1" t="s">
        <v>780</v>
      </c>
      <c r="YS1" t="s">
        <v>781</v>
      </c>
      <c r="YT1" t="s">
        <v>782</v>
      </c>
      <c r="YU1" t="s">
        <v>783</v>
      </c>
      <c r="YV1" t="s">
        <v>784</v>
      </c>
      <c r="YW1" t="s">
        <v>785</v>
      </c>
      <c r="YX1" t="s">
        <v>786</v>
      </c>
      <c r="YY1" t="s">
        <v>787</v>
      </c>
      <c r="YZ1" t="s">
        <v>788</v>
      </c>
      <c r="ZA1" t="s">
        <v>789</v>
      </c>
      <c r="ZB1" t="s">
        <v>790</v>
      </c>
      <c r="ZC1" t="s">
        <v>791</v>
      </c>
      <c r="ZD1" t="s">
        <v>792</v>
      </c>
      <c r="ZE1" t="s">
        <v>793</v>
      </c>
      <c r="ZF1" t="s">
        <v>794</v>
      </c>
      <c r="ZG1" t="s">
        <v>795</v>
      </c>
      <c r="ZH1" t="s">
        <v>796</v>
      </c>
      <c r="ZI1" t="s">
        <v>797</v>
      </c>
      <c r="ZJ1" t="s">
        <v>798</v>
      </c>
      <c r="ZK1" t="s">
        <v>799</v>
      </c>
      <c r="ZL1" t="s">
        <v>800</v>
      </c>
      <c r="ZM1" t="s">
        <v>801</v>
      </c>
      <c r="ZN1" t="s">
        <v>802</v>
      </c>
      <c r="ZO1" t="s">
        <v>803</v>
      </c>
      <c r="ZP1" t="s">
        <v>804</v>
      </c>
      <c r="ZQ1" t="s">
        <v>805</v>
      </c>
      <c r="ZR1" t="s">
        <v>806</v>
      </c>
      <c r="ZS1" t="s">
        <v>807</v>
      </c>
      <c r="ZT1" t="s">
        <v>808</v>
      </c>
      <c r="ZU1" t="s">
        <v>809</v>
      </c>
      <c r="ZV1" t="s">
        <v>810</v>
      </c>
      <c r="ZW1" t="s">
        <v>811</v>
      </c>
      <c r="ZX1" t="s">
        <v>812</v>
      </c>
      <c r="ZY1" t="s">
        <v>813</v>
      </c>
      <c r="ZZ1" t="s">
        <v>814</v>
      </c>
      <c r="AAA1" t="s">
        <v>815</v>
      </c>
      <c r="AAB1" t="s">
        <v>816</v>
      </c>
      <c r="AAC1" t="s">
        <v>817</v>
      </c>
      <c r="AAD1" t="s">
        <v>818</v>
      </c>
      <c r="AAE1" t="s">
        <v>819</v>
      </c>
      <c r="AAF1" t="s">
        <v>820</v>
      </c>
      <c r="AAG1" t="s">
        <v>821</v>
      </c>
      <c r="AAH1" t="s">
        <v>822</v>
      </c>
      <c r="AAI1" t="s">
        <v>823</v>
      </c>
      <c r="AAJ1" t="s">
        <v>824</v>
      </c>
      <c r="AAK1" t="s">
        <v>825</v>
      </c>
      <c r="AAL1" t="s">
        <v>826</v>
      </c>
      <c r="AAM1" t="s">
        <v>827</v>
      </c>
      <c r="AAN1" t="s">
        <v>828</v>
      </c>
      <c r="AAO1" t="s">
        <v>829</v>
      </c>
      <c r="AAP1" t="s">
        <v>830</v>
      </c>
      <c r="AAQ1" t="s">
        <v>831</v>
      </c>
      <c r="AAR1" t="s">
        <v>832</v>
      </c>
      <c r="AAS1" t="s">
        <v>833</v>
      </c>
      <c r="AAT1" t="s">
        <v>834</v>
      </c>
      <c r="AAU1" t="s">
        <v>835</v>
      </c>
      <c r="AAV1" t="s">
        <v>836</v>
      </c>
      <c r="AAW1" t="s">
        <v>837</v>
      </c>
      <c r="AAX1" t="s">
        <v>838</v>
      </c>
      <c r="AAY1" t="s">
        <v>839</v>
      </c>
      <c r="AAZ1" t="s">
        <v>840</v>
      </c>
      <c r="ABA1" t="s">
        <v>841</v>
      </c>
      <c r="ABB1" t="s">
        <v>842</v>
      </c>
      <c r="ABC1" t="s">
        <v>843</v>
      </c>
      <c r="ABD1" t="s">
        <v>844</v>
      </c>
      <c r="ABE1" t="s">
        <v>845</v>
      </c>
      <c r="ABF1" t="s">
        <v>846</v>
      </c>
      <c r="ABG1" t="s">
        <v>847</v>
      </c>
      <c r="ABH1" t="s">
        <v>848</v>
      </c>
      <c r="ABI1" t="s">
        <v>849</v>
      </c>
      <c r="ABJ1" t="s">
        <v>850</v>
      </c>
      <c r="ABK1" t="s">
        <v>851</v>
      </c>
      <c r="ABL1" t="s">
        <v>852</v>
      </c>
      <c r="ABM1" t="s">
        <v>853</v>
      </c>
      <c r="ABN1" t="s">
        <v>854</v>
      </c>
      <c r="ABO1" t="s">
        <v>855</v>
      </c>
      <c r="ABP1" t="s">
        <v>856</v>
      </c>
      <c r="ABQ1" t="s">
        <v>857</v>
      </c>
      <c r="ABR1" t="s">
        <v>858</v>
      </c>
      <c r="ABS1" t="s">
        <v>859</v>
      </c>
      <c r="ABT1" t="s">
        <v>860</v>
      </c>
      <c r="ABU1" t="s">
        <v>861</v>
      </c>
      <c r="ABV1" t="s">
        <v>862</v>
      </c>
      <c r="ABW1" t="s">
        <v>863</v>
      </c>
      <c r="ABX1" t="s">
        <v>864</v>
      </c>
      <c r="ABY1" t="s">
        <v>865</v>
      </c>
      <c r="ABZ1" t="s">
        <v>866</v>
      </c>
      <c r="ACA1" t="s">
        <v>867</v>
      </c>
      <c r="ACB1" t="s">
        <v>868</v>
      </c>
      <c r="ACC1" t="s">
        <v>869</v>
      </c>
      <c r="ACD1" t="s">
        <v>870</v>
      </c>
      <c r="ACE1" t="s">
        <v>871</v>
      </c>
      <c r="ACF1" t="s">
        <v>872</v>
      </c>
      <c r="ACG1" t="s">
        <v>873</v>
      </c>
      <c r="ACH1" t="s">
        <v>874</v>
      </c>
      <c r="ACI1" t="s">
        <v>875</v>
      </c>
      <c r="ACJ1" t="s">
        <v>876</v>
      </c>
      <c r="ACK1" t="s">
        <v>877</v>
      </c>
      <c r="ACL1" t="s">
        <v>878</v>
      </c>
      <c r="ACM1" t="s">
        <v>879</v>
      </c>
      <c r="ACN1" t="s">
        <v>880</v>
      </c>
      <c r="ACO1" t="s">
        <v>881</v>
      </c>
      <c r="ACP1" t="s">
        <v>882</v>
      </c>
      <c r="ACQ1" t="s">
        <v>883</v>
      </c>
      <c r="ACR1" t="s">
        <v>884</v>
      </c>
      <c r="ACS1" t="s">
        <v>885</v>
      </c>
      <c r="ACT1" t="s">
        <v>886</v>
      </c>
      <c r="ACU1" t="s">
        <v>887</v>
      </c>
      <c r="ACV1" t="s">
        <v>888</v>
      </c>
      <c r="ACW1" t="s">
        <v>889</v>
      </c>
      <c r="ACX1" t="s">
        <v>890</v>
      </c>
      <c r="ACY1" t="s">
        <v>891</v>
      </c>
      <c r="ACZ1" t="s">
        <v>892</v>
      </c>
      <c r="ADA1" t="s">
        <v>893</v>
      </c>
      <c r="ADB1" t="s">
        <v>894</v>
      </c>
      <c r="ADC1" t="s">
        <v>895</v>
      </c>
      <c r="ADD1" t="s">
        <v>896</v>
      </c>
      <c r="ADE1" t="s">
        <v>897</v>
      </c>
      <c r="ADF1" t="s">
        <v>898</v>
      </c>
      <c r="ADG1" t="s">
        <v>899</v>
      </c>
      <c r="ADH1" t="s">
        <v>900</v>
      </c>
      <c r="ADI1" t="s">
        <v>901</v>
      </c>
      <c r="ADJ1" t="s">
        <v>902</v>
      </c>
      <c r="ADK1" t="s">
        <v>903</v>
      </c>
      <c r="ADL1" t="s">
        <v>904</v>
      </c>
      <c r="ADM1" t="s">
        <v>905</v>
      </c>
      <c r="ADN1" t="s">
        <v>906</v>
      </c>
      <c r="ADO1" t="s">
        <v>907</v>
      </c>
      <c r="ADP1" t="s">
        <v>908</v>
      </c>
      <c r="ADQ1" t="s">
        <v>909</v>
      </c>
      <c r="ADR1" t="s">
        <v>910</v>
      </c>
      <c r="ADS1" t="s">
        <v>911</v>
      </c>
      <c r="ADT1" t="s">
        <v>912</v>
      </c>
      <c r="ADU1" t="s">
        <v>913</v>
      </c>
      <c r="ADV1" t="s">
        <v>914</v>
      </c>
      <c r="ADW1" t="s">
        <v>915</v>
      </c>
      <c r="ADX1" t="s">
        <v>916</v>
      </c>
      <c r="ADY1" t="s">
        <v>917</v>
      </c>
      <c r="ADZ1" t="s">
        <v>918</v>
      </c>
      <c r="AEA1" t="s">
        <v>919</v>
      </c>
      <c r="AEB1" t="s">
        <v>920</v>
      </c>
      <c r="AEC1" t="s">
        <v>921</v>
      </c>
      <c r="AED1" t="s">
        <v>922</v>
      </c>
      <c r="AEE1" t="s">
        <v>923</v>
      </c>
      <c r="AEF1" t="s">
        <v>924</v>
      </c>
      <c r="AEG1" t="s">
        <v>925</v>
      </c>
      <c r="AEH1" t="s">
        <v>926</v>
      </c>
      <c r="AEI1" t="s">
        <v>927</v>
      </c>
      <c r="AEJ1" t="s">
        <v>928</v>
      </c>
      <c r="AEK1" t="s">
        <v>929</v>
      </c>
      <c r="AEL1" t="s">
        <v>930</v>
      </c>
      <c r="AEM1" t="s">
        <v>931</v>
      </c>
      <c r="AEN1" t="s">
        <v>932</v>
      </c>
      <c r="AEO1" t="s">
        <v>933</v>
      </c>
      <c r="AEP1" t="s">
        <v>934</v>
      </c>
      <c r="AEQ1" t="s">
        <v>935</v>
      </c>
      <c r="AER1" t="s">
        <v>936</v>
      </c>
      <c r="AES1" t="s">
        <v>937</v>
      </c>
      <c r="AET1" t="s">
        <v>938</v>
      </c>
      <c r="AEU1" t="s">
        <v>939</v>
      </c>
      <c r="AEV1" t="s">
        <v>940</v>
      </c>
      <c r="AEW1" t="s">
        <v>941</v>
      </c>
      <c r="AEX1" t="s">
        <v>942</v>
      </c>
      <c r="AEY1" t="s">
        <v>943</v>
      </c>
      <c r="AEZ1" t="s">
        <v>944</v>
      </c>
      <c r="AFA1" t="s">
        <v>945</v>
      </c>
      <c r="AFB1" t="s">
        <v>946</v>
      </c>
      <c r="AFC1" t="s">
        <v>947</v>
      </c>
      <c r="AFD1" t="s">
        <v>948</v>
      </c>
      <c r="AFE1" t="s">
        <v>949</v>
      </c>
      <c r="AFF1" t="s">
        <v>950</v>
      </c>
      <c r="AFG1" t="s">
        <v>951</v>
      </c>
      <c r="AFH1" t="s">
        <v>952</v>
      </c>
      <c r="AFI1" t="s">
        <v>953</v>
      </c>
      <c r="AFJ1" t="s">
        <v>954</v>
      </c>
      <c r="AFK1" t="s">
        <v>955</v>
      </c>
      <c r="AFL1" t="s">
        <v>956</v>
      </c>
      <c r="AFM1" t="s">
        <v>957</v>
      </c>
      <c r="AFN1" t="s">
        <v>958</v>
      </c>
      <c r="AFO1" t="s">
        <v>959</v>
      </c>
      <c r="AFP1" t="s">
        <v>960</v>
      </c>
      <c r="AFQ1" t="s">
        <v>961</v>
      </c>
      <c r="AFR1" t="s">
        <v>962</v>
      </c>
      <c r="AFS1" t="s">
        <v>963</v>
      </c>
      <c r="AFT1" t="s">
        <v>964</v>
      </c>
      <c r="AFU1" t="s">
        <v>965</v>
      </c>
      <c r="AFV1" t="s">
        <v>966</v>
      </c>
      <c r="AFW1" t="s">
        <v>967</v>
      </c>
      <c r="AFX1" t="s">
        <v>968</v>
      </c>
      <c r="AFY1" t="s">
        <v>969</v>
      </c>
      <c r="AFZ1" t="s">
        <v>970</v>
      </c>
      <c r="AGA1" t="s">
        <v>971</v>
      </c>
      <c r="AGB1" t="s">
        <v>972</v>
      </c>
      <c r="AGC1" t="s">
        <v>973</v>
      </c>
      <c r="AGD1" t="s">
        <v>974</v>
      </c>
      <c r="AGE1" t="s">
        <v>975</v>
      </c>
      <c r="AGF1" t="s">
        <v>976</v>
      </c>
      <c r="AGG1" t="s">
        <v>977</v>
      </c>
      <c r="AGH1" t="s">
        <v>978</v>
      </c>
      <c r="AGI1" t="s">
        <v>979</v>
      </c>
      <c r="AGJ1" t="s">
        <v>980</v>
      </c>
      <c r="AGK1" t="s">
        <v>981</v>
      </c>
      <c r="AGL1" t="s">
        <v>982</v>
      </c>
      <c r="AGM1" t="s">
        <v>983</v>
      </c>
      <c r="AGN1" t="s">
        <v>984</v>
      </c>
      <c r="AGO1" t="s">
        <v>985</v>
      </c>
      <c r="AGP1" t="s">
        <v>986</v>
      </c>
      <c r="AGQ1" t="s">
        <v>987</v>
      </c>
      <c r="AGR1" t="s">
        <v>988</v>
      </c>
      <c r="AGS1" t="s">
        <v>989</v>
      </c>
      <c r="AGT1" t="s">
        <v>990</v>
      </c>
      <c r="AGU1" t="s">
        <v>991</v>
      </c>
      <c r="AGV1" t="s">
        <v>992</v>
      </c>
      <c r="AGW1" t="s">
        <v>993</v>
      </c>
      <c r="AGX1" t="s">
        <v>994</v>
      </c>
      <c r="AGY1" t="s">
        <v>995</v>
      </c>
      <c r="AGZ1" t="s">
        <v>996</v>
      </c>
      <c r="AHA1" t="s">
        <v>997</v>
      </c>
      <c r="AHB1" t="s">
        <v>998</v>
      </c>
      <c r="AHC1" t="s">
        <v>999</v>
      </c>
      <c r="AHD1" t="s">
        <v>1000</v>
      </c>
      <c r="AHE1" t="s">
        <v>1001</v>
      </c>
      <c r="AHF1" t="s">
        <v>1002</v>
      </c>
      <c r="AHG1" t="s">
        <v>1003</v>
      </c>
      <c r="AHH1" t="s">
        <v>1004</v>
      </c>
      <c r="AHI1" t="s">
        <v>1005</v>
      </c>
      <c r="AHJ1" t="s">
        <v>1006</v>
      </c>
      <c r="AHK1" t="s">
        <v>1007</v>
      </c>
      <c r="AHL1" t="s">
        <v>1008</v>
      </c>
      <c r="AHM1" t="s">
        <v>1009</v>
      </c>
      <c r="AHN1" t="s">
        <v>1010</v>
      </c>
      <c r="AHO1" t="s">
        <v>1011</v>
      </c>
      <c r="AHP1" t="s">
        <v>1012</v>
      </c>
      <c r="AHQ1" t="s">
        <v>1013</v>
      </c>
      <c r="AHR1" t="s">
        <v>1014</v>
      </c>
      <c r="AHS1" t="s">
        <v>1015</v>
      </c>
      <c r="AHT1" t="s">
        <v>1016</v>
      </c>
      <c r="AHU1" t="s">
        <v>1017</v>
      </c>
      <c r="AHV1" t="s">
        <v>1018</v>
      </c>
      <c r="AHW1" t="s">
        <v>1019</v>
      </c>
      <c r="AHX1" t="s">
        <v>1020</v>
      </c>
      <c r="AHY1" t="s">
        <v>1021</v>
      </c>
      <c r="AHZ1" t="s">
        <v>1022</v>
      </c>
      <c r="AIA1" t="s">
        <v>1023</v>
      </c>
      <c r="AIB1" t="s">
        <v>1024</v>
      </c>
      <c r="AIC1" t="s">
        <v>1025</v>
      </c>
      <c r="AID1" t="s">
        <v>1026</v>
      </c>
      <c r="AIE1" t="s">
        <v>1027</v>
      </c>
      <c r="AIF1" t="s">
        <v>1028</v>
      </c>
      <c r="AIG1" t="s">
        <v>1029</v>
      </c>
      <c r="AIH1" t="s">
        <v>1030</v>
      </c>
      <c r="AII1" t="s">
        <v>1031</v>
      </c>
      <c r="AIJ1" t="s">
        <v>1032</v>
      </c>
      <c r="AIK1" t="s">
        <v>1033</v>
      </c>
      <c r="AIL1" t="s">
        <v>1034</v>
      </c>
      <c r="AIM1" t="s">
        <v>1035</v>
      </c>
      <c r="AIN1" t="s">
        <v>1036</v>
      </c>
      <c r="AIO1" t="s">
        <v>1037</v>
      </c>
      <c r="AIP1" t="s">
        <v>1038</v>
      </c>
      <c r="AIQ1" t="s">
        <v>1039</v>
      </c>
      <c r="AIR1" t="s">
        <v>1040</v>
      </c>
      <c r="AIS1" t="s">
        <v>1041</v>
      </c>
      <c r="AIT1" t="s">
        <v>1042</v>
      </c>
      <c r="AIU1" t="s">
        <v>1043</v>
      </c>
      <c r="AIV1" t="s">
        <v>1044</v>
      </c>
      <c r="AIW1" t="s">
        <v>1045</v>
      </c>
      <c r="AIX1" t="s">
        <v>1046</v>
      </c>
      <c r="AIY1" t="s">
        <v>1047</v>
      </c>
      <c r="AIZ1" t="s">
        <v>1048</v>
      </c>
      <c r="AJA1" t="s">
        <v>1049</v>
      </c>
      <c r="AJB1" t="s">
        <v>1050</v>
      </c>
      <c r="AJC1" t="s">
        <v>1051</v>
      </c>
      <c r="AJD1" t="s">
        <v>1052</v>
      </c>
      <c r="AJE1" t="s">
        <v>1053</v>
      </c>
      <c r="AJF1" t="s">
        <v>1054</v>
      </c>
      <c r="AJG1" t="s">
        <v>1055</v>
      </c>
      <c r="AJH1" t="s">
        <v>1056</v>
      </c>
      <c r="AJI1" t="s">
        <v>1057</v>
      </c>
      <c r="AJJ1" t="s">
        <v>1058</v>
      </c>
      <c r="AJK1" t="s">
        <v>1059</v>
      </c>
      <c r="AJL1" t="s">
        <v>1060</v>
      </c>
      <c r="AJM1" t="s">
        <v>1061</v>
      </c>
      <c r="AJN1" t="s">
        <v>1062</v>
      </c>
      <c r="AJO1" t="s">
        <v>1063</v>
      </c>
      <c r="AJP1" t="s">
        <v>1064</v>
      </c>
      <c r="AJQ1" t="s">
        <v>1065</v>
      </c>
      <c r="AJR1" t="s">
        <v>1066</v>
      </c>
      <c r="AJS1" t="s">
        <v>1067</v>
      </c>
      <c r="AJT1" t="s">
        <v>1068</v>
      </c>
      <c r="AJU1" t="s">
        <v>1069</v>
      </c>
      <c r="AJV1" t="s">
        <v>1070</v>
      </c>
      <c r="AJW1" t="s">
        <v>1071</v>
      </c>
      <c r="AJX1" t="s">
        <v>1072</v>
      </c>
      <c r="AJY1" t="s">
        <v>1073</v>
      </c>
      <c r="AJZ1" t="s">
        <v>1074</v>
      </c>
      <c r="AKA1" t="s">
        <v>1075</v>
      </c>
      <c r="AKB1" t="s">
        <v>1076</v>
      </c>
      <c r="AKC1" t="s">
        <v>1077</v>
      </c>
      <c r="AKD1" t="s">
        <v>1078</v>
      </c>
      <c r="AKE1" t="s">
        <v>1079</v>
      </c>
      <c r="AKF1" t="s">
        <v>1080</v>
      </c>
      <c r="AKG1" t="s">
        <v>1081</v>
      </c>
      <c r="AKH1" t="s">
        <v>1082</v>
      </c>
      <c r="AKI1" t="s">
        <v>1083</v>
      </c>
      <c r="AKJ1" t="s">
        <v>1084</v>
      </c>
      <c r="AKK1" t="s">
        <v>1085</v>
      </c>
      <c r="AKL1" t="s">
        <v>1086</v>
      </c>
      <c r="AKM1" t="s">
        <v>1087</v>
      </c>
      <c r="AKN1" t="s">
        <v>1088</v>
      </c>
      <c r="AKO1" t="s">
        <v>1089</v>
      </c>
      <c r="AKP1" t="s">
        <v>1090</v>
      </c>
      <c r="AKQ1" t="s">
        <v>1091</v>
      </c>
      <c r="AKR1" t="s">
        <v>1092</v>
      </c>
      <c r="AKS1" t="s">
        <v>1093</v>
      </c>
      <c r="AKT1" t="s">
        <v>1094</v>
      </c>
      <c r="AKU1" t="s">
        <v>1095</v>
      </c>
      <c r="AKV1" t="s">
        <v>1096</v>
      </c>
      <c r="AKW1" t="s">
        <v>1097</v>
      </c>
      <c r="AKX1" t="s">
        <v>1098</v>
      </c>
      <c r="AKY1" t="s">
        <v>1099</v>
      </c>
      <c r="AKZ1" t="s">
        <v>1100</v>
      </c>
      <c r="ALA1" t="s">
        <v>1101</v>
      </c>
      <c r="ALB1" t="s">
        <v>1102</v>
      </c>
      <c r="ALC1" t="s">
        <v>1103</v>
      </c>
      <c r="ALD1" t="s">
        <v>1104</v>
      </c>
      <c r="ALE1" t="s">
        <v>1105</v>
      </c>
      <c r="ALF1" t="s">
        <v>1106</v>
      </c>
      <c r="ALG1" t="s">
        <v>1107</v>
      </c>
      <c r="ALH1" t="s">
        <v>1108</v>
      </c>
      <c r="ALI1" t="s">
        <v>1109</v>
      </c>
      <c r="ALJ1" t="s">
        <v>1110</v>
      </c>
      <c r="ALK1" t="s">
        <v>1111</v>
      </c>
      <c r="ALL1" t="s">
        <v>1112</v>
      </c>
      <c r="ALM1" t="s">
        <v>1113</v>
      </c>
      <c r="ALN1" t="s">
        <v>1114</v>
      </c>
      <c r="ALO1" t="s">
        <v>1115</v>
      </c>
      <c r="ALP1" t="s">
        <v>1116</v>
      </c>
      <c r="ALQ1" t="s">
        <v>1117</v>
      </c>
      <c r="ALR1" t="s">
        <v>1118</v>
      </c>
      <c r="ALS1" t="s">
        <v>1119</v>
      </c>
      <c r="ALT1" t="s">
        <v>1120</v>
      </c>
      <c r="ALU1" t="s">
        <v>1121</v>
      </c>
      <c r="ALV1" t="s">
        <v>1122</v>
      </c>
      <c r="ALW1" t="s">
        <v>1123</v>
      </c>
      <c r="ALX1" t="s">
        <v>1124</v>
      </c>
      <c r="ALY1" t="s">
        <v>1125</v>
      </c>
      <c r="ALZ1" t="s">
        <v>1126</v>
      </c>
      <c r="AMA1" t="s">
        <v>1127</v>
      </c>
      <c r="AMB1" t="s">
        <v>1128</v>
      </c>
      <c r="AMC1" t="s">
        <v>1129</v>
      </c>
      <c r="AMD1" t="s">
        <v>1130</v>
      </c>
      <c r="AME1" t="s">
        <v>1131</v>
      </c>
      <c r="AMF1" t="s">
        <v>1132</v>
      </c>
      <c r="AMG1" t="s">
        <v>1133</v>
      </c>
      <c r="AMH1" t="s">
        <v>1134</v>
      </c>
      <c r="AMI1" t="s">
        <v>1135</v>
      </c>
      <c r="AMJ1" t="s">
        <v>1136</v>
      </c>
      <c r="AMK1" t="s">
        <v>1137</v>
      </c>
      <c r="AML1" t="s">
        <v>1138</v>
      </c>
      <c r="AMM1" t="s">
        <v>1139</v>
      </c>
      <c r="AMN1" t="s">
        <v>1140</v>
      </c>
      <c r="AMO1" t="s">
        <v>1141</v>
      </c>
      <c r="AMP1" t="s">
        <v>1142</v>
      </c>
      <c r="AMQ1" t="s">
        <v>1143</v>
      </c>
      <c r="AMR1" t="s">
        <v>1144</v>
      </c>
      <c r="AMS1" t="s">
        <v>1145</v>
      </c>
      <c r="AMT1" t="s">
        <v>1146</v>
      </c>
      <c r="AMU1" t="s">
        <v>1147</v>
      </c>
      <c r="AMV1" t="s">
        <v>1148</v>
      </c>
      <c r="AMW1" t="s">
        <v>1149</v>
      </c>
      <c r="AMX1" t="s">
        <v>1150</v>
      </c>
      <c r="AMY1" t="s">
        <v>1151</v>
      </c>
      <c r="AMZ1" t="s">
        <v>1152</v>
      </c>
      <c r="ANA1" t="s">
        <v>1153</v>
      </c>
      <c r="ANB1" t="s">
        <v>1154</v>
      </c>
      <c r="ANC1" t="s">
        <v>1155</v>
      </c>
      <c r="AND1" t="s">
        <v>1156</v>
      </c>
      <c r="ANE1" t="s">
        <v>1157</v>
      </c>
      <c r="ANF1" t="s">
        <v>1158</v>
      </c>
      <c r="ANG1" t="s">
        <v>1159</v>
      </c>
      <c r="ANH1" t="s">
        <v>1160</v>
      </c>
      <c r="ANI1" t="s">
        <v>1161</v>
      </c>
      <c r="ANJ1" t="s">
        <v>1162</v>
      </c>
      <c r="ANK1" t="s">
        <v>1163</v>
      </c>
      <c r="ANL1" t="s">
        <v>1164</v>
      </c>
      <c r="ANM1" t="s">
        <v>1165</v>
      </c>
      <c r="ANN1" t="s">
        <v>1166</v>
      </c>
      <c r="ANO1" t="s">
        <v>1167</v>
      </c>
      <c r="ANP1" t="s">
        <v>1168</v>
      </c>
      <c r="ANQ1" t="s">
        <v>1169</v>
      </c>
      <c r="ANR1" t="s">
        <v>1170</v>
      </c>
      <c r="ANS1" t="s">
        <v>1171</v>
      </c>
      <c r="ANT1" t="s">
        <v>1172</v>
      </c>
      <c r="ANU1" t="s">
        <v>1173</v>
      </c>
      <c r="ANV1" t="s">
        <v>1174</v>
      </c>
      <c r="ANW1" t="s">
        <v>1175</v>
      </c>
      <c r="ANX1" t="s">
        <v>1176</v>
      </c>
      <c r="ANY1" t="s">
        <v>1177</v>
      </c>
      <c r="ANZ1" t="s">
        <v>1178</v>
      </c>
      <c r="AOA1" t="s">
        <v>1179</v>
      </c>
      <c r="AOB1" t="s">
        <v>1180</v>
      </c>
      <c r="AOC1" t="s">
        <v>1181</v>
      </c>
      <c r="AOD1" t="s">
        <v>1182</v>
      </c>
      <c r="AOE1" t="s">
        <v>1183</v>
      </c>
      <c r="AOF1" t="s">
        <v>1184</v>
      </c>
      <c r="AOG1" t="s">
        <v>1185</v>
      </c>
      <c r="AOH1" t="s">
        <v>1186</v>
      </c>
      <c r="AOI1" t="s">
        <v>1187</v>
      </c>
      <c r="AOJ1" t="s">
        <v>1188</v>
      </c>
      <c r="AOK1" t="s">
        <v>1189</v>
      </c>
      <c r="AOL1" t="s">
        <v>1190</v>
      </c>
      <c r="AOM1" t="s">
        <v>1191</v>
      </c>
      <c r="AON1" t="s">
        <v>1192</v>
      </c>
      <c r="AOO1" t="s">
        <v>1193</v>
      </c>
      <c r="AOP1" t="s">
        <v>1194</v>
      </c>
      <c r="AOQ1" t="s">
        <v>1195</v>
      </c>
      <c r="AOR1" t="s">
        <v>1196</v>
      </c>
      <c r="AOS1" t="s">
        <v>1197</v>
      </c>
      <c r="AOT1" t="s">
        <v>1198</v>
      </c>
      <c r="AOU1" t="s">
        <v>1199</v>
      </c>
      <c r="AOV1" t="s">
        <v>1200</v>
      </c>
      <c r="AOW1" t="s">
        <v>1201</v>
      </c>
      <c r="AOX1" t="s">
        <v>1202</v>
      </c>
      <c r="AOY1" t="s">
        <v>1203</v>
      </c>
      <c r="AOZ1" t="s">
        <v>1204</v>
      </c>
      <c r="APA1" t="s">
        <v>1205</v>
      </c>
      <c r="APB1" t="s">
        <v>1206</v>
      </c>
      <c r="APC1" t="s">
        <v>1207</v>
      </c>
      <c r="APD1" t="s">
        <v>1208</v>
      </c>
      <c r="APE1" t="s">
        <v>1209</v>
      </c>
      <c r="APF1" t="s">
        <v>1210</v>
      </c>
      <c r="APG1" t="s">
        <v>1211</v>
      </c>
      <c r="APH1" t="s">
        <v>1212</v>
      </c>
      <c r="API1" t="s">
        <v>1213</v>
      </c>
      <c r="APJ1" t="s">
        <v>1214</v>
      </c>
      <c r="APK1" t="s">
        <v>1215</v>
      </c>
      <c r="APL1" t="s">
        <v>1216</v>
      </c>
      <c r="APM1" t="s">
        <v>1217</v>
      </c>
      <c r="APN1" t="s">
        <v>1218</v>
      </c>
      <c r="APO1" t="s">
        <v>1219</v>
      </c>
      <c r="APP1" t="s">
        <v>1220</v>
      </c>
      <c r="APQ1" t="s">
        <v>1221</v>
      </c>
      <c r="APR1" t="s">
        <v>1222</v>
      </c>
      <c r="APS1" t="s">
        <v>1223</v>
      </c>
      <c r="APT1" t="s">
        <v>1224</v>
      </c>
      <c r="APU1" t="s">
        <v>1225</v>
      </c>
      <c r="APV1" t="s">
        <v>1226</v>
      </c>
      <c r="APW1" t="s">
        <v>1227</v>
      </c>
      <c r="APX1" t="s">
        <v>1228</v>
      </c>
      <c r="APY1" t="s">
        <v>1229</v>
      </c>
      <c r="APZ1" t="s">
        <v>1230</v>
      </c>
      <c r="AQA1" t="s">
        <v>1231</v>
      </c>
      <c r="AQB1" t="s">
        <v>1232</v>
      </c>
      <c r="AQC1" t="s">
        <v>1233</v>
      </c>
      <c r="AQD1" t="s">
        <v>1234</v>
      </c>
      <c r="AQE1" t="s">
        <v>1235</v>
      </c>
      <c r="AQF1" t="s">
        <v>1236</v>
      </c>
      <c r="AQG1" t="s">
        <v>1237</v>
      </c>
      <c r="AQH1" t="s">
        <v>1238</v>
      </c>
      <c r="AQI1" t="s">
        <v>1239</v>
      </c>
      <c r="AQJ1" t="s">
        <v>1240</v>
      </c>
      <c r="AQK1" t="s">
        <v>1241</v>
      </c>
      <c r="AQL1" t="s">
        <v>1242</v>
      </c>
      <c r="AQM1" t="s">
        <v>1243</v>
      </c>
      <c r="AQN1" t="s">
        <v>1244</v>
      </c>
      <c r="AQO1" t="s">
        <v>1245</v>
      </c>
      <c r="AQP1" t="s">
        <v>1246</v>
      </c>
      <c r="AQQ1" t="s">
        <v>1247</v>
      </c>
      <c r="AQR1" t="s">
        <v>1248</v>
      </c>
      <c r="AQS1" t="s">
        <v>1249</v>
      </c>
      <c r="AQT1" t="s">
        <v>1250</v>
      </c>
      <c r="AQU1" t="s">
        <v>1251</v>
      </c>
      <c r="AQV1" t="s">
        <v>1252</v>
      </c>
      <c r="AQW1" t="s">
        <v>1253</v>
      </c>
      <c r="AQX1" t="s">
        <v>1254</v>
      </c>
      <c r="AQY1" t="s">
        <v>1255</v>
      </c>
      <c r="AQZ1" t="s">
        <v>1256</v>
      </c>
      <c r="ARA1" t="s">
        <v>1257</v>
      </c>
      <c r="ARB1" t="s">
        <v>1258</v>
      </c>
      <c r="ARC1" t="s">
        <v>1259</v>
      </c>
      <c r="ARD1" t="s">
        <v>1260</v>
      </c>
      <c r="ARE1" t="s">
        <v>1261</v>
      </c>
      <c r="ARF1" t="s">
        <v>1262</v>
      </c>
      <c r="ARG1" t="s">
        <v>1263</v>
      </c>
      <c r="ARH1" t="s">
        <v>1264</v>
      </c>
      <c r="ARI1" t="s">
        <v>1265</v>
      </c>
      <c r="ARJ1" t="s">
        <v>1266</v>
      </c>
      <c r="ARK1" t="s">
        <v>1267</v>
      </c>
      <c r="ARL1" t="s">
        <v>1268</v>
      </c>
      <c r="ARM1" t="s">
        <v>1269</v>
      </c>
      <c r="ARN1" t="s">
        <v>1270</v>
      </c>
      <c r="ARO1" t="s">
        <v>1271</v>
      </c>
      <c r="ARP1" t="s">
        <v>1272</v>
      </c>
      <c r="ARQ1" t="s">
        <v>1273</v>
      </c>
      <c r="ARR1" t="s">
        <v>1274</v>
      </c>
      <c r="ARS1" t="s">
        <v>1275</v>
      </c>
      <c r="ART1" t="s">
        <v>1276</v>
      </c>
      <c r="ARU1" t="s">
        <v>1277</v>
      </c>
      <c r="ARV1" t="s">
        <v>1278</v>
      </c>
      <c r="ARW1" t="s">
        <v>1279</v>
      </c>
      <c r="ARX1" t="s">
        <v>1280</v>
      </c>
      <c r="ARY1" t="s">
        <v>1281</v>
      </c>
      <c r="ARZ1" t="s">
        <v>1282</v>
      </c>
      <c r="ASA1" t="s">
        <v>1283</v>
      </c>
      <c r="ASB1" t="s">
        <v>1284</v>
      </c>
      <c r="ASC1" t="s">
        <v>1285</v>
      </c>
      <c r="ASD1" t="s">
        <v>1286</v>
      </c>
      <c r="ASE1" t="s">
        <v>1287</v>
      </c>
      <c r="ASF1" t="s">
        <v>1288</v>
      </c>
      <c r="ASG1" t="s">
        <v>1289</v>
      </c>
      <c r="ASH1" t="s">
        <v>1290</v>
      </c>
      <c r="ASI1" t="s">
        <v>1291</v>
      </c>
      <c r="ASJ1" t="s">
        <v>1292</v>
      </c>
      <c r="ASK1" t="s">
        <v>1293</v>
      </c>
      <c r="ASL1" t="s">
        <v>1294</v>
      </c>
      <c r="ASM1" t="s">
        <v>1295</v>
      </c>
      <c r="ASN1" t="s">
        <v>1296</v>
      </c>
      <c r="ASO1" t="s">
        <v>1297</v>
      </c>
      <c r="ASP1" t="s">
        <v>1298</v>
      </c>
      <c r="ASQ1" t="s">
        <v>1299</v>
      </c>
      <c r="ASR1" t="s">
        <v>1300</v>
      </c>
      <c r="ASS1" t="s">
        <v>1301</v>
      </c>
      <c r="AST1" t="s">
        <v>1302</v>
      </c>
      <c r="ASU1" t="s">
        <v>1303</v>
      </c>
      <c r="ASV1" t="s">
        <v>1304</v>
      </c>
      <c r="ASW1" t="s">
        <v>1305</v>
      </c>
      <c r="ASX1" t="s">
        <v>1306</v>
      </c>
      <c r="ASY1" t="s">
        <v>1307</v>
      </c>
      <c r="ASZ1" t="s">
        <v>1308</v>
      </c>
      <c r="ATA1" t="s">
        <v>1309</v>
      </c>
      <c r="ATB1" t="s">
        <v>1310</v>
      </c>
      <c r="ATC1" t="s">
        <v>1311</v>
      </c>
      <c r="ATD1" t="s">
        <v>1312</v>
      </c>
      <c r="ATE1" t="s">
        <v>1313</v>
      </c>
      <c r="ATF1" t="s">
        <v>1314</v>
      </c>
      <c r="ATG1" t="s">
        <v>1315</v>
      </c>
      <c r="ATH1" t="s">
        <v>1316</v>
      </c>
      <c r="ATI1" t="s">
        <v>1317</v>
      </c>
      <c r="ATJ1" t="s">
        <v>1318</v>
      </c>
      <c r="ATK1" t="s">
        <v>1319</v>
      </c>
      <c r="ATL1" t="s">
        <v>1320</v>
      </c>
      <c r="ATM1" t="s">
        <v>1321</v>
      </c>
      <c r="ATN1" t="s">
        <v>1322</v>
      </c>
      <c r="ATO1" t="s">
        <v>1323</v>
      </c>
      <c r="ATP1" t="s">
        <v>1324</v>
      </c>
      <c r="ATQ1" t="s">
        <v>1325</v>
      </c>
      <c r="ATR1" t="s">
        <v>1326</v>
      </c>
      <c r="ATS1" t="s">
        <v>1327</v>
      </c>
      <c r="ATT1" t="s">
        <v>1328</v>
      </c>
      <c r="ATU1" t="s">
        <v>1329</v>
      </c>
      <c r="ATV1" t="s">
        <v>1330</v>
      </c>
      <c r="ATW1" t="s">
        <v>1331</v>
      </c>
      <c r="ATX1" t="s">
        <v>1332</v>
      </c>
      <c r="ATY1" t="s">
        <v>1333</v>
      </c>
      <c r="ATZ1" t="s">
        <v>1334</v>
      </c>
      <c r="AUA1" t="s">
        <v>1335</v>
      </c>
      <c r="AUB1" t="s">
        <v>1336</v>
      </c>
      <c r="AUC1" t="s">
        <v>1337</v>
      </c>
      <c r="AUD1" t="s">
        <v>1338</v>
      </c>
      <c r="AUE1" t="s">
        <v>1339</v>
      </c>
      <c r="AUF1" t="s">
        <v>1340</v>
      </c>
      <c r="AUG1" t="s">
        <v>1341</v>
      </c>
      <c r="AUH1" t="s">
        <v>1342</v>
      </c>
      <c r="AUI1" t="s">
        <v>1343</v>
      </c>
      <c r="AUJ1" t="s">
        <v>1344</v>
      </c>
      <c r="AUK1" t="s">
        <v>1345</v>
      </c>
      <c r="AUL1" t="s">
        <v>1346</v>
      </c>
      <c r="AUM1" t="s">
        <v>1347</v>
      </c>
      <c r="AUN1" t="s">
        <v>1348</v>
      </c>
      <c r="AUO1" t="s">
        <v>1349</v>
      </c>
      <c r="AUP1" t="s">
        <v>1350</v>
      </c>
      <c r="AUQ1" t="s">
        <v>1351</v>
      </c>
      <c r="AUR1" t="s">
        <v>1352</v>
      </c>
      <c r="AUS1" t="s">
        <v>1353</v>
      </c>
      <c r="AUT1" t="s">
        <v>1354</v>
      </c>
      <c r="AUU1" t="s">
        <v>1355</v>
      </c>
      <c r="AUV1" t="s">
        <v>1356</v>
      </c>
      <c r="AUW1" t="s">
        <v>1357</v>
      </c>
      <c r="AUX1" t="s">
        <v>1358</v>
      </c>
      <c r="AUY1" t="s">
        <v>1359</v>
      </c>
      <c r="AUZ1" t="s">
        <v>1360</v>
      </c>
      <c r="AVA1" t="s">
        <v>1361</v>
      </c>
      <c r="AVB1" t="s">
        <v>1362</v>
      </c>
      <c r="AVC1" t="s">
        <v>1363</v>
      </c>
      <c r="AVD1" t="s">
        <v>1364</v>
      </c>
      <c r="AVE1" t="s">
        <v>1365</v>
      </c>
      <c r="AVF1" t="s">
        <v>1366</v>
      </c>
      <c r="AVG1" t="s">
        <v>1367</v>
      </c>
      <c r="AVH1" t="s">
        <v>1368</v>
      </c>
      <c r="AVI1" t="s">
        <v>1369</v>
      </c>
      <c r="AVJ1" t="s">
        <v>1370</v>
      </c>
      <c r="AVK1" t="s">
        <v>1371</v>
      </c>
      <c r="AVL1" t="s">
        <v>1372</v>
      </c>
      <c r="AVM1" t="s">
        <v>1373</v>
      </c>
      <c r="AVN1" t="s">
        <v>1374</v>
      </c>
      <c r="AVO1" t="s">
        <v>1375</v>
      </c>
      <c r="AVP1" t="s">
        <v>1376</v>
      </c>
      <c r="AVQ1" t="s">
        <v>1377</v>
      </c>
      <c r="AVR1" t="s">
        <v>1378</v>
      </c>
      <c r="AVS1" t="s">
        <v>1379</v>
      </c>
      <c r="AVT1" t="s">
        <v>1380</v>
      </c>
      <c r="AVU1" t="s">
        <v>1381</v>
      </c>
      <c r="AVV1" t="s">
        <v>1382</v>
      </c>
      <c r="AVW1" t="s">
        <v>1383</v>
      </c>
      <c r="AVX1" t="s">
        <v>1384</v>
      </c>
      <c r="AVY1" t="s">
        <v>1385</v>
      </c>
      <c r="AVZ1" t="s">
        <v>1386</v>
      </c>
      <c r="AWA1" t="s">
        <v>1387</v>
      </c>
      <c r="AWB1" t="s">
        <v>1388</v>
      </c>
      <c r="AWC1" t="s">
        <v>1389</v>
      </c>
      <c r="AWD1" t="s">
        <v>1390</v>
      </c>
      <c r="AWE1" t="s">
        <v>1391</v>
      </c>
      <c r="AWF1" t="s">
        <v>1392</v>
      </c>
      <c r="AWG1" t="s">
        <v>1393</v>
      </c>
      <c r="AWH1" t="s">
        <v>1394</v>
      </c>
      <c r="AWI1" t="s">
        <v>1395</v>
      </c>
      <c r="AWJ1" t="s">
        <v>1396</v>
      </c>
      <c r="AWK1" t="s">
        <v>1397</v>
      </c>
      <c r="AWL1" t="s">
        <v>1398</v>
      </c>
      <c r="AWM1" t="s">
        <v>1399</v>
      </c>
      <c r="AWN1" t="s">
        <v>1400</v>
      </c>
      <c r="AWO1" t="s">
        <v>1401</v>
      </c>
      <c r="AWP1" t="s">
        <v>1402</v>
      </c>
      <c r="AWQ1" t="s">
        <v>1403</v>
      </c>
      <c r="AWR1" t="s">
        <v>1404</v>
      </c>
      <c r="AWS1" t="s">
        <v>1405</v>
      </c>
      <c r="AWT1" t="s">
        <v>1406</v>
      </c>
      <c r="AWU1" t="s">
        <v>1407</v>
      </c>
      <c r="AWV1" t="s">
        <v>1408</v>
      </c>
      <c r="AWW1" t="s">
        <v>1409</v>
      </c>
      <c r="AWX1" t="s">
        <v>1410</v>
      </c>
      <c r="AWY1" t="s">
        <v>1411</v>
      </c>
      <c r="AWZ1" t="s">
        <v>1412</v>
      </c>
      <c r="AXA1" t="s">
        <v>1413</v>
      </c>
      <c r="AXB1" t="s">
        <v>1414</v>
      </c>
      <c r="AXC1" t="s">
        <v>1415</v>
      </c>
      <c r="AXD1" t="s">
        <v>1416</v>
      </c>
      <c r="AXE1" t="s">
        <v>1417</v>
      </c>
      <c r="AXF1" t="s">
        <v>1418</v>
      </c>
      <c r="AXG1" t="s">
        <v>1419</v>
      </c>
      <c r="AXH1" t="s">
        <v>1420</v>
      </c>
      <c r="AXI1" t="s">
        <v>1421</v>
      </c>
      <c r="AXJ1" t="s">
        <v>1422</v>
      </c>
      <c r="AXK1" t="s">
        <v>1423</v>
      </c>
      <c r="AXL1" t="s">
        <v>1424</v>
      </c>
      <c r="AXM1" t="s">
        <v>1425</v>
      </c>
      <c r="AXN1" t="s">
        <v>1426</v>
      </c>
      <c r="AXO1" t="s">
        <v>1427</v>
      </c>
      <c r="AXP1" t="s">
        <v>1428</v>
      </c>
      <c r="AXQ1" t="s">
        <v>1429</v>
      </c>
      <c r="AXR1" t="s">
        <v>1430</v>
      </c>
      <c r="AXS1" t="s">
        <v>1431</v>
      </c>
      <c r="AXT1" t="s">
        <v>1432</v>
      </c>
      <c r="AXU1" t="s">
        <v>1433</v>
      </c>
      <c r="AXV1" t="s">
        <v>1434</v>
      </c>
      <c r="AXW1" t="s">
        <v>1435</v>
      </c>
      <c r="AXX1" t="s">
        <v>1436</v>
      </c>
      <c r="AXY1" t="s">
        <v>1437</v>
      </c>
      <c r="AXZ1" t="s">
        <v>1438</v>
      </c>
      <c r="AYA1" t="s">
        <v>1439</v>
      </c>
      <c r="AYB1" t="s">
        <v>1440</v>
      </c>
      <c r="AYC1" t="s">
        <v>1441</v>
      </c>
      <c r="AYD1" t="s">
        <v>1442</v>
      </c>
      <c r="AYE1" t="s">
        <v>1443</v>
      </c>
      <c r="AYF1" t="s">
        <v>1444</v>
      </c>
      <c r="AYG1" t="s">
        <v>1445</v>
      </c>
      <c r="AYH1" t="s">
        <v>1446</v>
      </c>
      <c r="AYI1" t="s">
        <v>1447</v>
      </c>
      <c r="AYJ1" t="s">
        <v>1448</v>
      </c>
      <c r="AYK1" t="s">
        <v>1449</v>
      </c>
      <c r="AYL1" t="s">
        <v>1450</v>
      </c>
      <c r="AYM1" t="s">
        <v>1451</v>
      </c>
      <c r="AYN1" t="s">
        <v>1452</v>
      </c>
      <c r="AYO1" t="s">
        <v>1453</v>
      </c>
      <c r="AYP1" t="s">
        <v>1454</v>
      </c>
      <c r="AYQ1" t="s">
        <v>1455</v>
      </c>
      <c r="AYR1" t="s">
        <v>1456</v>
      </c>
      <c r="AYS1" t="s">
        <v>1457</v>
      </c>
      <c r="AYT1" t="s">
        <v>1458</v>
      </c>
      <c r="AYU1" t="s">
        <v>1459</v>
      </c>
      <c r="AYV1" t="s">
        <v>1460</v>
      </c>
      <c r="AYW1" t="s">
        <v>1461</v>
      </c>
      <c r="AYX1" t="s">
        <v>1462</v>
      </c>
      <c r="AYY1" t="s">
        <v>1463</v>
      </c>
      <c r="AYZ1" t="s">
        <v>1464</v>
      </c>
      <c r="AZA1" t="s">
        <v>1465</v>
      </c>
      <c r="AZB1" t="s">
        <v>1466</v>
      </c>
      <c r="AZC1" t="s">
        <v>1467</v>
      </c>
      <c r="AZD1" t="s">
        <v>1468</v>
      </c>
      <c r="AZE1" t="s">
        <v>1469</v>
      </c>
      <c r="AZF1" t="s">
        <v>1470</v>
      </c>
      <c r="AZG1" t="s">
        <v>1471</v>
      </c>
      <c r="AZH1" t="s">
        <v>1472</v>
      </c>
      <c r="AZI1" t="s">
        <v>1473</v>
      </c>
      <c r="AZJ1" t="s">
        <v>1474</v>
      </c>
      <c r="AZK1" t="s">
        <v>1475</v>
      </c>
      <c r="AZL1" t="s">
        <v>1476</v>
      </c>
      <c r="AZM1" t="s">
        <v>1477</v>
      </c>
      <c r="AZN1" t="s">
        <v>1478</v>
      </c>
      <c r="AZO1" t="s">
        <v>1479</v>
      </c>
      <c r="AZP1" t="s">
        <v>1480</v>
      </c>
      <c r="AZQ1" t="s">
        <v>1481</v>
      </c>
      <c r="AZR1" t="s">
        <v>1482</v>
      </c>
      <c r="AZS1" t="s">
        <v>1483</v>
      </c>
      <c r="AZT1" t="s">
        <v>1484</v>
      </c>
      <c r="AZU1" t="s">
        <v>1485</v>
      </c>
      <c r="AZV1" t="s">
        <v>1486</v>
      </c>
      <c r="AZW1" t="s">
        <v>1487</v>
      </c>
      <c r="AZX1" t="s">
        <v>1488</v>
      </c>
      <c r="AZY1" t="s">
        <v>1489</v>
      </c>
      <c r="AZZ1" t="s">
        <v>1490</v>
      </c>
      <c r="BAA1" t="s">
        <v>1491</v>
      </c>
      <c r="BAB1" t="s">
        <v>1492</v>
      </c>
      <c r="BAC1" t="s">
        <v>1493</v>
      </c>
      <c r="BAD1" t="s">
        <v>1494</v>
      </c>
      <c r="BAE1" t="s">
        <v>1495</v>
      </c>
      <c r="BAF1" t="s">
        <v>1496</v>
      </c>
      <c r="BAG1" t="s">
        <v>1497</v>
      </c>
      <c r="BAH1" t="s">
        <v>1498</v>
      </c>
      <c r="BAI1" t="s">
        <v>1499</v>
      </c>
      <c r="BAJ1" t="s">
        <v>1500</v>
      </c>
      <c r="BAK1" t="s">
        <v>1501</v>
      </c>
      <c r="BAL1" t="s">
        <v>1502</v>
      </c>
      <c r="BAM1" t="s">
        <v>1503</v>
      </c>
      <c r="BAN1" t="s">
        <v>1504</v>
      </c>
      <c r="BAO1" t="s">
        <v>1505</v>
      </c>
      <c r="BAP1" t="s">
        <v>1506</v>
      </c>
      <c r="BAQ1" t="s">
        <v>1507</v>
      </c>
      <c r="BAR1" t="s">
        <v>1508</v>
      </c>
      <c r="BAS1" t="s">
        <v>1509</v>
      </c>
      <c r="BAT1" t="s">
        <v>1510</v>
      </c>
      <c r="BAU1" t="s">
        <v>1511</v>
      </c>
      <c r="BAV1" t="s">
        <v>1512</v>
      </c>
      <c r="BAW1" t="s">
        <v>1513</v>
      </c>
      <c r="BAX1" t="s">
        <v>1514</v>
      </c>
      <c r="BAY1" t="s">
        <v>1515</v>
      </c>
      <c r="BAZ1" t="s">
        <v>1516</v>
      </c>
      <c r="BBA1" t="s">
        <v>1517</v>
      </c>
      <c r="BBB1" t="s">
        <v>1518</v>
      </c>
      <c r="BBC1" t="s">
        <v>1519</v>
      </c>
      <c r="BBD1" t="s">
        <v>1520</v>
      </c>
      <c r="BBE1" t="s">
        <v>1521</v>
      </c>
      <c r="BBF1" t="s">
        <v>1522</v>
      </c>
      <c r="BBG1" t="s">
        <v>1523</v>
      </c>
      <c r="BBH1" t="s">
        <v>1524</v>
      </c>
      <c r="BBI1" t="s">
        <v>1525</v>
      </c>
      <c r="BBJ1" t="s">
        <v>1526</v>
      </c>
      <c r="BBK1" t="s">
        <v>1527</v>
      </c>
      <c r="BBL1" t="s">
        <v>1528</v>
      </c>
      <c r="BBM1" t="s">
        <v>1529</v>
      </c>
      <c r="BBN1" t="s">
        <v>1530</v>
      </c>
      <c r="BBO1" t="s">
        <v>1531</v>
      </c>
      <c r="BBP1" t="s">
        <v>1532</v>
      </c>
      <c r="BBQ1" t="s">
        <v>1533</v>
      </c>
      <c r="BBR1" t="s">
        <v>1534</v>
      </c>
      <c r="BBS1" t="s">
        <v>1535</v>
      </c>
      <c r="BBT1" t="s">
        <v>1536</v>
      </c>
      <c r="BBU1" t="s">
        <v>1537</v>
      </c>
      <c r="BBV1" t="s">
        <v>1538</v>
      </c>
      <c r="BBW1" t="s">
        <v>1539</v>
      </c>
      <c r="BBX1" t="s">
        <v>1540</v>
      </c>
      <c r="BBY1" t="s">
        <v>1541</v>
      </c>
      <c r="BBZ1" t="s">
        <v>1542</v>
      </c>
      <c r="BCA1" t="s">
        <v>1543</v>
      </c>
      <c r="BCB1" t="s">
        <v>1544</v>
      </c>
      <c r="BCC1" t="s">
        <v>1545</v>
      </c>
      <c r="BCD1" t="s">
        <v>1546</v>
      </c>
      <c r="BCE1" t="s">
        <v>1547</v>
      </c>
      <c r="BCF1" t="s">
        <v>1548</v>
      </c>
      <c r="BCG1" t="s">
        <v>1549</v>
      </c>
      <c r="BCH1" t="s">
        <v>1550</v>
      </c>
      <c r="BCI1" t="s">
        <v>1551</v>
      </c>
      <c r="BCJ1" t="s">
        <v>1552</v>
      </c>
      <c r="BCK1" t="s">
        <v>1553</v>
      </c>
      <c r="BCL1" t="s">
        <v>1554</v>
      </c>
      <c r="BCM1" t="s">
        <v>1555</v>
      </c>
      <c r="BCN1" t="s">
        <v>1556</v>
      </c>
      <c r="BCO1" t="s">
        <v>1557</v>
      </c>
      <c r="BCP1" t="s">
        <v>1558</v>
      </c>
      <c r="BCQ1" t="s">
        <v>1559</v>
      </c>
      <c r="BCR1" t="s">
        <v>1560</v>
      </c>
      <c r="BCS1" t="s">
        <v>1561</v>
      </c>
      <c r="BCT1" t="s">
        <v>1562</v>
      </c>
      <c r="BCU1" t="s">
        <v>1563</v>
      </c>
      <c r="BCV1" t="s">
        <v>1564</v>
      </c>
      <c r="BCW1" t="s">
        <v>1565</v>
      </c>
      <c r="BCX1" t="s">
        <v>1566</v>
      </c>
      <c r="BCY1" t="s">
        <v>1567</v>
      </c>
      <c r="BCZ1" t="s">
        <v>1568</v>
      </c>
      <c r="BDA1" t="s">
        <v>1569</v>
      </c>
      <c r="BDB1" t="s">
        <v>1570</v>
      </c>
      <c r="BDC1" t="s">
        <v>1571</v>
      </c>
      <c r="BDD1" t="s">
        <v>1572</v>
      </c>
      <c r="BDE1" t="s">
        <v>1573</v>
      </c>
      <c r="BDF1" t="s">
        <v>1574</v>
      </c>
      <c r="BDG1" t="s">
        <v>1575</v>
      </c>
      <c r="BDH1" t="s">
        <v>1576</v>
      </c>
      <c r="BDI1" t="s">
        <v>1577</v>
      </c>
      <c r="BDJ1" t="s">
        <v>1578</v>
      </c>
      <c r="BDK1" t="s">
        <v>1579</v>
      </c>
      <c r="BDL1" t="s">
        <v>1580</v>
      </c>
      <c r="BDM1" t="s">
        <v>1581</v>
      </c>
      <c r="BDN1" t="s">
        <v>1582</v>
      </c>
      <c r="BDO1" t="s">
        <v>1583</v>
      </c>
      <c r="BDP1" t="s">
        <v>1584</v>
      </c>
      <c r="BDQ1" t="s">
        <v>1585</v>
      </c>
      <c r="BDR1" t="s">
        <v>1586</v>
      </c>
      <c r="BDS1" t="s">
        <v>1587</v>
      </c>
      <c r="BDT1" t="s">
        <v>1588</v>
      </c>
      <c r="BDU1" t="s">
        <v>1589</v>
      </c>
      <c r="BDV1" t="s">
        <v>1590</v>
      </c>
      <c r="BDW1" t="s">
        <v>1591</v>
      </c>
      <c r="BDX1" t="s">
        <v>1592</v>
      </c>
      <c r="BDY1" t="s">
        <v>1593</v>
      </c>
      <c r="BDZ1" t="s">
        <v>1594</v>
      </c>
      <c r="BEA1" t="s">
        <v>1595</v>
      </c>
      <c r="BEB1" t="s">
        <v>1596</v>
      </c>
      <c r="BEC1" t="s">
        <v>1597</v>
      </c>
      <c r="BED1" t="s">
        <v>1598</v>
      </c>
      <c r="BEE1" t="s">
        <v>1599</v>
      </c>
      <c r="BEF1" t="s">
        <v>1600</v>
      </c>
      <c r="BEG1" t="s">
        <v>1601</v>
      </c>
      <c r="BEH1" t="s">
        <v>1602</v>
      </c>
      <c r="BEI1" t="s">
        <v>1603</v>
      </c>
      <c r="BEJ1" t="s">
        <v>1604</v>
      </c>
      <c r="BEK1" t="s">
        <v>1605</v>
      </c>
      <c r="BEL1" t="s">
        <v>1606</v>
      </c>
      <c r="BEM1" t="s">
        <v>1607</v>
      </c>
      <c r="BEN1" t="s">
        <v>1608</v>
      </c>
      <c r="BEO1" t="s">
        <v>1609</v>
      </c>
      <c r="BEP1" t="s">
        <v>1610</v>
      </c>
      <c r="BEQ1" t="s">
        <v>1611</v>
      </c>
      <c r="BER1" t="s">
        <v>1612</v>
      </c>
      <c r="BES1" t="s">
        <v>1613</v>
      </c>
      <c r="BET1" t="s">
        <v>1614</v>
      </c>
      <c r="BEU1" t="s">
        <v>1615</v>
      </c>
      <c r="BEV1" t="s">
        <v>1616</v>
      </c>
      <c r="BEW1" t="s">
        <v>1617</v>
      </c>
      <c r="BEX1" t="s">
        <v>1618</v>
      </c>
      <c r="BEY1" t="s">
        <v>1619</v>
      </c>
      <c r="BEZ1" t="s">
        <v>1620</v>
      </c>
      <c r="BFA1" t="s">
        <v>1621</v>
      </c>
      <c r="BFB1" t="s">
        <v>1622</v>
      </c>
      <c r="BFC1" t="s">
        <v>1623</v>
      </c>
      <c r="BFD1" t="s">
        <v>1624</v>
      </c>
      <c r="BFE1" t="s">
        <v>1625</v>
      </c>
      <c r="BFF1" t="s">
        <v>1626</v>
      </c>
      <c r="BFG1" t="s">
        <v>1627</v>
      </c>
      <c r="BFH1" t="s">
        <v>1628</v>
      </c>
      <c r="BFI1" t="s">
        <v>1629</v>
      </c>
      <c r="BFJ1" t="s">
        <v>1630</v>
      </c>
      <c r="BFK1" t="s">
        <v>1631</v>
      </c>
      <c r="BFL1" t="s">
        <v>1632</v>
      </c>
      <c r="BFM1" t="s">
        <v>1633</v>
      </c>
      <c r="BFN1" t="s">
        <v>1634</v>
      </c>
      <c r="BFO1" t="s">
        <v>1635</v>
      </c>
      <c r="BFP1" t="s">
        <v>1636</v>
      </c>
      <c r="BFQ1" t="s">
        <v>1637</v>
      </c>
      <c r="BFR1" t="s">
        <v>1638</v>
      </c>
      <c r="BFS1" t="s">
        <v>1639</v>
      </c>
      <c r="BFT1" t="s">
        <v>1640</v>
      </c>
      <c r="BFU1" t="s">
        <v>1641</v>
      </c>
      <c r="BFV1" t="s">
        <v>1642</v>
      </c>
      <c r="BFW1" t="s">
        <v>1643</v>
      </c>
      <c r="BFX1" t="s">
        <v>1644</v>
      </c>
      <c r="BFY1" t="s">
        <v>1645</v>
      </c>
      <c r="BFZ1" t="s">
        <v>1646</v>
      </c>
      <c r="BGA1" t="s">
        <v>1647</v>
      </c>
      <c r="BGB1" t="s">
        <v>1648</v>
      </c>
      <c r="BGC1" t="s">
        <v>1649</v>
      </c>
      <c r="BGD1" t="s">
        <v>1650</v>
      </c>
      <c r="BGE1" t="s">
        <v>1651</v>
      </c>
      <c r="BGF1" t="s">
        <v>1652</v>
      </c>
      <c r="BGG1" t="s">
        <v>1653</v>
      </c>
      <c r="BGH1" t="s">
        <v>1654</v>
      </c>
      <c r="BGI1" t="s">
        <v>1655</v>
      </c>
      <c r="BGJ1" t="s">
        <v>1656</v>
      </c>
      <c r="BGK1" t="s">
        <v>1657</v>
      </c>
      <c r="BGL1" t="s">
        <v>1658</v>
      </c>
      <c r="BGM1" t="s">
        <v>1659</v>
      </c>
      <c r="BGN1" t="s">
        <v>1660</v>
      </c>
      <c r="BGO1" t="s">
        <v>1661</v>
      </c>
      <c r="BGP1" t="s">
        <v>1662</v>
      </c>
      <c r="BGQ1" t="s">
        <v>1663</v>
      </c>
      <c r="BGR1" t="s">
        <v>1664</v>
      </c>
      <c r="BGS1" t="s">
        <v>1665</v>
      </c>
      <c r="BGT1" t="s">
        <v>1666</v>
      </c>
      <c r="BGU1" t="s">
        <v>1667</v>
      </c>
      <c r="BGV1" t="s">
        <v>1668</v>
      </c>
      <c r="BGW1" t="s">
        <v>1669</v>
      </c>
      <c r="BGX1" t="s">
        <v>1670</v>
      </c>
      <c r="BGY1" t="s">
        <v>1671</v>
      </c>
      <c r="BGZ1" t="s">
        <v>1672</v>
      </c>
      <c r="BHA1" t="s">
        <v>1673</v>
      </c>
      <c r="BHB1" t="s">
        <v>1674</v>
      </c>
      <c r="BHC1" t="s">
        <v>1675</v>
      </c>
      <c r="BHD1" t="s">
        <v>1676</v>
      </c>
      <c r="BHE1" t="s">
        <v>1677</v>
      </c>
      <c r="BHF1" t="s">
        <v>1678</v>
      </c>
      <c r="BHG1" t="s">
        <v>1679</v>
      </c>
      <c r="BHH1" t="s">
        <v>1680</v>
      </c>
      <c r="BHI1" t="s">
        <v>1681</v>
      </c>
      <c r="BHJ1" t="s">
        <v>1682</v>
      </c>
      <c r="BHK1" t="s">
        <v>1683</v>
      </c>
      <c r="BHL1" t="s">
        <v>1684</v>
      </c>
      <c r="BHM1" t="s">
        <v>1685</v>
      </c>
      <c r="BHN1" t="s">
        <v>1686</v>
      </c>
      <c r="BHO1" t="s">
        <v>1687</v>
      </c>
      <c r="BHP1" t="s">
        <v>1688</v>
      </c>
      <c r="BHQ1" t="s">
        <v>1689</v>
      </c>
      <c r="BHR1" t="s">
        <v>1690</v>
      </c>
      <c r="BHS1" t="s">
        <v>1691</v>
      </c>
      <c r="BHT1" t="s">
        <v>1692</v>
      </c>
      <c r="BHU1" t="s">
        <v>1693</v>
      </c>
      <c r="BHV1" t="s">
        <v>1694</v>
      </c>
      <c r="BHW1" t="s">
        <v>1695</v>
      </c>
      <c r="BHX1" t="s">
        <v>1696</v>
      </c>
      <c r="BHY1" t="s">
        <v>1697</v>
      </c>
      <c r="BHZ1" t="s">
        <v>1698</v>
      </c>
      <c r="BIA1" t="s">
        <v>1699</v>
      </c>
      <c r="BIB1" t="s">
        <v>1700</v>
      </c>
      <c r="BIC1" t="s">
        <v>1701</v>
      </c>
      <c r="BID1" t="s">
        <v>1702</v>
      </c>
      <c r="BIE1" t="s">
        <v>1703</v>
      </c>
      <c r="BIF1" t="s">
        <v>1704</v>
      </c>
      <c r="BIG1" t="s">
        <v>1705</v>
      </c>
      <c r="BIH1" t="s">
        <v>1706</v>
      </c>
      <c r="BII1" t="s">
        <v>1707</v>
      </c>
      <c r="BIJ1" t="s">
        <v>1708</v>
      </c>
      <c r="BIK1" t="s">
        <v>1709</v>
      </c>
      <c r="BIL1" t="s">
        <v>1710</v>
      </c>
      <c r="BIM1" t="s">
        <v>1711</v>
      </c>
      <c r="BIN1" t="s">
        <v>1712</v>
      </c>
      <c r="BIO1" t="s">
        <v>1713</v>
      </c>
      <c r="BIP1" t="s">
        <v>1714</v>
      </c>
      <c r="BIQ1" t="s">
        <v>1715</v>
      </c>
      <c r="BIR1" t="s">
        <v>1716</v>
      </c>
      <c r="BIS1" t="s">
        <v>1717</v>
      </c>
      <c r="BIT1" t="s">
        <v>1718</v>
      </c>
      <c r="BIU1" t="s">
        <v>1719</v>
      </c>
      <c r="BIV1" t="s">
        <v>1720</v>
      </c>
      <c r="BIW1" t="s">
        <v>1721</v>
      </c>
      <c r="BIX1" t="s">
        <v>1722</v>
      </c>
      <c r="BIY1" t="s">
        <v>1723</v>
      </c>
      <c r="BIZ1" t="s">
        <v>1724</v>
      </c>
      <c r="BJA1" t="s">
        <v>1725</v>
      </c>
      <c r="BJB1" t="s">
        <v>1726</v>
      </c>
      <c r="BJC1" t="s">
        <v>1727</v>
      </c>
      <c r="BJD1" t="s">
        <v>1728</v>
      </c>
      <c r="BJE1" t="s">
        <v>1729</v>
      </c>
      <c r="BJF1" t="s">
        <v>1730</v>
      </c>
      <c r="BJG1" t="s">
        <v>1731</v>
      </c>
      <c r="BJH1" t="s">
        <v>1732</v>
      </c>
      <c r="BJI1" t="s">
        <v>1733</v>
      </c>
      <c r="BJJ1" t="s">
        <v>1734</v>
      </c>
      <c r="BJK1" t="s">
        <v>1735</v>
      </c>
      <c r="BJL1" t="s">
        <v>1736</v>
      </c>
      <c r="BJM1" t="s">
        <v>1737</v>
      </c>
      <c r="BJN1" t="s">
        <v>1738</v>
      </c>
      <c r="BJO1" t="s">
        <v>1739</v>
      </c>
      <c r="BJP1" t="s">
        <v>1740</v>
      </c>
      <c r="BJQ1" t="s">
        <v>1741</v>
      </c>
      <c r="BJR1" t="s">
        <v>1742</v>
      </c>
      <c r="BJS1" t="s">
        <v>1743</v>
      </c>
      <c r="BJT1" t="s">
        <v>1744</v>
      </c>
      <c r="BJU1" t="s">
        <v>1745</v>
      </c>
      <c r="BJV1" t="s">
        <v>1746</v>
      </c>
      <c r="BJW1" t="s">
        <v>1747</v>
      </c>
      <c r="BJX1" t="s">
        <v>1748</v>
      </c>
      <c r="BJY1" t="s">
        <v>1749</v>
      </c>
      <c r="BJZ1" t="s">
        <v>1750</v>
      </c>
      <c r="BKA1" t="s">
        <v>1751</v>
      </c>
      <c r="BKB1" t="s">
        <v>1752</v>
      </c>
      <c r="BKC1" t="s">
        <v>1753</v>
      </c>
      <c r="BKD1" t="s">
        <v>1754</v>
      </c>
      <c r="BKE1" t="s">
        <v>1755</v>
      </c>
      <c r="BKF1" t="s">
        <v>1756</v>
      </c>
      <c r="BKG1" t="s">
        <v>1757</v>
      </c>
      <c r="BKH1" t="s">
        <v>1758</v>
      </c>
      <c r="BKI1" t="s">
        <v>1759</v>
      </c>
      <c r="BKJ1" t="s">
        <v>1760</v>
      </c>
      <c r="BKK1" t="s">
        <v>1761</v>
      </c>
      <c r="BKL1" t="s">
        <v>1762</v>
      </c>
      <c r="BKM1" t="s">
        <v>1763</v>
      </c>
      <c r="BKN1" t="s">
        <v>1764</v>
      </c>
      <c r="BKO1" t="s">
        <v>1765</v>
      </c>
      <c r="BKP1" t="s">
        <v>1766</v>
      </c>
      <c r="BKQ1" t="s">
        <v>1767</v>
      </c>
      <c r="BKR1" t="s">
        <v>1768</v>
      </c>
      <c r="BKS1" t="s">
        <v>1769</v>
      </c>
      <c r="BKT1" t="s">
        <v>1770</v>
      </c>
      <c r="BKU1" t="s">
        <v>1771</v>
      </c>
      <c r="BKV1" t="s">
        <v>1772</v>
      </c>
      <c r="BKW1" t="s">
        <v>1773</v>
      </c>
      <c r="BKX1" t="s">
        <v>1774</v>
      </c>
      <c r="BKY1" t="s">
        <v>1775</v>
      </c>
      <c r="BKZ1" t="s">
        <v>1776</v>
      </c>
      <c r="BLA1" t="s">
        <v>1777</v>
      </c>
      <c r="BLB1" t="s">
        <v>1778</v>
      </c>
      <c r="BLC1" t="s">
        <v>1779</v>
      </c>
      <c r="BLD1" t="s">
        <v>1780</v>
      </c>
      <c r="BLE1" t="s">
        <v>1781</v>
      </c>
      <c r="BLF1" t="s">
        <v>1782</v>
      </c>
      <c r="BLG1" t="s">
        <v>1783</v>
      </c>
      <c r="BLH1" t="s">
        <v>1784</v>
      </c>
      <c r="BLI1" t="s">
        <v>1785</v>
      </c>
      <c r="BLJ1" t="s">
        <v>1786</v>
      </c>
      <c r="BLK1" t="s">
        <v>1787</v>
      </c>
      <c r="BLL1" t="s">
        <v>1788</v>
      </c>
      <c r="BLM1" t="s">
        <v>1789</v>
      </c>
      <c r="BLN1" t="s">
        <v>1790</v>
      </c>
      <c r="BLO1" t="s">
        <v>1791</v>
      </c>
      <c r="BLP1" t="s">
        <v>1792</v>
      </c>
      <c r="BLQ1" t="s">
        <v>1793</v>
      </c>
      <c r="BLR1" t="s">
        <v>1794</v>
      </c>
      <c r="BLS1" t="s">
        <v>1795</v>
      </c>
      <c r="BLT1" t="s">
        <v>1796</v>
      </c>
      <c r="BLU1" t="s">
        <v>1797</v>
      </c>
      <c r="BLV1" t="s">
        <v>1798</v>
      </c>
      <c r="BLW1" t="s">
        <v>1799</v>
      </c>
      <c r="BLX1" t="s">
        <v>1800</v>
      </c>
      <c r="BLY1" t="s">
        <v>1801</v>
      </c>
      <c r="BLZ1" t="s">
        <v>1802</v>
      </c>
      <c r="BMA1" t="s">
        <v>1803</v>
      </c>
      <c r="BMB1" t="s">
        <v>1804</v>
      </c>
      <c r="BMC1" t="s">
        <v>1805</v>
      </c>
      <c r="BMD1" t="s">
        <v>1806</v>
      </c>
      <c r="BME1" t="s">
        <v>1807</v>
      </c>
      <c r="BMF1" t="s">
        <v>1808</v>
      </c>
      <c r="BMG1" t="s">
        <v>1809</v>
      </c>
      <c r="BMH1" t="s">
        <v>1810</v>
      </c>
      <c r="BMI1" t="s">
        <v>1811</v>
      </c>
      <c r="BMJ1" t="s">
        <v>1812</v>
      </c>
      <c r="BMK1" t="s">
        <v>1813</v>
      </c>
      <c r="BML1" t="s">
        <v>1814</v>
      </c>
      <c r="BMM1" t="s">
        <v>1815</v>
      </c>
      <c r="BMN1" t="s">
        <v>1816</v>
      </c>
      <c r="BMO1" t="s">
        <v>1817</v>
      </c>
      <c r="BMP1" t="s">
        <v>1818</v>
      </c>
      <c r="BMQ1" t="s">
        <v>1819</v>
      </c>
      <c r="BMR1" t="s">
        <v>1820</v>
      </c>
      <c r="BMS1" t="s">
        <v>1821</v>
      </c>
      <c r="BMT1" t="s">
        <v>1822</v>
      </c>
      <c r="BMU1" t="s">
        <v>1823</v>
      </c>
      <c r="BMV1" t="s">
        <v>1824</v>
      </c>
      <c r="BMW1" t="s">
        <v>1825</v>
      </c>
      <c r="BMX1" t="s">
        <v>1826</v>
      </c>
      <c r="BMY1" t="s">
        <v>1827</v>
      </c>
      <c r="BMZ1" t="s">
        <v>1828</v>
      </c>
      <c r="BNA1" t="s">
        <v>1829</v>
      </c>
      <c r="BNB1" t="s">
        <v>1830</v>
      </c>
      <c r="BNC1" t="s">
        <v>1831</v>
      </c>
      <c r="BND1" t="s">
        <v>1832</v>
      </c>
      <c r="BNE1" t="s">
        <v>1833</v>
      </c>
      <c r="BNF1" t="s">
        <v>1834</v>
      </c>
      <c r="BNG1" t="s">
        <v>1835</v>
      </c>
      <c r="BNH1" t="s">
        <v>1836</v>
      </c>
      <c r="BNI1" t="s">
        <v>1837</v>
      </c>
      <c r="BNJ1" t="s">
        <v>1838</v>
      </c>
      <c r="BNK1" t="s">
        <v>1839</v>
      </c>
      <c r="BNL1" t="s">
        <v>1840</v>
      </c>
      <c r="BNM1" t="s">
        <v>1841</v>
      </c>
      <c r="BNN1" t="s">
        <v>1842</v>
      </c>
      <c r="BNO1" t="s">
        <v>1843</v>
      </c>
      <c r="BNP1" t="s">
        <v>1844</v>
      </c>
      <c r="BNQ1" t="s">
        <v>1845</v>
      </c>
      <c r="BNR1" t="s">
        <v>1846</v>
      </c>
      <c r="BNS1" t="s">
        <v>1847</v>
      </c>
      <c r="BNT1" t="s">
        <v>1848</v>
      </c>
      <c r="BNU1" t="s">
        <v>1849</v>
      </c>
      <c r="BNV1" t="s">
        <v>1850</v>
      </c>
      <c r="BNW1" t="s">
        <v>1851</v>
      </c>
      <c r="BNX1" t="s">
        <v>1852</v>
      </c>
      <c r="BNY1" t="s">
        <v>1853</v>
      </c>
      <c r="BNZ1" t="s">
        <v>1854</v>
      </c>
      <c r="BOA1" t="s">
        <v>1855</v>
      </c>
      <c r="BOB1" t="s">
        <v>1856</v>
      </c>
      <c r="BOC1" t="s">
        <v>1857</v>
      </c>
      <c r="BOD1" t="s">
        <v>1858</v>
      </c>
      <c r="BOE1" t="s">
        <v>1859</v>
      </c>
      <c r="BOF1" t="s">
        <v>1860</v>
      </c>
      <c r="BOG1" t="s">
        <v>1861</v>
      </c>
      <c r="BOH1" t="s">
        <v>1862</v>
      </c>
      <c r="BOI1" t="s">
        <v>1863</v>
      </c>
      <c r="BOJ1" t="s">
        <v>1864</v>
      </c>
      <c r="BOK1" t="s">
        <v>1865</v>
      </c>
      <c r="BOL1" t="s">
        <v>1866</v>
      </c>
      <c r="BOM1" t="s">
        <v>1867</v>
      </c>
      <c r="BON1" t="s">
        <v>1868</v>
      </c>
      <c r="BOO1" t="s">
        <v>1869</v>
      </c>
      <c r="BOP1" t="s">
        <v>1870</v>
      </c>
      <c r="BOQ1" t="s">
        <v>1871</v>
      </c>
      <c r="BOR1" t="s">
        <v>1872</v>
      </c>
      <c r="BOS1" t="s">
        <v>1873</v>
      </c>
      <c r="BOT1" t="s">
        <v>1874</v>
      </c>
      <c r="BOU1" t="s">
        <v>1875</v>
      </c>
      <c r="BOV1" t="s">
        <v>1876</v>
      </c>
      <c r="BOW1" t="s">
        <v>1877</v>
      </c>
      <c r="BOX1" t="s">
        <v>1878</v>
      </c>
      <c r="BOY1" t="s">
        <v>1879</v>
      </c>
      <c r="BOZ1" t="s">
        <v>1880</v>
      </c>
      <c r="BPA1" t="s">
        <v>1881</v>
      </c>
      <c r="BPB1" t="s">
        <v>1882</v>
      </c>
      <c r="BPC1" t="s">
        <v>1883</v>
      </c>
      <c r="BPD1" t="s">
        <v>1884</v>
      </c>
      <c r="BPE1" t="s">
        <v>1885</v>
      </c>
      <c r="BPF1" t="s">
        <v>1886</v>
      </c>
      <c r="BPG1" t="s">
        <v>1887</v>
      </c>
      <c r="BPH1" t="s">
        <v>1888</v>
      </c>
      <c r="BPI1" t="s">
        <v>1889</v>
      </c>
      <c r="BPJ1" t="s">
        <v>1890</v>
      </c>
      <c r="BPK1" t="s">
        <v>1891</v>
      </c>
      <c r="BPL1" t="s">
        <v>1892</v>
      </c>
      <c r="BPM1" t="s">
        <v>1893</v>
      </c>
      <c r="BPN1" t="s">
        <v>1894</v>
      </c>
      <c r="BPO1" t="s">
        <v>1895</v>
      </c>
      <c r="BPP1" t="s">
        <v>1896</v>
      </c>
      <c r="BPQ1" t="s">
        <v>1897</v>
      </c>
      <c r="BPR1" t="s">
        <v>1898</v>
      </c>
      <c r="BPS1" t="s">
        <v>1899</v>
      </c>
      <c r="BPT1" t="s">
        <v>1900</v>
      </c>
      <c r="BPU1" t="s">
        <v>1901</v>
      </c>
      <c r="BPV1" t="s">
        <v>1902</v>
      </c>
      <c r="BPW1" t="s">
        <v>1903</v>
      </c>
      <c r="BPX1" t="s">
        <v>1904</v>
      </c>
      <c r="BPY1" t="s">
        <v>1905</v>
      </c>
      <c r="BPZ1" t="s">
        <v>1906</v>
      </c>
      <c r="BQA1" t="s">
        <v>1907</v>
      </c>
      <c r="BQB1" t="s">
        <v>1908</v>
      </c>
      <c r="BQC1" t="s">
        <v>1909</v>
      </c>
      <c r="BQD1" t="s">
        <v>1910</v>
      </c>
      <c r="BQE1" t="s">
        <v>1911</v>
      </c>
      <c r="BQF1" t="s">
        <v>1912</v>
      </c>
      <c r="BQG1" t="s">
        <v>1913</v>
      </c>
      <c r="BQH1" t="s">
        <v>1914</v>
      </c>
      <c r="BQI1" t="s">
        <v>1915</v>
      </c>
      <c r="BQJ1" t="s">
        <v>1916</v>
      </c>
      <c r="BQK1" t="s">
        <v>1917</v>
      </c>
      <c r="BQL1" t="s">
        <v>1918</v>
      </c>
      <c r="BQM1" t="s">
        <v>1919</v>
      </c>
      <c r="BQN1" t="s">
        <v>1920</v>
      </c>
      <c r="BQO1" t="s">
        <v>1921</v>
      </c>
      <c r="BQP1" t="s">
        <v>1922</v>
      </c>
      <c r="BQQ1" t="s">
        <v>1923</v>
      </c>
      <c r="BQR1" t="s">
        <v>1924</v>
      </c>
      <c r="BQS1" t="s">
        <v>1925</v>
      </c>
      <c r="BQT1" t="s">
        <v>1926</v>
      </c>
      <c r="BQU1" t="s">
        <v>1927</v>
      </c>
      <c r="BQV1" t="s">
        <v>1928</v>
      </c>
      <c r="BQW1" t="s">
        <v>1929</v>
      </c>
      <c r="BQX1" t="s">
        <v>1930</v>
      </c>
      <c r="BQY1" t="s">
        <v>1931</v>
      </c>
      <c r="BQZ1" t="s">
        <v>1932</v>
      </c>
      <c r="BRA1" t="s">
        <v>1933</v>
      </c>
      <c r="BRB1" t="s">
        <v>1934</v>
      </c>
      <c r="BRC1" t="s">
        <v>1935</v>
      </c>
      <c r="BRD1" t="s">
        <v>1936</v>
      </c>
      <c r="BRE1" t="s">
        <v>1937</v>
      </c>
      <c r="BRF1" t="s">
        <v>1938</v>
      </c>
      <c r="BRG1" t="s">
        <v>1939</v>
      </c>
      <c r="BRH1" t="s">
        <v>1940</v>
      </c>
      <c r="BRI1" t="s">
        <v>1941</v>
      </c>
      <c r="BRJ1" t="s">
        <v>1942</v>
      </c>
      <c r="BRK1" t="s">
        <v>1943</v>
      </c>
      <c r="BRL1" t="s">
        <v>1944</v>
      </c>
      <c r="BRM1" t="s">
        <v>1945</v>
      </c>
      <c r="BRN1" t="s">
        <v>1946</v>
      </c>
      <c r="BRO1" t="s">
        <v>1947</v>
      </c>
      <c r="BRP1" t="s">
        <v>1948</v>
      </c>
      <c r="BRQ1" t="s">
        <v>1949</v>
      </c>
      <c r="BRR1" t="s">
        <v>1950</v>
      </c>
      <c r="BRS1" t="s">
        <v>1951</v>
      </c>
      <c r="BRT1" t="s">
        <v>1952</v>
      </c>
      <c r="BRU1" t="s">
        <v>1953</v>
      </c>
      <c r="BRV1" t="s">
        <v>1954</v>
      </c>
      <c r="BRW1" t="s">
        <v>1955</v>
      </c>
      <c r="BRX1" t="s">
        <v>1956</v>
      </c>
      <c r="BRY1" t="s">
        <v>1957</v>
      </c>
      <c r="BRZ1" t="s">
        <v>1958</v>
      </c>
      <c r="BSA1" t="s">
        <v>1959</v>
      </c>
      <c r="BSB1" t="s">
        <v>1960</v>
      </c>
      <c r="BSC1" t="s">
        <v>1961</v>
      </c>
      <c r="BSD1" t="s">
        <v>1962</v>
      </c>
      <c r="BSE1" t="s">
        <v>1963</v>
      </c>
      <c r="BSF1" t="s">
        <v>1964</v>
      </c>
      <c r="BSG1" t="s">
        <v>1965</v>
      </c>
      <c r="BSH1" t="s">
        <v>1966</v>
      </c>
      <c r="BSI1" t="s">
        <v>1967</v>
      </c>
      <c r="BSJ1" t="s">
        <v>1968</v>
      </c>
      <c r="BSK1" t="s">
        <v>1969</v>
      </c>
      <c r="BSL1" t="s">
        <v>1970</v>
      </c>
      <c r="BSM1" t="s">
        <v>1971</v>
      </c>
      <c r="BSN1" t="s">
        <v>1972</v>
      </c>
      <c r="BSO1" t="s">
        <v>1973</v>
      </c>
      <c r="BSP1" t="s">
        <v>1974</v>
      </c>
      <c r="BSQ1" t="s">
        <v>1975</v>
      </c>
      <c r="BSR1" t="s">
        <v>1976</v>
      </c>
      <c r="BSS1" t="s">
        <v>1977</v>
      </c>
      <c r="BST1" t="s">
        <v>1978</v>
      </c>
      <c r="BSU1" t="s">
        <v>1979</v>
      </c>
      <c r="BSV1" t="s">
        <v>1980</v>
      </c>
      <c r="BSW1" t="s">
        <v>1981</v>
      </c>
      <c r="BSX1" t="s">
        <v>1982</v>
      </c>
      <c r="BSY1" t="s">
        <v>1983</v>
      </c>
      <c r="BSZ1" t="s">
        <v>1984</v>
      </c>
      <c r="BTA1" t="s">
        <v>1985</v>
      </c>
      <c r="BTB1" t="s">
        <v>1986</v>
      </c>
      <c r="BTC1" t="s">
        <v>1987</v>
      </c>
      <c r="BTD1" t="s">
        <v>1988</v>
      </c>
      <c r="BTE1" t="s">
        <v>1989</v>
      </c>
      <c r="BTF1" t="s">
        <v>1990</v>
      </c>
      <c r="BTG1" t="s">
        <v>1991</v>
      </c>
      <c r="BTH1" t="s">
        <v>1992</v>
      </c>
      <c r="BTI1" t="s">
        <v>1993</v>
      </c>
      <c r="BTJ1" t="s">
        <v>1994</v>
      </c>
      <c r="BTK1" t="s">
        <v>1995</v>
      </c>
      <c r="BTL1" t="s">
        <v>1996</v>
      </c>
      <c r="BTM1" t="s">
        <v>1997</v>
      </c>
      <c r="BTN1" t="s">
        <v>1998</v>
      </c>
      <c r="BTO1" t="s">
        <v>1999</v>
      </c>
      <c r="BTP1" t="s">
        <v>2000</v>
      </c>
      <c r="BTQ1" t="s">
        <v>2001</v>
      </c>
      <c r="BTR1" t="s">
        <v>2002</v>
      </c>
      <c r="BTS1" t="s">
        <v>2003</v>
      </c>
      <c r="BTT1" t="s">
        <v>2004</v>
      </c>
      <c r="BTU1" t="s">
        <v>2005</v>
      </c>
      <c r="BTV1" t="s">
        <v>2006</v>
      </c>
      <c r="BTW1" t="s">
        <v>2007</v>
      </c>
      <c r="BTX1" t="s">
        <v>2008</v>
      </c>
      <c r="BTY1" t="s">
        <v>2009</v>
      </c>
      <c r="BTZ1" t="s">
        <v>2010</v>
      </c>
      <c r="BUA1" t="s">
        <v>2011</v>
      </c>
      <c r="BUB1" t="s">
        <v>2012</v>
      </c>
      <c r="BUC1" t="s">
        <v>2013</v>
      </c>
      <c r="BUD1" t="s">
        <v>2014</v>
      </c>
      <c r="BUE1" t="s">
        <v>2015</v>
      </c>
      <c r="BUF1" t="s">
        <v>2016</v>
      </c>
      <c r="BUG1" t="s">
        <v>2017</v>
      </c>
      <c r="BUH1" t="s">
        <v>2018</v>
      </c>
      <c r="BUI1" t="s">
        <v>2019</v>
      </c>
      <c r="BUJ1" t="s">
        <v>2020</v>
      </c>
      <c r="BUK1" t="s">
        <v>2021</v>
      </c>
      <c r="BUL1" t="s">
        <v>2022</v>
      </c>
      <c r="BUM1" t="s">
        <v>2023</v>
      </c>
      <c r="BUN1" t="s">
        <v>2024</v>
      </c>
      <c r="BUO1" t="s">
        <v>2025</v>
      </c>
      <c r="BUP1" t="s">
        <v>2026</v>
      </c>
      <c r="BUQ1" t="s">
        <v>2027</v>
      </c>
      <c r="BUR1" t="s">
        <v>2028</v>
      </c>
      <c r="BUS1" t="s">
        <v>2029</v>
      </c>
      <c r="BUT1" t="s">
        <v>2030</v>
      </c>
      <c r="BUU1" t="s">
        <v>2031</v>
      </c>
      <c r="BUV1" t="s">
        <v>2032</v>
      </c>
      <c r="BUW1" t="s">
        <v>2033</v>
      </c>
      <c r="BUX1" t="s">
        <v>2034</v>
      </c>
      <c r="BUY1" t="s">
        <v>2035</v>
      </c>
      <c r="BUZ1" t="s">
        <v>2036</v>
      </c>
      <c r="BVA1" t="s">
        <v>2037</v>
      </c>
      <c r="BVB1" t="s">
        <v>2038</v>
      </c>
      <c r="BVC1" t="s">
        <v>2039</v>
      </c>
      <c r="BVD1" t="s">
        <v>2040</v>
      </c>
      <c r="BVE1" t="s">
        <v>2041</v>
      </c>
      <c r="BVF1" t="s">
        <v>2042</v>
      </c>
      <c r="BVG1" t="s">
        <v>2043</v>
      </c>
      <c r="BVH1" t="s">
        <v>2044</v>
      </c>
      <c r="BVI1" t="s">
        <v>2045</v>
      </c>
      <c r="BVJ1" t="s">
        <v>2046</v>
      </c>
      <c r="BVK1" t="s">
        <v>2047</v>
      </c>
      <c r="BVL1" t="s">
        <v>2048</v>
      </c>
      <c r="BVM1" t="s">
        <v>2049</v>
      </c>
      <c r="BVN1" t="s">
        <v>2050</v>
      </c>
      <c r="BVO1" t="s">
        <v>2051</v>
      </c>
      <c r="BVP1" t="s">
        <v>2052</v>
      </c>
      <c r="BVQ1" t="s">
        <v>2053</v>
      </c>
      <c r="BVR1" t="s">
        <v>2054</v>
      </c>
      <c r="BVS1" t="s">
        <v>2055</v>
      </c>
      <c r="BVT1" t="s">
        <v>2056</v>
      </c>
      <c r="BVU1" t="s">
        <v>2057</v>
      </c>
      <c r="BVV1" t="s">
        <v>2058</v>
      </c>
      <c r="BVW1" t="s">
        <v>2059</v>
      </c>
      <c r="BVX1" t="s">
        <v>2060</v>
      </c>
      <c r="BVY1" t="s">
        <v>2061</v>
      </c>
      <c r="BVZ1" t="s">
        <v>2062</v>
      </c>
      <c r="BWA1" t="s">
        <v>2063</v>
      </c>
      <c r="BWB1" t="s">
        <v>2064</v>
      </c>
      <c r="BWC1" t="s">
        <v>2065</v>
      </c>
      <c r="BWD1" t="s">
        <v>2066</v>
      </c>
      <c r="BWE1" t="s">
        <v>2067</v>
      </c>
      <c r="BWF1" t="s">
        <v>2068</v>
      </c>
      <c r="BWG1" t="s">
        <v>2069</v>
      </c>
      <c r="BWH1" t="s">
        <v>2070</v>
      </c>
      <c r="BWI1" t="s">
        <v>2071</v>
      </c>
      <c r="BWJ1" t="s">
        <v>2072</v>
      </c>
      <c r="BWK1" t="s">
        <v>2073</v>
      </c>
      <c r="BWL1" t="s">
        <v>2074</v>
      </c>
      <c r="BWM1" t="s">
        <v>2075</v>
      </c>
      <c r="BWN1" t="s">
        <v>2076</v>
      </c>
      <c r="BWO1" t="s">
        <v>2077</v>
      </c>
      <c r="BWP1" t="s">
        <v>2078</v>
      </c>
      <c r="BWQ1" t="s">
        <v>2079</v>
      </c>
      <c r="BWR1" t="s">
        <v>2080</v>
      </c>
      <c r="BWS1" t="s">
        <v>2081</v>
      </c>
      <c r="BWT1" t="s">
        <v>2082</v>
      </c>
      <c r="BWU1" t="s">
        <v>2083</v>
      </c>
      <c r="BWV1" t="s">
        <v>2084</v>
      </c>
      <c r="BWW1" t="s">
        <v>2085</v>
      </c>
      <c r="BWX1" t="s">
        <v>2086</v>
      </c>
      <c r="BWY1" t="s">
        <v>2087</v>
      </c>
      <c r="BWZ1" t="s">
        <v>2088</v>
      </c>
      <c r="BXA1" t="s">
        <v>2089</v>
      </c>
      <c r="BXB1" t="s">
        <v>2090</v>
      </c>
      <c r="BXC1" t="s">
        <v>2091</v>
      </c>
      <c r="BXD1" t="s">
        <v>2092</v>
      </c>
      <c r="BXE1" t="s">
        <v>2093</v>
      </c>
      <c r="BXF1" t="s">
        <v>2094</v>
      </c>
      <c r="BXG1" t="s">
        <v>2095</v>
      </c>
      <c r="BXH1" t="s">
        <v>2096</v>
      </c>
      <c r="BXI1" t="s">
        <v>2097</v>
      </c>
      <c r="BXJ1" t="s">
        <v>2098</v>
      </c>
      <c r="BXK1" t="s">
        <v>2099</v>
      </c>
      <c r="BXL1" t="s">
        <v>2100</v>
      </c>
      <c r="BXM1" t="s">
        <v>2101</v>
      </c>
      <c r="BXN1" t="s">
        <v>2102</v>
      </c>
      <c r="BXO1" t="s">
        <v>2103</v>
      </c>
      <c r="BXP1" t="s">
        <v>2104</v>
      </c>
      <c r="BXQ1" t="s">
        <v>2105</v>
      </c>
      <c r="BXR1" t="s">
        <v>2106</v>
      </c>
      <c r="BXS1" t="s">
        <v>2107</v>
      </c>
      <c r="BXT1" t="s">
        <v>2108</v>
      </c>
      <c r="BXU1" t="s">
        <v>2109</v>
      </c>
      <c r="BXV1" t="s">
        <v>2110</v>
      </c>
      <c r="BXW1" t="s">
        <v>2111</v>
      </c>
      <c r="BXX1" t="s">
        <v>2112</v>
      </c>
      <c r="BXY1" t="s">
        <v>2113</v>
      </c>
      <c r="BXZ1" t="s">
        <v>2114</v>
      </c>
      <c r="BYA1" t="s">
        <v>2115</v>
      </c>
      <c r="BYB1" t="s">
        <v>2116</v>
      </c>
      <c r="BYC1" t="s">
        <v>2117</v>
      </c>
      <c r="BYD1" t="s">
        <v>2118</v>
      </c>
      <c r="BYE1" t="s">
        <v>2119</v>
      </c>
      <c r="BYF1" t="s">
        <v>2120</v>
      </c>
      <c r="BYG1" t="s">
        <v>2121</v>
      </c>
      <c r="BYH1" t="s">
        <v>2122</v>
      </c>
      <c r="BYI1" t="s">
        <v>2123</v>
      </c>
      <c r="BYJ1" t="s">
        <v>2124</v>
      </c>
      <c r="BYK1" t="s">
        <v>2125</v>
      </c>
      <c r="BYL1" t="s">
        <v>2126</v>
      </c>
      <c r="BYM1" t="s">
        <v>2127</v>
      </c>
      <c r="BYN1" t="s">
        <v>2128</v>
      </c>
      <c r="BYO1" t="s">
        <v>2129</v>
      </c>
      <c r="BYP1" t="s">
        <v>2130</v>
      </c>
      <c r="BYQ1" t="s">
        <v>2131</v>
      </c>
      <c r="BYR1" t="s">
        <v>2132</v>
      </c>
      <c r="BYS1" t="s">
        <v>2133</v>
      </c>
      <c r="BYT1" t="s">
        <v>2134</v>
      </c>
      <c r="BYU1" t="s">
        <v>2135</v>
      </c>
      <c r="BYV1" t="s">
        <v>2136</v>
      </c>
      <c r="BYW1" t="s">
        <v>2137</v>
      </c>
      <c r="BYX1" t="s">
        <v>2138</v>
      </c>
      <c r="BYY1" t="s">
        <v>2139</v>
      </c>
      <c r="BYZ1" t="s">
        <v>2140</v>
      </c>
      <c r="BZA1" t="s">
        <v>2141</v>
      </c>
      <c r="BZB1" t="s">
        <v>2142</v>
      </c>
      <c r="BZC1" t="s">
        <v>2143</v>
      </c>
      <c r="BZD1" t="s">
        <v>2144</v>
      </c>
      <c r="BZE1" t="s">
        <v>2145</v>
      </c>
      <c r="BZF1" t="s">
        <v>2146</v>
      </c>
      <c r="BZG1" t="s">
        <v>2147</v>
      </c>
      <c r="BZH1" t="s">
        <v>2148</v>
      </c>
      <c r="BZI1" t="s">
        <v>2149</v>
      </c>
      <c r="BZJ1" t="s">
        <v>2150</v>
      </c>
      <c r="BZK1" t="s">
        <v>2151</v>
      </c>
      <c r="BZL1" t="s">
        <v>2152</v>
      </c>
      <c r="BZM1" t="s">
        <v>2153</v>
      </c>
      <c r="BZN1" t="s">
        <v>2154</v>
      </c>
      <c r="BZO1" t="s">
        <v>2155</v>
      </c>
      <c r="BZP1" t="s">
        <v>2156</v>
      </c>
      <c r="BZQ1" t="s">
        <v>2157</v>
      </c>
      <c r="BZR1" t="s">
        <v>2158</v>
      </c>
      <c r="BZS1" t="s">
        <v>2159</v>
      </c>
      <c r="BZT1" t="s">
        <v>2160</v>
      </c>
      <c r="BZU1" t="s">
        <v>2161</v>
      </c>
      <c r="BZV1" t="s">
        <v>2162</v>
      </c>
      <c r="BZW1" t="s">
        <v>2163</v>
      </c>
      <c r="BZX1" t="s">
        <v>2164</v>
      </c>
      <c r="BZY1" t="s">
        <v>2165</v>
      </c>
      <c r="BZZ1" t="s">
        <v>2166</v>
      </c>
      <c r="CAA1" t="s">
        <v>2167</v>
      </c>
      <c r="CAB1" t="s">
        <v>2168</v>
      </c>
      <c r="CAC1" t="s">
        <v>2169</v>
      </c>
      <c r="CAD1" t="s">
        <v>2170</v>
      </c>
      <c r="CAE1" t="s">
        <v>2171</v>
      </c>
      <c r="CAF1" t="s">
        <v>2172</v>
      </c>
      <c r="CAG1" t="s">
        <v>2173</v>
      </c>
      <c r="CAH1" t="s">
        <v>2174</v>
      </c>
      <c r="CAI1" t="s">
        <v>2175</v>
      </c>
      <c r="CAJ1" t="s">
        <v>2176</v>
      </c>
      <c r="CAK1" t="s">
        <v>2177</v>
      </c>
      <c r="CAL1" t="s">
        <v>2178</v>
      </c>
      <c r="CAM1" t="s">
        <v>2179</v>
      </c>
      <c r="CAN1" t="s">
        <v>2180</v>
      </c>
      <c r="CAO1" t="s">
        <v>2181</v>
      </c>
      <c r="CAP1" t="s">
        <v>2182</v>
      </c>
      <c r="CAQ1" t="s">
        <v>2183</v>
      </c>
      <c r="CAR1" t="s">
        <v>2184</v>
      </c>
      <c r="CAS1" t="s">
        <v>2185</v>
      </c>
      <c r="CAT1" t="s">
        <v>2186</v>
      </c>
      <c r="CAU1" t="s">
        <v>2187</v>
      </c>
      <c r="CAV1" t="s">
        <v>2188</v>
      </c>
      <c r="CAW1" t="s">
        <v>2189</v>
      </c>
      <c r="CAX1" t="s">
        <v>2190</v>
      </c>
      <c r="CAY1" t="s">
        <v>2191</v>
      </c>
      <c r="CAZ1" t="s">
        <v>2192</v>
      </c>
      <c r="CBA1" t="s">
        <v>2193</v>
      </c>
      <c r="CBB1" t="s">
        <v>2194</v>
      </c>
      <c r="CBC1" t="s">
        <v>2195</v>
      </c>
      <c r="CBD1" t="s">
        <v>2196</v>
      </c>
      <c r="CBE1" t="s">
        <v>2197</v>
      </c>
      <c r="CBF1" t="s">
        <v>2198</v>
      </c>
      <c r="CBG1" t="s">
        <v>2199</v>
      </c>
      <c r="CBH1" t="s">
        <v>2200</v>
      </c>
      <c r="CBI1" t="s">
        <v>2201</v>
      </c>
      <c r="CBJ1" t="s">
        <v>2202</v>
      </c>
      <c r="CBK1" t="s">
        <v>2203</v>
      </c>
      <c r="CBL1" t="s">
        <v>2204</v>
      </c>
      <c r="CBM1" t="s">
        <v>2205</v>
      </c>
      <c r="CBN1" t="s">
        <v>2206</v>
      </c>
      <c r="CBO1" t="s">
        <v>2207</v>
      </c>
      <c r="CBP1" t="s">
        <v>2208</v>
      </c>
      <c r="CBQ1" t="s">
        <v>2209</v>
      </c>
      <c r="CBR1" t="s">
        <v>2210</v>
      </c>
      <c r="CBS1" t="s">
        <v>2211</v>
      </c>
      <c r="CBT1" t="s">
        <v>2212</v>
      </c>
      <c r="CBU1" t="s">
        <v>2213</v>
      </c>
      <c r="CBV1" t="s">
        <v>2214</v>
      </c>
      <c r="CBW1" t="s">
        <v>2215</v>
      </c>
      <c r="CBX1" t="s">
        <v>2216</v>
      </c>
      <c r="CBY1" t="s">
        <v>2217</v>
      </c>
      <c r="CBZ1" t="s">
        <v>2218</v>
      </c>
      <c r="CCA1" t="s">
        <v>2219</v>
      </c>
      <c r="CCB1" t="s">
        <v>2220</v>
      </c>
      <c r="CCC1" t="s">
        <v>2221</v>
      </c>
      <c r="CCD1" t="s">
        <v>2222</v>
      </c>
      <c r="CCE1" t="s">
        <v>2223</v>
      </c>
      <c r="CCF1" t="s">
        <v>2224</v>
      </c>
      <c r="CCG1" t="s">
        <v>2225</v>
      </c>
      <c r="CCH1" t="s">
        <v>2226</v>
      </c>
      <c r="CCI1" t="s">
        <v>2227</v>
      </c>
      <c r="CCJ1" t="s">
        <v>2228</v>
      </c>
      <c r="CCK1" t="s">
        <v>2229</v>
      </c>
      <c r="CCL1" t="s">
        <v>2230</v>
      </c>
      <c r="CCM1" t="s">
        <v>2231</v>
      </c>
      <c r="CCN1" t="s">
        <v>2232</v>
      </c>
      <c r="CCO1" t="s">
        <v>2233</v>
      </c>
      <c r="CCP1" t="s">
        <v>2234</v>
      </c>
      <c r="CCQ1" t="s">
        <v>2235</v>
      </c>
      <c r="CCR1" t="s">
        <v>2236</v>
      </c>
      <c r="CCS1" t="s">
        <v>2237</v>
      </c>
      <c r="CCT1" t="s">
        <v>2238</v>
      </c>
      <c r="CCU1" t="s">
        <v>2239</v>
      </c>
      <c r="CCV1" t="s">
        <v>2240</v>
      </c>
      <c r="CCW1" t="s">
        <v>2241</v>
      </c>
      <c r="CCX1" t="s">
        <v>2242</v>
      </c>
      <c r="CCY1" t="s">
        <v>2243</v>
      </c>
      <c r="CCZ1" t="s">
        <v>2244</v>
      </c>
      <c r="CDA1" t="s">
        <v>2245</v>
      </c>
      <c r="CDB1" t="s">
        <v>2246</v>
      </c>
      <c r="CDC1" t="s">
        <v>2247</v>
      </c>
      <c r="CDD1" t="s">
        <v>2248</v>
      </c>
      <c r="CDE1" t="s">
        <v>2249</v>
      </c>
      <c r="CDF1" t="s">
        <v>2250</v>
      </c>
      <c r="CDG1" t="s">
        <v>2251</v>
      </c>
      <c r="CDH1" t="s">
        <v>2252</v>
      </c>
      <c r="CDI1" t="s">
        <v>2253</v>
      </c>
      <c r="CDJ1" t="s">
        <v>2254</v>
      </c>
      <c r="CDK1" t="s">
        <v>2255</v>
      </c>
      <c r="CDL1" t="s">
        <v>2256</v>
      </c>
      <c r="CDM1" t="s">
        <v>2257</v>
      </c>
      <c r="CDN1" t="s">
        <v>2258</v>
      </c>
      <c r="CDO1" t="s">
        <v>2259</v>
      </c>
      <c r="CDP1" t="s">
        <v>2260</v>
      </c>
      <c r="CDQ1" t="s">
        <v>2261</v>
      </c>
      <c r="CDR1" t="s">
        <v>2262</v>
      </c>
      <c r="CDS1" t="s">
        <v>2263</v>
      </c>
      <c r="CDT1" t="s">
        <v>2264</v>
      </c>
      <c r="CDU1" t="s">
        <v>2265</v>
      </c>
      <c r="CDV1" t="s">
        <v>2266</v>
      </c>
      <c r="CDW1" t="s">
        <v>2267</v>
      </c>
      <c r="CDX1" t="s">
        <v>2268</v>
      </c>
      <c r="CDY1" t="s">
        <v>2269</v>
      </c>
      <c r="CDZ1" t="s">
        <v>2270</v>
      </c>
      <c r="CEA1" t="s">
        <v>2271</v>
      </c>
      <c r="CEB1" t="s">
        <v>2272</v>
      </c>
      <c r="CEC1" t="s">
        <v>2273</v>
      </c>
      <c r="CED1" t="s">
        <v>2274</v>
      </c>
      <c r="CEE1" t="s">
        <v>2275</v>
      </c>
      <c r="CEF1" t="s">
        <v>2276</v>
      </c>
      <c r="CEG1" t="s">
        <v>2277</v>
      </c>
      <c r="CEH1" t="s">
        <v>2278</v>
      </c>
      <c r="CEI1" t="s">
        <v>2279</v>
      </c>
      <c r="CEJ1" t="s">
        <v>2280</v>
      </c>
      <c r="CEK1" t="s">
        <v>2281</v>
      </c>
      <c r="CEL1" t="s">
        <v>2282</v>
      </c>
      <c r="CEM1" t="s">
        <v>2283</v>
      </c>
      <c r="CEN1" t="s">
        <v>2284</v>
      </c>
      <c r="CEO1" t="s">
        <v>2285</v>
      </c>
      <c r="CEP1" t="s">
        <v>2286</v>
      </c>
      <c r="CEQ1" t="s">
        <v>2287</v>
      </c>
      <c r="CER1" t="s">
        <v>2288</v>
      </c>
      <c r="CES1" t="s">
        <v>2289</v>
      </c>
      <c r="CET1" t="s">
        <v>2290</v>
      </c>
      <c r="CEU1" t="s">
        <v>2291</v>
      </c>
      <c r="CEV1" t="s">
        <v>2292</v>
      </c>
      <c r="CEW1" t="s">
        <v>2293</v>
      </c>
      <c r="CEX1" t="s">
        <v>2294</v>
      </c>
      <c r="CEY1" t="s">
        <v>2295</v>
      </c>
      <c r="CEZ1" t="s">
        <v>2296</v>
      </c>
      <c r="CFA1" t="s">
        <v>2297</v>
      </c>
      <c r="CFB1" t="s">
        <v>2298</v>
      </c>
      <c r="CFC1" t="s">
        <v>2299</v>
      </c>
      <c r="CFD1" t="s">
        <v>2300</v>
      </c>
      <c r="CFE1" t="s">
        <v>2301</v>
      </c>
      <c r="CFF1" t="s">
        <v>2302</v>
      </c>
      <c r="CFG1" t="s">
        <v>2303</v>
      </c>
      <c r="CFH1" t="s">
        <v>2304</v>
      </c>
      <c r="CFI1" t="s">
        <v>2305</v>
      </c>
      <c r="CFJ1" t="s">
        <v>2306</v>
      </c>
      <c r="CFK1" t="s">
        <v>2307</v>
      </c>
      <c r="CFL1" t="s">
        <v>2308</v>
      </c>
      <c r="CFM1" t="s">
        <v>2309</v>
      </c>
      <c r="CFN1" t="s">
        <v>2310</v>
      </c>
      <c r="CFO1" t="s">
        <v>2311</v>
      </c>
      <c r="CFP1" t="s">
        <v>2312</v>
      </c>
      <c r="CFQ1" t="s">
        <v>2313</v>
      </c>
      <c r="CFR1" t="s">
        <v>2314</v>
      </c>
      <c r="CFS1" t="s">
        <v>2315</v>
      </c>
      <c r="CFT1" t="s">
        <v>2316</v>
      </c>
      <c r="CFU1" t="s">
        <v>2317</v>
      </c>
      <c r="CFV1" t="s">
        <v>2318</v>
      </c>
      <c r="CFW1" t="s">
        <v>2319</v>
      </c>
      <c r="CFX1" t="s">
        <v>2320</v>
      </c>
      <c r="CFY1" t="s">
        <v>2321</v>
      </c>
      <c r="CFZ1" t="s">
        <v>2322</v>
      </c>
      <c r="CGA1" t="s">
        <v>2323</v>
      </c>
      <c r="CGB1" t="s">
        <v>2324</v>
      </c>
      <c r="CGC1" t="s">
        <v>2325</v>
      </c>
      <c r="CGD1" t="s">
        <v>2326</v>
      </c>
      <c r="CGE1" t="s">
        <v>2327</v>
      </c>
      <c r="CGF1" t="s">
        <v>2328</v>
      </c>
      <c r="CGG1" t="s">
        <v>2329</v>
      </c>
      <c r="CGH1" t="s">
        <v>2330</v>
      </c>
      <c r="CGI1" t="s">
        <v>2331</v>
      </c>
      <c r="CGJ1" t="s">
        <v>2332</v>
      </c>
      <c r="CGK1" t="s">
        <v>2333</v>
      </c>
      <c r="CGL1" t="s">
        <v>2334</v>
      </c>
      <c r="CGM1" t="s">
        <v>2335</v>
      </c>
      <c r="CGN1" t="s">
        <v>2336</v>
      </c>
      <c r="CGO1" t="s">
        <v>2337</v>
      </c>
      <c r="CGP1" t="s">
        <v>2338</v>
      </c>
      <c r="CGQ1" t="s">
        <v>2339</v>
      </c>
      <c r="CGR1" t="s">
        <v>2340</v>
      </c>
      <c r="CGS1" t="s">
        <v>2341</v>
      </c>
      <c r="CGT1" t="s">
        <v>2342</v>
      </c>
      <c r="CGU1" t="s">
        <v>2343</v>
      </c>
      <c r="CGV1" t="s">
        <v>2344</v>
      </c>
      <c r="CGW1" t="s">
        <v>2345</v>
      </c>
      <c r="CGX1" t="s">
        <v>2346</v>
      </c>
      <c r="CGY1" t="s">
        <v>2347</v>
      </c>
      <c r="CGZ1" t="s">
        <v>2348</v>
      </c>
      <c r="CHA1" t="s">
        <v>2349</v>
      </c>
      <c r="CHB1" t="s">
        <v>2350</v>
      </c>
      <c r="CHC1" t="s">
        <v>2351</v>
      </c>
      <c r="CHD1" t="s">
        <v>2352</v>
      </c>
      <c r="CHE1" t="s">
        <v>2353</v>
      </c>
      <c r="CHF1" t="s">
        <v>2354</v>
      </c>
      <c r="CHG1" t="s">
        <v>2355</v>
      </c>
      <c r="CHH1" t="s">
        <v>2356</v>
      </c>
      <c r="CHI1" t="s">
        <v>2357</v>
      </c>
      <c r="CHJ1" t="s">
        <v>2358</v>
      </c>
      <c r="CHK1" t="s">
        <v>2359</v>
      </c>
      <c r="CHL1" t="s">
        <v>2360</v>
      </c>
      <c r="CHM1" t="s">
        <v>2361</v>
      </c>
      <c r="CHN1" t="s">
        <v>2362</v>
      </c>
      <c r="CHO1" t="s">
        <v>2363</v>
      </c>
      <c r="CHP1" t="s">
        <v>2364</v>
      </c>
      <c r="CHQ1" t="s">
        <v>2365</v>
      </c>
      <c r="CHR1" t="s">
        <v>2366</v>
      </c>
      <c r="CHS1" t="s">
        <v>2367</v>
      </c>
      <c r="CHT1" t="s">
        <v>2368</v>
      </c>
      <c r="CHU1" t="s">
        <v>2369</v>
      </c>
      <c r="CHV1" t="s">
        <v>2370</v>
      </c>
      <c r="CHW1" t="s">
        <v>2371</v>
      </c>
      <c r="CHX1" t="s">
        <v>2372</v>
      </c>
      <c r="CHY1" t="s">
        <v>2373</v>
      </c>
      <c r="CHZ1" t="s">
        <v>2374</v>
      </c>
      <c r="CIA1" t="s">
        <v>2375</v>
      </c>
      <c r="CIB1" t="s">
        <v>2376</v>
      </c>
      <c r="CIC1" t="s">
        <v>2377</v>
      </c>
      <c r="CID1" t="s">
        <v>2378</v>
      </c>
      <c r="CIE1" t="s">
        <v>2379</v>
      </c>
      <c r="CIF1" t="s">
        <v>2380</v>
      </c>
      <c r="CIG1" t="s">
        <v>2381</v>
      </c>
      <c r="CIH1" t="s">
        <v>2382</v>
      </c>
      <c r="CII1" t="s">
        <v>2383</v>
      </c>
      <c r="CIJ1" t="s">
        <v>2384</v>
      </c>
      <c r="CIK1" t="s">
        <v>2385</v>
      </c>
      <c r="CIL1" t="s">
        <v>2386</v>
      </c>
      <c r="CIM1" t="s">
        <v>2387</v>
      </c>
      <c r="CIN1" t="s">
        <v>2388</v>
      </c>
      <c r="CIO1" t="s">
        <v>2389</v>
      </c>
      <c r="CIP1" t="s">
        <v>2390</v>
      </c>
      <c r="CIQ1" t="s">
        <v>2391</v>
      </c>
      <c r="CIR1" t="s">
        <v>2392</v>
      </c>
      <c r="CIS1" t="s">
        <v>2393</v>
      </c>
      <c r="CIT1" t="s">
        <v>2394</v>
      </c>
      <c r="CIU1" t="s">
        <v>2395</v>
      </c>
      <c r="CIV1" t="s">
        <v>2396</v>
      </c>
      <c r="CIW1" t="s">
        <v>2397</v>
      </c>
      <c r="CIX1" t="s">
        <v>2398</v>
      </c>
      <c r="CIY1" t="s">
        <v>2399</v>
      </c>
      <c r="CIZ1" t="s">
        <v>2400</v>
      </c>
      <c r="CJA1" t="s">
        <v>2401</v>
      </c>
      <c r="CJB1" t="s">
        <v>2402</v>
      </c>
      <c r="CJC1" t="s">
        <v>2403</v>
      </c>
      <c r="CJD1" t="s">
        <v>2404</v>
      </c>
      <c r="CJE1" t="s">
        <v>2405</v>
      </c>
      <c r="CJF1" t="s">
        <v>2406</v>
      </c>
      <c r="CJG1" t="s">
        <v>2407</v>
      </c>
      <c r="CJH1" t="s">
        <v>2408</v>
      </c>
      <c r="CJI1" t="s">
        <v>2409</v>
      </c>
      <c r="CJJ1" t="s">
        <v>2410</v>
      </c>
      <c r="CJK1" t="s">
        <v>2411</v>
      </c>
      <c r="CJL1" t="s">
        <v>2412</v>
      </c>
      <c r="CJM1" t="s">
        <v>2413</v>
      </c>
      <c r="CJN1" t="s">
        <v>2414</v>
      </c>
      <c r="CJO1" t="s">
        <v>2415</v>
      </c>
      <c r="CJP1" t="s">
        <v>2416</v>
      </c>
      <c r="CJQ1" t="s">
        <v>2417</v>
      </c>
      <c r="CJR1" t="s">
        <v>2418</v>
      </c>
      <c r="CJS1" t="s">
        <v>2419</v>
      </c>
      <c r="CJT1" t="s">
        <v>2420</v>
      </c>
      <c r="CJU1" t="s">
        <v>2421</v>
      </c>
      <c r="CJV1" t="s">
        <v>2422</v>
      </c>
      <c r="CJW1" t="s">
        <v>2423</v>
      </c>
      <c r="CJX1" t="s">
        <v>2424</v>
      </c>
      <c r="CJY1" t="s">
        <v>2425</v>
      </c>
      <c r="CJZ1" t="s">
        <v>2426</v>
      </c>
      <c r="CKA1" t="s">
        <v>2427</v>
      </c>
      <c r="CKB1" t="s">
        <v>2428</v>
      </c>
      <c r="CKC1" t="s">
        <v>2429</v>
      </c>
      <c r="CKD1" t="s">
        <v>2430</v>
      </c>
      <c r="CKE1" t="s">
        <v>2431</v>
      </c>
      <c r="CKF1" t="s">
        <v>2432</v>
      </c>
      <c r="CKG1" t="s">
        <v>2433</v>
      </c>
      <c r="CKH1" t="s">
        <v>2434</v>
      </c>
      <c r="CKI1" t="s">
        <v>2435</v>
      </c>
      <c r="CKJ1" t="s">
        <v>2436</v>
      </c>
      <c r="CKK1" t="s">
        <v>2437</v>
      </c>
      <c r="CKL1" t="s">
        <v>2438</v>
      </c>
      <c r="CKM1" t="s">
        <v>2439</v>
      </c>
      <c r="CKN1" t="s">
        <v>2440</v>
      </c>
      <c r="CKO1" t="s">
        <v>2441</v>
      </c>
      <c r="CKP1" t="s">
        <v>2442</v>
      </c>
      <c r="CKQ1" t="s">
        <v>2443</v>
      </c>
      <c r="CKR1" t="s">
        <v>2444</v>
      </c>
      <c r="CKS1" t="s">
        <v>2445</v>
      </c>
      <c r="CKT1" t="s">
        <v>2446</v>
      </c>
      <c r="CKU1" t="s">
        <v>2447</v>
      </c>
      <c r="CKV1" t="s">
        <v>2448</v>
      </c>
      <c r="CKW1" t="s">
        <v>2449</v>
      </c>
      <c r="CKX1" t="s">
        <v>2450</v>
      </c>
      <c r="CKY1" t="s">
        <v>2451</v>
      </c>
      <c r="CKZ1" t="s">
        <v>2452</v>
      </c>
      <c r="CLA1" t="s">
        <v>2453</v>
      </c>
      <c r="CLB1" t="s">
        <v>2454</v>
      </c>
      <c r="CLC1" t="s">
        <v>2455</v>
      </c>
      <c r="CLD1" t="s">
        <v>2456</v>
      </c>
      <c r="CLE1" t="s">
        <v>2457</v>
      </c>
      <c r="CLF1" t="s">
        <v>2458</v>
      </c>
      <c r="CLG1" t="s">
        <v>2459</v>
      </c>
      <c r="CLH1" t="s">
        <v>2460</v>
      </c>
      <c r="CLI1" t="s">
        <v>2461</v>
      </c>
      <c r="CLJ1" t="s">
        <v>2462</v>
      </c>
      <c r="CLK1" t="s">
        <v>2463</v>
      </c>
      <c r="CLL1" t="s">
        <v>2464</v>
      </c>
      <c r="CLM1" t="s">
        <v>2465</v>
      </c>
      <c r="CLN1" t="s">
        <v>2466</v>
      </c>
      <c r="CLO1" t="s">
        <v>2467</v>
      </c>
      <c r="CLP1" t="s">
        <v>2468</v>
      </c>
      <c r="CLQ1" t="s">
        <v>2469</v>
      </c>
      <c r="CLR1" t="s">
        <v>2470</v>
      </c>
      <c r="CLS1" t="s">
        <v>2471</v>
      </c>
      <c r="CLT1" t="s">
        <v>2472</v>
      </c>
      <c r="CLU1" t="s">
        <v>2473</v>
      </c>
      <c r="CLV1" t="s">
        <v>2474</v>
      </c>
      <c r="CLW1" t="s">
        <v>2475</v>
      </c>
      <c r="CLX1" t="s">
        <v>2476</v>
      </c>
      <c r="CLY1" t="s">
        <v>2477</v>
      </c>
      <c r="CLZ1" t="s">
        <v>2478</v>
      </c>
      <c r="CMA1" t="s">
        <v>2479</v>
      </c>
      <c r="CMB1" t="s">
        <v>2480</v>
      </c>
      <c r="CMC1" t="s">
        <v>2481</v>
      </c>
      <c r="CMD1" t="s">
        <v>2482</v>
      </c>
      <c r="CME1" t="s">
        <v>2483</v>
      </c>
      <c r="CMF1" t="s">
        <v>2484</v>
      </c>
      <c r="CMG1" t="s">
        <v>2485</v>
      </c>
      <c r="CMH1" t="s">
        <v>2486</v>
      </c>
      <c r="CMI1" t="s">
        <v>2487</v>
      </c>
      <c r="CMJ1" t="s">
        <v>2488</v>
      </c>
      <c r="CMK1" t="s">
        <v>2489</v>
      </c>
      <c r="CML1" t="s">
        <v>2490</v>
      </c>
      <c r="CMM1" t="s">
        <v>2491</v>
      </c>
      <c r="CMN1" t="s">
        <v>2492</v>
      </c>
      <c r="CMO1" t="s">
        <v>2493</v>
      </c>
      <c r="CMP1" t="s">
        <v>2494</v>
      </c>
      <c r="CMQ1" t="s">
        <v>2495</v>
      </c>
      <c r="CMR1" t="s">
        <v>2496</v>
      </c>
      <c r="CMS1" t="s">
        <v>2497</v>
      </c>
      <c r="CMT1" t="s">
        <v>2498</v>
      </c>
      <c r="CMU1" t="s">
        <v>2499</v>
      </c>
      <c r="CMV1" t="s">
        <v>2500</v>
      </c>
      <c r="CMW1" t="s">
        <v>2501</v>
      </c>
      <c r="CMX1" t="s">
        <v>2502</v>
      </c>
      <c r="CMY1" t="s">
        <v>2503</v>
      </c>
      <c r="CMZ1" t="s">
        <v>2504</v>
      </c>
      <c r="CNA1" t="s">
        <v>2505</v>
      </c>
      <c r="CNB1" t="s">
        <v>2506</v>
      </c>
      <c r="CNC1" t="s">
        <v>2507</v>
      </c>
      <c r="CND1" t="s">
        <v>2508</v>
      </c>
      <c r="CNE1" t="s">
        <v>2509</v>
      </c>
      <c r="CNF1" t="s">
        <v>2510</v>
      </c>
      <c r="CNG1" t="s">
        <v>2511</v>
      </c>
      <c r="CNH1" t="s">
        <v>2512</v>
      </c>
      <c r="CNI1" t="s">
        <v>2513</v>
      </c>
      <c r="CNJ1" t="s">
        <v>2514</v>
      </c>
      <c r="CNK1" t="s">
        <v>2515</v>
      </c>
      <c r="CNL1" t="s">
        <v>2516</v>
      </c>
      <c r="CNM1" t="s">
        <v>2517</v>
      </c>
      <c r="CNN1" t="s">
        <v>2518</v>
      </c>
      <c r="CNO1" t="s">
        <v>2519</v>
      </c>
      <c r="CNP1" t="s">
        <v>2520</v>
      </c>
      <c r="CNQ1" t="s">
        <v>2521</v>
      </c>
      <c r="CNR1" t="s">
        <v>2522</v>
      </c>
      <c r="CNS1" t="s">
        <v>2523</v>
      </c>
      <c r="CNT1" t="s">
        <v>2524</v>
      </c>
      <c r="CNU1" t="s">
        <v>2525</v>
      </c>
      <c r="CNV1" t="s">
        <v>2526</v>
      </c>
      <c r="CNW1" t="s">
        <v>2527</v>
      </c>
      <c r="CNX1" t="s">
        <v>2528</v>
      </c>
      <c r="CNY1" t="s">
        <v>2529</v>
      </c>
      <c r="CNZ1" t="s">
        <v>2530</v>
      </c>
      <c r="COA1" t="s">
        <v>2531</v>
      </c>
      <c r="COB1" t="s">
        <v>2532</v>
      </c>
      <c r="COC1" t="s">
        <v>2533</v>
      </c>
      <c r="COD1" t="s">
        <v>2534</v>
      </c>
      <c r="COE1" t="s">
        <v>2535</v>
      </c>
      <c r="COF1" t="s">
        <v>2536</v>
      </c>
      <c r="COG1" t="s">
        <v>2537</v>
      </c>
      <c r="COH1" t="s">
        <v>2538</v>
      </c>
      <c r="COI1" t="s">
        <v>2539</v>
      </c>
      <c r="COJ1" t="s">
        <v>2540</v>
      </c>
      <c r="COK1" t="s">
        <v>2541</v>
      </c>
      <c r="COL1" t="s">
        <v>2542</v>
      </c>
      <c r="COM1" t="s">
        <v>2543</v>
      </c>
      <c r="CON1" t="s">
        <v>2544</v>
      </c>
      <c r="COO1" t="s">
        <v>2545</v>
      </c>
      <c r="COP1" t="s">
        <v>2546</v>
      </c>
      <c r="COQ1" t="s">
        <v>2547</v>
      </c>
      <c r="COR1" t="s">
        <v>2548</v>
      </c>
      <c r="COS1" t="s">
        <v>2549</v>
      </c>
      <c r="COT1" t="s">
        <v>2550</v>
      </c>
      <c r="COU1" t="s">
        <v>2551</v>
      </c>
      <c r="COV1" t="s">
        <v>2552</v>
      </c>
      <c r="COW1" t="s">
        <v>2553</v>
      </c>
      <c r="COX1" t="s">
        <v>2554</v>
      </c>
      <c r="COY1" t="s">
        <v>2555</v>
      </c>
      <c r="COZ1" t="s">
        <v>2556</v>
      </c>
      <c r="CPA1" t="s">
        <v>2557</v>
      </c>
      <c r="CPB1" t="s">
        <v>2558</v>
      </c>
      <c r="CPC1" t="s">
        <v>2559</v>
      </c>
      <c r="CPD1" t="s">
        <v>2560</v>
      </c>
      <c r="CPE1" t="s">
        <v>2561</v>
      </c>
      <c r="CPF1" t="s">
        <v>2562</v>
      </c>
      <c r="CPG1" t="s">
        <v>2563</v>
      </c>
      <c r="CPH1" t="s">
        <v>2564</v>
      </c>
      <c r="CPI1" t="s">
        <v>2565</v>
      </c>
      <c r="CPJ1" t="s">
        <v>2566</v>
      </c>
      <c r="CPK1" t="s">
        <v>2567</v>
      </c>
      <c r="CPL1" t="s">
        <v>2568</v>
      </c>
      <c r="CPM1" t="s">
        <v>2569</v>
      </c>
      <c r="CPN1" t="s">
        <v>2570</v>
      </c>
      <c r="CPO1" t="s">
        <v>2571</v>
      </c>
      <c r="CPP1" t="s">
        <v>2572</v>
      </c>
      <c r="CPQ1" t="s">
        <v>2573</v>
      </c>
      <c r="CPR1" t="s">
        <v>2574</v>
      </c>
      <c r="CPS1" t="s">
        <v>2575</v>
      </c>
      <c r="CPT1" t="s">
        <v>2576</v>
      </c>
      <c r="CPU1" t="s">
        <v>2577</v>
      </c>
      <c r="CPV1" t="s">
        <v>2578</v>
      </c>
      <c r="CPW1" t="s">
        <v>2579</v>
      </c>
      <c r="CPX1" t="s">
        <v>2580</v>
      </c>
      <c r="CPY1" t="s">
        <v>2581</v>
      </c>
      <c r="CPZ1" t="s">
        <v>2582</v>
      </c>
      <c r="CQA1" t="s">
        <v>2583</v>
      </c>
      <c r="CQB1" t="s">
        <v>2584</v>
      </c>
      <c r="CQC1" t="s">
        <v>2585</v>
      </c>
      <c r="CQD1" t="s">
        <v>2586</v>
      </c>
      <c r="CQE1" t="s">
        <v>2587</v>
      </c>
      <c r="CQF1" t="s">
        <v>2588</v>
      </c>
      <c r="CQG1" t="s">
        <v>2589</v>
      </c>
      <c r="CQH1" t="s">
        <v>2590</v>
      </c>
      <c r="CQI1" t="s">
        <v>2591</v>
      </c>
      <c r="CQJ1" t="s">
        <v>2592</v>
      </c>
      <c r="CQK1" t="s">
        <v>2593</v>
      </c>
      <c r="CQL1" t="s">
        <v>2594</v>
      </c>
      <c r="CQM1" t="s">
        <v>2595</v>
      </c>
      <c r="CQN1" t="s">
        <v>2596</v>
      </c>
      <c r="CQO1" t="s">
        <v>2597</v>
      </c>
      <c r="CQP1" t="s">
        <v>2598</v>
      </c>
      <c r="CQQ1" t="s">
        <v>2599</v>
      </c>
      <c r="CQR1" t="s">
        <v>2600</v>
      </c>
      <c r="CQS1" t="s">
        <v>2601</v>
      </c>
      <c r="CQT1" t="s">
        <v>2602</v>
      </c>
      <c r="CQU1" t="s">
        <v>2603</v>
      </c>
      <c r="CQV1" t="s">
        <v>2604</v>
      </c>
      <c r="CQW1" t="s">
        <v>2605</v>
      </c>
      <c r="CQX1" t="s">
        <v>2606</v>
      </c>
      <c r="CQY1" t="s">
        <v>2607</v>
      </c>
      <c r="CQZ1" t="s">
        <v>2608</v>
      </c>
      <c r="CRA1" t="s">
        <v>2609</v>
      </c>
      <c r="CRB1" t="s">
        <v>2610</v>
      </c>
      <c r="CRC1" t="s">
        <v>2611</v>
      </c>
      <c r="CRD1" t="s">
        <v>2612</v>
      </c>
      <c r="CRE1" t="s">
        <v>2613</v>
      </c>
      <c r="CRF1" t="s">
        <v>2614</v>
      </c>
      <c r="CRG1" t="s">
        <v>2615</v>
      </c>
      <c r="CRH1" t="s">
        <v>2616</v>
      </c>
      <c r="CRI1" t="s">
        <v>2617</v>
      </c>
      <c r="CRJ1" t="s">
        <v>2618</v>
      </c>
      <c r="CRK1" t="s">
        <v>2619</v>
      </c>
      <c r="CRL1" t="s">
        <v>2620</v>
      </c>
      <c r="CRM1" t="s">
        <v>2621</v>
      </c>
      <c r="CRN1" t="s">
        <v>2622</v>
      </c>
      <c r="CRO1" t="s">
        <v>2623</v>
      </c>
      <c r="CRP1" t="s">
        <v>2624</v>
      </c>
      <c r="CRQ1" t="s">
        <v>2625</v>
      </c>
      <c r="CRR1" t="s">
        <v>2626</v>
      </c>
      <c r="CRS1" t="s">
        <v>2627</v>
      </c>
      <c r="CRT1" t="s">
        <v>2628</v>
      </c>
      <c r="CRU1" t="s">
        <v>2629</v>
      </c>
      <c r="CRV1" t="s">
        <v>2630</v>
      </c>
      <c r="CRW1" t="s">
        <v>2631</v>
      </c>
      <c r="CRX1" t="s">
        <v>2632</v>
      </c>
      <c r="CRY1" t="s">
        <v>2633</v>
      </c>
      <c r="CRZ1" t="s">
        <v>2634</v>
      </c>
      <c r="CSA1" t="s">
        <v>2635</v>
      </c>
      <c r="CSB1" t="s">
        <v>2636</v>
      </c>
      <c r="CSC1" t="s">
        <v>2637</v>
      </c>
      <c r="CSD1" t="s">
        <v>2638</v>
      </c>
      <c r="CSE1" t="s">
        <v>2639</v>
      </c>
      <c r="CSF1" t="s">
        <v>2640</v>
      </c>
      <c r="CSG1" t="s">
        <v>2641</v>
      </c>
      <c r="CSH1" t="s">
        <v>2642</v>
      </c>
      <c r="CSI1" t="s">
        <v>2643</v>
      </c>
      <c r="CSJ1" t="s">
        <v>2644</v>
      </c>
      <c r="CSK1" t="s">
        <v>2645</v>
      </c>
      <c r="CSL1" t="s">
        <v>2646</v>
      </c>
      <c r="CSM1" t="s">
        <v>2647</v>
      </c>
      <c r="CSN1" t="s">
        <v>2648</v>
      </c>
      <c r="CSO1" t="s">
        <v>2649</v>
      </c>
      <c r="CSP1" t="s">
        <v>2650</v>
      </c>
      <c r="CSQ1" t="s">
        <v>2651</v>
      </c>
      <c r="CSR1" t="s">
        <v>2652</v>
      </c>
      <c r="CSS1" t="s">
        <v>2653</v>
      </c>
      <c r="CST1" t="s">
        <v>2654</v>
      </c>
      <c r="CSU1" t="s">
        <v>2655</v>
      </c>
      <c r="CSV1" t="s">
        <v>2656</v>
      </c>
      <c r="CSW1" t="s">
        <v>2657</v>
      </c>
      <c r="CSX1" t="s">
        <v>2658</v>
      </c>
      <c r="CSY1" t="s">
        <v>2659</v>
      </c>
      <c r="CSZ1" t="s">
        <v>2660</v>
      </c>
      <c r="CTA1" t="s">
        <v>2661</v>
      </c>
      <c r="CTB1" t="s">
        <v>2662</v>
      </c>
      <c r="CTC1" t="s">
        <v>2663</v>
      </c>
      <c r="CTD1" t="s">
        <v>2664</v>
      </c>
      <c r="CTE1" t="s">
        <v>2665</v>
      </c>
      <c r="CTF1" t="s">
        <v>2666</v>
      </c>
      <c r="CTG1" t="s">
        <v>2667</v>
      </c>
      <c r="CTH1" t="s">
        <v>2668</v>
      </c>
      <c r="CTI1" t="s">
        <v>2669</v>
      </c>
      <c r="CTJ1" t="s">
        <v>2670</v>
      </c>
      <c r="CTK1" t="s">
        <v>2671</v>
      </c>
      <c r="CTL1" t="s">
        <v>2672</v>
      </c>
      <c r="CTM1" t="s">
        <v>2673</v>
      </c>
      <c r="CTN1" t="s">
        <v>2674</v>
      </c>
      <c r="CTO1" t="s">
        <v>2675</v>
      </c>
      <c r="CTP1" t="s">
        <v>2676</v>
      </c>
      <c r="CTQ1" t="s">
        <v>2677</v>
      </c>
      <c r="CTR1" t="s">
        <v>2678</v>
      </c>
      <c r="CTS1" t="s">
        <v>2679</v>
      </c>
      <c r="CTT1" t="s">
        <v>2680</v>
      </c>
      <c r="CTU1" t="s">
        <v>2681</v>
      </c>
      <c r="CTV1" t="s">
        <v>2682</v>
      </c>
      <c r="CTW1" t="s">
        <v>2683</v>
      </c>
      <c r="CTX1" t="s">
        <v>2684</v>
      </c>
      <c r="CTY1" t="s">
        <v>2685</v>
      </c>
      <c r="CTZ1" t="s">
        <v>2686</v>
      </c>
      <c r="CUA1" t="s">
        <v>2687</v>
      </c>
      <c r="CUB1" t="s">
        <v>2688</v>
      </c>
      <c r="CUC1" t="s">
        <v>2689</v>
      </c>
      <c r="CUD1" t="s">
        <v>2690</v>
      </c>
      <c r="CUE1" t="s">
        <v>2691</v>
      </c>
      <c r="CUF1" t="s">
        <v>2692</v>
      </c>
      <c r="CUG1" t="s">
        <v>2693</v>
      </c>
      <c r="CUH1" t="s">
        <v>2694</v>
      </c>
      <c r="CUI1" t="s">
        <v>2695</v>
      </c>
      <c r="CUJ1" t="s">
        <v>2696</v>
      </c>
      <c r="CUK1" t="s">
        <v>2697</v>
      </c>
      <c r="CUL1" t="s">
        <v>2698</v>
      </c>
      <c r="CUM1" t="s">
        <v>2699</v>
      </c>
      <c r="CUN1" t="s">
        <v>2700</v>
      </c>
      <c r="CUO1" t="s">
        <v>2701</v>
      </c>
      <c r="CUP1" t="s">
        <v>2702</v>
      </c>
      <c r="CUQ1" t="s">
        <v>2703</v>
      </c>
      <c r="CUR1" t="s">
        <v>2704</v>
      </c>
      <c r="CUS1" t="s">
        <v>2705</v>
      </c>
      <c r="CUT1" t="s">
        <v>2706</v>
      </c>
      <c r="CUU1" t="s">
        <v>2707</v>
      </c>
      <c r="CUV1" t="s">
        <v>2708</v>
      </c>
      <c r="CUW1" t="s">
        <v>2709</v>
      </c>
      <c r="CUX1" t="s">
        <v>2710</v>
      </c>
      <c r="CUY1" t="s">
        <v>2711</v>
      </c>
      <c r="CUZ1" t="s">
        <v>2712</v>
      </c>
      <c r="CVA1" t="s">
        <v>2713</v>
      </c>
      <c r="CVB1" t="s">
        <v>2714</v>
      </c>
      <c r="CVC1" t="s">
        <v>2715</v>
      </c>
      <c r="CVD1" t="s">
        <v>2716</v>
      </c>
      <c r="CVE1" t="s">
        <v>2717</v>
      </c>
      <c r="CVF1" t="s">
        <v>2718</v>
      </c>
      <c r="CVG1" t="s">
        <v>2719</v>
      </c>
      <c r="CVH1" t="s">
        <v>2720</v>
      </c>
      <c r="CVI1" t="s">
        <v>2721</v>
      </c>
      <c r="CVJ1" t="s">
        <v>2722</v>
      </c>
      <c r="CVK1" t="s">
        <v>2723</v>
      </c>
      <c r="CVL1" t="s">
        <v>2724</v>
      </c>
      <c r="CVM1" t="s">
        <v>2725</v>
      </c>
      <c r="CVN1" t="s">
        <v>2726</v>
      </c>
      <c r="CVO1" t="s">
        <v>2727</v>
      </c>
      <c r="CVP1" t="s">
        <v>2728</v>
      </c>
      <c r="CVQ1" t="s">
        <v>2729</v>
      </c>
      <c r="CVR1" t="s">
        <v>2730</v>
      </c>
      <c r="CVS1" t="s">
        <v>2731</v>
      </c>
      <c r="CVT1" t="s">
        <v>2732</v>
      </c>
      <c r="CVU1" t="s">
        <v>2733</v>
      </c>
      <c r="CVV1" t="s">
        <v>2734</v>
      </c>
      <c r="CVW1" t="s">
        <v>2735</v>
      </c>
      <c r="CVX1" t="s">
        <v>2736</v>
      </c>
      <c r="CVY1" t="s">
        <v>2737</v>
      </c>
      <c r="CVZ1" t="s">
        <v>2738</v>
      </c>
      <c r="CWA1" t="s">
        <v>2739</v>
      </c>
      <c r="CWB1" t="s">
        <v>2740</v>
      </c>
      <c r="CWC1" t="s">
        <v>2741</v>
      </c>
      <c r="CWD1" t="s">
        <v>2742</v>
      </c>
      <c r="CWE1" t="s">
        <v>2743</v>
      </c>
      <c r="CWF1" t="s">
        <v>2744</v>
      </c>
      <c r="CWG1" t="s">
        <v>2745</v>
      </c>
      <c r="CWH1" t="s">
        <v>2746</v>
      </c>
      <c r="CWI1" t="s">
        <v>2747</v>
      </c>
      <c r="CWJ1" t="s">
        <v>2748</v>
      </c>
      <c r="CWK1" t="s">
        <v>2749</v>
      </c>
      <c r="CWL1" t="s">
        <v>2750</v>
      </c>
      <c r="CWM1" t="s">
        <v>2751</v>
      </c>
      <c r="CWN1" t="s">
        <v>2752</v>
      </c>
      <c r="CWO1" t="s">
        <v>2753</v>
      </c>
      <c r="CWP1" t="s">
        <v>2754</v>
      </c>
      <c r="CWQ1" t="s">
        <v>2755</v>
      </c>
      <c r="CWR1" t="s">
        <v>2756</v>
      </c>
      <c r="CWS1" t="s">
        <v>2757</v>
      </c>
      <c r="CWT1" t="s">
        <v>2758</v>
      </c>
      <c r="CWU1" t="s">
        <v>2759</v>
      </c>
      <c r="CWV1" t="s">
        <v>2760</v>
      </c>
      <c r="CWW1" t="s">
        <v>2761</v>
      </c>
      <c r="CWX1" t="s">
        <v>2762</v>
      </c>
      <c r="CWY1" t="s">
        <v>2763</v>
      </c>
      <c r="CWZ1" t="s">
        <v>2764</v>
      </c>
      <c r="CXA1" t="s">
        <v>2765</v>
      </c>
      <c r="CXB1" t="s">
        <v>2766</v>
      </c>
      <c r="CXC1" t="s">
        <v>2767</v>
      </c>
      <c r="CXD1" t="s">
        <v>2768</v>
      </c>
      <c r="CXE1" t="s">
        <v>2769</v>
      </c>
      <c r="CXF1" t="s">
        <v>2770</v>
      </c>
      <c r="CXG1" t="s">
        <v>2771</v>
      </c>
      <c r="CXH1" t="s">
        <v>2772</v>
      </c>
      <c r="CXI1" t="s">
        <v>2773</v>
      </c>
      <c r="CXJ1" t="s">
        <v>2774</v>
      </c>
      <c r="CXK1" t="s">
        <v>2775</v>
      </c>
      <c r="CXL1" t="s">
        <v>2776</v>
      </c>
      <c r="CXM1" t="s">
        <v>2777</v>
      </c>
      <c r="CXN1" t="s">
        <v>2778</v>
      </c>
      <c r="CXO1" t="s">
        <v>2779</v>
      </c>
      <c r="CXP1" t="s">
        <v>2780</v>
      </c>
      <c r="CXQ1" t="s">
        <v>2781</v>
      </c>
      <c r="CXR1" t="s">
        <v>2782</v>
      </c>
      <c r="CXS1" t="s">
        <v>2783</v>
      </c>
      <c r="CXT1" t="s">
        <v>2784</v>
      </c>
      <c r="CXU1" t="s">
        <v>2785</v>
      </c>
      <c r="CXV1" t="s">
        <v>2786</v>
      </c>
      <c r="CXW1" t="s">
        <v>2787</v>
      </c>
      <c r="CXX1" t="s">
        <v>2788</v>
      </c>
      <c r="CXY1" t="s">
        <v>2789</v>
      </c>
      <c r="CXZ1" t="s">
        <v>2790</v>
      </c>
      <c r="CYA1" t="s">
        <v>2791</v>
      </c>
      <c r="CYB1" t="s">
        <v>2792</v>
      </c>
      <c r="CYC1" t="s">
        <v>2793</v>
      </c>
      <c r="CYD1" t="s">
        <v>2794</v>
      </c>
      <c r="CYE1" t="s">
        <v>2795</v>
      </c>
      <c r="CYF1" t="s">
        <v>2796</v>
      </c>
      <c r="CYG1" t="s">
        <v>2797</v>
      </c>
      <c r="CYH1" t="s">
        <v>2798</v>
      </c>
      <c r="CYI1" t="s">
        <v>2799</v>
      </c>
      <c r="CYJ1" t="s">
        <v>2800</v>
      </c>
      <c r="CYK1" t="s">
        <v>2801</v>
      </c>
      <c r="CYL1" t="s">
        <v>2802</v>
      </c>
      <c r="CYM1" t="s">
        <v>2803</v>
      </c>
      <c r="CYN1" t="s">
        <v>2804</v>
      </c>
      <c r="CYO1" t="s">
        <v>2805</v>
      </c>
      <c r="CYP1" t="s">
        <v>2806</v>
      </c>
      <c r="CYQ1" t="s">
        <v>2807</v>
      </c>
      <c r="CYR1" t="s">
        <v>2808</v>
      </c>
      <c r="CYS1" t="s">
        <v>2809</v>
      </c>
      <c r="CYT1" t="s">
        <v>2810</v>
      </c>
      <c r="CYU1" t="s">
        <v>2811</v>
      </c>
      <c r="CYV1" t="s">
        <v>2812</v>
      </c>
      <c r="CYW1" t="s">
        <v>2813</v>
      </c>
      <c r="CYX1" t="s">
        <v>2814</v>
      </c>
      <c r="CYY1" t="s">
        <v>2815</v>
      </c>
      <c r="CYZ1" t="s">
        <v>2816</v>
      </c>
      <c r="CZA1" t="s">
        <v>2817</v>
      </c>
      <c r="CZB1" t="s">
        <v>2818</v>
      </c>
      <c r="CZC1" t="s">
        <v>2819</v>
      </c>
      <c r="CZD1" t="s">
        <v>2820</v>
      </c>
      <c r="CZE1" t="s">
        <v>2821</v>
      </c>
      <c r="CZF1" t="s">
        <v>2822</v>
      </c>
      <c r="CZG1" t="s">
        <v>2823</v>
      </c>
      <c r="CZH1" t="s">
        <v>2824</v>
      </c>
      <c r="CZI1" t="s">
        <v>2825</v>
      </c>
      <c r="CZJ1" t="s">
        <v>2826</v>
      </c>
      <c r="CZK1" t="s">
        <v>2827</v>
      </c>
      <c r="CZL1" t="s">
        <v>2828</v>
      </c>
      <c r="CZM1" t="s">
        <v>2829</v>
      </c>
      <c r="CZN1" t="s">
        <v>2830</v>
      </c>
      <c r="CZO1" t="s">
        <v>2831</v>
      </c>
      <c r="CZP1" t="s">
        <v>2832</v>
      </c>
      <c r="CZQ1" t="s">
        <v>2833</v>
      </c>
      <c r="CZR1" t="s">
        <v>2834</v>
      </c>
      <c r="CZS1" t="s">
        <v>2835</v>
      </c>
      <c r="CZT1" t="s">
        <v>2836</v>
      </c>
      <c r="CZU1" t="s">
        <v>2837</v>
      </c>
      <c r="CZV1" t="s">
        <v>2838</v>
      </c>
      <c r="CZW1" t="s">
        <v>2839</v>
      </c>
      <c r="CZX1" t="s">
        <v>2840</v>
      </c>
      <c r="CZY1" t="s">
        <v>2841</v>
      </c>
      <c r="CZZ1" t="s">
        <v>2842</v>
      </c>
      <c r="DAA1" t="s">
        <v>2843</v>
      </c>
      <c r="DAB1" t="s">
        <v>2844</v>
      </c>
      <c r="DAC1" t="s">
        <v>2845</v>
      </c>
      <c r="DAD1" t="s">
        <v>2846</v>
      </c>
      <c r="DAE1" t="s">
        <v>2847</v>
      </c>
      <c r="DAF1" t="s">
        <v>2848</v>
      </c>
      <c r="DAG1" t="s">
        <v>2849</v>
      </c>
      <c r="DAH1" t="s">
        <v>2850</v>
      </c>
      <c r="DAI1" t="s">
        <v>2851</v>
      </c>
      <c r="DAJ1" t="s">
        <v>2852</v>
      </c>
      <c r="DAK1" t="s">
        <v>2853</v>
      </c>
      <c r="DAL1" t="s">
        <v>2854</v>
      </c>
      <c r="DAM1" t="s">
        <v>2855</v>
      </c>
      <c r="DAN1" t="s">
        <v>2856</v>
      </c>
      <c r="DAO1" t="s">
        <v>2857</v>
      </c>
      <c r="DAP1" t="s">
        <v>2858</v>
      </c>
      <c r="DAQ1" t="s">
        <v>2859</v>
      </c>
      <c r="DAR1" t="s">
        <v>2860</v>
      </c>
      <c r="DAS1" t="s">
        <v>2861</v>
      </c>
      <c r="DAT1" t="s">
        <v>2862</v>
      </c>
      <c r="DAU1" t="s">
        <v>2863</v>
      </c>
      <c r="DAV1" t="s">
        <v>2864</v>
      </c>
      <c r="DAW1" t="s">
        <v>2865</v>
      </c>
      <c r="DAX1" t="s">
        <v>2866</v>
      </c>
      <c r="DAY1" t="s">
        <v>2867</v>
      </c>
      <c r="DAZ1" t="s">
        <v>2868</v>
      </c>
      <c r="DBA1" t="s">
        <v>2869</v>
      </c>
      <c r="DBB1" t="s">
        <v>2870</v>
      </c>
      <c r="DBC1" t="s">
        <v>2871</v>
      </c>
      <c r="DBD1" t="s">
        <v>2872</v>
      </c>
      <c r="DBE1" t="s">
        <v>2873</v>
      </c>
      <c r="DBF1" t="s">
        <v>2874</v>
      </c>
      <c r="DBG1" t="s">
        <v>2875</v>
      </c>
      <c r="DBH1" t="s">
        <v>2876</v>
      </c>
      <c r="DBI1" t="s">
        <v>2877</v>
      </c>
      <c r="DBJ1" t="s">
        <v>2878</v>
      </c>
      <c r="DBK1" t="s">
        <v>2879</v>
      </c>
      <c r="DBL1" t="s">
        <v>2880</v>
      </c>
      <c r="DBM1" t="s">
        <v>2881</v>
      </c>
      <c r="DBN1" t="s">
        <v>2882</v>
      </c>
      <c r="DBO1" t="s">
        <v>2883</v>
      </c>
      <c r="DBP1" t="s">
        <v>2884</v>
      </c>
      <c r="DBQ1" t="s">
        <v>2885</v>
      </c>
      <c r="DBR1" t="s">
        <v>2886</v>
      </c>
      <c r="DBS1" t="s">
        <v>2887</v>
      </c>
      <c r="DBT1" t="s">
        <v>2888</v>
      </c>
      <c r="DBU1" t="s">
        <v>2889</v>
      </c>
      <c r="DBV1" t="s">
        <v>2890</v>
      </c>
      <c r="DBW1" t="s">
        <v>2891</v>
      </c>
      <c r="DBX1" t="s">
        <v>2892</v>
      </c>
      <c r="DBY1" t="s">
        <v>2893</v>
      </c>
      <c r="DBZ1" t="s">
        <v>2894</v>
      </c>
      <c r="DCA1" t="s">
        <v>2895</v>
      </c>
      <c r="DCB1" t="s">
        <v>2896</v>
      </c>
      <c r="DCC1" t="s">
        <v>2897</v>
      </c>
      <c r="DCD1" t="s">
        <v>2898</v>
      </c>
      <c r="DCE1" t="s">
        <v>2899</v>
      </c>
      <c r="DCF1" t="s">
        <v>2900</v>
      </c>
      <c r="DCG1" t="s">
        <v>2901</v>
      </c>
      <c r="DCH1" t="s">
        <v>2902</v>
      </c>
      <c r="DCI1" t="s">
        <v>2903</v>
      </c>
      <c r="DCJ1" t="s">
        <v>2904</v>
      </c>
      <c r="DCK1" t="s">
        <v>2905</v>
      </c>
      <c r="DCL1" t="s">
        <v>2906</v>
      </c>
      <c r="DCM1" t="s">
        <v>2907</v>
      </c>
      <c r="DCN1" t="s">
        <v>2908</v>
      </c>
      <c r="DCO1" t="s">
        <v>2909</v>
      </c>
      <c r="DCP1" t="s">
        <v>2910</v>
      </c>
      <c r="DCQ1" t="s">
        <v>2911</v>
      </c>
      <c r="DCR1" t="s">
        <v>2912</v>
      </c>
      <c r="DCS1" t="s">
        <v>2913</v>
      </c>
      <c r="DCT1" t="s">
        <v>2914</v>
      </c>
      <c r="DCU1" t="s">
        <v>2915</v>
      </c>
      <c r="DCV1" t="s">
        <v>2916</v>
      </c>
      <c r="DCW1" t="s">
        <v>2917</v>
      </c>
      <c r="DCX1" t="s">
        <v>2918</v>
      </c>
      <c r="DCY1" t="s">
        <v>2919</v>
      </c>
      <c r="DCZ1" t="s">
        <v>2920</v>
      </c>
      <c r="DDA1" t="s">
        <v>2921</v>
      </c>
      <c r="DDB1" t="s">
        <v>2922</v>
      </c>
      <c r="DDC1" t="s">
        <v>2923</v>
      </c>
      <c r="DDD1" t="s">
        <v>2924</v>
      </c>
      <c r="DDE1" t="s">
        <v>2925</v>
      </c>
      <c r="DDF1" t="s">
        <v>2926</v>
      </c>
      <c r="DDG1" t="s">
        <v>2927</v>
      </c>
      <c r="DDH1" t="s">
        <v>2928</v>
      </c>
      <c r="DDI1" t="s">
        <v>2929</v>
      </c>
      <c r="DDJ1" t="s">
        <v>2930</v>
      </c>
      <c r="DDK1" t="s">
        <v>2931</v>
      </c>
      <c r="DDL1" t="s">
        <v>2932</v>
      </c>
      <c r="DDM1" t="s">
        <v>2933</v>
      </c>
      <c r="DDN1" t="s">
        <v>2934</v>
      </c>
      <c r="DDO1" t="s">
        <v>2935</v>
      </c>
      <c r="DDP1" t="s">
        <v>2936</v>
      </c>
      <c r="DDQ1" t="s">
        <v>2937</v>
      </c>
      <c r="DDR1" t="s">
        <v>2938</v>
      </c>
      <c r="DDS1" t="s">
        <v>2939</v>
      </c>
      <c r="DDT1" t="s">
        <v>2940</v>
      </c>
      <c r="DDU1" t="s">
        <v>2941</v>
      </c>
      <c r="DDV1" t="s">
        <v>2942</v>
      </c>
      <c r="DDW1" t="s">
        <v>2943</v>
      </c>
      <c r="DDX1" t="s">
        <v>2944</v>
      </c>
      <c r="DDY1" t="s">
        <v>2945</v>
      </c>
      <c r="DDZ1" t="s">
        <v>2946</v>
      </c>
      <c r="DEA1" t="s">
        <v>2947</v>
      </c>
      <c r="DEB1" t="s">
        <v>2948</v>
      </c>
      <c r="DEC1" t="s">
        <v>2949</v>
      </c>
      <c r="DED1" t="s">
        <v>2950</v>
      </c>
      <c r="DEE1" t="s">
        <v>2951</v>
      </c>
      <c r="DEF1" t="s">
        <v>2952</v>
      </c>
      <c r="DEG1" t="s">
        <v>2953</v>
      </c>
      <c r="DEH1" t="s">
        <v>2954</v>
      </c>
      <c r="DEI1" t="s">
        <v>2955</v>
      </c>
      <c r="DEJ1" t="s">
        <v>2956</v>
      </c>
      <c r="DEK1" t="s">
        <v>2957</v>
      </c>
      <c r="DEL1" t="s">
        <v>2958</v>
      </c>
      <c r="DEM1" t="s">
        <v>2959</v>
      </c>
      <c r="DEN1" t="s">
        <v>2960</v>
      </c>
      <c r="DEO1" t="s">
        <v>2961</v>
      </c>
      <c r="DEP1" t="s">
        <v>2962</v>
      </c>
      <c r="DEQ1" t="s">
        <v>2963</v>
      </c>
      <c r="DER1" t="s">
        <v>2964</v>
      </c>
      <c r="DES1" t="s">
        <v>2965</v>
      </c>
      <c r="DET1" t="s">
        <v>2966</v>
      </c>
      <c r="DEU1" t="s">
        <v>2967</v>
      </c>
      <c r="DEV1" t="s">
        <v>2968</v>
      </c>
      <c r="DEW1" t="s">
        <v>2969</v>
      </c>
      <c r="DEX1" t="s">
        <v>2970</v>
      </c>
      <c r="DEY1" t="s">
        <v>2971</v>
      </c>
      <c r="DEZ1" t="s">
        <v>2972</v>
      </c>
      <c r="DFA1" t="s">
        <v>2973</v>
      </c>
      <c r="DFB1" t="s">
        <v>2974</v>
      </c>
      <c r="DFC1" t="s">
        <v>2975</v>
      </c>
      <c r="DFD1" t="s">
        <v>2976</v>
      </c>
      <c r="DFE1" t="s">
        <v>2977</v>
      </c>
      <c r="DFF1" t="s">
        <v>2978</v>
      </c>
      <c r="DFG1" t="s">
        <v>2979</v>
      </c>
      <c r="DFH1" t="s">
        <v>2980</v>
      </c>
      <c r="DFI1" t="s">
        <v>2981</v>
      </c>
      <c r="DFJ1" t="s">
        <v>2982</v>
      </c>
      <c r="DFK1" t="s">
        <v>2983</v>
      </c>
      <c r="DFL1" t="s">
        <v>2984</v>
      </c>
      <c r="DFM1" t="s">
        <v>2985</v>
      </c>
      <c r="DFN1" t="s">
        <v>2986</v>
      </c>
      <c r="DFO1" t="s">
        <v>2987</v>
      </c>
      <c r="DFP1" t="s">
        <v>2988</v>
      </c>
      <c r="DFQ1" t="s">
        <v>2989</v>
      </c>
      <c r="DFR1" t="s">
        <v>2990</v>
      </c>
      <c r="DFS1" t="s">
        <v>2991</v>
      </c>
      <c r="DFT1" t="s">
        <v>2992</v>
      </c>
      <c r="DFU1" t="s">
        <v>2993</v>
      </c>
      <c r="DFV1" t="s">
        <v>2994</v>
      </c>
      <c r="DFW1" t="s">
        <v>2995</v>
      </c>
      <c r="DFX1" t="s">
        <v>2996</v>
      </c>
      <c r="DFY1" t="s">
        <v>2997</v>
      </c>
      <c r="DFZ1" t="s">
        <v>2998</v>
      </c>
      <c r="DGA1" t="s">
        <v>2999</v>
      </c>
      <c r="DGB1" t="s">
        <v>3000</v>
      </c>
      <c r="DGC1" t="s">
        <v>3001</v>
      </c>
      <c r="DGD1" t="s">
        <v>3002</v>
      </c>
      <c r="DGE1" t="s">
        <v>3003</v>
      </c>
      <c r="DGF1" t="s">
        <v>3004</v>
      </c>
      <c r="DGG1" t="s">
        <v>3005</v>
      </c>
      <c r="DGH1" t="s">
        <v>3006</v>
      </c>
      <c r="DGI1" t="s">
        <v>3007</v>
      </c>
      <c r="DGJ1" t="s">
        <v>3008</v>
      </c>
      <c r="DGK1" t="s">
        <v>3009</v>
      </c>
      <c r="DGL1" t="s">
        <v>3010</v>
      </c>
      <c r="DGM1" t="s">
        <v>3011</v>
      </c>
      <c r="DGN1" t="s">
        <v>3012</v>
      </c>
      <c r="DGO1" t="s">
        <v>3013</v>
      </c>
      <c r="DGP1" t="s">
        <v>3014</v>
      </c>
      <c r="DGQ1" t="s">
        <v>3015</v>
      </c>
      <c r="DGR1" t="s">
        <v>3016</v>
      </c>
      <c r="DGS1" t="s">
        <v>3017</v>
      </c>
      <c r="DGT1" t="s">
        <v>3018</v>
      </c>
      <c r="DGU1" t="s">
        <v>3019</v>
      </c>
      <c r="DGV1" t="s">
        <v>3020</v>
      </c>
      <c r="DGW1" t="s">
        <v>3021</v>
      </c>
      <c r="DGX1" t="s">
        <v>3022</v>
      </c>
      <c r="DGY1" t="s">
        <v>3023</v>
      </c>
      <c r="DGZ1" t="s">
        <v>3024</v>
      </c>
      <c r="DHA1" t="s">
        <v>3025</v>
      </c>
      <c r="DHB1" t="s">
        <v>3026</v>
      </c>
      <c r="DHC1" t="s">
        <v>3027</v>
      </c>
      <c r="DHD1" t="s">
        <v>3028</v>
      </c>
      <c r="DHE1" t="s">
        <v>3029</v>
      </c>
      <c r="DHF1" t="s">
        <v>3030</v>
      </c>
      <c r="DHG1" t="s">
        <v>3031</v>
      </c>
      <c r="DHH1" t="s">
        <v>3032</v>
      </c>
      <c r="DHI1" t="s">
        <v>3033</v>
      </c>
      <c r="DHJ1" t="s">
        <v>3034</v>
      </c>
      <c r="DHK1" t="s">
        <v>3035</v>
      </c>
      <c r="DHL1" t="s">
        <v>3036</v>
      </c>
      <c r="DHM1" t="s">
        <v>3037</v>
      </c>
      <c r="DHN1" t="s">
        <v>3038</v>
      </c>
      <c r="DHO1" t="s">
        <v>3039</v>
      </c>
      <c r="DHP1" t="s">
        <v>3040</v>
      </c>
      <c r="DHQ1" t="s">
        <v>3041</v>
      </c>
      <c r="DHR1" t="s">
        <v>3042</v>
      </c>
      <c r="DHS1" t="s">
        <v>3043</v>
      </c>
      <c r="DHT1" t="s">
        <v>3044</v>
      </c>
      <c r="DHU1" t="s">
        <v>3045</v>
      </c>
      <c r="DHV1" t="s">
        <v>3046</v>
      </c>
      <c r="DHW1" t="s">
        <v>3047</v>
      </c>
      <c r="DHX1" t="s">
        <v>3048</v>
      </c>
      <c r="DHY1" t="s">
        <v>3049</v>
      </c>
      <c r="DHZ1" t="s">
        <v>3050</v>
      </c>
      <c r="DIA1" t="s">
        <v>3051</v>
      </c>
      <c r="DIB1" t="s">
        <v>3052</v>
      </c>
      <c r="DIC1" t="s">
        <v>3053</v>
      </c>
      <c r="DID1" t="s">
        <v>3054</v>
      </c>
      <c r="DIE1" t="s">
        <v>3055</v>
      </c>
      <c r="DIF1" t="s">
        <v>3056</v>
      </c>
      <c r="DIG1" t="s">
        <v>3057</v>
      </c>
      <c r="DIH1" t="s">
        <v>3058</v>
      </c>
      <c r="DII1" t="s">
        <v>3059</v>
      </c>
      <c r="DIJ1" t="s">
        <v>3060</v>
      </c>
      <c r="DIK1" t="s">
        <v>3061</v>
      </c>
      <c r="DIL1" t="s">
        <v>3062</v>
      </c>
      <c r="DIM1" t="s">
        <v>3063</v>
      </c>
      <c r="DIN1" t="s">
        <v>3064</v>
      </c>
      <c r="DIO1" t="s">
        <v>3065</v>
      </c>
      <c r="DIP1" t="s">
        <v>3066</v>
      </c>
      <c r="DIQ1" t="s">
        <v>3067</v>
      </c>
      <c r="DIR1" t="s">
        <v>3068</v>
      </c>
      <c r="DIS1" t="s">
        <v>3069</v>
      </c>
      <c r="DIT1" t="s">
        <v>3070</v>
      </c>
      <c r="DIU1" t="s">
        <v>3071</v>
      </c>
      <c r="DIV1" t="s">
        <v>3072</v>
      </c>
      <c r="DIW1" t="s">
        <v>3073</v>
      </c>
      <c r="DIX1" t="s">
        <v>3074</v>
      </c>
      <c r="DIY1" t="s">
        <v>3075</v>
      </c>
      <c r="DIZ1" t="s">
        <v>3076</v>
      </c>
      <c r="DJA1" t="s">
        <v>3077</v>
      </c>
      <c r="DJB1" t="s">
        <v>3078</v>
      </c>
      <c r="DJC1" t="s">
        <v>3079</v>
      </c>
      <c r="DJD1" t="s">
        <v>3080</v>
      </c>
      <c r="DJE1" t="s">
        <v>3081</v>
      </c>
      <c r="DJF1" t="s">
        <v>3082</v>
      </c>
      <c r="DJG1" t="s">
        <v>3083</v>
      </c>
      <c r="DJH1" t="s">
        <v>3084</v>
      </c>
      <c r="DJI1" t="s">
        <v>3085</v>
      </c>
      <c r="DJJ1" t="s">
        <v>3086</v>
      </c>
      <c r="DJK1" t="s">
        <v>3087</v>
      </c>
      <c r="DJL1" t="s">
        <v>3088</v>
      </c>
      <c r="DJM1" t="s">
        <v>3089</v>
      </c>
      <c r="DJN1" t="s">
        <v>3090</v>
      </c>
      <c r="DJO1" t="s">
        <v>3091</v>
      </c>
      <c r="DJP1" t="s">
        <v>3092</v>
      </c>
      <c r="DJQ1" t="s">
        <v>3093</v>
      </c>
      <c r="DJR1" t="s">
        <v>3094</v>
      </c>
      <c r="DJS1" t="s">
        <v>3095</v>
      </c>
      <c r="DJT1" t="s">
        <v>3096</v>
      </c>
      <c r="DJU1" t="s">
        <v>3097</v>
      </c>
      <c r="DJV1" t="s">
        <v>3098</v>
      </c>
      <c r="DJW1" t="s">
        <v>3099</v>
      </c>
      <c r="DJX1" t="s">
        <v>3100</v>
      </c>
      <c r="DJY1" t="s">
        <v>3101</v>
      </c>
      <c r="DJZ1" t="s">
        <v>3102</v>
      </c>
      <c r="DKA1" t="s">
        <v>3103</v>
      </c>
      <c r="DKB1" t="s">
        <v>3104</v>
      </c>
      <c r="DKC1" t="s">
        <v>3105</v>
      </c>
      <c r="DKD1" t="s">
        <v>3106</v>
      </c>
      <c r="DKE1" t="s">
        <v>3107</v>
      </c>
      <c r="DKF1" t="s">
        <v>3108</v>
      </c>
      <c r="DKG1" t="s">
        <v>3109</v>
      </c>
      <c r="DKH1" t="s">
        <v>3110</v>
      </c>
      <c r="DKI1" t="s">
        <v>3111</v>
      </c>
      <c r="DKJ1" t="s">
        <v>3112</v>
      </c>
      <c r="DKK1" t="s">
        <v>3113</v>
      </c>
      <c r="DKL1" t="s">
        <v>3114</v>
      </c>
      <c r="DKM1" t="s">
        <v>3115</v>
      </c>
      <c r="DKN1" t="s">
        <v>3116</v>
      </c>
      <c r="DKO1" t="s">
        <v>3117</v>
      </c>
      <c r="DKP1" t="s">
        <v>3118</v>
      </c>
      <c r="DKQ1" t="s">
        <v>3119</v>
      </c>
      <c r="DKR1" t="s">
        <v>3120</v>
      </c>
      <c r="DKS1" t="s">
        <v>3121</v>
      </c>
      <c r="DKT1" t="s">
        <v>3122</v>
      </c>
      <c r="DKU1" t="s">
        <v>3123</v>
      </c>
      <c r="DKV1" t="s">
        <v>3124</v>
      </c>
      <c r="DKW1" t="s">
        <v>3125</v>
      </c>
      <c r="DKX1" t="s">
        <v>3126</v>
      </c>
      <c r="DKY1" t="s">
        <v>3127</v>
      </c>
      <c r="DKZ1" t="s">
        <v>3128</v>
      </c>
      <c r="DLA1" t="s">
        <v>3129</v>
      </c>
      <c r="DLB1" t="s">
        <v>3130</v>
      </c>
      <c r="DLC1" t="s">
        <v>3131</v>
      </c>
      <c r="DLD1" t="s">
        <v>3132</v>
      </c>
      <c r="DLE1" t="s">
        <v>3133</v>
      </c>
      <c r="DLF1" t="s">
        <v>3134</v>
      </c>
      <c r="DLG1" t="s">
        <v>3135</v>
      </c>
      <c r="DLH1" t="s">
        <v>3136</v>
      </c>
      <c r="DLI1" t="s">
        <v>3137</v>
      </c>
      <c r="DLJ1" t="s">
        <v>3138</v>
      </c>
      <c r="DLK1" t="s">
        <v>3139</v>
      </c>
      <c r="DLL1" t="s">
        <v>3140</v>
      </c>
      <c r="DLM1" t="s">
        <v>3141</v>
      </c>
      <c r="DLN1" t="s">
        <v>3142</v>
      </c>
      <c r="DLO1" t="s">
        <v>3143</v>
      </c>
      <c r="DLP1" t="s">
        <v>3144</v>
      </c>
      <c r="DLQ1" t="s">
        <v>3145</v>
      </c>
      <c r="DLR1" t="s">
        <v>3146</v>
      </c>
      <c r="DLS1" t="s">
        <v>3147</v>
      </c>
      <c r="DLT1" t="s">
        <v>3148</v>
      </c>
      <c r="DLU1" t="s">
        <v>3149</v>
      </c>
      <c r="DLV1" t="s">
        <v>3150</v>
      </c>
      <c r="DLW1" t="s">
        <v>3151</v>
      </c>
      <c r="DLX1" t="s">
        <v>3152</v>
      </c>
      <c r="DLY1" t="s">
        <v>3153</v>
      </c>
      <c r="DLZ1" t="s">
        <v>3154</v>
      </c>
      <c r="DMA1" t="s">
        <v>3155</v>
      </c>
      <c r="DMB1" t="s">
        <v>3156</v>
      </c>
      <c r="DMC1" t="s">
        <v>3157</v>
      </c>
      <c r="DMD1" t="s">
        <v>3158</v>
      </c>
      <c r="DME1" t="s">
        <v>3159</v>
      </c>
      <c r="DMF1" t="s">
        <v>3160</v>
      </c>
      <c r="DMG1" t="s">
        <v>3161</v>
      </c>
      <c r="DMH1" t="s">
        <v>3162</v>
      </c>
      <c r="DMI1" t="s">
        <v>3163</v>
      </c>
      <c r="DMJ1" t="s">
        <v>3164</v>
      </c>
      <c r="DMK1" t="s">
        <v>3165</v>
      </c>
      <c r="DML1" t="s">
        <v>3166</v>
      </c>
      <c r="DMM1" t="s">
        <v>3167</v>
      </c>
      <c r="DMN1" t="s">
        <v>3168</v>
      </c>
      <c r="DMO1" t="s">
        <v>3169</v>
      </c>
      <c r="DMP1" t="s">
        <v>3170</v>
      </c>
      <c r="DMQ1" t="s">
        <v>3171</v>
      </c>
      <c r="DMR1" t="s">
        <v>3172</v>
      </c>
      <c r="DMS1" t="s">
        <v>3173</v>
      </c>
      <c r="DMT1" t="s">
        <v>3174</v>
      </c>
      <c r="DMU1" t="s">
        <v>3175</v>
      </c>
      <c r="DMV1" t="s">
        <v>3176</v>
      </c>
      <c r="DMW1" t="s">
        <v>3177</v>
      </c>
      <c r="DMX1" t="s">
        <v>3178</v>
      </c>
      <c r="DMY1" t="s">
        <v>3179</v>
      </c>
      <c r="DMZ1" t="s">
        <v>3180</v>
      </c>
      <c r="DNA1" t="s">
        <v>3181</v>
      </c>
      <c r="DNB1" t="s">
        <v>3182</v>
      </c>
      <c r="DNC1" t="s">
        <v>3183</v>
      </c>
      <c r="DND1" t="s">
        <v>3184</v>
      </c>
      <c r="DNE1" t="s">
        <v>3185</v>
      </c>
      <c r="DNF1" t="s">
        <v>3186</v>
      </c>
      <c r="DNG1" t="s">
        <v>3187</v>
      </c>
      <c r="DNH1" t="s">
        <v>3188</v>
      </c>
      <c r="DNI1" t="s">
        <v>3189</v>
      </c>
      <c r="DNJ1" t="s">
        <v>3190</v>
      </c>
      <c r="DNK1" t="s">
        <v>3191</v>
      </c>
      <c r="DNL1" t="s">
        <v>3192</v>
      </c>
      <c r="DNM1" t="s">
        <v>3193</v>
      </c>
      <c r="DNN1" t="s">
        <v>3194</v>
      </c>
      <c r="DNO1" t="s">
        <v>3195</v>
      </c>
      <c r="DNP1" t="s">
        <v>3196</v>
      </c>
      <c r="DNQ1" t="s">
        <v>3197</v>
      </c>
      <c r="DNR1" t="s">
        <v>3198</v>
      </c>
      <c r="DNS1" t="s">
        <v>3199</v>
      </c>
      <c r="DNT1" t="s">
        <v>3200</v>
      </c>
      <c r="DNU1" t="s">
        <v>3201</v>
      </c>
      <c r="DNV1" t="s">
        <v>3202</v>
      </c>
      <c r="DNW1" t="s">
        <v>3203</v>
      </c>
      <c r="DNX1" t="s">
        <v>3204</v>
      </c>
      <c r="DNY1" t="s">
        <v>3205</v>
      </c>
      <c r="DNZ1" t="s">
        <v>3206</v>
      </c>
      <c r="DOA1" t="s">
        <v>3207</v>
      </c>
      <c r="DOB1" t="s">
        <v>3208</v>
      </c>
      <c r="DOC1" t="s">
        <v>3209</v>
      </c>
      <c r="DOD1" t="s">
        <v>3210</v>
      </c>
      <c r="DOE1" t="s">
        <v>3211</v>
      </c>
      <c r="DOF1" t="s">
        <v>3212</v>
      </c>
      <c r="DOG1" t="s">
        <v>3213</v>
      </c>
      <c r="DOH1" t="s">
        <v>3214</v>
      </c>
      <c r="DOI1" t="s">
        <v>3215</v>
      </c>
      <c r="DOJ1" t="s">
        <v>3216</v>
      </c>
      <c r="DOK1" t="s">
        <v>3217</v>
      </c>
      <c r="DOL1" t="s">
        <v>3218</v>
      </c>
      <c r="DOM1" t="s">
        <v>3219</v>
      </c>
      <c r="DON1" t="s">
        <v>3220</v>
      </c>
      <c r="DOO1" t="s">
        <v>3221</v>
      </c>
      <c r="DOP1" t="s">
        <v>3222</v>
      </c>
      <c r="DOQ1" t="s">
        <v>3223</v>
      </c>
      <c r="DOR1" t="s">
        <v>3224</v>
      </c>
      <c r="DOS1" t="s">
        <v>3225</v>
      </c>
      <c r="DOT1" t="s">
        <v>3226</v>
      </c>
      <c r="DOU1" t="s">
        <v>3227</v>
      </c>
      <c r="DOV1" t="s">
        <v>3228</v>
      </c>
      <c r="DOW1" t="s">
        <v>3229</v>
      </c>
      <c r="DOX1" t="s">
        <v>3230</v>
      </c>
      <c r="DOY1" t="s">
        <v>3231</v>
      </c>
      <c r="DOZ1" t="s">
        <v>3232</v>
      </c>
      <c r="DPA1" t="s">
        <v>3233</v>
      </c>
      <c r="DPB1" t="s">
        <v>3234</v>
      </c>
      <c r="DPC1" t="s">
        <v>3235</v>
      </c>
      <c r="DPD1" t="s">
        <v>3236</v>
      </c>
      <c r="DPE1" t="s">
        <v>3237</v>
      </c>
      <c r="DPF1" t="s">
        <v>3238</v>
      </c>
      <c r="DPG1" t="s">
        <v>3239</v>
      </c>
      <c r="DPH1" t="s">
        <v>3240</v>
      </c>
      <c r="DPI1" t="s">
        <v>3241</v>
      </c>
      <c r="DPJ1" t="s">
        <v>3242</v>
      </c>
      <c r="DPK1" t="s">
        <v>3243</v>
      </c>
      <c r="DPL1" t="s">
        <v>3244</v>
      </c>
      <c r="DPM1" t="s">
        <v>3245</v>
      </c>
      <c r="DPN1" t="s">
        <v>3246</v>
      </c>
      <c r="DPO1" t="s">
        <v>3247</v>
      </c>
      <c r="DPP1" t="s">
        <v>3248</v>
      </c>
      <c r="DPQ1" t="s">
        <v>3249</v>
      </c>
      <c r="DPR1" t="s">
        <v>3250</v>
      </c>
      <c r="DPS1" t="s">
        <v>3251</v>
      </c>
      <c r="DPT1" t="s">
        <v>3252</v>
      </c>
      <c r="DPU1" t="s">
        <v>3253</v>
      </c>
      <c r="DPV1" t="s">
        <v>3254</v>
      </c>
      <c r="DPW1" t="s">
        <v>3255</v>
      </c>
      <c r="DPX1" t="s">
        <v>3256</v>
      </c>
      <c r="DPY1" t="s">
        <v>3257</v>
      </c>
      <c r="DPZ1" t="s">
        <v>3258</v>
      </c>
      <c r="DQA1" t="s">
        <v>3259</v>
      </c>
      <c r="DQB1" t="s">
        <v>3260</v>
      </c>
      <c r="DQC1" t="s">
        <v>3261</v>
      </c>
      <c r="DQD1" t="s">
        <v>3262</v>
      </c>
      <c r="DQE1" t="s">
        <v>3263</v>
      </c>
      <c r="DQF1" t="s">
        <v>3264</v>
      </c>
      <c r="DQG1" t="s">
        <v>3265</v>
      </c>
      <c r="DQH1" t="s">
        <v>3266</v>
      </c>
      <c r="DQI1" t="s">
        <v>3267</v>
      </c>
      <c r="DQJ1" t="s">
        <v>3268</v>
      </c>
      <c r="DQK1" t="s">
        <v>3269</v>
      </c>
      <c r="DQL1" t="s">
        <v>3270</v>
      </c>
      <c r="DQM1" t="s">
        <v>3271</v>
      </c>
      <c r="DQN1" t="s">
        <v>3272</v>
      </c>
      <c r="DQO1" t="s">
        <v>3273</v>
      </c>
      <c r="DQP1" t="s">
        <v>3274</v>
      </c>
      <c r="DQQ1" t="s">
        <v>3275</v>
      </c>
      <c r="DQR1" t="s">
        <v>3276</v>
      </c>
      <c r="DQS1" t="s">
        <v>3277</v>
      </c>
      <c r="DQT1" t="s">
        <v>3278</v>
      </c>
      <c r="DQU1" t="s">
        <v>3279</v>
      </c>
      <c r="DQV1" t="s">
        <v>3280</v>
      </c>
      <c r="DQW1" t="s">
        <v>3281</v>
      </c>
      <c r="DQX1" t="s">
        <v>3282</v>
      </c>
      <c r="DQY1" t="s">
        <v>3283</v>
      </c>
      <c r="DQZ1" t="s">
        <v>3284</v>
      </c>
      <c r="DRA1" t="s">
        <v>3285</v>
      </c>
      <c r="DRB1" t="s">
        <v>3286</v>
      </c>
      <c r="DRC1" t="s">
        <v>3287</v>
      </c>
      <c r="DRD1" t="s">
        <v>3288</v>
      </c>
      <c r="DRE1" t="s">
        <v>3289</v>
      </c>
      <c r="DRF1" t="s">
        <v>3290</v>
      </c>
      <c r="DRG1" t="s">
        <v>3291</v>
      </c>
      <c r="DRH1" t="s">
        <v>3292</v>
      </c>
      <c r="DRI1" t="s">
        <v>3293</v>
      </c>
      <c r="DRJ1" t="s">
        <v>3294</v>
      </c>
      <c r="DRK1" t="s">
        <v>3295</v>
      </c>
      <c r="DRL1" t="s">
        <v>3296</v>
      </c>
      <c r="DRM1" t="s">
        <v>3297</v>
      </c>
      <c r="DRN1" t="s">
        <v>3298</v>
      </c>
      <c r="DRO1" t="s">
        <v>3299</v>
      </c>
      <c r="DRP1" t="s">
        <v>3300</v>
      </c>
      <c r="DRQ1" t="s">
        <v>3301</v>
      </c>
      <c r="DRR1" t="s">
        <v>3302</v>
      </c>
      <c r="DRS1" t="s">
        <v>3303</v>
      </c>
      <c r="DRT1" t="s">
        <v>3304</v>
      </c>
      <c r="DRU1" t="s">
        <v>3305</v>
      </c>
      <c r="DRV1" t="s">
        <v>3306</v>
      </c>
      <c r="DRW1" t="s">
        <v>3307</v>
      </c>
      <c r="DRX1" t="s">
        <v>3308</v>
      </c>
      <c r="DRY1" t="s">
        <v>3309</v>
      </c>
      <c r="DRZ1" t="s">
        <v>3310</v>
      </c>
      <c r="DSA1" t="s">
        <v>3311</v>
      </c>
      <c r="DSB1" t="s">
        <v>3312</v>
      </c>
      <c r="DSC1" t="s">
        <v>3313</v>
      </c>
      <c r="DSD1" t="s">
        <v>3314</v>
      </c>
      <c r="DSE1" t="s">
        <v>3315</v>
      </c>
      <c r="DSF1" t="s">
        <v>3316</v>
      </c>
      <c r="DSG1" t="s">
        <v>3317</v>
      </c>
      <c r="DSH1" t="s">
        <v>3318</v>
      </c>
      <c r="DSI1" t="s">
        <v>3319</v>
      </c>
      <c r="DSJ1" t="s">
        <v>3320</v>
      </c>
      <c r="DSK1" t="s">
        <v>3321</v>
      </c>
      <c r="DSL1" t="s">
        <v>3322</v>
      </c>
      <c r="DSM1" t="s">
        <v>3323</v>
      </c>
      <c r="DSN1" t="s">
        <v>3324</v>
      </c>
      <c r="DSO1" t="s">
        <v>3325</v>
      </c>
      <c r="DSP1" t="s">
        <v>3326</v>
      </c>
      <c r="DSQ1" t="s">
        <v>3327</v>
      </c>
      <c r="DSR1" t="s">
        <v>3328</v>
      </c>
      <c r="DSS1" t="s">
        <v>3329</v>
      </c>
      <c r="DST1" t="s">
        <v>3330</v>
      </c>
      <c r="DSU1" t="s">
        <v>3331</v>
      </c>
      <c r="DSV1" t="s">
        <v>3332</v>
      </c>
      <c r="DSW1" t="s">
        <v>3333</v>
      </c>
      <c r="DSX1" t="s">
        <v>3334</v>
      </c>
      <c r="DSY1" t="s">
        <v>3335</v>
      </c>
      <c r="DSZ1" t="s">
        <v>3336</v>
      </c>
      <c r="DTA1" t="s">
        <v>3337</v>
      </c>
      <c r="DTB1" t="s">
        <v>3338</v>
      </c>
      <c r="DTC1" t="s">
        <v>3339</v>
      </c>
      <c r="DTD1" t="s">
        <v>3340</v>
      </c>
      <c r="DTE1" t="s">
        <v>3341</v>
      </c>
      <c r="DTF1" t="s">
        <v>3342</v>
      </c>
      <c r="DTG1" t="s">
        <v>3343</v>
      </c>
      <c r="DTH1" t="s">
        <v>3344</v>
      </c>
      <c r="DTI1" t="s">
        <v>3345</v>
      </c>
      <c r="DTJ1" t="s">
        <v>3346</v>
      </c>
      <c r="DTK1" t="s">
        <v>3347</v>
      </c>
      <c r="DTL1" t="s">
        <v>3348</v>
      </c>
      <c r="DTM1" t="s">
        <v>3349</v>
      </c>
      <c r="DTN1" t="s">
        <v>3350</v>
      </c>
      <c r="DTO1" t="s">
        <v>3351</v>
      </c>
      <c r="DTP1" t="s">
        <v>3352</v>
      </c>
      <c r="DTQ1" t="s">
        <v>3353</v>
      </c>
      <c r="DTR1" t="s">
        <v>3354</v>
      </c>
      <c r="DTS1" t="s">
        <v>3355</v>
      </c>
      <c r="DTT1" t="s">
        <v>3356</v>
      </c>
      <c r="DTU1" t="s">
        <v>3357</v>
      </c>
      <c r="DTV1" t="s">
        <v>3358</v>
      </c>
      <c r="DTW1" t="s">
        <v>3359</v>
      </c>
      <c r="DTX1" t="s">
        <v>3360</v>
      </c>
      <c r="DTY1" t="s">
        <v>3361</v>
      </c>
      <c r="DTZ1" t="s">
        <v>3362</v>
      </c>
      <c r="DUA1" t="s">
        <v>3363</v>
      </c>
      <c r="DUB1" t="s">
        <v>3364</v>
      </c>
      <c r="DUC1" t="s">
        <v>3365</v>
      </c>
      <c r="DUD1" t="s">
        <v>3366</v>
      </c>
      <c r="DUE1" t="s">
        <v>3367</v>
      </c>
      <c r="DUF1" t="s">
        <v>3368</v>
      </c>
      <c r="DUG1" t="s">
        <v>3369</v>
      </c>
      <c r="DUH1" t="s">
        <v>3370</v>
      </c>
      <c r="DUI1" t="s">
        <v>3371</v>
      </c>
      <c r="DUJ1" t="s">
        <v>3372</v>
      </c>
      <c r="DUK1" t="s">
        <v>3373</v>
      </c>
      <c r="DUL1" t="s">
        <v>3374</v>
      </c>
      <c r="DUM1" t="s">
        <v>3375</v>
      </c>
      <c r="DUN1" t="s">
        <v>3376</v>
      </c>
      <c r="DUO1" t="s">
        <v>3377</v>
      </c>
      <c r="DUP1" t="s">
        <v>3378</v>
      </c>
      <c r="DUQ1" t="s">
        <v>3379</v>
      </c>
      <c r="DUR1" t="s">
        <v>3380</v>
      </c>
      <c r="DUS1" t="s">
        <v>3381</v>
      </c>
      <c r="DUT1" t="s">
        <v>3382</v>
      </c>
      <c r="DUU1" t="s">
        <v>3383</v>
      </c>
      <c r="DUV1" t="s">
        <v>3384</v>
      </c>
      <c r="DUW1" t="s">
        <v>3385</v>
      </c>
      <c r="DUX1" t="s">
        <v>3386</v>
      </c>
      <c r="DUY1" t="s">
        <v>3387</v>
      </c>
      <c r="DUZ1" t="s">
        <v>3388</v>
      </c>
      <c r="DVA1" t="s">
        <v>3389</v>
      </c>
      <c r="DVB1" t="s">
        <v>3390</v>
      </c>
      <c r="DVC1" t="s">
        <v>3391</v>
      </c>
      <c r="DVD1" t="s">
        <v>3392</v>
      </c>
      <c r="DVE1" t="s">
        <v>3393</v>
      </c>
      <c r="DVF1" t="s">
        <v>3394</v>
      </c>
      <c r="DVG1" t="s">
        <v>3395</v>
      </c>
      <c r="DVH1" t="s">
        <v>3396</v>
      </c>
      <c r="DVI1" t="s">
        <v>3397</v>
      </c>
      <c r="DVJ1" t="s">
        <v>3398</v>
      </c>
      <c r="DVK1" t="s">
        <v>3399</v>
      </c>
      <c r="DVL1" t="s">
        <v>3400</v>
      </c>
      <c r="DVM1" t="s">
        <v>3401</v>
      </c>
      <c r="DVN1" t="s">
        <v>3402</v>
      </c>
      <c r="DVO1" t="s">
        <v>3403</v>
      </c>
      <c r="DVP1" t="s">
        <v>3404</v>
      </c>
      <c r="DVQ1" t="s">
        <v>3405</v>
      </c>
      <c r="DVR1" t="s">
        <v>3406</v>
      </c>
      <c r="DVS1" t="s">
        <v>3407</v>
      </c>
      <c r="DVT1" t="s">
        <v>3408</v>
      </c>
      <c r="DVU1" t="s">
        <v>3409</v>
      </c>
      <c r="DVV1" t="s">
        <v>3410</v>
      </c>
      <c r="DVW1" t="s">
        <v>3411</v>
      </c>
      <c r="DVX1" t="s">
        <v>3412</v>
      </c>
      <c r="DVY1" t="s">
        <v>3413</v>
      </c>
      <c r="DVZ1" t="s">
        <v>3414</v>
      </c>
      <c r="DWA1" t="s">
        <v>3415</v>
      </c>
      <c r="DWB1" t="s">
        <v>3416</v>
      </c>
      <c r="DWC1" t="s">
        <v>3417</v>
      </c>
      <c r="DWD1" t="s">
        <v>3418</v>
      </c>
      <c r="DWE1" t="s">
        <v>3419</v>
      </c>
      <c r="DWF1" t="s">
        <v>3420</v>
      </c>
      <c r="DWG1" t="s">
        <v>3421</v>
      </c>
      <c r="DWH1" t="s">
        <v>3422</v>
      </c>
      <c r="DWI1" t="s">
        <v>3423</v>
      </c>
      <c r="DWJ1" t="s">
        <v>3424</v>
      </c>
      <c r="DWK1" t="s">
        <v>3425</v>
      </c>
      <c r="DWL1" t="s">
        <v>3426</v>
      </c>
      <c r="DWM1" t="s">
        <v>3427</v>
      </c>
      <c r="DWN1" t="s">
        <v>3428</v>
      </c>
      <c r="DWO1" t="s">
        <v>3429</v>
      </c>
      <c r="DWP1" t="s">
        <v>3430</v>
      </c>
      <c r="DWQ1" t="s">
        <v>3431</v>
      </c>
      <c r="DWR1" t="s">
        <v>3432</v>
      </c>
      <c r="DWS1" t="s">
        <v>3433</v>
      </c>
      <c r="DWT1" t="s">
        <v>3434</v>
      </c>
      <c r="DWU1" t="s">
        <v>3435</v>
      </c>
      <c r="DWV1" t="s">
        <v>3436</v>
      </c>
      <c r="DWW1" t="s">
        <v>3437</v>
      </c>
      <c r="DWX1" t="s">
        <v>3438</v>
      </c>
      <c r="DWY1" t="s">
        <v>3439</v>
      </c>
      <c r="DWZ1" t="s">
        <v>3440</v>
      </c>
      <c r="DXA1" t="s">
        <v>3441</v>
      </c>
      <c r="DXB1" t="s">
        <v>3442</v>
      </c>
      <c r="DXC1" t="s">
        <v>3443</v>
      </c>
      <c r="DXD1" t="s">
        <v>3444</v>
      </c>
      <c r="DXE1" t="s">
        <v>3445</v>
      </c>
      <c r="DXF1" t="s">
        <v>3446</v>
      </c>
      <c r="DXG1" t="s">
        <v>3447</v>
      </c>
      <c r="DXH1" t="s">
        <v>3448</v>
      </c>
      <c r="DXI1" t="s">
        <v>3449</v>
      </c>
      <c r="DXJ1" t="s">
        <v>3450</v>
      </c>
      <c r="DXK1" t="s">
        <v>3451</v>
      </c>
      <c r="DXL1" t="s">
        <v>3452</v>
      </c>
      <c r="DXM1" t="s">
        <v>3453</v>
      </c>
      <c r="DXN1" t="s">
        <v>3454</v>
      </c>
      <c r="DXO1" t="s">
        <v>3455</v>
      </c>
      <c r="DXP1" t="s">
        <v>3456</v>
      </c>
      <c r="DXQ1" t="s">
        <v>3457</v>
      </c>
      <c r="DXR1" t="s">
        <v>3458</v>
      </c>
      <c r="DXS1" t="s">
        <v>3459</v>
      </c>
      <c r="DXT1" t="s">
        <v>3460</v>
      </c>
      <c r="DXU1" t="s">
        <v>3461</v>
      </c>
      <c r="DXV1" t="s">
        <v>3462</v>
      </c>
      <c r="DXW1" t="s">
        <v>3463</v>
      </c>
      <c r="DXX1" t="s">
        <v>3464</v>
      </c>
      <c r="DXY1" t="s">
        <v>3465</v>
      </c>
      <c r="DXZ1" t="s">
        <v>3466</v>
      </c>
      <c r="DYA1" t="s">
        <v>3467</v>
      </c>
      <c r="DYB1" t="s">
        <v>3468</v>
      </c>
      <c r="DYC1" t="s">
        <v>3469</v>
      </c>
      <c r="DYD1" t="s">
        <v>3470</v>
      </c>
      <c r="DYE1" t="s">
        <v>3471</v>
      </c>
      <c r="DYF1" t="s">
        <v>3472</v>
      </c>
      <c r="DYG1" t="s">
        <v>3473</v>
      </c>
      <c r="DYH1" t="s">
        <v>3474</v>
      </c>
      <c r="DYI1" t="s">
        <v>3475</v>
      </c>
      <c r="DYJ1" t="s">
        <v>3476</v>
      </c>
      <c r="DYK1" t="s">
        <v>3477</v>
      </c>
      <c r="DYL1" t="s">
        <v>3478</v>
      </c>
      <c r="DYM1" t="s">
        <v>3479</v>
      </c>
      <c r="DYN1" t="s">
        <v>3480</v>
      </c>
      <c r="DYO1" t="s">
        <v>3481</v>
      </c>
      <c r="DYP1" t="s">
        <v>3482</v>
      </c>
      <c r="DYQ1" t="s">
        <v>3483</v>
      </c>
      <c r="DYR1" t="s">
        <v>3484</v>
      </c>
      <c r="DYS1" t="s">
        <v>3485</v>
      </c>
      <c r="DYT1" t="s">
        <v>3486</v>
      </c>
      <c r="DYU1" t="s">
        <v>3487</v>
      </c>
      <c r="DYV1" t="s">
        <v>3488</v>
      </c>
      <c r="DYW1" t="s">
        <v>3489</v>
      </c>
      <c r="DYX1" t="s">
        <v>3490</v>
      </c>
      <c r="DYY1" t="s">
        <v>3491</v>
      </c>
      <c r="DYZ1" t="s">
        <v>3492</v>
      </c>
      <c r="DZA1" t="s">
        <v>3493</v>
      </c>
      <c r="DZB1" t="s">
        <v>3494</v>
      </c>
      <c r="DZC1" t="s">
        <v>3495</v>
      </c>
      <c r="DZD1" t="s">
        <v>3496</v>
      </c>
      <c r="DZE1" t="s">
        <v>3497</v>
      </c>
      <c r="DZF1" t="s">
        <v>3498</v>
      </c>
      <c r="DZG1" t="s">
        <v>3499</v>
      </c>
      <c r="DZH1" t="s">
        <v>3500</v>
      </c>
      <c r="DZI1" t="s">
        <v>3501</v>
      </c>
      <c r="DZJ1" t="s">
        <v>3502</v>
      </c>
      <c r="DZK1" t="s">
        <v>3503</v>
      </c>
      <c r="DZL1" t="s">
        <v>3504</v>
      </c>
      <c r="DZM1" t="s">
        <v>3505</v>
      </c>
      <c r="DZN1" t="s">
        <v>3506</v>
      </c>
      <c r="DZO1" t="s">
        <v>3507</v>
      </c>
      <c r="DZP1" t="s">
        <v>3508</v>
      </c>
      <c r="DZQ1" t="s">
        <v>3509</v>
      </c>
      <c r="DZR1" t="s">
        <v>3510</v>
      </c>
      <c r="DZS1" t="s">
        <v>3511</v>
      </c>
      <c r="DZT1" t="s">
        <v>3512</v>
      </c>
      <c r="DZU1" t="s">
        <v>3513</v>
      </c>
      <c r="DZV1" t="s">
        <v>3514</v>
      </c>
      <c r="DZW1" t="s">
        <v>3515</v>
      </c>
      <c r="DZX1" t="s">
        <v>3516</v>
      </c>
      <c r="DZY1" t="s">
        <v>3517</v>
      </c>
      <c r="DZZ1" t="s">
        <v>3518</v>
      </c>
      <c r="EAA1" t="s">
        <v>3519</v>
      </c>
      <c r="EAB1" t="s">
        <v>3520</v>
      </c>
      <c r="EAC1" t="s">
        <v>3521</v>
      </c>
      <c r="EAD1" t="s">
        <v>3522</v>
      </c>
      <c r="EAE1" t="s">
        <v>3523</v>
      </c>
      <c r="EAF1" t="s">
        <v>3524</v>
      </c>
      <c r="EAG1" t="s">
        <v>3525</v>
      </c>
      <c r="EAH1" t="s">
        <v>3526</v>
      </c>
      <c r="EAI1" t="s">
        <v>3527</v>
      </c>
      <c r="EAJ1" t="s">
        <v>3528</v>
      </c>
      <c r="EAK1" t="s">
        <v>3529</v>
      </c>
      <c r="EAL1" t="s">
        <v>3530</v>
      </c>
      <c r="EAM1" t="s">
        <v>3531</v>
      </c>
      <c r="EAN1" t="s">
        <v>3532</v>
      </c>
      <c r="EAO1" t="s">
        <v>3533</v>
      </c>
      <c r="EAP1" t="s">
        <v>3534</v>
      </c>
      <c r="EAQ1" t="s">
        <v>3535</v>
      </c>
      <c r="EAR1" t="s">
        <v>3536</v>
      </c>
      <c r="EAS1" t="s">
        <v>3537</v>
      </c>
      <c r="EAT1" t="s">
        <v>3538</v>
      </c>
      <c r="EAU1" t="s">
        <v>3539</v>
      </c>
      <c r="EAV1" t="s">
        <v>3540</v>
      </c>
      <c r="EAW1" t="s">
        <v>3541</v>
      </c>
      <c r="EAX1" t="s">
        <v>3542</v>
      </c>
      <c r="EAY1" t="s">
        <v>3543</v>
      </c>
      <c r="EAZ1" t="s">
        <v>3544</v>
      </c>
      <c r="EBA1" t="s">
        <v>3545</v>
      </c>
      <c r="EBB1" t="s">
        <v>3546</v>
      </c>
      <c r="EBC1" t="s">
        <v>3547</v>
      </c>
      <c r="EBD1" t="s">
        <v>3548</v>
      </c>
      <c r="EBE1" t="s">
        <v>3549</v>
      </c>
      <c r="EBF1" t="s">
        <v>3550</v>
      </c>
      <c r="EBG1" t="s">
        <v>3551</v>
      </c>
      <c r="EBH1" t="s">
        <v>3552</v>
      </c>
      <c r="EBI1" t="s">
        <v>3553</v>
      </c>
      <c r="EBJ1" t="s">
        <v>3554</v>
      </c>
      <c r="EBK1" t="s">
        <v>3555</v>
      </c>
      <c r="EBL1" t="s">
        <v>3556</v>
      </c>
      <c r="EBM1" t="s">
        <v>3557</v>
      </c>
      <c r="EBN1" t="s">
        <v>3558</v>
      </c>
      <c r="EBO1" t="s">
        <v>3559</v>
      </c>
      <c r="EBP1" t="s">
        <v>3560</v>
      </c>
      <c r="EBQ1" t="s">
        <v>3561</v>
      </c>
      <c r="EBR1" t="s">
        <v>3562</v>
      </c>
      <c r="EBS1" t="s">
        <v>3563</v>
      </c>
      <c r="EBT1" t="s">
        <v>3564</v>
      </c>
      <c r="EBU1" t="s">
        <v>3565</v>
      </c>
      <c r="EBV1" t="s">
        <v>3566</v>
      </c>
      <c r="EBW1" t="s">
        <v>3567</v>
      </c>
      <c r="EBX1" t="s">
        <v>3568</v>
      </c>
      <c r="EBY1" t="s">
        <v>3569</v>
      </c>
      <c r="EBZ1" t="s">
        <v>3570</v>
      </c>
      <c r="ECA1" t="s">
        <v>3571</v>
      </c>
      <c r="ECB1" t="s">
        <v>3572</v>
      </c>
      <c r="ECC1" t="s">
        <v>3573</v>
      </c>
      <c r="ECD1" t="s">
        <v>3574</v>
      </c>
      <c r="ECE1" t="s">
        <v>3575</v>
      </c>
      <c r="ECF1" t="s">
        <v>3576</v>
      </c>
      <c r="ECG1" t="s">
        <v>3577</v>
      </c>
      <c r="ECH1" t="s">
        <v>3578</v>
      </c>
      <c r="ECI1" t="s">
        <v>3579</v>
      </c>
      <c r="ECJ1" t="s">
        <v>3580</v>
      </c>
      <c r="ECK1" t="s">
        <v>3581</v>
      </c>
      <c r="ECL1" t="s">
        <v>3582</v>
      </c>
      <c r="ECM1" t="s">
        <v>3583</v>
      </c>
      <c r="ECN1" t="s">
        <v>3584</v>
      </c>
      <c r="ECO1" t="s">
        <v>3585</v>
      </c>
      <c r="ECP1" t="s">
        <v>3586</v>
      </c>
      <c r="ECQ1" t="s">
        <v>3587</v>
      </c>
      <c r="ECR1" t="s">
        <v>3588</v>
      </c>
      <c r="ECS1" t="s">
        <v>3589</v>
      </c>
      <c r="ECT1" t="s">
        <v>3590</v>
      </c>
      <c r="ECU1" t="s">
        <v>3591</v>
      </c>
      <c r="ECV1" t="s">
        <v>3592</v>
      </c>
      <c r="ECW1" t="s">
        <v>3593</v>
      </c>
      <c r="ECX1" t="s">
        <v>3594</v>
      </c>
      <c r="ECY1" t="s">
        <v>3595</v>
      </c>
      <c r="ECZ1" t="s">
        <v>3596</v>
      </c>
      <c r="EDA1" t="s">
        <v>3597</v>
      </c>
      <c r="EDB1" t="s">
        <v>3598</v>
      </c>
      <c r="EDC1" t="s">
        <v>3599</v>
      </c>
      <c r="EDD1" t="s">
        <v>3600</v>
      </c>
      <c r="EDE1" t="s">
        <v>3601</v>
      </c>
      <c r="EDF1" t="s">
        <v>3602</v>
      </c>
      <c r="EDG1" t="s">
        <v>3603</v>
      </c>
      <c r="EDH1" t="s">
        <v>3604</v>
      </c>
      <c r="EDI1" t="s">
        <v>3605</v>
      </c>
      <c r="EDJ1" t="s">
        <v>3606</v>
      </c>
      <c r="EDK1" t="s">
        <v>3607</v>
      </c>
      <c r="EDL1" t="s">
        <v>3608</v>
      </c>
      <c r="EDM1" t="s">
        <v>3609</v>
      </c>
      <c r="EDN1" t="s">
        <v>3610</v>
      </c>
      <c r="EDO1" t="s">
        <v>3611</v>
      </c>
      <c r="EDP1" t="s">
        <v>3612</v>
      </c>
      <c r="EDQ1" t="s">
        <v>3613</v>
      </c>
      <c r="EDR1" t="s">
        <v>3614</v>
      </c>
      <c r="EDS1" t="s">
        <v>3615</v>
      </c>
      <c r="EDT1" t="s">
        <v>3616</v>
      </c>
      <c r="EDU1" t="s">
        <v>3617</v>
      </c>
      <c r="EDV1" t="s">
        <v>3618</v>
      </c>
      <c r="EDW1" t="s">
        <v>3619</v>
      </c>
      <c r="EDX1" t="s">
        <v>3620</v>
      </c>
      <c r="EDY1" t="s">
        <v>3621</v>
      </c>
      <c r="EDZ1" t="s">
        <v>3622</v>
      </c>
      <c r="EEA1" t="s">
        <v>3623</v>
      </c>
      <c r="EEB1" t="s">
        <v>3624</v>
      </c>
      <c r="EEC1" t="s">
        <v>3625</v>
      </c>
      <c r="EED1" t="s">
        <v>3626</v>
      </c>
      <c r="EEE1" t="s">
        <v>3627</v>
      </c>
      <c r="EEF1" t="s">
        <v>3628</v>
      </c>
      <c r="EEG1" t="s">
        <v>3629</v>
      </c>
      <c r="EEH1" t="s">
        <v>3630</v>
      </c>
      <c r="EEI1" t="s">
        <v>3631</v>
      </c>
      <c r="EEJ1" t="s">
        <v>3632</v>
      </c>
      <c r="EEK1" t="s">
        <v>3633</v>
      </c>
      <c r="EEL1" t="s">
        <v>3634</v>
      </c>
      <c r="EEM1" t="s">
        <v>3635</v>
      </c>
      <c r="EEN1" t="s">
        <v>3636</v>
      </c>
      <c r="EEO1" t="s">
        <v>3637</v>
      </c>
      <c r="EEP1" t="s">
        <v>3638</v>
      </c>
      <c r="EEQ1" t="s">
        <v>3639</v>
      </c>
      <c r="EER1" t="s">
        <v>3640</v>
      </c>
      <c r="EES1" t="s">
        <v>3641</v>
      </c>
      <c r="EET1" t="s">
        <v>3642</v>
      </c>
      <c r="EEU1" t="s">
        <v>3643</v>
      </c>
      <c r="EEV1" t="s">
        <v>3644</v>
      </c>
      <c r="EEW1" t="s">
        <v>3645</v>
      </c>
      <c r="EEX1" t="s">
        <v>3646</v>
      </c>
      <c r="EEY1" t="s">
        <v>3647</v>
      </c>
      <c r="EEZ1" t="s">
        <v>3648</v>
      </c>
      <c r="EFA1" t="s">
        <v>3649</v>
      </c>
      <c r="EFB1" t="s">
        <v>3650</v>
      </c>
      <c r="EFC1" t="s">
        <v>3651</v>
      </c>
      <c r="EFD1" t="s">
        <v>3652</v>
      </c>
      <c r="EFE1" t="s">
        <v>3653</v>
      </c>
      <c r="EFF1" t="s">
        <v>3654</v>
      </c>
      <c r="EFG1" t="s">
        <v>3655</v>
      </c>
      <c r="EFH1" t="s">
        <v>3656</v>
      </c>
      <c r="EFI1" t="s">
        <v>3657</v>
      </c>
      <c r="EFJ1" t="s">
        <v>3658</v>
      </c>
      <c r="EFK1" t="s">
        <v>3659</v>
      </c>
      <c r="EFL1" t="s">
        <v>3660</v>
      </c>
      <c r="EFM1" t="s">
        <v>3661</v>
      </c>
      <c r="EFN1" t="s">
        <v>3662</v>
      </c>
      <c r="EFO1" t="s">
        <v>3663</v>
      </c>
      <c r="EFP1" t="s">
        <v>3664</v>
      </c>
      <c r="EFQ1" t="s">
        <v>3665</v>
      </c>
      <c r="EFR1" t="s">
        <v>3666</v>
      </c>
      <c r="EFS1" t="s">
        <v>3667</v>
      </c>
      <c r="EFT1" t="s">
        <v>3668</v>
      </c>
      <c r="EFU1" t="s">
        <v>3669</v>
      </c>
      <c r="EFV1" t="s">
        <v>3670</v>
      </c>
      <c r="EFW1" t="s">
        <v>3671</v>
      </c>
      <c r="EFX1" t="s">
        <v>3672</v>
      </c>
      <c r="EFY1" t="s">
        <v>3673</v>
      </c>
      <c r="EFZ1" t="s">
        <v>3674</v>
      </c>
      <c r="EGA1" t="s">
        <v>3675</v>
      </c>
      <c r="EGB1" t="s">
        <v>3676</v>
      </c>
      <c r="EGC1" t="s">
        <v>3677</v>
      </c>
      <c r="EGD1" t="s">
        <v>3678</v>
      </c>
      <c r="EGE1" t="s">
        <v>3679</v>
      </c>
      <c r="EGF1" t="s">
        <v>3680</v>
      </c>
      <c r="EGG1" t="s">
        <v>3681</v>
      </c>
      <c r="EGH1" t="s">
        <v>3682</v>
      </c>
      <c r="EGI1" t="s">
        <v>3683</v>
      </c>
      <c r="EGJ1" t="s">
        <v>3684</v>
      </c>
      <c r="EGK1" t="s">
        <v>3685</v>
      </c>
      <c r="EGL1" t="s">
        <v>3686</v>
      </c>
      <c r="EGM1" t="s">
        <v>3687</v>
      </c>
      <c r="EGN1" t="s">
        <v>3688</v>
      </c>
      <c r="EGO1" t="s">
        <v>3689</v>
      </c>
      <c r="EGP1" t="s">
        <v>3690</v>
      </c>
      <c r="EGQ1" t="s">
        <v>3691</v>
      </c>
      <c r="EGR1" t="s">
        <v>3692</v>
      </c>
      <c r="EGS1" t="s">
        <v>3693</v>
      </c>
      <c r="EGT1" t="s">
        <v>3694</v>
      </c>
      <c r="EGU1" t="s">
        <v>3695</v>
      </c>
      <c r="EGV1" t="s">
        <v>3696</v>
      </c>
      <c r="EGW1" t="s">
        <v>3697</v>
      </c>
      <c r="EGX1" t="s">
        <v>3698</v>
      </c>
      <c r="EGY1" t="s">
        <v>3699</v>
      </c>
      <c r="EGZ1" t="s">
        <v>3700</v>
      </c>
      <c r="EHA1" t="s">
        <v>3701</v>
      </c>
      <c r="EHB1" t="s">
        <v>3702</v>
      </c>
      <c r="EHC1" t="s">
        <v>3703</v>
      </c>
      <c r="EHD1" t="s">
        <v>3704</v>
      </c>
      <c r="EHE1" t="s">
        <v>3705</v>
      </c>
      <c r="EHF1" t="s">
        <v>3706</v>
      </c>
      <c r="EHG1" t="s">
        <v>3707</v>
      </c>
      <c r="EHH1" t="s">
        <v>3708</v>
      </c>
      <c r="EHI1" t="s">
        <v>3709</v>
      </c>
      <c r="EHJ1" t="s">
        <v>3710</v>
      </c>
      <c r="EHK1" t="s">
        <v>3711</v>
      </c>
      <c r="EHL1" t="s">
        <v>3712</v>
      </c>
      <c r="EHM1" t="s">
        <v>3713</v>
      </c>
      <c r="EHN1" t="s">
        <v>3714</v>
      </c>
      <c r="EHO1" t="s">
        <v>3715</v>
      </c>
      <c r="EHP1" t="s">
        <v>3716</v>
      </c>
      <c r="EHQ1" t="s">
        <v>3717</v>
      </c>
      <c r="EHR1" t="s">
        <v>3718</v>
      </c>
      <c r="EHS1" t="s">
        <v>3719</v>
      </c>
      <c r="EHT1" t="s">
        <v>3720</v>
      </c>
      <c r="EHU1" t="s">
        <v>3721</v>
      </c>
      <c r="EHV1" t="s">
        <v>3722</v>
      </c>
      <c r="EHW1" t="s">
        <v>3723</v>
      </c>
      <c r="EHX1" t="s">
        <v>3724</v>
      </c>
      <c r="EHY1" t="s">
        <v>3725</v>
      </c>
      <c r="EHZ1" t="s">
        <v>3726</v>
      </c>
      <c r="EIA1" t="s">
        <v>3727</v>
      </c>
      <c r="EIB1" t="s">
        <v>3728</v>
      </c>
      <c r="EIC1" t="s">
        <v>3729</v>
      </c>
      <c r="EID1" t="s">
        <v>3730</v>
      </c>
      <c r="EIE1" t="s">
        <v>3731</v>
      </c>
      <c r="EIF1" t="s">
        <v>3732</v>
      </c>
      <c r="EIG1" t="s">
        <v>3733</v>
      </c>
      <c r="EIH1" t="s">
        <v>3734</v>
      </c>
      <c r="EII1" t="s">
        <v>3735</v>
      </c>
      <c r="EIJ1" t="s">
        <v>3736</v>
      </c>
      <c r="EIK1" t="s">
        <v>3737</v>
      </c>
      <c r="EIL1" t="s">
        <v>3738</v>
      </c>
      <c r="EIM1" t="s">
        <v>3739</v>
      </c>
      <c r="EIN1" t="s">
        <v>3740</v>
      </c>
      <c r="EIO1" t="s">
        <v>3741</v>
      </c>
      <c r="EIP1" t="s">
        <v>3742</v>
      </c>
      <c r="EIQ1" t="s">
        <v>3743</v>
      </c>
      <c r="EIR1" t="s">
        <v>3744</v>
      </c>
      <c r="EIS1" t="s">
        <v>3745</v>
      </c>
      <c r="EIT1" t="s">
        <v>3746</v>
      </c>
      <c r="EIU1" t="s">
        <v>3747</v>
      </c>
      <c r="EIV1" t="s">
        <v>3748</v>
      </c>
      <c r="EIW1" t="s">
        <v>3749</v>
      </c>
      <c r="EIX1" t="s">
        <v>3750</v>
      </c>
      <c r="EIY1" t="s">
        <v>3751</v>
      </c>
      <c r="EIZ1" t="s">
        <v>3752</v>
      </c>
      <c r="EJA1" t="s">
        <v>3753</v>
      </c>
      <c r="EJB1" t="s">
        <v>3754</v>
      </c>
      <c r="EJC1" t="s">
        <v>3755</v>
      </c>
      <c r="EJD1" t="s">
        <v>3756</v>
      </c>
      <c r="EJE1" t="s">
        <v>3757</v>
      </c>
      <c r="EJF1" t="s">
        <v>3758</v>
      </c>
      <c r="EJG1" t="s">
        <v>3759</v>
      </c>
      <c r="EJH1" t="s">
        <v>3760</v>
      </c>
      <c r="EJI1" t="s">
        <v>3761</v>
      </c>
      <c r="EJJ1" t="s">
        <v>3762</v>
      </c>
      <c r="EJK1" t="s">
        <v>3763</v>
      </c>
      <c r="EJL1" t="s">
        <v>3764</v>
      </c>
      <c r="EJM1" t="s">
        <v>3765</v>
      </c>
      <c r="EJN1" t="s">
        <v>3766</v>
      </c>
      <c r="EJO1" t="s">
        <v>3767</v>
      </c>
      <c r="EJP1" t="s">
        <v>3768</v>
      </c>
      <c r="EJQ1" t="s">
        <v>3769</v>
      </c>
      <c r="EJR1" t="s">
        <v>3770</v>
      </c>
      <c r="EJS1" t="s">
        <v>3771</v>
      </c>
      <c r="EJT1" t="s">
        <v>3772</v>
      </c>
      <c r="EJU1" t="s">
        <v>3773</v>
      </c>
      <c r="EJV1" t="s">
        <v>3774</v>
      </c>
      <c r="EJW1" t="s">
        <v>3775</v>
      </c>
      <c r="EJX1" t="s">
        <v>3776</v>
      </c>
      <c r="EJY1" t="s">
        <v>3777</v>
      </c>
      <c r="EJZ1" t="s">
        <v>3778</v>
      </c>
      <c r="EKA1" t="s">
        <v>3779</v>
      </c>
      <c r="EKB1" t="s">
        <v>3780</v>
      </c>
      <c r="EKC1" t="s">
        <v>3781</v>
      </c>
      <c r="EKD1" t="s">
        <v>3782</v>
      </c>
      <c r="EKE1" t="s">
        <v>3783</v>
      </c>
      <c r="EKF1" t="s">
        <v>3784</v>
      </c>
      <c r="EKG1" t="s">
        <v>3785</v>
      </c>
      <c r="EKH1" t="s">
        <v>3786</v>
      </c>
      <c r="EKI1" t="s">
        <v>3787</v>
      </c>
      <c r="EKJ1" t="s">
        <v>3788</v>
      </c>
      <c r="EKK1" t="s">
        <v>3789</v>
      </c>
      <c r="EKL1" t="s">
        <v>3790</v>
      </c>
      <c r="EKM1" t="s">
        <v>3791</v>
      </c>
      <c r="EKN1" t="s">
        <v>3792</v>
      </c>
      <c r="EKO1" t="s">
        <v>3793</v>
      </c>
      <c r="EKP1" t="s">
        <v>3794</v>
      </c>
      <c r="EKQ1" t="s">
        <v>3795</v>
      </c>
      <c r="EKR1" t="s">
        <v>3796</v>
      </c>
      <c r="EKS1" t="s">
        <v>3797</v>
      </c>
      <c r="EKT1" t="s">
        <v>3798</v>
      </c>
      <c r="EKU1" t="s">
        <v>3799</v>
      </c>
      <c r="EKV1" t="s">
        <v>3800</v>
      </c>
      <c r="EKW1" t="s">
        <v>3801</v>
      </c>
      <c r="EKX1" t="s">
        <v>3802</v>
      </c>
      <c r="EKY1" t="s">
        <v>3803</v>
      </c>
      <c r="EKZ1" t="s">
        <v>3804</v>
      </c>
      <c r="ELA1" t="s">
        <v>3805</v>
      </c>
      <c r="ELB1" t="s">
        <v>3806</v>
      </c>
      <c r="ELC1" t="s">
        <v>3807</v>
      </c>
      <c r="ELD1" t="s">
        <v>3808</v>
      </c>
      <c r="ELE1" t="s">
        <v>3809</v>
      </c>
      <c r="ELF1" t="s">
        <v>3810</v>
      </c>
      <c r="ELG1" t="s">
        <v>3811</v>
      </c>
      <c r="ELH1" t="s">
        <v>3812</v>
      </c>
      <c r="ELI1" t="s">
        <v>3813</v>
      </c>
      <c r="ELJ1" t="s">
        <v>3814</v>
      </c>
      <c r="ELK1" t="s">
        <v>3815</v>
      </c>
      <c r="ELL1" t="s">
        <v>3816</v>
      </c>
      <c r="ELM1" t="s">
        <v>3817</v>
      </c>
      <c r="ELN1" t="s">
        <v>3818</v>
      </c>
      <c r="ELO1" t="s">
        <v>3819</v>
      </c>
      <c r="ELP1" t="s">
        <v>3820</v>
      </c>
      <c r="ELQ1" t="s">
        <v>3821</v>
      </c>
      <c r="ELR1" t="s">
        <v>3822</v>
      </c>
      <c r="ELS1" t="s">
        <v>3823</v>
      </c>
      <c r="ELT1" t="s">
        <v>3824</v>
      </c>
      <c r="ELU1" t="s">
        <v>3825</v>
      </c>
      <c r="ELV1" t="s">
        <v>3826</v>
      </c>
      <c r="ELW1" t="s">
        <v>3827</v>
      </c>
      <c r="ELX1" t="s">
        <v>3828</v>
      </c>
      <c r="ELY1" t="s">
        <v>3829</v>
      </c>
      <c r="ELZ1" t="s">
        <v>3830</v>
      </c>
      <c r="EMA1" t="s">
        <v>3831</v>
      </c>
      <c r="EMB1" t="s">
        <v>3832</v>
      </c>
      <c r="EMC1" t="s">
        <v>3833</v>
      </c>
      <c r="EMD1" t="s">
        <v>3834</v>
      </c>
      <c r="EME1" t="s">
        <v>3835</v>
      </c>
      <c r="EMF1" t="s">
        <v>3836</v>
      </c>
      <c r="EMG1" t="s">
        <v>3837</v>
      </c>
      <c r="EMH1" t="s">
        <v>3838</v>
      </c>
      <c r="EMI1" t="s">
        <v>3839</v>
      </c>
      <c r="EMJ1" t="s">
        <v>3840</v>
      </c>
      <c r="EMK1" t="s">
        <v>3841</v>
      </c>
      <c r="EML1" t="s">
        <v>3842</v>
      </c>
      <c r="EMM1" t="s">
        <v>3843</v>
      </c>
      <c r="EMN1" t="s">
        <v>3844</v>
      </c>
      <c r="EMO1" t="s">
        <v>3845</v>
      </c>
      <c r="EMP1" t="s">
        <v>3846</v>
      </c>
      <c r="EMQ1" t="s">
        <v>3847</v>
      </c>
      <c r="EMR1" t="s">
        <v>3848</v>
      </c>
      <c r="EMS1" t="s">
        <v>3849</v>
      </c>
      <c r="EMT1" t="s">
        <v>3850</v>
      </c>
      <c r="EMU1" t="s">
        <v>3851</v>
      </c>
      <c r="EMV1" t="s">
        <v>3852</v>
      </c>
      <c r="EMW1" t="s">
        <v>3853</v>
      </c>
      <c r="EMX1" t="s">
        <v>3854</v>
      </c>
      <c r="EMY1" t="s">
        <v>3855</v>
      </c>
      <c r="EMZ1" t="s">
        <v>3856</v>
      </c>
      <c r="ENA1" t="s">
        <v>3857</v>
      </c>
      <c r="ENB1" t="s">
        <v>3858</v>
      </c>
      <c r="ENC1" t="s">
        <v>3859</v>
      </c>
      <c r="END1" t="s">
        <v>3860</v>
      </c>
      <c r="ENE1" t="s">
        <v>3861</v>
      </c>
      <c r="ENF1" t="s">
        <v>3862</v>
      </c>
      <c r="ENG1" t="s">
        <v>3863</v>
      </c>
      <c r="ENH1" t="s">
        <v>3864</v>
      </c>
      <c r="ENI1" t="s">
        <v>3865</v>
      </c>
      <c r="ENJ1" t="s">
        <v>3866</v>
      </c>
      <c r="ENK1" t="s">
        <v>3867</v>
      </c>
      <c r="ENL1" t="s">
        <v>3868</v>
      </c>
      <c r="ENM1" t="s">
        <v>3869</v>
      </c>
      <c r="ENN1" t="s">
        <v>3870</v>
      </c>
      <c r="ENO1" t="s">
        <v>3871</v>
      </c>
      <c r="ENP1" t="s">
        <v>3872</v>
      </c>
      <c r="ENQ1" t="s">
        <v>3873</v>
      </c>
      <c r="ENR1" t="s">
        <v>3874</v>
      </c>
      <c r="ENS1" t="s">
        <v>3875</v>
      </c>
      <c r="ENT1" t="s">
        <v>3876</v>
      </c>
      <c r="ENU1" t="s">
        <v>3877</v>
      </c>
      <c r="ENV1" t="s">
        <v>3878</v>
      </c>
      <c r="ENW1" t="s">
        <v>3879</v>
      </c>
      <c r="ENX1" t="s">
        <v>3880</v>
      </c>
      <c r="ENY1" t="s">
        <v>3881</v>
      </c>
      <c r="ENZ1" t="s">
        <v>3882</v>
      </c>
      <c r="EOA1" t="s">
        <v>3883</v>
      </c>
      <c r="EOB1" t="s">
        <v>3884</v>
      </c>
      <c r="EOC1" t="s">
        <v>3885</v>
      </c>
      <c r="EOD1" t="s">
        <v>3886</v>
      </c>
      <c r="EOE1" t="s">
        <v>3887</v>
      </c>
      <c r="EOF1" t="s">
        <v>3888</v>
      </c>
      <c r="EOG1" t="s">
        <v>3889</v>
      </c>
      <c r="EOH1" t="s">
        <v>3890</v>
      </c>
      <c r="EOI1" t="s">
        <v>3891</v>
      </c>
      <c r="EOJ1" t="s">
        <v>3892</v>
      </c>
      <c r="EOK1" t="s">
        <v>3893</v>
      </c>
      <c r="EOL1" t="s">
        <v>3894</v>
      </c>
      <c r="EOM1" t="s">
        <v>3895</v>
      </c>
      <c r="EON1" t="s">
        <v>3896</v>
      </c>
    </row>
    <row r="2" spans="1:3784" x14ac:dyDescent="0.35">
      <c r="A2" t="s">
        <v>111</v>
      </c>
      <c r="B2" s="1">
        <v>133211</v>
      </c>
      <c r="C2" s="1">
        <v>107130</v>
      </c>
      <c r="D2" s="1">
        <v>155054</v>
      </c>
      <c r="E2" s="1">
        <v>152955</v>
      </c>
      <c r="F2" s="1">
        <v>109147</v>
      </c>
      <c r="G2" s="1">
        <v>34352</v>
      </c>
      <c r="H2" s="1">
        <v>145048</v>
      </c>
      <c r="I2" s="1">
        <v>123134</v>
      </c>
      <c r="J2" s="1">
        <v>132374</v>
      </c>
      <c r="K2" s="1">
        <v>106560</v>
      </c>
      <c r="L2" s="1">
        <v>97327</v>
      </c>
      <c r="M2" s="1">
        <v>110375</v>
      </c>
      <c r="N2" s="1">
        <v>235511</v>
      </c>
      <c r="O2" s="1">
        <v>169489</v>
      </c>
      <c r="P2" s="1">
        <v>97507</v>
      </c>
      <c r="Q2" s="1">
        <v>87552</v>
      </c>
      <c r="R2" s="1">
        <v>53394</v>
      </c>
      <c r="S2" s="1">
        <v>48106</v>
      </c>
      <c r="T2" s="1">
        <v>97694</v>
      </c>
      <c r="U2" s="1">
        <v>47871</v>
      </c>
      <c r="V2" s="1">
        <v>106930</v>
      </c>
      <c r="W2" s="1">
        <v>94820</v>
      </c>
      <c r="X2" s="1">
        <v>0</v>
      </c>
      <c r="Y2" s="1">
        <v>0</v>
      </c>
      <c r="Z2" s="1">
        <v>0</v>
      </c>
      <c r="AA2" s="1">
        <v>0</v>
      </c>
      <c r="AB2" s="1">
        <v>0</v>
      </c>
      <c r="AC2" s="1">
        <v>0</v>
      </c>
      <c r="AD2" s="1">
        <v>0</v>
      </c>
      <c r="AE2" s="1">
        <v>0</v>
      </c>
      <c r="AF2" s="1">
        <v>0</v>
      </c>
      <c r="AG2" s="1">
        <v>0</v>
      </c>
      <c r="AH2" s="1">
        <v>0</v>
      </c>
      <c r="AI2" s="1">
        <v>0</v>
      </c>
      <c r="AJ2" s="1">
        <v>0</v>
      </c>
      <c r="AK2" s="1">
        <v>0</v>
      </c>
      <c r="AL2" s="1">
        <v>0</v>
      </c>
      <c r="AM2" s="1">
        <v>0</v>
      </c>
      <c r="AN2" s="1">
        <v>0</v>
      </c>
      <c r="AO2" s="1">
        <v>0</v>
      </c>
      <c r="AP2" s="1">
        <v>0</v>
      </c>
      <c r="AQ2" s="1">
        <v>0</v>
      </c>
      <c r="AR2" s="1">
        <v>0</v>
      </c>
      <c r="AS2" s="1">
        <v>0</v>
      </c>
      <c r="AT2" s="1">
        <v>0</v>
      </c>
      <c r="AU2" s="1">
        <v>0</v>
      </c>
      <c r="AV2" s="1">
        <v>0</v>
      </c>
      <c r="AW2" s="1">
        <v>0</v>
      </c>
      <c r="AX2" s="1">
        <v>0</v>
      </c>
      <c r="AY2" s="1">
        <v>0</v>
      </c>
      <c r="AZ2" s="1">
        <v>0</v>
      </c>
      <c r="BA2" s="1">
        <v>0</v>
      </c>
      <c r="BB2" s="1">
        <v>0</v>
      </c>
      <c r="BC2" s="1">
        <v>0</v>
      </c>
      <c r="BD2" s="1">
        <v>0</v>
      </c>
      <c r="BE2" s="1">
        <v>0</v>
      </c>
      <c r="BF2" s="1">
        <v>0</v>
      </c>
      <c r="BG2" s="1">
        <v>86836</v>
      </c>
      <c r="BH2" s="1">
        <v>136124</v>
      </c>
      <c r="BI2" s="1">
        <v>162808</v>
      </c>
      <c r="BJ2" s="1">
        <v>68218</v>
      </c>
      <c r="BK2" s="1">
        <v>135081</v>
      </c>
      <c r="BL2" s="1">
        <v>85274</v>
      </c>
      <c r="BM2" s="1">
        <v>56825</v>
      </c>
      <c r="BN2" s="1">
        <v>70987</v>
      </c>
      <c r="BO2" s="1">
        <v>68163</v>
      </c>
      <c r="BP2" s="1">
        <v>70933</v>
      </c>
      <c r="BQ2" s="1">
        <v>109890</v>
      </c>
      <c r="BR2" s="1">
        <v>0</v>
      </c>
      <c r="BS2" s="1">
        <v>111033</v>
      </c>
      <c r="BT2" s="1">
        <v>50020</v>
      </c>
      <c r="BU2" s="1">
        <v>145351</v>
      </c>
      <c r="BV2" s="1">
        <v>135679</v>
      </c>
      <c r="BW2" s="1">
        <v>88732</v>
      </c>
      <c r="BX2" s="1">
        <v>126485</v>
      </c>
      <c r="BY2" s="1">
        <v>117774</v>
      </c>
      <c r="BZ2" s="1">
        <v>54787</v>
      </c>
      <c r="CA2" s="1">
        <v>105260</v>
      </c>
      <c r="CB2" s="1">
        <v>59067</v>
      </c>
      <c r="CC2" s="1">
        <v>53780</v>
      </c>
      <c r="CD2" s="1">
        <v>68650</v>
      </c>
      <c r="CE2" s="1">
        <v>87792</v>
      </c>
      <c r="CF2" s="1">
        <v>128052</v>
      </c>
      <c r="CG2" s="1">
        <v>135591</v>
      </c>
      <c r="CH2" s="1">
        <v>90738</v>
      </c>
      <c r="CI2" s="1">
        <v>74244</v>
      </c>
      <c r="CJ2" s="1">
        <v>95554</v>
      </c>
      <c r="CK2" s="1">
        <v>59225</v>
      </c>
      <c r="CL2" s="1">
        <v>85985</v>
      </c>
      <c r="CM2" s="1">
        <v>86512</v>
      </c>
      <c r="CN2" s="1">
        <v>71370</v>
      </c>
      <c r="CO2" s="1">
        <v>84881</v>
      </c>
      <c r="CP2" s="1">
        <v>67917</v>
      </c>
      <c r="CQ2" s="1">
        <v>63316</v>
      </c>
      <c r="CR2" s="1">
        <v>58782</v>
      </c>
      <c r="CS2" s="1">
        <v>124665</v>
      </c>
      <c r="CT2" s="1">
        <v>114496</v>
      </c>
      <c r="CU2" s="1">
        <v>108309</v>
      </c>
      <c r="CV2" s="1">
        <v>72083</v>
      </c>
      <c r="CW2" s="1">
        <v>143077</v>
      </c>
      <c r="CX2" s="1">
        <v>41964</v>
      </c>
      <c r="CY2" s="1">
        <v>62262</v>
      </c>
      <c r="CZ2" s="1">
        <v>63929</v>
      </c>
      <c r="DA2" s="1">
        <v>148740</v>
      </c>
      <c r="DB2" s="1">
        <v>104658</v>
      </c>
      <c r="DC2" s="1">
        <v>87529</v>
      </c>
      <c r="DD2" s="1">
        <v>60859</v>
      </c>
      <c r="DE2" s="1">
        <v>85061</v>
      </c>
      <c r="DF2" s="1">
        <v>101118</v>
      </c>
      <c r="DG2" s="1">
        <v>51017</v>
      </c>
      <c r="DH2" s="1">
        <v>79693</v>
      </c>
      <c r="DI2" s="1">
        <v>92753</v>
      </c>
      <c r="DJ2" s="1">
        <v>59435</v>
      </c>
      <c r="DK2" s="1">
        <v>0</v>
      </c>
      <c r="DL2" s="1">
        <v>72707</v>
      </c>
      <c r="DM2" s="1">
        <v>48489</v>
      </c>
      <c r="DN2" s="1">
        <v>77833</v>
      </c>
      <c r="DO2" s="1">
        <v>69705</v>
      </c>
      <c r="DP2" s="1">
        <v>122285</v>
      </c>
      <c r="DQ2" s="1">
        <v>103205</v>
      </c>
      <c r="DR2" s="1">
        <v>85869</v>
      </c>
      <c r="DS2" s="1">
        <v>73012</v>
      </c>
      <c r="DT2" s="1">
        <v>67069</v>
      </c>
      <c r="DU2" s="1">
        <v>77888</v>
      </c>
      <c r="DV2" s="1">
        <v>65447</v>
      </c>
      <c r="DW2" s="1">
        <v>99726</v>
      </c>
      <c r="DX2" s="1">
        <v>51135</v>
      </c>
      <c r="DY2" s="1">
        <v>70577</v>
      </c>
      <c r="DZ2" s="1">
        <v>0</v>
      </c>
      <c r="EA2" s="1">
        <v>71087</v>
      </c>
      <c r="EB2" s="1">
        <v>93800</v>
      </c>
      <c r="EC2" s="1">
        <v>109443</v>
      </c>
      <c r="ED2" s="1">
        <v>67362</v>
      </c>
      <c r="EE2" s="1">
        <v>54276</v>
      </c>
      <c r="EF2" s="1">
        <v>0</v>
      </c>
      <c r="EG2" s="1">
        <v>80370</v>
      </c>
      <c r="EH2" s="1">
        <v>73200</v>
      </c>
      <c r="EI2" s="1">
        <v>56196</v>
      </c>
      <c r="EJ2" s="1">
        <v>75406</v>
      </c>
      <c r="EK2" s="1">
        <v>49507</v>
      </c>
      <c r="EL2" s="1">
        <v>94399</v>
      </c>
      <c r="EM2" s="1">
        <v>97834</v>
      </c>
      <c r="EN2" s="1">
        <v>97411</v>
      </c>
      <c r="EO2" s="1">
        <v>68193</v>
      </c>
      <c r="EP2" s="1">
        <v>89336</v>
      </c>
      <c r="EQ2" s="1">
        <v>76250</v>
      </c>
      <c r="ER2" s="1">
        <v>63274</v>
      </c>
      <c r="ES2" s="1">
        <v>82791</v>
      </c>
      <c r="ET2" s="1">
        <v>75567</v>
      </c>
      <c r="EU2" s="1">
        <v>82665</v>
      </c>
      <c r="EV2" s="1">
        <v>76789</v>
      </c>
      <c r="EW2" s="1">
        <v>60113</v>
      </c>
      <c r="EX2" s="1">
        <v>89773</v>
      </c>
      <c r="EY2" s="1">
        <v>0</v>
      </c>
      <c r="EZ2" s="1">
        <v>119133</v>
      </c>
      <c r="FA2" s="1">
        <v>53094</v>
      </c>
      <c r="FB2" s="1">
        <v>84973</v>
      </c>
      <c r="FC2" s="1">
        <v>55496</v>
      </c>
      <c r="FD2" s="1">
        <v>58553</v>
      </c>
      <c r="FE2" s="1">
        <v>63956</v>
      </c>
      <c r="FF2" s="1">
        <v>72708</v>
      </c>
      <c r="FG2" s="1">
        <v>83750</v>
      </c>
      <c r="FH2" s="1">
        <v>47158</v>
      </c>
      <c r="FI2" s="1">
        <v>63525</v>
      </c>
      <c r="FJ2" s="1">
        <v>56992</v>
      </c>
      <c r="FK2" s="1">
        <v>0</v>
      </c>
      <c r="FL2" s="1">
        <v>63853</v>
      </c>
      <c r="FM2" s="1">
        <v>74773</v>
      </c>
      <c r="FN2" s="1">
        <v>87582</v>
      </c>
      <c r="FO2" s="1">
        <v>55235</v>
      </c>
      <c r="FP2" s="1">
        <v>92083</v>
      </c>
      <c r="FQ2" s="1">
        <v>102019</v>
      </c>
      <c r="FR2" s="1">
        <v>54286</v>
      </c>
      <c r="FS2" s="1">
        <v>92671</v>
      </c>
      <c r="FT2" s="1">
        <v>100467</v>
      </c>
      <c r="FU2" s="1">
        <v>104295</v>
      </c>
      <c r="FV2" s="1">
        <v>58867</v>
      </c>
      <c r="FW2" s="1">
        <v>114479</v>
      </c>
      <c r="FX2" s="1">
        <v>81503</v>
      </c>
      <c r="FY2" s="1">
        <v>83756</v>
      </c>
      <c r="FZ2" s="1">
        <v>84020</v>
      </c>
      <c r="GA2" s="1">
        <v>113381</v>
      </c>
      <c r="GB2" s="1">
        <v>69643</v>
      </c>
      <c r="GC2" s="1">
        <v>60085</v>
      </c>
      <c r="GD2" s="1">
        <v>63973</v>
      </c>
      <c r="GE2" s="1">
        <v>81250</v>
      </c>
      <c r="GF2" s="1">
        <v>58977</v>
      </c>
      <c r="GG2" s="1">
        <v>51542</v>
      </c>
      <c r="GH2" s="1">
        <v>68835</v>
      </c>
      <c r="GI2" s="1">
        <v>78490</v>
      </c>
      <c r="GJ2" s="1">
        <v>23676</v>
      </c>
      <c r="GK2" s="1">
        <v>53444</v>
      </c>
      <c r="GL2" s="1">
        <v>67823</v>
      </c>
      <c r="GM2" s="1">
        <v>44849</v>
      </c>
      <c r="GN2" s="1">
        <v>65660</v>
      </c>
      <c r="GO2" s="1">
        <v>59701</v>
      </c>
      <c r="GP2" s="1">
        <v>57589</v>
      </c>
      <c r="GQ2" s="1">
        <v>50647</v>
      </c>
      <c r="GR2" s="1">
        <v>80151</v>
      </c>
      <c r="GS2" s="1">
        <v>0</v>
      </c>
      <c r="GT2" s="1">
        <v>53512</v>
      </c>
      <c r="GU2" s="1">
        <v>98582</v>
      </c>
      <c r="GV2" s="1">
        <v>80697</v>
      </c>
      <c r="GW2" s="1">
        <v>88125</v>
      </c>
      <c r="GX2" s="1">
        <v>73721</v>
      </c>
      <c r="GY2" s="1">
        <v>57804</v>
      </c>
      <c r="GZ2" s="1">
        <v>100893</v>
      </c>
      <c r="HA2" s="1">
        <v>53809</v>
      </c>
      <c r="HB2" s="1">
        <v>74853</v>
      </c>
      <c r="HC2" s="1">
        <v>102653</v>
      </c>
      <c r="HD2" s="1">
        <v>71184</v>
      </c>
      <c r="HE2" s="1">
        <v>110821</v>
      </c>
      <c r="HF2" s="1">
        <v>0</v>
      </c>
      <c r="HG2" s="1">
        <v>63380</v>
      </c>
      <c r="HH2" s="1">
        <v>50337</v>
      </c>
      <c r="HI2" s="1">
        <v>77800</v>
      </c>
      <c r="HJ2" s="1">
        <v>99764</v>
      </c>
      <c r="HK2" s="1">
        <v>116257</v>
      </c>
      <c r="HL2" s="1">
        <v>67855</v>
      </c>
      <c r="HM2" s="1">
        <v>0</v>
      </c>
      <c r="HN2" s="1">
        <v>75469</v>
      </c>
      <c r="HO2" s="1">
        <v>48346</v>
      </c>
      <c r="HP2" s="1">
        <v>48839</v>
      </c>
      <c r="HQ2" s="1">
        <v>0</v>
      </c>
      <c r="HR2" s="1">
        <v>110380</v>
      </c>
      <c r="HS2" s="1">
        <v>45290</v>
      </c>
      <c r="HT2" s="1">
        <v>78345</v>
      </c>
      <c r="HU2" s="1">
        <v>52784</v>
      </c>
      <c r="HV2" s="1">
        <v>73608</v>
      </c>
      <c r="HW2" s="1">
        <v>77260</v>
      </c>
      <c r="HX2" s="1">
        <v>58799</v>
      </c>
      <c r="HY2" s="1">
        <v>44267</v>
      </c>
      <c r="HZ2" s="1">
        <v>0</v>
      </c>
      <c r="IA2" s="1">
        <v>103982</v>
      </c>
      <c r="IB2" s="1">
        <v>120679</v>
      </c>
      <c r="IC2" s="1">
        <v>140417</v>
      </c>
      <c r="ID2" s="1">
        <v>78429</v>
      </c>
      <c r="IE2" s="1">
        <v>110303</v>
      </c>
      <c r="IF2" s="1">
        <v>45641</v>
      </c>
      <c r="IG2" s="1">
        <v>46988</v>
      </c>
      <c r="IH2" s="1">
        <v>70540</v>
      </c>
      <c r="II2" s="1">
        <v>64514</v>
      </c>
      <c r="IJ2" s="1">
        <v>32374</v>
      </c>
      <c r="IK2" s="1">
        <v>36436</v>
      </c>
      <c r="IL2" s="1">
        <v>91135</v>
      </c>
      <c r="IM2" s="1">
        <v>105785</v>
      </c>
      <c r="IN2" s="1">
        <v>69640</v>
      </c>
      <c r="IO2" s="1">
        <v>127776</v>
      </c>
      <c r="IP2" s="1">
        <v>0</v>
      </c>
      <c r="IQ2" s="1">
        <v>90455</v>
      </c>
      <c r="IR2" s="1">
        <v>110208</v>
      </c>
      <c r="IS2" s="1">
        <v>173761</v>
      </c>
      <c r="IT2" s="1">
        <v>101186</v>
      </c>
      <c r="IU2" s="1">
        <v>69912</v>
      </c>
      <c r="IV2" s="1">
        <v>60748</v>
      </c>
      <c r="IW2" s="1">
        <v>0</v>
      </c>
      <c r="IX2" s="1">
        <v>0</v>
      </c>
      <c r="IY2" s="1">
        <v>51415</v>
      </c>
      <c r="IZ2" s="1">
        <v>49558</v>
      </c>
      <c r="JA2" s="1">
        <v>123125</v>
      </c>
      <c r="JB2" s="1">
        <v>97106</v>
      </c>
      <c r="JC2" s="1">
        <v>57564</v>
      </c>
      <c r="JD2" s="1">
        <v>75104</v>
      </c>
      <c r="JE2" s="1">
        <v>115779</v>
      </c>
      <c r="JF2" s="1">
        <v>58710</v>
      </c>
      <c r="JG2" s="1">
        <v>101875</v>
      </c>
      <c r="JH2" s="1">
        <v>68350</v>
      </c>
      <c r="JI2" s="1">
        <v>58713</v>
      </c>
      <c r="JJ2" s="1">
        <v>77116</v>
      </c>
      <c r="JK2" s="1">
        <v>51424</v>
      </c>
      <c r="JL2" s="1">
        <v>88875</v>
      </c>
      <c r="JM2" s="1">
        <v>103879</v>
      </c>
      <c r="JN2" s="1">
        <v>49292</v>
      </c>
      <c r="JO2" s="1">
        <v>65208</v>
      </c>
      <c r="JP2" s="1">
        <v>43218</v>
      </c>
      <c r="JQ2" s="1">
        <v>48125</v>
      </c>
      <c r="JR2" s="1">
        <v>44427</v>
      </c>
      <c r="JS2" s="1">
        <v>0</v>
      </c>
      <c r="JT2" s="1">
        <v>66350</v>
      </c>
      <c r="JU2" s="1">
        <v>56236</v>
      </c>
      <c r="JV2" s="1">
        <v>50214</v>
      </c>
      <c r="JW2" s="1">
        <v>51290</v>
      </c>
      <c r="JX2" s="1">
        <v>17000</v>
      </c>
      <c r="JY2" s="1">
        <v>59033</v>
      </c>
      <c r="JZ2" s="1">
        <v>78635</v>
      </c>
      <c r="KA2" s="1">
        <v>59324</v>
      </c>
      <c r="KB2" s="1">
        <v>43008</v>
      </c>
      <c r="KC2" s="1">
        <v>41375</v>
      </c>
      <c r="KD2" s="1">
        <v>43750</v>
      </c>
      <c r="KE2" s="1">
        <v>45214</v>
      </c>
      <c r="KF2" s="1">
        <v>46388</v>
      </c>
      <c r="KG2" s="1">
        <v>37500</v>
      </c>
      <c r="KH2" s="1">
        <v>31579</v>
      </c>
      <c r="KI2" s="1">
        <v>35906</v>
      </c>
      <c r="KJ2" s="1">
        <v>70833</v>
      </c>
      <c r="KK2" s="1">
        <v>0</v>
      </c>
      <c r="KL2" s="1">
        <v>0</v>
      </c>
      <c r="KM2" s="1">
        <v>53036</v>
      </c>
      <c r="KN2" s="1">
        <v>0</v>
      </c>
      <c r="KO2" s="1">
        <v>51083</v>
      </c>
      <c r="KP2" s="1">
        <v>44942</v>
      </c>
      <c r="KQ2" s="1">
        <v>47368</v>
      </c>
      <c r="KR2" s="1">
        <v>43583</v>
      </c>
      <c r="KS2" s="1">
        <v>51083</v>
      </c>
      <c r="KT2" s="1">
        <v>31269</v>
      </c>
      <c r="KU2" s="1">
        <v>46451</v>
      </c>
      <c r="KV2" s="1">
        <v>0</v>
      </c>
      <c r="KW2" s="1">
        <v>69790</v>
      </c>
      <c r="KX2" s="1">
        <v>80714</v>
      </c>
      <c r="KY2" s="1">
        <v>44701</v>
      </c>
      <c r="KZ2" s="1">
        <v>70650</v>
      </c>
      <c r="LA2" s="1">
        <v>38179</v>
      </c>
      <c r="LB2" s="1">
        <v>68000</v>
      </c>
      <c r="LC2" s="1">
        <v>51580</v>
      </c>
      <c r="LD2" s="1">
        <v>40642</v>
      </c>
      <c r="LE2" s="1">
        <v>58777</v>
      </c>
      <c r="LF2" s="1">
        <v>67046</v>
      </c>
      <c r="LG2" s="1">
        <v>88691</v>
      </c>
      <c r="LH2" s="1">
        <v>72119</v>
      </c>
      <c r="LI2" s="1">
        <v>47420</v>
      </c>
      <c r="LJ2" s="1">
        <v>74115</v>
      </c>
      <c r="LK2" s="1">
        <v>61169</v>
      </c>
      <c r="LL2" s="1">
        <v>55648</v>
      </c>
      <c r="LM2" s="1">
        <v>72593</v>
      </c>
      <c r="LN2" s="1">
        <v>104314</v>
      </c>
      <c r="LO2" s="1">
        <v>94079</v>
      </c>
      <c r="LP2" s="1">
        <v>98228</v>
      </c>
      <c r="LQ2" s="1">
        <v>58981</v>
      </c>
      <c r="LR2" s="1">
        <v>58869</v>
      </c>
      <c r="LS2" s="1">
        <v>71406</v>
      </c>
      <c r="LT2" s="1">
        <v>73131</v>
      </c>
      <c r="LU2" s="1">
        <v>57475</v>
      </c>
      <c r="LV2" s="1">
        <v>92273</v>
      </c>
      <c r="LW2" s="1">
        <v>66401</v>
      </c>
      <c r="LX2" s="1">
        <v>62772</v>
      </c>
      <c r="LY2" s="1">
        <v>59881</v>
      </c>
      <c r="LZ2" s="1">
        <v>54688</v>
      </c>
      <c r="MA2" s="1">
        <v>65902</v>
      </c>
      <c r="MB2" s="1">
        <v>84601</v>
      </c>
      <c r="MC2" s="1">
        <v>50545</v>
      </c>
      <c r="MD2" s="1">
        <v>70080</v>
      </c>
      <c r="ME2" s="1">
        <v>42292</v>
      </c>
      <c r="MF2" s="1">
        <v>51789</v>
      </c>
      <c r="MG2" s="1">
        <v>25096</v>
      </c>
      <c r="MH2" s="1">
        <v>71806</v>
      </c>
      <c r="MI2" s="1">
        <v>88922</v>
      </c>
      <c r="MJ2" s="1">
        <v>88531</v>
      </c>
      <c r="MK2" s="1">
        <v>74908</v>
      </c>
      <c r="ML2" s="1">
        <v>72604</v>
      </c>
      <c r="MM2" s="1">
        <v>55076</v>
      </c>
      <c r="MN2" s="1">
        <v>87386</v>
      </c>
      <c r="MO2" s="1">
        <v>107727</v>
      </c>
      <c r="MP2" s="1">
        <v>90876</v>
      </c>
      <c r="MQ2" s="1">
        <v>53125</v>
      </c>
      <c r="MR2" s="1">
        <v>53786</v>
      </c>
      <c r="MS2" s="1">
        <v>69292</v>
      </c>
      <c r="MT2" s="1">
        <v>36875</v>
      </c>
      <c r="MU2" s="1">
        <v>63261</v>
      </c>
      <c r="MV2" s="1">
        <v>51977</v>
      </c>
      <c r="MW2" s="1">
        <v>55441</v>
      </c>
      <c r="MX2" s="1">
        <v>51053</v>
      </c>
      <c r="MY2" s="1">
        <v>45938</v>
      </c>
      <c r="MZ2" s="1">
        <v>78594</v>
      </c>
      <c r="NA2" s="1">
        <v>72985</v>
      </c>
      <c r="NB2" s="1">
        <v>56471</v>
      </c>
      <c r="NC2" s="1">
        <v>63375</v>
      </c>
      <c r="ND2" s="1">
        <v>71000</v>
      </c>
      <c r="NE2" s="1">
        <v>70511</v>
      </c>
      <c r="NF2" s="1">
        <v>64185</v>
      </c>
      <c r="NG2" s="1">
        <v>60104</v>
      </c>
      <c r="NH2" s="1">
        <v>0</v>
      </c>
      <c r="NI2" s="1">
        <v>78250</v>
      </c>
      <c r="NJ2" s="1">
        <v>72500</v>
      </c>
      <c r="NK2" s="1">
        <v>51988</v>
      </c>
      <c r="NL2" s="1">
        <v>0</v>
      </c>
      <c r="NM2" s="1">
        <v>59224</v>
      </c>
      <c r="NN2" s="1">
        <v>0</v>
      </c>
      <c r="NO2" s="1">
        <v>0</v>
      </c>
      <c r="NP2" s="1">
        <v>36319</v>
      </c>
      <c r="NQ2" s="1">
        <v>0</v>
      </c>
      <c r="NR2" s="1">
        <v>46701</v>
      </c>
      <c r="NS2" s="1">
        <v>58727</v>
      </c>
      <c r="NT2" s="1">
        <v>57455</v>
      </c>
      <c r="NU2" s="1">
        <v>0</v>
      </c>
      <c r="NV2" s="1">
        <v>71932</v>
      </c>
      <c r="NW2" s="1">
        <v>77833</v>
      </c>
      <c r="NX2" s="1">
        <v>109259</v>
      </c>
      <c r="NY2" s="1">
        <v>128571</v>
      </c>
      <c r="NZ2" s="1">
        <v>0</v>
      </c>
      <c r="OA2" s="1">
        <v>68289</v>
      </c>
      <c r="OB2" s="1">
        <v>80063</v>
      </c>
      <c r="OC2" s="1">
        <v>70571</v>
      </c>
      <c r="OD2" s="1">
        <v>62035</v>
      </c>
      <c r="OE2" s="1">
        <v>50733</v>
      </c>
      <c r="OF2" s="1">
        <v>39948</v>
      </c>
      <c r="OG2" s="1">
        <v>46127</v>
      </c>
      <c r="OH2" s="1">
        <v>48815</v>
      </c>
      <c r="OI2" s="1">
        <v>48314</v>
      </c>
      <c r="OJ2" s="1">
        <v>44933</v>
      </c>
      <c r="OK2" s="1">
        <v>0</v>
      </c>
      <c r="OL2" s="1">
        <v>66103</v>
      </c>
      <c r="OM2" s="1">
        <v>83592</v>
      </c>
      <c r="ON2" s="1">
        <v>60331</v>
      </c>
      <c r="OO2" s="1">
        <v>60545</v>
      </c>
      <c r="OP2" s="1">
        <v>68911</v>
      </c>
      <c r="OQ2" s="1">
        <v>80276</v>
      </c>
      <c r="OR2" s="1">
        <v>65622</v>
      </c>
      <c r="OS2" s="1">
        <v>86976</v>
      </c>
      <c r="OT2" s="1">
        <v>85417</v>
      </c>
      <c r="OU2" s="1">
        <v>54070</v>
      </c>
      <c r="OV2" s="1">
        <v>63000</v>
      </c>
      <c r="OW2" s="1">
        <v>0</v>
      </c>
      <c r="OX2" s="1">
        <v>20577</v>
      </c>
      <c r="OY2" s="1">
        <v>81150</v>
      </c>
      <c r="OZ2" s="1">
        <v>47941</v>
      </c>
      <c r="PA2" s="1">
        <v>53417</v>
      </c>
      <c r="PB2" s="1">
        <v>51818</v>
      </c>
      <c r="PC2" s="1">
        <v>51186</v>
      </c>
      <c r="PD2" s="1">
        <v>101224</v>
      </c>
      <c r="PE2" s="1">
        <v>49224</v>
      </c>
      <c r="PF2" s="1">
        <v>74081</v>
      </c>
      <c r="PG2" s="1">
        <v>71351</v>
      </c>
      <c r="PH2" s="1">
        <v>58209</v>
      </c>
      <c r="PI2" s="1">
        <v>61990</v>
      </c>
      <c r="PJ2" s="1">
        <v>63250</v>
      </c>
      <c r="PK2" s="1">
        <v>55521</v>
      </c>
      <c r="PL2" s="1">
        <v>68227</v>
      </c>
      <c r="PM2" s="1">
        <v>62237</v>
      </c>
      <c r="PN2" s="1">
        <v>64034</v>
      </c>
      <c r="PO2" s="1">
        <v>51775</v>
      </c>
      <c r="PP2" s="1">
        <v>0</v>
      </c>
      <c r="PQ2" s="1">
        <v>68056</v>
      </c>
      <c r="PR2" s="1">
        <v>0</v>
      </c>
      <c r="PS2" s="1">
        <v>46702</v>
      </c>
      <c r="PT2" s="1">
        <v>46603</v>
      </c>
      <c r="PU2" s="1">
        <v>45909</v>
      </c>
      <c r="PV2" s="1">
        <v>51893</v>
      </c>
      <c r="PW2" s="1">
        <v>52917</v>
      </c>
      <c r="PX2" s="1">
        <v>56791</v>
      </c>
      <c r="PY2" s="1">
        <v>81445</v>
      </c>
      <c r="PZ2" s="1">
        <v>53228</v>
      </c>
      <c r="QA2" s="1">
        <v>70302</v>
      </c>
      <c r="QB2" s="1">
        <v>76088</v>
      </c>
      <c r="QC2" s="1">
        <v>47850</v>
      </c>
      <c r="QD2" s="1">
        <v>44294</v>
      </c>
      <c r="QE2" s="1">
        <v>80769</v>
      </c>
      <c r="QF2" s="1">
        <v>42820</v>
      </c>
      <c r="QG2" s="1">
        <v>99150</v>
      </c>
      <c r="QH2" s="1">
        <v>0</v>
      </c>
      <c r="QI2" s="1">
        <v>55083</v>
      </c>
      <c r="QJ2" s="1">
        <v>47017</v>
      </c>
      <c r="QK2" s="1">
        <v>69993</v>
      </c>
      <c r="QL2" s="1">
        <v>14306</v>
      </c>
      <c r="QM2" s="1">
        <v>64561</v>
      </c>
      <c r="QN2" s="1">
        <v>82853</v>
      </c>
      <c r="QO2" s="1">
        <v>54630</v>
      </c>
      <c r="QP2" s="1">
        <v>49167</v>
      </c>
      <c r="QQ2" s="1">
        <v>62895</v>
      </c>
      <c r="QR2" s="1">
        <v>49964</v>
      </c>
      <c r="QS2" s="1">
        <v>125020</v>
      </c>
      <c r="QT2" s="1">
        <v>66484</v>
      </c>
      <c r="QU2" s="1">
        <v>0</v>
      </c>
      <c r="QV2" s="1">
        <v>81133</v>
      </c>
      <c r="QW2" s="1">
        <v>72977</v>
      </c>
      <c r="QX2" s="1">
        <v>62081</v>
      </c>
      <c r="QY2" s="1">
        <v>33992</v>
      </c>
      <c r="QZ2" s="1">
        <v>48684</v>
      </c>
      <c r="RA2" s="1">
        <v>0</v>
      </c>
      <c r="RB2" s="1">
        <v>42250</v>
      </c>
      <c r="RC2" s="1">
        <v>41284</v>
      </c>
      <c r="RD2" s="1">
        <v>0</v>
      </c>
      <c r="RE2" s="1">
        <v>55170</v>
      </c>
      <c r="RF2" s="1">
        <v>55540</v>
      </c>
      <c r="RG2" s="1">
        <v>46324</v>
      </c>
      <c r="RH2" s="1">
        <v>52202</v>
      </c>
      <c r="RI2" s="1">
        <v>42361</v>
      </c>
      <c r="RJ2" s="1">
        <v>22282</v>
      </c>
      <c r="RK2" s="1">
        <v>41189</v>
      </c>
      <c r="RL2" s="1">
        <v>69511</v>
      </c>
      <c r="RM2" s="1">
        <v>44271</v>
      </c>
      <c r="RN2" s="1">
        <v>77831</v>
      </c>
      <c r="RO2" s="1">
        <v>64647</v>
      </c>
      <c r="RP2" s="1">
        <v>0</v>
      </c>
      <c r="RQ2" s="1">
        <v>39258</v>
      </c>
      <c r="RR2" s="1">
        <v>57781</v>
      </c>
      <c r="RS2" s="1">
        <v>37083</v>
      </c>
      <c r="RT2" s="1">
        <v>0</v>
      </c>
      <c r="RU2" s="1">
        <v>99722</v>
      </c>
      <c r="RV2" s="1">
        <v>42886</v>
      </c>
      <c r="RW2" s="1">
        <v>48603</v>
      </c>
      <c r="RX2" s="1">
        <v>79957</v>
      </c>
      <c r="RY2" s="1">
        <v>47453</v>
      </c>
      <c r="RZ2" s="1">
        <v>68625</v>
      </c>
      <c r="SA2" s="1">
        <v>65313</v>
      </c>
      <c r="SB2" s="1">
        <v>55207</v>
      </c>
      <c r="SC2" s="1">
        <v>45578</v>
      </c>
      <c r="SD2" s="1">
        <v>52500</v>
      </c>
      <c r="SE2" s="1">
        <v>60017</v>
      </c>
      <c r="SF2" s="1">
        <v>40644</v>
      </c>
      <c r="SG2" s="1">
        <v>53571</v>
      </c>
      <c r="SH2" s="1">
        <v>37298</v>
      </c>
      <c r="SI2" s="1">
        <v>46258</v>
      </c>
      <c r="SJ2" s="1">
        <v>48889</v>
      </c>
      <c r="SK2" s="1">
        <v>45084</v>
      </c>
      <c r="SL2" s="1">
        <v>60102</v>
      </c>
      <c r="SM2" s="1">
        <v>135000</v>
      </c>
      <c r="SN2" s="1">
        <v>46020</v>
      </c>
      <c r="SO2" s="1">
        <v>72265</v>
      </c>
      <c r="SP2" s="1">
        <v>70177</v>
      </c>
      <c r="SQ2" s="1">
        <v>54322</v>
      </c>
      <c r="SR2" s="1">
        <v>47500</v>
      </c>
      <c r="SS2" s="1">
        <v>69741</v>
      </c>
      <c r="ST2" s="1">
        <v>73750</v>
      </c>
      <c r="SU2" s="1">
        <v>0</v>
      </c>
      <c r="SV2" s="1">
        <v>46875</v>
      </c>
      <c r="SW2" s="1">
        <v>43665</v>
      </c>
      <c r="SX2" s="1">
        <v>51625</v>
      </c>
      <c r="SY2" s="1">
        <v>66406</v>
      </c>
      <c r="SZ2" s="1">
        <v>0</v>
      </c>
      <c r="TA2" s="1">
        <v>24539</v>
      </c>
      <c r="TB2" s="1">
        <v>33806</v>
      </c>
      <c r="TC2" s="1">
        <v>33558</v>
      </c>
      <c r="TD2" s="1">
        <v>0</v>
      </c>
      <c r="TE2" s="1">
        <v>84792</v>
      </c>
      <c r="TF2" s="1">
        <v>112738</v>
      </c>
      <c r="TG2" s="1">
        <v>55952</v>
      </c>
      <c r="TH2" s="1">
        <v>46789</v>
      </c>
      <c r="TI2" s="1">
        <v>24643</v>
      </c>
      <c r="TJ2" s="1">
        <v>76509</v>
      </c>
      <c r="TK2" s="1">
        <v>67692</v>
      </c>
      <c r="TL2" s="1">
        <v>38083</v>
      </c>
      <c r="TM2" s="1">
        <v>23935</v>
      </c>
      <c r="TN2" s="1">
        <v>34773</v>
      </c>
      <c r="TO2" s="1">
        <v>45000</v>
      </c>
      <c r="TP2" s="1">
        <v>54391</v>
      </c>
      <c r="TQ2" s="1">
        <v>0</v>
      </c>
      <c r="TR2" s="1">
        <v>48184</v>
      </c>
      <c r="TS2" s="1">
        <v>53006</v>
      </c>
      <c r="TT2" s="1">
        <v>59830</v>
      </c>
      <c r="TU2" s="1">
        <v>78537</v>
      </c>
      <c r="TV2" s="1">
        <v>72500</v>
      </c>
      <c r="TW2" s="1">
        <v>23946</v>
      </c>
      <c r="TX2" s="1">
        <v>66485</v>
      </c>
      <c r="TY2" s="1">
        <v>80625</v>
      </c>
      <c r="TZ2" s="1">
        <v>39875</v>
      </c>
      <c r="UA2" s="1">
        <v>61713</v>
      </c>
      <c r="UB2" s="1">
        <v>43455</v>
      </c>
      <c r="UC2" s="1">
        <v>40560</v>
      </c>
      <c r="UD2" s="1">
        <v>35078</v>
      </c>
      <c r="UE2" s="1">
        <v>25682</v>
      </c>
      <c r="UF2" s="1">
        <v>49000</v>
      </c>
      <c r="UG2" s="1">
        <v>45625</v>
      </c>
      <c r="UH2" s="1">
        <v>47449</v>
      </c>
      <c r="UI2" s="1">
        <v>46250</v>
      </c>
      <c r="UJ2" s="1">
        <v>0</v>
      </c>
      <c r="UK2" s="1">
        <v>42639</v>
      </c>
      <c r="UL2" s="1">
        <v>29970</v>
      </c>
      <c r="UM2" s="1">
        <v>80716</v>
      </c>
      <c r="UN2" s="1">
        <v>40217</v>
      </c>
      <c r="UO2" s="1">
        <v>65221</v>
      </c>
      <c r="UP2" s="1">
        <v>72321</v>
      </c>
      <c r="UQ2" s="1">
        <v>52665</v>
      </c>
      <c r="UR2" s="1">
        <v>45619</v>
      </c>
      <c r="US2" s="1">
        <v>38672</v>
      </c>
      <c r="UT2" s="1">
        <v>43578</v>
      </c>
      <c r="UU2" s="1">
        <v>63808</v>
      </c>
      <c r="UV2" s="1">
        <v>84444</v>
      </c>
      <c r="UW2" s="1">
        <v>21642</v>
      </c>
      <c r="UX2" s="1">
        <v>40228</v>
      </c>
      <c r="UY2" s="1">
        <v>28915</v>
      </c>
      <c r="UZ2" s="1">
        <v>0</v>
      </c>
      <c r="VA2" s="1">
        <v>76214</v>
      </c>
      <c r="VB2" s="1">
        <v>47560</v>
      </c>
      <c r="VC2" s="1">
        <v>0</v>
      </c>
      <c r="VD2" s="1">
        <v>67073</v>
      </c>
      <c r="VE2" s="1">
        <v>41145</v>
      </c>
      <c r="VF2" s="1">
        <v>86141</v>
      </c>
      <c r="VG2" s="1">
        <v>46618</v>
      </c>
      <c r="VH2" s="1">
        <v>62773</v>
      </c>
      <c r="VI2" s="1">
        <v>0</v>
      </c>
      <c r="VJ2" s="1">
        <v>42799</v>
      </c>
      <c r="VK2" s="1">
        <v>97857</v>
      </c>
      <c r="VL2" s="1">
        <v>62500</v>
      </c>
      <c r="VM2" s="1">
        <v>49844</v>
      </c>
      <c r="VN2" s="1">
        <v>92114</v>
      </c>
      <c r="VO2" s="1">
        <v>55579</v>
      </c>
      <c r="VP2" s="1">
        <v>0</v>
      </c>
      <c r="VQ2" s="1">
        <v>48538</v>
      </c>
      <c r="VR2" s="1">
        <v>59841</v>
      </c>
      <c r="VS2" s="1">
        <v>58125</v>
      </c>
      <c r="VT2" s="1">
        <v>65306</v>
      </c>
      <c r="VU2" s="1">
        <v>68689</v>
      </c>
      <c r="VV2" s="1">
        <v>90019</v>
      </c>
      <c r="VW2" s="1">
        <v>44167</v>
      </c>
      <c r="VX2" s="1">
        <v>104411</v>
      </c>
      <c r="VY2" s="1">
        <v>76960</v>
      </c>
      <c r="VZ2" s="1">
        <v>0</v>
      </c>
      <c r="WA2" s="1">
        <v>99729</v>
      </c>
      <c r="WB2" s="1">
        <v>62051</v>
      </c>
      <c r="WC2" s="1">
        <v>54543</v>
      </c>
      <c r="WD2" s="1">
        <v>0</v>
      </c>
      <c r="WE2" s="1">
        <v>49881</v>
      </c>
      <c r="WF2" s="1">
        <v>45872</v>
      </c>
      <c r="WG2" s="1">
        <v>54197</v>
      </c>
      <c r="WH2" s="1">
        <v>62698</v>
      </c>
      <c r="WI2" s="1">
        <v>77270</v>
      </c>
      <c r="WJ2" s="1">
        <v>46635</v>
      </c>
      <c r="WK2" s="1">
        <v>0</v>
      </c>
      <c r="WL2" s="1">
        <v>89316</v>
      </c>
      <c r="WM2" s="1">
        <v>119670</v>
      </c>
      <c r="WN2" s="1">
        <v>35753</v>
      </c>
      <c r="WO2" s="1">
        <v>66078</v>
      </c>
      <c r="WP2" s="1">
        <v>0</v>
      </c>
      <c r="WQ2" s="1">
        <v>38633</v>
      </c>
      <c r="WR2" s="1">
        <v>50559</v>
      </c>
      <c r="WS2" s="1">
        <v>44438</v>
      </c>
      <c r="WT2" s="1">
        <v>72500</v>
      </c>
      <c r="WU2" s="1">
        <v>42244</v>
      </c>
      <c r="WV2" s="1">
        <v>56825</v>
      </c>
      <c r="WW2" s="1">
        <v>48807</v>
      </c>
      <c r="WX2" s="1">
        <v>45938</v>
      </c>
      <c r="WY2" s="1">
        <v>35181</v>
      </c>
      <c r="WZ2" s="1">
        <v>99738</v>
      </c>
      <c r="XA2" s="1">
        <v>86178</v>
      </c>
      <c r="XB2" s="1">
        <v>0</v>
      </c>
      <c r="XC2" s="1">
        <v>64856</v>
      </c>
      <c r="XD2" s="1">
        <v>72689</v>
      </c>
      <c r="XE2" s="1">
        <v>31053</v>
      </c>
      <c r="XF2" s="1">
        <v>45223</v>
      </c>
      <c r="XG2" s="1">
        <v>49379</v>
      </c>
      <c r="XH2" s="1">
        <v>46159</v>
      </c>
      <c r="XI2" s="1">
        <v>41219</v>
      </c>
      <c r="XJ2" s="1">
        <v>46496</v>
      </c>
      <c r="XK2" s="1">
        <v>36648</v>
      </c>
      <c r="XL2" s="1">
        <v>58158</v>
      </c>
      <c r="XM2" s="1">
        <v>41670</v>
      </c>
      <c r="XN2" s="1">
        <v>65035</v>
      </c>
      <c r="XO2" s="1">
        <v>0</v>
      </c>
      <c r="XP2" s="1">
        <v>71464</v>
      </c>
      <c r="XQ2" s="1">
        <v>33906</v>
      </c>
      <c r="XR2" s="1">
        <v>68472</v>
      </c>
      <c r="XS2" s="1">
        <v>43676</v>
      </c>
      <c r="XT2" s="1">
        <v>44224</v>
      </c>
      <c r="XU2" s="1">
        <v>43348</v>
      </c>
      <c r="XV2" s="1">
        <v>50400</v>
      </c>
      <c r="XW2" s="1">
        <v>53438</v>
      </c>
      <c r="XX2" s="1">
        <v>0</v>
      </c>
      <c r="XY2" s="1">
        <v>46681</v>
      </c>
      <c r="XZ2" s="1">
        <v>68360</v>
      </c>
      <c r="YA2" s="1">
        <v>44906</v>
      </c>
      <c r="YB2" s="1">
        <v>87125</v>
      </c>
      <c r="YC2" s="1">
        <v>42292</v>
      </c>
      <c r="YD2" s="1">
        <v>52083</v>
      </c>
      <c r="YE2" s="1">
        <v>0</v>
      </c>
      <c r="YF2" s="1">
        <v>56563</v>
      </c>
      <c r="YG2" s="1">
        <v>33785</v>
      </c>
      <c r="YH2" s="1">
        <v>0</v>
      </c>
      <c r="YI2" s="1">
        <v>51759</v>
      </c>
      <c r="YJ2" s="1">
        <v>63810</v>
      </c>
      <c r="YK2" s="1">
        <v>0</v>
      </c>
      <c r="YL2" s="1">
        <v>32903</v>
      </c>
      <c r="YM2" s="1">
        <v>50502</v>
      </c>
      <c r="YN2" s="1">
        <v>69437</v>
      </c>
      <c r="YO2" s="1">
        <v>47585</v>
      </c>
      <c r="YP2" s="1">
        <v>48177</v>
      </c>
      <c r="YQ2" s="1">
        <v>47500</v>
      </c>
      <c r="YR2" s="1">
        <v>28917</v>
      </c>
      <c r="YS2" s="1">
        <v>42273</v>
      </c>
      <c r="YT2" s="1">
        <v>79103</v>
      </c>
      <c r="YU2" s="1">
        <v>54464</v>
      </c>
      <c r="YV2" s="1">
        <v>39000</v>
      </c>
      <c r="YW2" s="1">
        <v>59545</v>
      </c>
      <c r="YX2" s="1">
        <v>35243</v>
      </c>
      <c r="YY2" s="1">
        <v>68428</v>
      </c>
      <c r="YZ2" s="1">
        <v>80613</v>
      </c>
      <c r="ZA2" s="1">
        <v>47778</v>
      </c>
      <c r="ZB2" s="1">
        <v>40704</v>
      </c>
      <c r="ZC2" s="1">
        <v>60280</v>
      </c>
      <c r="ZD2" s="1">
        <v>59097</v>
      </c>
      <c r="ZE2" s="1">
        <v>28421</v>
      </c>
      <c r="ZF2" s="1">
        <v>50833</v>
      </c>
      <c r="ZG2" s="1">
        <v>37875</v>
      </c>
      <c r="ZH2" s="1">
        <v>39028</v>
      </c>
      <c r="ZI2" s="1">
        <v>40250</v>
      </c>
      <c r="ZJ2" s="1">
        <v>61806</v>
      </c>
      <c r="ZK2" s="1">
        <v>42938</v>
      </c>
      <c r="ZL2" s="1">
        <v>39333</v>
      </c>
      <c r="ZM2" s="1">
        <v>0</v>
      </c>
      <c r="ZN2" s="1">
        <v>43804</v>
      </c>
      <c r="ZO2" s="1">
        <v>0</v>
      </c>
      <c r="ZP2" s="1">
        <v>0</v>
      </c>
      <c r="ZQ2" s="1">
        <v>32611</v>
      </c>
      <c r="ZR2" s="1">
        <v>0</v>
      </c>
      <c r="ZS2" s="1">
        <v>36805</v>
      </c>
      <c r="ZT2" s="1">
        <v>47286</v>
      </c>
      <c r="ZU2" s="1">
        <v>37915</v>
      </c>
      <c r="ZV2" s="1">
        <v>37917</v>
      </c>
      <c r="ZW2" s="1">
        <v>78016</v>
      </c>
      <c r="ZX2" s="1">
        <v>38815</v>
      </c>
      <c r="ZY2" s="1">
        <v>54300</v>
      </c>
      <c r="ZZ2" s="1">
        <v>40600</v>
      </c>
      <c r="AAA2" s="1">
        <v>28056</v>
      </c>
      <c r="AAB2" s="1">
        <v>76243</v>
      </c>
      <c r="AAC2" s="1">
        <v>51518</v>
      </c>
      <c r="AAD2" s="1">
        <v>0</v>
      </c>
      <c r="AAE2" s="1">
        <v>48527</v>
      </c>
      <c r="AAF2" s="1">
        <v>48750</v>
      </c>
      <c r="AAG2" s="1">
        <v>38889</v>
      </c>
      <c r="AAH2" s="1">
        <v>62880</v>
      </c>
      <c r="AAI2" s="1">
        <v>38286</v>
      </c>
      <c r="AAJ2" s="1">
        <v>66377</v>
      </c>
      <c r="AAK2" s="1">
        <v>50192</v>
      </c>
      <c r="AAL2" s="1">
        <v>39274</v>
      </c>
      <c r="AAM2" s="1">
        <v>37972</v>
      </c>
      <c r="AAN2" s="1">
        <v>0</v>
      </c>
      <c r="AAO2" s="1">
        <v>0</v>
      </c>
      <c r="AAP2" s="1">
        <v>74653</v>
      </c>
      <c r="AAQ2" s="1">
        <v>81838</v>
      </c>
      <c r="AAR2" s="1">
        <v>81468</v>
      </c>
      <c r="AAS2" s="1">
        <v>40938</v>
      </c>
      <c r="AAT2" s="1">
        <v>44113</v>
      </c>
      <c r="AAU2" s="1">
        <v>59038</v>
      </c>
      <c r="AAV2" s="1">
        <v>51467</v>
      </c>
      <c r="AAW2" s="1">
        <v>69286</v>
      </c>
      <c r="AAX2" s="1">
        <v>45625</v>
      </c>
      <c r="AAY2" s="1">
        <v>54797</v>
      </c>
      <c r="AAZ2" s="1">
        <v>61439</v>
      </c>
      <c r="ABA2" s="1">
        <v>38571</v>
      </c>
      <c r="ABB2" s="1">
        <v>36613</v>
      </c>
      <c r="ABC2" s="1">
        <v>35547</v>
      </c>
      <c r="ABD2" s="1">
        <v>52885</v>
      </c>
      <c r="ABE2" s="1">
        <v>34673</v>
      </c>
      <c r="ABF2" s="1">
        <v>72313</v>
      </c>
      <c r="ABG2" s="1">
        <v>47875</v>
      </c>
      <c r="ABH2" s="1">
        <v>45539</v>
      </c>
      <c r="ABI2" s="1">
        <v>52837</v>
      </c>
      <c r="ABJ2" s="1">
        <v>58952</v>
      </c>
      <c r="ABK2" s="1">
        <v>46414</v>
      </c>
      <c r="ABL2" s="1">
        <v>73070</v>
      </c>
      <c r="ABM2" s="1">
        <v>46613</v>
      </c>
      <c r="ABN2" s="1">
        <v>38021</v>
      </c>
      <c r="ABO2" s="1">
        <v>50216</v>
      </c>
      <c r="ABP2" s="1">
        <v>42234</v>
      </c>
      <c r="ABQ2" s="1">
        <v>51810</v>
      </c>
      <c r="ABR2" s="1">
        <v>44493</v>
      </c>
      <c r="ABS2" s="1">
        <v>97361</v>
      </c>
      <c r="ABT2" s="1">
        <v>43646</v>
      </c>
      <c r="ABU2" s="1">
        <v>54429</v>
      </c>
      <c r="ABV2" s="1">
        <v>99469</v>
      </c>
      <c r="ABW2" s="1">
        <v>96970</v>
      </c>
      <c r="ABX2" s="1">
        <v>0</v>
      </c>
      <c r="ABY2" s="1">
        <v>91941</v>
      </c>
      <c r="ABZ2" s="1">
        <v>48417</v>
      </c>
      <c r="ACA2" s="1">
        <v>0</v>
      </c>
      <c r="ACB2" s="1">
        <v>45000</v>
      </c>
      <c r="ACC2" s="1">
        <v>48728</v>
      </c>
      <c r="ACD2" s="1">
        <v>106131</v>
      </c>
      <c r="ACE2" s="1">
        <v>0</v>
      </c>
      <c r="ACF2" s="1">
        <v>59231</v>
      </c>
      <c r="ACG2" s="1">
        <v>69211</v>
      </c>
      <c r="ACH2" s="1">
        <v>27192</v>
      </c>
      <c r="ACI2" s="1">
        <v>42077</v>
      </c>
      <c r="ACJ2" s="1">
        <v>72593</v>
      </c>
      <c r="ACK2" s="1">
        <v>46632</v>
      </c>
      <c r="ACL2" s="1">
        <v>130702</v>
      </c>
      <c r="ACM2" s="1">
        <v>60692</v>
      </c>
      <c r="ACN2" s="1">
        <v>67391</v>
      </c>
      <c r="ACO2" s="1">
        <v>0</v>
      </c>
      <c r="ACP2" s="1">
        <v>60397</v>
      </c>
      <c r="ACQ2" s="1">
        <v>46711</v>
      </c>
      <c r="ACR2" s="1">
        <v>39865</v>
      </c>
      <c r="ACS2" s="1">
        <v>27926</v>
      </c>
      <c r="ACT2" s="1">
        <v>62089</v>
      </c>
      <c r="ACU2" s="1">
        <v>68635</v>
      </c>
      <c r="ACV2" s="1">
        <v>38647</v>
      </c>
      <c r="ACW2" s="1">
        <v>53099</v>
      </c>
      <c r="ACX2" s="1">
        <v>66488</v>
      </c>
      <c r="ACY2" s="1">
        <v>56220</v>
      </c>
      <c r="ACZ2" s="1">
        <v>44472</v>
      </c>
      <c r="ADA2" s="1">
        <v>51133</v>
      </c>
      <c r="ADB2" s="1">
        <v>47914</v>
      </c>
      <c r="ADC2" s="1">
        <v>43494</v>
      </c>
      <c r="ADD2" s="1">
        <v>50234</v>
      </c>
      <c r="ADE2" s="1">
        <v>45043</v>
      </c>
      <c r="ADF2" s="1">
        <v>60669</v>
      </c>
      <c r="ADG2" s="1">
        <v>39375</v>
      </c>
      <c r="ADH2" s="1">
        <v>54500</v>
      </c>
      <c r="ADI2" s="1">
        <v>46433</v>
      </c>
      <c r="ADJ2" s="1">
        <v>0</v>
      </c>
      <c r="ADK2" s="1">
        <v>50625</v>
      </c>
      <c r="ADL2" s="1">
        <v>43208</v>
      </c>
      <c r="ADM2" s="1">
        <v>56145</v>
      </c>
      <c r="ADN2" s="1">
        <v>22224</v>
      </c>
      <c r="ADO2" s="1">
        <v>65078</v>
      </c>
      <c r="ADP2" s="1">
        <v>39907</v>
      </c>
      <c r="ADQ2" s="1">
        <v>45149</v>
      </c>
      <c r="ADR2" s="1">
        <v>47534</v>
      </c>
      <c r="ADS2" s="1">
        <v>32331</v>
      </c>
      <c r="ADT2" s="1">
        <v>40769</v>
      </c>
      <c r="ADU2" s="1">
        <v>39375</v>
      </c>
      <c r="ADV2" s="1">
        <v>45263</v>
      </c>
      <c r="ADW2" s="1">
        <v>46333</v>
      </c>
      <c r="ADX2" s="1">
        <v>24000</v>
      </c>
      <c r="ADY2" s="1">
        <v>47292</v>
      </c>
      <c r="ADZ2" s="1">
        <v>49038</v>
      </c>
      <c r="AEA2" s="1">
        <v>58229</v>
      </c>
      <c r="AEB2" s="1">
        <v>0</v>
      </c>
      <c r="AEC2" s="1">
        <v>32708</v>
      </c>
      <c r="AED2" s="1">
        <v>49810</v>
      </c>
      <c r="AEE2" s="1">
        <v>61849</v>
      </c>
      <c r="AEF2" s="1">
        <v>115742</v>
      </c>
      <c r="AEG2" s="1">
        <v>102536</v>
      </c>
      <c r="AEH2" s="1">
        <v>132753</v>
      </c>
      <c r="AEI2" s="1">
        <v>174750</v>
      </c>
      <c r="AEJ2" s="1">
        <v>151475</v>
      </c>
      <c r="AEK2" s="1">
        <v>102647</v>
      </c>
      <c r="AEL2" s="1">
        <v>112625</v>
      </c>
      <c r="AEM2" s="1">
        <v>129598</v>
      </c>
      <c r="AEN2" s="1">
        <v>0</v>
      </c>
      <c r="AEO2" s="1">
        <v>145445</v>
      </c>
      <c r="AEP2" s="1">
        <v>183393</v>
      </c>
      <c r="AEQ2" s="1">
        <v>118864</v>
      </c>
      <c r="AER2" s="1">
        <v>123438</v>
      </c>
      <c r="AES2" s="1">
        <v>78654</v>
      </c>
      <c r="AET2" s="1">
        <v>110960</v>
      </c>
      <c r="AEU2" s="1">
        <v>154128</v>
      </c>
      <c r="AEV2" s="1">
        <v>0</v>
      </c>
      <c r="AEW2" s="1">
        <v>121908</v>
      </c>
      <c r="AEX2" s="1">
        <v>116475</v>
      </c>
      <c r="AEY2" s="1">
        <v>128977</v>
      </c>
      <c r="AEZ2" s="1">
        <v>126657</v>
      </c>
      <c r="AFA2" s="1">
        <v>56806</v>
      </c>
      <c r="AFB2" s="1">
        <v>111550</v>
      </c>
      <c r="AFC2" s="1">
        <v>86861</v>
      </c>
      <c r="AFD2" s="1">
        <v>193274</v>
      </c>
      <c r="AFE2" s="1">
        <v>196250</v>
      </c>
      <c r="AFF2" s="1">
        <v>131042</v>
      </c>
      <c r="AFG2" s="1">
        <v>151193</v>
      </c>
      <c r="AFH2" s="1">
        <v>141382</v>
      </c>
      <c r="AFI2" s="1">
        <v>144035</v>
      </c>
      <c r="AFJ2" s="1">
        <v>88750</v>
      </c>
      <c r="AFK2" s="1">
        <v>119167</v>
      </c>
      <c r="AFL2" s="1">
        <v>130168</v>
      </c>
      <c r="AFM2" s="1">
        <v>137854</v>
      </c>
      <c r="AFN2" s="1">
        <v>96650</v>
      </c>
      <c r="AFO2" s="1">
        <v>0</v>
      </c>
      <c r="AFP2" s="1">
        <v>110669</v>
      </c>
      <c r="AFQ2" s="1">
        <v>93864</v>
      </c>
      <c r="AFR2" s="1">
        <v>115729</v>
      </c>
      <c r="AFS2" s="1">
        <v>0</v>
      </c>
      <c r="AFT2" s="1">
        <v>0</v>
      </c>
      <c r="AFU2" s="1">
        <v>76250</v>
      </c>
      <c r="AFV2" s="1">
        <v>93313</v>
      </c>
      <c r="AFW2" s="1">
        <v>0</v>
      </c>
      <c r="AFX2" s="1">
        <v>53125</v>
      </c>
      <c r="AFY2" s="1">
        <v>165650</v>
      </c>
      <c r="AFZ2" s="1">
        <v>128325</v>
      </c>
      <c r="AGA2" s="1">
        <v>161071</v>
      </c>
      <c r="AGB2" s="1">
        <v>156161</v>
      </c>
      <c r="AGC2" s="1">
        <v>115710</v>
      </c>
      <c r="AGD2" s="1">
        <v>0</v>
      </c>
      <c r="AGE2" s="1">
        <v>137188</v>
      </c>
      <c r="AGF2" s="1">
        <v>119792</v>
      </c>
      <c r="AGG2" s="1">
        <v>0</v>
      </c>
      <c r="AGH2" s="1">
        <v>143468</v>
      </c>
      <c r="AGI2" s="1">
        <v>89295</v>
      </c>
      <c r="AGJ2" s="1">
        <v>174750</v>
      </c>
      <c r="AGK2" s="1">
        <v>139500</v>
      </c>
      <c r="AGL2" s="1">
        <v>154833</v>
      </c>
      <c r="AGM2" s="1">
        <v>141875</v>
      </c>
      <c r="AGN2" s="1">
        <v>121528</v>
      </c>
      <c r="AGO2" s="1">
        <v>79236</v>
      </c>
      <c r="AGP2" s="1">
        <v>102816</v>
      </c>
      <c r="AGQ2" s="1">
        <v>99555</v>
      </c>
      <c r="AGR2" s="1">
        <v>97720</v>
      </c>
      <c r="AGS2" s="1">
        <v>80569</v>
      </c>
      <c r="AGT2" s="1">
        <v>58884</v>
      </c>
      <c r="AGU2" s="1">
        <v>86633</v>
      </c>
      <c r="AGV2" s="1">
        <v>64674</v>
      </c>
      <c r="AGW2" s="1">
        <v>86534</v>
      </c>
      <c r="AGX2" s="1">
        <v>139056</v>
      </c>
      <c r="AGY2" s="1">
        <v>119507</v>
      </c>
      <c r="AGZ2" s="1">
        <v>158598</v>
      </c>
      <c r="AHA2" s="1">
        <v>162538</v>
      </c>
      <c r="AHB2" s="1">
        <v>82241</v>
      </c>
      <c r="AHC2" s="1">
        <v>128226</v>
      </c>
      <c r="AHD2" s="1">
        <v>105757</v>
      </c>
      <c r="AHE2" s="1">
        <v>130008</v>
      </c>
      <c r="AHF2" s="1">
        <v>128864</v>
      </c>
      <c r="AHG2" s="1">
        <v>124371</v>
      </c>
      <c r="AHH2" s="1">
        <v>158924</v>
      </c>
      <c r="AHI2" s="1">
        <v>85752</v>
      </c>
      <c r="AHJ2" s="1">
        <v>79446</v>
      </c>
      <c r="AHK2" s="1">
        <v>0</v>
      </c>
      <c r="AHL2" s="1">
        <v>73023</v>
      </c>
      <c r="AHM2" s="1">
        <v>121068</v>
      </c>
      <c r="AHN2" s="1">
        <v>77869</v>
      </c>
      <c r="AHO2" s="1">
        <v>78754</v>
      </c>
      <c r="AHP2" s="1">
        <v>71259</v>
      </c>
      <c r="AHQ2" s="1">
        <v>79381</v>
      </c>
      <c r="AHR2" s="1">
        <v>115451</v>
      </c>
      <c r="AHS2" s="1">
        <v>166976</v>
      </c>
      <c r="AHT2" s="1">
        <v>94110</v>
      </c>
      <c r="AHU2" s="1">
        <v>112065</v>
      </c>
      <c r="AHV2" s="1">
        <v>246618</v>
      </c>
      <c r="AHW2" s="1">
        <v>83966</v>
      </c>
      <c r="AHX2" s="1">
        <v>98621</v>
      </c>
      <c r="AHY2" s="1">
        <v>112500</v>
      </c>
      <c r="AHZ2" s="1">
        <v>139167</v>
      </c>
      <c r="AIA2" s="1">
        <v>155794</v>
      </c>
      <c r="AIB2" s="1">
        <v>80876</v>
      </c>
      <c r="AIC2" s="1">
        <v>0</v>
      </c>
      <c r="AID2" s="1">
        <v>131973</v>
      </c>
      <c r="AIE2" s="1">
        <v>118595</v>
      </c>
      <c r="AIF2" s="1">
        <v>118092</v>
      </c>
      <c r="AIG2" s="1">
        <v>215833</v>
      </c>
      <c r="AIH2" s="1">
        <v>178854</v>
      </c>
      <c r="AII2" s="1">
        <v>109931</v>
      </c>
      <c r="AIJ2" s="1">
        <v>89281</v>
      </c>
      <c r="AIK2" s="1">
        <v>82037</v>
      </c>
      <c r="AIL2" s="1">
        <v>79040</v>
      </c>
      <c r="AIM2" s="1">
        <v>80170</v>
      </c>
      <c r="AIN2" s="1">
        <v>83146</v>
      </c>
      <c r="AIO2" s="1">
        <v>111200</v>
      </c>
      <c r="AIP2" s="1">
        <v>194375</v>
      </c>
      <c r="AIQ2" s="1">
        <v>149657</v>
      </c>
      <c r="AIR2" s="1">
        <v>185873</v>
      </c>
      <c r="AIS2" s="1">
        <v>228311</v>
      </c>
      <c r="AIT2" s="1">
        <v>231292</v>
      </c>
      <c r="AIU2" s="1">
        <v>211196</v>
      </c>
      <c r="AIV2" s="1">
        <v>160287</v>
      </c>
      <c r="AIW2" s="1">
        <v>195564</v>
      </c>
      <c r="AIX2" s="1">
        <v>193264</v>
      </c>
      <c r="AIY2" s="1">
        <v>195938</v>
      </c>
      <c r="AIZ2" s="1">
        <v>0</v>
      </c>
      <c r="AJA2" s="1">
        <v>177588</v>
      </c>
      <c r="AJB2" s="1">
        <v>152917</v>
      </c>
      <c r="AJC2" s="1">
        <v>125268</v>
      </c>
      <c r="AJD2" s="1">
        <v>107578</v>
      </c>
      <c r="AJE2" s="1">
        <v>121550</v>
      </c>
      <c r="AJF2" s="1">
        <v>146075</v>
      </c>
      <c r="AJG2" s="1">
        <v>241697</v>
      </c>
      <c r="AJH2" s="1">
        <v>146036</v>
      </c>
      <c r="AJI2" s="1">
        <v>152768</v>
      </c>
      <c r="AJJ2" s="1">
        <v>175250</v>
      </c>
      <c r="AJK2" s="1">
        <v>192083</v>
      </c>
      <c r="AJL2" s="1">
        <v>137990</v>
      </c>
      <c r="AJM2" s="1">
        <v>106050</v>
      </c>
      <c r="AJN2" s="1">
        <v>162472</v>
      </c>
      <c r="AJO2" s="1">
        <v>129775</v>
      </c>
      <c r="AJP2" s="1">
        <v>108211</v>
      </c>
      <c r="AJQ2" s="1">
        <v>107542</v>
      </c>
      <c r="AJR2" s="1">
        <v>86134</v>
      </c>
      <c r="AJS2" s="1">
        <v>141902</v>
      </c>
      <c r="AJT2" s="1">
        <v>100324</v>
      </c>
      <c r="AJU2" s="1">
        <v>131528</v>
      </c>
      <c r="AJV2" s="1">
        <v>171903</v>
      </c>
      <c r="AJW2" s="1">
        <v>94586</v>
      </c>
      <c r="AJX2" s="1">
        <v>0</v>
      </c>
      <c r="AJY2" s="1">
        <v>0</v>
      </c>
      <c r="AJZ2" s="1">
        <v>0</v>
      </c>
      <c r="AKA2" s="1">
        <v>165423</v>
      </c>
      <c r="AKB2" s="1">
        <v>0</v>
      </c>
      <c r="AKC2" s="1">
        <v>19722</v>
      </c>
      <c r="AKD2" s="1">
        <v>123031</v>
      </c>
      <c r="AKE2" s="1">
        <v>105677</v>
      </c>
      <c r="AKF2" s="1">
        <v>78649</v>
      </c>
      <c r="AKG2" s="1">
        <v>90926</v>
      </c>
      <c r="AKH2" s="1">
        <v>142929</v>
      </c>
      <c r="AKI2" s="1">
        <v>91563</v>
      </c>
      <c r="AKJ2" s="1">
        <v>103813</v>
      </c>
      <c r="AKK2" s="1">
        <v>80593</v>
      </c>
      <c r="AKL2" s="1">
        <v>76250</v>
      </c>
      <c r="AKM2" s="1">
        <v>118750</v>
      </c>
      <c r="AKN2" s="1">
        <v>108703</v>
      </c>
      <c r="AKO2" s="1">
        <v>91667</v>
      </c>
      <c r="AKP2" s="1">
        <v>136705</v>
      </c>
      <c r="AKQ2" s="1">
        <v>161141</v>
      </c>
      <c r="AKR2" s="1">
        <v>109366</v>
      </c>
      <c r="AKS2" s="1">
        <v>135454</v>
      </c>
      <c r="AKT2" s="1">
        <v>96424</v>
      </c>
      <c r="AKU2" s="1">
        <v>76131</v>
      </c>
      <c r="AKV2" s="1">
        <v>128220</v>
      </c>
      <c r="AKW2" s="1">
        <v>238095</v>
      </c>
      <c r="AKX2" s="1">
        <v>92333</v>
      </c>
      <c r="AKY2" s="1">
        <v>0</v>
      </c>
      <c r="AKZ2" s="1">
        <v>142202</v>
      </c>
      <c r="ALA2" s="1">
        <v>85833</v>
      </c>
      <c r="ALB2" s="1">
        <v>171185</v>
      </c>
      <c r="ALC2" s="1">
        <v>185195</v>
      </c>
      <c r="ALD2" s="1">
        <v>127554</v>
      </c>
      <c r="ALE2" s="1">
        <v>86195</v>
      </c>
      <c r="ALF2" s="1">
        <v>178207</v>
      </c>
      <c r="ALG2" s="1">
        <v>145000</v>
      </c>
      <c r="ALH2" s="1">
        <v>123658</v>
      </c>
      <c r="ALI2" s="1">
        <v>115134</v>
      </c>
      <c r="ALJ2" s="1">
        <v>125280</v>
      </c>
      <c r="ALK2" s="1">
        <v>150593</v>
      </c>
      <c r="ALL2" s="1">
        <v>125098</v>
      </c>
      <c r="ALM2" s="1">
        <v>117551</v>
      </c>
      <c r="ALN2" s="1">
        <v>0</v>
      </c>
      <c r="ALO2" s="1">
        <v>73542</v>
      </c>
      <c r="ALP2" s="1">
        <v>99513</v>
      </c>
      <c r="ALQ2" s="1">
        <v>152232</v>
      </c>
      <c r="ALR2" s="1">
        <v>0</v>
      </c>
      <c r="ALS2" s="1">
        <v>163462</v>
      </c>
      <c r="ALT2" s="1">
        <v>95596</v>
      </c>
      <c r="ALU2" s="1">
        <v>79778</v>
      </c>
      <c r="ALV2" s="1">
        <v>0</v>
      </c>
      <c r="ALW2" s="1">
        <v>96367</v>
      </c>
      <c r="ALX2" s="1">
        <v>126378</v>
      </c>
      <c r="ALY2" s="1">
        <v>137237</v>
      </c>
      <c r="ALZ2" s="1">
        <v>180167</v>
      </c>
      <c r="AMA2" s="1">
        <v>100853</v>
      </c>
      <c r="AMB2" s="1">
        <v>137399</v>
      </c>
      <c r="AMC2" s="1">
        <v>114200</v>
      </c>
      <c r="AMD2" s="1">
        <v>100573</v>
      </c>
      <c r="AME2" s="1">
        <v>113472</v>
      </c>
      <c r="AMF2" s="1">
        <v>118048</v>
      </c>
      <c r="AMG2" s="1">
        <v>120947</v>
      </c>
      <c r="AMH2" s="1">
        <v>110503</v>
      </c>
      <c r="AMI2" s="1">
        <v>195000</v>
      </c>
      <c r="AMJ2" s="1">
        <v>0</v>
      </c>
      <c r="AMK2" s="1">
        <v>142001</v>
      </c>
      <c r="AML2" s="1">
        <v>140966</v>
      </c>
      <c r="AMM2" s="1">
        <v>116584</v>
      </c>
      <c r="AMN2" s="1">
        <v>132829</v>
      </c>
      <c r="AMO2" s="1">
        <v>96672</v>
      </c>
      <c r="AMP2" s="1">
        <v>148090</v>
      </c>
      <c r="AMQ2" s="1">
        <v>118302</v>
      </c>
      <c r="AMR2" s="1">
        <v>122021</v>
      </c>
      <c r="AMS2" s="1">
        <v>0</v>
      </c>
      <c r="AMT2" s="1">
        <v>187500</v>
      </c>
      <c r="AMU2" s="1">
        <v>158550</v>
      </c>
      <c r="AMV2" s="1">
        <v>83305</v>
      </c>
      <c r="AMW2" s="1">
        <v>105300</v>
      </c>
      <c r="AMX2" s="1">
        <v>141411</v>
      </c>
      <c r="AMY2" s="1">
        <v>127055</v>
      </c>
      <c r="AMZ2" s="1">
        <v>171848</v>
      </c>
      <c r="ANA2" s="1">
        <v>113711</v>
      </c>
      <c r="ANB2" s="1">
        <v>0</v>
      </c>
      <c r="ANC2" s="1">
        <v>115000</v>
      </c>
      <c r="AND2" s="1">
        <v>129231</v>
      </c>
      <c r="ANE2" s="1">
        <v>129583</v>
      </c>
      <c r="ANF2" s="1">
        <v>96406</v>
      </c>
      <c r="ANG2" s="1">
        <v>109076</v>
      </c>
      <c r="ANH2" s="1">
        <v>108424</v>
      </c>
      <c r="ANI2" s="1">
        <v>109848</v>
      </c>
      <c r="ANJ2" s="1">
        <v>138654</v>
      </c>
      <c r="ANK2" s="1">
        <v>123858</v>
      </c>
      <c r="ANL2" s="1">
        <v>42324</v>
      </c>
      <c r="ANM2" s="1">
        <v>59098</v>
      </c>
      <c r="ANN2" s="1">
        <v>92734</v>
      </c>
      <c r="ANO2" s="1">
        <v>38211</v>
      </c>
      <c r="ANP2" s="1">
        <v>61572</v>
      </c>
      <c r="ANQ2" s="1">
        <v>59822</v>
      </c>
      <c r="ANR2" s="1">
        <v>89702</v>
      </c>
      <c r="ANS2" s="1">
        <v>89398</v>
      </c>
      <c r="ANT2" s="1">
        <v>114409</v>
      </c>
      <c r="ANU2" s="1">
        <v>79909</v>
      </c>
      <c r="ANV2" s="1">
        <v>94014</v>
      </c>
      <c r="ANW2" s="1">
        <v>47870</v>
      </c>
      <c r="ANX2" s="1">
        <v>77398</v>
      </c>
      <c r="ANY2" s="1">
        <v>49523</v>
      </c>
      <c r="ANZ2" s="1">
        <v>46761</v>
      </c>
      <c r="AOA2" s="1">
        <v>36665</v>
      </c>
      <c r="AOB2" s="1">
        <v>58847</v>
      </c>
      <c r="AOC2" s="1">
        <v>116000</v>
      </c>
      <c r="AOD2" s="1">
        <v>77571</v>
      </c>
      <c r="AOE2" s="1">
        <v>68140</v>
      </c>
      <c r="AOF2" s="1">
        <v>60483</v>
      </c>
      <c r="AOG2" s="1">
        <v>35541</v>
      </c>
      <c r="AOH2" s="1">
        <v>86443</v>
      </c>
      <c r="AOI2" s="1">
        <v>49171</v>
      </c>
      <c r="AOJ2" s="1">
        <v>71500</v>
      </c>
      <c r="AOK2" s="1">
        <v>78626</v>
      </c>
      <c r="AOL2" s="1">
        <v>102592</v>
      </c>
      <c r="AOM2" s="1">
        <v>52692</v>
      </c>
      <c r="AON2" s="1">
        <v>95470</v>
      </c>
      <c r="AOO2" s="1">
        <v>88091</v>
      </c>
      <c r="AOP2" s="1">
        <v>0</v>
      </c>
      <c r="AOQ2" s="1">
        <v>80692</v>
      </c>
      <c r="AOR2" s="1">
        <v>91855</v>
      </c>
      <c r="AOS2" s="1">
        <v>84118</v>
      </c>
      <c r="AOT2" s="1">
        <v>62547</v>
      </c>
      <c r="AOU2" s="1">
        <v>0</v>
      </c>
      <c r="AOV2" s="1">
        <v>80335</v>
      </c>
      <c r="AOW2" s="1">
        <v>0</v>
      </c>
      <c r="AOX2" s="1">
        <v>0</v>
      </c>
      <c r="AOY2" s="1">
        <v>0</v>
      </c>
      <c r="AOZ2" s="1">
        <v>0</v>
      </c>
      <c r="APA2" s="1">
        <v>92722</v>
      </c>
      <c r="APB2" s="1">
        <v>0</v>
      </c>
      <c r="APC2" s="1">
        <v>114699</v>
      </c>
      <c r="APD2" s="1">
        <v>81125</v>
      </c>
      <c r="APE2" s="1">
        <v>108759</v>
      </c>
      <c r="APF2" s="1">
        <v>150208</v>
      </c>
      <c r="APG2" s="1">
        <v>140236</v>
      </c>
      <c r="APH2" s="1">
        <v>56958</v>
      </c>
      <c r="API2" s="1">
        <v>67708</v>
      </c>
      <c r="APJ2" s="1">
        <v>59792</v>
      </c>
      <c r="APK2" s="1">
        <v>0</v>
      </c>
      <c r="APL2" s="1">
        <v>70885</v>
      </c>
      <c r="APM2" s="1">
        <v>43929</v>
      </c>
      <c r="APN2" s="1">
        <v>57115</v>
      </c>
      <c r="APO2" s="1">
        <v>56250</v>
      </c>
      <c r="APP2" s="1">
        <v>55761</v>
      </c>
      <c r="APQ2" s="1">
        <v>60455</v>
      </c>
      <c r="APR2" s="1">
        <v>82250</v>
      </c>
      <c r="APS2" s="1">
        <v>57143</v>
      </c>
      <c r="APT2" s="1">
        <v>63125</v>
      </c>
      <c r="APU2" s="1">
        <v>58519</v>
      </c>
      <c r="APV2" s="1">
        <v>0</v>
      </c>
      <c r="APW2" s="1">
        <v>0</v>
      </c>
      <c r="APX2" s="1">
        <v>58250</v>
      </c>
      <c r="APY2" s="1">
        <v>61824</v>
      </c>
      <c r="APZ2" s="1">
        <v>47917</v>
      </c>
      <c r="AQA2" s="1">
        <v>40625</v>
      </c>
      <c r="AQB2" s="1">
        <v>0</v>
      </c>
      <c r="AQC2" s="1">
        <v>72159</v>
      </c>
      <c r="AQD2" s="1">
        <v>57693</v>
      </c>
      <c r="AQE2" s="1">
        <v>80434</v>
      </c>
      <c r="AQF2" s="1">
        <v>83472</v>
      </c>
      <c r="AQG2" s="1">
        <v>62750</v>
      </c>
      <c r="AQH2" s="1">
        <v>110778</v>
      </c>
      <c r="AQI2" s="1">
        <v>51094</v>
      </c>
      <c r="AQJ2" s="1">
        <v>116827</v>
      </c>
      <c r="AQK2" s="1">
        <v>94815</v>
      </c>
      <c r="AQL2" s="1">
        <v>69842</v>
      </c>
      <c r="AQM2" s="1">
        <v>56375</v>
      </c>
      <c r="AQN2" s="1">
        <v>69068</v>
      </c>
      <c r="AQO2" s="1">
        <v>87813</v>
      </c>
      <c r="AQP2" s="1">
        <v>98750</v>
      </c>
      <c r="AQQ2" s="1">
        <v>60313</v>
      </c>
      <c r="AQR2" s="1">
        <v>76250</v>
      </c>
      <c r="AQS2" s="1">
        <v>91417</v>
      </c>
      <c r="AQT2" s="1">
        <v>65541</v>
      </c>
      <c r="AQU2" s="1">
        <v>67181</v>
      </c>
      <c r="AQV2" s="1">
        <v>59135</v>
      </c>
      <c r="AQW2" s="1">
        <v>49250</v>
      </c>
      <c r="AQX2" s="1">
        <v>120169</v>
      </c>
      <c r="AQY2" s="1">
        <v>56447</v>
      </c>
      <c r="AQZ2" s="1">
        <v>116953</v>
      </c>
      <c r="ARA2" s="1">
        <v>56173</v>
      </c>
      <c r="ARB2" s="1">
        <v>77721</v>
      </c>
      <c r="ARC2" s="1">
        <v>69375</v>
      </c>
      <c r="ARD2" s="1">
        <v>52143</v>
      </c>
      <c r="ARE2" s="1">
        <v>0</v>
      </c>
      <c r="ARF2" s="1">
        <v>0</v>
      </c>
      <c r="ARG2" s="1">
        <v>107361</v>
      </c>
      <c r="ARH2" s="1">
        <v>137500</v>
      </c>
      <c r="ARI2" s="1">
        <v>56806</v>
      </c>
      <c r="ARJ2" s="1">
        <v>92000</v>
      </c>
      <c r="ARK2" s="1">
        <v>76042</v>
      </c>
      <c r="ARL2" s="1">
        <v>120644</v>
      </c>
      <c r="ARM2" s="1">
        <v>0</v>
      </c>
      <c r="ARN2" s="1">
        <v>77288</v>
      </c>
      <c r="ARO2" s="1">
        <v>78000</v>
      </c>
      <c r="ARP2" s="1">
        <v>105648</v>
      </c>
      <c r="ARQ2" s="1">
        <v>124375</v>
      </c>
      <c r="ARR2" s="1">
        <v>68393</v>
      </c>
      <c r="ARS2" s="1">
        <v>78922</v>
      </c>
      <c r="ART2" s="1">
        <v>77875</v>
      </c>
      <c r="ARU2" s="1">
        <v>167647</v>
      </c>
      <c r="ARV2" s="1">
        <v>76667</v>
      </c>
      <c r="ARW2" s="1">
        <v>66458</v>
      </c>
      <c r="ARX2" s="1">
        <v>150809</v>
      </c>
      <c r="ARY2" s="1">
        <v>119154</v>
      </c>
      <c r="ARZ2" s="1">
        <v>0</v>
      </c>
      <c r="ASA2" s="1">
        <v>76250</v>
      </c>
      <c r="ASB2" s="1">
        <v>87708</v>
      </c>
      <c r="ASC2" s="1">
        <v>55208</v>
      </c>
      <c r="ASD2" s="1">
        <v>59375</v>
      </c>
      <c r="ASE2" s="1">
        <v>66163</v>
      </c>
      <c r="ASF2" s="1">
        <v>0</v>
      </c>
      <c r="ASG2" s="1">
        <v>108244</v>
      </c>
      <c r="ASH2" s="1">
        <v>100481</v>
      </c>
      <c r="ASI2" s="1">
        <v>75865</v>
      </c>
      <c r="ASJ2" s="1">
        <v>0</v>
      </c>
      <c r="ASK2" s="1">
        <v>97769</v>
      </c>
      <c r="ASL2" s="1">
        <v>100449</v>
      </c>
      <c r="ASM2" s="1">
        <v>103028</v>
      </c>
      <c r="ASN2" s="1">
        <v>162437</v>
      </c>
      <c r="ASO2" s="1">
        <v>0</v>
      </c>
      <c r="ASP2" s="1">
        <v>158918</v>
      </c>
      <c r="ASQ2" s="1">
        <v>92868</v>
      </c>
      <c r="ASR2" s="1">
        <v>96555</v>
      </c>
      <c r="ASS2" s="1">
        <v>176736</v>
      </c>
      <c r="AST2" s="1">
        <v>0</v>
      </c>
      <c r="ASU2" s="1">
        <v>100043</v>
      </c>
      <c r="ASV2" s="1">
        <v>77375</v>
      </c>
      <c r="ASW2" s="1">
        <v>90000</v>
      </c>
      <c r="ASX2" s="1">
        <v>74479</v>
      </c>
      <c r="ASY2" s="1">
        <v>84906</v>
      </c>
      <c r="ASZ2" s="1">
        <v>0</v>
      </c>
      <c r="ATA2" s="1">
        <v>82636</v>
      </c>
      <c r="ATB2" s="1">
        <v>83313</v>
      </c>
      <c r="ATC2" s="1">
        <v>52794</v>
      </c>
      <c r="ATD2" s="1">
        <v>0</v>
      </c>
      <c r="ATE2" s="1">
        <v>239821</v>
      </c>
      <c r="ATF2" s="1">
        <v>57150</v>
      </c>
      <c r="ATG2" s="1">
        <v>80306</v>
      </c>
      <c r="ATH2" s="1">
        <v>0</v>
      </c>
      <c r="ATI2" s="1">
        <v>50833</v>
      </c>
      <c r="ATJ2" s="1">
        <v>179068</v>
      </c>
      <c r="ATK2" s="1">
        <v>129085</v>
      </c>
      <c r="ATL2" s="1">
        <v>92222</v>
      </c>
      <c r="ATM2" s="1">
        <v>96250</v>
      </c>
      <c r="ATN2" s="1">
        <v>103081</v>
      </c>
      <c r="ATO2" s="1">
        <v>0</v>
      </c>
      <c r="ATP2" s="1">
        <v>55592</v>
      </c>
      <c r="ATQ2" s="1">
        <v>44531</v>
      </c>
      <c r="ATR2" s="1">
        <v>142887</v>
      </c>
      <c r="ATS2" s="1">
        <v>175809</v>
      </c>
      <c r="ATT2" s="1">
        <v>148909</v>
      </c>
      <c r="ATU2" s="1">
        <v>142470</v>
      </c>
      <c r="ATV2" s="1">
        <v>159542</v>
      </c>
      <c r="ATW2" s="1">
        <v>106823</v>
      </c>
      <c r="ATX2" s="1">
        <v>126944</v>
      </c>
      <c r="ATY2" s="1">
        <v>76063</v>
      </c>
      <c r="ATZ2" s="1">
        <v>111648</v>
      </c>
      <c r="AUA2" s="1">
        <v>62043</v>
      </c>
      <c r="AUB2" s="1">
        <v>0</v>
      </c>
      <c r="AUC2" s="1">
        <v>82256</v>
      </c>
      <c r="AUD2" s="1">
        <v>94432</v>
      </c>
      <c r="AUE2" s="1">
        <v>138923</v>
      </c>
      <c r="AUF2" s="1">
        <v>83669</v>
      </c>
      <c r="AUG2" s="1">
        <v>90091</v>
      </c>
      <c r="AUH2" s="1">
        <v>0</v>
      </c>
      <c r="AUI2" s="1">
        <v>88984</v>
      </c>
      <c r="AUJ2" s="1">
        <v>125203</v>
      </c>
      <c r="AUK2" s="1">
        <v>191458</v>
      </c>
      <c r="AUL2" s="1">
        <v>84833</v>
      </c>
      <c r="AUM2" s="1">
        <v>179271</v>
      </c>
      <c r="AUN2" s="1">
        <v>120732</v>
      </c>
      <c r="AUO2" s="1">
        <v>65750</v>
      </c>
      <c r="AUP2" s="1">
        <v>64513</v>
      </c>
      <c r="AUQ2" s="1">
        <v>127891</v>
      </c>
      <c r="AUR2" s="1">
        <v>87611</v>
      </c>
      <c r="AUS2" s="1">
        <v>103387</v>
      </c>
      <c r="AUT2" s="1">
        <v>0</v>
      </c>
      <c r="AUU2" s="1">
        <v>46875</v>
      </c>
      <c r="AUV2" s="1">
        <v>42250</v>
      </c>
      <c r="AUW2" s="1">
        <v>42346</v>
      </c>
      <c r="AUX2" s="1">
        <v>83401</v>
      </c>
      <c r="AUY2" s="1">
        <v>60513</v>
      </c>
      <c r="AUZ2" s="1">
        <v>0</v>
      </c>
      <c r="AVA2" s="1">
        <v>105836</v>
      </c>
      <c r="AVB2" s="1">
        <v>34659</v>
      </c>
      <c r="AVC2" s="1">
        <v>81173</v>
      </c>
      <c r="AVD2" s="1">
        <v>85929</v>
      </c>
      <c r="AVE2" s="1">
        <v>0</v>
      </c>
      <c r="AVF2" s="1">
        <v>83839</v>
      </c>
      <c r="AVG2" s="1">
        <v>68626</v>
      </c>
      <c r="AVH2" s="1">
        <v>70266</v>
      </c>
      <c r="AVI2" s="1">
        <v>72368</v>
      </c>
      <c r="AVJ2" s="1">
        <v>47901</v>
      </c>
      <c r="AVK2" s="1">
        <v>55000</v>
      </c>
      <c r="AVL2" s="1">
        <v>74167</v>
      </c>
      <c r="AVM2" s="1">
        <v>83125</v>
      </c>
      <c r="AVN2" s="1">
        <v>0</v>
      </c>
      <c r="AVO2" s="1">
        <v>67107</v>
      </c>
      <c r="AVP2" s="1">
        <v>95313</v>
      </c>
      <c r="AVQ2" s="1">
        <v>94118</v>
      </c>
      <c r="AVR2" s="1">
        <v>78977</v>
      </c>
      <c r="AVS2" s="1">
        <v>0</v>
      </c>
      <c r="AVT2" s="1">
        <v>66375</v>
      </c>
      <c r="AVU2" s="1">
        <v>51500</v>
      </c>
      <c r="AVV2" s="1">
        <v>110709</v>
      </c>
      <c r="AVW2" s="1">
        <v>75655</v>
      </c>
      <c r="AVX2" s="1">
        <v>69362</v>
      </c>
      <c r="AVY2" s="1">
        <v>0</v>
      </c>
      <c r="AVZ2" s="1">
        <v>105876</v>
      </c>
      <c r="AWA2" s="1">
        <v>0</v>
      </c>
      <c r="AWB2" s="1">
        <v>73608</v>
      </c>
      <c r="AWC2" s="1">
        <v>89797</v>
      </c>
      <c r="AWD2" s="1">
        <v>88583</v>
      </c>
      <c r="AWE2" s="1">
        <v>69732</v>
      </c>
      <c r="AWF2" s="1">
        <v>0</v>
      </c>
      <c r="AWG2" s="1">
        <v>70347</v>
      </c>
      <c r="AWH2" s="1">
        <v>87841</v>
      </c>
      <c r="AWI2" s="1">
        <v>102601</v>
      </c>
      <c r="AWJ2" s="1">
        <v>78691</v>
      </c>
      <c r="AWK2" s="1">
        <v>101806</v>
      </c>
      <c r="AWL2" s="1">
        <v>113687</v>
      </c>
      <c r="AWM2" s="1">
        <v>80999</v>
      </c>
      <c r="AWN2" s="1">
        <v>0</v>
      </c>
      <c r="AWO2" s="1">
        <v>90711</v>
      </c>
      <c r="AWP2" s="1">
        <v>85739</v>
      </c>
      <c r="AWQ2" s="1">
        <v>95855</v>
      </c>
      <c r="AWR2" s="1">
        <v>58198</v>
      </c>
      <c r="AWS2" s="1">
        <v>91003</v>
      </c>
      <c r="AWT2" s="1">
        <v>60769</v>
      </c>
      <c r="AWU2" s="1">
        <v>52250</v>
      </c>
      <c r="AWV2" s="1">
        <v>50524</v>
      </c>
      <c r="AWW2" s="1">
        <v>60602</v>
      </c>
      <c r="AWX2" s="1">
        <v>64543</v>
      </c>
      <c r="AWY2" s="1">
        <v>51596</v>
      </c>
      <c r="AWZ2" s="1">
        <v>48356</v>
      </c>
      <c r="AXA2" s="1">
        <v>59316</v>
      </c>
      <c r="AXB2" s="1">
        <v>34881</v>
      </c>
      <c r="AXC2" s="1">
        <v>90066</v>
      </c>
      <c r="AXD2" s="1">
        <v>59083</v>
      </c>
      <c r="AXE2" s="1">
        <v>51712</v>
      </c>
      <c r="AXF2" s="1">
        <v>43768</v>
      </c>
      <c r="AXG2" s="1">
        <v>58298</v>
      </c>
      <c r="AXH2" s="1">
        <v>44653</v>
      </c>
      <c r="AXI2" s="1">
        <v>92441</v>
      </c>
      <c r="AXJ2" s="1">
        <v>60166</v>
      </c>
      <c r="AXK2" s="1">
        <v>98000</v>
      </c>
      <c r="AXL2" s="1">
        <v>71042</v>
      </c>
      <c r="AXM2" s="1">
        <v>65670</v>
      </c>
      <c r="AXN2" s="1">
        <v>54259</v>
      </c>
      <c r="AXO2" s="1">
        <v>71250</v>
      </c>
      <c r="AXP2" s="1">
        <v>57395</v>
      </c>
      <c r="AXQ2" s="1">
        <v>84016</v>
      </c>
      <c r="AXR2" s="1">
        <v>58902</v>
      </c>
      <c r="AXS2" s="1">
        <v>55324</v>
      </c>
      <c r="AXT2" s="1">
        <v>63141</v>
      </c>
      <c r="AXU2" s="1">
        <v>92823</v>
      </c>
      <c r="AXV2" s="1">
        <v>61921</v>
      </c>
      <c r="AXW2" s="1">
        <v>44798</v>
      </c>
      <c r="AXX2" s="1">
        <v>59073</v>
      </c>
      <c r="AXY2" s="1">
        <v>75592</v>
      </c>
      <c r="AXZ2" s="1">
        <v>34873</v>
      </c>
      <c r="AYA2" s="1">
        <v>63308</v>
      </c>
      <c r="AYB2" s="1">
        <v>54176</v>
      </c>
      <c r="AYC2" s="1">
        <v>0</v>
      </c>
      <c r="AYD2" s="1">
        <v>0</v>
      </c>
      <c r="AYE2" s="1">
        <v>60235</v>
      </c>
      <c r="AYF2" s="1">
        <v>52708</v>
      </c>
      <c r="AYG2" s="1">
        <v>0</v>
      </c>
      <c r="AYH2" s="1">
        <v>43879</v>
      </c>
      <c r="AYI2" s="1">
        <v>61286</v>
      </c>
      <c r="AYJ2" s="1">
        <v>65526</v>
      </c>
      <c r="AYK2" s="1">
        <v>55729</v>
      </c>
      <c r="AYL2" s="1">
        <v>49271</v>
      </c>
      <c r="AYM2" s="1">
        <v>88125</v>
      </c>
      <c r="AYN2" s="1">
        <v>0</v>
      </c>
      <c r="AYO2" s="1">
        <v>71250</v>
      </c>
      <c r="AYP2" s="1">
        <v>63844</v>
      </c>
      <c r="AYQ2" s="1">
        <v>50450</v>
      </c>
      <c r="AYR2" s="1">
        <v>46150</v>
      </c>
      <c r="AYS2" s="1">
        <v>70625</v>
      </c>
      <c r="AYT2" s="1">
        <v>74934</v>
      </c>
      <c r="AYU2" s="1">
        <v>105424</v>
      </c>
      <c r="AYV2" s="1">
        <v>58063</v>
      </c>
      <c r="AYW2" s="1">
        <v>29327</v>
      </c>
      <c r="AYX2" s="1">
        <v>84358</v>
      </c>
      <c r="AYY2" s="1">
        <v>65747</v>
      </c>
      <c r="AYZ2" s="1">
        <v>0</v>
      </c>
      <c r="AZA2" s="1">
        <v>55114</v>
      </c>
      <c r="AZB2" s="1">
        <v>77153</v>
      </c>
      <c r="AZC2" s="1">
        <v>37356</v>
      </c>
      <c r="AZD2" s="1">
        <v>56842</v>
      </c>
      <c r="AZE2" s="1">
        <v>0</v>
      </c>
      <c r="AZF2" s="1">
        <v>70893</v>
      </c>
      <c r="AZG2" s="1">
        <v>63846</v>
      </c>
      <c r="AZH2" s="1">
        <v>38482</v>
      </c>
      <c r="AZI2" s="1">
        <v>58104</v>
      </c>
      <c r="AZJ2" s="1">
        <v>51423</v>
      </c>
      <c r="AZK2" s="1">
        <v>68621</v>
      </c>
      <c r="AZL2" s="1">
        <v>0</v>
      </c>
      <c r="AZM2" s="1">
        <v>94525</v>
      </c>
      <c r="AZN2" s="1">
        <v>73974</v>
      </c>
      <c r="AZO2" s="1">
        <v>85388</v>
      </c>
      <c r="AZP2" s="1">
        <v>74383</v>
      </c>
      <c r="AZQ2" s="1">
        <v>75707</v>
      </c>
      <c r="AZR2" s="1">
        <v>49219</v>
      </c>
      <c r="AZS2" s="1">
        <v>83958</v>
      </c>
      <c r="AZT2" s="1">
        <v>49809</v>
      </c>
      <c r="AZU2" s="1">
        <v>59526</v>
      </c>
      <c r="AZV2" s="1">
        <v>58936</v>
      </c>
      <c r="AZW2" s="1">
        <v>73333</v>
      </c>
      <c r="AZX2" s="1">
        <v>77316</v>
      </c>
      <c r="AZY2" s="1">
        <v>77308</v>
      </c>
      <c r="AZZ2" s="1">
        <v>47917</v>
      </c>
      <c r="BAA2" s="1">
        <v>57841</v>
      </c>
      <c r="BAB2" s="1">
        <v>154750</v>
      </c>
      <c r="BAC2" s="1">
        <v>35216</v>
      </c>
      <c r="BAD2" s="1">
        <v>95064</v>
      </c>
      <c r="BAE2" s="1">
        <v>77500</v>
      </c>
      <c r="BAF2" s="1">
        <v>54609</v>
      </c>
      <c r="BAG2" s="1">
        <v>59904</v>
      </c>
      <c r="BAH2" s="1">
        <v>49369</v>
      </c>
      <c r="BAI2" s="1">
        <v>58285</v>
      </c>
      <c r="BAJ2" s="1">
        <v>50070</v>
      </c>
      <c r="BAK2" s="1">
        <v>48834</v>
      </c>
      <c r="BAL2" s="1">
        <v>63182</v>
      </c>
      <c r="BAM2" s="1">
        <v>58279</v>
      </c>
      <c r="BAN2" s="1">
        <v>71554</v>
      </c>
      <c r="BAO2" s="1">
        <v>0</v>
      </c>
      <c r="BAP2" s="1">
        <v>53632</v>
      </c>
      <c r="BAQ2" s="1">
        <v>108533</v>
      </c>
      <c r="BAR2" s="1">
        <v>91597</v>
      </c>
      <c r="BAS2" s="1">
        <v>60133</v>
      </c>
      <c r="BAT2" s="1">
        <v>67545</v>
      </c>
      <c r="BAU2" s="1">
        <v>56113</v>
      </c>
      <c r="BAV2" s="1">
        <v>0</v>
      </c>
      <c r="BAW2" s="1">
        <v>60826</v>
      </c>
      <c r="BAX2" s="1">
        <v>56117</v>
      </c>
      <c r="BAY2" s="1">
        <v>72488</v>
      </c>
      <c r="BAZ2" s="1">
        <v>118893</v>
      </c>
      <c r="BBA2" s="1">
        <v>56383</v>
      </c>
      <c r="BBB2" s="1">
        <v>69065</v>
      </c>
      <c r="BBC2" s="1">
        <v>61075</v>
      </c>
      <c r="BBD2" s="1">
        <v>0</v>
      </c>
      <c r="BBE2" s="1">
        <v>74354</v>
      </c>
      <c r="BBF2" s="1">
        <v>84977</v>
      </c>
      <c r="BBG2" s="1">
        <v>43438</v>
      </c>
      <c r="BBH2" s="1">
        <v>43092</v>
      </c>
      <c r="BBI2" s="1">
        <v>53023</v>
      </c>
      <c r="BBJ2" s="1">
        <v>42497</v>
      </c>
      <c r="BBK2" s="1">
        <v>53222</v>
      </c>
      <c r="BBL2" s="1">
        <v>56198</v>
      </c>
      <c r="BBM2" s="1">
        <v>81460</v>
      </c>
      <c r="BBN2" s="1">
        <v>56432</v>
      </c>
      <c r="BBO2" s="1">
        <v>80271</v>
      </c>
      <c r="BBP2" s="1">
        <v>0</v>
      </c>
      <c r="BBQ2" s="1">
        <v>0</v>
      </c>
      <c r="BBR2" s="1">
        <v>90778</v>
      </c>
      <c r="BBS2" s="1">
        <v>71476</v>
      </c>
      <c r="BBT2" s="1">
        <v>130683</v>
      </c>
      <c r="BBU2" s="1">
        <v>81660</v>
      </c>
      <c r="BBV2" s="1">
        <v>63430</v>
      </c>
      <c r="BBW2" s="1">
        <v>70570</v>
      </c>
      <c r="BBX2" s="1">
        <v>0</v>
      </c>
      <c r="BBY2" s="1">
        <v>85327</v>
      </c>
      <c r="BBZ2" s="1">
        <v>49798</v>
      </c>
      <c r="BCA2" s="1">
        <v>67859</v>
      </c>
      <c r="BCB2" s="1">
        <v>61089</v>
      </c>
      <c r="BCC2" s="1">
        <v>98474</v>
      </c>
      <c r="BCD2" s="1">
        <v>116669</v>
      </c>
      <c r="BCE2" s="1">
        <v>97511</v>
      </c>
      <c r="BCF2" s="1">
        <v>94354</v>
      </c>
      <c r="BCG2" s="1">
        <v>117757</v>
      </c>
      <c r="BCH2" s="1">
        <v>117647</v>
      </c>
      <c r="BCI2" s="1">
        <v>154632</v>
      </c>
      <c r="BCJ2" s="1">
        <v>82694</v>
      </c>
      <c r="BCK2" s="1">
        <v>49644</v>
      </c>
      <c r="BCL2" s="1">
        <v>71477</v>
      </c>
      <c r="BCM2" s="1">
        <v>122158</v>
      </c>
      <c r="BCN2" s="1">
        <v>68549</v>
      </c>
      <c r="BCO2" s="1">
        <v>66142</v>
      </c>
      <c r="BCP2" s="1">
        <v>90325</v>
      </c>
      <c r="BCQ2" s="1">
        <v>107666</v>
      </c>
      <c r="BCR2" s="1">
        <v>80021</v>
      </c>
      <c r="BCS2" s="1">
        <v>52466</v>
      </c>
      <c r="BCT2" s="1">
        <v>0</v>
      </c>
      <c r="BCU2" s="1">
        <v>0</v>
      </c>
      <c r="BCV2" s="1">
        <v>56745</v>
      </c>
      <c r="BCW2" s="1">
        <v>39028</v>
      </c>
      <c r="BCX2" s="1">
        <v>52709</v>
      </c>
      <c r="BCY2" s="1">
        <v>132122</v>
      </c>
      <c r="BCZ2" s="1">
        <v>121108</v>
      </c>
      <c r="BDA2" s="1">
        <v>72345</v>
      </c>
      <c r="BDB2" s="1">
        <v>58966</v>
      </c>
      <c r="BDC2" s="1">
        <v>70666</v>
      </c>
      <c r="BDD2" s="1">
        <v>81507</v>
      </c>
      <c r="BDE2" s="1">
        <v>57043</v>
      </c>
      <c r="BDF2" s="1">
        <v>61581</v>
      </c>
      <c r="BDG2" s="1">
        <v>74833</v>
      </c>
      <c r="BDH2" s="1">
        <v>29857</v>
      </c>
      <c r="BDI2" s="1">
        <v>45000</v>
      </c>
      <c r="BDJ2" s="1">
        <v>0</v>
      </c>
      <c r="BDK2" s="1">
        <v>60577</v>
      </c>
      <c r="BDL2" s="1">
        <v>56709</v>
      </c>
      <c r="BDM2" s="1">
        <v>110458</v>
      </c>
      <c r="BDN2" s="1">
        <v>155406</v>
      </c>
      <c r="BDO2" s="1">
        <v>40000</v>
      </c>
      <c r="BDP2" s="1">
        <v>57169</v>
      </c>
      <c r="BDQ2" s="1">
        <v>65625</v>
      </c>
      <c r="BDR2" s="1">
        <v>63843</v>
      </c>
      <c r="BDS2" s="1">
        <v>0</v>
      </c>
      <c r="BDT2" s="1">
        <v>122464</v>
      </c>
      <c r="BDU2" s="1">
        <v>94129</v>
      </c>
      <c r="BDV2" s="1">
        <v>45057</v>
      </c>
      <c r="BDW2" s="1">
        <v>60244</v>
      </c>
      <c r="BDX2" s="1">
        <v>52228</v>
      </c>
      <c r="BDY2" s="1">
        <v>57281</v>
      </c>
      <c r="BDZ2" s="1">
        <v>67500</v>
      </c>
      <c r="BEA2" s="1">
        <v>48929</v>
      </c>
      <c r="BEB2" s="1">
        <v>72822</v>
      </c>
      <c r="BEC2" s="1">
        <v>0</v>
      </c>
      <c r="BED2" s="1">
        <v>116593</v>
      </c>
      <c r="BEE2" s="1">
        <v>37566</v>
      </c>
      <c r="BEF2" s="1">
        <v>79360</v>
      </c>
      <c r="BEG2" s="1">
        <v>89219</v>
      </c>
      <c r="BEH2" s="1">
        <v>0</v>
      </c>
      <c r="BEI2" s="1">
        <v>0</v>
      </c>
      <c r="BEJ2" s="1">
        <v>91735</v>
      </c>
      <c r="BEK2" s="1">
        <v>77283</v>
      </c>
      <c r="BEL2" s="1">
        <v>0</v>
      </c>
      <c r="BEM2" s="1">
        <v>63218</v>
      </c>
      <c r="BEN2" s="1">
        <v>84569</v>
      </c>
      <c r="BEO2" s="1">
        <v>73698</v>
      </c>
      <c r="BEP2" s="1">
        <v>62126</v>
      </c>
      <c r="BEQ2" s="1">
        <v>71701</v>
      </c>
      <c r="BER2" s="1">
        <v>89179</v>
      </c>
      <c r="BES2" s="1">
        <v>148261</v>
      </c>
      <c r="BET2" s="1">
        <v>78118</v>
      </c>
      <c r="BEU2" s="1">
        <v>62900</v>
      </c>
      <c r="BEV2" s="1">
        <v>94710</v>
      </c>
      <c r="BEW2" s="1">
        <v>119278</v>
      </c>
      <c r="BEX2" s="1">
        <v>125727</v>
      </c>
      <c r="BEY2" s="1">
        <v>102643</v>
      </c>
      <c r="BEZ2" s="1">
        <v>77566</v>
      </c>
      <c r="BFA2" s="1">
        <v>102207</v>
      </c>
      <c r="BFB2" s="1">
        <v>0</v>
      </c>
      <c r="BFC2" s="1">
        <v>0</v>
      </c>
      <c r="BFD2" s="1">
        <v>61475</v>
      </c>
      <c r="BFE2" s="1">
        <v>82056</v>
      </c>
      <c r="BFF2" s="1">
        <v>59237</v>
      </c>
      <c r="BFG2" s="1">
        <v>65935</v>
      </c>
      <c r="BFH2" s="1">
        <v>69579</v>
      </c>
      <c r="BFI2" s="1">
        <v>0</v>
      </c>
      <c r="BFJ2" s="1">
        <v>0</v>
      </c>
      <c r="BFK2" s="1">
        <v>85216</v>
      </c>
      <c r="BFL2" s="1">
        <v>89941</v>
      </c>
      <c r="BFM2" s="1">
        <v>42488</v>
      </c>
      <c r="BFN2" s="1">
        <v>55898</v>
      </c>
      <c r="BFO2" s="1">
        <v>54604</v>
      </c>
      <c r="BFP2" s="1">
        <v>47134</v>
      </c>
      <c r="BFQ2" s="1">
        <v>45500</v>
      </c>
      <c r="BFR2" s="1">
        <v>59872</v>
      </c>
      <c r="BFS2" s="1">
        <v>95568</v>
      </c>
      <c r="BFT2" s="1">
        <v>66912</v>
      </c>
      <c r="BFU2" s="1">
        <v>41184</v>
      </c>
      <c r="BFV2" s="1">
        <v>50036</v>
      </c>
      <c r="BFW2" s="1">
        <v>52868</v>
      </c>
      <c r="BFX2" s="1">
        <v>81406</v>
      </c>
      <c r="BFY2" s="1">
        <v>0</v>
      </c>
      <c r="BFZ2" s="1">
        <v>31702</v>
      </c>
      <c r="BGA2" s="1">
        <v>64010</v>
      </c>
      <c r="BGB2" s="1">
        <v>52539</v>
      </c>
      <c r="BGC2" s="1">
        <v>36835</v>
      </c>
      <c r="BGD2" s="1">
        <v>52932</v>
      </c>
      <c r="BGE2" s="1">
        <v>88472</v>
      </c>
      <c r="BGF2" s="1">
        <v>58594</v>
      </c>
      <c r="BGG2" s="1">
        <v>31857</v>
      </c>
      <c r="BGH2" s="1">
        <v>29844</v>
      </c>
      <c r="BGI2" s="1">
        <v>40000</v>
      </c>
      <c r="BGJ2" s="1">
        <v>44750</v>
      </c>
      <c r="BGK2" s="1">
        <v>88504</v>
      </c>
      <c r="BGL2" s="1">
        <v>52625</v>
      </c>
      <c r="BGM2" s="1">
        <v>55304</v>
      </c>
      <c r="BGN2" s="1">
        <v>46747</v>
      </c>
      <c r="BGO2" s="1">
        <v>29940</v>
      </c>
      <c r="BGP2" s="1">
        <v>47580</v>
      </c>
      <c r="BGQ2" s="1">
        <v>44515</v>
      </c>
      <c r="BGR2" s="1">
        <v>70735</v>
      </c>
      <c r="BGS2" s="1">
        <v>44214</v>
      </c>
      <c r="BGT2" s="1">
        <v>24612</v>
      </c>
      <c r="BGU2" s="1">
        <v>18229</v>
      </c>
      <c r="BGV2" s="1">
        <v>79896</v>
      </c>
      <c r="BGW2" s="1">
        <v>42344</v>
      </c>
      <c r="BGX2" s="1">
        <v>37731</v>
      </c>
      <c r="BGY2" s="1">
        <v>45341</v>
      </c>
      <c r="BGZ2" s="1">
        <v>41870</v>
      </c>
      <c r="BHA2" s="1">
        <v>28750</v>
      </c>
      <c r="BHB2" s="1">
        <v>42524</v>
      </c>
      <c r="BHC2" s="1">
        <v>55750</v>
      </c>
      <c r="BHD2" s="1">
        <v>51707</v>
      </c>
      <c r="BHE2" s="1">
        <v>54145</v>
      </c>
      <c r="BHF2" s="1">
        <v>0</v>
      </c>
      <c r="BHG2" s="1">
        <v>44398</v>
      </c>
      <c r="BHH2" s="1">
        <v>63180</v>
      </c>
      <c r="BHI2" s="1">
        <v>53125</v>
      </c>
      <c r="BHJ2" s="1">
        <v>56533</v>
      </c>
      <c r="BHK2" s="1">
        <v>66042</v>
      </c>
      <c r="BHL2" s="1">
        <v>26750</v>
      </c>
      <c r="BHM2" s="1">
        <v>65500</v>
      </c>
      <c r="BHN2" s="1">
        <v>75142</v>
      </c>
      <c r="BHO2" s="1">
        <v>58182</v>
      </c>
      <c r="BHP2" s="1">
        <v>71843</v>
      </c>
      <c r="BHQ2" s="1">
        <v>88621</v>
      </c>
      <c r="BHR2" s="1">
        <v>40929</v>
      </c>
      <c r="BHS2" s="1">
        <v>44416</v>
      </c>
      <c r="BHT2" s="1">
        <v>44127</v>
      </c>
      <c r="BHU2" s="1">
        <v>33229</v>
      </c>
      <c r="BHV2" s="1">
        <v>30288</v>
      </c>
      <c r="BHW2" s="1">
        <v>31629</v>
      </c>
      <c r="BHX2" s="1">
        <v>21250</v>
      </c>
      <c r="BHY2" s="1">
        <v>46448</v>
      </c>
      <c r="BHZ2" s="1">
        <v>0</v>
      </c>
      <c r="BIA2" s="1">
        <v>29972</v>
      </c>
      <c r="BIB2" s="1">
        <v>32083</v>
      </c>
      <c r="BIC2" s="1">
        <v>81329</v>
      </c>
      <c r="BID2" s="1">
        <v>0</v>
      </c>
      <c r="BIE2" s="1">
        <v>52500</v>
      </c>
      <c r="BIF2" s="1">
        <v>56141</v>
      </c>
      <c r="BIG2" s="1">
        <v>58614</v>
      </c>
      <c r="BIH2" s="1">
        <v>49333</v>
      </c>
      <c r="BII2" s="1">
        <v>47766</v>
      </c>
      <c r="BIJ2" s="1">
        <v>48194</v>
      </c>
      <c r="BIK2" s="1">
        <v>49382</v>
      </c>
      <c r="BIL2" s="1">
        <v>31063</v>
      </c>
      <c r="BIM2" s="1">
        <v>57979</v>
      </c>
      <c r="BIN2" s="1">
        <v>46425</v>
      </c>
      <c r="BIO2" s="1">
        <v>37737</v>
      </c>
      <c r="BIP2" s="1">
        <v>64320</v>
      </c>
      <c r="BIQ2" s="1">
        <v>53021</v>
      </c>
      <c r="BIR2" s="1">
        <v>61499</v>
      </c>
      <c r="BIS2" s="1">
        <v>42849</v>
      </c>
      <c r="BIT2" s="1">
        <v>33750</v>
      </c>
      <c r="BIU2" s="1">
        <v>73670</v>
      </c>
      <c r="BIV2" s="1">
        <v>0</v>
      </c>
      <c r="BIW2" s="1">
        <v>56088</v>
      </c>
      <c r="BIX2" s="1">
        <v>87344</v>
      </c>
      <c r="BIY2" s="1">
        <v>73864</v>
      </c>
      <c r="BIZ2" s="1">
        <v>46583</v>
      </c>
      <c r="BJA2" s="1">
        <v>61186</v>
      </c>
      <c r="BJB2" s="1">
        <v>38864</v>
      </c>
      <c r="BJC2" s="1">
        <v>51552</v>
      </c>
      <c r="BJD2" s="1">
        <v>46653</v>
      </c>
      <c r="BJE2" s="1">
        <v>85962</v>
      </c>
      <c r="BJF2" s="1">
        <v>58750</v>
      </c>
      <c r="BJG2" s="1">
        <v>114775</v>
      </c>
      <c r="BJH2" s="1">
        <v>49814</v>
      </c>
      <c r="BJI2" s="1">
        <v>63750</v>
      </c>
      <c r="BJJ2" s="1">
        <v>65368</v>
      </c>
      <c r="BJK2" s="1">
        <v>57500</v>
      </c>
      <c r="BJL2" s="1">
        <v>58281</v>
      </c>
      <c r="BJM2" s="1">
        <v>70465</v>
      </c>
      <c r="BJN2" s="1">
        <v>38224</v>
      </c>
      <c r="BJO2" s="1">
        <v>31875</v>
      </c>
      <c r="BJP2" s="1">
        <v>47067</v>
      </c>
      <c r="BJQ2" s="1">
        <v>59594</v>
      </c>
      <c r="BJR2" s="1">
        <v>63611</v>
      </c>
      <c r="BJS2" s="1">
        <v>83571</v>
      </c>
      <c r="BJT2" s="1">
        <v>78517</v>
      </c>
      <c r="BJU2" s="1">
        <v>103429</v>
      </c>
      <c r="BJV2" s="1">
        <v>82500</v>
      </c>
      <c r="BJW2" s="1">
        <v>50302</v>
      </c>
      <c r="BJX2" s="1">
        <v>75877</v>
      </c>
      <c r="BJY2" s="1">
        <v>0</v>
      </c>
      <c r="BJZ2" s="1">
        <v>36250</v>
      </c>
      <c r="BKA2" s="1">
        <v>102229</v>
      </c>
      <c r="BKB2" s="1">
        <v>87560</v>
      </c>
      <c r="BKC2" s="1">
        <v>65672</v>
      </c>
      <c r="BKD2" s="1">
        <v>37161</v>
      </c>
      <c r="BKE2" s="1">
        <v>63771</v>
      </c>
      <c r="BKF2" s="1">
        <v>76250</v>
      </c>
      <c r="BKG2" s="1">
        <v>74671</v>
      </c>
      <c r="BKH2" s="1">
        <v>24885</v>
      </c>
      <c r="BKI2" s="1">
        <v>0</v>
      </c>
      <c r="BKJ2" s="1">
        <v>61740</v>
      </c>
      <c r="BKK2" s="1">
        <v>32905</v>
      </c>
      <c r="BKL2" s="1">
        <v>61648</v>
      </c>
      <c r="BKM2" s="1">
        <v>68214</v>
      </c>
      <c r="BKN2" s="1">
        <v>82011</v>
      </c>
      <c r="BKO2" s="1">
        <v>88125</v>
      </c>
      <c r="BKP2" s="1">
        <v>46532</v>
      </c>
      <c r="BKQ2" s="1">
        <v>54554</v>
      </c>
      <c r="BKR2" s="1">
        <v>72528</v>
      </c>
      <c r="BKS2" s="1">
        <v>71484</v>
      </c>
      <c r="BKT2" s="1">
        <v>0</v>
      </c>
      <c r="BKU2" s="1">
        <v>42352</v>
      </c>
      <c r="BKV2" s="1">
        <v>52250</v>
      </c>
      <c r="BKW2" s="1">
        <v>46196</v>
      </c>
      <c r="BKX2" s="1">
        <v>54284</v>
      </c>
      <c r="BKY2" s="1">
        <v>48171</v>
      </c>
      <c r="BKZ2" s="1">
        <v>54375</v>
      </c>
      <c r="BLA2" s="1">
        <v>42708</v>
      </c>
      <c r="BLB2" s="1">
        <v>81045</v>
      </c>
      <c r="BLC2" s="1">
        <v>51341</v>
      </c>
      <c r="BLD2" s="1">
        <v>0</v>
      </c>
      <c r="BLE2" s="1">
        <v>55188</v>
      </c>
      <c r="BLF2" s="1">
        <v>0</v>
      </c>
      <c r="BLG2" s="1">
        <v>36958</v>
      </c>
      <c r="BLH2" s="1">
        <v>53377</v>
      </c>
      <c r="BLI2" s="1">
        <v>57670</v>
      </c>
      <c r="BLJ2" s="1">
        <v>0</v>
      </c>
      <c r="BLK2" s="1">
        <v>70595</v>
      </c>
      <c r="BLL2" s="1">
        <v>87934</v>
      </c>
      <c r="BLM2" s="1">
        <v>111823</v>
      </c>
      <c r="BLN2" s="1">
        <v>75026</v>
      </c>
      <c r="BLO2" s="1">
        <v>56525</v>
      </c>
      <c r="BLP2" s="1">
        <v>57496</v>
      </c>
      <c r="BLQ2" s="1">
        <v>133676</v>
      </c>
      <c r="BLR2" s="1">
        <v>110932</v>
      </c>
      <c r="BLS2" s="1">
        <v>0</v>
      </c>
      <c r="BLT2" s="1">
        <v>55634</v>
      </c>
      <c r="BLU2" s="1">
        <v>0</v>
      </c>
      <c r="BLV2" s="1">
        <v>0</v>
      </c>
      <c r="BLW2" s="1">
        <v>43770</v>
      </c>
      <c r="BLX2" s="1">
        <v>44448</v>
      </c>
      <c r="BLY2" s="1">
        <v>55892</v>
      </c>
      <c r="BLZ2" s="1">
        <v>86118</v>
      </c>
      <c r="BMA2" s="1">
        <v>72900</v>
      </c>
      <c r="BMB2" s="1">
        <v>54033</v>
      </c>
      <c r="BMC2" s="1">
        <v>48766</v>
      </c>
      <c r="BMD2" s="1">
        <v>0</v>
      </c>
      <c r="BME2" s="1">
        <v>132829</v>
      </c>
      <c r="BMF2" s="1">
        <v>0</v>
      </c>
      <c r="BMG2" s="1">
        <v>27724</v>
      </c>
      <c r="BMH2" s="1">
        <v>112278</v>
      </c>
      <c r="BMI2" s="1">
        <v>94991</v>
      </c>
      <c r="BMJ2" s="1">
        <v>76801</v>
      </c>
      <c r="BMK2" s="1">
        <v>64180</v>
      </c>
      <c r="BML2" s="1">
        <v>57054</v>
      </c>
      <c r="BMM2" s="1">
        <v>59020</v>
      </c>
      <c r="BMN2" s="1">
        <v>57143</v>
      </c>
      <c r="BMO2" s="1">
        <v>66250</v>
      </c>
      <c r="BMP2" s="1">
        <v>48275</v>
      </c>
      <c r="BMQ2" s="1">
        <v>45972</v>
      </c>
      <c r="BMR2" s="1">
        <v>59979</v>
      </c>
      <c r="BMS2" s="1">
        <v>56000</v>
      </c>
      <c r="BMT2" s="1">
        <v>58281</v>
      </c>
      <c r="BMU2" s="1">
        <v>94792</v>
      </c>
      <c r="BMV2" s="1">
        <v>58250</v>
      </c>
      <c r="BMW2" s="1">
        <v>69167</v>
      </c>
      <c r="BMX2" s="1">
        <v>127304</v>
      </c>
      <c r="BMY2" s="1">
        <v>100845</v>
      </c>
      <c r="BMZ2" s="1">
        <v>103943</v>
      </c>
      <c r="BNA2" s="1">
        <v>0</v>
      </c>
      <c r="BNB2" s="1">
        <v>28835</v>
      </c>
      <c r="BNC2" s="1">
        <v>81495</v>
      </c>
      <c r="BND2" s="1">
        <v>64981</v>
      </c>
      <c r="BNE2" s="1">
        <v>56034</v>
      </c>
      <c r="BNF2" s="1">
        <v>80837</v>
      </c>
      <c r="BNG2" s="1">
        <v>104449</v>
      </c>
      <c r="BNH2" s="1">
        <v>47780</v>
      </c>
      <c r="BNI2" s="1">
        <v>71996</v>
      </c>
      <c r="BNJ2" s="1">
        <v>75288</v>
      </c>
      <c r="BNK2" s="1">
        <v>76798</v>
      </c>
      <c r="BNL2" s="1">
        <v>75945</v>
      </c>
      <c r="BNM2" s="1">
        <v>62093</v>
      </c>
      <c r="BNN2" s="1">
        <v>72365</v>
      </c>
      <c r="BNO2" s="1">
        <v>60817</v>
      </c>
      <c r="BNP2" s="1">
        <v>68622</v>
      </c>
      <c r="BNQ2" s="1">
        <v>49375</v>
      </c>
      <c r="BNR2" s="1">
        <v>77589</v>
      </c>
      <c r="BNS2" s="1">
        <v>73516</v>
      </c>
      <c r="BNT2" s="1">
        <v>62807</v>
      </c>
      <c r="BNU2" s="1">
        <v>55371</v>
      </c>
      <c r="BNV2" s="1">
        <v>50938</v>
      </c>
      <c r="BNW2" s="1">
        <v>64547</v>
      </c>
      <c r="BNX2" s="1">
        <v>58072</v>
      </c>
      <c r="BNY2" s="1">
        <v>46931</v>
      </c>
      <c r="BNZ2" s="1">
        <v>51549</v>
      </c>
      <c r="BOA2" s="1">
        <v>60449</v>
      </c>
      <c r="BOB2" s="1">
        <v>38170</v>
      </c>
      <c r="BOC2" s="1">
        <v>72440</v>
      </c>
      <c r="BOD2" s="1">
        <v>74904</v>
      </c>
      <c r="BOE2" s="1">
        <v>80000</v>
      </c>
      <c r="BOF2" s="1">
        <v>55387</v>
      </c>
      <c r="BOG2" s="1">
        <v>62077</v>
      </c>
      <c r="BOH2" s="1">
        <v>55972</v>
      </c>
      <c r="BOI2" s="1">
        <v>34808</v>
      </c>
      <c r="BOJ2" s="1">
        <v>144544</v>
      </c>
      <c r="BOK2" s="1">
        <v>64020</v>
      </c>
      <c r="BOL2" s="1">
        <v>95273</v>
      </c>
      <c r="BOM2" s="1">
        <v>99507</v>
      </c>
      <c r="BON2" s="1">
        <v>77279</v>
      </c>
      <c r="BOO2" s="1">
        <v>68418</v>
      </c>
      <c r="BOP2" s="1">
        <v>45555</v>
      </c>
      <c r="BOQ2" s="1">
        <v>217656</v>
      </c>
      <c r="BOR2" s="1">
        <v>48819</v>
      </c>
      <c r="BOS2" s="1">
        <v>92452</v>
      </c>
      <c r="BOT2" s="1">
        <v>90050</v>
      </c>
      <c r="BOU2" s="1">
        <v>119805</v>
      </c>
      <c r="BOV2" s="1">
        <v>48918</v>
      </c>
      <c r="BOW2" s="1">
        <v>50708</v>
      </c>
      <c r="BOX2" s="1">
        <v>76679</v>
      </c>
      <c r="BOY2" s="1">
        <v>61855</v>
      </c>
      <c r="BOZ2" s="1">
        <v>58579</v>
      </c>
      <c r="BPA2" s="1">
        <v>59635</v>
      </c>
      <c r="BPB2" s="1">
        <v>0</v>
      </c>
      <c r="BPC2" s="1">
        <v>116220</v>
      </c>
      <c r="BPD2" s="1">
        <v>72119</v>
      </c>
      <c r="BPE2" s="1">
        <v>0</v>
      </c>
      <c r="BPF2" s="1">
        <v>63631</v>
      </c>
      <c r="BPG2" s="1">
        <v>76560</v>
      </c>
      <c r="BPH2" s="1">
        <v>120894</v>
      </c>
      <c r="BPI2" s="1">
        <v>83822</v>
      </c>
      <c r="BPJ2" s="1">
        <v>0</v>
      </c>
      <c r="BPK2" s="1">
        <v>117369</v>
      </c>
      <c r="BPL2" s="1">
        <v>116576</v>
      </c>
      <c r="BPM2" s="1">
        <v>0</v>
      </c>
      <c r="BPN2" s="1">
        <v>0</v>
      </c>
      <c r="BPO2" s="1">
        <v>34748</v>
      </c>
      <c r="BPP2" s="1">
        <v>50620</v>
      </c>
      <c r="BPQ2" s="1">
        <v>54444</v>
      </c>
      <c r="BPR2" s="1">
        <v>66778</v>
      </c>
      <c r="BPS2" s="1">
        <v>61053</v>
      </c>
      <c r="BPT2" s="1">
        <v>46575</v>
      </c>
      <c r="BPU2" s="1">
        <v>0</v>
      </c>
      <c r="BPV2" s="1">
        <v>0</v>
      </c>
      <c r="BPW2" s="1">
        <v>55849</v>
      </c>
      <c r="BPX2" s="1">
        <v>60650</v>
      </c>
      <c r="BPY2" s="1">
        <v>57151</v>
      </c>
      <c r="BPZ2" s="1">
        <v>68776</v>
      </c>
      <c r="BQA2" s="1">
        <v>60672</v>
      </c>
      <c r="BQB2" s="1">
        <v>53050</v>
      </c>
      <c r="BQC2" s="1">
        <v>53190</v>
      </c>
      <c r="BQD2" s="1">
        <v>0</v>
      </c>
      <c r="BQE2" s="1">
        <v>78270</v>
      </c>
      <c r="BQF2" s="1">
        <v>79753</v>
      </c>
      <c r="BQG2" s="1">
        <v>47087</v>
      </c>
      <c r="BQH2" s="1">
        <v>0</v>
      </c>
      <c r="BQI2" s="1">
        <v>0</v>
      </c>
      <c r="BQJ2" s="1">
        <v>59464</v>
      </c>
      <c r="BQK2" s="1">
        <v>37477</v>
      </c>
      <c r="BQL2" s="1">
        <v>49536</v>
      </c>
      <c r="BQM2" s="1">
        <v>36762</v>
      </c>
      <c r="BQN2" s="1">
        <v>56854</v>
      </c>
      <c r="BQO2" s="1">
        <v>48958</v>
      </c>
      <c r="BQP2" s="1">
        <v>34886</v>
      </c>
      <c r="BQQ2" s="1">
        <v>50708</v>
      </c>
      <c r="BQR2" s="1">
        <v>71786</v>
      </c>
      <c r="BQS2" s="1">
        <v>40882</v>
      </c>
      <c r="BQT2" s="1">
        <v>45999</v>
      </c>
      <c r="BQU2" s="1">
        <v>36507</v>
      </c>
      <c r="BQV2" s="1">
        <v>37462</v>
      </c>
      <c r="BQW2" s="1">
        <v>65407</v>
      </c>
      <c r="BQX2" s="1">
        <v>61705</v>
      </c>
      <c r="BQY2" s="1">
        <v>0</v>
      </c>
      <c r="BQZ2" s="1">
        <v>41970</v>
      </c>
      <c r="BRA2" s="1">
        <v>40794</v>
      </c>
      <c r="BRB2" s="1">
        <v>0</v>
      </c>
      <c r="BRC2" s="1">
        <v>61135</v>
      </c>
      <c r="BRD2" s="1">
        <v>47336</v>
      </c>
      <c r="BRE2" s="1">
        <v>45595</v>
      </c>
      <c r="BRF2" s="1">
        <v>0</v>
      </c>
      <c r="BRG2" s="1">
        <v>44685</v>
      </c>
      <c r="BRH2" s="1">
        <v>32500</v>
      </c>
      <c r="BRI2" s="1">
        <v>41523</v>
      </c>
      <c r="BRJ2" s="1">
        <v>35880</v>
      </c>
      <c r="BRK2" s="1">
        <v>48406</v>
      </c>
      <c r="BRL2" s="1">
        <v>59881</v>
      </c>
      <c r="BRM2" s="1">
        <v>44375</v>
      </c>
      <c r="BRN2" s="1">
        <v>73869</v>
      </c>
      <c r="BRO2" s="1">
        <v>40132</v>
      </c>
      <c r="BRP2" s="1">
        <v>49677</v>
      </c>
      <c r="BRQ2" s="1">
        <v>33788</v>
      </c>
      <c r="BRR2" s="1">
        <v>74130</v>
      </c>
      <c r="BRS2" s="1">
        <v>103474</v>
      </c>
      <c r="BRT2" s="1">
        <v>60625</v>
      </c>
      <c r="BRU2" s="1">
        <v>59427</v>
      </c>
      <c r="BRV2" s="1">
        <v>34367</v>
      </c>
      <c r="BRW2" s="1">
        <v>0</v>
      </c>
      <c r="BRX2" s="1">
        <v>45298</v>
      </c>
      <c r="BRY2" s="1">
        <v>71136</v>
      </c>
      <c r="BRZ2" s="1">
        <v>35470</v>
      </c>
      <c r="BSA2" s="1">
        <v>42016</v>
      </c>
      <c r="BSB2" s="1">
        <v>69240</v>
      </c>
      <c r="BSC2" s="1">
        <v>28757</v>
      </c>
      <c r="BSD2" s="1">
        <v>76060</v>
      </c>
      <c r="BSE2" s="1">
        <v>53547</v>
      </c>
      <c r="BSF2" s="1">
        <v>67317</v>
      </c>
      <c r="BSG2" s="1">
        <v>0</v>
      </c>
      <c r="BSH2" s="1">
        <v>34699</v>
      </c>
      <c r="BSI2" s="1">
        <v>67500</v>
      </c>
      <c r="BSJ2" s="1">
        <v>80952</v>
      </c>
      <c r="BSK2" s="1">
        <v>51174</v>
      </c>
      <c r="BSL2" s="1">
        <v>40440</v>
      </c>
      <c r="BSM2" s="1">
        <v>43750</v>
      </c>
      <c r="BSN2" s="1">
        <v>46743</v>
      </c>
      <c r="BSO2" s="1">
        <v>50757</v>
      </c>
      <c r="BSP2" s="1">
        <v>64853</v>
      </c>
      <c r="BSQ2" s="1">
        <v>101796</v>
      </c>
      <c r="BSR2" s="1">
        <v>91121</v>
      </c>
      <c r="BSS2" s="1">
        <v>62850</v>
      </c>
      <c r="BST2" s="1">
        <v>51364</v>
      </c>
      <c r="BSU2" s="1">
        <v>58203</v>
      </c>
      <c r="BSV2" s="1">
        <v>67292</v>
      </c>
      <c r="BSW2" s="1">
        <v>40052</v>
      </c>
      <c r="BSX2" s="1">
        <v>42188</v>
      </c>
      <c r="BSY2" s="1">
        <v>63750</v>
      </c>
      <c r="BSZ2" s="1">
        <v>87330</v>
      </c>
      <c r="BTA2" s="1">
        <v>63227</v>
      </c>
      <c r="BTB2" s="1">
        <v>59028</v>
      </c>
      <c r="BTC2" s="1">
        <v>31714</v>
      </c>
      <c r="BTD2" s="1">
        <v>51917</v>
      </c>
      <c r="BTE2" s="1">
        <v>36835</v>
      </c>
      <c r="BTF2" s="1">
        <v>40625</v>
      </c>
      <c r="BTG2" s="1">
        <v>42394</v>
      </c>
      <c r="BTH2" s="1">
        <v>72540</v>
      </c>
      <c r="BTI2" s="1">
        <v>54095</v>
      </c>
      <c r="BTJ2" s="1">
        <v>26750</v>
      </c>
      <c r="BTK2" s="1">
        <v>41515</v>
      </c>
      <c r="BTL2" s="1">
        <v>42212</v>
      </c>
      <c r="BTM2" s="1">
        <v>86162</v>
      </c>
      <c r="BTN2" s="1">
        <v>58438</v>
      </c>
      <c r="BTO2" s="1">
        <v>79720</v>
      </c>
      <c r="BTP2" s="1">
        <v>46139</v>
      </c>
      <c r="BTQ2" s="1">
        <v>38611</v>
      </c>
      <c r="BTR2" s="1">
        <v>101471</v>
      </c>
      <c r="BTS2" s="1">
        <v>63667</v>
      </c>
      <c r="BTT2" s="1">
        <v>71534</v>
      </c>
      <c r="BTU2" s="1">
        <v>46641</v>
      </c>
      <c r="BTV2" s="1">
        <v>39256</v>
      </c>
      <c r="BTW2" s="1">
        <v>59844</v>
      </c>
      <c r="BTX2" s="1">
        <v>51279</v>
      </c>
      <c r="BTY2" s="1">
        <v>42323</v>
      </c>
      <c r="BTZ2" s="1">
        <v>65474</v>
      </c>
      <c r="BUA2" s="1">
        <v>38750</v>
      </c>
      <c r="BUB2" s="1">
        <v>79112</v>
      </c>
      <c r="BUC2" s="1">
        <v>77470</v>
      </c>
      <c r="BUD2" s="1">
        <v>60427</v>
      </c>
      <c r="BUE2" s="1">
        <v>32345</v>
      </c>
      <c r="BUF2" s="1">
        <v>42019</v>
      </c>
      <c r="BUG2" s="1">
        <v>86442</v>
      </c>
      <c r="BUH2" s="1">
        <v>59163</v>
      </c>
      <c r="BUI2" s="1">
        <v>71404</v>
      </c>
      <c r="BUJ2" s="1">
        <v>83143</v>
      </c>
      <c r="BUK2" s="1">
        <v>83071</v>
      </c>
      <c r="BUL2" s="1">
        <v>58843</v>
      </c>
      <c r="BUM2" s="1">
        <v>41755</v>
      </c>
      <c r="BUN2" s="1">
        <v>61680</v>
      </c>
      <c r="BUO2" s="1">
        <v>77014</v>
      </c>
      <c r="BUP2" s="1">
        <v>121417</v>
      </c>
      <c r="BUQ2" s="1">
        <v>34818</v>
      </c>
      <c r="BUR2" s="1">
        <v>46043</v>
      </c>
      <c r="BUS2" s="1">
        <v>36404</v>
      </c>
      <c r="BUT2" s="1">
        <v>0</v>
      </c>
      <c r="BUU2" s="1">
        <v>54757</v>
      </c>
      <c r="BUV2" s="1">
        <v>46683</v>
      </c>
      <c r="BUW2" s="1">
        <v>72500</v>
      </c>
      <c r="BUX2" s="1">
        <v>54984</v>
      </c>
      <c r="BUY2" s="1">
        <v>26522</v>
      </c>
      <c r="BUZ2" s="1">
        <v>52556</v>
      </c>
      <c r="BVA2" s="1">
        <v>55888</v>
      </c>
      <c r="BVB2" s="1">
        <v>49167</v>
      </c>
      <c r="BVC2" s="1">
        <v>66625</v>
      </c>
      <c r="BVD2" s="1">
        <v>54324</v>
      </c>
      <c r="BVE2" s="1">
        <v>43994</v>
      </c>
      <c r="BVF2" s="1">
        <v>90813</v>
      </c>
      <c r="BVG2" s="1">
        <v>53702</v>
      </c>
      <c r="BVH2" s="1">
        <v>37269</v>
      </c>
      <c r="BVI2" s="1">
        <v>59375</v>
      </c>
      <c r="BVJ2" s="1">
        <v>54732</v>
      </c>
      <c r="BVK2" s="1">
        <v>61875</v>
      </c>
      <c r="BVL2" s="1">
        <v>35403</v>
      </c>
      <c r="BVM2" s="1">
        <v>67888</v>
      </c>
      <c r="BVN2" s="1">
        <v>61389</v>
      </c>
      <c r="BVO2" s="1">
        <v>0</v>
      </c>
      <c r="BVP2" s="1">
        <v>0</v>
      </c>
      <c r="BVQ2" s="1">
        <v>52368</v>
      </c>
      <c r="BVR2" s="1">
        <v>59399</v>
      </c>
      <c r="BVS2" s="1">
        <v>58242</v>
      </c>
      <c r="BVT2" s="1">
        <v>108125</v>
      </c>
      <c r="BVU2" s="1">
        <v>40343</v>
      </c>
      <c r="BVV2" s="1">
        <v>51436</v>
      </c>
      <c r="BVW2" s="1">
        <v>56434</v>
      </c>
      <c r="BVX2" s="1">
        <v>71625</v>
      </c>
      <c r="BVY2" s="1">
        <v>49125</v>
      </c>
      <c r="BVZ2" s="1">
        <v>58090</v>
      </c>
      <c r="BWA2" s="1">
        <v>83510</v>
      </c>
      <c r="BWB2" s="1">
        <v>51364</v>
      </c>
      <c r="BWC2" s="1">
        <v>59940</v>
      </c>
      <c r="BWD2" s="1">
        <v>0</v>
      </c>
      <c r="BWE2" s="1">
        <v>62947</v>
      </c>
      <c r="BWF2" s="1">
        <v>59536</v>
      </c>
      <c r="BWG2" s="1">
        <v>73010</v>
      </c>
      <c r="BWH2" s="1">
        <v>73008</v>
      </c>
      <c r="BWI2" s="1">
        <v>67292</v>
      </c>
      <c r="BWJ2" s="1">
        <v>55522</v>
      </c>
      <c r="BWK2" s="1">
        <v>59100</v>
      </c>
      <c r="BWL2" s="1">
        <v>61312</v>
      </c>
      <c r="BWM2" s="1">
        <v>116250</v>
      </c>
      <c r="BWN2" s="1">
        <v>70938</v>
      </c>
      <c r="BWO2" s="1">
        <v>61515</v>
      </c>
      <c r="BWP2" s="1">
        <v>65880</v>
      </c>
      <c r="BWQ2" s="1">
        <v>45900</v>
      </c>
      <c r="BWR2" s="1">
        <v>0</v>
      </c>
      <c r="BWS2" s="1">
        <v>62171</v>
      </c>
      <c r="BWT2" s="1">
        <v>74698</v>
      </c>
      <c r="BWU2" s="1">
        <v>56875</v>
      </c>
      <c r="BWV2" s="1">
        <v>43173</v>
      </c>
      <c r="BWW2" s="1">
        <v>31250</v>
      </c>
      <c r="BWX2" s="1">
        <v>0</v>
      </c>
      <c r="BWY2" s="1">
        <v>81951</v>
      </c>
      <c r="BWZ2" s="1">
        <v>85982</v>
      </c>
      <c r="BXA2" s="1">
        <v>65158</v>
      </c>
      <c r="BXB2" s="1">
        <v>53180</v>
      </c>
      <c r="BXC2" s="1">
        <v>61161</v>
      </c>
      <c r="BXD2" s="1">
        <v>68939</v>
      </c>
      <c r="BXE2" s="1">
        <v>49797</v>
      </c>
      <c r="BXF2" s="1">
        <v>45476</v>
      </c>
      <c r="BXG2" s="1">
        <v>73359</v>
      </c>
      <c r="BXH2" s="1">
        <v>68906</v>
      </c>
      <c r="BXI2" s="1">
        <v>0</v>
      </c>
      <c r="BXJ2" s="1">
        <v>50944</v>
      </c>
      <c r="BXK2" s="1">
        <v>55261</v>
      </c>
      <c r="BXL2" s="1">
        <v>50383</v>
      </c>
      <c r="BXM2" s="1">
        <v>106000</v>
      </c>
      <c r="BXN2" s="1">
        <v>38750</v>
      </c>
      <c r="BXO2" s="1">
        <v>55350</v>
      </c>
      <c r="BXP2" s="1">
        <v>45625</v>
      </c>
      <c r="BXQ2" s="1">
        <v>54493</v>
      </c>
      <c r="BXR2" s="1">
        <v>44491</v>
      </c>
      <c r="BXS2" s="1">
        <v>56125</v>
      </c>
      <c r="BXT2" s="1">
        <v>51698</v>
      </c>
      <c r="BXU2" s="1">
        <v>60569</v>
      </c>
      <c r="BXV2" s="1">
        <v>62891</v>
      </c>
      <c r="BXW2" s="1">
        <v>45250</v>
      </c>
      <c r="BXX2" s="1">
        <v>0</v>
      </c>
      <c r="BXY2" s="1">
        <v>0</v>
      </c>
      <c r="BXZ2" s="1">
        <v>61924</v>
      </c>
      <c r="BYA2" s="1">
        <v>0</v>
      </c>
      <c r="BYB2" s="1">
        <v>70644</v>
      </c>
      <c r="BYC2" s="1">
        <v>41123</v>
      </c>
      <c r="BYD2" s="1">
        <v>65371</v>
      </c>
      <c r="BYE2" s="1">
        <v>52798</v>
      </c>
      <c r="BYF2" s="1">
        <v>49489</v>
      </c>
      <c r="BYG2" s="1">
        <v>48417</v>
      </c>
      <c r="BYH2" s="1">
        <v>0</v>
      </c>
      <c r="BYI2" s="1">
        <v>46012</v>
      </c>
      <c r="BYJ2" s="1">
        <v>46760</v>
      </c>
      <c r="BYK2" s="1">
        <v>31500</v>
      </c>
      <c r="BYL2" s="1">
        <v>49136</v>
      </c>
      <c r="BYM2" s="1">
        <v>71538</v>
      </c>
      <c r="BYN2" s="1">
        <v>43350</v>
      </c>
      <c r="BYO2" s="1">
        <v>64007</v>
      </c>
      <c r="BYP2" s="1">
        <v>50798</v>
      </c>
      <c r="BYQ2" s="1">
        <v>0</v>
      </c>
      <c r="BYR2" s="1">
        <v>0</v>
      </c>
      <c r="BYS2" s="1">
        <v>47656</v>
      </c>
      <c r="BYT2" s="1">
        <v>51689</v>
      </c>
      <c r="BYU2" s="1">
        <v>50216</v>
      </c>
      <c r="BYV2" s="1">
        <v>62265</v>
      </c>
      <c r="BYW2" s="1">
        <v>50351</v>
      </c>
      <c r="BYX2" s="1">
        <v>72056</v>
      </c>
      <c r="BYY2" s="1">
        <v>0</v>
      </c>
      <c r="BYZ2" s="1">
        <v>0</v>
      </c>
      <c r="BZA2" s="1">
        <v>63051</v>
      </c>
      <c r="BZB2" s="1">
        <v>43393</v>
      </c>
      <c r="BZC2" s="1">
        <v>0</v>
      </c>
      <c r="BZD2" s="1">
        <v>0</v>
      </c>
      <c r="BZE2" s="1">
        <v>0</v>
      </c>
      <c r="BZF2" s="1">
        <v>50521</v>
      </c>
      <c r="BZG2" s="1">
        <v>48641</v>
      </c>
      <c r="BZH2" s="1">
        <v>50469</v>
      </c>
      <c r="BZI2" s="1">
        <v>0</v>
      </c>
      <c r="BZJ2" s="1">
        <v>94080</v>
      </c>
      <c r="BZK2" s="1">
        <v>40221</v>
      </c>
      <c r="BZL2" s="1">
        <v>51844</v>
      </c>
      <c r="BZM2" s="1">
        <v>55940</v>
      </c>
      <c r="BZN2" s="1">
        <v>68012</v>
      </c>
      <c r="BZO2" s="1">
        <v>61857</v>
      </c>
      <c r="BZP2" s="1">
        <v>59309</v>
      </c>
      <c r="BZQ2" s="1">
        <v>92923</v>
      </c>
      <c r="BZR2" s="1">
        <v>43771</v>
      </c>
      <c r="BZS2" s="1">
        <v>62575</v>
      </c>
      <c r="BZT2" s="1">
        <v>40313</v>
      </c>
      <c r="BZU2" s="1">
        <v>69853</v>
      </c>
      <c r="BZV2" s="1">
        <v>66250</v>
      </c>
      <c r="BZW2" s="1">
        <v>44824</v>
      </c>
      <c r="BZX2" s="1">
        <v>46979</v>
      </c>
      <c r="BZY2" s="1">
        <v>49154</v>
      </c>
      <c r="BZZ2" s="1">
        <v>47340</v>
      </c>
      <c r="CAA2" s="1">
        <v>54306</v>
      </c>
      <c r="CAB2" s="1">
        <v>89643</v>
      </c>
      <c r="CAC2" s="1">
        <v>34563</v>
      </c>
      <c r="CAD2" s="1">
        <v>75969</v>
      </c>
      <c r="CAE2" s="1">
        <v>55198</v>
      </c>
      <c r="CAF2" s="1">
        <v>47847</v>
      </c>
      <c r="CAG2" s="1">
        <v>41429</v>
      </c>
      <c r="CAH2" s="1">
        <v>67566</v>
      </c>
      <c r="CAI2" s="1">
        <v>0</v>
      </c>
      <c r="CAJ2" s="1">
        <v>69922</v>
      </c>
      <c r="CAK2" s="1">
        <v>61084</v>
      </c>
      <c r="CAL2" s="1">
        <v>58226</v>
      </c>
      <c r="CAM2" s="1">
        <v>52865</v>
      </c>
      <c r="CAN2" s="1">
        <v>66025</v>
      </c>
      <c r="CAO2" s="1">
        <v>55261</v>
      </c>
      <c r="CAP2" s="1">
        <v>71023</v>
      </c>
      <c r="CAQ2" s="1">
        <v>67892</v>
      </c>
      <c r="CAR2" s="1">
        <v>47929</v>
      </c>
      <c r="CAS2" s="1">
        <v>60417</v>
      </c>
      <c r="CAT2" s="1">
        <v>60479</v>
      </c>
      <c r="CAU2" s="1">
        <v>59173</v>
      </c>
      <c r="CAV2" s="1">
        <v>43649</v>
      </c>
      <c r="CAW2" s="1">
        <v>0</v>
      </c>
      <c r="CAX2" s="1">
        <v>52463</v>
      </c>
      <c r="CAY2" s="1">
        <v>89773</v>
      </c>
      <c r="CAZ2" s="1">
        <v>85743</v>
      </c>
      <c r="CBA2" s="1">
        <v>68276</v>
      </c>
      <c r="CBB2" s="1">
        <v>75881</v>
      </c>
      <c r="CBC2" s="1">
        <v>140132</v>
      </c>
      <c r="CBD2" s="1">
        <v>48428</v>
      </c>
      <c r="CBE2" s="1">
        <v>0</v>
      </c>
      <c r="CBF2" s="1">
        <v>65750</v>
      </c>
      <c r="CBG2" s="1">
        <v>68873</v>
      </c>
      <c r="CBH2" s="1">
        <v>51316</v>
      </c>
      <c r="CBI2" s="1">
        <v>65606</v>
      </c>
      <c r="CBJ2" s="1">
        <v>79904</v>
      </c>
      <c r="CBK2" s="1">
        <v>52625</v>
      </c>
      <c r="CBL2" s="1">
        <v>88844</v>
      </c>
      <c r="CBM2" s="1">
        <v>63036</v>
      </c>
      <c r="CBN2" s="1">
        <v>58400</v>
      </c>
      <c r="CBO2" s="1">
        <v>60041</v>
      </c>
      <c r="CBP2" s="1">
        <v>0</v>
      </c>
      <c r="CBQ2" s="1">
        <v>61398</v>
      </c>
      <c r="CBR2" s="1">
        <v>53910</v>
      </c>
      <c r="CBS2" s="1">
        <v>57738</v>
      </c>
      <c r="CBT2" s="1">
        <v>60547</v>
      </c>
      <c r="CBU2" s="1">
        <v>0</v>
      </c>
      <c r="CBV2" s="1">
        <v>60049</v>
      </c>
      <c r="CBW2" s="1">
        <v>0</v>
      </c>
      <c r="CBX2" s="1">
        <v>0</v>
      </c>
      <c r="CBY2" s="1">
        <v>80566</v>
      </c>
      <c r="CBZ2" s="1">
        <v>51750</v>
      </c>
      <c r="CCA2" s="1">
        <v>53553</v>
      </c>
      <c r="CCB2" s="1">
        <v>61953</v>
      </c>
      <c r="CCC2" s="1">
        <v>74375</v>
      </c>
      <c r="CCD2" s="1">
        <v>63542</v>
      </c>
      <c r="CCE2" s="1">
        <v>0</v>
      </c>
      <c r="CCF2" s="1">
        <v>45865</v>
      </c>
      <c r="CCG2" s="1">
        <v>70000</v>
      </c>
      <c r="CCH2" s="1">
        <v>66298</v>
      </c>
      <c r="CCI2" s="1">
        <v>113798</v>
      </c>
      <c r="CCJ2" s="1">
        <v>90313</v>
      </c>
      <c r="CCK2" s="1">
        <v>57154</v>
      </c>
      <c r="CCL2" s="1">
        <v>67992</v>
      </c>
      <c r="CCM2" s="1">
        <v>53470</v>
      </c>
      <c r="CCN2" s="1">
        <v>40515</v>
      </c>
      <c r="CCO2" s="1">
        <v>59594</v>
      </c>
      <c r="CCP2" s="1">
        <v>65240</v>
      </c>
      <c r="CCQ2" s="1">
        <v>59700</v>
      </c>
      <c r="CCR2" s="1">
        <v>54008</v>
      </c>
      <c r="CCS2" s="1">
        <v>67833</v>
      </c>
      <c r="CCT2" s="1">
        <v>85938</v>
      </c>
      <c r="CCU2" s="1">
        <v>39754</v>
      </c>
      <c r="CCV2" s="1">
        <v>95352</v>
      </c>
      <c r="CCW2" s="1">
        <v>78618</v>
      </c>
      <c r="CCX2" s="1">
        <v>52327</v>
      </c>
      <c r="CCY2" s="1">
        <v>46496</v>
      </c>
      <c r="CCZ2" s="1">
        <v>65642</v>
      </c>
      <c r="CDA2" s="1">
        <v>79309</v>
      </c>
      <c r="CDB2" s="1">
        <v>61404</v>
      </c>
      <c r="CDC2" s="1">
        <v>59875</v>
      </c>
      <c r="CDD2" s="1">
        <v>46857</v>
      </c>
      <c r="CDE2" s="1">
        <v>53438</v>
      </c>
      <c r="CDF2" s="1">
        <v>59863</v>
      </c>
      <c r="CDG2" s="1">
        <v>51908</v>
      </c>
      <c r="CDH2" s="1">
        <v>49426</v>
      </c>
      <c r="CDI2" s="1">
        <v>75855</v>
      </c>
      <c r="CDJ2" s="1">
        <v>198473</v>
      </c>
      <c r="CDK2" s="1">
        <v>91458</v>
      </c>
      <c r="CDL2" s="1">
        <v>83248</v>
      </c>
      <c r="CDM2" s="1">
        <v>113837</v>
      </c>
      <c r="CDN2" s="1">
        <v>105391</v>
      </c>
      <c r="CDO2" s="1">
        <v>179028</v>
      </c>
      <c r="CDP2" s="1">
        <v>133722</v>
      </c>
      <c r="CDQ2" s="1">
        <v>128750</v>
      </c>
      <c r="CDR2" s="1">
        <v>152593</v>
      </c>
      <c r="CDS2" s="1">
        <v>147266</v>
      </c>
      <c r="CDT2" s="1">
        <v>128682</v>
      </c>
      <c r="CDU2" s="1">
        <v>208125</v>
      </c>
      <c r="CDV2" s="1">
        <v>0</v>
      </c>
      <c r="CDW2" s="1">
        <v>88155</v>
      </c>
      <c r="CDX2" s="1">
        <v>175127</v>
      </c>
      <c r="CDY2" s="1">
        <v>91484</v>
      </c>
      <c r="CDZ2" s="1">
        <v>171674</v>
      </c>
      <c r="CEA2" s="1">
        <v>142395</v>
      </c>
      <c r="CEB2" s="1">
        <v>187593</v>
      </c>
      <c r="CEC2" s="1">
        <v>144896</v>
      </c>
      <c r="CED2" s="1">
        <v>160987</v>
      </c>
      <c r="CEE2" s="1">
        <v>154714</v>
      </c>
      <c r="CEF2" s="1">
        <v>219491</v>
      </c>
      <c r="CEG2" s="1">
        <v>137483</v>
      </c>
      <c r="CEH2" s="1">
        <v>183929</v>
      </c>
      <c r="CEI2" s="1">
        <v>147295</v>
      </c>
      <c r="CEJ2" s="1">
        <v>198027</v>
      </c>
      <c r="CEK2" s="1">
        <v>125302</v>
      </c>
      <c r="CEL2" s="1">
        <v>173015</v>
      </c>
      <c r="CEM2" s="1">
        <v>133085</v>
      </c>
      <c r="CEN2" s="1">
        <v>187446</v>
      </c>
      <c r="CEO2" s="1">
        <v>151136</v>
      </c>
      <c r="CEP2" s="1">
        <v>155357</v>
      </c>
      <c r="CEQ2" s="1">
        <v>161389</v>
      </c>
      <c r="CER2" s="1">
        <v>156077</v>
      </c>
      <c r="CES2" s="1">
        <v>152768</v>
      </c>
      <c r="CET2" s="1">
        <v>155408</v>
      </c>
      <c r="CEU2" s="1">
        <v>60469</v>
      </c>
      <c r="CEV2" s="1">
        <v>101083</v>
      </c>
      <c r="CEW2" s="1">
        <v>157763</v>
      </c>
      <c r="CEX2" s="1">
        <v>120337</v>
      </c>
      <c r="CEY2" s="1">
        <v>139932</v>
      </c>
      <c r="CEZ2" s="1">
        <v>161639</v>
      </c>
      <c r="CFA2" s="1">
        <v>224620</v>
      </c>
      <c r="CFB2" s="1">
        <v>99929</v>
      </c>
      <c r="CFC2" s="1">
        <v>125222</v>
      </c>
      <c r="CFD2" s="1">
        <v>161698</v>
      </c>
      <c r="CFE2" s="1">
        <v>134456</v>
      </c>
      <c r="CFF2" s="1">
        <v>112077</v>
      </c>
      <c r="CFG2" s="1">
        <v>0</v>
      </c>
      <c r="CFH2" s="1">
        <v>137664</v>
      </c>
      <c r="CFI2" s="1">
        <v>126049</v>
      </c>
      <c r="CFJ2" s="1">
        <v>173728</v>
      </c>
      <c r="CFK2" s="1">
        <v>129513</v>
      </c>
      <c r="CFL2" s="1">
        <v>0</v>
      </c>
      <c r="CFM2" s="1">
        <v>0</v>
      </c>
      <c r="CFN2" s="1">
        <v>86731</v>
      </c>
      <c r="CFO2" s="1">
        <v>131756</v>
      </c>
      <c r="CFP2" s="1">
        <v>136648</v>
      </c>
      <c r="CFQ2" s="1">
        <v>92889</v>
      </c>
      <c r="CFR2" s="1">
        <v>176112</v>
      </c>
      <c r="CFS2" s="1">
        <v>97473</v>
      </c>
      <c r="CFT2" s="1">
        <v>0</v>
      </c>
      <c r="CFU2" s="1">
        <v>133274</v>
      </c>
      <c r="CFV2" s="1">
        <v>0</v>
      </c>
      <c r="CFW2" s="1">
        <v>149420</v>
      </c>
      <c r="CFX2" s="1">
        <v>201541</v>
      </c>
      <c r="CFY2" s="1">
        <v>147188</v>
      </c>
      <c r="CFZ2" s="1">
        <v>62688</v>
      </c>
      <c r="CGA2" s="1">
        <v>112331</v>
      </c>
      <c r="CGB2" s="1">
        <v>148438</v>
      </c>
      <c r="CGC2" s="1">
        <v>155563</v>
      </c>
      <c r="CGD2" s="1">
        <v>164084</v>
      </c>
      <c r="CGE2" s="1">
        <v>103261</v>
      </c>
      <c r="CGF2" s="1">
        <v>179320</v>
      </c>
      <c r="CGG2" s="1">
        <v>199197</v>
      </c>
      <c r="CGH2" s="1">
        <v>202411</v>
      </c>
      <c r="CGI2" s="1">
        <v>101659</v>
      </c>
      <c r="CGJ2" s="1">
        <v>118518</v>
      </c>
      <c r="CGK2" s="1">
        <v>116428</v>
      </c>
      <c r="CGL2" s="1">
        <v>140453</v>
      </c>
      <c r="CGM2" s="1">
        <v>137736</v>
      </c>
      <c r="CGN2" s="1">
        <v>123315</v>
      </c>
      <c r="CGO2" s="1">
        <v>105674</v>
      </c>
      <c r="CGP2" s="1">
        <v>206369</v>
      </c>
      <c r="CGQ2" s="1">
        <v>130772</v>
      </c>
      <c r="CGR2" s="1">
        <v>227941</v>
      </c>
      <c r="CGS2" s="1">
        <v>112550</v>
      </c>
      <c r="CGT2" s="1">
        <v>224000</v>
      </c>
      <c r="CGU2" s="1">
        <v>200833</v>
      </c>
      <c r="CGV2" s="1">
        <v>0</v>
      </c>
      <c r="CGW2" s="1">
        <v>188538</v>
      </c>
      <c r="CGX2" s="1">
        <v>120081</v>
      </c>
      <c r="CGY2" s="1">
        <v>102386</v>
      </c>
      <c r="CGZ2" s="1">
        <v>98238</v>
      </c>
      <c r="CHA2" s="1">
        <v>104615</v>
      </c>
      <c r="CHB2" s="1">
        <v>88759</v>
      </c>
      <c r="CHC2" s="1">
        <v>132198</v>
      </c>
      <c r="CHD2" s="1">
        <v>201484</v>
      </c>
      <c r="CHE2" s="1">
        <v>105683</v>
      </c>
      <c r="CHF2" s="1">
        <v>154936</v>
      </c>
      <c r="CHG2" s="1">
        <v>84948</v>
      </c>
      <c r="CHH2" s="1">
        <v>101374</v>
      </c>
      <c r="CHI2" s="1">
        <v>143031</v>
      </c>
      <c r="CHJ2" s="1">
        <v>148530</v>
      </c>
      <c r="CHK2" s="1">
        <v>83288</v>
      </c>
      <c r="CHL2" s="1">
        <v>123923</v>
      </c>
      <c r="CHM2" s="1">
        <v>116784</v>
      </c>
      <c r="CHN2" s="1">
        <v>102999</v>
      </c>
      <c r="CHO2" s="1">
        <v>109884</v>
      </c>
      <c r="CHP2" s="1">
        <v>62545</v>
      </c>
      <c r="CHQ2" s="1">
        <v>61711</v>
      </c>
      <c r="CHR2" s="1">
        <v>72898</v>
      </c>
      <c r="CHS2" s="1">
        <v>60706</v>
      </c>
      <c r="CHT2" s="1">
        <v>58837</v>
      </c>
      <c r="CHU2" s="1">
        <v>98482</v>
      </c>
      <c r="CHV2" s="1">
        <v>98359</v>
      </c>
      <c r="CHW2" s="1">
        <v>55414</v>
      </c>
      <c r="CHX2" s="1">
        <v>82188</v>
      </c>
      <c r="CHY2" s="1">
        <v>55598</v>
      </c>
      <c r="CHZ2" s="1">
        <v>61541</v>
      </c>
      <c r="CIA2" s="1">
        <v>50606</v>
      </c>
      <c r="CIB2" s="1">
        <v>0</v>
      </c>
      <c r="CIC2" s="1">
        <v>67660</v>
      </c>
      <c r="CID2" s="1">
        <v>48942</v>
      </c>
      <c r="CIE2" s="1">
        <v>63036</v>
      </c>
      <c r="CIF2" s="1">
        <v>47317</v>
      </c>
      <c r="CIG2" s="1">
        <v>103931</v>
      </c>
      <c r="CIH2" s="1">
        <v>65091</v>
      </c>
      <c r="CII2" s="1">
        <v>61552</v>
      </c>
      <c r="CIJ2" s="1">
        <v>95962</v>
      </c>
      <c r="CIK2" s="1">
        <v>109107</v>
      </c>
      <c r="CIL2" s="1">
        <v>28656</v>
      </c>
      <c r="CIM2" s="1">
        <v>92631</v>
      </c>
      <c r="CIN2" s="1">
        <v>66413</v>
      </c>
      <c r="CIO2" s="1">
        <v>64464</v>
      </c>
      <c r="CIP2" s="1">
        <v>138750</v>
      </c>
      <c r="CIQ2" s="1">
        <v>122724</v>
      </c>
      <c r="CIR2" s="1">
        <v>73711</v>
      </c>
      <c r="CIS2" s="1">
        <v>4016</v>
      </c>
      <c r="CIT2" s="1">
        <v>81556</v>
      </c>
      <c r="CIU2" s="1">
        <v>84525</v>
      </c>
      <c r="CIV2" s="1">
        <v>92904</v>
      </c>
      <c r="CIW2" s="1">
        <v>0</v>
      </c>
      <c r="CIX2" s="1">
        <v>99854</v>
      </c>
      <c r="CIY2" s="1">
        <v>117195</v>
      </c>
      <c r="CIZ2" s="1">
        <v>137633</v>
      </c>
      <c r="CJA2" s="1">
        <v>126219</v>
      </c>
      <c r="CJB2" s="1">
        <v>49631</v>
      </c>
      <c r="CJC2" s="1">
        <v>96136</v>
      </c>
      <c r="CJD2" s="1">
        <v>63854</v>
      </c>
      <c r="CJE2" s="1">
        <v>77262</v>
      </c>
      <c r="CJF2" s="1">
        <v>86357</v>
      </c>
      <c r="CJG2" s="1">
        <v>90524</v>
      </c>
      <c r="CJH2" s="1">
        <v>63671</v>
      </c>
      <c r="CJI2" s="1">
        <v>100029</v>
      </c>
      <c r="CJJ2" s="1">
        <v>79454</v>
      </c>
      <c r="CJK2" s="1">
        <v>94957</v>
      </c>
      <c r="CJL2" s="1">
        <v>113406</v>
      </c>
      <c r="CJM2" s="1">
        <v>109180</v>
      </c>
      <c r="CJN2" s="1">
        <v>111071</v>
      </c>
      <c r="CJO2" s="1">
        <v>89722</v>
      </c>
      <c r="CJP2" s="1">
        <v>98000</v>
      </c>
      <c r="CJQ2" s="1">
        <v>104122</v>
      </c>
      <c r="CJR2" s="1">
        <v>77870</v>
      </c>
      <c r="CJS2" s="1">
        <v>76393</v>
      </c>
      <c r="CJT2" s="1">
        <v>133988</v>
      </c>
      <c r="CJU2" s="1">
        <v>97125</v>
      </c>
      <c r="CJV2" s="1">
        <v>64438</v>
      </c>
      <c r="CJW2" s="1">
        <v>96389</v>
      </c>
      <c r="CJX2" s="1">
        <v>0</v>
      </c>
      <c r="CJY2" s="1">
        <v>79811</v>
      </c>
      <c r="CJZ2" s="1">
        <v>69554</v>
      </c>
      <c r="CKA2" s="1">
        <v>0</v>
      </c>
      <c r="CKB2" s="1">
        <v>66773</v>
      </c>
      <c r="CKC2" s="1">
        <v>93802</v>
      </c>
      <c r="CKD2" s="1">
        <v>70920</v>
      </c>
      <c r="CKE2" s="1">
        <v>99208</v>
      </c>
      <c r="CKF2" s="1">
        <v>103654</v>
      </c>
      <c r="CKG2" s="1">
        <v>59414</v>
      </c>
      <c r="CKH2" s="1">
        <v>73958</v>
      </c>
      <c r="CKI2" s="1">
        <v>109375</v>
      </c>
      <c r="CKJ2" s="1">
        <v>59417</v>
      </c>
      <c r="CKK2" s="1">
        <v>90197</v>
      </c>
      <c r="CKL2" s="1">
        <v>83214</v>
      </c>
      <c r="CKM2" s="1">
        <v>0</v>
      </c>
      <c r="CKN2" s="1">
        <v>105020</v>
      </c>
      <c r="CKO2" s="1">
        <v>99861</v>
      </c>
      <c r="CKP2" s="1">
        <v>91360</v>
      </c>
      <c r="CKQ2" s="1">
        <v>93450</v>
      </c>
      <c r="CKR2" s="1">
        <v>131510</v>
      </c>
      <c r="CKS2" s="1">
        <v>81750</v>
      </c>
      <c r="CKT2" s="1">
        <v>100357</v>
      </c>
      <c r="CKU2" s="1">
        <v>144571</v>
      </c>
      <c r="CKV2" s="1">
        <v>0</v>
      </c>
      <c r="CKW2" s="1">
        <v>0</v>
      </c>
      <c r="CKX2" s="1">
        <v>171957</v>
      </c>
      <c r="CKY2" s="1">
        <v>0</v>
      </c>
      <c r="CKZ2" s="1">
        <v>79205</v>
      </c>
      <c r="CLA2" s="1">
        <v>59180</v>
      </c>
      <c r="CLB2" s="1">
        <v>100776</v>
      </c>
      <c r="CLC2" s="1">
        <v>0</v>
      </c>
      <c r="CLD2" s="1">
        <v>0</v>
      </c>
      <c r="CLE2" s="1">
        <v>81462</v>
      </c>
      <c r="CLF2" s="1">
        <v>0</v>
      </c>
      <c r="CLG2" s="1">
        <v>68320</v>
      </c>
      <c r="CLH2" s="1">
        <v>88342</v>
      </c>
      <c r="CLI2" s="1">
        <v>73333</v>
      </c>
      <c r="CLJ2" s="1">
        <v>0</v>
      </c>
      <c r="CLK2" s="1">
        <v>94548</v>
      </c>
      <c r="CLL2" s="1">
        <v>96875</v>
      </c>
      <c r="CLM2" s="1">
        <v>91225</v>
      </c>
      <c r="CLN2" s="1">
        <v>178646</v>
      </c>
      <c r="CLO2" s="1">
        <v>111083</v>
      </c>
      <c r="CLP2" s="1">
        <v>41513</v>
      </c>
      <c r="CLQ2" s="1">
        <v>130372</v>
      </c>
      <c r="CLR2" s="1">
        <v>113750</v>
      </c>
      <c r="CLS2" s="1">
        <v>0</v>
      </c>
      <c r="CLT2" s="1">
        <v>64277</v>
      </c>
      <c r="CLU2" s="1">
        <v>58032</v>
      </c>
      <c r="CLV2" s="1">
        <v>0</v>
      </c>
      <c r="CLW2" s="1">
        <v>61818</v>
      </c>
      <c r="CLX2" s="1">
        <v>51667</v>
      </c>
      <c r="CLY2" s="1">
        <v>75000</v>
      </c>
      <c r="CLZ2" s="1">
        <v>68151</v>
      </c>
      <c r="CMA2" s="1">
        <v>0</v>
      </c>
      <c r="CMB2" s="1">
        <v>72328</v>
      </c>
      <c r="CMC2" s="1">
        <v>71629</v>
      </c>
      <c r="CMD2" s="1">
        <v>60691</v>
      </c>
      <c r="CME2" s="1">
        <v>58915</v>
      </c>
      <c r="CMF2" s="1">
        <v>49831</v>
      </c>
      <c r="CMG2" s="1">
        <v>61875</v>
      </c>
      <c r="CMH2" s="1">
        <v>84643</v>
      </c>
      <c r="CMI2" s="1">
        <v>53184</v>
      </c>
      <c r="CMJ2" s="1">
        <v>90694</v>
      </c>
      <c r="CMK2" s="1">
        <v>68250</v>
      </c>
      <c r="CML2" s="1">
        <v>51897</v>
      </c>
      <c r="CMM2" s="1">
        <v>79773</v>
      </c>
      <c r="CMN2" s="1">
        <v>57708</v>
      </c>
      <c r="CMO2" s="1">
        <v>0</v>
      </c>
      <c r="CMP2" s="1">
        <v>85833</v>
      </c>
      <c r="CMQ2" s="1">
        <v>63594</v>
      </c>
      <c r="CMR2" s="1">
        <v>64436</v>
      </c>
      <c r="CMS2" s="1">
        <v>82708</v>
      </c>
      <c r="CMT2" s="1">
        <v>56010</v>
      </c>
      <c r="CMU2" s="1">
        <v>64043</v>
      </c>
      <c r="CMV2" s="1">
        <v>88911</v>
      </c>
      <c r="CMW2" s="1">
        <v>83865</v>
      </c>
      <c r="CMX2" s="1">
        <v>66344</v>
      </c>
      <c r="CMY2" s="1">
        <v>0</v>
      </c>
      <c r="CMZ2" s="1">
        <v>0</v>
      </c>
      <c r="CNA2" s="1">
        <v>108776</v>
      </c>
      <c r="CNB2" s="1">
        <v>97500</v>
      </c>
      <c r="CNC2" s="1">
        <v>55075</v>
      </c>
      <c r="CND2" s="1">
        <v>102979</v>
      </c>
      <c r="CNE2" s="1">
        <v>100625</v>
      </c>
      <c r="CNF2" s="1">
        <v>99684</v>
      </c>
      <c r="CNG2" s="1">
        <v>97905</v>
      </c>
      <c r="CNH2" s="1">
        <v>133944</v>
      </c>
      <c r="CNI2" s="1">
        <v>71366</v>
      </c>
      <c r="CNJ2" s="1">
        <v>57222</v>
      </c>
      <c r="CNK2" s="1">
        <v>78337</v>
      </c>
      <c r="CNL2" s="1">
        <v>89476</v>
      </c>
      <c r="CNM2" s="1">
        <v>87500</v>
      </c>
      <c r="CNN2" s="1">
        <v>0</v>
      </c>
      <c r="CNO2" s="1">
        <v>0</v>
      </c>
      <c r="CNP2" s="1">
        <v>129833</v>
      </c>
      <c r="CNQ2" s="1">
        <v>0</v>
      </c>
      <c r="CNR2" s="1">
        <v>51250</v>
      </c>
      <c r="CNS2" s="1">
        <v>75217</v>
      </c>
      <c r="CNT2" s="1">
        <v>0</v>
      </c>
      <c r="CNU2" s="1">
        <v>92232</v>
      </c>
      <c r="CNV2" s="1">
        <v>108606</v>
      </c>
      <c r="CNW2" s="1">
        <v>73509</v>
      </c>
      <c r="CNX2" s="1">
        <v>98229</v>
      </c>
      <c r="CNY2" s="1">
        <v>115281</v>
      </c>
      <c r="CNZ2" s="1">
        <v>79290</v>
      </c>
      <c r="COA2" s="1">
        <v>81828</v>
      </c>
      <c r="COB2" s="1">
        <v>61383</v>
      </c>
      <c r="COC2" s="1">
        <v>74441</v>
      </c>
      <c r="COD2" s="1">
        <v>195341</v>
      </c>
      <c r="COE2" s="1">
        <v>70716</v>
      </c>
      <c r="COF2" s="1">
        <v>104570</v>
      </c>
      <c r="COG2" s="1">
        <v>0</v>
      </c>
      <c r="COH2" s="1">
        <v>60428</v>
      </c>
      <c r="COI2" s="1">
        <v>0</v>
      </c>
      <c r="COJ2" s="1">
        <v>61302</v>
      </c>
      <c r="COK2" s="1">
        <v>56094</v>
      </c>
      <c r="COL2" s="1">
        <v>86136</v>
      </c>
      <c r="COM2" s="1">
        <v>85960</v>
      </c>
      <c r="CON2" s="1">
        <v>120083</v>
      </c>
      <c r="COO2" s="1">
        <v>118224</v>
      </c>
      <c r="COP2" s="1">
        <v>0</v>
      </c>
      <c r="COQ2" s="1">
        <v>46250</v>
      </c>
      <c r="COR2" s="1">
        <v>76250</v>
      </c>
      <c r="COS2" s="1">
        <v>88977</v>
      </c>
      <c r="COT2" s="1">
        <v>46007</v>
      </c>
      <c r="COU2" s="1">
        <v>78875</v>
      </c>
      <c r="COV2" s="1">
        <v>67404</v>
      </c>
      <c r="COW2" s="1">
        <v>86250</v>
      </c>
      <c r="COX2" s="1">
        <v>100027</v>
      </c>
      <c r="COY2" s="1">
        <v>79828</v>
      </c>
      <c r="COZ2" s="1">
        <v>160333</v>
      </c>
      <c r="CPA2" s="1">
        <v>55286</v>
      </c>
      <c r="CPB2" s="1">
        <v>67813</v>
      </c>
      <c r="CPC2" s="1">
        <v>0</v>
      </c>
      <c r="CPD2" s="1">
        <v>78263</v>
      </c>
      <c r="CPE2" s="1">
        <v>0</v>
      </c>
      <c r="CPF2" s="1">
        <v>51769</v>
      </c>
      <c r="CPG2" s="1">
        <v>98818</v>
      </c>
      <c r="CPH2" s="1">
        <v>147578</v>
      </c>
      <c r="CPI2" s="1">
        <v>105249</v>
      </c>
      <c r="CPJ2" s="1">
        <v>92014</v>
      </c>
      <c r="CPK2" s="1">
        <v>50217</v>
      </c>
      <c r="CPL2" s="1">
        <v>70053</v>
      </c>
      <c r="CPM2" s="1">
        <v>87600</v>
      </c>
      <c r="CPN2" s="1">
        <v>89009</v>
      </c>
      <c r="CPO2" s="1">
        <v>0</v>
      </c>
      <c r="CPP2" s="1">
        <v>77188</v>
      </c>
      <c r="CPQ2" s="1">
        <v>127702</v>
      </c>
      <c r="CPR2" s="1">
        <v>78209</v>
      </c>
      <c r="CPS2" s="1">
        <v>74344</v>
      </c>
      <c r="CPT2" s="1">
        <v>45806</v>
      </c>
      <c r="CPU2" s="1">
        <v>99477</v>
      </c>
      <c r="CPV2" s="1">
        <v>58250</v>
      </c>
      <c r="CPW2" s="1">
        <v>0</v>
      </c>
      <c r="CPX2" s="1">
        <v>89712</v>
      </c>
      <c r="CPY2" s="1">
        <v>56016</v>
      </c>
      <c r="CPZ2" s="1">
        <v>93500</v>
      </c>
      <c r="CQA2" s="1">
        <v>79397</v>
      </c>
      <c r="CQB2" s="1">
        <v>91463</v>
      </c>
      <c r="CQC2" s="1">
        <v>0</v>
      </c>
      <c r="CQD2" s="1">
        <v>0</v>
      </c>
      <c r="CQE2" s="1">
        <v>65799</v>
      </c>
      <c r="CQF2" s="1">
        <v>106161</v>
      </c>
      <c r="CQG2" s="1">
        <v>118244</v>
      </c>
      <c r="CQH2" s="1">
        <v>54042</v>
      </c>
      <c r="CQI2" s="1">
        <v>120556</v>
      </c>
      <c r="CQJ2" s="1">
        <v>72582</v>
      </c>
      <c r="CQK2" s="1">
        <v>67656</v>
      </c>
      <c r="CQL2" s="1">
        <v>89849</v>
      </c>
      <c r="CQM2" s="1">
        <v>113166</v>
      </c>
      <c r="CQN2" s="1">
        <v>147734</v>
      </c>
      <c r="CQO2" s="1">
        <v>105730</v>
      </c>
      <c r="CQP2" s="1">
        <v>131665</v>
      </c>
      <c r="CQQ2" s="1">
        <v>82271</v>
      </c>
      <c r="CQR2" s="1">
        <v>0</v>
      </c>
      <c r="CQS2" s="1">
        <v>163989</v>
      </c>
      <c r="CQT2" s="1">
        <v>63664</v>
      </c>
      <c r="CQU2" s="1">
        <v>123393</v>
      </c>
      <c r="CQV2" s="1">
        <v>80038</v>
      </c>
      <c r="CQW2" s="1">
        <v>117228</v>
      </c>
      <c r="CQX2" s="1">
        <v>132695</v>
      </c>
      <c r="CQY2" s="1">
        <v>0</v>
      </c>
      <c r="CQZ2" s="1">
        <v>93663</v>
      </c>
      <c r="CRA2" s="1">
        <v>107265</v>
      </c>
      <c r="CRB2" s="1">
        <v>98900</v>
      </c>
      <c r="CRC2" s="1">
        <v>108100</v>
      </c>
      <c r="CRD2" s="1">
        <v>129327</v>
      </c>
      <c r="CRE2" s="1">
        <v>0</v>
      </c>
      <c r="CRF2" s="1">
        <v>75954</v>
      </c>
      <c r="CRG2" s="1">
        <v>91981</v>
      </c>
      <c r="CRH2" s="1">
        <v>74280</v>
      </c>
      <c r="CRI2" s="1">
        <v>104773</v>
      </c>
      <c r="CRJ2" s="1">
        <v>40192</v>
      </c>
      <c r="CRK2" s="1">
        <v>0</v>
      </c>
      <c r="CRL2" s="1">
        <v>0</v>
      </c>
      <c r="CRM2" s="1">
        <v>0</v>
      </c>
      <c r="CRN2" s="1">
        <v>106771</v>
      </c>
      <c r="CRO2" s="1">
        <v>49444</v>
      </c>
      <c r="CRP2" s="1">
        <v>0</v>
      </c>
      <c r="CRQ2" s="1">
        <v>50231</v>
      </c>
      <c r="CRR2" s="1">
        <v>70217</v>
      </c>
      <c r="CRS2" s="1">
        <v>80375</v>
      </c>
      <c r="CRT2" s="1">
        <v>67813</v>
      </c>
      <c r="CRU2" s="1">
        <v>88294</v>
      </c>
      <c r="CRV2" s="1">
        <v>98713</v>
      </c>
      <c r="CRW2" s="1">
        <v>96821</v>
      </c>
      <c r="CRX2" s="1">
        <v>93822</v>
      </c>
      <c r="CRY2" s="1">
        <v>57679</v>
      </c>
      <c r="CRZ2" s="1">
        <v>51830</v>
      </c>
      <c r="CSA2" s="1">
        <v>96169</v>
      </c>
      <c r="CSB2" s="1">
        <v>54756</v>
      </c>
      <c r="CSC2" s="1">
        <v>52246</v>
      </c>
      <c r="CSD2" s="1">
        <v>46112</v>
      </c>
      <c r="CSE2" s="1">
        <v>61021</v>
      </c>
      <c r="CSF2" s="1">
        <v>124364</v>
      </c>
      <c r="CSG2" s="1">
        <v>63114</v>
      </c>
      <c r="CSH2" s="1">
        <v>63533</v>
      </c>
      <c r="CSI2" s="1">
        <v>97993</v>
      </c>
      <c r="CSJ2" s="1">
        <v>73024</v>
      </c>
      <c r="CSK2" s="1">
        <v>69972</v>
      </c>
      <c r="CSL2" s="1">
        <v>116469</v>
      </c>
      <c r="CSM2" s="1">
        <v>60669</v>
      </c>
      <c r="CSN2" s="1">
        <v>88767</v>
      </c>
      <c r="CSO2" s="1">
        <v>97195</v>
      </c>
      <c r="CSP2" s="1">
        <v>75219</v>
      </c>
      <c r="CSQ2" s="1">
        <v>91174</v>
      </c>
      <c r="CSR2" s="1">
        <v>0</v>
      </c>
      <c r="CSS2" s="1">
        <v>0</v>
      </c>
      <c r="CST2" s="1">
        <v>66394</v>
      </c>
      <c r="CSU2" s="1">
        <v>0</v>
      </c>
      <c r="CSV2" s="1">
        <v>48894</v>
      </c>
      <c r="CSW2" s="1">
        <v>0</v>
      </c>
      <c r="CSX2" s="1">
        <v>0</v>
      </c>
      <c r="CSY2" s="1">
        <v>0</v>
      </c>
      <c r="CSZ2" s="1">
        <v>42396</v>
      </c>
      <c r="CTA2" s="1">
        <v>41786</v>
      </c>
      <c r="CTB2" s="1">
        <v>70050</v>
      </c>
      <c r="CTC2" s="1">
        <v>55417</v>
      </c>
      <c r="CTD2" s="1">
        <v>101081</v>
      </c>
      <c r="CTE2" s="1">
        <v>87708</v>
      </c>
      <c r="CTF2" s="1">
        <v>78750</v>
      </c>
      <c r="CTG2" s="1">
        <v>81963</v>
      </c>
      <c r="CTH2" s="1">
        <v>96235</v>
      </c>
      <c r="CTI2" s="1">
        <v>129628</v>
      </c>
      <c r="CTJ2" s="1">
        <v>99407</v>
      </c>
      <c r="CTK2" s="1">
        <v>57636</v>
      </c>
      <c r="CTL2" s="1">
        <v>72708</v>
      </c>
      <c r="CTM2" s="1">
        <v>46736</v>
      </c>
      <c r="CTN2" s="1">
        <v>0</v>
      </c>
      <c r="CTO2" s="1">
        <v>93750</v>
      </c>
      <c r="CTP2" s="1">
        <v>46972</v>
      </c>
      <c r="CTQ2" s="1">
        <v>0</v>
      </c>
      <c r="CTR2" s="1">
        <v>66667</v>
      </c>
      <c r="CTS2" s="1">
        <v>0</v>
      </c>
      <c r="CTT2" s="1">
        <v>74688</v>
      </c>
      <c r="CTU2" s="1">
        <v>65732</v>
      </c>
      <c r="CTV2" s="1">
        <v>0</v>
      </c>
      <c r="CTW2" s="1">
        <v>0</v>
      </c>
      <c r="CTX2" s="1">
        <v>0</v>
      </c>
      <c r="CTY2" s="1">
        <v>34844</v>
      </c>
      <c r="CTZ2" s="1">
        <v>83344</v>
      </c>
      <c r="CUA2" s="1">
        <v>65949</v>
      </c>
      <c r="CUB2" s="1">
        <v>0</v>
      </c>
      <c r="CUC2" s="1">
        <v>0</v>
      </c>
      <c r="CUD2" s="1">
        <v>42259</v>
      </c>
      <c r="CUE2" s="1">
        <v>44231</v>
      </c>
      <c r="CUF2" s="1">
        <v>0</v>
      </c>
      <c r="CUG2" s="1">
        <v>43010</v>
      </c>
      <c r="CUH2" s="1">
        <v>0</v>
      </c>
      <c r="CUI2" s="1">
        <v>68248</v>
      </c>
      <c r="CUJ2" s="1">
        <v>47219</v>
      </c>
      <c r="CUK2" s="1">
        <v>50293</v>
      </c>
      <c r="CUL2" s="1">
        <v>63125</v>
      </c>
      <c r="CUM2" s="1">
        <v>0</v>
      </c>
      <c r="CUN2" s="1">
        <v>0</v>
      </c>
      <c r="CUO2" s="1">
        <v>0</v>
      </c>
      <c r="CUP2" s="1">
        <v>38000</v>
      </c>
      <c r="CUQ2" s="1">
        <v>95316</v>
      </c>
      <c r="CUR2" s="1">
        <v>150461</v>
      </c>
      <c r="CUS2" s="1">
        <v>144167</v>
      </c>
      <c r="CUT2" s="1">
        <v>73843</v>
      </c>
      <c r="CUU2" s="1">
        <v>107800</v>
      </c>
      <c r="CUV2" s="1">
        <v>185063</v>
      </c>
      <c r="CUW2" s="1">
        <v>70823</v>
      </c>
      <c r="CUX2" s="1">
        <v>84231</v>
      </c>
      <c r="CUY2" s="1">
        <v>0</v>
      </c>
      <c r="CUZ2" s="1">
        <v>0</v>
      </c>
      <c r="CVA2" s="1">
        <v>66042</v>
      </c>
      <c r="CVB2" s="1">
        <v>93172</v>
      </c>
      <c r="CVC2" s="1">
        <v>75185</v>
      </c>
      <c r="CVD2" s="1">
        <v>79317</v>
      </c>
      <c r="CVE2" s="1">
        <v>95547</v>
      </c>
      <c r="CVF2" s="1">
        <v>82977</v>
      </c>
      <c r="CVG2" s="1">
        <v>125116</v>
      </c>
      <c r="CVH2" s="1">
        <v>100927</v>
      </c>
      <c r="CVI2" s="1">
        <v>0</v>
      </c>
      <c r="CVJ2" s="1">
        <v>0</v>
      </c>
      <c r="CVK2" s="1">
        <v>0</v>
      </c>
      <c r="CVL2" s="1">
        <v>69375</v>
      </c>
      <c r="CVM2" s="1">
        <v>90535</v>
      </c>
      <c r="CVN2" s="1">
        <v>39798</v>
      </c>
      <c r="CVO2" s="1">
        <v>50611</v>
      </c>
      <c r="CVP2" s="1">
        <v>75634</v>
      </c>
      <c r="CVQ2" s="1">
        <v>63449</v>
      </c>
      <c r="CVR2" s="1">
        <v>65421</v>
      </c>
      <c r="CVS2" s="1">
        <v>58063</v>
      </c>
      <c r="CVT2" s="1">
        <v>39611</v>
      </c>
      <c r="CVU2" s="1">
        <v>56919</v>
      </c>
      <c r="CVV2" s="1">
        <v>93512</v>
      </c>
      <c r="CVW2" s="1">
        <v>73075</v>
      </c>
      <c r="CVX2" s="1">
        <v>68540</v>
      </c>
      <c r="CVY2" s="1">
        <v>71720</v>
      </c>
      <c r="CVZ2" s="1">
        <v>63456</v>
      </c>
      <c r="CWA2" s="1">
        <v>61737</v>
      </c>
      <c r="CWB2" s="1">
        <v>55536</v>
      </c>
      <c r="CWC2" s="1">
        <v>71313</v>
      </c>
      <c r="CWD2" s="1">
        <v>34201</v>
      </c>
      <c r="CWE2" s="1">
        <v>0</v>
      </c>
      <c r="CWF2" s="1">
        <v>65299</v>
      </c>
      <c r="CWG2" s="1">
        <v>70717</v>
      </c>
      <c r="CWH2" s="1">
        <v>95029</v>
      </c>
      <c r="CWI2" s="1">
        <v>70815</v>
      </c>
      <c r="CWJ2" s="1">
        <v>44644</v>
      </c>
      <c r="CWK2" s="1">
        <v>67943</v>
      </c>
      <c r="CWL2" s="1">
        <v>39139</v>
      </c>
      <c r="CWM2" s="1">
        <v>67260</v>
      </c>
      <c r="CWN2" s="1">
        <v>98281</v>
      </c>
      <c r="CWO2" s="1">
        <v>63172</v>
      </c>
      <c r="CWP2" s="1">
        <v>114503</v>
      </c>
      <c r="CWQ2" s="1">
        <v>53760</v>
      </c>
      <c r="CWR2" s="1">
        <v>73560</v>
      </c>
      <c r="CWS2" s="1">
        <v>75929</v>
      </c>
      <c r="CWT2" s="1">
        <v>67033</v>
      </c>
      <c r="CWU2" s="1">
        <v>0</v>
      </c>
      <c r="CWV2" s="1">
        <v>0</v>
      </c>
      <c r="CWW2" s="1">
        <v>60959</v>
      </c>
      <c r="CWX2" s="1">
        <v>0</v>
      </c>
      <c r="CWY2" s="1">
        <v>83173</v>
      </c>
      <c r="CWZ2" s="1">
        <v>0</v>
      </c>
      <c r="CXA2" s="1">
        <v>101987</v>
      </c>
      <c r="CXB2" s="1">
        <v>109213</v>
      </c>
      <c r="CXC2" s="1">
        <v>128438</v>
      </c>
      <c r="CXD2" s="1">
        <v>61961</v>
      </c>
      <c r="CXE2" s="1">
        <v>45772</v>
      </c>
      <c r="CXF2" s="1">
        <v>72822</v>
      </c>
      <c r="CXG2" s="1">
        <v>43680</v>
      </c>
      <c r="CXH2" s="1">
        <v>49363</v>
      </c>
      <c r="CXI2" s="1">
        <v>0</v>
      </c>
      <c r="CXJ2" s="1">
        <v>0</v>
      </c>
      <c r="CXK2" s="1">
        <v>73906</v>
      </c>
      <c r="CXL2" s="1">
        <v>53876</v>
      </c>
      <c r="CXM2" s="1">
        <v>63501</v>
      </c>
      <c r="CXN2" s="1">
        <v>58787</v>
      </c>
      <c r="CXO2" s="1">
        <v>58917</v>
      </c>
      <c r="CXP2" s="1">
        <v>44050</v>
      </c>
      <c r="CXQ2" s="1">
        <v>65208</v>
      </c>
      <c r="CXR2" s="1">
        <v>85648</v>
      </c>
      <c r="CXS2" s="1">
        <v>109207</v>
      </c>
      <c r="CXT2" s="1">
        <v>90964</v>
      </c>
      <c r="CXU2" s="1">
        <v>100744</v>
      </c>
      <c r="CXV2" s="1">
        <v>81141</v>
      </c>
      <c r="CXW2" s="1">
        <v>76332</v>
      </c>
      <c r="CXX2" s="1">
        <v>102984</v>
      </c>
      <c r="CXY2" s="1">
        <v>51818</v>
      </c>
      <c r="CXZ2" s="1">
        <v>124512</v>
      </c>
      <c r="CYA2" s="1">
        <v>95208</v>
      </c>
      <c r="CYB2" s="1">
        <v>84632</v>
      </c>
      <c r="CYC2" s="1">
        <v>59706</v>
      </c>
      <c r="CYD2" s="1">
        <v>85375</v>
      </c>
      <c r="CYE2" s="1">
        <v>65714</v>
      </c>
      <c r="CYF2" s="1">
        <v>31863</v>
      </c>
      <c r="CYG2" s="1">
        <v>67500</v>
      </c>
      <c r="CYH2" s="1">
        <v>84205</v>
      </c>
      <c r="CYI2" s="1">
        <v>43840</v>
      </c>
      <c r="CYJ2" s="1">
        <v>79630</v>
      </c>
      <c r="CYK2" s="1">
        <v>61416</v>
      </c>
      <c r="CYL2" s="1">
        <v>40711</v>
      </c>
      <c r="CYM2" s="1">
        <v>0</v>
      </c>
      <c r="CYN2" s="1">
        <v>54724</v>
      </c>
      <c r="CYO2" s="1">
        <v>67891</v>
      </c>
      <c r="CYP2" s="1">
        <v>72639</v>
      </c>
      <c r="CYQ2" s="1">
        <v>48620</v>
      </c>
      <c r="CYR2" s="1">
        <v>0</v>
      </c>
      <c r="CYS2" s="1">
        <v>71654</v>
      </c>
      <c r="CYT2" s="1">
        <v>54356</v>
      </c>
      <c r="CYU2" s="1">
        <v>72714</v>
      </c>
      <c r="CYV2" s="1">
        <v>29722</v>
      </c>
      <c r="CYW2" s="1">
        <v>88697</v>
      </c>
      <c r="CYX2" s="1">
        <v>56667</v>
      </c>
      <c r="CYY2" s="1">
        <v>60469</v>
      </c>
      <c r="CYZ2" s="1">
        <v>55417</v>
      </c>
      <c r="CZA2" s="1">
        <v>76250</v>
      </c>
      <c r="CZB2" s="1">
        <v>0</v>
      </c>
      <c r="CZC2" s="1">
        <v>95668</v>
      </c>
      <c r="CZD2" s="1">
        <v>0</v>
      </c>
      <c r="CZE2" s="1">
        <v>61797</v>
      </c>
      <c r="CZF2" s="1">
        <v>51759</v>
      </c>
      <c r="CZG2" s="1">
        <v>77464</v>
      </c>
      <c r="CZH2" s="1">
        <v>0</v>
      </c>
      <c r="CZI2" s="1">
        <v>80893</v>
      </c>
      <c r="CZJ2" s="1">
        <v>85313</v>
      </c>
      <c r="CZK2" s="1">
        <v>70486</v>
      </c>
      <c r="CZL2" s="1">
        <v>82500</v>
      </c>
      <c r="CZM2" s="1">
        <v>54583</v>
      </c>
      <c r="CZN2" s="1">
        <v>53105</v>
      </c>
      <c r="CZO2" s="1">
        <v>0</v>
      </c>
      <c r="CZP2" s="1">
        <v>48750</v>
      </c>
      <c r="CZQ2" s="1">
        <v>61597</v>
      </c>
      <c r="CZR2" s="1">
        <v>62243</v>
      </c>
      <c r="CZS2" s="1">
        <v>56319</v>
      </c>
      <c r="CZT2" s="1">
        <v>80455</v>
      </c>
      <c r="CZU2" s="1">
        <v>92407</v>
      </c>
      <c r="CZV2" s="1">
        <v>46464</v>
      </c>
      <c r="CZW2" s="1">
        <v>45458</v>
      </c>
      <c r="CZX2" s="1">
        <v>58793</v>
      </c>
      <c r="CZY2" s="1">
        <v>56379</v>
      </c>
      <c r="CZZ2" s="1">
        <v>115711</v>
      </c>
      <c r="DAA2" s="1">
        <v>59053</v>
      </c>
      <c r="DAB2" s="1">
        <v>37430</v>
      </c>
      <c r="DAC2" s="1">
        <v>48750</v>
      </c>
      <c r="DAD2" s="1">
        <v>61761</v>
      </c>
      <c r="DAE2" s="1">
        <v>0</v>
      </c>
      <c r="DAF2" s="1">
        <v>57500</v>
      </c>
      <c r="DAG2" s="1">
        <v>60946</v>
      </c>
      <c r="DAH2" s="1">
        <v>39219</v>
      </c>
      <c r="DAI2" s="1">
        <v>0</v>
      </c>
      <c r="DAJ2" s="1">
        <v>72870</v>
      </c>
      <c r="DAK2" s="1">
        <v>0</v>
      </c>
      <c r="DAL2" s="1">
        <v>46917</v>
      </c>
      <c r="DAM2" s="1">
        <v>72361</v>
      </c>
      <c r="DAN2" s="1">
        <v>68125</v>
      </c>
      <c r="DAO2" s="1">
        <v>65476</v>
      </c>
      <c r="DAP2" s="1">
        <v>0</v>
      </c>
      <c r="DAQ2" s="1">
        <v>52708</v>
      </c>
      <c r="DAR2" s="1">
        <v>61625</v>
      </c>
      <c r="DAS2" s="1">
        <v>54948</v>
      </c>
      <c r="DAT2" s="1">
        <v>35000</v>
      </c>
      <c r="DAU2" s="1">
        <v>50673</v>
      </c>
      <c r="DAV2" s="1">
        <v>48433</v>
      </c>
      <c r="DAW2" s="1">
        <v>19500</v>
      </c>
      <c r="DAX2" s="1">
        <v>59700</v>
      </c>
      <c r="DAY2" s="1">
        <v>50857</v>
      </c>
      <c r="DAZ2" s="1">
        <v>51858</v>
      </c>
      <c r="DBA2" s="1">
        <v>58738</v>
      </c>
      <c r="DBB2" s="1">
        <v>67295</v>
      </c>
      <c r="DBC2" s="1">
        <v>40664</v>
      </c>
      <c r="DBD2" s="1">
        <v>43097</v>
      </c>
      <c r="DBE2" s="1">
        <v>91769</v>
      </c>
      <c r="DBF2" s="1">
        <v>73637</v>
      </c>
      <c r="DBG2" s="1">
        <v>0</v>
      </c>
      <c r="DBH2" s="1">
        <v>0</v>
      </c>
      <c r="DBI2" s="1">
        <v>42302</v>
      </c>
      <c r="DBJ2" s="1">
        <v>52278</v>
      </c>
      <c r="DBK2" s="1">
        <v>36210</v>
      </c>
      <c r="DBL2" s="1">
        <v>49850</v>
      </c>
      <c r="DBM2" s="1">
        <v>79412</v>
      </c>
      <c r="DBN2" s="1">
        <v>57270</v>
      </c>
      <c r="DBO2" s="1">
        <v>0</v>
      </c>
      <c r="DBP2" s="1">
        <v>82602</v>
      </c>
      <c r="DBQ2" s="1">
        <v>73659</v>
      </c>
      <c r="DBR2" s="1">
        <v>60924</v>
      </c>
      <c r="DBS2" s="1">
        <v>49861</v>
      </c>
      <c r="DBT2" s="1">
        <v>41382</v>
      </c>
      <c r="DBU2" s="1">
        <v>81544</v>
      </c>
      <c r="DBV2" s="1">
        <v>91932</v>
      </c>
      <c r="DBW2" s="1">
        <v>69581</v>
      </c>
      <c r="DBX2" s="1">
        <v>42356</v>
      </c>
      <c r="DBY2" s="1">
        <v>79286</v>
      </c>
      <c r="DBZ2" s="1">
        <v>47130</v>
      </c>
      <c r="DCA2" s="1">
        <v>77898</v>
      </c>
      <c r="DCB2" s="1">
        <v>76115</v>
      </c>
      <c r="DCC2" s="1">
        <v>106083</v>
      </c>
      <c r="DCD2" s="1">
        <v>62909</v>
      </c>
      <c r="DCE2" s="1">
        <v>43969</v>
      </c>
      <c r="DCF2" s="1">
        <v>113750</v>
      </c>
      <c r="DCG2" s="1">
        <v>45347</v>
      </c>
      <c r="DCH2" s="1">
        <v>34188</v>
      </c>
      <c r="DCI2" s="1">
        <v>36659</v>
      </c>
      <c r="DCJ2" s="1">
        <v>84948</v>
      </c>
      <c r="DCK2" s="1">
        <v>57886</v>
      </c>
      <c r="DCL2" s="1">
        <v>64948</v>
      </c>
      <c r="DCM2" s="1">
        <v>0</v>
      </c>
      <c r="DCN2" s="1">
        <v>77936</v>
      </c>
      <c r="DCO2" s="1">
        <v>77468</v>
      </c>
      <c r="DCP2" s="1">
        <v>56625</v>
      </c>
      <c r="DCQ2" s="1">
        <v>80650</v>
      </c>
      <c r="DCR2" s="1">
        <v>70380</v>
      </c>
      <c r="DCS2" s="1">
        <v>42349</v>
      </c>
      <c r="DCT2" s="1">
        <v>45678</v>
      </c>
      <c r="DCU2" s="1">
        <v>84421</v>
      </c>
      <c r="DCV2" s="1">
        <v>59500</v>
      </c>
      <c r="DCW2" s="1">
        <v>57853</v>
      </c>
      <c r="DCX2" s="1">
        <v>62273</v>
      </c>
      <c r="DCY2" s="1">
        <v>68162</v>
      </c>
      <c r="DCZ2" s="1">
        <v>0</v>
      </c>
      <c r="DDA2" s="1">
        <v>0</v>
      </c>
      <c r="DDB2" s="1">
        <v>0</v>
      </c>
      <c r="DDC2" s="1">
        <v>39375</v>
      </c>
      <c r="DDD2" s="1">
        <v>62500</v>
      </c>
      <c r="DDE2" s="1">
        <v>66389</v>
      </c>
      <c r="DDF2" s="1">
        <v>64295</v>
      </c>
      <c r="DDG2" s="1">
        <v>76964</v>
      </c>
      <c r="DDH2" s="1">
        <v>32713</v>
      </c>
      <c r="DDI2" s="1">
        <v>58544</v>
      </c>
      <c r="DDJ2" s="1">
        <v>0</v>
      </c>
      <c r="DDK2" s="1">
        <v>37974</v>
      </c>
      <c r="DDL2" s="1">
        <v>54294</v>
      </c>
      <c r="DDM2" s="1">
        <v>61063</v>
      </c>
      <c r="DDN2" s="1">
        <v>73491</v>
      </c>
      <c r="DDO2" s="1">
        <v>61740</v>
      </c>
      <c r="DDP2" s="1">
        <v>73136</v>
      </c>
      <c r="DDQ2" s="1">
        <v>49044</v>
      </c>
      <c r="DDR2" s="1">
        <v>67986</v>
      </c>
      <c r="DDS2" s="1">
        <v>58819</v>
      </c>
      <c r="DDT2" s="1">
        <v>33015</v>
      </c>
      <c r="DDU2" s="1">
        <v>55417</v>
      </c>
      <c r="DDV2" s="1">
        <v>55042</v>
      </c>
      <c r="DDW2" s="1">
        <v>53726</v>
      </c>
      <c r="DDX2" s="1">
        <v>81295</v>
      </c>
      <c r="DDY2" s="1">
        <v>105417</v>
      </c>
      <c r="DDZ2" s="1">
        <v>67996</v>
      </c>
      <c r="DEA2" s="1">
        <v>63397</v>
      </c>
      <c r="DEB2" s="1">
        <v>71012</v>
      </c>
      <c r="DEC2" s="1">
        <v>43599</v>
      </c>
      <c r="DED2" s="1">
        <v>56476</v>
      </c>
      <c r="DEE2" s="1">
        <v>60337</v>
      </c>
      <c r="DEF2" s="1">
        <v>80952</v>
      </c>
      <c r="DEG2" s="1">
        <v>35053</v>
      </c>
      <c r="DEH2" s="1">
        <v>73056</v>
      </c>
      <c r="DEI2" s="1">
        <v>58380</v>
      </c>
      <c r="DEJ2" s="1">
        <v>49583</v>
      </c>
      <c r="DEK2" s="1">
        <v>50313</v>
      </c>
      <c r="DEL2" s="1">
        <v>44026</v>
      </c>
      <c r="DEM2" s="1">
        <v>26741</v>
      </c>
      <c r="DEN2" s="1">
        <v>46513</v>
      </c>
      <c r="DEO2" s="1">
        <v>39367</v>
      </c>
      <c r="DEP2" s="1">
        <v>52529</v>
      </c>
      <c r="DEQ2" s="1">
        <v>33185</v>
      </c>
      <c r="DER2" s="1">
        <v>26818</v>
      </c>
      <c r="DES2" s="1">
        <v>0</v>
      </c>
      <c r="DET2" s="1">
        <v>51071</v>
      </c>
      <c r="DEU2" s="1">
        <v>41406</v>
      </c>
      <c r="DEV2" s="1">
        <v>34926</v>
      </c>
      <c r="DEW2" s="1">
        <v>0</v>
      </c>
      <c r="DEX2" s="1">
        <v>58295</v>
      </c>
      <c r="DEY2" s="1">
        <v>40750</v>
      </c>
      <c r="DEZ2" s="1">
        <v>46105</v>
      </c>
      <c r="DFA2" s="1">
        <v>43373</v>
      </c>
      <c r="DFB2" s="1">
        <v>40540</v>
      </c>
      <c r="DFC2" s="1">
        <v>38136</v>
      </c>
      <c r="DFD2" s="1">
        <v>32227</v>
      </c>
      <c r="DFE2" s="1">
        <v>83089</v>
      </c>
      <c r="DFF2" s="1">
        <v>48199</v>
      </c>
      <c r="DFG2" s="1">
        <v>44107</v>
      </c>
      <c r="DFH2" s="1">
        <v>46821</v>
      </c>
      <c r="DFI2" s="1">
        <v>39115</v>
      </c>
      <c r="DFJ2" s="1">
        <v>30254</v>
      </c>
      <c r="DFK2" s="1">
        <v>38396</v>
      </c>
      <c r="DFL2" s="1">
        <v>33155</v>
      </c>
      <c r="DFM2" s="1">
        <v>41371</v>
      </c>
      <c r="DFN2" s="1">
        <v>68839</v>
      </c>
      <c r="DFO2" s="1">
        <v>57665</v>
      </c>
      <c r="DFP2" s="1">
        <v>0</v>
      </c>
      <c r="DFQ2" s="1">
        <v>28833</v>
      </c>
      <c r="DFR2" s="1">
        <v>51563</v>
      </c>
      <c r="DFS2" s="1">
        <v>41250</v>
      </c>
      <c r="DFT2" s="1">
        <v>48591</v>
      </c>
      <c r="DFU2" s="1">
        <v>56965</v>
      </c>
      <c r="DFV2" s="1">
        <v>39375</v>
      </c>
      <c r="DFW2" s="1">
        <v>31196</v>
      </c>
      <c r="DFX2" s="1">
        <v>31250</v>
      </c>
      <c r="DFY2" s="1">
        <v>60714</v>
      </c>
      <c r="DFZ2" s="1">
        <v>61524</v>
      </c>
      <c r="DGA2" s="1">
        <v>0</v>
      </c>
      <c r="DGB2" s="1">
        <v>45150</v>
      </c>
      <c r="DGC2" s="1">
        <v>63913</v>
      </c>
      <c r="DGD2" s="1">
        <v>50177</v>
      </c>
      <c r="DGE2" s="1">
        <v>0</v>
      </c>
      <c r="DGF2" s="1">
        <v>72198</v>
      </c>
      <c r="DGG2" s="1">
        <v>79475</v>
      </c>
      <c r="DGH2" s="1">
        <v>77612</v>
      </c>
      <c r="DGI2" s="1">
        <v>39563</v>
      </c>
      <c r="DGJ2" s="1">
        <v>0</v>
      </c>
      <c r="DGK2" s="1">
        <v>52857</v>
      </c>
      <c r="DGL2" s="1">
        <v>39060</v>
      </c>
      <c r="DGM2" s="1">
        <v>50374</v>
      </c>
      <c r="DGN2" s="1">
        <v>55766</v>
      </c>
      <c r="DGO2" s="1">
        <v>49701</v>
      </c>
      <c r="DGP2" s="1">
        <v>60417</v>
      </c>
      <c r="DGQ2" s="1">
        <v>41984</v>
      </c>
      <c r="DGR2" s="1">
        <v>48889</v>
      </c>
      <c r="DGS2" s="1">
        <v>18438</v>
      </c>
      <c r="DGT2" s="1">
        <v>45422</v>
      </c>
      <c r="DGU2" s="1">
        <v>41091</v>
      </c>
      <c r="DGV2" s="1">
        <v>67407</v>
      </c>
      <c r="DGW2" s="1">
        <v>67063</v>
      </c>
      <c r="DGX2" s="1">
        <v>48350</v>
      </c>
      <c r="DGY2" s="1">
        <v>38173</v>
      </c>
      <c r="DGZ2" s="1">
        <v>64000</v>
      </c>
      <c r="DHA2" s="1">
        <v>46648</v>
      </c>
      <c r="DHB2" s="1">
        <v>40924</v>
      </c>
      <c r="DHC2" s="1">
        <v>52813</v>
      </c>
      <c r="DHD2" s="1">
        <v>0</v>
      </c>
      <c r="DHE2" s="1">
        <v>34375</v>
      </c>
      <c r="DHF2" s="1">
        <v>48065</v>
      </c>
      <c r="DHG2" s="1">
        <v>64100</v>
      </c>
      <c r="DHH2" s="1">
        <v>48521</v>
      </c>
      <c r="DHI2" s="1">
        <v>60655</v>
      </c>
      <c r="DHJ2" s="1">
        <v>0</v>
      </c>
      <c r="DHK2" s="1">
        <v>0</v>
      </c>
      <c r="DHL2" s="1">
        <v>49375</v>
      </c>
      <c r="DHM2" s="1">
        <v>0</v>
      </c>
      <c r="DHN2" s="1">
        <v>49614</v>
      </c>
      <c r="DHO2" s="1">
        <v>92250</v>
      </c>
      <c r="DHP2" s="1">
        <v>44452</v>
      </c>
      <c r="DHQ2" s="1">
        <v>51686</v>
      </c>
      <c r="DHR2" s="1">
        <v>44821</v>
      </c>
      <c r="DHS2" s="1">
        <v>69655</v>
      </c>
      <c r="DHT2" s="1">
        <v>83542</v>
      </c>
      <c r="DHU2" s="1">
        <v>66136</v>
      </c>
      <c r="DHV2" s="1">
        <v>60000</v>
      </c>
      <c r="DHW2" s="1">
        <v>87083</v>
      </c>
      <c r="DHX2" s="1">
        <v>38250</v>
      </c>
      <c r="DHY2" s="1">
        <v>56774</v>
      </c>
      <c r="DHZ2" s="1">
        <v>78487</v>
      </c>
      <c r="DIA2" s="1">
        <v>64766</v>
      </c>
      <c r="DIB2" s="1">
        <v>54787</v>
      </c>
      <c r="DIC2" s="1">
        <v>41875</v>
      </c>
      <c r="DID2" s="1">
        <v>75704</v>
      </c>
      <c r="DIE2" s="1">
        <v>92885</v>
      </c>
      <c r="DIF2" s="1">
        <v>49063</v>
      </c>
      <c r="DIG2" s="1">
        <v>86979</v>
      </c>
      <c r="DIH2" s="1">
        <v>39250</v>
      </c>
      <c r="DII2" s="1">
        <v>34383</v>
      </c>
      <c r="DIJ2" s="1">
        <v>59500</v>
      </c>
      <c r="DIK2" s="1">
        <v>103317</v>
      </c>
      <c r="DIL2" s="1">
        <v>0</v>
      </c>
      <c r="DIM2" s="1">
        <v>73903</v>
      </c>
      <c r="DIN2" s="1">
        <v>49898</v>
      </c>
      <c r="DIO2" s="1">
        <v>89813</v>
      </c>
      <c r="DIP2" s="1">
        <v>58750</v>
      </c>
      <c r="DIQ2" s="1">
        <v>0</v>
      </c>
      <c r="DIR2" s="1">
        <v>77303</v>
      </c>
      <c r="DIS2" s="1">
        <v>74034</v>
      </c>
      <c r="DIT2" s="1">
        <v>66582</v>
      </c>
      <c r="DIU2" s="1">
        <v>81136</v>
      </c>
      <c r="DIV2" s="1">
        <v>43000</v>
      </c>
      <c r="DIW2" s="1">
        <v>67361</v>
      </c>
      <c r="DIX2" s="1">
        <v>76023</v>
      </c>
      <c r="DIY2" s="1">
        <v>76659</v>
      </c>
      <c r="DIZ2" s="1">
        <v>44000</v>
      </c>
      <c r="DJA2" s="1">
        <v>62537</v>
      </c>
      <c r="DJB2" s="1">
        <v>90363</v>
      </c>
      <c r="DJC2" s="1">
        <v>45873</v>
      </c>
      <c r="DJD2" s="1">
        <v>0</v>
      </c>
      <c r="DJE2" s="1">
        <v>47845</v>
      </c>
      <c r="DJF2" s="1">
        <v>40756</v>
      </c>
      <c r="DJG2" s="1">
        <v>64700</v>
      </c>
      <c r="DJH2" s="1">
        <v>61207</v>
      </c>
      <c r="DJI2" s="1">
        <v>62095</v>
      </c>
      <c r="DJJ2" s="1">
        <v>68585</v>
      </c>
      <c r="DJK2" s="1">
        <v>61815</v>
      </c>
      <c r="DJL2" s="1">
        <v>53410</v>
      </c>
      <c r="DJM2" s="1">
        <v>31806</v>
      </c>
      <c r="DJN2" s="1">
        <v>33064</v>
      </c>
      <c r="DJO2" s="1">
        <v>49087</v>
      </c>
      <c r="DJP2" s="1">
        <v>39557</v>
      </c>
      <c r="DJQ2" s="1">
        <v>156250</v>
      </c>
      <c r="DJR2" s="1">
        <v>57135</v>
      </c>
      <c r="DJS2" s="1">
        <v>55797</v>
      </c>
      <c r="DJT2" s="1">
        <v>44458</v>
      </c>
      <c r="DJU2" s="1">
        <v>47587</v>
      </c>
      <c r="DJV2" s="1">
        <v>53309</v>
      </c>
      <c r="DJW2" s="1">
        <v>64916</v>
      </c>
      <c r="DJX2" s="1">
        <v>88251</v>
      </c>
      <c r="DJY2" s="1">
        <v>59490</v>
      </c>
      <c r="DJZ2" s="1">
        <v>52537</v>
      </c>
      <c r="DKA2" s="1">
        <v>57500</v>
      </c>
      <c r="DKB2" s="1">
        <v>86354</v>
      </c>
      <c r="DKC2" s="1">
        <v>41688</v>
      </c>
      <c r="DKD2" s="1">
        <v>47661</v>
      </c>
      <c r="DKE2" s="1">
        <v>0</v>
      </c>
      <c r="DKF2" s="1">
        <v>45000</v>
      </c>
      <c r="DKG2" s="1">
        <v>43929</v>
      </c>
      <c r="DKH2" s="1">
        <v>68875</v>
      </c>
      <c r="DKI2" s="1">
        <v>47200</v>
      </c>
      <c r="DKJ2" s="1">
        <v>0</v>
      </c>
      <c r="DKK2" s="1">
        <v>40069</v>
      </c>
      <c r="DKL2" s="1">
        <v>63125</v>
      </c>
      <c r="DKM2" s="1">
        <v>59732</v>
      </c>
      <c r="DKN2" s="1">
        <v>43041</v>
      </c>
      <c r="DKO2" s="1">
        <v>52857</v>
      </c>
      <c r="DKP2" s="1">
        <v>41542</v>
      </c>
      <c r="DKQ2" s="1">
        <v>53598</v>
      </c>
      <c r="DKR2" s="1">
        <v>0</v>
      </c>
      <c r="DKS2" s="1">
        <v>53592</v>
      </c>
      <c r="DKT2" s="1">
        <v>62459</v>
      </c>
      <c r="DKU2" s="1">
        <v>63945</v>
      </c>
      <c r="DKV2" s="1">
        <v>83817</v>
      </c>
      <c r="DKW2" s="1">
        <v>53036</v>
      </c>
      <c r="DKX2" s="1">
        <v>65286</v>
      </c>
      <c r="DKY2" s="1">
        <v>42462</v>
      </c>
      <c r="DKZ2" s="1">
        <v>0</v>
      </c>
      <c r="DLA2" s="1">
        <v>45262</v>
      </c>
      <c r="DLB2" s="1">
        <v>53750</v>
      </c>
      <c r="DLC2" s="1">
        <v>39713</v>
      </c>
      <c r="DLD2" s="1">
        <v>0</v>
      </c>
      <c r="DLE2" s="1">
        <v>37288</v>
      </c>
      <c r="DLF2" s="1">
        <v>32656</v>
      </c>
      <c r="DLG2" s="1">
        <v>24286</v>
      </c>
      <c r="DLH2" s="1">
        <v>51300</v>
      </c>
      <c r="DLI2" s="1">
        <v>0</v>
      </c>
      <c r="DLJ2" s="1">
        <v>54250</v>
      </c>
      <c r="DLK2" s="1">
        <v>49394</v>
      </c>
      <c r="DLL2" s="1">
        <v>25625</v>
      </c>
      <c r="DLM2" s="1">
        <v>42396</v>
      </c>
      <c r="DLN2" s="1">
        <v>36875</v>
      </c>
      <c r="DLO2" s="1">
        <v>34471</v>
      </c>
      <c r="DLP2" s="1">
        <v>33750</v>
      </c>
      <c r="DLQ2" s="1">
        <v>56250</v>
      </c>
      <c r="DLR2" s="1">
        <v>47770</v>
      </c>
      <c r="DLS2" s="1">
        <v>26875</v>
      </c>
      <c r="DLT2" s="1">
        <v>39028</v>
      </c>
      <c r="DLU2" s="1">
        <v>52378</v>
      </c>
      <c r="DLV2" s="1">
        <v>41518</v>
      </c>
      <c r="DLW2" s="1">
        <v>36919</v>
      </c>
      <c r="DLX2" s="1">
        <v>44356</v>
      </c>
      <c r="DLY2" s="1">
        <v>46328</v>
      </c>
      <c r="DLZ2" s="1">
        <v>44866</v>
      </c>
      <c r="DMA2" s="1">
        <v>55417</v>
      </c>
      <c r="DMB2" s="1">
        <v>18529</v>
      </c>
      <c r="DMC2" s="1">
        <v>59525</v>
      </c>
      <c r="DMD2" s="1">
        <v>50542</v>
      </c>
      <c r="DME2" s="1">
        <v>44918</v>
      </c>
      <c r="DMF2" s="1">
        <v>59181</v>
      </c>
      <c r="DMG2" s="1">
        <v>69083</v>
      </c>
      <c r="DMH2" s="1">
        <v>57708</v>
      </c>
      <c r="DMI2" s="1">
        <v>12326</v>
      </c>
      <c r="DMJ2" s="1">
        <v>0</v>
      </c>
      <c r="DMK2" s="1">
        <v>20536</v>
      </c>
      <c r="DML2" s="1">
        <v>27159</v>
      </c>
      <c r="DMM2" s="1">
        <v>40294</v>
      </c>
      <c r="DMN2" s="1">
        <v>0</v>
      </c>
      <c r="DMO2" s="1">
        <v>0</v>
      </c>
      <c r="DMP2" s="1">
        <v>33750</v>
      </c>
      <c r="DMQ2" s="1">
        <v>31595</v>
      </c>
      <c r="DMR2" s="1">
        <v>0</v>
      </c>
      <c r="DMS2" s="1">
        <v>54226</v>
      </c>
      <c r="DMT2" s="1">
        <v>41911</v>
      </c>
      <c r="DMU2" s="1">
        <v>41364</v>
      </c>
      <c r="DMV2" s="1">
        <v>27788</v>
      </c>
      <c r="DMW2" s="1">
        <v>0</v>
      </c>
      <c r="DMX2" s="1">
        <v>0</v>
      </c>
      <c r="DMY2" s="1">
        <v>0</v>
      </c>
      <c r="DMZ2" s="1">
        <v>0</v>
      </c>
      <c r="DNA2" s="1">
        <v>0</v>
      </c>
      <c r="DNB2" s="1">
        <v>0</v>
      </c>
      <c r="DNC2" s="1">
        <v>31731</v>
      </c>
      <c r="DND2" s="1">
        <v>122576</v>
      </c>
      <c r="DNE2" s="1">
        <v>49485</v>
      </c>
      <c r="DNF2" s="1">
        <v>0</v>
      </c>
      <c r="DNG2" s="1">
        <v>51981</v>
      </c>
      <c r="DNH2" s="1">
        <v>0</v>
      </c>
      <c r="DNI2" s="1">
        <v>0</v>
      </c>
      <c r="DNJ2" s="1">
        <v>39148</v>
      </c>
      <c r="DNK2" s="1">
        <v>61752</v>
      </c>
      <c r="DNL2" s="1">
        <v>38875</v>
      </c>
      <c r="DNM2" s="1">
        <v>26912</v>
      </c>
      <c r="DNN2" s="1">
        <v>0</v>
      </c>
      <c r="DNO2" s="1">
        <v>24522</v>
      </c>
      <c r="DNP2" s="1">
        <v>50833</v>
      </c>
      <c r="DNQ2" s="1">
        <v>0</v>
      </c>
      <c r="DNR2" s="1">
        <v>0</v>
      </c>
      <c r="DNS2" s="1">
        <v>25000</v>
      </c>
      <c r="DNT2" s="1">
        <v>36898</v>
      </c>
      <c r="DNU2" s="1">
        <v>0</v>
      </c>
      <c r="DNV2" s="1">
        <v>40817</v>
      </c>
      <c r="DNW2" s="1">
        <v>0</v>
      </c>
      <c r="DNX2" s="1">
        <v>25250</v>
      </c>
      <c r="DNY2" s="1">
        <v>0</v>
      </c>
      <c r="DNZ2" s="1">
        <v>0</v>
      </c>
      <c r="DOA2" s="1">
        <v>0</v>
      </c>
      <c r="DOB2" s="1">
        <v>32039</v>
      </c>
      <c r="DOC2" s="1">
        <v>23333</v>
      </c>
      <c r="DOD2" s="1">
        <v>45461</v>
      </c>
      <c r="DOE2" s="1">
        <v>0</v>
      </c>
      <c r="DOF2" s="1">
        <v>22167</v>
      </c>
      <c r="DOG2" s="1">
        <v>34492</v>
      </c>
      <c r="DOH2" s="1">
        <v>43276</v>
      </c>
      <c r="DOI2" s="1">
        <v>58229</v>
      </c>
      <c r="DOJ2" s="1">
        <v>31875</v>
      </c>
      <c r="DOK2" s="1">
        <v>0</v>
      </c>
      <c r="DOL2" s="1">
        <v>37209</v>
      </c>
      <c r="DOM2" s="1">
        <v>40078</v>
      </c>
      <c r="DON2" s="1">
        <v>31154</v>
      </c>
      <c r="DOO2" s="1">
        <v>0</v>
      </c>
      <c r="DOP2" s="1">
        <v>0</v>
      </c>
      <c r="DOQ2" s="1">
        <v>78938</v>
      </c>
      <c r="DOR2" s="1">
        <v>58466</v>
      </c>
      <c r="DOS2" s="1">
        <v>0</v>
      </c>
      <c r="DOT2" s="1">
        <v>0</v>
      </c>
      <c r="DOU2" s="1">
        <v>27455</v>
      </c>
      <c r="DOV2" s="1">
        <v>0</v>
      </c>
      <c r="DOW2" s="1">
        <v>0</v>
      </c>
      <c r="DOX2" s="1">
        <v>0</v>
      </c>
      <c r="DOY2" s="1">
        <v>50008</v>
      </c>
      <c r="DOZ2" s="1">
        <v>37348</v>
      </c>
      <c r="DPA2" s="1">
        <v>41513</v>
      </c>
      <c r="DPB2" s="1">
        <v>71021</v>
      </c>
      <c r="DPC2" s="1">
        <v>55625</v>
      </c>
      <c r="DPD2" s="1">
        <v>48523</v>
      </c>
      <c r="DPE2" s="1">
        <v>36579</v>
      </c>
      <c r="DPF2" s="1">
        <v>29556</v>
      </c>
      <c r="DPG2" s="1">
        <v>20288</v>
      </c>
      <c r="DPH2" s="1">
        <v>37500</v>
      </c>
      <c r="DPI2" s="1">
        <v>39135</v>
      </c>
      <c r="DPJ2" s="1">
        <v>39208</v>
      </c>
      <c r="DPK2" s="1">
        <v>75938</v>
      </c>
      <c r="DPL2" s="1">
        <v>54788</v>
      </c>
      <c r="DPM2" s="1">
        <v>78942</v>
      </c>
      <c r="DPN2" s="1">
        <v>61875</v>
      </c>
      <c r="DPO2" s="1">
        <v>38938</v>
      </c>
      <c r="DPP2" s="1">
        <v>61250</v>
      </c>
      <c r="DPQ2" s="1">
        <v>63462</v>
      </c>
      <c r="DPR2" s="1">
        <v>38456</v>
      </c>
      <c r="DPS2" s="1">
        <v>0</v>
      </c>
      <c r="DPT2" s="1">
        <v>0</v>
      </c>
      <c r="DPU2" s="1">
        <v>55435</v>
      </c>
      <c r="DPV2" s="1">
        <v>56193</v>
      </c>
      <c r="DPW2" s="1">
        <v>42609</v>
      </c>
      <c r="DPX2" s="1">
        <v>0</v>
      </c>
      <c r="DPY2" s="1">
        <v>41563</v>
      </c>
      <c r="DPZ2" s="1">
        <v>50265</v>
      </c>
      <c r="DQA2" s="1">
        <v>130585</v>
      </c>
      <c r="DQB2" s="1">
        <v>41237</v>
      </c>
      <c r="DQC2" s="1">
        <v>0</v>
      </c>
      <c r="DQD2" s="1">
        <v>0</v>
      </c>
      <c r="DQE2" s="1">
        <v>42312</v>
      </c>
      <c r="DQF2" s="1">
        <v>53982</v>
      </c>
      <c r="DQG2" s="1">
        <v>0</v>
      </c>
      <c r="DQH2" s="1">
        <v>0</v>
      </c>
      <c r="DQI2" s="1">
        <v>56394</v>
      </c>
      <c r="DQJ2" s="1">
        <v>0</v>
      </c>
      <c r="DQK2" s="1">
        <v>26597</v>
      </c>
      <c r="DQL2" s="1">
        <v>0</v>
      </c>
      <c r="DQM2" s="1">
        <v>34476</v>
      </c>
      <c r="DQN2" s="1">
        <v>71250</v>
      </c>
      <c r="DQO2" s="1">
        <v>49071</v>
      </c>
      <c r="DQP2" s="1">
        <v>32063</v>
      </c>
      <c r="DQQ2" s="1">
        <v>0</v>
      </c>
      <c r="DQR2" s="1">
        <v>40441</v>
      </c>
      <c r="DQS2" s="1">
        <v>0</v>
      </c>
      <c r="DQT2" s="1">
        <v>0</v>
      </c>
      <c r="DQU2" s="1">
        <v>45119</v>
      </c>
      <c r="DQV2" s="1">
        <v>57143</v>
      </c>
      <c r="DQW2" s="1">
        <v>35446</v>
      </c>
      <c r="DQX2" s="1">
        <v>44688</v>
      </c>
      <c r="DQY2" s="1">
        <v>70809</v>
      </c>
      <c r="DQZ2" s="1">
        <v>0</v>
      </c>
      <c r="DRA2" s="1">
        <v>55000</v>
      </c>
      <c r="DRB2" s="1">
        <v>89978</v>
      </c>
      <c r="DRC2" s="1">
        <v>0</v>
      </c>
      <c r="DRD2" s="1">
        <v>63304</v>
      </c>
      <c r="DRE2" s="1">
        <v>38750</v>
      </c>
      <c r="DRF2" s="1">
        <v>30694</v>
      </c>
      <c r="DRG2" s="1">
        <v>0</v>
      </c>
      <c r="DRH2" s="1">
        <v>59300</v>
      </c>
      <c r="DRI2" s="1">
        <v>60741</v>
      </c>
      <c r="DRJ2" s="1">
        <v>62292</v>
      </c>
      <c r="DRK2" s="1">
        <v>74797</v>
      </c>
      <c r="DRL2" s="1">
        <v>0</v>
      </c>
      <c r="DRM2" s="1">
        <v>86429</v>
      </c>
      <c r="DRN2" s="1">
        <v>0</v>
      </c>
      <c r="DRO2" s="1">
        <v>53711</v>
      </c>
      <c r="DRP2" s="1">
        <v>0</v>
      </c>
      <c r="DRQ2" s="1">
        <v>34261</v>
      </c>
      <c r="DRR2" s="1">
        <v>48107</v>
      </c>
      <c r="DRS2" s="1">
        <v>52750</v>
      </c>
      <c r="DRT2" s="1">
        <v>71974</v>
      </c>
      <c r="DRU2" s="1">
        <v>62865</v>
      </c>
      <c r="DRV2" s="1">
        <v>25086</v>
      </c>
      <c r="DRW2" s="1">
        <v>0</v>
      </c>
      <c r="DRX2" s="1">
        <v>87747</v>
      </c>
      <c r="DRY2" s="1">
        <v>99417</v>
      </c>
      <c r="DRZ2" s="1">
        <v>29650</v>
      </c>
      <c r="DSA2" s="1">
        <v>31630</v>
      </c>
      <c r="DSB2" s="1">
        <v>48810</v>
      </c>
      <c r="DSC2" s="1">
        <v>0</v>
      </c>
      <c r="DSD2" s="1">
        <v>35257</v>
      </c>
      <c r="DSE2" s="1">
        <v>0</v>
      </c>
      <c r="DSF2" s="1">
        <v>80250</v>
      </c>
      <c r="DSG2" s="1">
        <v>0</v>
      </c>
      <c r="DSH2" s="1">
        <v>0</v>
      </c>
      <c r="DSI2" s="1">
        <v>61176</v>
      </c>
      <c r="DSJ2" s="1">
        <v>80625</v>
      </c>
      <c r="DSK2" s="1">
        <v>41010</v>
      </c>
      <c r="DSL2" s="1">
        <v>53409</v>
      </c>
      <c r="DSM2" s="1">
        <v>0</v>
      </c>
      <c r="DSN2" s="1">
        <v>0</v>
      </c>
      <c r="DSO2" s="1">
        <v>31486</v>
      </c>
      <c r="DSP2" s="1">
        <v>14325</v>
      </c>
      <c r="DSQ2" s="1">
        <v>38319</v>
      </c>
      <c r="DSR2" s="1">
        <v>0</v>
      </c>
      <c r="DSS2" s="1">
        <v>0</v>
      </c>
      <c r="DST2" s="1">
        <v>53029</v>
      </c>
      <c r="DSU2" s="1">
        <v>50147</v>
      </c>
      <c r="DSV2" s="1">
        <v>41348</v>
      </c>
      <c r="DSW2" s="1">
        <v>65833</v>
      </c>
      <c r="DSX2" s="1">
        <v>38488</v>
      </c>
      <c r="DSY2" s="1">
        <v>54648</v>
      </c>
      <c r="DSZ2" s="1">
        <v>41621</v>
      </c>
      <c r="DTA2" s="1">
        <v>38750</v>
      </c>
      <c r="DTB2" s="1">
        <v>0</v>
      </c>
      <c r="DTC2" s="1">
        <v>30114</v>
      </c>
      <c r="DTD2" s="1">
        <v>122992</v>
      </c>
      <c r="DTE2" s="1">
        <v>22790</v>
      </c>
      <c r="DTF2" s="1">
        <v>80179</v>
      </c>
      <c r="DTG2" s="1">
        <v>76602</v>
      </c>
      <c r="DTH2" s="1">
        <v>55114</v>
      </c>
      <c r="DTI2" s="1">
        <v>82614</v>
      </c>
      <c r="DTJ2" s="1">
        <v>0</v>
      </c>
      <c r="DTK2" s="1">
        <v>53264</v>
      </c>
      <c r="DTL2" s="1">
        <v>78906</v>
      </c>
      <c r="DTM2" s="1">
        <v>0</v>
      </c>
      <c r="DTN2" s="1">
        <v>54949</v>
      </c>
      <c r="DTO2" s="1">
        <v>46417</v>
      </c>
      <c r="DTP2" s="1">
        <v>26360</v>
      </c>
      <c r="DTQ2" s="1">
        <v>67679</v>
      </c>
      <c r="DTR2" s="1">
        <v>53681</v>
      </c>
      <c r="DTS2" s="1">
        <v>70686</v>
      </c>
      <c r="DTT2" s="1">
        <v>92898</v>
      </c>
      <c r="DTU2" s="1">
        <v>0</v>
      </c>
      <c r="DTV2" s="1">
        <v>29516</v>
      </c>
      <c r="DTW2" s="1">
        <v>34327</v>
      </c>
      <c r="DTX2" s="1">
        <v>57279</v>
      </c>
      <c r="DTY2" s="1">
        <v>0</v>
      </c>
      <c r="DTZ2" s="1">
        <v>0</v>
      </c>
      <c r="DUA2" s="1">
        <v>0</v>
      </c>
      <c r="DUB2" s="1">
        <v>0</v>
      </c>
      <c r="DUC2" s="1">
        <v>31953</v>
      </c>
      <c r="DUD2" s="1">
        <v>43657</v>
      </c>
      <c r="DUE2" s="1">
        <v>75893</v>
      </c>
      <c r="DUF2" s="1">
        <v>0</v>
      </c>
      <c r="DUG2" s="1">
        <v>93125</v>
      </c>
      <c r="DUH2" s="1">
        <v>0</v>
      </c>
      <c r="DUI2" s="1">
        <v>46000</v>
      </c>
      <c r="DUJ2" s="1">
        <v>73413</v>
      </c>
      <c r="DUK2" s="1">
        <v>23125</v>
      </c>
      <c r="DUL2" s="1">
        <v>33939</v>
      </c>
      <c r="DUM2" s="1">
        <v>45417</v>
      </c>
      <c r="DUN2" s="1">
        <v>21741</v>
      </c>
      <c r="DUO2" s="1">
        <v>81691</v>
      </c>
      <c r="DUP2" s="1">
        <v>0</v>
      </c>
      <c r="DUQ2" s="1">
        <v>0</v>
      </c>
      <c r="DUR2" s="1">
        <v>36146</v>
      </c>
      <c r="DUS2" s="1">
        <v>47582</v>
      </c>
      <c r="DUT2" s="1">
        <v>72063</v>
      </c>
      <c r="DUU2" s="1">
        <v>73333</v>
      </c>
      <c r="DUV2" s="1">
        <v>34698</v>
      </c>
      <c r="DUW2" s="1">
        <v>60179</v>
      </c>
      <c r="DUX2" s="1">
        <v>0</v>
      </c>
      <c r="DUY2" s="1">
        <v>51250</v>
      </c>
      <c r="DUZ2" s="1">
        <v>47841</v>
      </c>
      <c r="DVA2" s="1">
        <v>49436</v>
      </c>
      <c r="DVB2" s="1">
        <v>41445</v>
      </c>
      <c r="DVC2" s="1">
        <v>58545</v>
      </c>
      <c r="DVD2" s="1">
        <v>0</v>
      </c>
      <c r="DVE2" s="1">
        <v>50288</v>
      </c>
      <c r="DVF2" s="1">
        <v>43813</v>
      </c>
      <c r="DVG2" s="1">
        <v>64659</v>
      </c>
      <c r="DVH2" s="1">
        <v>60039</v>
      </c>
      <c r="DVI2" s="1">
        <v>65058</v>
      </c>
      <c r="DVJ2" s="1">
        <v>53607</v>
      </c>
      <c r="DVK2" s="1">
        <v>42614</v>
      </c>
      <c r="DVL2" s="1">
        <v>32206</v>
      </c>
      <c r="DVM2" s="1">
        <v>39046</v>
      </c>
      <c r="DVN2" s="1">
        <v>49961</v>
      </c>
      <c r="DVO2" s="1">
        <v>62774</v>
      </c>
      <c r="DVP2" s="1">
        <v>34637</v>
      </c>
      <c r="DVQ2" s="1">
        <v>52264</v>
      </c>
      <c r="DVR2" s="1">
        <v>56500</v>
      </c>
      <c r="DVS2" s="1">
        <v>52458</v>
      </c>
      <c r="DVT2" s="1">
        <v>23852</v>
      </c>
      <c r="DVU2" s="1">
        <v>46498</v>
      </c>
      <c r="DVV2" s="1">
        <v>69808</v>
      </c>
      <c r="DVW2" s="1">
        <v>73229</v>
      </c>
      <c r="DVX2" s="1">
        <v>0</v>
      </c>
      <c r="DVY2" s="1">
        <v>54125</v>
      </c>
      <c r="DVZ2" s="1">
        <v>51497</v>
      </c>
      <c r="DWA2" s="1">
        <v>46626</v>
      </c>
      <c r="DWB2" s="1">
        <v>54858</v>
      </c>
      <c r="DWC2" s="1">
        <v>59829</v>
      </c>
      <c r="DWD2" s="1">
        <v>84231</v>
      </c>
      <c r="DWE2" s="1">
        <v>48333</v>
      </c>
      <c r="DWF2" s="1">
        <v>47128</v>
      </c>
      <c r="DWG2" s="1">
        <v>40546</v>
      </c>
      <c r="DWH2" s="1">
        <v>49735</v>
      </c>
      <c r="DWI2" s="1">
        <v>74334</v>
      </c>
      <c r="DWJ2" s="1">
        <v>64737</v>
      </c>
      <c r="DWK2" s="1">
        <v>84963</v>
      </c>
      <c r="DWL2" s="1">
        <v>62799</v>
      </c>
      <c r="DWM2" s="1">
        <v>75665</v>
      </c>
      <c r="DWN2" s="1">
        <v>99187</v>
      </c>
      <c r="DWO2" s="1">
        <v>82156</v>
      </c>
      <c r="DWP2" s="1">
        <v>90326</v>
      </c>
      <c r="DWQ2" s="1">
        <v>0</v>
      </c>
      <c r="DWR2" s="1">
        <v>35938</v>
      </c>
      <c r="DWS2" s="1">
        <v>92513</v>
      </c>
      <c r="DWT2" s="1">
        <v>79694</v>
      </c>
      <c r="DWU2" s="1">
        <v>80086</v>
      </c>
      <c r="DWV2" s="1">
        <v>82974</v>
      </c>
      <c r="DWW2" s="1">
        <v>63274</v>
      </c>
      <c r="DWX2" s="1">
        <v>51250</v>
      </c>
      <c r="DWY2" s="1">
        <v>70536</v>
      </c>
      <c r="DWZ2" s="1">
        <v>0</v>
      </c>
      <c r="DXA2" s="1">
        <v>78393</v>
      </c>
      <c r="DXB2" s="1">
        <v>113720</v>
      </c>
      <c r="DXC2" s="1">
        <v>103095</v>
      </c>
      <c r="DXD2" s="1">
        <v>51192</v>
      </c>
      <c r="DXE2" s="1">
        <v>139688</v>
      </c>
      <c r="DXF2" s="1">
        <v>54141</v>
      </c>
      <c r="DXG2" s="1">
        <v>43641</v>
      </c>
      <c r="DXH2" s="1">
        <v>40542</v>
      </c>
      <c r="DXI2" s="1">
        <v>61650</v>
      </c>
      <c r="DXJ2" s="1">
        <v>0</v>
      </c>
      <c r="DXK2" s="1">
        <v>42027</v>
      </c>
      <c r="DXL2" s="1">
        <v>32574</v>
      </c>
      <c r="DXM2" s="1">
        <v>48372</v>
      </c>
      <c r="DXN2" s="1">
        <v>77813</v>
      </c>
      <c r="DXO2" s="1">
        <v>29536</v>
      </c>
      <c r="DXP2" s="1">
        <v>37810</v>
      </c>
      <c r="DXQ2" s="1">
        <v>51944</v>
      </c>
      <c r="DXR2" s="1">
        <v>47500</v>
      </c>
      <c r="DXS2" s="1">
        <v>38359</v>
      </c>
      <c r="DXT2" s="1">
        <v>0</v>
      </c>
      <c r="DXU2" s="1">
        <v>60523</v>
      </c>
      <c r="DXV2" s="1">
        <v>45691</v>
      </c>
      <c r="DXW2" s="1">
        <v>42083</v>
      </c>
      <c r="DXX2" s="1">
        <v>80000</v>
      </c>
      <c r="DXY2" s="1">
        <v>59962</v>
      </c>
      <c r="DXZ2" s="1">
        <v>64763</v>
      </c>
      <c r="DYA2" s="1">
        <v>0</v>
      </c>
      <c r="DYB2" s="1">
        <v>81985</v>
      </c>
      <c r="DYC2" s="1">
        <v>54861</v>
      </c>
      <c r="DYD2" s="1">
        <v>0</v>
      </c>
      <c r="DYE2" s="1">
        <v>52078</v>
      </c>
      <c r="DYF2" s="1">
        <v>0</v>
      </c>
      <c r="DYG2" s="1">
        <v>81964</v>
      </c>
      <c r="DYH2" s="1">
        <v>0</v>
      </c>
      <c r="DYI2" s="1">
        <v>57056</v>
      </c>
      <c r="DYJ2" s="1">
        <v>71458</v>
      </c>
      <c r="DYK2" s="1">
        <v>41250</v>
      </c>
      <c r="DYL2" s="1">
        <v>32375</v>
      </c>
      <c r="DYM2" s="1">
        <v>100410</v>
      </c>
      <c r="DYN2" s="1">
        <v>114504</v>
      </c>
      <c r="DYO2" s="1">
        <v>31429</v>
      </c>
      <c r="DYP2" s="1">
        <v>0</v>
      </c>
      <c r="DYQ2" s="1">
        <v>43832</v>
      </c>
      <c r="DYR2" s="1">
        <v>68750</v>
      </c>
      <c r="DYS2" s="1">
        <v>0</v>
      </c>
      <c r="DYT2" s="1">
        <v>44263</v>
      </c>
      <c r="DYU2" s="1">
        <v>37875</v>
      </c>
      <c r="DYV2" s="1">
        <v>28438</v>
      </c>
      <c r="DYW2" s="1">
        <v>58214</v>
      </c>
      <c r="DYX2" s="1">
        <v>0</v>
      </c>
      <c r="DYY2" s="1">
        <v>0</v>
      </c>
      <c r="DYZ2" s="1">
        <v>0</v>
      </c>
      <c r="DZA2" s="1">
        <v>47813</v>
      </c>
      <c r="DZB2" s="1">
        <v>13643</v>
      </c>
      <c r="DZC2" s="1">
        <v>54278</v>
      </c>
      <c r="DZD2" s="1">
        <v>28750</v>
      </c>
      <c r="DZE2" s="1">
        <v>62353</v>
      </c>
      <c r="DZF2" s="1">
        <v>28426</v>
      </c>
      <c r="DZG2" s="1">
        <v>32470</v>
      </c>
      <c r="DZH2" s="1">
        <v>80000</v>
      </c>
      <c r="DZI2" s="1">
        <v>47059</v>
      </c>
      <c r="DZJ2" s="1">
        <v>0</v>
      </c>
      <c r="DZK2" s="1">
        <v>36875</v>
      </c>
      <c r="DZL2" s="1">
        <v>0</v>
      </c>
      <c r="DZM2" s="1">
        <v>29773</v>
      </c>
      <c r="DZN2" s="1">
        <v>40366</v>
      </c>
      <c r="DZO2" s="1">
        <v>51037</v>
      </c>
      <c r="DZP2" s="1">
        <v>0</v>
      </c>
      <c r="DZQ2" s="1">
        <v>19798</v>
      </c>
      <c r="DZR2" s="1">
        <v>36591</v>
      </c>
      <c r="DZS2" s="1">
        <v>36343</v>
      </c>
      <c r="DZT2" s="1">
        <v>0</v>
      </c>
      <c r="DZU2" s="1">
        <v>33634</v>
      </c>
      <c r="DZV2" s="1">
        <v>75110</v>
      </c>
      <c r="DZW2" s="1">
        <v>0</v>
      </c>
      <c r="DZX2" s="1">
        <v>0</v>
      </c>
      <c r="DZY2" s="1">
        <v>42230</v>
      </c>
      <c r="DZZ2" s="1">
        <v>36250</v>
      </c>
      <c r="EAA2" s="1">
        <v>24659</v>
      </c>
      <c r="EAB2" s="1">
        <v>26627</v>
      </c>
      <c r="EAC2" s="1">
        <v>35960</v>
      </c>
      <c r="EAD2" s="1">
        <v>40395</v>
      </c>
      <c r="EAE2" s="1">
        <v>58571</v>
      </c>
      <c r="EAF2" s="1">
        <v>0</v>
      </c>
      <c r="EAG2" s="1">
        <v>61602</v>
      </c>
      <c r="EAH2" s="1">
        <v>23682</v>
      </c>
      <c r="EAI2" s="1">
        <v>42196</v>
      </c>
      <c r="EAJ2" s="1">
        <v>0</v>
      </c>
      <c r="EAK2" s="1">
        <v>47557</v>
      </c>
      <c r="EAL2" s="1">
        <v>31635</v>
      </c>
      <c r="EAM2" s="1">
        <v>20352</v>
      </c>
      <c r="EAN2" s="1">
        <v>47254</v>
      </c>
      <c r="EAO2" s="1">
        <v>56928</v>
      </c>
      <c r="EAP2" s="1">
        <v>0</v>
      </c>
      <c r="EAQ2" s="1">
        <v>46612</v>
      </c>
      <c r="EAR2" s="1">
        <v>0</v>
      </c>
      <c r="EAS2" s="1">
        <v>0</v>
      </c>
      <c r="EAT2" s="1">
        <v>51250</v>
      </c>
      <c r="EAU2" s="1">
        <v>56169</v>
      </c>
      <c r="EAV2" s="1">
        <v>65408</v>
      </c>
      <c r="EAW2" s="1">
        <v>0</v>
      </c>
      <c r="EAX2" s="1">
        <v>46994</v>
      </c>
      <c r="EAY2" s="1">
        <v>0</v>
      </c>
      <c r="EAZ2" s="1">
        <v>56924</v>
      </c>
      <c r="EBA2" s="1">
        <v>0</v>
      </c>
      <c r="EBB2" s="1">
        <v>58243</v>
      </c>
      <c r="EBC2" s="1">
        <v>42596</v>
      </c>
      <c r="EBD2" s="1">
        <v>81544</v>
      </c>
      <c r="EBE2" s="1">
        <v>0</v>
      </c>
      <c r="EBF2" s="1">
        <v>0</v>
      </c>
      <c r="EBG2" s="1">
        <v>0</v>
      </c>
      <c r="EBH2" s="1">
        <v>62872</v>
      </c>
      <c r="EBI2" s="1">
        <v>76750</v>
      </c>
      <c r="EBJ2" s="1">
        <v>84348</v>
      </c>
      <c r="EBK2" s="1">
        <v>90250</v>
      </c>
      <c r="EBL2" s="1">
        <v>13365</v>
      </c>
      <c r="EBM2" s="1">
        <v>0</v>
      </c>
      <c r="EBN2" s="1">
        <v>36602</v>
      </c>
      <c r="EBO2" s="1">
        <v>0</v>
      </c>
      <c r="EBP2" s="1">
        <v>0</v>
      </c>
      <c r="EBQ2" s="1">
        <v>0</v>
      </c>
      <c r="EBR2" s="1">
        <v>57863</v>
      </c>
      <c r="EBS2" s="1">
        <v>28348</v>
      </c>
      <c r="EBT2" s="1">
        <v>0</v>
      </c>
      <c r="EBU2" s="1">
        <v>73698</v>
      </c>
      <c r="EBV2" s="1">
        <v>0</v>
      </c>
      <c r="EBW2" s="1">
        <v>37422</v>
      </c>
      <c r="EBX2" s="1">
        <v>54130</v>
      </c>
      <c r="EBY2" s="1">
        <v>50556</v>
      </c>
      <c r="EBZ2" s="1">
        <v>0</v>
      </c>
      <c r="ECA2" s="1">
        <v>43304</v>
      </c>
      <c r="ECB2" s="1">
        <v>33517</v>
      </c>
      <c r="ECC2" s="1">
        <v>88047</v>
      </c>
      <c r="ECD2" s="1">
        <v>0</v>
      </c>
      <c r="ECE2" s="1">
        <v>0</v>
      </c>
      <c r="ECF2" s="1">
        <v>58486</v>
      </c>
      <c r="ECG2" s="1">
        <v>39010</v>
      </c>
      <c r="ECH2" s="1">
        <v>68636</v>
      </c>
      <c r="ECI2" s="1">
        <v>47582</v>
      </c>
      <c r="ECJ2" s="1">
        <v>0</v>
      </c>
      <c r="ECK2" s="1">
        <v>45156</v>
      </c>
      <c r="ECL2" s="1">
        <v>65625</v>
      </c>
      <c r="ECM2" s="1">
        <v>0</v>
      </c>
      <c r="ECN2" s="1">
        <v>52381</v>
      </c>
      <c r="ECO2" s="1">
        <v>39276</v>
      </c>
      <c r="ECP2" s="1">
        <v>0</v>
      </c>
      <c r="ECQ2" s="1">
        <v>45444</v>
      </c>
      <c r="ECR2" s="1">
        <v>0</v>
      </c>
      <c r="ECS2" s="1">
        <v>58243</v>
      </c>
      <c r="ECT2" s="1">
        <v>63147</v>
      </c>
      <c r="ECU2" s="1">
        <v>110969</v>
      </c>
      <c r="ECV2" s="1">
        <v>33488</v>
      </c>
      <c r="ECW2" s="1">
        <v>0</v>
      </c>
      <c r="ECX2" s="1">
        <v>21364</v>
      </c>
      <c r="ECY2" s="1">
        <v>82875</v>
      </c>
      <c r="ECZ2" s="1">
        <v>0</v>
      </c>
      <c r="EDA2" s="1">
        <v>70893</v>
      </c>
      <c r="EDB2" s="1">
        <v>0</v>
      </c>
      <c r="EDC2" s="1">
        <v>0</v>
      </c>
      <c r="EDD2" s="1">
        <v>35961</v>
      </c>
      <c r="EDE2" s="1">
        <v>0</v>
      </c>
      <c r="EDF2" s="1">
        <v>42745</v>
      </c>
      <c r="EDG2" s="1">
        <v>79286</v>
      </c>
      <c r="EDH2" s="1">
        <v>58906</v>
      </c>
      <c r="EDI2" s="1">
        <v>69089</v>
      </c>
      <c r="EDJ2" s="1">
        <v>36515</v>
      </c>
      <c r="EDK2" s="1">
        <v>43198</v>
      </c>
      <c r="EDL2" s="1">
        <v>0</v>
      </c>
      <c r="EDM2" s="1">
        <v>70875</v>
      </c>
      <c r="EDN2" s="1">
        <v>35333</v>
      </c>
      <c r="EDO2" s="1">
        <v>35690</v>
      </c>
      <c r="EDP2" s="1">
        <v>26481</v>
      </c>
      <c r="EDQ2" s="1">
        <v>35938</v>
      </c>
      <c r="EDR2" s="1">
        <v>69286</v>
      </c>
      <c r="EDS2" s="1">
        <v>0</v>
      </c>
      <c r="EDT2" s="1">
        <v>56662</v>
      </c>
      <c r="EDU2" s="1">
        <v>28958</v>
      </c>
      <c r="EDV2" s="1">
        <v>42132</v>
      </c>
      <c r="EDW2" s="1">
        <v>46250</v>
      </c>
      <c r="EDX2" s="1">
        <v>55214</v>
      </c>
      <c r="EDY2" s="1">
        <v>53760</v>
      </c>
      <c r="EDZ2" s="1">
        <v>59293</v>
      </c>
      <c r="EEA2" s="1">
        <v>157813</v>
      </c>
      <c r="EEB2" s="1">
        <v>51452</v>
      </c>
      <c r="EEC2" s="1">
        <v>80083</v>
      </c>
      <c r="EED2" s="1">
        <v>0</v>
      </c>
      <c r="EEE2" s="1">
        <v>53000</v>
      </c>
      <c r="EEF2" s="1">
        <v>54578</v>
      </c>
      <c r="EEG2" s="1">
        <v>55680</v>
      </c>
      <c r="EEH2" s="1">
        <v>26133</v>
      </c>
      <c r="EEI2" s="1">
        <v>0</v>
      </c>
      <c r="EEJ2" s="1">
        <v>74135</v>
      </c>
      <c r="EEK2" s="1">
        <v>0</v>
      </c>
      <c r="EEL2" s="1">
        <v>63191</v>
      </c>
      <c r="EEM2" s="1">
        <v>73603</v>
      </c>
      <c r="EEN2" s="1">
        <v>58233</v>
      </c>
      <c r="EEO2" s="1">
        <v>49908</v>
      </c>
      <c r="EEP2" s="1">
        <v>42500</v>
      </c>
      <c r="EEQ2" s="1">
        <v>48750</v>
      </c>
      <c r="EER2" s="1">
        <v>43134</v>
      </c>
      <c r="EES2" s="1">
        <v>47604</v>
      </c>
      <c r="EET2" s="1">
        <v>63011</v>
      </c>
      <c r="EEU2" s="1">
        <v>72798</v>
      </c>
      <c r="EEV2" s="1">
        <v>47381</v>
      </c>
      <c r="EEW2" s="1">
        <v>47604</v>
      </c>
      <c r="EEX2" s="1">
        <v>24615</v>
      </c>
      <c r="EEY2" s="1">
        <v>0</v>
      </c>
      <c r="EEZ2" s="1">
        <v>41905</v>
      </c>
      <c r="EFA2" s="1">
        <v>67417</v>
      </c>
      <c r="EFB2" s="1">
        <v>56429</v>
      </c>
      <c r="EFC2" s="1">
        <v>67313</v>
      </c>
      <c r="EFD2" s="1">
        <v>43047</v>
      </c>
      <c r="EFE2" s="1">
        <v>0</v>
      </c>
      <c r="EFF2" s="1">
        <v>70524</v>
      </c>
      <c r="EFG2" s="1">
        <v>65550</v>
      </c>
      <c r="EFH2" s="1">
        <v>32632</v>
      </c>
      <c r="EFI2" s="1">
        <v>0</v>
      </c>
      <c r="EFJ2" s="1">
        <v>53598</v>
      </c>
      <c r="EFK2" s="1">
        <v>55179</v>
      </c>
      <c r="EFL2" s="1">
        <v>51875</v>
      </c>
      <c r="EFM2" s="1">
        <v>54375</v>
      </c>
      <c r="EFN2" s="1">
        <v>0</v>
      </c>
      <c r="EFO2" s="1">
        <v>51776</v>
      </c>
      <c r="EFP2" s="1">
        <v>40625</v>
      </c>
      <c r="EFQ2" s="1">
        <v>53250</v>
      </c>
      <c r="EFR2" s="1">
        <v>59131</v>
      </c>
      <c r="EFS2" s="1">
        <v>56514</v>
      </c>
      <c r="EFT2" s="1">
        <v>37132</v>
      </c>
      <c r="EFU2" s="1">
        <v>63553</v>
      </c>
      <c r="EFV2" s="1">
        <v>80959</v>
      </c>
      <c r="EFW2" s="1">
        <v>64167</v>
      </c>
      <c r="EFX2" s="1">
        <v>75266</v>
      </c>
      <c r="EFY2" s="1">
        <v>49962</v>
      </c>
      <c r="EFZ2" s="1">
        <v>38403</v>
      </c>
      <c r="EGA2" s="1">
        <v>23621</v>
      </c>
      <c r="EGB2" s="1">
        <v>36667</v>
      </c>
      <c r="EGC2" s="1">
        <v>48625</v>
      </c>
      <c r="EGD2" s="1">
        <v>48295</v>
      </c>
      <c r="EGE2" s="1">
        <v>0</v>
      </c>
      <c r="EGF2" s="1">
        <v>0</v>
      </c>
      <c r="EGG2" s="1">
        <v>0</v>
      </c>
      <c r="EGH2" s="1">
        <v>0</v>
      </c>
      <c r="EGI2" s="1">
        <v>55795</v>
      </c>
      <c r="EGJ2" s="1">
        <v>41964</v>
      </c>
      <c r="EGK2" s="1">
        <v>31792</v>
      </c>
      <c r="EGL2" s="1">
        <v>0</v>
      </c>
      <c r="EGM2" s="1">
        <v>0</v>
      </c>
      <c r="EGN2" s="1">
        <v>32024</v>
      </c>
      <c r="EGO2" s="1">
        <v>0</v>
      </c>
      <c r="EGP2" s="1">
        <v>78043</v>
      </c>
      <c r="EGQ2" s="1">
        <v>42720</v>
      </c>
      <c r="EGR2" s="1">
        <v>48450</v>
      </c>
      <c r="EGS2" s="1">
        <v>45191</v>
      </c>
      <c r="EGT2" s="1">
        <v>57429</v>
      </c>
      <c r="EGU2" s="1">
        <v>68750</v>
      </c>
      <c r="EGV2" s="1">
        <v>52198</v>
      </c>
      <c r="EGW2" s="1">
        <v>60729</v>
      </c>
      <c r="EGX2" s="1">
        <v>59973</v>
      </c>
      <c r="EGY2" s="1">
        <v>31788</v>
      </c>
      <c r="EGZ2" s="1">
        <v>48750</v>
      </c>
      <c r="EHA2" s="1">
        <v>44208</v>
      </c>
      <c r="EHB2" s="1">
        <v>0</v>
      </c>
      <c r="EHC2" s="1">
        <v>55603</v>
      </c>
      <c r="EHD2" s="1">
        <v>0</v>
      </c>
      <c r="EHE2" s="1">
        <v>61563</v>
      </c>
      <c r="EHF2" s="1">
        <v>58661</v>
      </c>
      <c r="EHG2" s="1">
        <v>31875</v>
      </c>
      <c r="EHH2" s="1">
        <v>36406</v>
      </c>
      <c r="EHI2" s="1">
        <v>37500</v>
      </c>
      <c r="EHJ2" s="1">
        <v>57561</v>
      </c>
      <c r="EHK2" s="1">
        <v>62951</v>
      </c>
      <c r="EHL2" s="1">
        <v>51250</v>
      </c>
      <c r="EHM2" s="1">
        <v>0</v>
      </c>
      <c r="EHN2" s="1">
        <v>44891</v>
      </c>
      <c r="EHO2" s="1">
        <v>0</v>
      </c>
      <c r="EHP2" s="1">
        <v>53021</v>
      </c>
      <c r="EHQ2" s="1">
        <v>37500</v>
      </c>
      <c r="EHR2" s="1">
        <v>0</v>
      </c>
      <c r="EHS2" s="1">
        <v>0</v>
      </c>
      <c r="EHT2" s="1">
        <v>53500</v>
      </c>
      <c r="EHU2" s="1">
        <v>128355</v>
      </c>
      <c r="EHV2" s="1">
        <v>42125</v>
      </c>
      <c r="EHW2" s="1">
        <v>0</v>
      </c>
      <c r="EHX2" s="1">
        <v>60104</v>
      </c>
      <c r="EHY2" s="1">
        <v>48496</v>
      </c>
      <c r="EHZ2" s="1">
        <v>62216</v>
      </c>
      <c r="EIA2" s="1">
        <v>31500</v>
      </c>
      <c r="EIB2" s="1">
        <v>27679</v>
      </c>
      <c r="EIC2" s="1">
        <v>37222</v>
      </c>
      <c r="EID2" s="1">
        <v>0</v>
      </c>
      <c r="EIE2" s="1">
        <v>87705</v>
      </c>
      <c r="EIF2" s="1">
        <v>61923</v>
      </c>
      <c r="EIG2" s="1">
        <v>49063</v>
      </c>
      <c r="EIH2" s="1">
        <v>95179</v>
      </c>
      <c r="EII2" s="1">
        <v>0</v>
      </c>
      <c r="EIJ2" s="1">
        <v>68148</v>
      </c>
      <c r="EIK2" s="1">
        <v>40588</v>
      </c>
      <c r="EIL2" s="1">
        <v>61058</v>
      </c>
      <c r="EIM2" s="1">
        <v>42159</v>
      </c>
      <c r="EIN2" s="1">
        <v>0</v>
      </c>
      <c r="EIO2" s="1">
        <v>51786</v>
      </c>
      <c r="EIP2" s="1">
        <v>50444</v>
      </c>
      <c r="EIQ2" s="1">
        <v>48750</v>
      </c>
      <c r="EIR2" s="1">
        <v>0</v>
      </c>
      <c r="EIS2" s="1">
        <v>43017</v>
      </c>
      <c r="EIT2" s="1">
        <v>0</v>
      </c>
      <c r="EIU2" s="1">
        <v>0</v>
      </c>
      <c r="EIV2" s="1">
        <v>104375</v>
      </c>
      <c r="EIW2" s="1">
        <v>51932</v>
      </c>
      <c r="EIX2" s="1">
        <v>40909</v>
      </c>
      <c r="EIY2" s="1">
        <v>48235</v>
      </c>
      <c r="EIZ2" s="1">
        <v>70326</v>
      </c>
      <c r="EJA2" s="1">
        <v>66917</v>
      </c>
      <c r="EJB2" s="1">
        <v>67969</v>
      </c>
      <c r="EJC2" s="1">
        <v>57360</v>
      </c>
      <c r="EJD2" s="1">
        <v>13915</v>
      </c>
      <c r="EJE2" s="1">
        <v>54821</v>
      </c>
      <c r="EJF2" s="1">
        <v>73802</v>
      </c>
      <c r="EJG2" s="1">
        <v>61000</v>
      </c>
      <c r="EJH2" s="1">
        <v>45900</v>
      </c>
      <c r="EJI2" s="1">
        <v>83320</v>
      </c>
      <c r="EJJ2" s="1">
        <v>62905</v>
      </c>
      <c r="EJK2" s="1">
        <v>44042</v>
      </c>
      <c r="EJL2" s="1">
        <v>58750</v>
      </c>
      <c r="EJM2" s="1">
        <v>48092</v>
      </c>
      <c r="EJN2" s="1">
        <v>69803</v>
      </c>
      <c r="EJO2" s="1">
        <v>29200</v>
      </c>
      <c r="EJP2" s="1">
        <v>46029</v>
      </c>
      <c r="EJQ2" s="1">
        <v>51052</v>
      </c>
      <c r="EJR2" s="1">
        <v>0</v>
      </c>
      <c r="EJS2" s="1">
        <v>48450</v>
      </c>
      <c r="EJT2" s="1">
        <v>0</v>
      </c>
      <c r="EJU2" s="1">
        <v>32670</v>
      </c>
      <c r="EJV2" s="1">
        <v>0</v>
      </c>
      <c r="EJW2" s="1">
        <v>0</v>
      </c>
      <c r="EJX2" s="1">
        <v>57500</v>
      </c>
      <c r="EJY2" s="1">
        <v>86250</v>
      </c>
      <c r="EJZ2" s="1">
        <v>51940</v>
      </c>
      <c r="EKA2" s="1">
        <v>46042</v>
      </c>
      <c r="EKB2" s="1">
        <v>43929</v>
      </c>
      <c r="EKC2" s="1">
        <v>59297</v>
      </c>
      <c r="EKD2" s="1">
        <v>42592</v>
      </c>
      <c r="EKE2" s="1">
        <v>58875</v>
      </c>
      <c r="EKF2" s="1">
        <v>36953</v>
      </c>
      <c r="EKG2" s="1">
        <v>61837</v>
      </c>
      <c r="EKH2" s="1">
        <v>41817</v>
      </c>
      <c r="EKI2" s="1">
        <v>0</v>
      </c>
      <c r="EKJ2" s="1">
        <v>79650</v>
      </c>
      <c r="EKK2" s="1">
        <v>52083</v>
      </c>
      <c r="EKL2" s="1">
        <v>0</v>
      </c>
      <c r="EKM2" s="1">
        <v>0</v>
      </c>
      <c r="EKN2" s="1">
        <v>0</v>
      </c>
      <c r="EKO2" s="1">
        <v>90394</v>
      </c>
      <c r="EKP2" s="1">
        <v>28389</v>
      </c>
      <c r="EKQ2" s="1">
        <v>58043</v>
      </c>
      <c r="EKR2" s="1">
        <v>82877</v>
      </c>
      <c r="EKS2" s="1">
        <v>54924</v>
      </c>
      <c r="EKT2" s="1">
        <v>0</v>
      </c>
      <c r="EKU2" s="1">
        <v>0</v>
      </c>
      <c r="EKV2" s="1">
        <v>0</v>
      </c>
      <c r="EKW2" s="1">
        <v>62795</v>
      </c>
      <c r="EKX2" s="1">
        <v>59875</v>
      </c>
      <c r="EKY2" s="1">
        <v>67391</v>
      </c>
      <c r="EKZ2" s="1">
        <v>0</v>
      </c>
      <c r="ELA2" s="1">
        <v>0</v>
      </c>
      <c r="ELB2" s="1">
        <v>0</v>
      </c>
      <c r="ELC2" s="1">
        <v>56667</v>
      </c>
      <c r="ELD2" s="1">
        <v>60531</v>
      </c>
      <c r="ELE2" s="1">
        <v>60595</v>
      </c>
      <c r="ELF2" s="1">
        <v>44107</v>
      </c>
      <c r="ELG2" s="1">
        <v>50982</v>
      </c>
      <c r="ELH2" s="1">
        <v>37455</v>
      </c>
      <c r="ELI2" s="1">
        <v>94084</v>
      </c>
      <c r="ELJ2" s="1">
        <v>56007</v>
      </c>
      <c r="ELK2" s="1">
        <v>55747</v>
      </c>
      <c r="ELL2" s="1">
        <v>64917</v>
      </c>
      <c r="ELM2" s="1">
        <v>0</v>
      </c>
      <c r="ELN2" s="1">
        <v>73875</v>
      </c>
      <c r="ELO2" s="1">
        <v>59458</v>
      </c>
      <c r="ELP2" s="1">
        <v>93191</v>
      </c>
      <c r="ELQ2" s="1">
        <v>75179</v>
      </c>
      <c r="ELR2" s="1">
        <v>46875</v>
      </c>
      <c r="ELS2" s="1">
        <v>44706</v>
      </c>
      <c r="ELT2" s="1">
        <v>0</v>
      </c>
      <c r="ELU2" s="1">
        <v>13607</v>
      </c>
      <c r="ELV2" s="1">
        <v>31367</v>
      </c>
      <c r="ELW2" s="1">
        <v>33036</v>
      </c>
      <c r="ELX2" s="1">
        <v>40481</v>
      </c>
      <c r="ELY2" s="1">
        <v>53007</v>
      </c>
      <c r="ELZ2" s="1">
        <v>43167</v>
      </c>
      <c r="EMA2" s="1">
        <v>0</v>
      </c>
      <c r="EMB2" s="1">
        <v>45200</v>
      </c>
      <c r="EMC2" s="1">
        <v>0</v>
      </c>
      <c r="EMD2" s="1">
        <v>34464</v>
      </c>
      <c r="EME2" s="1">
        <v>88043</v>
      </c>
      <c r="EMF2" s="1">
        <v>60435</v>
      </c>
      <c r="EMG2" s="1">
        <v>60952</v>
      </c>
      <c r="EMH2" s="1">
        <v>84650</v>
      </c>
      <c r="EMI2" s="1">
        <v>0</v>
      </c>
      <c r="EMJ2" s="1">
        <v>100714</v>
      </c>
      <c r="EMK2" s="1">
        <v>28607</v>
      </c>
      <c r="EML2" s="1">
        <v>73918</v>
      </c>
      <c r="EMM2" s="1">
        <v>75659</v>
      </c>
      <c r="EMN2" s="1">
        <v>45559</v>
      </c>
      <c r="EMO2" s="1">
        <v>43607</v>
      </c>
      <c r="EMP2" s="1">
        <v>35391</v>
      </c>
      <c r="EMQ2" s="1">
        <v>92974</v>
      </c>
      <c r="EMR2" s="1">
        <v>0</v>
      </c>
      <c r="EMS2" s="1">
        <v>78065</v>
      </c>
      <c r="EMT2" s="1">
        <v>70455</v>
      </c>
      <c r="EMU2" s="1">
        <v>52721</v>
      </c>
      <c r="EMV2" s="1">
        <v>26250</v>
      </c>
      <c r="EMW2" s="1">
        <v>72500</v>
      </c>
      <c r="EMX2" s="1">
        <v>90070</v>
      </c>
      <c r="EMY2" s="1">
        <v>0</v>
      </c>
      <c r="EMZ2" s="1">
        <v>69167</v>
      </c>
      <c r="ENA2" s="1">
        <v>58846</v>
      </c>
      <c r="ENB2" s="1">
        <v>49698</v>
      </c>
      <c r="ENC2" s="1">
        <v>0</v>
      </c>
      <c r="END2" s="1">
        <v>28667</v>
      </c>
      <c r="ENE2" s="1">
        <v>67139</v>
      </c>
      <c r="ENF2" s="1">
        <v>0</v>
      </c>
      <c r="ENG2" s="1">
        <v>58300</v>
      </c>
      <c r="ENH2" s="1">
        <v>62917</v>
      </c>
      <c r="ENI2" s="1">
        <v>46250</v>
      </c>
      <c r="ENJ2" s="1">
        <v>72375</v>
      </c>
      <c r="ENK2" s="1">
        <v>56964</v>
      </c>
      <c r="ENL2" s="1">
        <v>38894</v>
      </c>
      <c r="ENM2" s="1">
        <v>25112</v>
      </c>
      <c r="ENN2" s="1">
        <v>61875</v>
      </c>
      <c r="ENO2" s="1">
        <v>55821</v>
      </c>
      <c r="ENP2" s="1">
        <v>97768</v>
      </c>
      <c r="ENQ2" s="1">
        <v>46875</v>
      </c>
      <c r="ENR2" s="1">
        <v>38333</v>
      </c>
      <c r="ENS2" s="1">
        <v>38598</v>
      </c>
      <c r="ENT2" s="1">
        <v>48875</v>
      </c>
      <c r="ENU2" s="1">
        <v>0</v>
      </c>
      <c r="ENV2" s="1">
        <v>0</v>
      </c>
      <c r="ENW2" s="1">
        <v>46594</v>
      </c>
      <c r="ENX2" s="1">
        <v>70880</v>
      </c>
      <c r="ENY2" s="1">
        <v>50938</v>
      </c>
      <c r="ENZ2" s="1">
        <v>115363</v>
      </c>
      <c r="EOA2" s="1">
        <v>43523</v>
      </c>
      <c r="EOB2" s="1">
        <v>0</v>
      </c>
      <c r="EOC2" s="1">
        <v>51125</v>
      </c>
      <c r="EOD2" s="1">
        <v>50068</v>
      </c>
      <c r="EOE2" s="1">
        <v>0</v>
      </c>
      <c r="EOF2" s="1">
        <v>0</v>
      </c>
      <c r="EOG2" s="1">
        <v>51898</v>
      </c>
      <c r="EOH2" s="1">
        <v>58281</v>
      </c>
      <c r="EOI2" s="1">
        <v>54767</v>
      </c>
      <c r="EOJ2" s="1">
        <v>61346</v>
      </c>
      <c r="EOK2" s="1">
        <v>0</v>
      </c>
      <c r="EOL2" s="1">
        <v>77969</v>
      </c>
      <c r="EOM2" s="1">
        <v>57411</v>
      </c>
      <c r="EON2" s="1">
        <v>54875</v>
      </c>
    </row>
    <row r="3" spans="1:3784" x14ac:dyDescent="0.35">
      <c r="A3" t="s">
        <v>112</v>
      </c>
      <c r="B3" s="1">
        <v>138730</v>
      </c>
      <c r="C3" s="1">
        <v>114482</v>
      </c>
      <c r="D3" s="1">
        <v>159604</v>
      </c>
      <c r="E3" s="1">
        <v>161359</v>
      </c>
      <c r="F3" s="1">
        <v>111960</v>
      </c>
      <c r="G3" s="1">
        <v>36019</v>
      </c>
      <c r="H3" s="1">
        <v>142783</v>
      </c>
      <c r="I3" s="1">
        <v>123653</v>
      </c>
      <c r="J3" s="1">
        <v>140555</v>
      </c>
      <c r="K3" s="1">
        <v>110260</v>
      </c>
      <c r="L3" s="1">
        <v>108377</v>
      </c>
      <c r="M3" s="1">
        <v>128234</v>
      </c>
      <c r="N3" s="1">
        <v>0</v>
      </c>
      <c r="O3" s="1">
        <v>179107</v>
      </c>
      <c r="P3" s="1">
        <v>101543</v>
      </c>
      <c r="Q3" s="1">
        <v>92569</v>
      </c>
      <c r="R3" s="1">
        <v>57031</v>
      </c>
      <c r="S3" s="1">
        <v>53015</v>
      </c>
      <c r="T3" s="1">
        <v>102623</v>
      </c>
      <c r="U3" s="1">
        <v>48146</v>
      </c>
      <c r="V3" s="1">
        <v>105800</v>
      </c>
      <c r="W3" s="1">
        <v>98917</v>
      </c>
      <c r="X3" s="1">
        <v>0</v>
      </c>
      <c r="Y3" s="1">
        <v>0</v>
      </c>
      <c r="Z3" s="1">
        <v>0</v>
      </c>
      <c r="AA3" s="1">
        <v>0</v>
      </c>
      <c r="AB3" s="1">
        <v>0</v>
      </c>
      <c r="AC3" s="1">
        <v>0</v>
      </c>
      <c r="AD3" s="1">
        <v>0</v>
      </c>
      <c r="AE3" s="1">
        <v>0</v>
      </c>
      <c r="AF3" s="1">
        <v>0</v>
      </c>
      <c r="AG3" s="1">
        <v>0</v>
      </c>
      <c r="AH3" s="1">
        <v>0</v>
      </c>
      <c r="AI3" s="1">
        <v>0</v>
      </c>
      <c r="AJ3" s="1">
        <v>0</v>
      </c>
      <c r="AK3" s="1">
        <v>0</v>
      </c>
      <c r="AL3" s="1">
        <v>0</v>
      </c>
      <c r="AM3" s="1">
        <v>0</v>
      </c>
      <c r="AN3" s="1">
        <v>0</v>
      </c>
      <c r="AO3" s="1">
        <v>0</v>
      </c>
      <c r="AP3" s="1">
        <v>0</v>
      </c>
      <c r="AQ3" s="1">
        <v>0</v>
      </c>
      <c r="AR3" s="1">
        <v>0</v>
      </c>
      <c r="AS3" s="1">
        <v>0</v>
      </c>
      <c r="AT3" s="1">
        <v>0</v>
      </c>
      <c r="AU3" s="1">
        <v>0</v>
      </c>
      <c r="AV3" s="1">
        <v>0</v>
      </c>
      <c r="AW3" s="1">
        <v>0</v>
      </c>
      <c r="AX3" s="1">
        <v>0</v>
      </c>
      <c r="AY3" s="1">
        <v>0</v>
      </c>
      <c r="AZ3" s="1">
        <v>0</v>
      </c>
      <c r="BA3" s="1">
        <v>0</v>
      </c>
      <c r="BB3" s="1">
        <v>0</v>
      </c>
      <c r="BC3" s="1">
        <v>0</v>
      </c>
      <c r="BD3" s="1">
        <v>0</v>
      </c>
      <c r="BE3" s="1">
        <v>0</v>
      </c>
      <c r="BF3" s="1">
        <v>0</v>
      </c>
      <c r="BG3" s="1">
        <v>87813</v>
      </c>
      <c r="BH3" s="1">
        <v>147996</v>
      </c>
      <c r="BI3" s="1">
        <v>170951</v>
      </c>
      <c r="BJ3" s="1">
        <v>73130</v>
      </c>
      <c r="BK3" s="1">
        <v>135819</v>
      </c>
      <c r="BL3" s="1">
        <v>84776</v>
      </c>
      <c r="BM3" s="1">
        <v>60169</v>
      </c>
      <c r="BN3" s="1">
        <v>71086</v>
      </c>
      <c r="BO3" s="1">
        <v>71055</v>
      </c>
      <c r="BP3" s="1">
        <v>74276</v>
      </c>
      <c r="BQ3" s="1">
        <v>95654</v>
      </c>
      <c r="BR3" s="1">
        <v>69375</v>
      </c>
      <c r="BS3" s="1">
        <v>115275</v>
      </c>
      <c r="BT3" s="1">
        <v>48158</v>
      </c>
      <c r="BU3" s="1">
        <v>153022</v>
      </c>
      <c r="BV3" s="1">
        <v>139918</v>
      </c>
      <c r="BW3" s="1">
        <v>91125</v>
      </c>
      <c r="BX3" s="1">
        <v>132569</v>
      </c>
      <c r="BY3" s="1">
        <v>127318</v>
      </c>
      <c r="BZ3" s="1">
        <v>61292</v>
      </c>
      <c r="CA3" s="1">
        <v>107647</v>
      </c>
      <c r="CB3" s="1">
        <v>60551</v>
      </c>
      <c r="CC3" s="1">
        <v>65733</v>
      </c>
      <c r="CD3" s="1">
        <v>70860</v>
      </c>
      <c r="CE3" s="1">
        <v>90500</v>
      </c>
      <c r="CF3" s="1">
        <v>133028</v>
      </c>
      <c r="CG3" s="1">
        <v>141825</v>
      </c>
      <c r="CH3" s="1">
        <v>91299</v>
      </c>
      <c r="CI3" s="1">
        <v>76133</v>
      </c>
      <c r="CJ3" s="1">
        <v>98702</v>
      </c>
      <c r="CK3" s="1">
        <v>63379</v>
      </c>
      <c r="CL3" s="1">
        <v>85909</v>
      </c>
      <c r="CM3" s="1">
        <v>90567</v>
      </c>
      <c r="CN3" s="1">
        <v>73750</v>
      </c>
      <c r="CO3" s="1">
        <v>85208</v>
      </c>
      <c r="CP3" s="1">
        <v>80444</v>
      </c>
      <c r="CQ3" s="1">
        <v>62633</v>
      </c>
      <c r="CR3" s="1">
        <v>62180</v>
      </c>
      <c r="CS3" s="1">
        <v>128981</v>
      </c>
      <c r="CT3" s="1">
        <v>118511</v>
      </c>
      <c r="CU3" s="1">
        <v>112067</v>
      </c>
      <c r="CV3" s="1">
        <v>76537</v>
      </c>
      <c r="CW3" s="1">
        <v>142911</v>
      </c>
      <c r="CX3" s="1">
        <v>62589</v>
      </c>
      <c r="CY3" s="1">
        <v>61351</v>
      </c>
      <c r="CZ3" s="1">
        <v>65781</v>
      </c>
      <c r="DA3" s="1">
        <v>153743</v>
      </c>
      <c r="DB3" s="1">
        <v>113166</v>
      </c>
      <c r="DC3" s="1">
        <v>90054</v>
      </c>
      <c r="DD3" s="1">
        <v>70833</v>
      </c>
      <c r="DE3" s="1">
        <v>87949</v>
      </c>
      <c r="DF3" s="1">
        <v>114093</v>
      </c>
      <c r="DG3" s="1">
        <v>54162</v>
      </c>
      <c r="DH3" s="1">
        <v>82747</v>
      </c>
      <c r="DI3" s="1">
        <v>89484</v>
      </c>
      <c r="DJ3" s="1">
        <v>64734</v>
      </c>
      <c r="DK3" s="1">
        <v>0</v>
      </c>
      <c r="DL3" s="1">
        <v>77339</v>
      </c>
      <c r="DM3" s="1">
        <v>50690</v>
      </c>
      <c r="DN3" s="1">
        <v>87619</v>
      </c>
      <c r="DO3" s="1">
        <v>75478</v>
      </c>
      <c r="DP3" s="1">
        <v>127464</v>
      </c>
      <c r="DQ3" s="1">
        <v>107004</v>
      </c>
      <c r="DR3" s="1">
        <v>91673</v>
      </c>
      <c r="DS3" s="1">
        <v>76055</v>
      </c>
      <c r="DT3" s="1">
        <v>65833</v>
      </c>
      <c r="DU3" s="1">
        <v>80125</v>
      </c>
      <c r="DV3" s="1">
        <v>65715</v>
      </c>
      <c r="DW3" s="1">
        <v>105561</v>
      </c>
      <c r="DX3" s="1">
        <v>62143</v>
      </c>
      <c r="DY3" s="1">
        <v>69725</v>
      </c>
      <c r="DZ3" s="1">
        <v>0</v>
      </c>
      <c r="EA3" s="1">
        <v>62483</v>
      </c>
      <c r="EB3" s="1">
        <v>97684</v>
      </c>
      <c r="EC3" s="1">
        <v>113346</v>
      </c>
      <c r="ED3" s="1">
        <v>74208</v>
      </c>
      <c r="EE3" s="1">
        <v>58463</v>
      </c>
      <c r="EF3" s="1">
        <v>0</v>
      </c>
      <c r="EG3" s="1">
        <v>83892</v>
      </c>
      <c r="EH3" s="1">
        <v>77496</v>
      </c>
      <c r="EI3" s="1">
        <v>64072</v>
      </c>
      <c r="EJ3" s="1">
        <v>75365</v>
      </c>
      <c r="EK3" s="1">
        <v>55719</v>
      </c>
      <c r="EL3" s="1">
        <v>99975</v>
      </c>
      <c r="EM3" s="1">
        <v>104997</v>
      </c>
      <c r="EN3" s="1">
        <v>102800</v>
      </c>
      <c r="EO3" s="1">
        <v>73699</v>
      </c>
      <c r="EP3" s="1">
        <v>92991</v>
      </c>
      <c r="EQ3" s="1">
        <v>76319</v>
      </c>
      <c r="ER3" s="1">
        <v>62188</v>
      </c>
      <c r="ES3" s="1">
        <v>84724</v>
      </c>
      <c r="ET3" s="1">
        <v>79879</v>
      </c>
      <c r="EU3" s="1">
        <v>84628</v>
      </c>
      <c r="EV3" s="1">
        <v>73995</v>
      </c>
      <c r="EW3" s="1">
        <v>56875</v>
      </c>
      <c r="EX3" s="1">
        <v>104375</v>
      </c>
      <c r="EY3" s="1">
        <v>0</v>
      </c>
      <c r="EZ3" s="1">
        <v>121026</v>
      </c>
      <c r="FA3" s="1">
        <v>55704</v>
      </c>
      <c r="FB3" s="1">
        <v>93562</v>
      </c>
      <c r="FC3" s="1">
        <v>60176</v>
      </c>
      <c r="FD3" s="1">
        <v>63915</v>
      </c>
      <c r="FE3" s="1">
        <v>65646</v>
      </c>
      <c r="FF3" s="1">
        <v>88750</v>
      </c>
      <c r="FG3" s="1">
        <v>84327</v>
      </c>
      <c r="FH3" s="1">
        <v>58494</v>
      </c>
      <c r="FI3" s="1">
        <v>66595</v>
      </c>
      <c r="FJ3" s="1">
        <v>59958</v>
      </c>
      <c r="FK3" s="1">
        <v>0</v>
      </c>
      <c r="FL3" s="1">
        <v>65987</v>
      </c>
      <c r="FM3" s="1">
        <v>79311</v>
      </c>
      <c r="FN3" s="1">
        <v>88269</v>
      </c>
      <c r="FO3" s="1">
        <v>48365</v>
      </c>
      <c r="FP3" s="1">
        <v>93250</v>
      </c>
      <c r="FQ3" s="1">
        <v>105750</v>
      </c>
      <c r="FR3" s="1">
        <v>68516</v>
      </c>
      <c r="FS3" s="1">
        <v>102500</v>
      </c>
      <c r="FT3" s="1">
        <v>105395</v>
      </c>
      <c r="FU3" s="1">
        <v>109324</v>
      </c>
      <c r="FV3" s="1">
        <v>61852</v>
      </c>
      <c r="FW3" s="1">
        <v>124375</v>
      </c>
      <c r="FX3" s="1">
        <v>77500</v>
      </c>
      <c r="FY3" s="1">
        <v>92681</v>
      </c>
      <c r="FZ3" s="1">
        <v>87138</v>
      </c>
      <c r="GA3" s="1">
        <v>116435</v>
      </c>
      <c r="GB3" s="1">
        <v>66071</v>
      </c>
      <c r="GC3" s="1">
        <v>58512</v>
      </c>
      <c r="GD3" s="1">
        <v>62384</v>
      </c>
      <c r="GE3" s="1">
        <v>72278</v>
      </c>
      <c r="GF3" s="1">
        <v>63281</v>
      </c>
      <c r="GG3" s="1">
        <v>56940</v>
      </c>
      <c r="GH3" s="1">
        <v>70134</v>
      </c>
      <c r="GI3" s="1">
        <v>81448</v>
      </c>
      <c r="GJ3" s="1">
        <v>25859</v>
      </c>
      <c r="GK3" s="1">
        <v>57835</v>
      </c>
      <c r="GL3" s="1">
        <v>67831</v>
      </c>
      <c r="GM3" s="1">
        <v>46397</v>
      </c>
      <c r="GN3" s="1">
        <v>68867</v>
      </c>
      <c r="GO3" s="1">
        <v>60232</v>
      </c>
      <c r="GP3" s="1">
        <v>59521</v>
      </c>
      <c r="GQ3" s="1">
        <v>47988</v>
      </c>
      <c r="GR3" s="1">
        <v>85458</v>
      </c>
      <c r="GS3" s="1">
        <v>0</v>
      </c>
      <c r="GT3" s="1">
        <v>66721</v>
      </c>
      <c r="GU3" s="1">
        <v>97339</v>
      </c>
      <c r="GV3" s="1">
        <v>81601</v>
      </c>
      <c r="GW3" s="1">
        <v>80263</v>
      </c>
      <c r="GX3" s="1">
        <v>67974</v>
      </c>
      <c r="GY3" s="1">
        <v>55714</v>
      </c>
      <c r="GZ3" s="1">
        <v>106768</v>
      </c>
      <c r="HA3" s="1">
        <v>55212</v>
      </c>
      <c r="HB3" s="1">
        <v>79752</v>
      </c>
      <c r="HC3" s="1">
        <v>104446</v>
      </c>
      <c r="HD3" s="1">
        <v>71792</v>
      </c>
      <c r="HE3" s="1">
        <v>111093</v>
      </c>
      <c r="HF3" s="1">
        <v>0</v>
      </c>
      <c r="HG3" s="1">
        <v>68255</v>
      </c>
      <c r="HH3" s="1">
        <v>50455</v>
      </c>
      <c r="HI3" s="1">
        <v>0</v>
      </c>
      <c r="HJ3" s="1">
        <v>103311</v>
      </c>
      <c r="HK3" s="1">
        <v>119226</v>
      </c>
      <c r="HL3" s="1">
        <v>70587</v>
      </c>
      <c r="HM3" s="1">
        <v>0</v>
      </c>
      <c r="HN3" s="1">
        <v>80652</v>
      </c>
      <c r="HO3" s="1">
        <v>50526</v>
      </c>
      <c r="HP3" s="1">
        <v>50499</v>
      </c>
      <c r="HQ3" s="1">
        <v>0</v>
      </c>
      <c r="HR3" s="1">
        <v>122738</v>
      </c>
      <c r="HS3" s="1">
        <v>46208</v>
      </c>
      <c r="HT3" s="1">
        <v>83516</v>
      </c>
      <c r="HU3" s="1">
        <v>55506</v>
      </c>
      <c r="HV3" s="1">
        <v>76731</v>
      </c>
      <c r="HW3" s="1">
        <v>76528</v>
      </c>
      <c r="HX3" s="1">
        <v>60322</v>
      </c>
      <c r="HY3" s="1">
        <v>45975</v>
      </c>
      <c r="HZ3" s="1">
        <v>0</v>
      </c>
      <c r="IA3" s="1">
        <v>107836</v>
      </c>
      <c r="IB3" s="1">
        <v>133085</v>
      </c>
      <c r="IC3" s="1">
        <v>147553</v>
      </c>
      <c r="ID3" s="1">
        <v>82420</v>
      </c>
      <c r="IE3" s="1">
        <v>111894</v>
      </c>
      <c r="IF3" s="1">
        <v>45542</v>
      </c>
      <c r="IG3" s="1">
        <v>51242</v>
      </c>
      <c r="IH3" s="1">
        <v>75963</v>
      </c>
      <c r="II3" s="1">
        <v>79068</v>
      </c>
      <c r="IJ3" s="1">
        <v>36870</v>
      </c>
      <c r="IK3" s="1">
        <v>42383</v>
      </c>
      <c r="IL3" s="1">
        <v>96491</v>
      </c>
      <c r="IM3" s="1">
        <v>105190</v>
      </c>
      <c r="IN3" s="1">
        <v>79222</v>
      </c>
      <c r="IO3" s="1">
        <v>132847</v>
      </c>
      <c r="IP3" s="1">
        <v>0</v>
      </c>
      <c r="IQ3" s="1">
        <v>93815</v>
      </c>
      <c r="IR3" s="1">
        <v>113611</v>
      </c>
      <c r="IS3" s="1">
        <v>182317</v>
      </c>
      <c r="IT3" s="1">
        <v>113736</v>
      </c>
      <c r="IU3" s="1">
        <v>70968</v>
      </c>
      <c r="IV3" s="1">
        <v>61548</v>
      </c>
      <c r="IW3" s="1">
        <v>0</v>
      </c>
      <c r="IX3" s="1">
        <v>0</v>
      </c>
      <c r="IY3" s="1">
        <v>53367</v>
      </c>
      <c r="IZ3" s="1">
        <v>49472</v>
      </c>
      <c r="JA3" s="1">
        <v>122931</v>
      </c>
      <c r="JB3" s="1">
        <v>101049</v>
      </c>
      <c r="JC3" s="1">
        <v>57216</v>
      </c>
      <c r="JD3" s="1">
        <v>81774</v>
      </c>
      <c r="JE3" s="1">
        <v>117865</v>
      </c>
      <c r="JF3" s="1">
        <v>59647</v>
      </c>
      <c r="JG3" s="1">
        <v>107151</v>
      </c>
      <c r="JH3" s="1">
        <v>70168</v>
      </c>
      <c r="JI3" s="1">
        <v>64732</v>
      </c>
      <c r="JJ3" s="1">
        <v>84633</v>
      </c>
      <c r="JK3" s="1">
        <v>53932</v>
      </c>
      <c r="JL3" s="1">
        <v>83239</v>
      </c>
      <c r="JM3" s="1">
        <v>107604</v>
      </c>
      <c r="JN3" s="1">
        <v>50935</v>
      </c>
      <c r="JO3" s="1">
        <v>75385</v>
      </c>
      <c r="JP3" s="1">
        <v>46440</v>
      </c>
      <c r="JQ3" s="1">
        <v>70938</v>
      </c>
      <c r="JR3" s="1">
        <v>54732</v>
      </c>
      <c r="JS3" s="1">
        <v>0</v>
      </c>
      <c r="JT3" s="1">
        <v>61295</v>
      </c>
      <c r="JU3" s="1">
        <v>54239</v>
      </c>
      <c r="JV3" s="1">
        <v>38958</v>
      </c>
      <c r="JW3" s="1">
        <v>54352</v>
      </c>
      <c r="JX3" s="1">
        <v>80000</v>
      </c>
      <c r="JY3" s="1">
        <v>60405</v>
      </c>
      <c r="JZ3" s="1">
        <v>80625</v>
      </c>
      <c r="KA3" s="1">
        <v>58116</v>
      </c>
      <c r="KB3" s="1">
        <v>65037</v>
      </c>
      <c r="KC3" s="1">
        <v>0</v>
      </c>
      <c r="KD3" s="1">
        <v>46667</v>
      </c>
      <c r="KE3" s="1">
        <v>52301</v>
      </c>
      <c r="KF3" s="1">
        <v>51181</v>
      </c>
      <c r="KG3" s="1">
        <v>36886</v>
      </c>
      <c r="KH3" s="1">
        <v>36385</v>
      </c>
      <c r="KI3" s="1">
        <v>36415</v>
      </c>
      <c r="KJ3" s="1">
        <v>73190</v>
      </c>
      <c r="KK3" s="1">
        <v>0</v>
      </c>
      <c r="KL3" s="1">
        <v>0</v>
      </c>
      <c r="KM3" s="1">
        <v>57212</v>
      </c>
      <c r="KN3" s="1">
        <v>49625</v>
      </c>
      <c r="KO3" s="1">
        <v>54567</v>
      </c>
      <c r="KP3" s="1">
        <v>41399</v>
      </c>
      <c r="KQ3" s="1">
        <v>49292</v>
      </c>
      <c r="KR3" s="1">
        <v>44219</v>
      </c>
      <c r="KS3" s="1">
        <v>53133</v>
      </c>
      <c r="KT3" s="1">
        <v>39296</v>
      </c>
      <c r="KU3" s="1">
        <v>50036</v>
      </c>
      <c r="KV3" s="1">
        <v>0</v>
      </c>
      <c r="KW3" s="1">
        <v>77167</v>
      </c>
      <c r="KX3" s="1">
        <v>0</v>
      </c>
      <c r="KY3" s="1">
        <v>48728</v>
      </c>
      <c r="KZ3" s="1">
        <v>71083</v>
      </c>
      <c r="LA3" s="1">
        <v>39762</v>
      </c>
      <c r="LB3" s="1">
        <v>57250</v>
      </c>
      <c r="LC3" s="1">
        <v>54713</v>
      </c>
      <c r="LD3" s="1">
        <v>38237</v>
      </c>
      <c r="LE3" s="1">
        <v>58214</v>
      </c>
      <c r="LF3" s="1">
        <v>71833</v>
      </c>
      <c r="LG3" s="1">
        <v>95224</v>
      </c>
      <c r="LH3" s="1">
        <v>74782</v>
      </c>
      <c r="LI3" s="1">
        <v>49005</v>
      </c>
      <c r="LJ3" s="1">
        <v>85237</v>
      </c>
      <c r="LK3" s="1">
        <v>65815</v>
      </c>
      <c r="LL3" s="1">
        <v>58020</v>
      </c>
      <c r="LM3" s="1">
        <v>68182</v>
      </c>
      <c r="LN3" s="1">
        <v>109627</v>
      </c>
      <c r="LO3" s="1">
        <v>97339</v>
      </c>
      <c r="LP3" s="1">
        <v>98846</v>
      </c>
      <c r="LQ3" s="1">
        <v>52813</v>
      </c>
      <c r="LR3" s="1">
        <v>55618</v>
      </c>
      <c r="LS3" s="1">
        <v>85960</v>
      </c>
      <c r="LT3" s="1">
        <v>76780</v>
      </c>
      <c r="LU3" s="1">
        <v>58374</v>
      </c>
      <c r="LV3" s="1">
        <v>108052</v>
      </c>
      <c r="LW3" s="1">
        <v>69592</v>
      </c>
      <c r="LX3" s="1">
        <v>62122</v>
      </c>
      <c r="LY3" s="1">
        <v>53017</v>
      </c>
      <c r="LZ3" s="1">
        <v>55403</v>
      </c>
      <c r="MA3" s="1">
        <v>70417</v>
      </c>
      <c r="MB3" s="1">
        <v>88953</v>
      </c>
      <c r="MC3" s="1">
        <v>55380</v>
      </c>
      <c r="MD3" s="1">
        <v>73252</v>
      </c>
      <c r="ME3" s="1">
        <v>51818</v>
      </c>
      <c r="MF3" s="1">
        <v>52336</v>
      </c>
      <c r="MG3" s="1">
        <v>24345</v>
      </c>
      <c r="MH3" s="1">
        <v>73771</v>
      </c>
      <c r="MI3" s="1">
        <v>90021</v>
      </c>
      <c r="MJ3" s="1">
        <v>92644</v>
      </c>
      <c r="MK3" s="1">
        <v>75848</v>
      </c>
      <c r="ML3" s="1">
        <v>76477</v>
      </c>
      <c r="MM3" s="1">
        <v>58180</v>
      </c>
      <c r="MN3" s="1">
        <v>95645</v>
      </c>
      <c r="MO3" s="1">
        <v>112986</v>
      </c>
      <c r="MP3" s="1">
        <v>88951</v>
      </c>
      <c r="MQ3" s="1">
        <v>58417</v>
      </c>
      <c r="MR3" s="1">
        <v>52146</v>
      </c>
      <c r="MS3" s="1">
        <v>81789</v>
      </c>
      <c r="MT3" s="1">
        <v>41500</v>
      </c>
      <c r="MU3" s="1">
        <v>66806</v>
      </c>
      <c r="MV3" s="1">
        <v>60043</v>
      </c>
      <c r="MW3" s="1">
        <v>61310</v>
      </c>
      <c r="MX3" s="1">
        <v>56391</v>
      </c>
      <c r="MY3" s="1">
        <v>55571</v>
      </c>
      <c r="MZ3" s="1">
        <v>82202</v>
      </c>
      <c r="NA3" s="1">
        <v>74710</v>
      </c>
      <c r="NB3" s="1">
        <v>56049</v>
      </c>
      <c r="NC3" s="1">
        <v>61524</v>
      </c>
      <c r="ND3" s="1">
        <v>85208</v>
      </c>
      <c r="NE3" s="1">
        <v>74753</v>
      </c>
      <c r="NF3" s="1">
        <v>71176</v>
      </c>
      <c r="NG3" s="1">
        <v>63028</v>
      </c>
      <c r="NH3" s="1">
        <v>0</v>
      </c>
      <c r="NI3" s="1">
        <v>80481</v>
      </c>
      <c r="NJ3" s="1">
        <v>75000</v>
      </c>
      <c r="NK3" s="1">
        <v>50096</v>
      </c>
      <c r="NL3" s="1">
        <v>0</v>
      </c>
      <c r="NM3" s="1">
        <v>65122</v>
      </c>
      <c r="NN3" s="1">
        <v>0</v>
      </c>
      <c r="NO3" s="1">
        <v>0</v>
      </c>
      <c r="NP3" s="1">
        <v>37357</v>
      </c>
      <c r="NQ3" s="1">
        <v>0</v>
      </c>
      <c r="NR3" s="1">
        <v>48188</v>
      </c>
      <c r="NS3" s="1">
        <v>61397</v>
      </c>
      <c r="NT3" s="1">
        <v>63727</v>
      </c>
      <c r="NU3" s="1">
        <v>0</v>
      </c>
      <c r="NV3" s="1">
        <v>79531</v>
      </c>
      <c r="NW3" s="1">
        <v>80867</v>
      </c>
      <c r="NX3" s="1">
        <v>119167</v>
      </c>
      <c r="NY3" s="1">
        <v>127530</v>
      </c>
      <c r="NZ3" s="1">
        <v>92917</v>
      </c>
      <c r="OA3" s="1">
        <v>64464</v>
      </c>
      <c r="OB3" s="1">
        <v>87407</v>
      </c>
      <c r="OC3" s="1">
        <v>83188</v>
      </c>
      <c r="OD3" s="1">
        <v>64882</v>
      </c>
      <c r="OE3" s="1">
        <v>58806</v>
      </c>
      <c r="OF3" s="1">
        <v>47000</v>
      </c>
      <c r="OG3" s="1">
        <v>50962</v>
      </c>
      <c r="OH3" s="1">
        <v>54890</v>
      </c>
      <c r="OI3" s="1">
        <v>54295</v>
      </c>
      <c r="OJ3" s="1">
        <v>45368</v>
      </c>
      <c r="OK3" s="1">
        <v>0</v>
      </c>
      <c r="OL3" s="1">
        <v>68295</v>
      </c>
      <c r="OM3" s="1">
        <v>89394</v>
      </c>
      <c r="ON3" s="1">
        <v>57145</v>
      </c>
      <c r="OO3" s="1">
        <v>67614</v>
      </c>
      <c r="OP3" s="1">
        <v>72431</v>
      </c>
      <c r="OQ3" s="1">
        <v>80357</v>
      </c>
      <c r="OR3" s="1">
        <v>68292</v>
      </c>
      <c r="OS3" s="1">
        <v>88431</v>
      </c>
      <c r="OT3" s="1">
        <v>91133</v>
      </c>
      <c r="OU3" s="1">
        <v>55583</v>
      </c>
      <c r="OV3" s="1">
        <v>72813</v>
      </c>
      <c r="OW3" s="1">
        <v>51875</v>
      </c>
      <c r="OX3" s="1">
        <v>18929</v>
      </c>
      <c r="OY3" s="1">
        <v>84044</v>
      </c>
      <c r="OZ3" s="1">
        <v>46667</v>
      </c>
      <c r="PA3" s="1">
        <v>55972</v>
      </c>
      <c r="PB3" s="1">
        <v>59000</v>
      </c>
      <c r="PC3" s="1">
        <v>49342</v>
      </c>
      <c r="PD3" s="1">
        <v>103165</v>
      </c>
      <c r="PE3" s="1">
        <v>47500</v>
      </c>
      <c r="PF3" s="1">
        <v>77038</v>
      </c>
      <c r="PG3" s="1">
        <v>75625</v>
      </c>
      <c r="PH3" s="1">
        <v>62075</v>
      </c>
      <c r="PI3" s="1">
        <v>68519</v>
      </c>
      <c r="PJ3" s="1">
        <v>71538</v>
      </c>
      <c r="PK3" s="1">
        <v>51680</v>
      </c>
      <c r="PL3" s="1">
        <v>71197</v>
      </c>
      <c r="PM3" s="1">
        <v>68882</v>
      </c>
      <c r="PN3" s="1">
        <v>65620</v>
      </c>
      <c r="PO3" s="1">
        <v>57749</v>
      </c>
      <c r="PP3" s="1">
        <v>0</v>
      </c>
      <c r="PQ3" s="1">
        <v>64044</v>
      </c>
      <c r="PR3" s="1">
        <v>0</v>
      </c>
      <c r="PS3" s="1">
        <v>49388</v>
      </c>
      <c r="PT3" s="1">
        <v>47462</v>
      </c>
      <c r="PU3" s="1">
        <v>49909</v>
      </c>
      <c r="PV3" s="1">
        <v>53550</v>
      </c>
      <c r="PW3" s="1">
        <v>58702</v>
      </c>
      <c r="PX3" s="1">
        <v>63419</v>
      </c>
      <c r="PY3" s="1">
        <v>83896</v>
      </c>
      <c r="PZ3" s="1">
        <v>61250</v>
      </c>
      <c r="QA3" s="1">
        <v>72396</v>
      </c>
      <c r="QB3" s="1">
        <v>88665</v>
      </c>
      <c r="QC3" s="1">
        <v>52117</v>
      </c>
      <c r="QD3" s="1">
        <v>46473</v>
      </c>
      <c r="QE3" s="1">
        <v>88523</v>
      </c>
      <c r="QF3" s="1">
        <v>48775</v>
      </c>
      <c r="QG3" s="1">
        <v>103589</v>
      </c>
      <c r="QH3" s="1">
        <v>0</v>
      </c>
      <c r="QI3" s="1">
        <v>54258</v>
      </c>
      <c r="QJ3" s="1">
        <v>49111</v>
      </c>
      <c r="QK3" s="1">
        <v>70433</v>
      </c>
      <c r="QL3" s="1">
        <v>0</v>
      </c>
      <c r="QM3" s="1">
        <v>65190</v>
      </c>
      <c r="QN3" s="1">
        <v>88395</v>
      </c>
      <c r="QO3" s="1">
        <v>56250</v>
      </c>
      <c r="QP3" s="1">
        <v>51352</v>
      </c>
      <c r="QQ3" s="1">
        <v>65078</v>
      </c>
      <c r="QR3" s="1">
        <v>50598</v>
      </c>
      <c r="QS3" s="1">
        <v>130150</v>
      </c>
      <c r="QT3" s="1">
        <v>63929</v>
      </c>
      <c r="QU3" s="1">
        <v>0</v>
      </c>
      <c r="QV3" s="1">
        <v>83890</v>
      </c>
      <c r="QW3" s="1">
        <v>74641</v>
      </c>
      <c r="QX3" s="1">
        <v>65132</v>
      </c>
      <c r="QY3" s="1">
        <v>43625</v>
      </c>
      <c r="QZ3" s="1">
        <v>49658</v>
      </c>
      <c r="RA3" s="1">
        <v>53186</v>
      </c>
      <c r="RB3" s="1">
        <v>43830</v>
      </c>
      <c r="RC3" s="1">
        <v>50568</v>
      </c>
      <c r="RD3" s="1">
        <v>0</v>
      </c>
      <c r="RE3" s="1">
        <v>46676</v>
      </c>
      <c r="RF3" s="1">
        <v>54214</v>
      </c>
      <c r="RG3" s="1">
        <v>38750</v>
      </c>
      <c r="RH3" s="1">
        <v>50956</v>
      </c>
      <c r="RI3" s="1">
        <v>44942</v>
      </c>
      <c r="RJ3" s="1">
        <v>23019</v>
      </c>
      <c r="RK3" s="1">
        <v>45636</v>
      </c>
      <c r="RL3" s="1">
        <v>65583</v>
      </c>
      <c r="RM3" s="1">
        <v>46159</v>
      </c>
      <c r="RN3" s="1">
        <v>83349</v>
      </c>
      <c r="RO3" s="1">
        <v>67710</v>
      </c>
      <c r="RP3" s="1">
        <v>0</v>
      </c>
      <c r="RQ3" s="1">
        <v>43625</v>
      </c>
      <c r="RR3" s="1">
        <v>60168</v>
      </c>
      <c r="RS3" s="1">
        <v>38750</v>
      </c>
      <c r="RT3" s="1">
        <v>0</v>
      </c>
      <c r="RU3" s="1">
        <v>107071</v>
      </c>
      <c r="RV3" s="1">
        <v>42872</v>
      </c>
      <c r="RW3" s="1">
        <v>46190</v>
      </c>
      <c r="RX3" s="1">
        <v>82855</v>
      </c>
      <c r="RY3" s="1">
        <v>48302</v>
      </c>
      <c r="RZ3" s="1">
        <v>76250</v>
      </c>
      <c r="SA3" s="1">
        <v>72350</v>
      </c>
      <c r="SB3" s="1">
        <v>52016</v>
      </c>
      <c r="SC3" s="1">
        <v>41930</v>
      </c>
      <c r="SD3" s="1">
        <v>47096</v>
      </c>
      <c r="SE3" s="1">
        <v>62671</v>
      </c>
      <c r="SF3" s="1">
        <v>47606</v>
      </c>
      <c r="SG3" s="1">
        <v>47764</v>
      </c>
      <c r="SH3" s="1">
        <v>48516</v>
      </c>
      <c r="SI3" s="1">
        <v>50956</v>
      </c>
      <c r="SJ3" s="1">
        <v>59250</v>
      </c>
      <c r="SK3" s="1">
        <v>47558</v>
      </c>
      <c r="SL3" s="1">
        <v>62826</v>
      </c>
      <c r="SM3" s="1">
        <v>138125</v>
      </c>
      <c r="SN3" s="1">
        <v>44537</v>
      </c>
      <c r="SO3" s="1">
        <v>83536</v>
      </c>
      <c r="SP3" s="1">
        <v>79529</v>
      </c>
      <c r="SQ3" s="1">
        <v>58141</v>
      </c>
      <c r="SR3" s="1">
        <v>54472</v>
      </c>
      <c r="SS3" s="1">
        <v>73598</v>
      </c>
      <c r="ST3" s="1">
        <v>67034</v>
      </c>
      <c r="SU3" s="1">
        <v>0</v>
      </c>
      <c r="SV3" s="1">
        <v>39471</v>
      </c>
      <c r="SW3" s="1">
        <v>48310</v>
      </c>
      <c r="SX3" s="1">
        <v>58958</v>
      </c>
      <c r="SY3" s="1">
        <v>67661</v>
      </c>
      <c r="SZ3" s="1">
        <v>0</v>
      </c>
      <c r="TA3" s="1">
        <v>30046</v>
      </c>
      <c r="TB3" s="1">
        <v>35273</v>
      </c>
      <c r="TC3" s="1">
        <v>39063</v>
      </c>
      <c r="TD3" s="1">
        <v>46307</v>
      </c>
      <c r="TE3" s="1">
        <v>106050</v>
      </c>
      <c r="TF3" s="1">
        <v>115581</v>
      </c>
      <c r="TG3" s="1">
        <v>57500</v>
      </c>
      <c r="TH3" s="1">
        <v>49096</v>
      </c>
      <c r="TI3" s="1">
        <v>30341</v>
      </c>
      <c r="TJ3" s="1">
        <v>87731</v>
      </c>
      <c r="TK3" s="1">
        <v>58482</v>
      </c>
      <c r="TL3" s="1">
        <v>50394</v>
      </c>
      <c r="TM3" s="1">
        <v>24635</v>
      </c>
      <c r="TN3" s="1">
        <v>40196</v>
      </c>
      <c r="TO3" s="1">
        <v>44135</v>
      </c>
      <c r="TP3" s="1">
        <v>55371</v>
      </c>
      <c r="TQ3" s="1">
        <v>0</v>
      </c>
      <c r="TR3" s="1">
        <v>53255</v>
      </c>
      <c r="TS3" s="1">
        <v>56961</v>
      </c>
      <c r="TT3" s="1">
        <v>59813</v>
      </c>
      <c r="TU3" s="1">
        <v>82566</v>
      </c>
      <c r="TV3" s="1">
        <v>66667</v>
      </c>
      <c r="TW3" s="1">
        <v>24722</v>
      </c>
      <c r="TX3" s="1">
        <v>75526</v>
      </c>
      <c r="TY3" s="1">
        <v>50217</v>
      </c>
      <c r="TZ3" s="1">
        <v>40735</v>
      </c>
      <c r="UA3" s="1">
        <v>60161</v>
      </c>
      <c r="UB3" s="1">
        <v>47333</v>
      </c>
      <c r="UC3" s="1">
        <v>40197</v>
      </c>
      <c r="UD3" s="1">
        <v>36442</v>
      </c>
      <c r="UE3" s="1">
        <v>38274</v>
      </c>
      <c r="UF3" s="1">
        <v>53068</v>
      </c>
      <c r="UG3" s="1">
        <v>128056</v>
      </c>
      <c r="UH3" s="1">
        <v>51932</v>
      </c>
      <c r="UI3" s="1">
        <v>52813</v>
      </c>
      <c r="UJ3" s="1">
        <v>0</v>
      </c>
      <c r="UK3" s="1">
        <v>49028</v>
      </c>
      <c r="UL3" s="1">
        <v>29673</v>
      </c>
      <c r="UM3" s="1">
        <v>81507</v>
      </c>
      <c r="UN3" s="1">
        <v>37089</v>
      </c>
      <c r="UO3" s="1">
        <v>68958</v>
      </c>
      <c r="UP3" s="1">
        <v>51429</v>
      </c>
      <c r="UQ3" s="1">
        <v>60682</v>
      </c>
      <c r="UR3" s="1">
        <v>48186</v>
      </c>
      <c r="US3" s="1">
        <v>33672</v>
      </c>
      <c r="UT3" s="1">
        <v>47950</v>
      </c>
      <c r="UU3" s="1">
        <v>66328</v>
      </c>
      <c r="UV3" s="1">
        <v>87398</v>
      </c>
      <c r="UW3" s="1">
        <v>22936</v>
      </c>
      <c r="UX3" s="1">
        <v>38478</v>
      </c>
      <c r="UY3" s="1">
        <v>35006</v>
      </c>
      <c r="UZ3" s="1">
        <v>0</v>
      </c>
      <c r="VA3" s="1">
        <v>82158</v>
      </c>
      <c r="VB3" s="1">
        <v>51595</v>
      </c>
      <c r="VC3" s="1">
        <v>0</v>
      </c>
      <c r="VD3" s="1">
        <v>70166</v>
      </c>
      <c r="VE3" s="1">
        <v>43821</v>
      </c>
      <c r="VF3" s="1">
        <v>83265</v>
      </c>
      <c r="VG3" s="1">
        <v>51175</v>
      </c>
      <c r="VH3" s="1">
        <v>67256</v>
      </c>
      <c r="VI3" s="1">
        <v>0</v>
      </c>
      <c r="VJ3" s="1">
        <v>36339</v>
      </c>
      <c r="VK3" s="1">
        <v>110573</v>
      </c>
      <c r="VL3" s="1">
        <v>65395</v>
      </c>
      <c r="VM3" s="1">
        <v>62500</v>
      </c>
      <c r="VN3" s="1">
        <v>98367</v>
      </c>
      <c r="VO3" s="1">
        <v>59443</v>
      </c>
      <c r="VP3" s="1">
        <v>0</v>
      </c>
      <c r="VQ3" s="1">
        <v>51090</v>
      </c>
      <c r="VR3" s="1">
        <v>68006</v>
      </c>
      <c r="VS3" s="1">
        <v>52234</v>
      </c>
      <c r="VT3" s="1">
        <v>68958</v>
      </c>
      <c r="VU3" s="1">
        <v>70781</v>
      </c>
      <c r="VV3" s="1">
        <v>91293</v>
      </c>
      <c r="VW3" s="1">
        <v>46088</v>
      </c>
      <c r="VX3" s="1">
        <v>110767</v>
      </c>
      <c r="VY3" s="1">
        <v>82196</v>
      </c>
      <c r="VZ3" s="1">
        <v>0</v>
      </c>
      <c r="WA3" s="1">
        <v>105669</v>
      </c>
      <c r="WB3" s="1">
        <v>72163</v>
      </c>
      <c r="WC3" s="1">
        <v>60669</v>
      </c>
      <c r="WD3" s="1">
        <v>29650</v>
      </c>
      <c r="WE3" s="1">
        <v>50182</v>
      </c>
      <c r="WF3" s="1">
        <v>49805</v>
      </c>
      <c r="WG3" s="1">
        <v>62123</v>
      </c>
      <c r="WH3" s="1">
        <v>66084</v>
      </c>
      <c r="WI3" s="1">
        <v>83954</v>
      </c>
      <c r="WJ3" s="1">
        <v>40109</v>
      </c>
      <c r="WK3" s="1">
        <v>0</v>
      </c>
      <c r="WL3" s="1">
        <v>97225</v>
      </c>
      <c r="WM3" s="1">
        <v>122723</v>
      </c>
      <c r="WN3" s="1">
        <v>37890</v>
      </c>
      <c r="WO3" s="1">
        <v>70734</v>
      </c>
      <c r="WP3" s="1">
        <v>0</v>
      </c>
      <c r="WQ3" s="1">
        <v>37203</v>
      </c>
      <c r="WR3" s="1">
        <v>55042</v>
      </c>
      <c r="WS3" s="1">
        <v>52721</v>
      </c>
      <c r="WT3" s="1">
        <v>0</v>
      </c>
      <c r="WU3" s="1">
        <v>42977</v>
      </c>
      <c r="WV3" s="1">
        <v>57394</v>
      </c>
      <c r="WW3" s="1">
        <v>86750</v>
      </c>
      <c r="WX3" s="1">
        <v>41563</v>
      </c>
      <c r="WY3" s="1">
        <v>37652</v>
      </c>
      <c r="WZ3" s="1">
        <v>106413</v>
      </c>
      <c r="XA3" s="1">
        <v>90148</v>
      </c>
      <c r="XB3" s="1">
        <v>0</v>
      </c>
      <c r="XC3" s="1">
        <v>65896</v>
      </c>
      <c r="XD3" s="1">
        <v>76445</v>
      </c>
      <c r="XE3" s="1">
        <v>52132</v>
      </c>
      <c r="XF3" s="1">
        <v>44211</v>
      </c>
      <c r="XG3" s="1">
        <v>54208</v>
      </c>
      <c r="XH3" s="1">
        <v>49613</v>
      </c>
      <c r="XI3" s="1">
        <v>38321</v>
      </c>
      <c r="XJ3" s="1">
        <v>46875</v>
      </c>
      <c r="XK3" s="1">
        <v>44576</v>
      </c>
      <c r="XL3" s="1">
        <v>41333</v>
      </c>
      <c r="XM3" s="1">
        <v>44260</v>
      </c>
      <c r="XN3" s="1">
        <v>65065</v>
      </c>
      <c r="XO3" s="1">
        <v>0</v>
      </c>
      <c r="XP3" s="1">
        <v>77913</v>
      </c>
      <c r="XQ3" s="1">
        <v>35144</v>
      </c>
      <c r="XR3" s="1">
        <v>53438</v>
      </c>
      <c r="XS3" s="1">
        <v>46887</v>
      </c>
      <c r="XT3" s="1">
        <v>45833</v>
      </c>
      <c r="XU3" s="1">
        <v>46205</v>
      </c>
      <c r="XV3" s="1">
        <v>52175</v>
      </c>
      <c r="XW3" s="1">
        <v>67241</v>
      </c>
      <c r="XX3" s="1">
        <v>0</v>
      </c>
      <c r="XY3" s="1">
        <v>47818</v>
      </c>
      <c r="XZ3" s="1">
        <v>67761</v>
      </c>
      <c r="YA3" s="1">
        <v>42845</v>
      </c>
      <c r="YB3" s="1">
        <v>144375</v>
      </c>
      <c r="YC3" s="1">
        <v>0</v>
      </c>
      <c r="YD3" s="1">
        <v>55625</v>
      </c>
      <c r="YE3" s="1">
        <v>0</v>
      </c>
      <c r="YF3" s="1">
        <v>72054</v>
      </c>
      <c r="YG3" s="1">
        <v>33184</v>
      </c>
      <c r="YH3" s="1">
        <v>50703</v>
      </c>
      <c r="YI3" s="1">
        <v>63793</v>
      </c>
      <c r="YJ3" s="1">
        <v>72275</v>
      </c>
      <c r="YK3" s="1">
        <v>0</v>
      </c>
      <c r="YL3" s="1">
        <v>34846</v>
      </c>
      <c r="YM3" s="1">
        <v>55980</v>
      </c>
      <c r="YN3" s="1">
        <v>73991</v>
      </c>
      <c r="YO3" s="1">
        <v>43411</v>
      </c>
      <c r="YP3" s="1">
        <v>51375</v>
      </c>
      <c r="YQ3" s="1">
        <v>54038</v>
      </c>
      <c r="YR3" s="1">
        <v>29500</v>
      </c>
      <c r="YS3" s="1">
        <v>42885</v>
      </c>
      <c r="YT3" s="1">
        <v>80663</v>
      </c>
      <c r="YU3" s="1">
        <v>58510</v>
      </c>
      <c r="YV3" s="1">
        <v>38438</v>
      </c>
      <c r="YW3" s="1">
        <v>69917</v>
      </c>
      <c r="YX3" s="1">
        <v>26667</v>
      </c>
      <c r="YY3" s="1">
        <v>70671</v>
      </c>
      <c r="YZ3" s="1">
        <v>81178</v>
      </c>
      <c r="ZA3" s="1">
        <v>55625</v>
      </c>
      <c r="ZB3" s="1">
        <v>43815</v>
      </c>
      <c r="ZC3" s="1">
        <v>64340</v>
      </c>
      <c r="ZD3" s="1">
        <v>59138</v>
      </c>
      <c r="ZE3" s="1">
        <v>53750</v>
      </c>
      <c r="ZF3" s="1">
        <v>51071</v>
      </c>
      <c r="ZG3" s="1">
        <v>46500</v>
      </c>
      <c r="ZH3" s="1">
        <v>39131</v>
      </c>
      <c r="ZI3" s="1">
        <v>43324</v>
      </c>
      <c r="ZJ3" s="1">
        <v>71429</v>
      </c>
      <c r="ZK3" s="1">
        <v>41298</v>
      </c>
      <c r="ZL3" s="1">
        <v>40521</v>
      </c>
      <c r="ZM3" s="1">
        <v>91141</v>
      </c>
      <c r="ZN3" s="1">
        <v>44226</v>
      </c>
      <c r="ZO3" s="1">
        <v>0</v>
      </c>
      <c r="ZP3" s="1">
        <v>0</v>
      </c>
      <c r="ZQ3" s="1">
        <v>32902</v>
      </c>
      <c r="ZR3" s="1">
        <v>0</v>
      </c>
      <c r="ZS3" s="1">
        <v>37210</v>
      </c>
      <c r="ZT3" s="1">
        <v>49179</v>
      </c>
      <c r="ZU3" s="1">
        <v>41400</v>
      </c>
      <c r="ZV3" s="1">
        <v>49107</v>
      </c>
      <c r="ZW3" s="1">
        <v>71667</v>
      </c>
      <c r="ZX3" s="1">
        <v>35324</v>
      </c>
      <c r="ZY3" s="1">
        <v>58297</v>
      </c>
      <c r="ZZ3" s="1">
        <v>43496</v>
      </c>
      <c r="AAA3" s="1">
        <v>31563</v>
      </c>
      <c r="AAB3" s="1">
        <v>78314</v>
      </c>
      <c r="AAC3" s="1">
        <v>54844</v>
      </c>
      <c r="AAD3" s="1">
        <v>0</v>
      </c>
      <c r="AAE3" s="1">
        <v>46304</v>
      </c>
      <c r="AAF3" s="1">
        <v>41250</v>
      </c>
      <c r="AAG3" s="1">
        <v>43438</v>
      </c>
      <c r="AAH3" s="1">
        <v>67250</v>
      </c>
      <c r="AAI3" s="1">
        <v>33750</v>
      </c>
      <c r="AAJ3" s="1">
        <v>59310</v>
      </c>
      <c r="AAK3" s="1">
        <v>53750</v>
      </c>
      <c r="AAL3" s="1">
        <v>38485</v>
      </c>
      <c r="AAM3" s="1">
        <v>39564</v>
      </c>
      <c r="AAN3" s="1">
        <v>0</v>
      </c>
      <c r="AAO3" s="1">
        <v>80682</v>
      </c>
      <c r="AAP3" s="1">
        <v>82620</v>
      </c>
      <c r="AAQ3" s="1">
        <v>84593</v>
      </c>
      <c r="AAR3" s="1">
        <v>83407</v>
      </c>
      <c r="AAS3" s="1">
        <v>47946</v>
      </c>
      <c r="AAT3" s="1">
        <v>44895</v>
      </c>
      <c r="AAU3" s="1">
        <v>57976</v>
      </c>
      <c r="AAV3" s="1">
        <v>42442</v>
      </c>
      <c r="AAW3" s="1">
        <v>80785</v>
      </c>
      <c r="AAX3" s="1">
        <v>50242</v>
      </c>
      <c r="AAY3" s="1">
        <v>57868</v>
      </c>
      <c r="AAZ3" s="1">
        <v>71216</v>
      </c>
      <c r="ABA3" s="1">
        <v>50450</v>
      </c>
      <c r="ABB3" s="1">
        <v>38639</v>
      </c>
      <c r="ABC3" s="1">
        <v>50605</v>
      </c>
      <c r="ABD3" s="1">
        <v>58371</v>
      </c>
      <c r="ABE3" s="1">
        <v>46042</v>
      </c>
      <c r="ABF3" s="1">
        <v>76120</v>
      </c>
      <c r="ABG3" s="1">
        <v>51775</v>
      </c>
      <c r="ABH3" s="1">
        <v>48877</v>
      </c>
      <c r="ABI3" s="1">
        <v>58375</v>
      </c>
      <c r="ABJ3" s="1">
        <v>62093</v>
      </c>
      <c r="ABK3" s="1">
        <v>49045</v>
      </c>
      <c r="ABL3" s="1">
        <v>79018</v>
      </c>
      <c r="ABM3" s="1">
        <v>44569</v>
      </c>
      <c r="ABN3" s="1">
        <v>48162</v>
      </c>
      <c r="ABO3" s="1">
        <v>47803</v>
      </c>
      <c r="ABP3" s="1">
        <v>58244</v>
      </c>
      <c r="ABQ3" s="1">
        <v>51793</v>
      </c>
      <c r="ABR3" s="1">
        <v>45646</v>
      </c>
      <c r="ABS3" s="1">
        <v>100761</v>
      </c>
      <c r="ABT3" s="1">
        <v>47256</v>
      </c>
      <c r="ABU3" s="1">
        <v>61026</v>
      </c>
      <c r="ABV3" s="1">
        <v>103547</v>
      </c>
      <c r="ABW3" s="1">
        <v>97237</v>
      </c>
      <c r="ABX3" s="1">
        <v>31375</v>
      </c>
      <c r="ABY3" s="1">
        <v>91290</v>
      </c>
      <c r="ABZ3" s="1">
        <v>49750</v>
      </c>
      <c r="ACA3" s="1">
        <v>0</v>
      </c>
      <c r="ACB3" s="1">
        <v>36771</v>
      </c>
      <c r="ACC3" s="1">
        <v>51052</v>
      </c>
      <c r="ACD3" s="1">
        <v>114444</v>
      </c>
      <c r="ACE3" s="1">
        <v>0</v>
      </c>
      <c r="ACF3" s="1">
        <v>65799</v>
      </c>
      <c r="ACG3" s="1">
        <v>72016</v>
      </c>
      <c r="ACH3" s="1">
        <v>32083</v>
      </c>
      <c r="ACI3" s="1">
        <v>35590</v>
      </c>
      <c r="ACJ3" s="1">
        <v>82617</v>
      </c>
      <c r="ACK3" s="1">
        <v>45170</v>
      </c>
      <c r="ACL3" s="1">
        <v>121433</v>
      </c>
      <c r="ACM3" s="1">
        <v>56667</v>
      </c>
      <c r="ACN3" s="1">
        <v>71579</v>
      </c>
      <c r="ACO3" s="1">
        <v>0</v>
      </c>
      <c r="ACP3" s="1">
        <v>59142</v>
      </c>
      <c r="ACQ3" s="1">
        <v>48750</v>
      </c>
      <c r="ACR3" s="1">
        <v>47316</v>
      </c>
      <c r="ACS3" s="1">
        <v>29488</v>
      </c>
      <c r="ACT3" s="1">
        <v>65625</v>
      </c>
      <c r="ACU3" s="1">
        <v>72112</v>
      </c>
      <c r="ACV3" s="1">
        <v>41913</v>
      </c>
      <c r="ACW3" s="1">
        <v>52620</v>
      </c>
      <c r="ACX3" s="1">
        <v>69221</v>
      </c>
      <c r="ACY3" s="1">
        <v>58230</v>
      </c>
      <c r="ACZ3" s="1">
        <v>45385</v>
      </c>
      <c r="ADA3" s="1">
        <v>54018</v>
      </c>
      <c r="ADB3" s="1">
        <v>50841</v>
      </c>
      <c r="ADC3" s="1">
        <v>42654</v>
      </c>
      <c r="ADD3" s="1">
        <v>57875</v>
      </c>
      <c r="ADE3" s="1">
        <v>48404</v>
      </c>
      <c r="ADF3" s="1">
        <v>63885</v>
      </c>
      <c r="ADG3" s="1">
        <v>47500</v>
      </c>
      <c r="ADH3" s="1">
        <v>54976</v>
      </c>
      <c r="ADI3" s="1">
        <v>48653</v>
      </c>
      <c r="ADJ3" s="1">
        <v>0</v>
      </c>
      <c r="ADK3" s="1">
        <v>47434</v>
      </c>
      <c r="ADL3" s="1">
        <v>45887</v>
      </c>
      <c r="ADM3" s="1">
        <v>59365</v>
      </c>
      <c r="ADN3" s="1">
        <v>22090</v>
      </c>
      <c r="ADO3" s="1">
        <v>55871</v>
      </c>
      <c r="ADP3" s="1">
        <v>41181</v>
      </c>
      <c r="ADQ3" s="1">
        <v>48588</v>
      </c>
      <c r="ADR3" s="1">
        <v>38571</v>
      </c>
      <c r="ADS3" s="1">
        <v>45417</v>
      </c>
      <c r="ADT3" s="1">
        <v>40972</v>
      </c>
      <c r="ADU3" s="1">
        <v>0</v>
      </c>
      <c r="ADV3" s="1">
        <v>41250</v>
      </c>
      <c r="ADW3" s="1">
        <v>46500</v>
      </c>
      <c r="ADX3" s="1">
        <v>42917</v>
      </c>
      <c r="ADY3" s="1">
        <v>47143</v>
      </c>
      <c r="ADZ3" s="1">
        <v>46351</v>
      </c>
      <c r="AEA3" s="1">
        <v>61167</v>
      </c>
      <c r="AEB3" s="1">
        <v>0</v>
      </c>
      <c r="AEC3" s="1">
        <v>38897</v>
      </c>
      <c r="AED3" s="1">
        <v>52215</v>
      </c>
      <c r="AEE3" s="1">
        <v>62668</v>
      </c>
      <c r="AEF3" s="1">
        <v>120278</v>
      </c>
      <c r="AEG3" s="1">
        <v>108733</v>
      </c>
      <c r="AEH3" s="1">
        <v>137138</v>
      </c>
      <c r="AEI3" s="1">
        <v>86406</v>
      </c>
      <c r="AEJ3" s="1">
        <v>147647</v>
      </c>
      <c r="AEK3" s="1">
        <v>79635</v>
      </c>
      <c r="AEL3" s="1">
        <v>114181</v>
      </c>
      <c r="AEM3" s="1">
        <v>132917</v>
      </c>
      <c r="AEN3" s="1">
        <v>0</v>
      </c>
      <c r="AEO3" s="1">
        <v>149821</v>
      </c>
      <c r="AEP3" s="1">
        <v>191944</v>
      </c>
      <c r="AEQ3" s="1">
        <v>129188</v>
      </c>
      <c r="AER3" s="1">
        <v>113068</v>
      </c>
      <c r="AES3" s="1">
        <v>103115</v>
      </c>
      <c r="AET3" s="1">
        <v>114848</v>
      </c>
      <c r="AEU3" s="1">
        <v>154188</v>
      </c>
      <c r="AEV3" s="1">
        <v>0</v>
      </c>
      <c r="AEW3" s="1">
        <v>118938</v>
      </c>
      <c r="AEX3" s="1">
        <v>132386</v>
      </c>
      <c r="AEY3" s="1">
        <v>99638</v>
      </c>
      <c r="AEZ3" s="1">
        <v>161000</v>
      </c>
      <c r="AFA3" s="1">
        <v>53143</v>
      </c>
      <c r="AFB3" s="1">
        <v>160043</v>
      </c>
      <c r="AFC3" s="1">
        <v>90400</v>
      </c>
      <c r="AFD3" s="1">
        <v>227581</v>
      </c>
      <c r="AFE3" s="1">
        <v>204071</v>
      </c>
      <c r="AFF3" s="1">
        <v>117431</v>
      </c>
      <c r="AFG3" s="1">
        <v>159800</v>
      </c>
      <c r="AFH3" s="1">
        <v>149821</v>
      </c>
      <c r="AFI3" s="1">
        <v>153375</v>
      </c>
      <c r="AFJ3" s="1">
        <v>95560</v>
      </c>
      <c r="AFK3" s="1">
        <v>176591</v>
      </c>
      <c r="AFL3" s="1">
        <v>130008</v>
      </c>
      <c r="AFM3" s="1">
        <v>139688</v>
      </c>
      <c r="AFN3" s="1">
        <v>97923</v>
      </c>
      <c r="AFO3" s="1">
        <v>0</v>
      </c>
      <c r="AFP3" s="1">
        <v>117776</v>
      </c>
      <c r="AFQ3" s="1">
        <v>97177</v>
      </c>
      <c r="AFR3" s="1">
        <v>117571</v>
      </c>
      <c r="AFS3" s="1">
        <v>0</v>
      </c>
      <c r="AFT3" s="1">
        <v>0</v>
      </c>
      <c r="AFU3" s="1">
        <v>84286</v>
      </c>
      <c r="AFV3" s="1">
        <v>82083</v>
      </c>
      <c r="AFW3" s="1">
        <v>0</v>
      </c>
      <c r="AFX3" s="1">
        <v>70945</v>
      </c>
      <c r="AFY3" s="1">
        <v>126029</v>
      </c>
      <c r="AFZ3" s="1">
        <v>116439</v>
      </c>
      <c r="AGA3" s="1">
        <v>150916</v>
      </c>
      <c r="AGB3" s="1">
        <v>150956</v>
      </c>
      <c r="AGC3" s="1">
        <v>118288</v>
      </c>
      <c r="AGD3" s="1">
        <v>81125</v>
      </c>
      <c r="AGE3" s="1">
        <v>176938</v>
      </c>
      <c r="AGF3" s="1">
        <v>122059</v>
      </c>
      <c r="AGG3" s="1">
        <v>0</v>
      </c>
      <c r="AGH3" s="1">
        <v>0</v>
      </c>
      <c r="AGI3" s="1">
        <v>88902</v>
      </c>
      <c r="AGJ3" s="1">
        <v>174583</v>
      </c>
      <c r="AGK3" s="1">
        <v>129236</v>
      </c>
      <c r="AGL3" s="1">
        <v>120491</v>
      </c>
      <c r="AGM3" s="1">
        <v>148750</v>
      </c>
      <c r="AGN3" s="1">
        <v>118949</v>
      </c>
      <c r="AGO3" s="1">
        <v>81763</v>
      </c>
      <c r="AGP3" s="1">
        <v>106691</v>
      </c>
      <c r="AGQ3" s="1">
        <v>100061</v>
      </c>
      <c r="AGR3" s="1">
        <v>104093</v>
      </c>
      <c r="AGS3" s="1">
        <v>83457</v>
      </c>
      <c r="AGT3" s="1">
        <v>64406</v>
      </c>
      <c r="AGU3" s="1">
        <v>98517</v>
      </c>
      <c r="AGV3" s="1">
        <v>68452</v>
      </c>
      <c r="AGW3" s="1">
        <v>88612</v>
      </c>
      <c r="AGX3" s="1">
        <v>139962</v>
      </c>
      <c r="AGY3" s="1">
        <v>122683</v>
      </c>
      <c r="AGZ3" s="1">
        <v>162976</v>
      </c>
      <c r="AHA3" s="1">
        <v>167689</v>
      </c>
      <c r="AHB3" s="1">
        <v>85750</v>
      </c>
      <c r="AHC3" s="1">
        <v>129870</v>
      </c>
      <c r="AHD3" s="1">
        <v>109530</v>
      </c>
      <c r="AHE3" s="1">
        <v>135925</v>
      </c>
      <c r="AHF3" s="1">
        <v>132955</v>
      </c>
      <c r="AHG3" s="1">
        <v>123125</v>
      </c>
      <c r="AHH3" s="1">
        <v>159821</v>
      </c>
      <c r="AHI3" s="1">
        <v>84241</v>
      </c>
      <c r="AHJ3" s="1">
        <v>81359</v>
      </c>
      <c r="AHK3" s="1">
        <v>0</v>
      </c>
      <c r="AHL3" s="1">
        <v>76332</v>
      </c>
      <c r="AHM3" s="1">
        <v>124838</v>
      </c>
      <c r="AHN3" s="1">
        <v>80649</v>
      </c>
      <c r="AHO3" s="1">
        <v>78391</v>
      </c>
      <c r="AHP3" s="1">
        <v>72931</v>
      </c>
      <c r="AHQ3" s="1">
        <v>82160</v>
      </c>
      <c r="AHR3" s="1">
        <v>122448</v>
      </c>
      <c r="AHS3" s="1">
        <v>173208</v>
      </c>
      <c r="AHT3" s="1">
        <v>102886</v>
      </c>
      <c r="AHU3" s="1">
        <v>0</v>
      </c>
      <c r="AHV3" s="1">
        <v>0</v>
      </c>
      <c r="AHW3" s="1">
        <v>91905</v>
      </c>
      <c r="AHX3" s="1">
        <v>119083</v>
      </c>
      <c r="AHY3" s="1">
        <v>111129</v>
      </c>
      <c r="AHZ3" s="1">
        <v>131023</v>
      </c>
      <c r="AIA3" s="1">
        <v>170117</v>
      </c>
      <c r="AIB3" s="1">
        <v>84125</v>
      </c>
      <c r="AIC3" s="1">
        <v>0</v>
      </c>
      <c r="AID3" s="1">
        <v>135576</v>
      </c>
      <c r="AIE3" s="1">
        <v>128392</v>
      </c>
      <c r="AIF3" s="1">
        <v>122440</v>
      </c>
      <c r="AIG3" s="1">
        <v>218808</v>
      </c>
      <c r="AIH3" s="1">
        <v>177083</v>
      </c>
      <c r="AII3" s="1">
        <v>120924</v>
      </c>
      <c r="AIJ3" s="1">
        <v>91037</v>
      </c>
      <c r="AIK3" s="1">
        <v>88226</v>
      </c>
      <c r="AIL3" s="1">
        <v>87052</v>
      </c>
      <c r="AIM3" s="1">
        <v>84599</v>
      </c>
      <c r="AIN3" s="1">
        <v>83690</v>
      </c>
      <c r="AIO3" s="1">
        <v>105441</v>
      </c>
      <c r="AIP3" s="1">
        <v>195000</v>
      </c>
      <c r="AIQ3" s="1">
        <v>150401</v>
      </c>
      <c r="AIR3" s="1">
        <v>198243</v>
      </c>
      <c r="AIS3" s="1">
        <v>231284</v>
      </c>
      <c r="AIT3" s="1">
        <v>240104</v>
      </c>
      <c r="AIU3" s="1">
        <v>221392</v>
      </c>
      <c r="AIV3" s="1">
        <v>166892</v>
      </c>
      <c r="AIW3" s="1">
        <v>203631</v>
      </c>
      <c r="AIX3" s="1">
        <v>191927</v>
      </c>
      <c r="AIY3" s="1">
        <v>223571</v>
      </c>
      <c r="AIZ3" s="1">
        <v>101250</v>
      </c>
      <c r="AJA3" s="1">
        <v>184276</v>
      </c>
      <c r="AJB3" s="1">
        <v>166389</v>
      </c>
      <c r="AJC3" s="1">
        <v>122691</v>
      </c>
      <c r="AJD3" s="1">
        <v>113951</v>
      </c>
      <c r="AJE3" s="1">
        <v>121496</v>
      </c>
      <c r="AJF3" s="1">
        <v>157168</v>
      </c>
      <c r="AJG3" s="1">
        <v>0</v>
      </c>
      <c r="AJH3" s="1">
        <v>147708</v>
      </c>
      <c r="AJI3" s="1">
        <v>0</v>
      </c>
      <c r="AJJ3" s="1">
        <v>176094</v>
      </c>
      <c r="AJK3" s="1">
        <v>242721</v>
      </c>
      <c r="AJL3" s="1">
        <v>134682</v>
      </c>
      <c r="AJM3" s="1">
        <v>109554</v>
      </c>
      <c r="AJN3" s="1">
        <v>177120</v>
      </c>
      <c r="AJO3" s="1">
        <v>132804</v>
      </c>
      <c r="AJP3" s="1">
        <v>109648</v>
      </c>
      <c r="AJQ3" s="1">
        <v>113329</v>
      </c>
      <c r="AJR3" s="1">
        <v>86103</v>
      </c>
      <c r="AJS3" s="1">
        <v>142062</v>
      </c>
      <c r="AJT3" s="1">
        <v>105109</v>
      </c>
      <c r="AJU3" s="1">
        <v>160417</v>
      </c>
      <c r="AJV3" s="1">
        <v>186964</v>
      </c>
      <c r="AJW3" s="1">
        <v>98767</v>
      </c>
      <c r="AJX3" s="1">
        <v>0</v>
      </c>
      <c r="AJY3" s="1">
        <v>0</v>
      </c>
      <c r="AJZ3" s="1">
        <v>0</v>
      </c>
      <c r="AKA3" s="1">
        <v>169527</v>
      </c>
      <c r="AKB3" s="1">
        <v>0</v>
      </c>
      <c r="AKC3" s="1">
        <v>23917</v>
      </c>
      <c r="AKD3" s="1">
        <v>127133</v>
      </c>
      <c r="AKE3" s="1">
        <v>111408</v>
      </c>
      <c r="AKF3" s="1">
        <v>77349</v>
      </c>
      <c r="AKG3" s="1">
        <v>93322</v>
      </c>
      <c r="AKH3" s="1">
        <v>155023</v>
      </c>
      <c r="AKI3" s="1">
        <v>92964</v>
      </c>
      <c r="AKJ3" s="1">
        <v>107994</v>
      </c>
      <c r="AKK3" s="1">
        <v>82097</v>
      </c>
      <c r="AKL3" s="1">
        <v>81778</v>
      </c>
      <c r="AKM3" s="1">
        <v>123264</v>
      </c>
      <c r="AKN3" s="1">
        <v>117017</v>
      </c>
      <c r="AKO3" s="1">
        <v>94097</v>
      </c>
      <c r="AKP3" s="1">
        <v>137544</v>
      </c>
      <c r="AKQ3" s="1">
        <v>170333</v>
      </c>
      <c r="AKR3" s="1">
        <v>113825</v>
      </c>
      <c r="AKS3" s="1">
        <v>137219</v>
      </c>
      <c r="AKT3" s="1">
        <v>100298</v>
      </c>
      <c r="AKU3" s="1">
        <v>81438</v>
      </c>
      <c r="AKV3" s="1">
        <v>133583</v>
      </c>
      <c r="AKW3" s="1">
        <v>0</v>
      </c>
      <c r="AKX3" s="1">
        <v>97875</v>
      </c>
      <c r="AKY3" s="1">
        <v>0</v>
      </c>
      <c r="AKZ3" s="1">
        <v>175234</v>
      </c>
      <c r="ALA3" s="1">
        <v>77063</v>
      </c>
      <c r="ALB3" s="1">
        <v>176597</v>
      </c>
      <c r="ALC3" s="1">
        <v>170313</v>
      </c>
      <c r="ALD3" s="1">
        <v>135541</v>
      </c>
      <c r="ALE3" s="1">
        <v>86925</v>
      </c>
      <c r="ALF3" s="1">
        <v>190504</v>
      </c>
      <c r="ALG3" s="1">
        <v>141846</v>
      </c>
      <c r="ALH3" s="1">
        <v>132924</v>
      </c>
      <c r="ALI3" s="1">
        <v>117323</v>
      </c>
      <c r="ALJ3" s="1">
        <v>126549</v>
      </c>
      <c r="ALK3" s="1">
        <v>154524</v>
      </c>
      <c r="ALL3" s="1">
        <v>122801</v>
      </c>
      <c r="ALM3" s="1">
        <v>123750</v>
      </c>
      <c r="ALN3" s="1">
        <v>189453</v>
      </c>
      <c r="ALO3" s="1">
        <v>117222</v>
      </c>
      <c r="ALP3" s="1">
        <v>100015</v>
      </c>
      <c r="ALQ3" s="1">
        <v>153976</v>
      </c>
      <c r="ALR3" s="1">
        <v>0</v>
      </c>
      <c r="ALS3" s="1">
        <v>170417</v>
      </c>
      <c r="ALT3" s="1">
        <v>99739</v>
      </c>
      <c r="ALU3" s="1">
        <v>86081</v>
      </c>
      <c r="ALV3" s="1">
        <v>138456</v>
      </c>
      <c r="ALW3" s="1">
        <v>101462</v>
      </c>
      <c r="ALX3" s="1">
        <v>133321</v>
      </c>
      <c r="ALY3" s="1">
        <v>143409</v>
      </c>
      <c r="ALZ3" s="1">
        <v>0</v>
      </c>
      <c r="AMA3" s="1">
        <v>109451</v>
      </c>
      <c r="AMB3" s="1">
        <v>144426</v>
      </c>
      <c r="AMC3" s="1">
        <v>118098</v>
      </c>
      <c r="AMD3" s="1">
        <v>107975</v>
      </c>
      <c r="AME3" s="1">
        <v>124500</v>
      </c>
      <c r="AMF3" s="1">
        <v>124688</v>
      </c>
      <c r="AMG3" s="1">
        <v>121771</v>
      </c>
      <c r="AMH3" s="1">
        <v>119535</v>
      </c>
      <c r="AMI3" s="1">
        <v>199803</v>
      </c>
      <c r="AMJ3" s="1">
        <v>0</v>
      </c>
      <c r="AMK3" s="1">
        <v>146556</v>
      </c>
      <c r="AML3" s="1">
        <v>135781</v>
      </c>
      <c r="AMM3" s="1">
        <v>125081</v>
      </c>
      <c r="AMN3" s="1">
        <v>136250</v>
      </c>
      <c r="AMO3" s="1">
        <v>100934</v>
      </c>
      <c r="AMP3" s="1">
        <v>157275</v>
      </c>
      <c r="AMQ3" s="1">
        <v>121732</v>
      </c>
      <c r="AMR3" s="1">
        <v>123191</v>
      </c>
      <c r="AMS3" s="1">
        <v>0</v>
      </c>
      <c r="AMT3" s="1">
        <v>187250</v>
      </c>
      <c r="AMU3" s="1">
        <v>150119</v>
      </c>
      <c r="AMV3" s="1">
        <v>84248</v>
      </c>
      <c r="AMW3" s="1">
        <v>106559</v>
      </c>
      <c r="AMX3" s="1">
        <v>152188</v>
      </c>
      <c r="AMY3" s="1">
        <v>132820</v>
      </c>
      <c r="AMZ3" s="1">
        <v>169835</v>
      </c>
      <c r="ANA3" s="1">
        <v>119833</v>
      </c>
      <c r="ANB3" s="1">
        <v>184643</v>
      </c>
      <c r="ANC3" s="1">
        <v>100583</v>
      </c>
      <c r="AND3" s="1">
        <v>124219</v>
      </c>
      <c r="ANE3" s="1">
        <v>124648</v>
      </c>
      <c r="ANF3" s="1">
        <v>102835</v>
      </c>
      <c r="ANG3" s="1">
        <v>108795</v>
      </c>
      <c r="ANH3" s="1">
        <v>102188</v>
      </c>
      <c r="ANI3" s="1">
        <v>99709</v>
      </c>
      <c r="ANJ3" s="1">
        <v>168021</v>
      </c>
      <c r="ANK3" s="1">
        <v>131154</v>
      </c>
      <c r="ANL3" s="1">
        <v>44722</v>
      </c>
      <c r="ANM3" s="1">
        <v>61578</v>
      </c>
      <c r="ANN3" s="1">
        <v>98452</v>
      </c>
      <c r="ANO3" s="1">
        <v>38723</v>
      </c>
      <c r="ANP3" s="1">
        <v>62965</v>
      </c>
      <c r="ANQ3" s="1">
        <v>64284</v>
      </c>
      <c r="ANR3" s="1">
        <v>90822</v>
      </c>
      <c r="ANS3" s="1">
        <v>87669</v>
      </c>
      <c r="ANT3" s="1">
        <v>108929</v>
      </c>
      <c r="ANU3" s="1">
        <v>81467</v>
      </c>
      <c r="ANV3" s="1">
        <v>96752</v>
      </c>
      <c r="ANW3" s="1">
        <v>50031</v>
      </c>
      <c r="ANX3" s="1">
        <v>82093</v>
      </c>
      <c r="ANY3" s="1">
        <v>47606</v>
      </c>
      <c r="ANZ3" s="1">
        <v>46440</v>
      </c>
      <c r="AOA3" s="1">
        <v>37207</v>
      </c>
      <c r="AOB3" s="1">
        <v>58378</v>
      </c>
      <c r="AOC3" s="1">
        <v>118500</v>
      </c>
      <c r="AOD3" s="1">
        <v>79676</v>
      </c>
      <c r="AOE3" s="1">
        <v>67368</v>
      </c>
      <c r="AOF3" s="1">
        <v>61934</v>
      </c>
      <c r="AOG3" s="1">
        <v>41828</v>
      </c>
      <c r="AOH3" s="1">
        <v>86209</v>
      </c>
      <c r="AOI3" s="1">
        <v>50069</v>
      </c>
      <c r="AOJ3" s="1">
        <v>79712</v>
      </c>
      <c r="AOK3" s="1">
        <v>83620</v>
      </c>
      <c r="AOL3" s="1">
        <v>107714</v>
      </c>
      <c r="AOM3" s="1">
        <v>55457</v>
      </c>
      <c r="AON3" s="1">
        <v>94164</v>
      </c>
      <c r="AOO3" s="1">
        <v>85382</v>
      </c>
      <c r="AOP3" s="1">
        <v>0</v>
      </c>
      <c r="AOQ3" s="1">
        <v>83139</v>
      </c>
      <c r="AOR3" s="1">
        <v>92130</v>
      </c>
      <c r="AOS3" s="1">
        <v>90269</v>
      </c>
      <c r="AOT3" s="1">
        <v>64288</v>
      </c>
      <c r="AOU3" s="1">
        <v>0</v>
      </c>
      <c r="AOV3" s="1">
        <v>84849</v>
      </c>
      <c r="AOW3" s="1">
        <v>0</v>
      </c>
      <c r="AOX3" s="1">
        <v>0</v>
      </c>
      <c r="AOY3" s="1">
        <v>0</v>
      </c>
      <c r="AOZ3" s="1">
        <v>0</v>
      </c>
      <c r="APA3" s="1">
        <v>93093</v>
      </c>
      <c r="APB3" s="1">
        <v>0</v>
      </c>
      <c r="APC3" s="1">
        <v>119296</v>
      </c>
      <c r="APD3" s="1">
        <v>85893</v>
      </c>
      <c r="APE3" s="1">
        <v>115068</v>
      </c>
      <c r="APF3" s="1">
        <v>182614</v>
      </c>
      <c r="APG3" s="1">
        <v>146667</v>
      </c>
      <c r="APH3" s="1">
        <v>58721</v>
      </c>
      <c r="API3" s="1">
        <v>63631</v>
      </c>
      <c r="APJ3" s="1">
        <v>69758</v>
      </c>
      <c r="APK3" s="1">
        <v>70347</v>
      </c>
      <c r="APL3" s="1">
        <v>73661</v>
      </c>
      <c r="APM3" s="1">
        <v>34167</v>
      </c>
      <c r="APN3" s="1">
        <v>63904</v>
      </c>
      <c r="APO3" s="1">
        <v>53750</v>
      </c>
      <c r="APP3" s="1">
        <v>60158</v>
      </c>
      <c r="APQ3" s="1">
        <v>69677</v>
      </c>
      <c r="APR3" s="1">
        <v>83913</v>
      </c>
      <c r="APS3" s="1">
        <v>51667</v>
      </c>
      <c r="APT3" s="1">
        <v>73125</v>
      </c>
      <c r="APU3" s="1">
        <v>65347</v>
      </c>
      <c r="APV3" s="1">
        <v>0</v>
      </c>
      <c r="APW3" s="1">
        <v>0</v>
      </c>
      <c r="APX3" s="1">
        <v>59551</v>
      </c>
      <c r="APY3" s="1">
        <v>65302</v>
      </c>
      <c r="APZ3" s="1">
        <v>0</v>
      </c>
      <c r="AQA3" s="1">
        <v>33646</v>
      </c>
      <c r="AQB3" s="1">
        <v>0</v>
      </c>
      <c r="AQC3" s="1">
        <v>71964</v>
      </c>
      <c r="AQD3" s="1">
        <v>53056</v>
      </c>
      <c r="AQE3" s="1">
        <v>81837</v>
      </c>
      <c r="AQF3" s="1">
        <v>88702</v>
      </c>
      <c r="AQG3" s="1">
        <v>74375</v>
      </c>
      <c r="AQH3" s="1">
        <v>113438</v>
      </c>
      <c r="AQI3" s="1">
        <v>53171</v>
      </c>
      <c r="AQJ3" s="1">
        <v>117668</v>
      </c>
      <c r="AQK3" s="1">
        <v>100359</v>
      </c>
      <c r="AQL3" s="1">
        <v>76094</v>
      </c>
      <c r="AQM3" s="1">
        <v>69792</v>
      </c>
      <c r="AQN3" s="1">
        <v>77014</v>
      </c>
      <c r="AQO3" s="1">
        <v>0</v>
      </c>
      <c r="AQP3" s="1">
        <v>93589</v>
      </c>
      <c r="AQQ3" s="1">
        <v>0</v>
      </c>
      <c r="AQR3" s="1">
        <v>81563</v>
      </c>
      <c r="AQS3" s="1">
        <v>96875</v>
      </c>
      <c r="AQT3" s="1">
        <v>70117</v>
      </c>
      <c r="AQU3" s="1">
        <v>69095</v>
      </c>
      <c r="AQV3" s="1">
        <v>59808</v>
      </c>
      <c r="AQW3" s="1">
        <v>58750</v>
      </c>
      <c r="AQX3" s="1">
        <v>97194</v>
      </c>
      <c r="AQY3" s="1">
        <v>66818</v>
      </c>
      <c r="AQZ3" s="1">
        <v>130804</v>
      </c>
      <c r="ARA3" s="1">
        <v>59274</v>
      </c>
      <c r="ARB3" s="1">
        <v>65952</v>
      </c>
      <c r="ARC3" s="1">
        <v>65417</v>
      </c>
      <c r="ARD3" s="1">
        <v>61708</v>
      </c>
      <c r="ARE3" s="1">
        <v>0</v>
      </c>
      <c r="ARF3" s="1">
        <v>0</v>
      </c>
      <c r="ARG3" s="1">
        <v>111111</v>
      </c>
      <c r="ARH3" s="1">
        <v>0</v>
      </c>
      <c r="ARI3" s="1">
        <v>58464</v>
      </c>
      <c r="ARJ3" s="1">
        <v>0</v>
      </c>
      <c r="ARK3" s="1">
        <v>71983</v>
      </c>
      <c r="ARL3" s="1">
        <v>126174</v>
      </c>
      <c r="ARM3" s="1">
        <v>100917</v>
      </c>
      <c r="ARN3" s="1">
        <v>88512</v>
      </c>
      <c r="ARO3" s="1">
        <v>85608</v>
      </c>
      <c r="ARP3" s="1">
        <v>106588</v>
      </c>
      <c r="ARQ3" s="1">
        <v>132500</v>
      </c>
      <c r="ARR3" s="1">
        <v>68889</v>
      </c>
      <c r="ARS3" s="1">
        <v>76917</v>
      </c>
      <c r="ART3" s="1">
        <v>87778</v>
      </c>
      <c r="ARU3" s="1">
        <v>133125</v>
      </c>
      <c r="ARV3" s="1">
        <v>81932</v>
      </c>
      <c r="ARW3" s="1">
        <v>68333</v>
      </c>
      <c r="ARX3" s="1">
        <v>0</v>
      </c>
      <c r="ARY3" s="1">
        <v>130426</v>
      </c>
      <c r="ARZ3" s="1">
        <v>61505</v>
      </c>
      <c r="ASA3" s="1">
        <v>80938</v>
      </c>
      <c r="ASB3" s="1">
        <v>104750</v>
      </c>
      <c r="ASC3" s="1">
        <v>64514</v>
      </c>
      <c r="ASD3" s="1">
        <v>80385</v>
      </c>
      <c r="ASE3" s="1">
        <v>72500</v>
      </c>
      <c r="ASF3" s="1">
        <v>23958</v>
      </c>
      <c r="ASG3" s="1">
        <v>112862</v>
      </c>
      <c r="ASH3" s="1">
        <v>112578</v>
      </c>
      <c r="ASI3" s="1">
        <v>70167</v>
      </c>
      <c r="ASJ3" s="1">
        <v>116908</v>
      </c>
      <c r="ASK3" s="1">
        <v>102306</v>
      </c>
      <c r="ASL3" s="1">
        <v>104659</v>
      </c>
      <c r="ASM3" s="1">
        <v>105293</v>
      </c>
      <c r="ASN3" s="1">
        <v>164457</v>
      </c>
      <c r="ASO3" s="1">
        <v>0</v>
      </c>
      <c r="ASP3" s="1">
        <v>164727</v>
      </c>
      <c r="ASQ3" s="1">
        <v>91083</v>
      </c>
      <c r="ASR3" s="1">
        <v>101585</v>
      </c>
      <c r="ASS3" s="1">
        <v>208750</v>
      </c>
      <c r="AST3" s="1">
        <v>0</v>
      </c>
      <c r="ASU3" s="1">
        <v>107188</v>
      </c>
      <c r="ASV3" s="1">
        <v>153030</v>
      </c>
      <c r="ASW3" s="1">
        <v>102917</v>
      </c>
      <c r="ASX3" s="1">
        <v>75278</v>
      </c>
      <c r="ASY3" s="1">
        <v>86341</v>
      </c>
      <c r="ASZ3" s="1">
        <v>0</v>
      </c>
      <c r="ATA3" s="1">
        <v>92697</v>
      </c>
      <c r="ATB3" s="1">
        <v>106667</v>
      </c>
      <c r="ATC3" s="1">
        <v>58438</v>
      </c>
      <c r="ATD3" s="1">
        <v>0</v>
      </c>
      <c r="ATE3" s="1">
        <v>230429</v>
      </c>
      <c r="ATF3" s="1">
        <v>59410</v>
      </c>
      <c r="ATG3" s="1">
        <v>80533</v>
      </c>
      <c r="ATH3" s="1">
        <v>0</v>
      </c>
      <c r="ATI3" s="1">
        <v>54188</v>
      </c>
      <c r="ATJ3" s="1">
        <v>179797</v>
      </c>
      <c r="ATK3" s="1">
        <v>134677</v>
      </c>
      <c r="ATL3" s="1">
        <v>91836</v>
      </c>
      <c r="ATM3" s="1">
        <v>98520</v>
      </c>
      <c r="ATN3" s="1">
        <v>110694</v>
      </c>
      <c r="ATO3" s="1">
        <v>0</v>
      </c>
      <c r="ATP3" s="1">
        <v>54821</v>
      </c>
      <c r="ATQ3" s="1">
        <v>44960</v>
      </c>
      <c r="ATR3" s="1">
        <v>148821</v>
      </c>
      <c r="ATS3" s="1">
        <v>184464</v>
      </c>
      <c r="ATT3" s="1">
        <v>154844</v>
      </c>
      <c r="ATU3" s="1">
        <v>152839</v>
      </c>
      <c r="ATV3" s="1">
        <v>171875</v>
      </c>
      <c r="ATW3" s="1">
        <v>111923</v>
      </c>
      <c r="ATX3" s="1">
        <v>136827</v>
      </c>
      <c r="ATY3" s="1">
        <v>110489</v>
      </c>
      <c r="ATZ3" s="1">
        <v>80743</v>
      </c>
      <c r="AUA3" s="1">
        <v>64602</v>
      </c>
      <c r="AUB3" s="1">
        <v>0</v>
      </c>
      <c r="AUC3" s="1">
        <v>89375</v>
      </c>
      <c r="AUD3" s="1">
        <v>96055</v>
      </c>
      <c r="AUE3" s="1">
        <v>141228</v>
      </c>
      <c r="AUF3" s="1">
        <v>88212</v>
      </c>
      <c r="AUG3" s="1">
        <v>93717</v>
      </c>
      <c r="AUH3" s="1">
        <v>0</v>
      </c>
      <c r="AUI3" s="1">
        <v>90460</v>
      </c>
      <c r="AUJ3" s="1">
        <v>128504</v>
      </c>
      <c r="AUK3" s="1">
        <v>223833</v>
      </c>
      <c r="AUL3" s="1">
        <v>83542</v>
      </c>
      <c r="AUM3" s="1">
        <v>185435</v>
      </c>
      <c r="AUN3" s="1">
        <v>125583</v>
      </c>
      <c r="AUO3" s="1">
        <v>67140</v>
      </c>
      <c r="AUP3" s="1">
        <v>68882</v>
      </c>
      <c r="AUQ3" s="1">
        <v>133201</v>
      </c>
      <c r="AUR3" s="1">
        <v>91293</v>
      </c>
      <c r="AUS3" s="1">
        <v>102332</v>
      </c>
      <c r="AUT3" s="1">
        <v>0</v>
      </c>
      <c r="AUU3" s="1">
        <v>53139</v>
      </c>
      <c r="AUV3" s="1">
        <v>51500</v>
      </c>
      <c r="AUW3" s="1">
        <v>51500</v>
      </c>
      <c r="AUX3" s="1">
        <v>87938</v>
      </c>
      <c r="AUY3" s="1">
        <v>63472</v>
      </c>
      <c r="AUZ3" s="1">
        <v>155676</v>
      </c>
      <c r="AVA3" s="1">
        <v>110015</v>
      </c>
      <c r="AVB3" s="1">
        <v>50380</v>
      </c>
      <c r="AVC3" s="1">
        <v>71667</v>
      </c>
      <c r="AVD3" s="1">
        <v>85577</v>
      </c>
      <c r="AVE3" s="1">
        <v>120324</v>
      </c>
      <c r="AVF3" s="1">
        <v>78036</v>
      </c>
      <c r="AVG3" s="1">
        <v>75372</v>
      </c>
      <c r="AVH3" s="1">
        <v>74966</v>
      </c>
      <c r="AVI3" s="1">
        <v>76667</v>
      </c>
      <c r="AVJ3" s="1">
        <v>50847</v>
      </c>
      <c r="AVK3" s="1">
        <v>51710</v>
      </c>
      <c r="AVL3" s="1">
        <v>77946</v>
      </c>
      <c r="AVM3" s="1">
        <v>85714</v>
      </c>
      <c r="AVN3" s="1">
        <v>0</v>
      </c>
      <c r="AVO3" s="1">
        <v>71250</v>
      </c>
      <c r="AVP3" s="1">
        <v>87717</v>
      </c>
      <c r="AVQ3" s="1">
        <v>80398</v>
      </c>
      <c r="AVR3" s="1">
        <v>81420</v>
      </c>
      <c r="AVS3" s="1">
        <v>0</v>
      </c>
      <c r="AVT3" s="1">
        <v>66484</v>
      </c>
      <c r="AVU3" s="1">
        <v>52064</v>
      </c>
      <c r="AVV3" s="1">
        <v>114625</v>
      </c>
      <c r="AVW3" s="1">
        <v>74545</v>
      </c>
      <c r="AVX3" s="1">
        <v>76007</v>
      </c>
      <c r="AVY3" s="1">
        <v>0</v>
      </c>
      <c r="AVZ3" s="1">
        <v>113107</v>
      </c>
      <c r="AWA3" s="1">
        <v>0</v>
      </c>
      <c r="AWB3" s="1">
        <v>77500</v>
      </c>
      <c r="AWC3" s="1">
        <v>84375</v>
      </c>
      <c r="AWD3" s="1">
        <v>100401</v>
      </c>
      <c r="AWE3" s="1">
        <v>65074</v>
      </c>
      <c r="AWF3" s="1">
        <v>95795</v>
      </c>
      <c r="AWG3" s="1">
        <v>57167</v>
      </c>
      <c r="AWH3" s="1">
        <v>97794</v>
      </c>
      <c r="AWI3" s="1">
        <v>104583</v>
      </c>
      <c r="AWJ3" s="1">
        <v>81026</v>
      </c>
      <c r="AWK3" s="1">
        <v>115152</v>
      </c>
      <c r="AWL3" s="1">
        <v>119156</v>
      </c>
      <c r="AWM3" s="1">
        <v>84608</v>
      </c>
      <c r="AWN3" s="1">
        <v>0</v>
      </c>
      <c r="AWO3" s="1">
        <v>94477</v>
      </c>
      <c r="AWP3" s="1">
        <v>85911</v>
      </c>
      <c r="AWQ3" s="1">
        <v>83300</v>
      </c>
      <c r="AWR3" s="1">
        <v>66861</v>
      </c>
      <c r="AWS3" s="1">
        <v>94082</v>
      </c>
      <c r="AWT3" s="1">
        <v>67443</v>
      </c>
      <c r="AWU3" s="1">
        <v>47417</v>
      </c>
      <c r="AWV3" s="1">
        <v>54920</v>
      </c>
      <c r="AWW3" s="1">
        <v>57087</v>
      </c>
      <c r="AWX3" s="1">
        <v>66725</v>
      </c>
      <c r="AWY3" s="1">
        <v>54609</v>
      </c>
      <c r="AWZ3" s="1">
        <v>47590</v>
      </c>
      <c r="AXA3" s="1">
        <v>61736</v>
      </c>
      <c r="AXB3" s="1">
        <v>41645</v>
      </c>
      <c r="AXC3" s="1">
        <v>88418</v>
      </c>
      <c r="AXD3" s="1">
        <v>61395</v>
      </c>
      <c r="AXE3" s="1">
        <v>53075</v>
      </c>
      <c r="AXF3" s="1">
        <v>45865</v>
      </c>
      <c r="AXG3" s="1">
        <v>66166</v>
      </c>
      <c r="AXH3" s="1">
        <v>47213</v>
      </c>
      <c r="AXI3" s="1">
        <v>92365</v>
      </c>
      <c r="AXJ3" s="1">
        <v>68328</v>
      </c>
      <c r="AXK3" s="1">
        <v>104038</v>
      </c>
      <c r="AXL3" s="1">
        <v>75513</v>
      </c>
      <c r="AXM3" s="1">
        <v>70345</v>
      </c>
      <c r="AXN3" s="1">
        <v>49632</v>
      </c>
      <c r="AXO3" s="1">
        <v>79702</v>
      </c>
      <c r="AXP3" s="1">
        <v>59324</v>
      </c>
      <c r="AXQ3" s="1">
        <v>85820</v>
      </c>
      <c r="AXR3" s="1">
        <v>70825</v>
      </c>
      <c r="AXS3" s="1">
        <v>57913</v>
      </c>
      <c r="AXT3" s="1">
        <v>66875</v>
      </c>
      <c r="AXU3" s="1">
        <v>89795</v>
      </c>
      <c r="AXV3" s="1">
        <v>63770</v>
      </c>
      <c r="AXW3" s="1">
        <v>44611</v>
      </c>
      <c r="AXX3" s="1">
        <v>66582</v>
      </c>
      <c r="AXY3" s="1">
        <v>77056</v>
      </c>
      <c r="AXZ3" s="1">
        <v>41580</v>
      </c>
      <c r="AYA3" s="1">
        <v>66091</v>
      </c>
      <c r="AYB3" s="1">
        <v>59897</v>
      </c>
      <c r="AYC3" s="1">
        <v>0</v>
      </c>
      <c r="AYD3" s="1">
        <v>0</v>
      </c>
      <c r="AYE3" s="1">
        <v>63822</v>
      </c>
      <c r="AYF3" s="1">
        <v>55179</v>
      </c>
      <c r="AYG3" s="1">
        <v>0</v>
      </c>
      <c r="AYH3" s="1">
        <v>47506</v>
      </c>
      <c r="AYI3" s="1">
        <v>63577</v>
      </c>
      <c r="AYJ3" s="1">
        <v>68240</v>
      </c>
      <c r="AYK3" s="1">
        <v>60333</v>
      </c>
      <c r="AYL3" s="1">
        <v>43795</v>
      </c>
      <c r="AYM3" s="1">
        <v>80741</v>
      </c>
      <c r="AYN3" s="1">
        <v>0</v>
      </c>
      <c r="AYO3" s="1">
        <v>78482</v>
      </c>
      <c r="AYP3" s="1">
        <v>66669</v>
      </c>
      <c r="AYQ3" s="1">
        <v>50770</v>
      </c>
      <c r="AYR3" s="1">
        <v>47891</v>
      </c>
      <c r="AYS3" s="1">
        <v>57159</v>
      </c>
      <c r="AYT3" s="1">
        <v>71446</v>
      </c>
      <c r="AYU3" s="1">
        <v>101440</v>
      </c>
      <c r="AYV3" s="1">
        <v>61098</v>
      </c>
      <c r="AYW3" s="1">
        <v>38431</v>
      </c>
      <c r="AYX3" s="1">
        <v>88681</v>
      </c>
      <c r="AYY3" s="1">
        <v>70982</v>
      </c>
      <c r="AYZ3" s="1">
        <v>0</v>
      </c>
      <c r="AZA3" s="1">
        <v>61667</v>
      </c>
      <c r="AZB3" s="1">
        <v>81250</v>
      </c>
      <c r="AZC3" s="1">
        <v>37934</v>
      </c>
      <c r="AZD3" s="1">
        <v>62020</v>
      </c>
      <c r="AZE3" s="1">
        <v>0</v>
      </c>
      <c r="AZF3" s="1">
        <v>71875</v>
      </c>
      <c r="AZG3" s="1">
        <v>0</v>
      </c>
      <c r="AZH3" s="1">
        <v>41817</v>
      </c>
      <c r="AZI3" s="1">
        <v>64395</v>
      </c>
      <c r="AZJ3" s="1">
        <v>52637</v>
      </c>
      <c r="AZK3" s="1">
        <v>70929</v>
      </c>
      <c r="AZL3" s="1">
        <v>0</v>
      </c>
      <c r="AZM3" s="1">
        <v>101821</v>
      </c>
      <c r="AZN3" s="1">
        <v>71021</v>
      </c>
      <c r="AZO3" s="1">
        <v>86270</v>
      </c>
      <c r="AZP3" s="1">
        <v>77140</v>
      </c>
      <c r="AZQ3" s="1">
        <v>80739</v>
      </c>
      <c r="AZR3" s="1">
        <v>53081</v>
      </c>
      <c r="AZS3" s="1">
        <v>87500</v>
      </c>
      <c r="AZT3" s="1">
        <v>54468</v>
      </c>
      <c r="AZU3" s="1">
        <v>65446</v>
      </c>
      <c r="AZV3" s="1">
        <v>61488</v>
      </c>
      <c r="AZW3" s="1">
        <v>75433</v>
      </c>
      <c r="AZX3" s="1">
        <v>82116</v>
      </c>
      <c r="AZY3" s="1">
        <v>81875</v>
      </c>
      <c r="AZZ3" s="1">
        <v>53750</v>
      </c>
      <c r="BAA3" s="1">
        <v>57202</v>
      </c>
      <c r="BAB3" s="1">
        <v>149743</v>
      </c>
      <c r="BAC3" s="1">
        <v>35473</v>
      </c>
      <c r="BAD3" s="1">
        <v>100505</v>
      </c>
      <c r="BAE3" s="1">
        <v>77929</v>
      </c>
      <c r="BAF3" s="1">
        <v>0</v>
      </c>
      <c r="BAG3" s="1">
        <v>66166</v>
      </c>
      <c r="BAH3" s="1">
        <v>52699</v>
      </c>
      <c r="BAI3" s="1">
        <v>57266</v>
      </c>
      <c r="BAJ3" s="1">
        <v>55491</v>
      </c>
      <c r="BAK3" s="1">
        <v>50941</v>
      </c>
      <c r="BAL3" s="1">
        <v>66035</v>
      </c>
      <c r="BAM3" s="1">
        <v>60726</v>
      </c>
      <c r="BAN3" s="1">
        <v>73075</v>
      </c>
      <c r="BAO3" s="1">
        <v>0</v>
      </c>
      <c r="BAP3" s="1">
        <v>55938</v>
      </c>
      <c r="BAQ3" s="1">
        <v>113750</v>
      </c>
      <c r="BAR3" s="1">
        <v>97104</v>
      </c>
      <c r="BAS3" s="1">
        <v>62493</v>
      </c>
      <c r="BAT3" s="1">
        <v>69375</v>
      </c>
      <c r="BAU3" s="1">
        <v>66612</v>
      </c>
      <c r="BAV3" s="1">
        <v>0</v>
      </c>
      <c r="BAW3" s="1">
        <v>43409</v>
      </c>
      <c r="BAX3" s="1">
        <v>58156</v>
      </c>
      <c r="BAY3" s="1">
        <v>78779</v>
      </c>
      <c r="BAZ3" s="1">
        <v>128843</v>
      </c>
      <c r="BBA3" s="1">
        <v>60898</v>
      </c>
      <c r="BBB3" s="1">
        <v>70893</v>
      </c>
      <c r="BBC3" s="1">
        <v>62392</v>
      </c>
      <c r="BBD3" s="1">
        <v>0</v>
      </c>
      <c r="BBE3" s="1">
        <v>74891</v>
      </c>
      <c r="BBF3" s="1">
        <v>78517</v>
      </c>
      <c r="BBG3" s="1">
        <v>41361</v>
      </c>
      <c r="BBH3" s="1">
        <v>44524</v>
      </c>
      <c r="BBI3" s="1">
        <v>56722</v>
      </c>
      <c r="BBJ3" s="1">
        <v>46498</v>
      </c>
      <c r="BBK3" s="1">
        <v>56748</v>
      </c>
      <c r="BBL3" s="1">
        <v>59308</v>
      </c>
      <c r="BBM3" s="1">
        <v>89524</v>
      </c>
      <c r="BBN3" s="1">
        <v>57862</v>
      </c>
      <c r="BBO3" s="1">
        <v>84225</v>
      </c>
      <c r="BBP3" s="1">
        <v>0</v>
      </c>
      <c r="BBQ3" s="1">
        <v>0</v>
      </c>
      <c r="BBR3" s="1">
        <v>93841</v>
      </c>
      <c r="BBS3" s="1">
        <v>71217</v>
      </c>
      <c r="BBT3" s="1">
        <v>137088</v>
      </c>
      <c r="BBU3" s="1">
        <v>107173</v>
      </c>
      <c r="BBV3" s="1">
        <v>68376</v>
      </c>
      <c r="BBW3" s="1">
        <v>77629</v>
      </c>
      <c r="BBX3" s="1">
        <v>0</v>
      </c>
      <c r="BBY3" s="1">
        <v>110952</v>
      </c>
      <c r="BBZ3" s="1">
        <v>50750</v>
      </c>
      <c r="BCA3" s="1">
        <v>70886</v>
      </c>
      <c r="BCB3" s="1">
        <v>62737</v>
      </c>
      <c r="BCC3" s="1">
        <v>104072</v>
      </c>
      <c r="BCD3" s="1">
        <v>119458</v>
      </c>
      <c r="BCE3" s="1">
        <v>94167</v>
      </c>
      <c r="BCF3" s="1">
        <v>100788</v>
      </c>
      <c r="BCG3" s="1">
        <v>124821</v>
      </c>
      <c r="BCH3" s="1">
        <v>121242</v>
      </c>
      <c r="BCI3" s="1">
        <v>159414</v>
      </c>
      <c r="BCJ3" s="1">
        <v>84545</v>
      </c>
      <c r="BCK3" s="1">
        <v>57540</v>
      </c>
      <c r="BCL3" s="1">
        <v>74722</v>
      </c>
      <c r="BCM3" s="1">
        <v>122401</v>
      </c>
      <c r="BCN3" s="1">
        <v>76141</v>
      </c>
      <c r="BCO3" s="1">
        <v>68847</v>
      </c>
      <c r="BCP3" s="1">
        <v>105055</v>
      </c>
      <c r="BCQ3" s="1">
        <v>111011</v>
      </c>
      <c r="BCR3" s="1">
        <v>86426</v>
      </c>
      <c r="BCS3" s="1">
        <v>55507</v>
      </c>
      <c r="BCT3" s="1">
        <v>0</v>
      </c>
      <c r="BCU3" s="1">
        <v>0</v>
      </c>
      <c r="BCV3" s="1">
        <v>59950</v>
      </c>
      <c r="BCW3" s="1">
        <v>39491</v>
      </c>
      <c r="BCX3" s="1">
        <v>52345</v>
      </c>
      <c r="BCY3" s="1">
        <v>140121</v>
      </c>
      <c r="BCZ3" s="1">
        <v>125681</v>
      </c>
      <c r="BDA3" s="1">
        <v>74561</v>
      </c>
      <c r="BDB3" s="1">
        <v>56157</v>
      </c>
      <c r="BDC3" s="1">
        <v>63393</v>
      </c>
      <c r="BDD3" s="1">
        <v>85400</v>
      </c>
      <c r="BDE3" s="1">
        <v>61781</v>
      </c>
      <c r="BDF3" s="1">
        <v>63534</v>
      </c>
      <c r="BDG3" s="1">
        <v>77778</v>
      </c>
      <c r="BDH3" s="1">
        <v>27462</v>
      </c>
      <c r="BDI3" s="1">
        <v>51094</v>
      </c>
      <c r="BDJ3" s="1">
        <v>0</v>
      </c>
      <c r="BDK3" s="1">
        <v>65833</v>
      </c>
      <c r="BDL3" s="1">
        <v>63750</v>
      </c>
      <c r="BDM3" s="1">
        <v>117340</v>
      </c>
      <c r="BDN3" s="1">
        <v>168804</v>
      </c>
      <c r="BDO3" s="1">
        <v>39732</v>
      </c>
      <c r="BDP3" s="1">
        <v>59406</v>
      </c>
      <c r="BDQ3" s="1">
        <v>72639</v>
      </c>
      <c r="BDR3" s="1">
        <v>73507</v>
      </c>
      <c r="BDS3" s="1">
        <v>0</v>
      </c>
      <c r="BDT3" s="1">
        <v>129340</v>
      </c>
      <c r="BDU3" s="1">
        <v>96128</v>
      </c>
      <c r="BDV3" s="1">
        <v>44234</v>
      </c>
      <c r="BDW3" s="1">
        <v>65378</v>
      </c>
      <c r="BDX3" s="1">
        <v>62044</v>
      </c>
      <c r="BDY3" s="1">
        <v>56237</v>
      </c>
      <c r="BDZ3" s="1">
        <v>68235</v>
      </c>
      <c r="BEA3" s="1">
        <v>48958</v>
      </c>
      <c r="BEB3" s="1">
        <v>76659</v>
      </c>
      <c r="BEC3" s="1">
        <v>0</v>
      </c>
      <c r="BED3" s="1">
        <v>125607</v>
      </c>
      <c r="BEE3" s="1">
        <v>43878</v>
      </c>
      <c r="BEF3" s="1">
        <v>76710</v>
      </c>
      <c r="BEG3" s="1">
        <v>94564</v>
      </c>
      <c r="BEH3" s="1">
        <v>0</v>
      </c>
      <c r="BEI3" s="1">
        <v>0</v>
      </c>
      <c r="BEJ3" s="1">
        <v>90189</v>
      </c>
      <c r="BEK3" s="1">
        <v>81862</v>
      </c>
      <c r="BEL3" s="1">
        <v>0</v>
      </c>
      <c r="BEM3" s="1">
        <v>70433</v>
      </c>
      <c r="BEN3" s="1">
        <v>87939</v>
      </c>
      <c r="BEO3" s="1">
        <v>72793</v>
      </c>
      <c r="BEP3" s="1">
        <v>63267</v>
      </c>
      <c r="BEQ3" s="1">
        <v>75640</v>
      </c>
      <c r="BER3" s="1">
        <v>95216</v>
      </c>
      <c r="BES3" s="1">
        <v>155433</v>
      </c>
      <c r="BET3" s="1">
        <v>81538</v>
      </c>
      <c r="BEU3" s="1">
        <v>66245</v>
      </c>
      <c r="BEV3" s="1">
        <v>95565</v>
      </c>
      <c r="BEW3" s="1">
        <v>119362</v>
      </c>
      <c r="BEX3" s="1">
        <v>122258</v>
      </c>
      <c r="BEY3" s="1">
        <v>107051</v>
      </c>
      <c r="BEZ3" s="1">
        <v>81534</v>
      </c>
      <c r="BFA3" s="1">
        <v>109991</v>
      </c>
      <c r="BFB3" s="1">
        <v>0</v>
      </c>
      <c r="BFC3" s="1">
        <v>0</v>
      </c>
      <c r="BFD3" s="1">
        <v>66852</v>
      </c>
      <c r="BFE3" s="1">
        <v>86953</v>
      </c>
      <c r="BFF3" s="1">
        <v>62435</v>
      </c>
      <c r="BFG3" s="1">
        <v>71153</v>
      </c>
      <c r="BFH3" s="1">
        <v>72432</v>
      </c>
      <c r="BFI3" s="1">
        <v>0</v>
      </c>
      <c r="BFJ3" s="1">
        <v>0</v>
      </c>
      <c r="BFK3" s="1">
        <v>91190</v>
      </c>
      <c r="BFL3" s="1">
        <v>96900</v>
      </c>
      <c r="BFM3" s="1">
        <v>41696</v>
      </c>
      <c r="BFN3" s="1">
        <v>59647</v>
      </c>
      <c r="BFO3" s="1">
        <v>58837</v>
      </c>
      <c r="BFP3" s="1">
        <v>52040</v>
      </c>
      <c r="BFQ3" s="1">
        <v>44306</v>
      </c>
      <c r="BFR3" s="1">
        <v>67563</v>
      </c>
      <c r="BFS3" s="1">
        <v>86644</v>
      </c>
      <c r="BFT3" s="1">
        <v>71512</v>
      </c>
      <c r="BFU3" s="1">
        <v>47171</v>
      </c>
      <c r="BFV3" s="1">
        <v>51265</v>
      </c>
      <c r="BFW3" s="1">
        <v>47337</v>
      </c>
      <c r="BFX3" s="1">
        <v>76857</v>
      </c>
      <c r="BFY3" s="1">
        <v>0</v>
      </c>
      <c r="BFZ3" s="1">
        <v>31806</v>
      </c>
      <c r="BGA3" s="1">
        <v>69902</v>
      </c>
      <c r="BGB3" s="1">
        <v>55185</v>
      </c>
      <c r="BGC3" s="1">
        <v>38955</v>
      </c>
      <c r="BGD3" s="1">
        <v>53625</v>
      </c>
      <c r="BGE3" s="1">
        <v>91458</v>
      </c>
      <c r="BGF3" s="1">
        <v>61189</v>
      </c>
      <c r="BGG3" s="1">
        <v>33549</v>
      </c>
      <c r="BGH3" s="1">
        <v>45255</v>
      </c>
      <c r="BGI3" s="1">
        <v>43194</v>
      </c>
      <c r="BGJ3" s="1">
        <v>42885</v>
      </c>
      <c r="BGK3" s="1">
        <v>93542</v>
      </c>
      <c r="BGL3" s="1">
        <v>53523</v>
      </c>
      <c r="BGM3" s="1">
        <v>58385</v>
      </c>
      <c r="BGN3" s="1">
        <v>51115</v>
      </c>
      <c r="BGO3" s="1">
        <v>34262</v>
      </c>
      <c r="BGP3" s="1">
        <v>47096</v>
      </c>
      <c r="BGQ3" s="1">
        <v>48081</v>
      </c>
      <c r="BGR3" s="1">
        <v>77768</v>
      </c>
      <c r="BGS3" s="1">
        <v>51818</v>
      </c>
      <c r="BGT3" s="1">
        <v>24596</v>
      </c>
      <c r="BGU3" s="1">
        <v>21058</v>
      </c>
      <c r="BGV3" s="1">
        <v>87500</v>
      </c>
      <c r="BGW3" s="1">
        <v>56726</v>
      </c>
      <c r="BGX3" s="1">
        <v>38058</v>
      </c>
      <c r="BGY3" s="1">
        <v>49021</v>
      </c>
      <c r="BGZ3" s="1">
        <v>44511</v>
      </c>
      <c r="BHA3" s="1">
        <v>32986</v>
      </c>
      <c r="BHB3" s="1">
        <v>45855</v>
      </c>
      <c r="BHC3" s="1">
        <v>65651</v>
      </c>
      <c r="BHD3" s="1">
        <v>61556</v>
      </c>
      <c r="BHE3" s="1">
        <v>58864</v>
      </c>
      <c r="BHF3" s="1">
        <v>49423</v>
      </c>
      <c r="BHG3" s="1">
        <v>47500</v>
      </c>
      <c r="BHH3" s="1">
        <v>66147</v>
      </c>
      <c r="BHI3" s="1">
        <v>60158</v>
      </c>
      <c r="BHJ3" s="1">
        <v>60915</v>
      </c>
      <c r="BHK3" s="1">
        <v>58750</v>
      </c>
      <c r="BHL3" s="1">
        <v>21719</v>
      </c>
      <c r="BHM3" s="1">
        <v>70691</v>
      </c>
      <c r="BHN3" s="1">
        <v>78063</v>
      </c>
      <c r="BHO3" s="1">
        <v>54764</v>
      </c>
      <c r="BHP3" s="1">
        <v>74315</v>
      </c>
      <c r="BHQ3" s="1">
        <v>86429</v>
      </c>
      <c r="BHR3" s="1">
        <v>41819</v>
      </c>
      <c r="BHS3" s="1">
        <v>48994</v>
      </c>
      <c r="BHT3" s="1">
        <v>55067</v>
      </c>
      <c r="BHU3" s="1">
        <v>38375</v>
      </c>
      <c r="BHV3" s="1">
        <v>22500</v>
      </c>
      <c r="BHW3" s="1">
        <v>37500</v>
      </c>
      <c r="BHX3" s="1">
        <v>19796</v>
      </c>
      <c r="BHY3" s="1">
        <v>48696</v>
      </c>
      <c r="BHZ3" s="1">
        <v>0</v>
      </c>
      <c r="BIA3" s="1">
        <v>37801</v>
      </c>
      <c r="BIB3" s="1">
        <v>36875</v>
      </c>
      <c r="BIC3" s="1">
        <v>76903</v>
      </c>
      <c r="BID3" s="1">
        <v>0</v>
      </c>
      <c r="BIE3" s="1">
        <v>55972</v>
      </c>
      <c r="BIF3" s="1">
        <v>56380</v>
      </c>
      <c r="BIG3" s="1">
        <v>62017</v>
      </c>
      <c r="BIH3" s="1">
        <v>58448</v>
      </c>
      <c r="BII3" s="1">
        <v>51180</v>
      </c>
      <c r="BIJ3" s="1">
        <v>42734</v>
      </c>
      <c r="BIK3" s="1">
        <v>52694</v>
      </c>
      <c r="BIL3" s="1">
        <v>31544</v>
      </c>
      <c r="BIM3" s="1">
        <v>65806</v>
      </c>
      <c r="BIN3" s="1">
        <v>46892</v>
      </c>
      <c r="BIO3" s="1">
        <v>40180</v>
      </c>
      <c r="BIP3" s="1">
        <v>67893</v>
      </c>
      <c r="BIQ3" s="1">
        <v>50863</v>
      </c>
      <c r="BIR3" s="1">
        <v>64039</v>
      </c>
      <c r="BIS3" s="1">
        <v>43950</v>
      </c>
      <c r="BIT3" s="1">
        <v>0</v>
      </c>
      <c r="BIU3" s="1">
        <v>76341</v>
      </c>
      <c r="BIV3" s="1">
        <v>0</v>
      </c>
      <c r="BIW3" s="1">
        <v>59070</v>
      </c>
      <c r="BIX3" s="1">
        <v>67054</v>
      </c>
      <c r="BIY3" s="1">
        <v>80727</v>
      </c>
      <c r="BIZ3" s="1">
        <v>36719</v>
      </c>
      <c r="BJA3" s="1">
        <v>68750</v>
      </c>
      <c r="BJB3" s="1">
        <v>57365</v>
      </c>
      <c r="BJC3" s="1">
        <v>41607</v>
      </c>
      <c r="BJD3" s="1">
        <v>57941</v>
      </c>
      <c r="BJE3" s="1">
        <v>104808</v>
      </c>
      <c r="BJF3" s="1">
        <v>61231</v>
      </c>
      <c r="BJG3" s="1">
        <v>122558</v>
      </c>
      <c r="BJH3" s="1">
        <v>54962</v>
      </c>
      <c r="BJI3" s="1">
        <v>83088</v>
      </c>
      <c r="BJJ3" s="1">
        <v>43162</v>
      </c>
      <c r="BJK3" s="1">
        <v>66250</v>
      </c>
      <c r="BJL3" s="1">
        <v>49757</v>
      </c>
      <c r="BJM3" s="1">
        <v>63188</v>
      </c>
      <c r="BJN3" s="1">
        <v>32188</v>
      </c>
      <c r="BJO3" s="1">
        <v>42778</v>
      </c>
      <c r="BJP3" s="1">
        <v>48980</v>
      </c>
      <c r="BJQ3" s="1">
        <v>61911</v>
      </c>
      <c r="BJR3" s="1">
        <v>74485</v>
      </c>
      <c r="BJS3" s="1">
        <v>94145</v>
      </c>
      <c r="BJT3" s="1">
        <v>85319</v>
      </c>
      <c r="BJU3" s="1">
        <v>109443</v>
      </c>
      <c r="BJV3" s="1">
        <v>83125</v>
      </c>
      <c r="BJW3" s="1">
        <v>27489</v>
      </c>
      <c r="BJX3" s="1">
        <v>78291</v>
      </c>
      <c r="BJY3" s="1">
        <v>93594</v>
      </c>
      <c r="BJZ3" s="1">
        <v>37279</v>
      </c>
      <c r="BKA3" s="1">
        <v>109634</v>
      </c>
      <c r="BKB3" s="1">
        <v>87619</v>
      </c>
      <c r="BKC3" s="1">
        <v>0</v>
      </c>
      <c r="BKD3" s="1">
        <v>42342</v>
      </c>
      <c r="BKE3" s="1">
        <v>70380</v>
      </c>
      <c r="BKF3" s="1">
        <v>61864</v>
      </c>
      <c r="BKG3" s="1">
        <v>84338</v>
      </c>
      <c r="BKH3" s="1">
        <v>24617</v>
      </c>
      <c r="BKI3" s="1">
        <v>34066</v>
      </c>
      <c r="BKJ3" s="1">
        <v>0</v>
      </c>
      <c r="BKK3" s="1">
        <v>30556</v>
      </c>
      <c r="BKL3" s="1">
        <v>64405</v>
      </c>
      <c r="BKM3" s="1">
        <v>85086</v>
      </c>
      <c r="BKN3" s="1">
        <v>78396</v>
      </c>
      <c r="BKO3" s="1">
        <v>96835</v>
      </c>
      <c r="BKP3" s="1">
        <v>49625</v>
      </c>
      <c r="BKQ3" s="1">
        <v>54293</v>
      </c>
      <c r="BKR3" s="1">
        <v>73316</v>
      </c>
      <c r="BKS3" s="1">
        <v>73542</v>
      </c>
      <c r="BKT3" s="1">
        <v>0</v>
      </c>
      <c r="BKU3" s="1">
        <v>44228</v>
      </c>
      <c r="BKV3" s="1">
        <v>60114</v>
      </c>
      <c r="BKW3" s="1">
        <v>48235</v>
      </c>
      <c r="BKX3" s="1">
        <v>55610</v>
      </c>
      <c r="BKY3" s="1">
        <v>50117</v>
      </c>
      <c r="BKZ3" s="1">
        <v>52422</v>
      </c>
      <c r="BLA3" s="1">
        <v>43068</v>
      </c>
      <c r="BLB3" s="1">
        <v>81057</v>
      </c>
      <c r="BLC3" s="1">
        <v>52058</v>
      </c>
      <c r="BLD3" s="1">
        <v>0</v>
      </c>
      <c r="BLE3" s="1">
        <v>54432</v>
      </c>
      <c r="BLF3" s="1">
        <v>0</v>
      </c>
      <c r="BLG3" s="1">
        <v>61750</v>
      </c>
      <c r="BLH3" s="1">
        <v>57652</v>
      </c>
      <c r="BLI3" s="1">
        <v>62064</v>
      </c>
      <c r="BLJ3" s="1">
        <v>0</v>
      </c>
      <c r="BLK3" s="1">
        <v>79271</v>
      </c>
      <c r="BLL3" s="1">
        <v>89101</v>
      </c>
      <c r="BLM3" s="1">
        <v>115746</v>
      </c>
      <c r="BLN3" s="1">
        <v>74085</v>
      </c>
      <c r="BLO3" s="1">
        <v>68643</v>
      </c>
      <c r="BLP3" s="1">
        <v>59969</v>
      </c>
      <c r="BLQ3" s="1">
        <v>144920</v>
      </c>
      <c r="BLR3" s="1">
        <v>109779</v>
      </c>
      <c r="BLS3" s="1">
        <v>0</v>
      </c>
      <c r="BLT3" s="1">
        <v>57989</v>
      </c>
      <c r="BLU3" s="1">
        <v>0</v>
      </c>
      <c r="BLV3" s="1">
        <v>0</v>
      </c>
      <c r="BLW3" s="1">
        <v>41746</v>
      </c>
      <c r="BLX3" s="1">
        <v>46015</v>
      </c>
      <c r="BLY3" s="1">
        <v>59524</v>
      </c>
      <c r="BLZ3" s="1">
        <v>90422</v>
      </c>
      <c r="BMA3" s="1">
        <v>82286</v>
      </c>
      <c r="BMB3" s="1">
        <v>56814</v>
      </c>
      <c r="BMC3" s="1">
        <v>55466</v>
      </c>
      <c r="BMD3" s="1">
        <v>0</v>
      </c>
      <c r="BME3" s="1">
        <v>140739</v>
      </c>
      <c r="BMF3" s="1">
        <v>0</v>
      </c>
      <c r="BMG3" s="1">
        <v>30882</v>
      </c>
      <c r="BMH3" s="1">
        <v>120503</v>
      </c>
      <c r="BMI3" s="1">
        <v>97602</v>
      </c>
      <c r="BMJ3" s="1">
        <v>76054</v>
      </c>
      <c r="BMK3" s="1">
        <v>69167</v>
      </c>
      <c r="BML3" s="1">
        <v>60563</v>
      </c>
      <c r="BMM3" s="1">
        <v>56079</v>
      </c>
      <c r="BMN3" s="1">
        <v>56958</v>
      </c>
      <c r="BMO3" s="1">
        <v>76250</v>
      </c>
      <c r="BMP3" s="1">
        <v>52224</v>
      </c>
      <c r="BMQ3" s="1">
        <v>54333</v>
      </c>
      <c r="BMR3" s="1">
        <v>62625</v>
      </c>
      <c r="BMS3" s="1">
        <v>77600</v>
      </c>
      <c r="BMT3" s="1">
        <v>51879</v>
      </c>
      <c r="BMU3" s="1">
        <v>124063</v>
      </c>
      <c r="BMV3" s="1">
        <v>0</v>
      </c>
      <c r="BMW3" s="1">
        <v>75000</v>
      </c>
      <c r="BMX3" s="1">
        <v>129775</v>
      </c>
      <c r="BMY3" s="1">
        <v>104242</v>
      </c>
      <c r="BMZ3" s="1">
        <v>96632</v>
      </c>
      <c r="BNA3" s="1">
        <v>0</v>
      </c>
      <c r="BNB3" s="1">
        <v>28771</v>
      </c>
      <c r="BNC3" s="1">
        <v>81221</v>
      </c>
      <c r="BND3" s="1">
        <v>74853</v>
      </c>
      <c r="BNE3" s="1">
        <v>60439</v>
      </c>
      <c r="BNF3" s="1">
        <v>86724</v>
      </c>
      <c r="BNG3" s="1">
        <v>109310</v>
      </c>
      <c r="BNH3" s="1">
        <v>38444</v>
      </c>
      <c r="BNI3" s="1">
        <v>74809</v>
      </c>
      <c r="BNJ3" s="1">
        <v>76600</v>
      </c>
      <c r="BNK3" s="1">
        <v>83894</v>
      </c>
      <c r="BNL3" s="1">
        <v>78382</v>
      </c>
      <c r="BNM3" s="1">
        <v>59941</v>
      </c>
      <c r="BNN3" s="1">
        <v>73712</v>
      </c>
      <c r="BNO3" s="1">
        <v>55675</v>
      </c>
      <c r="BNP3" s="1">
        <v>82947</v>
      </c>
      <c r="BNQ3" s="1">
        <v>65313</v>
      </c>
      <c r="BNR3" s="1">
        <v>78125</v>
      </c>
      <c r="BNS3" s="1">
        <v>71875</v>
      </c>
      <c r="BNT3" s="1">
        <v>64032</v>
      </c>
      <c r="BNU3" s="1">
        <v>52148</v>
      </c>
      <c r="BNV3" s="1">
        <v>51432</v>
      </c>
      <c r="BNW3" s="1">
        <v>67053</v>
      </c>
      <c r="BNX3" s="1">
        <v>59770</v>
      </c>
      <c r="BNY3" s="1">
        <v>53027</v>
      </c>
      <c r="BNZ3" s="1">
        <v>55926</v>
      </c>
      <c r="BOA3" s="1">
        <v>63396</v>
      </c>
      <c r="BOB3" s="1">
        <v>38625</v>
      </c>
      <c r="BOC3" s="1">
        <v>75483</v>
      </c>
      <c r="BOD3" s="1">
        <v>82661</v>
      </c>
      <c r="BOE3" s="1">
        <v>85107</v>
      </c>
      <c r="BOF3" s="1">
        <v>42419</v>
      </c>
      <c r="BOG3" s="1">
        <v>63396</v>
      </c>
      <c r="BOH3" s="1">
        <v>0</v>
      </c>
      <c r="BOI3" s="1">
        <v>36139</v>
      </c>
      <c r="BOJ3" s="1">
        <v>146196</v>
      </c>
      <c r="BOK3" s="1">
        <v>71115</v>
      </c>
      <c r="BOL3" s="1">
        <v>101711</v>
      </c>
      <c r="BOM3" s="1">
        <v>103860</v>
      </c>
      <c r="BON3" s="1">
        <v>89207</v>
      </c>
      <c r="BOO3" s="1">
        <v>72479</v>
      </c>
      <c r="BOP3" s="1">
        <v>51456</v>
      </c>
      <c r="BOQ3" s="1">
        <v>212348</v>
      </c>
      <c r="BOR3" s="1">
        <v>51339</v>
      </c>
      <c r="BOS3" s="1">
        <v>97762</v>
      </c>
      <c r="BOT3" s="1">
        <v>94145</v>
      </c>
      <c r="BOU3" s="1">
        <v>130221</v>
      </c>
      <c r="BOV3" s="1">
        <v>51530</v>
      </c>
      <c r="BOW3" s="1">
        <v>55612</v>
      </c>
      <c r="BOX3" s="1">
        <v>83618</v>
      </c>
      <c r="BOY3" s="1">
        <v>66065</v>
      </c>
      <c r="BOZ3" s="1">
        <v>64977</v>
      </c>
      <c r="BPA3" s="1">
        <v>60397</v>
      </c>
      <c r="BPB3" s="1">
        <v>0</v>
      </c>
      <c r="BPC3" s="1">
        <v>113203</v>
      </c>
      <c r="BPD3" s="1">
        <v>75322</v>
      </c>
      <c r="BPE3" s="1">
        <v>0</v>
      </c>
      <c r="BPF3" s="1">
        <v>66757</v>
      </c>
      <c r="BPG3" s="1">
        <v>81063</v>
      </c>
      <c r="BPH3" s="1">
        <v>128660</v>
      </c>
      <c r="BPI3" s="1">
        <v>84739</v>
      </c>
      <c r="BPJ3" s="1">
        <v>0</v>
      </c>
      <c r="BPK3" s="1">
        <v>122223</v>
      </c>
      <c r="BPL3" s="1">
        <v>121366</v>
      </c>
      <c r="BPM3" s="1">
        <v>0</v>
      </c>
      <c r="BPN3" s="1">
        <v>0</v>
      </c>
      <c r="BPO3" s="1">
        <v>36955</v>
      </c>
      <c r="BPP3" s="1">
        <v>53261</v>
      </c>
      <c r="BPQ3" s="1">
        <v>57867</v>
      </c>
      <c r="BPR3" s="1">
        <v>70612</v>
      </c>
      <c r="BPS3" s="1">
        <v>63175</v>
      </c>
      <c r="BPT3" s="1">
        <v>51264</v>
      </c>
      <c r="BPU3" s="1">
        <v>0</v>
      </c>
      <c r="BPV3" s="1">
        <v>0</v>
      </c>
      <c r="BPW3" s="1">
        <v>60033</v>
      </c>
      <c r="BPX3" s="1">
        <v>66441</v>
      </c>
      <c r="BPY3" s="1">
        <v>60036</v>
      </c>
      <c r="BPZ3" s="1">
        <v>73079</v>
      </c>
      <c r="BQA3" s="1">
        <v>64984</v>
      </c>
      <c r="BQB3" s="1">
        <v>56889</v>
      </c>
      <c r="BQC3" s="1">
        <v>66538</v>
      </c>
      <c r="BQD3" s="1">
        <v>43828</v>
      </c>
      <c r="BQE3" s="1">
        <v>77197</v>
      </c>
      <c r="BQF3" s="1">
        <v>84850</v>
      </c>
      <c r="BQG3" s="1">
        <v>48137</v>
      </c>
      <c r="BQH3" s="1">
        <v>0</v>
      </c>
      <c r="BQI3" s="1">
        <v>0</v>
      </c>
      <c r="BQJ3" s="1">
        <v>57727</v>
      </c>
      <c r="BQK3" s="1">
        <v>40821</v>
      </c>
      <c r="BQL3" s="1">
        <v>54527</v>
      </c>
      <c r="BQM3" s="1">
        <v>37224</v>
      </c>
      <c r="BQN3" s="1">
        <v>58666</v>
      </c>
      <c r="BQO3" s="1">
        <v>51803</v>
      </c>
      <c r="BQP3" s="1">
        <v>38188</v>
      </c>
      <c r="BQQ3" s="1">
        <v>53611</v>
      </c>
      <c r="BQR3" s="1">
        <v>80833</v>
      </c>
      <c r="BQS3" s="1">
        <v>35000</v>
      </c>
      <c r="BQT3" s="1">
        <v>48729</v>
      </c>
      <c r="BQU3" s="1">
        <v>38472</v>
      </c>
      <c r="BQV3" s="1">
        <v>39414</v>
      </c>
      <c r="BQW3" s="1">
        <v>65213</v>
      </c>
      <c r="BQX3" s="1">
        <v>63903</v>
      </c>
      <c r="BQY3" s="1">
        <v>0</v>
      </c>
      <c r="BQZ3" s="1">
        <v>46218</v>
      </c>
      <c r="BRA3" s="1">
        <v>41635</v>
      </c>
      <c r="BRB3" s="1">
        <v>0</v>
      </c>
      <c r="BRC3" s="1">
        <v>63592</v>
      </c>
      <c r="BRD3" s="1">
        <v>47188</v>
      </c>
      <c r="BRE3" s="1">
        <v>46756</v>
      </c>
      <c r="BRF3" s="1">
        <v>0</v>
      </c>
      <c r="BRG3" s="1">
        <v>46560</v>
      </c>
      <c r="BRH3" s="1">
        <v>33125</v>
      </c>
      <c r="BRI3" s="1">
        <v>44362</v>
      </c>
      <c r="BRJ3" s="1">
        <v>33889</v>
      </c>
      <c r="BRK3" s="1">
        <v>52333</v>
      </c>
      <c r="BRL3" s="1">
        <v>57803</v>
      </c>
      <c r="BRM3" s="1">
        <v>63125</v>
      </c>
      <c r="BRN3" s="1">
        <v>76354</v>
      </c>
      <c r="BRO3" s="1">
        <v>42554</v>
      </c>
      <c r="BRP3" s="1">
        <v>53781</v>
      </c>
      <c r="BRQ3" s="1">
        <v>31860</v>
      </c>
      <c r="BRR3" s="1">
        <v>74375</v>
      </c>
      <c r="BRS3" s="1">
        <v>106746</v>
      </c>
      <c r="BRT3" s="1">
        <v>71705</v>
      </c>
      <c r="BRU3" s="1">
        <v>61793</v>
      </c>
      <c r="BRV3" s="1">
        <v>34892</v>
      </c>
      <c r="BRW3" s="1">
        <v>0</v>
      </c>
      <c r="BRX3" s="1">
        <v>47156</v>
      </c>
      <c r="BRY3" s="1">
        <v>73737</v>
      </c>
      <c r="BRZ3" s="1">
        <v>37373</v>
      </c>
      <c r="BSA3" s="1">
        <v>48045</v>
      </c>
      <c r="BSB3" s="1">
        <v>72500</v>
      </c>
      <c r="BSC3" s="1">
        <v>30286</v>
      </c>
      <c r="BSD3" s="1">
        <v>73587</v>
      </c>
      <c r="BSE3" s="1">
        <v>58750</v>
      </c>
      <c r="BSF3" s="1">
        <v>70227</v>
      </c>
      <c r="BSG3" s="1">
        <v>72019</v>
      </c>
      <c r="BSH3" s="1">
        <v>34494</v>
      </c>
      <c r="BSI3" s="1">
        <v>87407</v>
      </c>
      <c r="BSJ3" s="1">
        <v>80833</v>
      </c>
      <c r="BSK3" s="1">
        <v>56736</v>
      </c>
      <c r="BSL3" s="1">
        <v>45167</v>
      </c>
      <c r="BSM3" s="1">
        <v>45395</v>
      </c>
      <c r="BSN3" s="1">
        <v>52159</v>
      </c>
      <c r="BSO3" s="1">
        <v>50988</v>
      </c>
      <c r="BSP3" s="1">
        <v>67809</v>
      </c>
      <c r="BSQ3" s="1">
        <v>108241</v>
      </c>
      <c r="BSR3" s="1">
        <v>94200</v>
      </c>
      <c r="BSS3" s="1">
        <v>67396</v>
      </c>
      <c r="BST3" s="1">
        <v>51324</v>
      </c>
      <c r="BSU3" s="1">
        <v>56154</v>
      </c>
      <c r="BSV3" s="1">
        <v>67883</v>
      </c>
      <c r="BSW3" s="1">
        <v>45556</v>
      </c>
      <c r="BSX3" s="1">
        <v>48289</v>
      </c>
      <c r="BSY3" s="1">
        <v>65163</v>
      </c>
      <c r="BSZ3" s="1">
        <v>87670</v>
      </c>
      <c r="BTA3" s="1">
        <v>73259</v>
      </c>
      <c r="BTB3" s="1">
        <v>66786</v>
      </c>
      <c r="BTC3" s="1">
        <v>32244</v>
      </c>
      <c r="BTD3" s="1">
        <v>83984</v>
      </c>
      <c r="BTE3" s="1">
        <v>49922</v>
      </c>
      <c r="BTF3" s="1">
        <v>43716</v>
      </c>
      <c r="BTG3" s="1">
        <v>41200</v>
      </c>
      <c r="BTH3" s="1">
        <v>66250</v>
      </c>
      <c r="BTI3" s="1">
        <v>55605</v>
      </c>
      <c r="BTJ3" s="1">
        <v>28875</v>
      </c>
      <c r="BTK3" s="1">
        <v>42656</v>
      </c>
      <c r="BTL3" s="1">
        <v>58141</v>
      </c>
      <c r="BTM3" s="1">
        <v>89392</v>
      </c>
      <c r="BTN3" s="1">
        <v>58051</v>
      </c>
      <c r="BTO3" s="1">
        <v>89250</v>
      </c>
      <c r="BTP3" s="1">
        <v>73273</v>
      </c>
      <c r="BTQ3" s="1">
        <v>51377</v>
      </c>
      <c r="BTR3" s="1">
        <v>106518</v>
      </c>
      <c r="BTS3" s="1">
        <v>74917</v>
      </c>
      <c r="BTT3" s="1">
        <v>77380</v>
      </c>
      <c r="BTU3" s="1">
        <v>0</v>
      </c>
      <c r="BTV3" s="1">
        <v>50451</v>
      </c>
      <c r="BTW3" s="1">
        <v>68889</v>
      </c>
      <c r="BTX3" s="1">
        <v>52805</v>
      </c>
      <c r="BTY3" s="1">
        <v>48164</v>
      </c>
      <c r="BTZ3" s="1">
        <v>66860</v>
      </c>
      <c r="BUA3" s="1">
        <v>37128</v>
      </c>
      <c r="BUB3" s="1">
        <v>86180</v>
      </c>
      <c r="BUC3" s="1">
        <v>79681</v>
      </c>
      <c r="BUD3" s="1">
        <v>58545</v>
      </c>
      <c r="BUE3" s="1">
        <v>38671</v>
      </c>
      <c r="BUF3" s="1">
        <v>50250</v>
      </c>
      <c r="BUG3" s="1">
        <v>83739</v>
      </c>
      <c r="BUH3" s="1">
        <v>61906</v>
      </c>
      <c r="BUI3" s="1">
        <v>72840</v>
      </c>
      <c r="BUJ3" s="1">
        <v>84934</v>
      </c>
      <c r="BUK3" s="1">
        <v>87285</v>
      </c>
      <c r="BUL3" s="1">
        <v>68043</v>
      </c>
      <c r="BUM3" s="1">
        <v>48963</v>
      </c>
      <c r="BUN3" s="1">
        <v>64830</v>
      </c>
      <c r="BUO3" s="1">
        <v>77708</v>
      </c>
      <c r="BUP3" s="1">
        <v>165682</v>
      </c>
      <c r="BUQ3" s="1">
        <v>33823</v>
      </c>
      <c r="BUR3" s="1">
        <v>50650</v>
      </c>
      <c r="BUS3" s="1">
        <v>38417</v>
      </c>
      <c r="BUT3" s="1">
        <v>0</v>
      </c>
      <c r="BUU3" s="1">
        <v>62917</v>
      </c>
      <c r="BUV3" s="1">
        <v>56328</v>
      </c>
      <c r="BUW3" s="1">
        <v>80375</v>
      </c>
      <c r="BUX3" s="1">
        <v>54534</v>
      </c>
      <c r="BUY3" s="1">
        <v>31857</v>
      </c>
      <c r="BUZ3" s="1">
        <v>63257</v>
      </c>
      <c r="BVA3" s="1">
        <v>54500</v>
      </c>
      <c r="BVB3" s="1">
        <v>36012</v>
      </c>
      <c r="BVC3" s="1">
        <v>64875</v>
      </c>
      <c r="BVD3" s="1">
        <v>50437</v>
      </c>
      <c r="BVE3" s="1">
        <v>45283</v>
      </c>
      <c r="BVF3" s="1">
        <v>71083</v>
      </c>
      <c r="BVG3" s="1">
        <v>53750</v>
      </c>
      <c r="BVH3" s="1">
        <v>48929</v>
      </c>
      <c r="BVI3" s="1">
        <v>63375</v>
      </c>
      <c r="BVJ3" s="1">
        <v>71292</v>
      </c>
      <c r="BVK3" s="1">
        <v>67077</v>
      </c>
      <c r="BVL3" s="1">
        <v>39233</v>
      </c>
      <c r="BVM3" s="1">
        <v>58750</v>
      </c>
      <c r="BVN3" s="1">
        <v>65772</v>
      </c>
      <c r="BVO3" s="1">
        <v>0</v>
      </c>
      <c r="BVP3" s="1">
        <v>0</v>
      </c>
      <c r="BVQ3" s="1">
        <v>54773</v>
      </c>
      <c r="BVR3" s="1">
        <v>61280</v>
      </c>
      <c r="BVS3" s="1">
        <v>61462</v>
      </c>
      <c r="BVT3" s="1">
        <v>112981</v>
      </c>
      <c r="BVU3" s="1">
        <v>43680</v>
      </c>
      <c r="BVV3" s="1">
        <v>49449</v>
      </c>
      <c r="BVW3" s="1">
        <v>60552</v>
      </c>
      <c r="BVX3" s="1">
        <v>67981</v>
      </c>
      <c r="BVY3" s="1">
        <v>52449</v>
      </c>
      <c r="BVZ3" s="1">
        <v>60625</v>
      </c>
      <c r="BWA3" s="1">
        <v>85875</v>
      </c>
      <c r="BWB3" s="1">
        <v>70000</v>
      </c>
      <c r="BWC3" s="1">
        <v>71250</v>
      </c>
      <c r="BWD3" s="1">
        <v>65804</v>
      </c>
      <c r="BWE3" s="1">
        <v>67753</v>
      </c>
      <c r="BWF3" s="1">
        <v>62142</v>
      </c>
      <c r="BWG3" s="1">
        <v>74620</v>
      </c>
      <c r="BWH3" s="1">
        <v>69018</v>
      </c>
      <c r="BWI3" s="1">
        <v>67961</v>
      </c>
      <c r="BWJ3" s="1">
        <v>57740</v>
      </c>
      <c r="BWK3" s="1">
        <v>57188</v>
      </c>
      <c r="BWL3" s="1">
        <v>66555</v>
      </c>
      <c r="BWM3" s="1">
        <v>130625</v>
      </c>
      <c r="BWN3" s="1">
        <v>88250</v>
      </c>
      <c r="BWO3" s="1">
        <v>55966</v>
      </c>
      <c r="BWP3" s="1">
        <v>100139</v>
      </c>
      <c r="BWQ3" s="1">
        <v>46310</v>
      </c>
      <c r="BWR3" s="1">
        <v>0</v>
      </c>
      <c r="BWS3" s="1">
        <v>74867</v>
      </c>
      <c r="BWT3" s="1">
        <v>81574</v>
      </c>
      <c r="BWU3" s="1">
        <v>62330</v>
      </c>
      <c r="BWV3" s="1">
        <v>46486</v>
      </c>
      <c r="BWW3" s="1">
        <v>31250</v>
      </c>
      <c r="BWX3" s="1">
        <v>0</v>
      </c>
      <c r="BWY3" s="1">
        <v>83318</v>
      </c>
      <c r="BWZ3" s="1">
        <v>89432</v>
      </c>
      <c r="BXA3" s="1">
        <v>67839</v>
      </c>
      <c r="BXB3" s="1">
        <v>56031</v>
      </c>
      <c r="BXC3" s="1">
        <v>64052</v>
      </c>
      <c r="BXD3" s="1">
        <v>74865</v>
      </c>
      <c r="BXE3" s="1">
        <v>51009</v>
      </c>
      <c r="BXF3" s="1">
        <v>44132</v>
      </c>
      <c r="BXG3" s="1">
        <v>81756</v>
      </c>
      <c r="BXH3" s="1">
        <v>62309</v>
      </c>
      <c r="BXI3" s="1">
        <v>0</v>
      </c>
      <c r="BXJ3" s="1">
        <v>56007</v>
      </c>
      <c r="BXK3" s="1">
        <v>55690</v>
      </c>
      <c r="BXL3" s="1">
        <v>46888</v>
      </c>
      <c r="BXM3" s="1">
        <v>107292</v>
      </c>
      <c r="BXN3" s="1">
        <v>56667</v>
      </c>
      <c r="BXO3" s="1">
        <v>62667</v>
      </c>
      <c r="BXP3" s="1">
        <v>40000</v>
      </c>
      <c r="BXQ3" s="1">
        <v>54481</v>
      </c>
      <c r="BXR3" s="1">
        <v>45169</v>
      </c>
      <c r="BXS3" s="1">
        <v>45114</v>
      </c>
      <c r="BXT3" s="1">
        <v>36345</v>
      </c>
      <c r="BXU3" s="1">
        <v>64657</v>
      </c>
      <c r="BXV3" s="1">
        <v>71186</v>
      </c>
      <c r="BXW3" s="1">
        <v>42938</v>
      </c>
      <c r="BXX3" s="1">
        <v>0</v>
      </c>
      <c r="BXY3" s="1">
        <v>0</v>
      </c>
      <c r="BXZ3" s="1">
        <v>65713</v>
      </c>
      <c r="BYA3" s="1">
        <v>28798</v>
      </c>
      <c r="BYB3" s="1">
        <v>70375</v>
      </c>
      <c r="BYC3" s="1">
        <v>44540</v>
      </c>
      <c r="BYD3" s="1">
        <v>67917</v>
      </c>
      <c r="BYE3" s="1">
        <v>58190</v>
      </c>
      <c r="BYF3" s="1">
        <v>58914</v>
      </c>
      <c r="BYG3" s="1">
        <v>50946</v>
      </c>
      <c r="BYH3" s="1">
        <v>0</v>
      </c>
      <c r="BYI3" s="1">
        <v>45781</v>
      </c>
      <c r="BYJ3" s="1">
        <v>48464</v>
      </c>
      <c r="BYK3" s="1">
        <v>33897</v>
      </c>
      <c r="BYL3" s="1">
        <v>50529</v>
      </c>
      <c r="BYM3" s="1">
        <v>73868</v>
      </c>
      <c r="BYN3" s="1">
        <v>43391</v>
      </c>
      <c r="BYO3" s="1">
        <v>71784</v>
      </c>
      <c r="BYP3" s="1">
        <v>57232</v>
      </c>
      <c r="BYQ3" s="1">
        <v>0</v>
      </c>
      <c r="BYR3" s="1">
        <v>0</v>
      </c>
      <c r="BYS3" s="1">
        <v>53486</v>
      </c>
      <c r="BYT3" s="1">
        <v>53464</v>
      </c>
      <c r="BYU3" s="1">
        <v>56371</v>
      </c>
      <c r="BYV3" s="1">
        <v>67805</v>
      </c>
      <c r="BYW3" s="1">
        <v>49578</v>
      </c>
      <c r="BYX3" s="1">
        <v>74403</v>
      </c>
      <c r="BYY3" s="1">
        <v>0</v>
      </c>
      <c r="BYZ3" s="1">
        <v>0</v>
      </c>
      <c r="BZA3" s="1">
        <v>0</v>
      </c>
      <c r="BZB3" s="1">
        <v>42347</v>
      </c>
      <c r="BZC3" s="1">
        <v>0</v>
      </c>
      <c r="BZD3" s="1">
        <v>0</v>
      </c>
      <c r="BZE3" s="1">
        <v>0</v>
      </c>
      <c r="BZF3" s="1">
        <v>51802</v>
      </c>
      <c r="BZG3" s="1">
        <v>47266</v>
      </c>
      <c r="BZH3" s="1">
        <v>70690</v>
      </c>
      <c r="BZI3" s="1">
        <v>0</v>
      </c>
      <c r="BZJ3" s="1">
        <v>99036</v>
      </c>
      <c r="BZK3" s="1">
        <v>44137</v>
      </c>
      <c r="BZL3" s="1">
        <v>57692</v>
      </c>
      <c r="BZM3" s="1">
        <v>59081</v>
      </c>
      <c r="BZN3" s="1">
        <v>70940</v>
      </c>
      <c r="BZO3" s="1">
        <v>64833</v>
      </c>
      <c r="BZP3" s="1">
        <v>61343</v>
      </c>
      <c r="BZQ3" s="1">
        <v>96949</v>
      </c>
      <c r="BZR3" s="1">
        <v>46268</v>
      </c>
      <c r="BZS3" s="1">
        <v>66123</v>
      </c>
      <c r="BZT3" s="1">
        <v>45029</v>
      </c>
      <c r="BZU3" s="1">
        <v>67643</v>
      </c>
      <c r="BZV3" s="1">
        <v>67974</v>
      </c>
      <c r="BZW3" s="1">
        <v>48750</v>
      </c>
      <c r="BZX3" s="1">
        <v>55764</v>
      </c>
      <c r="BZY3" s="1">
        <v>48135</v>
      </c>
      <c r="BZZ3" s="1">
        <v>55217</v>
      </c>
      <c r="CAA3" s="1">
        <v>56506</v>
      </c>
      <c r="CAB3" s="1">
        <v>92047</v>
      </c>
      <c r="CAC3" s="1">
        <v>36995</v>
      </c>
      <c r="CAD3" s="1">
        <v>79088</v>
      </c>
      <c r="CAE3" s="1">
        <v>54350</v>
      </c>
      <c r="CAF3" s="1">
        <v>44813</v>
      </c>
      <c r="CAG3" s="1">
        <v>0</v>
      </c>
      <c r="CAH3" s="1">
        <v>75441</v>
      </c>
      <c r="CAI3" s="1">
        <v>0</v>
      </c>
      <c r="CAJ3" s="1">
        <v>69177</v>
      </c>
      <c r="CAK3" s="1">
        <v>61560</v>
      </c>
      <c r="CAL3" s="1">
        <v>56368</v>
      </c>
      <c r="CAM3" s="1">
        <v>56551</v>
      </c>
      <c r="CAN3" s="1">
        <v>70950</v>
      </c>
      <c r="CAO3" s="1">
        <v>60008</v>
      </c>
      <c r="CAP3" s="1">
        <v>73065</v>
      </c>
      <c r="CAQ3" s="1">
        <v>71074</v>
      </c>
      <c r="CAR3" s="1">
        <v>52221</v>
      </c>
      <c r="CAS3" s="1">
        <v>0</v>
      </c>
      <c r="CAT3" s="1">
        <v>67323</v>
      </c>
      <c r="CAU3" s="1">
        <v>60774</v>
      </c>
      <c r="CAV3" s="1">
        <v>43539</v>
      </c>
      <c r="CAW3" s="1">
        <v>0</v>
      </c>
      <c r="CAX3" s="1">
        <v>56638</v>
      </c>
      <c r="CAY3" s="1">
        <v>81326</v>
      </c>
      <c r="CAZ3" s="1">
        <v>91544</v>
      </c>
      <c r="CBA3" s="1">
        <v>65882</v>
      </c>
      <c r="CBB3" s="1">
        <v>79451</v>
      </c>
      <c r="CBC3" s="1">
        <v>147738</v>
      </c>
      <c r="CBD3" s="1">
        <v>50221</v>
      </c>
      <c r="CBE3" s="1">
        <v>0</v>
      </c>
      <c r="CBF3" s="1">
        <v>67483</v>
      </c>
      <c r="CBG3" s="1">
        <v>70464</v>
      </c>
      <c r="CBH3" s="1">
        <v>41912</v>
      </c>
      <c r="CBI3" s="1">
        <v>68874</v>
      </c>
      <c r="CBJ3" s="1">
        <v>97292</v>
      </c>
      <c r="CBK3" s="1">
        <v>47266</v>
      </c>
      <c r="CBL3" s="1">
        <v>115081</v>
      </c>
      <c r="CBM3" s="1">
        <v>65703</v>
      </c>
      <c r="CBN3" s="1">
        <v>60405</v>
      </c>
      <c r="CBO3" s="1">
        <v>65269</v>
      </c>
      <c r="CBP3" s="1">
        <v>0</v>
      </c>
      <c r="CBQ3" s="1">
        <v>66393</v>
      </c>
      <c r="CBR3" s="1">
        <v>55036</v>
      </c>
      <c r="CBS3" s="1">
        <v>56172</v>
      </c>
      <c r="CBT3" s="1">
        <v>68750</v>
      </c>
      <c r="CBU3" s="1">
        <v>0</v>
      </c>
      <c r="CBV3" s="1">
        <v>54112</v>
      </c>
      <c r="CBW3" s="1">
        <v>0</v>
      </c>
      <c r="CBX3" s="1">
        <v>0</v>
      </c>
      <c r="CBY3" s="1">
        <v>88984</v>
      </c>
      <c r="CBZ3" s="1">
        <v>68152</v>
      </c>
      <c r="CCA3" s="1">
        <v>52269</v>
      </c>
      <c r="CCB3" s="1">
        <v>64836</v>
      </c>
      <c r="CCC3" s="1">
        <v>59844</v>
      </c>
      <c r="CCD3" s="1">
        <v>72567</v>
      </c>
      <c r="CCE3" s="1">
        <v>0</v>
      </c>
      <c r="CCF3" s="1">
        <v>48570</v>
      </c>
      <c r="CCG3" s="1">
        <v>76165</v>
      </c>
      <c r="CCH3" s="1">
        <v>80625</v>
      </c>
      <c r="CCI3" s="1">
        <v>119183</v>
      </c>
      <c r="CCJ3" s="1">
        <v>51497</v>
      </c>
      <c r="CCK3" s="1">
        <v>62399</v>
      </c>
      <c r="CCL3" s="1">
        <v>72717</v>
      </c>
      <c r="CCM3" s="1">
        <v>54407</v>
      </c>
      <c r="CCN3" s="1">
        <v>50577</v>
      </c>
      <c r="CCO3" s="1">
        <v>61731</v>
      </c>
      <c r="CCP3" s="1">
        <v>49703</v>
      </c>
      <c r="CCQ3" s="1">
        <v>63750</v>
      </c>
      <c r="CCR3" s="1">
        <v>56047</v>
      </c>
      <c r="CCS3" s="1">
        <v>75051</v>
      </c>
      <c r="CCT3" s="1">
        <v>78125</v>
      </c>
      <c r="CCU3" s="1">
        <v>46026</v>
      </c>
      <c r="CCV3" s="1">
        <v>98115</v>
      </c>
      <c r="CCW3" s="1">
        <v>78179</v>
      </c>
      <c r="CCX3" s="1">
        <v>55066</v>
      </c>
      <c r="CCY3" s="1">
        <v>51125</v>
      </c>
      <c r="CCZ3" s="1">
        <v>70638</v>
      </c>
      <c r="CDA3" s="1">
        <v>79709</v>
      </c>
      <c r="CDB3" s="1">
        <v>67104</v>
      </c>
      <c r="CDC3" s="1">
        <v>59925</v>
      </c>
      <c r="CDD3" s="1">
        <v>39299</v>
      </c>
      <c r="CDE3" s="1">
        <v>65769</v>
      </c>
      <c r="CDF3" s="1">
        <v>53785</v>
      </c>
      <c r="CDG3" s="1">
        <v>54310</v>
      </c>
      <c r="CDH3" s="1">
        <v>52669</v>
      </c>
      <c r="CDI3" s="1">
        <v>87604</v>
      </c>
      <c r="CDJ3" s="1">
        <v>202775</v>
      </c>
      <c r="CDK3" s="1">
        <v>105529</v>
      </c>
      <c r="CDL3" s="1">
        <v>88966</v>
      </c>
      <c r="CDM3" s="1">
        <v>120397</v>
      </c>
      <c r="CDN3" s="1">
        <v>109785</v>
      </c>
      <c r="CDO3" s="1">
        <v>191108</v>
      </c>
      <c r="CDP3" s="1">
        <v>142500</v>
      </c>
      <c r="CDQ3" s="1">
        <v>148063</v>
      </c>
      <c r="CDR3" s="1">
        <v>137625</v>
      </c>
      <c r="CDS3" s="1">
        <v>149844</v>
      </c>
      <c r="CDT3" s="1">
        <v>133024</v>
      </c>
      <c r="CDU3" s="1">
        <v>218942</v>
      </c>
      <c r="CDV3" s="1">
        <v>0</v>
      </c>
      <c r="CDW3" s="1">
        <v>90688</v>
      </c>
      <c r="CDX3" s="1">
        <v>180663</v>
      </c>
      <c r="CDY3" s="1">
        <v>110800</v>
      </c>
      <c r="CDZ3" s="1">
        <v>178098</v>
      </c>
      <c r="CEA3" s="1">
        <v>147456</v>
      </c>
      <c r="CEB3" s="1">
        <v>181912</v>
      </c>
      <c r="CEC3" s="1">
        <v>178125</v>
      </c>
      <c r="CED3" s="1">
        <v>171429</v>
      </c>
      <c r="CEE3" s="1">
        <v>161356</v>
      </c>
      <c r="CEF3" s="1">
        <v>233502</v>
      </c>
      <c r="CEG3" s="1">
        <v>143422</v>
      </c>
      <c r="CEH3" s="1">
        <v>191392</v>
      </c>
      <c r="CEI3" s="1">
        <v>154531</v>
      </c>
      <c r="CEJ3" s="1">
        <v>206375</v>
      </c>
      <c r="CEK3" s="1">
        <v>132067</v>
      </c>
      <c r="CEL3" s="1">
        <v>185594</v>
      </c>
      <c r="CEM3" s="1">
        <v>135246</v>
      </c>
      <c r="CEN3" s="1">
        <v>198317</v>
      </c>
      <c r="CEO3" s="1">
        <v>157875</v>
      </c>
      <c r="CEP3" s="1">
        <v>166154</v>
      </c>
      <c r="CEQ3" s="1">
        <v>168035</v>
      </c>
      <c r="CER3" s="1">
        <v>166870</v>
      </c>
      <c r="CES3" s="1">
        <v>162955</v>
      </c>
      <c r="CET3" s="1">
        <v>162986</v>
      </c>
      <c r="CEU3" s="1">
        <v>50833</v>
      </c>
      <c r="CEV3" s="1">
        <v>100813</v>
      </c>
      <c r="CEW3" s="1">
        <v>166113</v>
      </c>
      <c r="CEX3" s="1">
        <v>126928</v>
      </c>
      <c r="CEY3" s="1">
        <v>141019</v>
      </c>
      <c r="CEZ3" s="1">
        <v>166423</v>
      </c>
      <c r="CFA3" s="1">
        <v>233777</v>
      </c>
      <c r="CFB3" s="1">
        <v>81950</v>
      </c>
      <c r="CFC3" s="1">
        <v>134109</v>
      </c>
      <c r="CFD3" s="1">
        <v>166016</v>
      </c>
      <c r="CFE3" s="1">
        <v>135957</v>
      </c>
      <c r="CFF3" s="1">
        <v>114512</v>
      </c>
      <c r="CFG3" s="1">
        <v>0</v>
      </c>
      <c r="CFH3" s="1">
        <v>139885</v>
      </c>
      <c r="CFI3" s="1">
        <v>129743</v>
      </c>
      <c r="CFJ3" s="1">
        <v>175913</v>
      </c>
      <c r="CFK3" s="1">
        <v>134532</v>
      </c>
      <c r="CFL3" s="1">
        <v>0</v>
      </c>
      <c r="CFM3" s="1">
        <v>0</v>
      </c>
      <c r="CFN3" s="1">
        <v>91075</v>
      </c>
      <c r="CFO3" s="1">
        <v>135578</v>
      </c>
      <c r="CFP3" s="1">
        <v>143836</v>
      </c>
      <c r="CFQ3" s="1">
        <v>100129</v>
      </c>
      <c r="CFR3" s="1">
        <v>175446</v>
      </c>
      <c r="CFS3" s="1">
        <v>102162</v>
      </c>
      <c r="CFT3" s="1">
        <v>0</v>
      </c>
      <c r="CFU3" s="1">
        <v>140817</v>
      </c>
      <c r="CFV3" s="1">
        <v>0</v>
      </c>
      <c r="CFW3" s="1">
        <v>153816</v>
      </c>
      <c r="CFX3" s="1">
        <v>216712</v>
      </c>
      <c r="CFY3" s="1">
        <v>166250</v>
      </c>
      <c r="CFZ3" s="1">
        <v>67965</v>
      </c>
      <c r="CGA3" s="1">
        <v>120406</v>
      </c>
      <c r="CGB3" s="1">
        <v>160187</v>
      </c>
      <c r="CGC3" s="1">
        <v>159557</v>
      </c>
      <c r="CGD3" s="1">
        <v>169638</v>
      </c>
      <c r="CGE3" s="1">
        <v>113043</v>
      </c>
      <c r="CGF3" s="1">
        <v>181467</v>
      </c>
      <c r="CGG3" s="1">
        <v>212156</v>
      </c>
      <c r="CGH3" s="1">
        <v>200038</v>
      </c>
      <c r="CGI3" s="1">
        <v>107993</v>
      </c>
      <c r="CGJ3" s="1">
        <v>122005</v>
      </c>
      <c r="CGK3" s="1">
        <v>119273</v>
      </c>
      <c r="CGL3" s="1">
        <v>141736</v>
      </c>
      <c r="CGM3" s="1">
        <v>141933</v>
      </c>
      <c r="CGN3" s="1">
        <v>132402</v>
      </c>
      <c r="CGO3" s="1">
        <v>109277</v>
      </c>
      <c r="CGP3" s="1">
        <v>192951</v>
      </c>
      <c r="CGQ3" s="1">
        <v>136472</v>
      </c>
      <c r="CGR3" s="1">
        <v>237126</v>
      </c>
      <c r="CGS3" s="1">
        <v>110824</v>
      </c>
      <c r="CGT3" s="1">
        <v>234250</v>
      </c>
      <c r="CGU3" s="1">
        <v>169201</v>
      </c>
      <c r="CGV3" s="1">
        <v>0</v>
      </c>
      <c r="CGW3" s="1">
        <v>188211</v>
      </c>
      <c r="CGX3" s="1">
        <v>127037</v>
      </c>
      <c r="CGY3" s="1">
        <v>103822</v>
      </c>
      <c r="CGZ3" s="1">
        <v>97629</v>
      </c>
      <c r="CHA3" s="1">
        <v>109124</v>
      </c>
      <c r="CHB3" s="1">
        <v>95026</v>
      </c>
      <c r="CHC3" s="1">
        <v>140559</v>
      </c>
      <c r="CHD3" s="1">
        <v>204177</v>
      </c>
      <c r="CHE3" s="1">
        <v>101556</v>
      </c>
      <c r="CHF3" s="1">
        <v>160872</v>
      </c>
      <c r="CHG3" s="1">
        <v>84759</v>
      </c>
      <c r="CHH3" s="1">
        <v>105044</v>
      </c>
      <c r="CHI3" s="1">
        <v>144359</v>
      </c>
      <c r="CHJ3" s="1">
        <v>156230</v>
      </c>
      <c r="CHK3" s="1">
        <v>85432</v>
      </c>
      <c r="CHL3" s="1">
        <v>128315</v>
      </c>
      <c r="CHM3" s="1">
        <v>124357</v>
      </c>
      <c r="CHN3" s="1">
        <v>105218</v>
      </c>
      <c r="CHO3" s="1">
        <v>114598</v>
      </c>
      <c r="CHP3" s="1">
        <v>76635</v>
      </c>
      <c r="CHQ3" s="1">
        <v>64091</v>
      </c>
      <c r="CHR3" s="1">
        <v>76156</v>
      </c>
      <c r="CHS3" s="1">
        <v>63000</v>
      </c>
      <c r="CHT3" s="1">
        <v>60833</v>
      </c>
      <c r="CHU3" s="1">
        <v>101528</v>
      </c>
      <c r="CHV3" s="1">
        <v>113125</v>
      </c>
      <c r="CHW3" s="1">
        <v>57366</v>
      </c>
      <c r="CHX3" s="1">
        <v>99375</v>
      </c>
      <c r="CHY3" s="1">
        <v>48377</v>
      </c>
      <c r="CHZ3" s="1">
        <v>63845</v>
      </c>
      <c r="CIA3" s="1">
        <v>70159</v>
      </c>
      <c r="CIB3" s="1">
        <v>0</v>
      </c>
      <c r="CIC3" s="1">
        <v>70260</v>
      </c>
      <c r="CID3" s="1">
        <v>51538</v>
      </c>
      <c r="CIE3" s="1">
        <v>86563</v>
      </c>
      <c r="CIF3" s="1">
        <v>49733</v>
      </c>
      <c r="CIG3" s="1">
        <v>110657</v>
      </c>
      <c r="CIH3" s="1">
        <v>0</v>
      </c>
      <c r="CII3" s="1">
        <v>70993</v>
      </c>
      <c r="CIJ3" s="1">
        <v>0</v>
      </c>
      <c r="CIK3" s="1">
        <v>113733</v>
      </c>
      <c r="CIL3" s="1">
        <v>28598</v>
      </c>
      <c r="CIM3" s="1">
        <v>79688</v>
      </c>
      <c r="CIN3" s="1">
        <v>74063</v>
      </c>
      <c r="CIO3" s="1">
        <v>69063</v>
      </c>
      <c r="CIP3" s="1">
        <v>80833</v>
      </c>
      <c r="CIQ3" s="1">
        <v>105625</v>
      </c>
      <c r="CIR3" s="1">
        <v>119135</v>
      </c>
      <c r="CIS3" s="1">
        <v>0</v>
      </c>
      <c r="CIT3" s="1">
        <v>88984</v>
      </c>
      <c r="CIU3" s="1">
        <v>89944</v>
      </c>
      <c r="CIV3" s="1">
        <v>89097</v>
      </c>
      <c r="CIW3" s="1">
        <v>0</v>
      </c>
      <c r="CIX3" s="1">
        <v>106497</v>
      </c>
      <c r="CIY3" s="1">
        <v>131416</v>
      </c>
      <c r="CIZ3" s="1">
        <v>148268</v>
      </c>
      <c r="CJA3" s="1">
        <v>127713</v>
      </c>
      <c r="CJB3" s="1">
        <v>65357</v>
      </c>
      <c r="CJC3" s="1">
        <v>99000</v>
      </c>
      <c r="CJD3" s="1">
        <v>61294</v>
      </c>
      <c r="CJE3" s="1">
        <v>96250</v>
      </c>
      <c r="CJF3" s="1">
        <v>80938</v>
      </c>
      <c r="CJG3" s="1">
        <v>91328</v>
      </c>
      <c r="CJH3" s="1">
        <v>66542</v>
      </c>
      <c r="CJI3" s="1">
        <v>99534</v>
      </c>
      <c r="CJJ3" s="1">
        <v>79260</v>
      </c>
      <c r="CJK3" s="1">
        <v>78065</v>
      </c>
      <c r="CJL3" s="1">
        <v>117525</v>
      </c>
      <c r="CJM3" s="1">
        <v>112446</v>
      </c>
      <c r="CJN3" s="1">
        <v>73702</v>
      </c>
      <c r="CJO3" s="1">
        <v>90117</v>
      </c>
      <c r="CJP3" s="1">
        <v>96818</v>
      </c>
      <c r="CJQ3" s="1">
        <v>124063</v>
      </c>
      <c r="CJR3" s="1">
        <v>84513</v>
      </c>
      <c r="CJS3" s="1">
        <v>80219</v>
      </c>
      <c r="CJT3" s="1">
        <v>81890</v>
      </c>
      <c r="CJU3" s="1">
        <v>99708</v>
      </c>
      <c r="CJV3" s="1">
        <v>0</v>
      </c>
      <c r="CJW3" s="1">
        <v>108807</v>
      </c>
      <c r="CJX3" s="1">
        <v>0</v>
      </c>
      <c r="CJY3" s="1">
        <v>74839</v>
      </c>
      <c r="CJZ3" s="1">
        <v>81354</v>
      </c>
      <c r="CKA3" s="1">
        <v>0</v>
      </c>
      <c r="CKB3" s="1">
        <v>68852</v>
      </c>
      <c r="CKC3" s="1">
        <v>98125</v>
      </c>
      <c r="CKD3" s="1">
        <v>72500</v>
      </c>
      <c r="CKE3" s="1">
        <v>106030</v>
      </c>
      <c r="CKF3" s="1">
        <v>110903</v>
      </c>
      <c r="CKG3" s="1">
        <v>66152</v>
      </c>
      <c r="CKH3" s="1">
        <v>74010</v>
      </c>
      <c r="CKI3" s="1">
        <v>89265</v>
      </c>
      <c r="CKJ3" s="1">
        <v>58250</v>
      </c>
      <c r="CKK3" s="1">
        <v>93910</v>
      </c>
      <c r="CKL3" s="1">
        <v>117708</v>
      </c>
      <c r="CKM3" s="1">
        <v>92639</v>
      </c>
      <c r="CKN3" s="1">
        <v>104375</v>
      </c>
      <c r="CKO3" s="1">
        <v>83897</v>
      </c>
      <c r="CKP3" s="1">
        <v>94815</v>
      </c>
      <c r="CKQ3" s="1">
        <v>100278</v>
      </c>
      <c r="CKR3" s="1">
        <v>136748</v>
      </c>
      <c r="CKS3" s="1">
        <v>83750</v>
      </c>
      <c r="CKT3" s="1">
        <v>79250</v>
      </c>
      <c r="CKU3" s="1">
        <v>164583</v>
      </c>
      <c r="CKV3" s="1">
        <v>0</v>
      </c>
      <c r="CKW3" s="1">
        <v>0</v>
      </c>
      <c r="CKX3" s="1">
        <v>165714</v>
      </c>
      <c r="CKY3" s="1">
        <v>0</v>
      </c>
      <c r="CKZ3" s="1">
        <v>85865</v>
      </c>
      <c r="CLA3" s="1">
        <v>70694</v>
      </c>
      <c r="CLB3" s="1">
        <v>107354</v>
      </c>
      <c r="CLC3" s="1">
        <v>0</v>
      </c>
      <c r="CLD3" s="1">
        <v>0</v>
      </c>
      <c r="CLE3" s="1">
        <v>83517</v>
      </c>
      <c r="CLF3" s="1">
        <v>0</v>
      </c>
      <c r="CLG3" s="1">
        <v>69536</v>
      </c>
      <c r="CLH3" s="1">
        <v>81545</v>
      </c>
      <c r="CLI3" s="1">
        <v>71500</v>
      </c>
      <c r="CLJ3" s="1">
        <v>0</v>
      </c>
      <c r="CLK3" s="1">
        <v>96555</v>
      </c>
      <c r="CLL3" s="1">
        <v>89896</v>
      </c>
      <c r="CLM3" s="1">
        <v>96220</v>
      </c>
      <c r="CLN3" s="1">
        <v>140038</v>
      </c>
      <c r="CLO3" s="1">
        <v>99102</v>
      </c>
      <c r="CLP3" s="1">
        <v>0</v>
      </c>
      <c r="CLQ3" s="1">
        <v>135788</v>
      </c>
      <c r="CLR3" s="1">
        <v>103654</v>
      </c>
      <c r="CLS3" s="1">
        <v>0</v>
      </c>
      <c r="CLT3" s="1">
        <v>70779</v>
      </c>
      <c r="CLU3" s="1">
        <v>62116</v>
      </c>
      <c r="CLV3" s="1">
        <v>0</v>
      </c>
      <c r="CLW3" s="1">
        <v>61346</v>
      </c>
      <c r="CLX3" s="1">
        <v>52115</v>
      </c>
      <c r="CLY3" s="1">
        <v>83858</v>
      </c>
      <c r="CLZ3" s="1">
        <v>70598</v>
      </c>
      <c r="CMA3" s="1">
        <v>0</v>
      </c>
      <c r="CMB3" s="1">
        <v>81667</v>
      </c>
      <c r="CMC3" s="1">
        <v>59629</v>
      </c>
      <c r="CMD3" s="1">
        <v>67425</v>
      </c>
      <c r="CME3" s="1">
        <v>61330</v>
      </c>
      <c r="CMF3" s="1">
        <v>51181</v>
      </c>
      <c r="CMG3" s="1">
        <v>63125</v>
      </c>
      <c r="CMH3" s="1">
        <v>89716</v>
      </c>
      <c r="CMI3" s="1">
        <v>57365</v>
      </c>
      <c r="CMJ3" s="1">
        <v>93580</v>
      </c>
      <c r="CMK3" s="1">
        <v>75978</v>
      </c>
      <c r="CML3" s="1">
        <v>56410</v>
      </c>
      <c r="CMM3" s="1">
        <v>99286</v>
      </c>
      <c r="CMN3" s="1">
        <v>63061</v>
      </c>
      <c r="CMO3" s="1">
        <v>0</v>
      </c>
      <c r="CMP3" s="1">
        <v>110987</v>
      </c>
      <c r="CMQ3" s="1">
        <v>70000</v>
      </c>
      <c r="CMR3" s="1">
        <v>66748</v>
      </c>
      <c r="CMS3" s="1">
        <v>88542</v>
      </c>
      <c r="CMT3" s="1">
        <v>57662</v>
      </c>
      <c r="CMU3" s="1">
        <v>61415</v>
      </c>
      <c r="CMV3" s="1">
        <v>91154</v>
      </c>
      <c r="CMW3" s="1">
        <v>91162</v>
      </c>
      <c r="CMX3" s="1">
        <v>64352</v>
      </c>
      <c r="CMY3" s="1">
        <v>0</v>
      </c>
      <c r="CMZ3" s="1">
        <v>0</v>
      </c>
      <c r="CNA3" s="1">
        <v>121556</v>
      </c>
      <c r="CNB3" s="1">
        <v>100760</v>
      </c>
      <c r="CNC3" s="1">
        <v>56992</v>
      </c>
      <c r="CND3" s="1">
        <v>108796</v>
      </c>
      <c r="CNE3" s="1">
        <v>106875</v>
      </c>
      <c r="CNF3" s="1">
        <v>115054</v>
      </c>
      <c r="CNG3" s="1">
        <v>103309</v>
      </c>
      <c r="CNH3" s="1">
        <v>139095</v>
      </c>
      <c r="CNI3" s="1">
        <v>77375</v>
      </c>
      <c r="CNJ3" s="1">
        <v>95750</v>
      </c>
      <c r="CNK3" s="1">
        <v>81765</v>
      </c>
      <c r="CNL3" s="1">
        <v>93583</v>
      </c>
      <c r="CNM3" s="1">
        <v>97569</v>
      </c>
      <c r="CNN3" s="1">
        <v>101111</v>
      </c>
      <c r="CNO3" s="1">
        <v>0</v>
      </c>
      <c r="CNP3" s="1">
        <v>126944</v>
      </c>
      <c r="CNQ3" s="1">
        <v>50909</v>
      </c>
      <c r="CNR3" s="1">
        <v>50234</v>
      </c>
      <c r="CNS3" s="1">
        <v>80625</v>
      </c>
      <c r="CNT3" s="1">
        <v>0</v>
      </c>
      <c r="CNU3" s="1">
        <v>94402</v>
      </c>
      <c r="CNV3" s="1">
        <v>110066</v>
      </c>
      <c r="CNW3" s="1">
        <v>79081</v>
      </c>
      <c r="CNX3" s="1">
        <v>100761</v>
      </c>
      <c r="CNY3" s="1">
        <v>118125</v>
      </c>
      <c r="CNZ3" s="1">
        <v>69250</v>
      </c>
      <c r="COA3" s="1">
        <v>83429</v>
      </c>
      <c r="COB3" s="1">
        <v>93611</v>
      </c>
      <c r="COC3" s="1">
        <v>76151</v>
      </c>
      <c r="COD3" s="1">
        <v>202946</v>
      </c>
      <c r="COE3" s="1">
        <v>73579</v>
      </c>
      <c r="COF3" s="1">
        <v>108859</v>
      </c>
      <c r="COG3" s="1">
        <v>43041</v>
      </c>
      <c r="COH3" s="1">
        <v>63176</v>
      </c>
      <c r="COI3" s="1">
        <v>0</v>
      </c>
      <c r="COJ3" s="1">
        <v>64083</v>
      </c>
      <c r="COK3" s="1">
        <v>54318</v>
      </c>
      <c r="COL3" s="1">
        <v>90049</v>
      </c>
      <c r="COM3" s="1">
        <v>91923</v>
      </c>
      <c r="CON3" s="1">
        <v>125799</v>
      </c>
      <c r="COO3" s="1">
        <v>109648</v>
      </c>
      <c r="COP3" s="1">
        <v>0</v>
      </c>
      <c r="COQ3" s="1">
        <v>43568</v>
      </c>
      <c r="COR3" s="1">
        <v>80521</v>
      </c>
      <c r="COS3" s="1">
        <v>96738</v>
      </c>
      <c r="COT3" s="1">
        <v>48250</v>
      </c>
      <c r="COU3" s="1">
        <v>88417</v>
      </c>
      <c r="COV3" s="1">
        <v>72917</v>
      </c>
      <c r="COW3" s="1">
        <v>88802</v>
      </c>
      <c r="COX3" s="1">
        <v>80339</v>
      </c>
      <c r="COY3" s="1">
        <v>74318</v>
      </c>
      <c r="COZ3" s="1">
        <v>144432</v>
      </c>
      <c r="CPA3" s="1">
        <v>55019</v>
      </c>
      <c r="CPB3" s="1">
        <v>69162</v>
      </c>
      <c r="CPC3" s="1">
        <v>70833</v>
      </c>
      <c r="CPD3" s="1">
        <v>81203</v>
      </c>
      <c r="CPE3" s="1">
        <v>39375</v>
      </c>
      <c r="CPF3" s="1">
        <v>53725</v>
      </c>
      <c r="CPG3" s="1">
        <v>104028</v>
      </c>
      <c r="CPH3" s="1">
        <v>153719</v>
      </c>
      <c r="CPI3" s="1">
        <v>106685</v>
      </c>
      <c r="CPJ3" s="1">
        <v>91547</v>
      </c>
      <c r="CPK3" s="1">
        <v>49637</v>
      </c>
      <c r="CPL3" s="1">
        <v>100417</v>
      </c>
      <c r="CPM3" s="1">
        <v>76631</v>
      </c>
      <c r="CPN3" s="1">
        <v>91210</v>
      </c>
      <c r="CPO3" s="1">
        <v>113470</v>
      </c>
      <c r="CPP3" s="1">
        <v>81667</v>
      </c>
      <c r="CPQ3" s="1">
        <v>132532</v>
      </c>
      <c r="CPR3" s="1">
        <v>86912</v>
      </c>
      <c r="CPS3" s="1">
        <v>71886</v>
      </c>
      <c r="CPT3" s="1">
        <v>50947</v>
      </c>
      <c r="CPU3" s="1">
        <v>104470</v>
      </c>
      <c r="CPV3" s="1">
        <v>61615</v>
      </c>
      <c r="CPW3" s="1">
        <v>0</v>
      </c>
      <c r="CPX3" s="1">
        <v>78293</v>
      </c>
      <c r="CPY3" s="1">
        <v>58021</v>
      </c>
      <c r="CPZ3" s="1">
        <v>0</v>
      </c>
      <c r="CQA3" s="1">
        <v>82244</v>
      </c>
      <c r="CQB3" s="1">
        <v>102929</v>
      </c>
      <c r="CQC3" s="1">
        <v>55179</v>
      </c>
      <c r="CQD3" s="1">
        <v>0</v>
      </c>
      <c r="CQE3" s="1">
        <v>67645</v>
      </c>
      <c r="CQF3" s="1">
        <v>114444</v>
      </c>
      <c r="CQG3" s="1">
        <v>134563</v>
      </c>
      <c r="CQH3" s="1">
        <v>56509</v>
      </c>
      <c r="CQI3" s="1">
        <v>125972</v>
      </c>
      <c r="CQJ3" s="1">
        <v>69418</v>
      </c>
      <c r="CQK3" s="1">
        <v>71274</v>
      </c>
      <c r="CQL3" s="1">
        <v>96736</v>
      </c>
      <c r="CQM3" s="1">
        <v>117716</v>
      </c>
      <c r="CQN3" s="1">
        <v>150673</v>
      </c>
      <c r="CQO3" s="1">
        <v>108770</v>
      </c>
      <c r="CQP3" s="1">
        <v>139029</v>
      </c>
      <c r="CQQ3" s="1">
        <v>85786</v>
      </c>
      <c r="CQR3" s="1">
        <v>66786</v>
      </c>
      <c r="CQS3" s="1">
        <v>166676</v>
      </c>
      <c r="CQT3" s="1">
        <v>65288</v>
      </c>
      <c r="CQU3" s="1">
        <v>130203</v>
      </c>
      <c r="CQV3" s="1">
        <v>64479</v>
      </c>
      <c r="CQW3" s="1">
        <v>0</v>
      </c>
      <c r="CQX3" s="1">
        <v>138365</v>
      </c>
      <c r="CQY3" s="1">
        <v>0</v>
      </c>
      <c r="CQZ3" s="1">
        <v>76306</v>
      </c>
      <c r="CRA3" s="1">
        <v>109231</v>
      </c>
      <c r="CRB3" s="1">
        <v>99107</v>
      </c>
      <c r="CRC3" s="1">
        <v>117076</v>
      </c>
      <c r="CRD3" s="1">
        <v>110893</v>
      </c>
      <c r="CRE3" s="1">
        <v>0</v>
      </c>
      <c r="CRF3" s="1">
        <v>78005</v>
      </c>
      <c r="CRG3" s="1">
        <v>97016</v>
      </c>
      <c r="CRH3" s="1">
        <v>76184</v>
      </c>
      <c r="CRI3" s="1">
        <v>133750</v>
      </c>
      <c r="CRJ3" s="1">
        <v>0</v>
      </c>
      <c r="CRK3" s="1">
        <v>0</v>
      </c>
      <c r="CRL3" s="1">
        <v>0</v>
      </c>
      <c r="CRM3" s="1">
        <v>49297</v>
      </c>
      <c r="CRN3" s="1">
        <v>128135</v>
      </c>
      <c r="CRO3" s="1">
        <v>70833</v>
      </c>
      <c r="CRP3" s="1">
        <v>0</v>
      </c>
      <c r="CRQ3" s="1">
        <v>51522</v>
      </c>
      <c r="CRR3" s="1">
        <v>73617</v>
      </c>
      <c r="CRS3" s="1">
        <v>92992</v>
      </c>
      <c r="CRT3" s="1">
        <v>67365</v>
      </c>
      <c r="CRU3" s="1">
        <v>94531</v>
      </c>
      <c r="CRV3" s="1">
        <v>103507</v>
      </c>
      <c r="CRW3" s="1">
        <v>101088</v>
      </c>
      <c r="CRX3" s="1">
        <v>98682</v>
      </c>
      <c r="CRY3" s="1">
        <v>62533</v>
      </c>
      <c r="CRZ3" s="1">
        <v>56681</v>
      </c>
      <c r="CSA3" s="1">
        <v>97006</v>
      </c>
      <c r="CSB3" s="1">
        <v>58105</v>
      </c>
      <c r="CSC3" s="1">
        <v>56518</v>
      </c>
      <c r="CSD3" s="1">
        <v>49263</v>
      </c>
      <c r="CSE3" s="1">
        <v>60865</v>
      </c>
      <c r="CSF3" s="1">
        <v>126554</v>
      </c>
      <c r="CSG3" s="1">
        <v>70537</v>
      </c>
      <c r="CSH3" s="1">
        <v>65650</v>
      </c>
      <c r="CSI3" s="1">
        <v>102415</v>
      </c>
      <c r="CSJ3" s="1">
        <v>71189</v>
      </c>
      <c r="CSK3" s="1">
        <v>74245</v>
      </c>
      <c r="CSL3" s="1">
        <v>117500</v>
      </c>
      <c r="CSM3" s="1">
        <v>63630</v>
      </c>
      <c r="CSN3" s="1">
        <v>89959</v>
      </c>
      <c r="CSO3" s="1">
        <v>109338</v>
      </c>
      <c r="CSP3" s="1">
        <v>77769</v>
      </c>
      <c r="CSQ3" s="1">
        <v>97286</v>
      </c>
      <c r="CSR3" s="1">
        <v>0</v>
      </c>
      <c r="CSS3" s="1">
        <v>0</v>
      </c>
      <c r="CST3" s="1">
        <v>66587</v>
      </c>
      <c r="CSU3" s="1">
        <v>0</v>
      </c>
      <c r="CSV3" s="1">
        <v>49342</v>
      </c>
      <c r="CSW3" s="1">
        <v>0</v>
      </c>
      <c r="CSX3" s="1">
        <v>146875</v>
      </c>
      <c r="CSY3" s="1">
        <v>0</v>
      </c>
      <c r="CSZ3" s="1">
        <v>51083</v>
      </c>
      <c r="CTA3" s="1">
        <v>43350</v>
      </c>
      <c r="CTB3" s="1">
        <v>71298</v>
      </c>
      <c r="CTC3" s="1">
        <v>53482</v>
      </c>
      <c r="CTD3" s="1">
        <v>110827</v>
      </c>
      <c r="CTE3" s="1">
        <v>72321</v>
      </c>
      <c r="CTF3" s="1">
        <v>93750</v>
      </c>
      <c r="CTG3" s="1">
        <v>81736</v>
      </c>
      <c r="CTH3" s="1">
        <v>98257</v>
      </c>
      <c r="CTI3" s="1">
        <v>133522</v>
      </c>
      <c r="CTJ3" s="1">
        <v>105912</v>
      </c>
      <c r="CTK3" s="1">
        <v>57774</v>
      </c>
      <c r="CTL3" s="1">
        <v>73666</v>
      </c>
      <c r="CTM3" s="1">
        <v>63264</v>
      </c>
      <c r="CTN3" s="1">
        <v>84138</v>
      </c>
      <c r="CTO3" s="1">
        <v>84479</v>
      </c>
      <c r="CTP3" s="1">
        <v>51667</v>
      </c>
      <c r="CTQ3" s="1">
        <v>152931</v>
      </c>
      <c r="CTR3" s="1">
        <v>98934</v>
      </c>
      <c r="CTS3" s="1">
        <v>32798</v>
      </c>
      <c r="CTT3" s="1">
        <v>76042</v>
      </c>
      <c r="CTU3" s="1">
        <v>68509</v>
      </c>
      <c r="CTV3" s="1">
        <v>0</v>
      </c>
      <c r="CTW3" s="1">
        <v>0</v>
      </c>
      <c r="CTX3" s="1">
        <v>0</v>
      </c>
      <c r="CTY3" s="1">
        <v>33750</v>
      </c>
      <c r="CTZ3" s="1">
        <v>59500</v>
      </c>
      <c r="CUA3" s="1">
        <v>69975</v>
      </c>
      <c r="CUB3" s="1">
        <v>0</v>
      </c>
      <c r="CUC3" s="1">
        <v>62969</v>
      </c>
      <c r="CUD3" s="1">
        <v>50313</v>
      </c>
      <c r="CUE3" s="1">
        <v>44167</v>
      </c>
      <c r="CUF3" s="1">
        <v>0</v>
      </c>
      <c r="CUG3" s="1">
        <v>41886</v>
      </c>
      <c r="CUH3" s="1">
        <v>0</v>
      </c>
      <c r="CUI3" s="1">
        <v>71207</v>
      </c>
      <c r="CUJ3" s="1">
        <v>57083</v>
      </c>
      <c r="CUK3" s="1">
        <v>53883</v>
      </c>
      <c r="CUL3" s="1">
        <v>57344</v>
      </c>
      <c r="CUM3" s="1">
        <v>85625</v>
      </c>
      <c r="CUN3" s="1">
        <v>54143</v>
      </c>
      <c r="CUO3" s="1">
        <v>0</v>
      </c>
      <c r="CUP3" s="1">
        <v>40313</v>
      </c>
      <c r="CUQ3" s="1">
        <v>103580</v>
      </c>
      <c r="CUR3" s="1">
        <v>126000</v>
      </c>
      <c r="CUS3" s="1">
        <v>151500</v>
      </c>
      <c r="CUT3" s="1">
        <v>75798</v>
      </c>
      <c r="CUU3" s="1">
        <v>107833</v>
      </c>
      <c r="CUV3" s="1">
        <v>194531</v>
      </c>
      <c r="CUW3" s="1">
        <v>74513</v>
      </c>
      <c r="CUX3" s="1">
        <v>91667</v>
      </c>
      <c r="CUY3" s="1">
        <v>33405</v>
      </c>
      <c r="CUZ3" s="1">
        <v>0</v>
      </c>
      <c r="CVA3" s="1">
        <v>30500</v>
      </c>
      <c r="CVB3" s="1">
        <v>97945</v>
      </c>
      <c r="CVC3" s="1">
        <v>77327</v>
      </c>
      <c r="CVD3" s="1">
        <v>90680</v>
      </c>
      <c r="CVE3" s="1">
        <v>97835</v>
      </c>
      <c r="CVF3" s="1">
        <v>88223</v>
      </c>
      <c r="CVG3" s="1">
        <v>128403</v>
      </c>
      <c r="CVH3" s="1">
        <v>109750</v>
      </c>
      <c r="CVI3" s="1">
        <v>0</v>
      </c>
      <c r="CVJ3" s="1">
        <v>0</v>
      </c>
      <c r="CVK3" s="1">
        <v>0</v>
      </c>
      <c r="CVL3" s="1">
        <v>69680</v>
      </c>
      <c r="CVM3" s="1">
        <v>89790</v>
      </c>
      <c r="CVN3" s="1">
        <v>42188</v>
      </c>
      <c r="CVO3" s="1">
        <v>0</v>
      </c>
      <c r="CVP3" s="1">
        <v>72517</v>
      </c>
      <c r="CVQ3" s="1">
        <v>0</v>
      </c>
      <c r="CVR3" s="1">
        <v>66467</v>
      </c>
      <c r="CVS3" s="1">
        <v>62428</v>
      </c>
      <c r="CVT3" s="1">
        <v>43156</v>
      </c>
      <c r="CVU3" s="1">
        <v>55678</v>
      </c>
      <c r="CVV3" s="1">
        <v>107650</v>
      </c>
      <c r="CVW3" s="1">
        <v>74524</v>
      </c>
      <c r="CVX3" s="1">
        <v>70715</v>
      </c>
      <c r="CVY3" s="1">
        <v>75621</v>
      </c>
      <c r="CVZ3" s="1">
        <v>70139</v>
      </c>
      <c r="CWA3" s="1">
        <v>66875</v>
      </c>
      <c r="CWB3" s="1">
        <v>63556</v>
      </c>
      <c r="CWC3" s="1">
        <v>73899</v>
      </c>
      <c r="CWD3" s="1">
        <v>37189</v>
      </c>
      <c r="CWE3" s="1">
        <v>0</v>
      </c>
      <c r="CWF3" s="1">
        <v>71345</v>
      </c>
      <c r="CWG3" s="1">
        <v>72487</v>
      </c>
      <c r="CWH3" s="1">
        <v>85762</v>
      </c>
      <c r="CWI3" s="1">
        <v>73472</v>
      </c>
      <c r="CWJ3" s="1">
        <v>52899</v>
      </c>
      <c r="CWK3" s="1">
        <v>69921</v>
      </c>
      <c r="CWL3" s="1">
        <v>42904</v>
      </c>
      <c r="CWM3" s="1">
        <v>67556</v>
      </c>
      <c r="CWN3" s="1">
        <v>102917</v>
      </c>
      <c r="CWO3" s="1">
        <v>66760</v>
      </c>
      <c r="CWP3" s="1">
        <v>120919</v>
      </c>
      <c r="CWQ3" s="1">
        <v>59397</v>
      </c>
      <c r="CWR3" s="1">
        <v>81667</v>
      </c>
      <c r="CWS3" s="1">
        <v>74974</v>
      </c>
      <c r="CWT3" s="1">
        <v>70798</v>
      </c>
      <c r="CWU3" s="1">
        <v>0</v>
      </c>
      <c r="CWV3" s="1">
        <v>0</v>
      </c>
      <c r="CWW3" s="1">
        <v>66999</v>
      </c>
      <c r="CWX3" s="1">
        <v>0</v>
      </c>
      <c r="CWY3" s="1">
        <v>102417</v>
      </c>
      <c r="CWZ3" s="1">
        <v>0</v>
      </c>
      <c r="CXA3" s="1">
        <v>106668</v>
      </c>
      <c r="CXB3" s="1">
        <v>116528</v>
      </c>
      <c r="CXC3" s="1">
        <v>138409</v>
      </c>
      <c r="CXD3" s="1">
        <v>63389</v>
      </c>
      <c r="CXE3" s="1">
        <v>48288</v>
      </c>
      <c r="CXF3" s="1">
        <v>75804</v>
      </c>
      <c r="CXG3" s="1">
        <v>44739</v>
      </c>
      <c r="CXH3" s="1">
        <v>51070</v>
      </c>
      <c r="CXI3" s="1">
        <v>0</v>
      </c>
      <c r="CXJ3" s="1">
        <v>0</v>
      </c>
      <c r="CXK3" s="1">
        <v>81105</v>
      </c>
      <c r="CXL3" s="1">
        <v>55820</v>
      </c>
      <c r="CXM3" s="1">
        <v>65811</v>
      </c>
      <c r="CXN3" s="1">
        <v>47639</v>
      </c>
      <c r="CXO3" s="1">
        <v>59289</v>
      </c>
      <c r="CXP3" s="1">
        <v>42639</v>
      </c>
      <c r="CXQ3" s="1">
        <v>57679</v>
      </c>
      <c r="CXR3" s="1">
        <v>87478</v>
      </c>
      <c r="CXS3" s="1">
        <v>114063</v>
      </c>
      <c r="CXT3" s="1">
        <v>92092</v>
      </c>
      <c r="CXU3" s="1">
        <v>103742</v>
      </c>
      <c r="CXV3" s="1">
        <v>95931</v>
      </c>
      <c r="CXW3" s="1">
        <v>82314</v>
      </c>
      <c r="CXX3" s="1">
        <v>102114</v>
      </c>
      <c r="CXY3" s="1">
        <v>57727</v>
      </c>
      <c r="CXZ3" s="1">
        <v>130376</v>
      </c>
      <c r="CYA3" s="1">
        <v>55625</v>
      </c>
      <c r="CYB3" s="1">
        <v>72061</v>
      </c>
      <c r="CYC3" s="1">
        <v>68487</v>
      </c>
      <c r="CYD3" s="1">
        <v>100665</v>
      </c>
      <c r="CYE3" s="1">
        <v>61042</v>
      </c>
      <c r="CYF3" s="1">
        <v>34557</v>
      </c>
      <c r="CYG3" s="1">
        <v>137841</v>
      </c>
      <c r="CYH3" s="1">
        <v>91169</v>
      </c>
      <c r="CYI3" s="1">
        <v>49644</v>
      </c>
      <c r="CYJ3" s="1">
        <v>80809</v>
      </c>
      <c r="CYK3" s="1">
        <v>73333</v>
      </c>
      <c r="CYL3" s="1">
        <v>50074</v>
      </c>
      <c r="CYM3" s="1">
        <v>72000</v>
      </c>
      <c r="CYN3" s="1">
        <v>55104</v>
      </c>
      <c r="CYO3" s="1">
        <v>63355</v>
      </c>
      <c r="CYP3" s="1">
        <v>70372</v>
      </c>
      <c r="CYQ3" s="1">
        <v>38661</v>
      </c>
      <c r="CYR3" s="1">
        <v>0</v>
      </c>
      <c r="CYS3" s="1">
        <v>75286</v>
      </c>
      <c r="CYT3" s="1">
        <v>56891</v>
      </c>
      <c r="CYU3" s="1">
        <v>76596</v>
      </c>
      <c r="CYV3" s="1">
        <v>39792</v>
      </c>
      <c r="CYW3" s="1">
        <v>91092</v>
      </c>
      <c r="CYX3" s="1">
        <v>76184</v>
      </c>
      <c r="CYY3" s="1">
        <v>99479</v>
      </c>
      <c r="CYZ3" s="1">
        <v>60337</v>
      </c>
      <c r="CZA3" s="1">
        <v>73125</v>
      </c>
      <c r="CZB3" s="1">
        <v>0</v>
      </c>
      <c r="CZC3" s="1">
        <v>98295</v>
      </c>
      <c r="CZD3" s="1">
        <v>0</v>
      </c>
      <c r="CZE3" s="1">
        <v>69063</v>
      </c>
      <c r="CZF3" s="1">
        <v>46895</v>
      </c>
      <c r="CZG3" s="1">
        <v>83674</v>
      </c>
      <c r="CZH3" s="1">
        <v>0</v>
      </c>
      <c r="CZI3" s="1">
        <v>83529</v>
      </c>
      <c r="CZJ3" s="1">
        <v>81250</v>
      </c>
      <c r="CZK3" s="1">
        <v>60938</v>
      </c>
      <c r="CZL3" s="1">
        <v>71250</v>
      </c>
      <c r="CZM3" s="1">
        <v>53125</v>
      </c>
      <c r="CZN3" s="1">
        <v>51992</v>
      </c>
      <c r="CZO3" s="1">
        <v>0</v>
      </c>
      <c r="CZP3" s="1">
        <v>48317</v>
      </c>
      <c r="CZQ3" s="1">
        <v>62643</v>
      </c>
      <c r="CZR3" s="1">
        <v>65000</v>
      </c>
      <c r="CZS3" s="1">
        <v>77243</v>
      </c>
      <c r="CZT3" s="1">
        <v>78125</v>
      </c>
      <c r="CZU3" s="1">
        <v>97772</v>
      </c>
      <c r="CZV3" s="1">
        <v>42667</v>
      </c>
      <c r="CZW3" s="1">
        <v>43614</v>
      </c>
      <c r="CZX3" s="1">
        <v>62717</v>
      </c>
      <c r="CZY3" s="1">
        <v>59693</v>
      </c>
      <c r="CZZ3" s="1">
        <v>118333</v>
      </c>
      <c r="DAA3" s="1">
        <v>55569</v>
      </c>
      <c r="DAB3" s="1">
        <v>37118</v>
      </c>
      <c r="DAC3" s="1">
        <v>59635</v>
      </c>
      <c r="DAD3" s="1">
        <v>84625</v>
      </c>
      <c r="DAE3" s="1">
        <v>0</v>
      </c>
      <c r="DAF3" s="1">
        <v>55375</v>
      </c>
      <c r="DAG3" s="1">
        <v>53750</v>
      </c>
      <c r="DAH3" s="1">
        <v>42934</v>
      </c>
      <c r="DAI3" s="1">
        <v>0</v>
      </c>
      <c r="DAJ3" s="1">
        <v>75382</v>
      </c>
      <c r="DAK3" s="1">
        <v>0</v>
      </c>
      <c r="DAL3" s="1">
        <v>50550</v>
      </c>
      <c r="DAM3" s="1">
        <v>86042</v>
      </c>
      <c r="DAN3" s="1">
        <v>61563</v>
      </c>
      <c r="DAO3" s="1">
        <v>53800</v>
      </c>
      <c r="DAP3" s="1">
        <v>61406</v>
      </c>
      <c r="DAQ3" s="1">
        <v>61394</v>
      </c>
      <c r="DAR3" s="1">
        <v>58101</v>
      </c>
      <c r="DAS3" s="1">
        <v>56007</v>
      </c>
      <c r="DAT3" s="1">
        <v>40625</v>
      </c>
      <c r="DAU3" s="1">
        <v>57225</v>
      </c>
      <c r="DAV3" s="1">
        <v>48769</v>
      </c>
      <c r="DAW3" s="1">
        <v>0</v>
      </c>
      <c r="DAX3" s="1">
        <v>55882</v>
      </c>
      <c r="DAY3" s="1">
        <v>51002</v>
      </c>
      <c r="DAZ3" s="1">
        <v>53070</v>
      </c>
      <c r="DBA3" s="1">
        <v>65089</v>
      </c>
      <c r="DBB3" s="1">
        <v>69840</v>
      </c>
      <c r="DBC3" s="1">
        <v>43727</v>
      </c>
      <c r="DBD3" s="1">
        <v>45954</v>
      </c>
      <c r="DBE3" s="1">
        <v>90383</v>
      </c>
      <c r="DBF3" s="1">
        <v>75329</v>
      </c>
      <c r="DBG3" s="1">
        <v>0</v>
      </c>
      <c r="DBH3" s="1">
        <v>0</v>
      </c>
      <c r="DBI3" s="1">
        <v>52173</v>
      </c>
      <c r="DBJ3" s="1">
        <v>57668</v>
      </c>
      <c r="DBK3" s="1">
        <v>41733</v>
      </c>
      <c r="DBL3" s="1">
        <v>58107</v>
      </c>
      <c r="DBM3" s="1">
        <v>63644</v>
      </c>
      <c r="DBN3" s="1">
        <v>63496</v>
      </c>
      <c r="DBO3" s="1">
        <v>0</v>
      </c>
      <c r="DBP3" s="1">
        <v>78295</v>
      </c>
      <c r="DBQ3" s="1">
        <v>63457</v>
      </c>
      <c r="DBR3" s="1">
        <v>62536</v>
      </c>
      <c r="DBS3" s="1">
        <v>48147</v>
      </c>
      <c r="DBT3" s="1">
        <v>51761</v>
      </c>
      <c r="DBU3" s="1">
        <v>82917</v>
      </c>
      <c r="DBV3" s="1">
        <v>91563</v>
      </c>
      <c r="DBW3" s="1">
        <v>75103</v>
      </c>
      <c r="DBX3" s="1">
        <v>55156</v>
      </c>
      <c r="DBY3" s="1">
        <v>89926</v>
      </c>
      <c r="DBZ3" s="1">
        <v>51579</v>
      </c>
      <c r="DCA3" s="1">
        <v>70893</v>
      </c>
      <c r="DCB3" s="1">
        <v>54389</v>
      </c>
      <c r="DCC3" s="1">
        <v>106960</v>
      </c>
      <c r="DCD3" s="1">
        <v>60724</v>
      </c>
      <c r="DCE3" s="1">
        <v>54728</v>
      </c>
      <c r="DCF3" s="1">
        <v>118707</v>
      </c>
      <c r="DCG3" s="1">
        <v>42631</v>
      </c>
      <c r="DCH3" s="1">
        <v>39905</v>
      </c>
      <c r="DCI3" s="1">
        <v>42900</v>
      </c>
      <c r="DCJ3" s="1">
        <v>88125</v>
      </c>
      <c r="DCK3" s="1">
        <v>60147</v>
      </c>
      <c r="DCL3" s="1">
        <v>65227</v>
      </c>
      <c r="DCM3" s="1">
        <v>0</v>
      </c>
      <c r="DCN3" s="1">
        <v>83881</v>
      </c>
      <c r="DCO3" s="1">
        <v>82331</v>
      </c>
      <c r="DCP3" s="1">
        <v>93750</v>
      </c>
      <c r="DCQ3" s="1">
        <v>70707</v>
      </c>
      <c r="DCR3" s="1">
        <v>74891</v>
      </c>
      <c r="DCS3" s="1">
        <v>47059</v>
      </c>
      <c r="DCT3" s="1">
        <v>48322</v>
      </c>
      <c r="DCU3" s="1">
        <v>88024</v>
      </c>
      <c r="DCV3" s="1">
        <v>65238</v>
      </c>
      <c r="DCW3" s="1">
        <v>60960</v>
      </c>
      <c r="DCX3" s="1">
        <v>59115</v>
      </c>
      <c r="DCY3" s="1">
        <v>72396</v>
      </c>
      <c r="DCZ3" s="1">
        <v>0</v>
      </c>
      <c r="DDA3" s="1">
        <v>0</v>
      </c>
      <c r="DDB3" s="1">
        <v>0</v>
      </c>
      <c r="DDC3" s="1">
        <v>55321</v>
      </c>
      <c r="DDD3" s="1">
        <v>63550</v>
      </c>
      <c r="DDE3" s="1">
        <v>67889</v>
      </c>
      <c r="DDF3" s="1">
        <v>66250</v>
      </c>
      <c r="DDG3" s="1">
        <v>65795</v>
      </c>
      <c r="DDH3" s="1">
        <v>29050</v>
      </c>
      <c r="DDI3" s="1">
        <v>60503</v>
      </c>
      <c r="DDJ3" s="1">
        <v>0</v>
      </c>
      <c r="DDK3" s="1">
        <v>49167</v>
      </c>
      <c r="DDL3" s="1">
        <v>54155</v>
      </c>
      <c r="DDM3" s="1">
        <v>65259</v>
      </c>
      <c r="DDN3" s="1">
        <v>74167</v>
      </c>
      <c r="DDO3" s="1">
        <v>65267</v>
      </c>
      <c r="DDP3" s="1">
        <v>72691</v>
      </c>
      <c r="DDQ3" s="1">
        <v>98482</v>
      </c>
      <c r="DDR3" s="1">
        <v>71317</v>
      </c>
      <c r="DDS3" s="1">
        <v>62206</v>
      </c>
      <c r="DDT3" s="1">
        <v>0</v>
      </c>
      <c r="DDU3" s="1">
        <v>56625</v>
      </c>
      <c r="DDV3" s="1">
        <v>49764</v>
      </c>
      <c r="DDW3" s="1">
        <v>55344</v>
      </c>
      <c r="DDX3" s="1">
        <v>81931</v>
      </c>
      <c r="DDY3" s="1">
        <v>95197</v>
      </c>
      <c r="DDZ3" s="1">
        <v>69461</v>
      </c>
      <c r="DEA3" s="1">
        <v>65774</v>
      </c>
      <c r="DEB3" s="1">
        <v>52100</v>
      </c>
      <c r="DEC3" s="1">
        <v>43591</v>
      </c>
      <c r="DED3" s="1">
        <v>58333</v>
      </c>
      <c r="DEE3" s="1">
        <v>63512</v>
      </c>
      <c r="DEF3" s="1">
        <v>84559</v>
      </c>
      <c r="DEG3" s="1">
        <v>32400</v>
      </c>
      <c r="DEH3" s="1">
        <v>47589</v>
      </c>
      <c r="DEI3" s="1">
        <v>52303</v>
      </c>
      <c r="DEJ3" s="1">
        <v>51425</v>
      </c>
      <c r="DEK3" s="1">
        <v>51719</v>
      </c>
      <c r="DEL3" s="1">
        <v>47967</v>
      </c>
      <c r="DEM3" s="1">
        <v>26438</v>
      </c>
      <c r="DEN3" s="1">
        <v>43125</v>
      </c>
      <c r="DEO3" s="1">
        <v>44269</v>
      </c>
      <c r="DEP3" s="1">
        <v>56040</v>
      </c>
      <c r="DEQ3" s="1">
        <v>33846</v>
      </c>
      <c r="DER3" s="1">
        <v>27028</v>
      </c>
      <c r="DES3" s="1">
        <v>0</v>
      </c>
      <c r="DET3" s="1">
        <v>54435</v>
      </c>
      <c r="DEU3" s="1">
        <v>37224</v>
      </c>
      <c r="DEV3" s="1">
        <v>32500</v>
      </c>
      <c r="DEW3" s="1">
        <v>0</v>
      </c>
      <c r="DEX3" s="1">
        <v>60250</v>
      </c>
      <c r="DEY3" s="1">
        <v>42522</v>
      </c>
      <c r="DEZ3" s="1">
        <v>44990</v>
      </c>
      <c r="DFA3" s="1">
        <v>47601</v>
      </c>
      <c r="DFB3" s="1">
        <v>38147</v>
      </c>
      <c r="DFC3" s="1">
        <v>39678</v>
      </c>
      <c r="DFD3" s="1">
        <v>40694</v>
      </c>
      <c r="DFE3" s="1">
        <v>85181</v>
      </c>
      <c r="DFF3" s="1">
        <v>54806</v>
      </c>
      <c r="DFG3" s="1">
        <v>0</v>
      </c>
      <c r="DFH3" s="1">
        <v>0</v>
      </c>
      <c r="DFI3" s="1">
        <v>54077</v>
      </c>
      <c r="DFJ3" s="1">
        <v>30212</v>
      </c>
      <c r="DFK3" s="1">
        <v>39797</v>
      </c>
      <c r="DFL3" s="1">
        <v>33102</v>
      </c>
      <c r="DFM3" s="1">
        <v>42344</v>
      </c>
      <c r="DFN3" s="1">
        <v>69844</v>
      </c>
      <c r="DFO3" s="1">
        <v>52734</v>
      </c>
      <c r="DFP3" s="1">
        <v>0</v>
      </c>
      <c r="DFQ3" s="1">
        <v>34674</v>
      </c>
      <c r="DFR3" s="1">
        <v>60529</v>
      </c>
      <c r="DFS3" s="1">
        <v>33864</v>
      </c>
      <c r="DFT3" s="1">
        <v>53970</v>
      </c>
      <c r="DFU3" s="1">
        <v>58790</v>
      </c>
      <c r="DFV3" s="1">
        <v>45574</v>
      </c>
      <c r="DFW3" s="1">
        <v>38993</v>
      </c>
      <c r="DFX3" s="1">
        <v>46458</v>
      </c>
      <c r="DFY3" s="1">
        <v>62250</v>
      </c>
      <c r="DFZ3" s="1">
        <v>63982</v>
      </c>
      <c r="DGA3" s="1">
        <v>0</v>
      </c>
      <c r="DGB3" s="1">
        <v>40000</v>
      </c>
      <c r="DGC3" s="1">
        <v>61190</v>
      </c>
      <c r="DGD3" s="1">
        <v>49140</v>
      </c>
      <c r="DGE3" s="1">
        <v>0</v>
      </c>
      <c r="DGF3" s="1">
        <v>71094</v>
      </c>
      <c r="DGG3" s="1">
        <v>79615</v>
      </c>
      <c r="DGH3" s="1">
        <v>80102</v>
      </c>
      <c r="DGI3" s="1">
        <v>36375</v>
      </c>
      <c r="DGJ3" s="1">
        <v>0</v>
      </c>
      <c r="DGK3" s="1">
        <v>54286</v>
      </c>
      <c r="DGL3" s="1">
        <v>41517</v>
      </c>
      <c r="DGM3" s="1">
        <v>47539</v>
      </c>
      <c r="DGN3" s="1">
        <v>64050</v>
      </c>
      <c r="DGO3" s="1">
        <v>53933</v>
      </c>
      <c r="DGP3" s="1">
        <v>58625</v>
      </c>
      <c r="DGQ3" s="1">
        <v>42408</v>
      </c>
      <c r="DGR3" s="1">
        <v>51619</v>
      </c>
      <c r="DGS3" s="1">
        <v>0</v>
      </c>
      <c r="DGT3" s="1">
        <v>47750</v>
      </c>
      <c r="DGU3" s="1">
        <v>42076</v>
      </c>
      <c r="DGV3" s="1">
        <v>61483</v>
      </c>
      <c r="DGW3" s="1">
        <v>68883</v>
      </c>
      <c r="DGX3" s="1">
        <v>50938</v>
      </c>
      <c r="DGY3" s="1">
        <v>34205</v>
      </c>
      <c r="DGZ3" s="1">
        <v>66234</v>
      </c>
      <c r="DHA3" s="1">
        <v>49309</v>
      </c>
      <c r="DHB3" s="1">
        <v>42938</v>
      </c>
      <c r="DHC3" s="1">
        <v>53750</v>
      </c>
      <c r="DHD3" s="1">
        <v>0</v>
      </c>
      <c r="DHE3" s="1">
        <v>43875</v>
      </c>
      <c r="DHF3" s="1">
        <v>50246</v>
      </c>
      <c r="DHG3" s="1">
        <v>65179</v>
      </c>
      <c r="DHH3" s="1">
        <v>52234</v>
      </c>
      <c r="DHI3" s="1">
        <v>63746</v>
      </c>
      <c r="DHJ3" s="1">
        <v>0</v>
      </c>
      <c r="DHK3" s="1">
        <v>0</v>
      </c>
      <c r="DHL3" s="1">
        <v>52381</v>
      </c>
      <c r="DHM3" s="1">
        <v>0</v>
      </c>
      <c r="DHN3" s="1">
        <v>53672</v>
      </c>
      <c r="DHO3" s="1">
        <v>91324</v>
      </c>
      <c r="DHP3" s="1">
        <v>48235</v>
      </c>
      <c r="DHQ3" s="1">
        <v>51841</v>
      </c>
      <c r="DHR3" s="1">
        <v>42367</v>
      </c>
      <c r="DHS3" s="1">
        <v>76380</v>
      </c>
      <c r="DHT3" s="1">
        <v>86576</v>
      </c>
      <c r="DHU3" s="1">
        <v>76364</v>
      </c>
      <c r="DHV3" s="1">
        <v>66620</v>
      </c>
      <c r="DHW3" s="1">
        <v>88397</v>
      </c>
      <c r="DHX3" s="1">
        <v>44111</v>
      </c>
      <c r="DHY3" s="1">
        <v>44132</v>
      </c>
      <c r="DHZ3" s="1">
        <v>80288</v>
      </c>
      <c r="DIA3" s="1">
        <v>70625</v>
      </c>
      <c r="DIB3" s="1">
        <v>61953</v>
      </c>
      <c r="DIC3" s="1">
        <v>61875</v>
      </c>
      <c r="DID3" s="1">
        <v>77839</v>
      </c>
      <c r="DIE3" s="1">
        <v>0</v>
      </c>
      <c r="DIF3" s="1">
        <v>52738</v>
      </c>
      <c r="DIG3" s="1">
        <v>91042</v>
      </c>
      <c r="DIH3" s="1">
        <v>44453</v>
      </c>
      <c r="DII3" s="1">
        <v>34549</v>
      </c>
      <c r="DIJ3" s="1">
        <v>65500</v>
      </c>
      <c r="DIK3" s="1">
        <v>92165</v>
      </c>
      <c r="DIL3" s="1">
        <v>0</v>
      </c>
      <c r="DIM3" s="1">
        <v>103100</v>
      </c>
      <c r="DIN3" s="1">
        <v>50559</v>
      </c>
      <c r="DIO3" s="1">
        <v>79079</v>
      </c>
      <c r="DIP3" s="1">
        <v>58603</v>
      </c>
      <c r="DIQ3" s="1">
        <v>0</v>
      </c>
      <c r="DIR3" s="1">
        <v>81188</v>
      </c>
      <c r="DIS3" s="1">
        <v>88830</v>
      </c>
      <c r="DIT3" s="1">
        <v>72693</v>
      </c>
      <c r="DIU3" s="1">
        <v>84211</v>
      </c>
      <c r="DIV3" s="1">
        <v>46875</v>
      </c>
      <c r="DIW3" s="1">
        <v>86250</v>
      </c>
      <c r="DIX3" s="1">
        <v>67250</v>
      </c>
      <c r="DIY3" s="1">
        <v>80625</v>
      </c>
      <c r="DIZ3" s="1">
        <v>45305</v>
      </c>
      <c r="DJA3" s="1">
        <v>66027</v>
      </c>
      <c r="DJB3" s="1">
        <v>92025</v>
      </c>
      <c r="DJC3" s="1">
        <v>50739</v>
      </c>
      <c r="DJD3" s="1">
        <v>0</v>
      </c>
      <c r="DJE3" s="1">
        <v>51141</v>
      </c>
      <c r="DJF3" s="1">
        <v>39773</v>
      </c>
      <c r="DJG3" s="1">
        <v>69077</v>
      </c>
      <c r="DJH3" s="1">
        <v>60813</v>
      </c>
      <c r="DJI3" s="1">
        <v>70074</v>
      </c>
      <c r="DJJ3" s="1">
        <v>71475</v>
      </c>
      <c r="DJK3" s="1">
        <v>62807</v>
      </c>
      <c r="DJL3" s="1">
        <v>56014</v>
      </c>
      <c r="DJM3" s="1">
        <v>34375</v>
      </c>
      <c r="DJN3" s="1">
        <v>0</v>
      </c>
      <c r="DJO3" s="1">
        <v>46706</v>
      </c>
      <c r="DJP3" s="1">
        <v>43125</v>
      </c>
      <c r="DJQ3" s="1">
        <v>114167</v>
      </c>
      <c r="DJR3" s="1">
        <v>67712</v>
      </c>
      <c r="DJS3" s="1">
        <v>54531</v>
      </c>
      <c r="DJT3" s="1">
        <v>47207</v>
      </c>
      <c r="DJU3" s="1">
        <v>49292</v>
      </c>
      <c r="DJV3" s="1">
        <v>54819</v>
      </c>
      <c r="DJW3" s="1">
        <v>68026</v>
      </c>
      <c r="DJX3" s="1">
        <v>91119</v>
      </c>
      <c r="DJY3" s="1">
        <v>59583</v>
      </c>
      <c r="DJZ3" s="1">
        <v>54795</v>
      </c>
      <c r="DKA3" s="1">
        <v>53816</v>
      </c>
      <c r="DKB3" s="1">
        <v>84773</v>
      </c>
      <c r="DKC3" s="1">
        <v>44948</v>
      </c>
      <c r="DKD3" s="1">
        <v>56641</v>
      </c>
      <c r="DKE3" s="1">
        <v>60125</v>
      </c>
      <c r="DKF3" s="1">
        <v>44296</v>
      </c>
      <c r="DKG3" s="1">
        <v>43462</v>
      </c>
      <c r="DKH3" s="1">
        <v>63617</v>
      </c>
      <c r="DKI3" s="1">
        <v>50208</v>
      </c>
      <c r="DKJ3" s="1">
        <v>0</v>
      </c>
      <c r="DKK3" s="1">
        <v>41250</v>
      </c>
      <c r="DKL3" s="1">
        <v>64158</v>
      </c>
      <c r="DKM3" s="1">
        <v>65898</v>
      </c>
      <c r="DKN3" s="1">
        <v>47574</v>
      </c>
      <c r="DKO3" s="1">
        <v>57344</v>
      </c>
      <c r="DKP3" s="1">
        <v>43026</v>
      </c>
      <c r="DKQ3" s="1">
        <v>54904</v>
      </c>
      <c r="DKR3" s="1">
        <v>0</v>
      </c>
      <c r="DKS3" s="1">
        <v>54318</v>
      </c>
      <c r="DKT3" s="1">
        <v>68869</v>
      </c>
      <c r="DKU3" s="1">
        <v>52393</v>
      </c>
      <c r="DKV3" s="1">
        <v>88068</v>
      </c>
      <c r="DKW3" s="1">
        <v>48655</v>
      </c>
      <c r="DKX3" s="1">
        <v>75147</v>
      </c>
      <c r="DKY3" s="1">
        <v>41462</v>
      </c>
      <c r="DKZ3" s="1">
        <v>0</v>
      </c>
      <c r="DLA3" s="1">
        <v>42308</v>
      </c>
      <c r="DLB3" s="1">
        <v>55938</v>
      </c>
      <c r="DLC3" s="1">
        <v>40020</v>
      </c>
      <c r="DLD3" s="1">
        <v>0</v>
      </c>
      <c r="DLE3" s="1">
        <v>45272</v>
      </c>
      <c r="DLF3" s="1">
        <v>45929</v>
      </c>
      <c r="DLG3" s="1">
        <v>26615</v>
      </c>
      <c r="DLH3" s="1">
        <v>51411</v>
      </c>
      <c r="DLI3" s="1">
        <v>24375</v>
      </c>
      <c r="DLJ3" s="1">
        <v>102875</v>
      </c>
      <c r="DLK3" s="1">
        <v>50145</v>
      </c>
      <c r="DLL3" s="1">
        <v>19395</v>
      </c>
      <c r="DLM3" s="1">
        <v>33207</v>
      </c>
      <c r="DLN3" s="1">
        <v>40000</v>
      </c>
      <c r="DLO3" s="1">
        <v>40323</v>
      </c>
      <c r="DLP3" s="1">
        <v>41042</v>
      </c>
      <c r="DLQ3" s="1">
        <v>56750</v>
      </c>
      <c r="DLR3" s="1">
        <v>45109</v>
      </c>
      <c r="DLS3" s="1">
        <v>31875</v>
      </c>
      <c r="DLT3" s="1">
        <v>40556</v>
      </c>
      <c r="DLU3" s="1">
        <v>53900</v>
      </c>
      <c r="DLV3" s="1">
        <v>43380</v>
      </c>
      <c r="DLW3" s="1">
        <v>37044</v>
      </c>
      <c r="DLX3" s="1">
        <v>47096</v>
      </c>
      <c r="DLY3" s="1">
        <v>38940</v>
      </c>
      <c r="DLZ3" s="1">
        <v>45964</v>
      </c>
      <c r="DMA3" s="1">
        <v>39174</v>
      </c>
      <c r="DMB3" s="1">
        <v>18601</v>
      </c>
      <c r="DMC3" s="1">
        <v>63963</v>
      </c>
      <c r="DMD3" s="1">
        <v>54618</v>
      </c>
      <c r="DME3" s="1">
        <v>44188</v>
      </c>
      <c r="DMF3" s="1">
        <v>64565</v>
      </c>
      <c r="DMG3" s="1">
        <v>71161</v>
      </c>
      <c r="DMH3" s="1">
        <v>61250</v>
      </c>
      <c r="DMI3" s="1">
        <v>0</v>
      </c>
      <c r="DMJ3" s="1">
        <v>0</v>
      </c>
      <c r="DMK3" s="1">
        <v>25781</v>
      </c>
      <c r="DML3" s="1">
        <v>0</v>
      </c>
      <c r="DMM3" s="1">
        <v>43000</v>
      </c>
      <c r="DMN3" s="1">
        <v>0</v>
      </c>
      <c r="DMO3" s="1">
        <v>0</v>
      </c>
      <c r="DMP3" s="1">
        <v>42803</v>
      </c>
      <c r="DMQ3" s="1">
        <v>28927</v>
      </c>
      <c r="DMR3" s="1">
        <v>0</v>
      </c>
      <c r="DMS3" s="1">
        <v>54096</v>
      </c>
      <c r="DMT3" s="1">
        <v>46272</v>
      </c>
      <c r="DMU3" s="1">
        <v>45421</v>
      </c>
      <c r="DMV3" s="1">
        <v>29492</v>
      </c>
      <c r="DMW3" s="1">
        <v>40000</v>
      </c>
      <c r="DMX3" s="1">
        <v>61895</v>
      </c>
      <c r="DMY3" s="1">
        <v>0</v>
      </c>
      <c r="DMZ3" s="1">
        <v>0</v>
      </c>
      <c r="DNA3" s="1">
        <v>0</v>
      </c>
      <c r="DNB3" s="1">
        <v>26295</v>
      </c>
      <c r="DNC3" s="1">
        <v>45603</v>
      </c>
      <c r="DND3" s="1">
        <v>128018</v>
      </c>
      <c r="DNE3" s="1">
        <v>53209</v>
      </c>
      <c r="DNF3" s="1">
        <v>0</v>
      </c>
      <c r="DNG3" s="1">
        <v>54320</v>
      </c>
      <c r="DNH3" s="1">
        <v>21840</v>
      </c>
      <c r="DNI3" s="1">
        <v>39038</v>
      </c>
      <c r="DNJ3" s="1">
        <v>60074</v>
      </c>
      <c r="DNK3" s="1">
        <v>64602</v>
      </c>
      <c r="DNL3" s="1">
        <v>42361</v>
      </c>
      <c r="DNM3" s="1">
        <v>31477</v>
      </c>
      <c r="DNN3" s="1">
        <v>0</v>
      </c>
      <c r="DNO3" s="1">
        <v>25344</v>
      </c>
      <c r="DNP3" s="1">
        <v>0</v>
      </c>
      <c r="DNQ3" s="1">
        <v>0</v>
      </c>
      <c r="DNR3" s="1">
        <v>0</v>
      </c>
      <c r="DNS3" s="1">
        <v>24444</v>
      </c>
      <c r="DNT3" s="1">
        <v>0</v>
      </c>
      <c r="DNU3" s="1">
        <v>0</v>
      </c>
      <c r="DNV3" s="1">
        <v>42596</v>
      </c>
      <c r="DNW3" s="1">
        <v>14722</v>
      </c>
      <c r="DNX3" s="1">
        <v>22500</v>
      </c>
      <c r="DNY3" s="1">
        <v>0</v>
      </c>
      <c r="DNZ3" s="1">
        <v>39472</v>
      </c>
      <c r="DOA3" s="1">
        <v>0</v>
      </c>
      <c r="DOB3" s="1">
        <v>33690</v>
      </c>
      <c r="DOC3" s="1">
        <v>30520</v>
      </c>
      <c r="DOD3" s="1">
        <v>39263</v>
      </c>
      <c r="DOE3" s="1">
        <v>0</v>
      </c>
      <c r="DOF3" s="1">
        <v>22060</v>
      </c>
      <c r="DOG3" s="1">
        <v>40833</v>
      </c>
      <c r="DOH3" s="1">
        <v>44660</v>
      </c>
      <c r="DOI3" s="1">
        <v>57688</v>
      </c>
      <c r="DOJ3" s="1">
        <v>33285</v>
      </c>
      <c r="DOK3" s="1">
        <v>0</v>
      </c>
      <c r="DOL3" s="1">
        <v>49284</v>
      </c>
      <c r="DOM3" s="1">
        <v>0</v>
      </c>
      <c r="DON3" s="1">
        <v>0</v>
      </c>
      <c r="DOO3" s="1">
        <v>0</v>
      </c>
      <c r="DOP3" s="1">
        <v>0</v>
      </c>
      <c r="DOQ3" s="1">
        <v>83531</v>
      </c>
      <c r="DOR3" s="1">
        <v>0</v>
      </c>
      <c r="DOS3" s="1">
        <v>0</v>
      </c>
      <c r="DOT3" s="1">
        <v>34408</v>
      </c>
      <c r="DOU3" s="1">
        <v>21349</v>
      </c>
      <c r="DOV3" s="1">
        <v>21964</v>
      </c>
      <c r="DOW3" s="1">
        <v>0</v>
      </c>
      <c r="DOX3" s="1">
        <v>0</v>
      </c>
      <c r="DOY3" s="1">
        <v>52539</v>
      </c>
      <c r="DOZ3" s="1">
        <v>41071</v>
      </c>
      <c r="DPA3" s="1">
        <v>43813</v>
      </c>
      <c r="DPB3" s="1">
        <v>73828</v>
      </c>
      <c r="DPC3" s="1">
        <v>72589</v>
      </c>
      <c r="DPD3" s="1">
        <v>0</v>
      </c>
      <c r="DPE3" s="1">
        <v>45192</v>
      </c>
      <c r="DPF3" s="1">
        <v>62917</v>
      </c>
      <c r="DPG3" s="1">
        <v>21422</v>
      </c>
      <c r="DPH3" s="1">
        <v>36630</v>
      </c>
      <c r="DPI3" s="1">
        <v>40313</v>
      </c>
      <c r="DPJ3" s="1">
        <v>0</v>
      </c>
      <c r="DPK3" s="1">
        <v>78216</v>
      </c>
      <c r="DPL3" s="1">
        <v>57209</v>
      </c>
      <c r="DPM3" s="1">
        <v>82115</v>
      </c>
      <c r="DPN3" s="1">
        <v>59712</v>
      </c>
      <c r="DPO3" s="1">
        <v>0</v>
      </c>
      <c r="DPP3" s="1">
        <v>63583</v>
      </c>
      <c r="DPQ3" s="1">
        <v>67691</v>
      </c>
      <c r="DPR3" s="1">
        <v>38203</v>
      </c>
      <c r="DPS3" s="1">
        <v>0</v>
      </c>
      <c r="DPT3" s="1">
        <v>0</v>
      </c>
      <c r="DPU3" s="1">
        <v>47428</v>
      </c>
      <c r="DPV3" s="1">
        <v>66178</v>
      </c>
      <c r="DPW3" s="1">
        <v>46688</v>
      </c>
      <c r="DPX3" s="1">
        <v>21994</v>
      </c>
      <c r="DPY3" s="1">
        <v>42420</v>
      </c>
      <c r="DPZ3" s="1">
        <v>54697</v>
      </c>
      <c r="DQA3" s="1">
        <v>0</v>
      </c>
      <c r="DQB3" s="1">
        <v>46513</v>
      </c>
      <c r="DQC3" s="1">
        <v>0</v>
      </c>
      <c r="DQD3" s="1">
        <v>0</v>
      </c>
      <c r="DQE3" s="1">
        <v>49688</v>
      </c>
      <c r="DQF3" s="1">
        <v>52782</v>
      </c>
      <c r="DQG3" s="1">
        <v>0</v>
      </c>
      <c r="DQH3" s="1">
        <v>0</v>
      </c>
      <c r="DQI3" s="1">
        <v>61031</v>
      </c>
      <c r="DQJ3" s="1">
        <v>0</v>
      </c>
      <c r="DQK3" s="1">
        <v>37872</v>
      </c>
      <c r="DQL3" s="1">
        <v>0</v>
      </c>
      <c r="DQM3" s="1">
        <v>48750</v>
      </c>
      <c r="DQN3" s="1">
        <v>75938</v>
      </c>
      <c r="DQO3" s="1">
        <v>50472</v>
      </c>
      <c r="DQP3" s="1">
        <v>31296</v>
      </c>
      <c r="DQQ3" s="1">
        <v>0</v>
      </c>
      <c r="DQR3" s="1">
        <v>0</v>
      </c>
      <c r="DQS3" s="1">
        <v>24097</v>
      </c>
      <c r="DQT3" s="1">
        <v>91250</v>
      </c>
      <c r="DQU3" s="1">
        <v>47938</v>
      </c>
      <c r="DQV3" s="1">
        <v>70341</v>
      </c>
      <c r="DQW3" s="1">
        <v>38032</v>
      </c>
      <c r="DQX3" s="1">
        <v>57500</v>
      </c>
      <c r="DQY3" s="1">
        <v>72083</v>
      </c>
      <c r="DQZ3" s="1">
        <v>56410</v>
      </c>
      <c r="DRA3" s="1">
        <v>57455</v>
      </c>
      <c r="DRB3" s="1">
        <v>93061</v>
      </c>
      <c r="DRC3" s="1">
        <v>0</v>
      </c>
      <c r="DRD3" s="1">
        <v>48750</v>
      </c>
      <c r="DRE3" s="1">
        <v>47500</v>
      </c>
      <c r="DRF3" s="1">
        <v>35000</v>
      </c>
      <c r="DRG3" s="1">
        <v>0</v>
      </c>
      <c r="DRH3" s="1">
        <v>55833</v>
      </c>
      <c r="DRI3" s="1">
        <v>63491</v>
      </c>
      <c r="DRJ3" s="1">
        <v>59892</v>
      </c>
      <c r="DRK3" s="1">
        <v>77399</v>
      </c>
      <c r="DRL3" s="1">
        <v>0</v>
      </c>
      <c r="DRM3" s="1">
        <v>92500</v>
      </c>
      <c r="DRN3" s="1">
        <v>0</v>
      </c>
      <c r="DRO3" s="1">
        <v>94091</v>
      </c>
      <c r="DRP3" s="1">
        <v>0</v>
      </c>
      <c r="DRQ3" s="1">
        <v>44471</v>
      </c>
      <c r="DRR3" s="1">
        <v>52708</v>
      </c>
      <c r="DRS3" s="1">
        <v>70917</v>
      </c>
      <c r="DRT3" s="1">
        <v>75978</v>
      </c>
      <c r="DRU3" s="1">
        <v>65397</v>
      </c>
      <c r="DRV3" s="1">
        <v>0</v>
      </c>
      <c r="DRW3" s="1">
        <v>0</v>
      </c>
      <c r="DRX3" s="1">
        <v>93868</v>
      </c>
      <c r="DRY3" s="1">
        <v>66792</v>
      </c>
      <c r="DRZ3" s="1">
        <v>30660</v>
      </c>
      <c r="DSA3" s="1">
        <v>29207</v>
      </c>
      <c r="DSB3" s="1">
        <v>51196</v>
      </c>
      <c r="DSC3" s="1">
        <v>0</v>
      </c>
      <c r="DSD3" s="1">
        <v>29659</v>
      </c>
      <c r="DSE3" s="1">
        <v>0</v>
      </c>
      <c r="DSF3" s="1">
        <v>72750</v>
      </c>
      <c r="DSG3" s="1">
        <v>40875</v>
      </c>
      <c r="DSH3" s="1">
        <v>0</v>
      </c>
      <c r="DSI3" s="1">
        <v>64023</v>
      </c>
      <c r="DSJ3" s="1">
        <v>58611</v>
      </c>
      <c r="DSK3" s="1">
        <v>40500</v>
      </c>
      <c r="DSL3" s="1">
        <v>53679</v>
      </c>
      <c r="DSM3" s="1">
        <v>0</v>
      </c>
      <c r="DSN3" s="1">
        <v>0</v>
      </c>
      <c r="DSO3" s="1">
        <v>33889</v>
      </c>
      <c r="DSP3" s="1">
        <v>0</v>
      </c>
      <c r="DSQ3" s="1">
        <v>0</v>
      </c>
      <c r="DSR3" s="1">
        <v>12632</v>
      </c>
      <c r="DSS3" s="1">
        <v>0</v>
      </c>
      <c r="DST3" s="1">
        <v>56346</v>
      </c>
      <c r="DSU3" s="1">
        <v>62955</v>
      </c>
      <c r="DSV3" s="1">
        <v>46250</v>
      </c>
      <c r="DSW3" s="1">
        <v>70313</v>
      </c>
      <c r="DSX3" s="1">
        <v>0</v>
      </c>
      <c r="DSY3" s="1">
        <v>51316</v>
      </c>
      <c r="DSZ3" s="1">
        <v>43904</v>
      </c>
      <c r="DTA3" s="1">
        <v>24795</v>
      </c>
      <c r="DTB3" s="1">
        <v>0</v>
      </c>
      <c r="DTC3" s="1">
        <v>32575</v>
      </c>
      <c r="DTD3" s="1">
        <v>0</v>
      </c>
      <c r="DTE3" s="1">
        <v>25147</v>
      </c>
      <c r="DTF3" s="1">
        <v>69231</v>
      </c>
      <c r="DTG3" s="1">
        <v>79621</v>
      </c>
      <c r="DTH3" s="1">
        <v>55088</v>
      </c>
      <c r="DTI3" s="1">
        <v>88661</v>
      </c>
      <c r="DTJ3" s="1">
        <v>0</v>
      </c>
      <c r="DTK3" s="1">
        <v>55362</v>
      </c>
      <c r="DTL3" s="1">
        <v>65302</v>
      </c>
      <c r="DTM3" s="1">
        <v>0</v>
      </c>
      <c r="DTN3" s="1">
        <v>56366</v>
      </c>
      <c r="DTO3" s="1">
        <v>42311</v>
      </c>
      <c r="DTP3" s="1">
        <v>0</v>
      </c>
      <c r="DTQ3" s="1">
        <v>61042</v>
      </c>
      <c r="DTR3" s="1">
        <v>52670</v>
      </c>
      <c r="DTS3" s="1">
        <v>0</v>
      </c>
      <c r="DTT3" s="1">
        <v>102757</v>
      </c>
      <c r="DTU3" s="1">
        <v>36406</v>
      </c>
      <c r="DTV3" s="1">
        <v>0</v>
      </c>
      <c r="DTW3" s="1">
        <v>0</v>
      </c>
      <c r="DTX3" s="1">
        <v>54789</v>
      </c>
      <c r="DTY3" s="1">
        <v>0</v>
      </c>
      <c r="DTZ3" s="1">
        <v>0</v>
      </c>
      <c r="DUA3" s="1">
        <v>0</v>
      </c>
      <c r="DUB3" s="1">
        <v>0</v>
      </c>
      <c r="DUC3" s="1">
        <v>33650</v>
      </c>
      <c r="DUD3" s="1">
        <v>43447</v>
      </c>
      <c r="DUE3" s="1">
        <v>77841</v>
      </c>
      <c r="DUF3" s="1">
        <v>0</v>
      </c>
      <c r="DUG3" s="1">
        <v>96071</v>
      </c>
      <c r="DUH3" s="1">
        <v>0</v>
      </c>
      <c r="DUI3" s="1">
        <v>0</v>
      </c>
      <c r="DUJ3" s="1">
        <v>76635</v>
      </c>
      <c r="DUK3" s="1">
        <v>0</v>
      </c>
      <c r="DUL3" s="1">
        <v>40260</v>
      </c>
      <c r="DUM3" s="1">
        <v>49926</v>
      </c>
      <c r="DUN3" s="1">
        <v>22228</v>
      </c>
      <c r="DUO3" s="1">
        <v>89750</v>
      </c>
      <c r="DUP3" s="1">
        <v>0</v>
      </c>
      <c r="DUQ3" s="1">
        <v>0</v>
      </c>
      <c r="DUR3" s="1">
        <v>56321</v>
      </c>
      <c r="DUS3" s="1">
        <v>49125</v>
      </c>
      <c r="DUT3" s="1">
        <v>87813</v>
      </c>
      <c r="DUU3" s="1">
        <v>56087</v>
      </c>
      <c r="DUV3" s="1">
        <v>39219</v>
      </c>
      <c r="DUW3" s="1">
        <v>64750</v>
      </c>
      <c r="DUX3" s="1">
        <v>96563</v>
      </c>
      <c r="DUY3" s="1">
        <v>57529</v>
      </c>
      <c r="DUZ3" s="1">
        <v>57563</v>
      </c>
      <c r="DVA3" s="1">
        <v>51939</v>
      </c>
      <c r="DVB3" s="1">
        <v>43843</v>
      </c>
      <c r="DVC3" s="1">
        <v>61439</v>
      </c>
      <c r="DVD3" s="1">
        <v>36700</v>
      </c>
      <c r="DVE3" s="1">
        <v>49096</v>
      </c>
      <c r="DVF3" s="1">
        <v>0</v>
      </c>
      <c r="DVG3" s="1">
        <v>71282</v>
      </c>
      <c r="DVH3" s="1">
        <v>62865</v>
      </c>
      <c r="DVI3" s="1">
        <v>63333</v>
      </c>
      <c r="DVJ3" s="1">
        <v>80444</v>
      </c>
      <c r="DVK3" s="1">
        <v>46250</v>
      </c>
      <c r="DVL3" s="1">
        <v>41250</v>
      </c>
      <c r="DVM3" s="1">
        <v>45455</v>
      </c>
      <c r="DVN3" s="1">
        <v>48101</v>
      </c>
      <c r="DVO3" s="1">
        <v>42431</v>
      </c>
      <c r="DVP3" s="1">
        <v>38750</v>
      </c>
      <c r="DVQ3" s="1">
        <v>53125</v>
      </c>
      <c r="DVR3" s="1">
        <v>52368</v>
      </c>
      <c r="DVS3" s="1">
        <v>54333</v>
      </c>
      <c r="DVT3" s="1">
        <v>21063</v>
      </c>
      <c r="DVU3" s="1">
        <v>55525</v>
      </c>
      <c r="DVV3" s="1">
        <v>73975</v>
      </c>
      <c r="DVW3" s="1">
        <v>80200</v>
      </c>
      <c r="DVX3" s="1">
        <v>0</v>
      </c>
      <c r="DVY3" s="1">
        <v>62454</v>
      </c>
      <c r="DVZ3" s="1">
        <v>52920</v>
      </c>
      <c r="DWA3" s="1">
        <v>58046</v>
      </c>
      <c r="DWB3" s="1">
        <v>58220</v>
      </c>
      <c r="DWC3" s="1">
        <v>63945</v>
      </c>
      <c r="DWD3" s="1">
        <v>86462</v>
      </c>
      <c r="DWE3" s="1">
        <v>50110</v>
      </c>
      <c r="DWF3" s="1">
        <v>50162</v>
      </c>
      <c r="DWG3" s="1">
        <v>41635</v>
      </c>
      <c r="DWH3" s="1">
        <v>49157</v>
      </c>
      <c r="DWI3" s="1">
        <v>82190</v>
      </c>
      <c r="DWJ3" s="1">
        <v>68897</v>
      </c>
      <c r="DWK3" s="1">
        <v>90962</v>
      </c>
      <c r="DWL3" s="1">
        <v>64070</v>
      </c>
      <c r="DWM3" s="1">
        <v>95000</v>
      </c>
      <c r="DWN3" s="1">
        <v>101020</v>
      </c>
      <c r="DWO3" s="1">
        <v>86316</v>
      </c>
      <c r="DWP3" s="1">
        <v>96020</v>
      </c>
      <c r="DWQ3" s="1">
        <v>0</v>
      </c>
      <c r="DWR3" s="1">
        <v>45729</v>
      </c>
      <c r="DWS3" s="1">
        <v>90059</v>
      </c>
      <c r="DWT3" s="1">
        <v>86985</v>
      </c>
      <c r="DWU3" s="1">
        <v>80329</v>
      </c>
      <c r="DWV3" s="1">
        <v>86808</v>
      </c>
      <c r="DWW3" s="1">
        <v>68289</v>
      </c>
      <c r="DWX3" s="1">
        <v>47750</v>
      </c>
      <c r="DWY3" s="1">
        <v>61415</v>
      </c>
      <c r="DWZ3" s="1">
        <v>0</v>
      </c>
      <c r="DXA3" s="1">
        <v>82825</v>
      </c>
      <c r="DXB3" s="1">
        <v>120217</v>
      </c>
      <c r="DXC3" s="1">
        <v>103933</v>
      </c>
      <c r="DXD3" s="1">
        <v>0</v>
      </c>
      <c r="DXE3" s="1">
        <v>130278</v>
      </c>
      <c r="DXF3" s="1">
        <v>50024</v>
      </c>
      <c r="DXG3" s="1">
        <v>75821</v>
      </c>
      <c r="DXH3" s="1">
        <v>0</v>
      </c>
      <c r="DXI3" s="1">
        <v>59577</v>
      </c>
      <c r="DXJ3" s="1">
        <v>0</v>
      </c>
      <c r="DXK3" s="1">
        <v>45080</v>
      </c>
      <c r="DXL3" s="1">
        <v>48379</v>
      </c>
      <c r="DXM3" s="1">
        <v>48866</v>
      </c>
      <c r="DXN3" s="1">
        <v>78382</v>
      </c>
      <c r="DXO3" s="1">
        <v>40000</v>
      </c>
      <c r="DXP3" s="1">
        <v>37672</v>
      </c>
      <c r="DXQ3" s="1">
        <v>53179</v>
      </c>
      <c r="DXR3" s="1">
        <v>46237</v>
      </c>
      <c r="DXS3" s="1">
        <v>40781</v>
      </c>
      <c r="DXT3" s="1">
        <v>65881</v>
      </c>
      <c r="DXU3" s="1">
        <v>57375</v>
      </c>
      <c r="DXV3" s="1">
        <v>58056</v>
      </c>
      <c r="DXW3" s="1">
        <v>39976</v>
      </c>
      <c r="DXX3" s="1">
        <v>81187</v>
      </c>
      <c r="DXY3" s="1">
        <v>61583</v>
      </c>
      <c r="DXZ3" s="1">
        <v>68048</v>
      </c>
      <c r="DYA3" s="1">
        <v>21029</v>
      </c>
      <c r="DYB3" s="1">
        <v>67941</v>
      </c>
      <c r="DYC3" s="1">
        <v>62292</v>
      </c>
      <c r="DYD3" s="1">
        <v>0</v>
      </c>
      <c r="DYE3" s="1">
        <v>61818</v>
      </c>
      <c r="DYF3" s="1">
        <v>0</v>
      </c>
      <c r="DYG3" s="1">
        <v>89712</v>
      </c>
      <c r="DYH3" s="1">
        <v>0</v>
      </c>
      <c r="DYI3" s="1">
        <v>49940</v>
      </c>
      <c r="DYJ3" s="1">
        <v>67313</v>
      </c>
      <c r="DYK3" s="1">
        <v>43293</v>
      </c>
      <c r="DYL3" s="1">
        <v>33438</v>
      </c>
      <c r="DYM3" s="1">
        <v>104432</v>
      </c>
      <c r="DYN3" s="1">
        <v>0</v>
      </c>
      <c r="DYO3" s="1">
        <v>32628</v>
      </c>
      <c r="DYP3" s="1">
        <v>0</v>
      </c>
      <c r="DYQ3" s="1">
        <v>45631</v>
      </c>
      <c r="DYR3" s="1">
        <v>53512</v>
      </c>
      <c r="DYS3" s="1">
        <v>0</v>
      </c>
      <c r="DYT3" s="1">
        <v>47010</v>
      </c>
      <c r="DYU3" s="1">
        <v>50107</v>
      </c>
      <c r="DYV3" s="1">
        <v>25588</v>
      </c>
      <c r="DYW3" s="1">
        <v>0</v>
      </c>
      <c r="DYX3" s="1">
        <v>0</v>
      </c>
      <c r="DYY3" s="1">
        <v>0</v>
      </c>
      <c r="DYZ3" s="1">
        <v>23914</v>
      </c>
      <c r="DZA3" s="1">
        <v>54750</v>
      </c>
      <c r="DZB3" s="1">
        <v>13879</v>
      </c>
      <c r="DZC3" s="1">
        <v>65924</v>
      </c>
      <c r="DZD3" s="1">
        <v>53162</v>
      </c>
      <c r="DZE3" s="1">
        <v>0</v>
      </c>
      <c r="DZF3" s="1">
        <v>0</v>
      </c>
      <c r="DZG3" s="1">
        <v>0</v>
      </c>
      <c r="DZH3" s="1">
        <v>68125</v>
      </c>
      <c r="DZI3" s="1">
        <v>51667</v>
      </c>
      <c r="DZJ3" s="1">
        <v>89276</v>
      </c>
      <c r="DZK3" s="1">
        <v>39573</v>
      </c>
      <c r="DZL3" s="1">
        <v>85107</v>
      </c>
      <c r="DZM3" s="1">
        <v>35444</v>
      </c>
      <c r="DZN3" s="1">
        <v>40900</v>
      </c>
      <c r="DZO3" s="1">
        <v>53776</v>
      </c>
      <c r="DZP3" s="1">
        <v>0</v>
      </c>
      <c r="DZQ3" s="1">
        <v>25333</v>
      </c>
      <c r="DZR3" s="1">
        <v>42295</v>
      </c>
      <c r="DZS3" s="1">
        <v>0</v>
      </c>
      <c r="DZT3" s="1">
        <v>0</v>
      </c>
      <c r="DZU3" s="1">
        <v>29355</v>
      </c>
      <c r="DZV3" s="1">
        <v>0</v>
      </c>
      <c r="DZW3" s="1">
        <v>23321</v>
      </c>
      <c r="DZX3" s="1">
        <v>0</v>
      </c>
      <c r="DZY3" s="1">
        <v>36125</v>
      </c>
      <c r="DZZ3" s="1">
        <v>0</v>
      </c>
      <c r="EAA3" s="1">
        <v>21964</v>
      </c>
      <c r="EAB3" s="1">
        <v>31129</v>
      </c>
      <c r="EAC3" s="1">
        <v>39929</v>
      </c>
      <c r="EAD3" s="1">
        <v>40000</v>
      </c>
      <c r="EAE3" s="1">
        <v>0</v>
      </c>
      <c r="EAF3" s="1">
        <v>0</v>
      </c>
      <c r="EAG3" s="1">
        <v>67500</v>
      </c>
      <c r="EAH3" s="1">
        <v>22846</v>
      </c>
      <c r="EAI3" s="1">
        <v>54250</v>
      </c>
      <c r="EAJ3" s="1">
        <v>0</v>
      </c>
      <c r="EAK3" s="1">
        <v>51671</v>
      </c>
      <c r="EAL3" s="1">
        <v>39225</v>
      </c>
      <c r="EAM3" s="1">
        <v>25457</v>
      </c>
      <c r="EAN3" s="1">
        <v>51646</v>
      </c>
      <c r="EAO3" s="1">
        <v>60608</v>
      </c>
      <c r="EAP3" s="1">
        <v>0</v>
      </c>
      <c r="EAQ3" s="1">
        <v>49370</v>
      </c>
      <c r="EAR3" s="1">
        <v>0</v>
      </c>
      <c r="EAS3" s="1">
        <v>0</v>
      </c>
      <c r="EAT3" s="1">
        <v>50417</v>
      </c>
      <c r="EAU3" s="1">
        <v>57500</v>
      </c>
      <c r="EAV3" s="1">
        <v>0</v>
      </c>
      <c r="EAW3" s="1">
        <v>90516</v>
      </c>
      <c r="EAX3" s="1">
        <v>93289</v>
      </c>
      <c r="EAY3" s="1">
        <v>0</v>
      </c>
      <c r="EAZ3" s="1">
        <v>58785</v>
      </c>
      <c r="EBA3" s="1">
        <v>0</v>
      </c>
      <c r="EBB3" s="1">
        <v>61146</v>
      </c>
      <c r="EBC3" s="1">
        <v>58629</v>
      </c>
      <c r="EBD3" s="1">
        <v>84020</v>
      </c>
      <c r="EBE3" s="1">
        <v>0</v>
      </c>
      <c r="EBF3" s="1">
        <v>76625</v>
      </c>
      <c r="EBG3" s="1">
        <v>0</v>
      </c>
      <c r="EBH3" s="1">
        <v>59825</v>
      </c>
      <c r="EBI3" s="1">
        <v>59750</v>
      </c>
      <c r="EBJ3" s="1">
        <v>84619</v>
      </c>
      <c r="EBK3" s="1">
        <v>92708</v>
      </c>
      <c r="EBL3" s="1">
        <v>0</v>
      </c>
      <c r="EBM3" s="1">
        <v>0</v>
      </c>
      <c r="EBN3" s="1">
        <v>0</v>
      </c>
      <c r="EBO3" s="1">
        <v>0</v>
      </c>
      <c r="EBP3" s="1">
        <v>0</v>
      </c>
      <c r="EBQ3" s="1">
        <v>0</v>
      </c>
      <c r="EBR3" s="1">
        <v>0</v>
      </c>
      <c r="EBS3" s="1">
        <v>28491</v>
      </c>
      <c r="EBT3" s="1">
        <v>0</v>
      </c>
      <c r="EBU3" s="1">
        <v>77742</v>
      </c>
      <c r="EBV3" s="1">
        <v>73224</v>
      </c>
      <c r="EBW3" s="1">
        <v>39509</v>
      </c>
      <c r="EBX3" s="1">
        <v>66042</v>
      </c>
      <c r="EBY3" s="1">
        <v>52035</v>
      </c>
      <c r="EBZ3" s="1">
        <v>0</v>
      </c>
      <c r="ECA3" s="1">
        <v>52841</v>
      </c>
      <c r="ECB3" s="1">
        <v>26492</v>
      </c>
      <c r="ECC3" s="1">
        <v>81477</v>
      </c>
      <c r="ECD3" s="1">
        <v>0</v>
      </c>
      <c r="ECE3" s="1">
        <v>23899</v>
      </c>
      <c r="ECF3" s="1">
        <v>60396</v>
      </c>
      <c r="ECG3" s="1">
        <v>47695</v>
      </c>
      <c r="ECH3" s="1">
        <v>72727</v>
      </c>
      <c r="ECI3" s="1">
        <v>51402</v>
      </c>
      <c r="ECJ3" s="1">
        <v>0</v>
      </c>
      <c r="ECK3" s="1">
        <v>36750</v>
      </c>
      <c r="ECL3" s="1">
        <v>0</v>
      </c>
      <c r="ECM3" s="1">
        <v>0</v>
      </c>
      <c r="ECN3" s="1">
        <v>83516</v>
      </c>
      <c r="ECO3" s="1">
        <v>39100</v>
      </c>
      <c r="ECP3" s="1">
        <v>0</v>
      </c>
      <c r="ECQ3" s="1">
        <v>44464</v>
      </c>
      <c r="ECR3" s="1">
        <v>0</v>
      </c>
      <c r="ECS3" s="1">
        <v>60399</v>
      </c>
      <c r="ECT3" s="1">
        <v>76845</v>
      </c>
      <c r="ECU3" s="1">
        <v>0</v>
      </c>
      <c r="ECV3" s="1">
        <v>34184</v>
      </c>
      <c r="ECW3" s="1">
        <v>0</v>
      </c>
      <c r="ECX3" s="1">
        <v>0</v>
      </c>
      <c r="ECY3" s="1">
        <v>0</v>
      </c>
      <c r="ECZ3" s="1">
        <v>0</v>
      </c>
      <c r="EDA3" s="1">
        <v>56650</v>
      </c>
      <c r="EDB3" s="1">
        <v>0</v>
      </c>
      <c r="EDC3" s="1">
        <v>0</v>
      </c>
      <c r="EDD3" s="1">
        <v>36679</v>
      </c>
      <c r="EDE3" s="1">
        <v>0</v>
      </c>
      <c r="EDF3" s="1">
        <v>42631</v>
      </c>
      <c r="EDG3" s="1">
        <v>58906</v>
      </c>
      <c r="EDH3" s="1">
        <v>57500</v>
      </c>
      <c r="EDI3" s="1">
        <v>74167</v>
      </c>
      <c r="EDJ3" s="1">
        <v>37212</v>
      </c>
      <c r="EDK3" s="1">
        <v>41452</v>
      </c>
      <c r="EDL3" s="1">
        <v>0</v>
      </c>
      <c r="EDM3" s="1">
        <v>72500</v>
      </c>
      <c r="EDN3" s="1">
        <v>40212</v>
      </c>
      <c r="EDO3" s="1">
        <v>28500</v>
      </c>
      <c r="EDP3" s="1">
        <v>27825</v>
      </c>
      <c r="EDQ3" s="1">
        <v>47500</v>
      </c>
      <c r="EDR3" s="1">
        <v>74306</v>
      </c>
      <c r="EDS3" s="1">
        <v>0</v>
      </c>
      <c r="EDT3" s="1">
        <v>58625</v>
      </c>
      <c r="EDU3" s="1">
        <v>30000</v>
      </c>
      <c r="EDV3" s="1">
        <v>50474</v>
      </c>
      <c r="EDW3" s="1">
        <v>39583</v>
      </c>
      <c r="EDX3" s="1">
        <v>59500</v>
      </c>
      <c r="EDY3" s="1">
        <v>57382</v>
      </c>
      <c r="EDZ3" s="1">
        <v>53649</v>
      </c>
      <c r="EEA3" s="1">
        <v>119219</v>
      </c>
      <c r="EEB3" s="1">
        <v>56713</v>
      </c>
      <c r="EEC3" s="1">
        <v>88409</v>
      </c>
      <c r="EED3" s="1">
        <v>42000</v>
      </c>
      <c r="EEE3" s="1">
        <v>43235</v>
      </c>
      <c r="EEF3" s="1">
        <v>55545</v>
      </c>
      <c r="EEG3" s="1">
        <v>63403</v>
      </c>
      <c r="EEH3" s="1">
        <v>31250</v>
      </c>
      <c r="EEI3" s="1">
        <v>63424</v>
      </c>
      <c r="EEJ3" s="1">
        <v>95673</v>
      </c>
      <c r="EEK3" s="1">
        <v>0</v>
      </c>
      <c r="EEL3" s="1">
        <v>69922</v>
      </c>
      <c r="EEM3" s="1">
        <v>78712</v>
      </c>
      <c r="EEN3" s="1">
        <v>59027</v>
      </c>
      <c r="EEO3" s="1">
        <v>55729</v>
      </c>
      <c r="EEP3" s="1">
        <v>51875</v>
      </c>
      <c r="EEQ3" s="1">
        <v>60938</v>
      </c>
      <c r="EER3" s="1">
        <v>45556</v>
      </c>
      <c r="EES3" s="1">
        <v>51695</v>
      </c>
      <c r="EET3" s="1">
        <v>65549</v>
      </c>
      <c r="EEU3" s="1">
        <v>71131</v>
      </c>
      <c r="EEV3" s="1">
        <v>57692</v>
      </c>
      <c r="EEW3" s="1">
        <v>42500</v>
      </c>
      <c r="EEX3" s="1">
        <v>31550</v>
      </c>
      <c r="EEY3" s="1">
        <v>0</v>
      </c>
      <c r="EEZ3" s="1">
        <v>40814</v>
      </c>
      <c r="EFA3" s="1">
        <v>67245</v>
      </c>
      <c r="EFB3" s="1">
        <v>56588</v>
      </c>
      <c r="EFC3" s="1">
        <v>50893</v>
      </c>
      <c r="EFD3" s="1">
        <v>41929</v>
      </c>
      <c r="EFE3" s="1">
        <v>41622</v>
      </c>
      <c r="EFF3" s="1">
        <v>60750</v>
      </c>
      <c r="EFG3" s="1">
        <v>67004</v>
      </c>
      <c r="EFH3" s="1">
        <v>0</v>
      </c>
      <c r="EFI3" s="1">
        <v>0</v>
      </c>
      <c r="EFJ3" s="1">
        <v>54747</v>
      </c>
      <c r="EFK3" s="1">
        <v>54113</v>
      </c>
      <c r="EFL3" s="1">
        <v>61146</v>
      </c>
      <c r="EFM3" s="1">
        <v>50568</v>
      </c>
      <c r="EFN3" s="1">
        <v>0</v>
      </c>
      <c r="EFO3" s="1">
        <v>48250</v>
      </c>
      <c r="EFP3" s="1">
        <v>54677</v>
      </c>
      <c r="EFQ3" s="1">
        <v>49193</v>
      </c>
      <c r="EFR3" s="1">
        <v>61992</v>
      </c>
      <c r="EFS3" s="1">
        <v>59036</v>
      </c>
      <c r="EFT3" s="1">
        <v>35203</v>
      </c>
      <c r="EFU3" s="1">
        <v>70918</v>
      </c>
      <c r="EFV3" s="1">
        <v>79314</v>
      </c>
      <c r="EFW3" s="1">
        <v>65793</v>
      </c>
      <c r="EFX3" s="1">
        <v>80714</v>
      </c>
      <c r="EFY3" s="1">
        <v>51597</v>
      </c>
      <c r="EFZ3" s="1">
        <v>0</v>
      </c>
      <c r="EGA3" s="1">
        <v>35288</v>
      </c>
      <c r="EGB3" s="1">
        <v>30757</v>
      </c>
      <c r="EGC3" s="1">
        <v>39955</v>
      </c>
      <c r="EGD3" s="1">
        <v>44519</v>
      </c>
      <c r="EGE3" s="1">
        <v>33309</v>
      </c>
      <c r="EGF3" s="1">
        <v>0</v>
      </c>
      <c r="EGG3" s="1">
        <v>85833</v>
      </c>
      <c r="EGH3" s="1">
        <v>0</v>
      </c>
      <c r="EGI3" s="1">
        <v>58270</v>
      </c>
      <c r="EGJ3" s="1">
        <v>51058</v>
      </c>
      <c r="EGK3" s="1">
        <v>34306</v>
      </c>
      <c r="EGL3" s="1">
        <v>0</v>
      </c>
      <c r="EGM3" s="1">
        <v>0</v>
      </c>
      <c r="EGN3" s="1">
        <v>49886</v>
      </c>
      <c r="EGO3" s="1">
        <v>0</v>
      </c>
      <c r="EGP3" s="1">
        <v>77935</v>
      </c>
      <c r="EGQ3" s="1">
        <v>41250</v>
      </c>
      <c r="EGR3" s="1">
        <v>53102</v>
      </c>
      <c r="EGS3" s="1">
        <v>46132</v>
      </c>
      <c r="EGT3" s="1">
        <v>63194</v>
      </c>
      <c r="EGU3" s="1">
        <v>83393</v>
      </c>
      <c r="EGV3" s="1">
        <v>57396</v>
      </c>
      <c r="EGW3" s="1">
        <v>63512</v>
      </c>
      <c r="EGX3" s="1">
        <v>72426</v>
      </c>
      <c r="EGY3" s="1">
        <v>34255</v>
      </c>
      <c r="EGZ3" s="1">
        <v>57574</v>
      </c>
      <c r="EHA3" s="1">
        <v>43000</v>
      </c>
      <c r="EHB3" s="1">
        <v>0</v>
      </c>
      <c r="EHC3" s="1">
        <v>58828</v>
      </c>
      <c r="EHD3" s="1">
        <v>0</v>
      </c>
      <c r="EHE3" s="1">
        <v>62917</v>
      </c>
      <c r="EHF3" s="1">
        <v>60188</v>
      </c>
      <c r="EHG3" s="1">
        <v>36354</v>
      </c>
      <c r="EHH3" s="1">
        <v>38382</v>
      </c>
      <c r="EHI3" s="1">
        <v>48889</v>
      </c>
      <c r="EHJ3" s="1">
        <v>60800</v>
      </c>
      <c r="EHK3" s="1">
        <v>60379</v>
      </c>
      <c r="EHL3" s="1">
        <v>47386</v>
      </c>
      <c r="EHM3" s="1">
        <v>0</v>
      </c>
      <c r="EHN3" s="1">
        <v>65500</v>
      </c>
      <c r="EHO3" s="1">
        <v>29861</v>
      </c>
      <c r="EHP3" s="1">
        <v>52660</v>
      </c>
      <c r="EHQ3" s="1">
        <v>37348</v>
      </c>
      <c r="EHR3" s="1">
        <v>0</v>
      </c>
      <c r="EHS3" s="1">
        <v>0</v>
      </c>
      <c r="EHT3" s="1">
        <v>55333</v>
      </c>
      <c r="EHU3" s="1">
        <v>93352</v>
      </c>
      <c r="EHV3" s="1">
        <v>31016</v>
      </c>
      <c r="EHW3" s="1">
        <v>0</v>
      </c>
      <c r="EHX3" s="1">
        <v>0</v>
      </c>
      <c r="EHY3" s="1">
        <v>49773</v>
      </c>
      <c r="EHZ3" s="1">
        <v>65813</v>
      </c>
      <c r="EIA3" s="1">
        <v>83125</v>
      </c>
      <c r="EIB3" s="1">
        <v>27685</v>
      </c>
      <c r="EIC3" s="1">
        <v>35139</v>
      </c>
      <c r="EID3" s="1">
        <v>0</v>
      </c>
      <c r="EIE3" s="1">
        <v>86843</v>
      </c>
      <c r="EIF3" s="1">
        <v>63854</v>
      </c>
      <c r="EIG3" s="1">
        <v>50556</v>
      </c>
      <c r="EIH3" s="1">
        <v>83265</v>
      </c>
      <c r="EII3" s="1">
        <v>90208</v>
      </c>
      <c r="EIJ3" s="1">
        <v>46563</v>
      </c>
      <c r="EIK3" s="1">
        <v>39922</v>
      </c>
      <c r="EIL3" s="1">
        <v>71875</v>
      </c>
      <c r="EIM3" s="1">
        <v>49622</v>
      </c>
      <c r="EIN3" s="1">
        <v>0</v>
      </c>
      <c r="EIO3" s="1">
        <v>60486</v>
      </c>
      <c r="EIP3" s="1">
        <v>50865</v>
      </c>
      <c r="EIQ3" s="1">
        <v>55250</v>
      </c>
      <c r="EIR3" s="1">
        <v>0</v>
      </c>
      <c r="EIS3" s="1">
        <v>47180</v>
      </c>
      <c r="EIT3" s="1">
        <v>0</v>
      </c>
      <c r="EIU3" s="1">
        <v>0</v>
      </c>
      <c r="EIV3" s="1">
        <v>109299</v>
      </c>
      <c r="EIW3" s="1">
        <v>52049</v>
      </c>
      <c r="EIX3" s="1">
        <v>42944</v>
      </c>
      <c r="EIY3" s="1">
        <v>50779</v>
      </c>
      <c r="EIZ3" s="1">
        <v>66000</v>
      </c>
      <c r="EJA3" s="1">
        <v>0</v>
      </c>
      <c r="EJB3" s="1">
        <v>73026</v>
      </c>
      <c r="EJC3" s="1">
        <v>64073</v>
      </c>
      <c r="EJD3" s="1">
        <v>13878</v>
      </c>
      <c r="EJE3" s="1">
        <v>87857</v>
      </c>
      <c r="EJF3" s="1">
        <v>71157</v>
      </c>
      <c r="EJG3" s="1">
        <v>49583</v>
      </c>
      <c r="EJH3" s="1">
        <v>49226</v>
      </c>
      <c r="EJI3" s="1">
        <v>27794</v>
      </c>
      <c r="EJJ3" s="1">
        <v>61761</v>
      </c>
      <c r="EJK3" s="1">
        <v>48740</v>
      </c>
      <c r="EJL3" s="1">
        <v>63125</v>
      </c>
      <c r="EJM3" s="1">
        <v>34844</v>
      </c>
      <c r="EJN3" s="1">
        <v>70595</v>
      </c>
      <c r="EJO3" s="1">
        <v>0</v>
      </c>
      <c r="EJP3" s="1">
        <v>38068</v>
      </c>
      <c r="EJQ3" s="1">
        <v>52009</v>
      </c>
      <c r="EJR3" s="1">
        <v>0</v>
      </c>
      <c r="EJS3" s="1">
        <v>53803</v>
      </c>
      <c r="EJT3" s="1">
        <v>0</v>
      </c>
      <c r="EJU3" s="1">
        <v>26779</v>
      </c>
      <c r="EJV3" s="1">
        <v>68750</v>
      </c>
      <c r="EJW3" s="1">
        <v>0</v>
      </c>
      <c r="EJX3" s="1">
        <v>63063</v>
      </c>
      <c r="EJY3" s="1">
        <v>97546</v>
      </c>
      <c r="EJZ3" s="1">
        <v>46667</v>
      </c>
      <c r="EKA3" s="1">
        <v>52500</v>
      </c>
      <c r="EKB3" s="1">
        <v>51042</v>
      </c>
      <c r="EKC3" s="1">
        <v>69000</v>
      </c>
      <c r="EKD3" s="1">
        <v>48019</v>
      </c>
      <c r="EKE3" s="1">
        <v>66071</v>
      </c>
      <c r="EKF3" s="1">
        <v>45000</v>
      </c>
      <c r="EKG3" s="1">
        <v>62173</v>
      </c>
      <c r="EKH3" s="1">
        <v>42275</v>
      </c>
      <c r="EKI3" s="1">
        <v>0</v>
      </c>
      <c r="EKJ3" s="1">
        <v>83247</v>
      </c>
      <c r="EKK3" s="1">
        <v>52440</v>
      </c>
      <c r="EKL3" s="1">
        <v>0</v>
      </c>
      <c r="EKM3" s="1">
        <v>78750</v>
      </c>
      <c r="EKN3" s="1">
        <v>11438</v>
      </c>
      <c r="EKO3" s="1">
        <v>80938</v>
      </c>
      <c r="EKP3" s="1">
        <v>31658</v>
      </c>
      <c r="EKQ3" s="1">
        <v>57788</v>
      </c>
      <c r="EKR3" s="1">
        <v>86445</v>
      </c>
      <c r="EKS3" s="1">
        <v>59063</v>
      </c>
      <c r="EKT3" s="1">
        <v>0</v>
      </c>
      <c r="EKU3" s="1">
        <v>0</v>
      </c>
      <c r="EKV3" s="1">
        <v>49149</v>
      </c>
      <c r="EKW3" s="1">
        <v>67284</v>
      </c>
      <c r="EKX3" s="1">
        <v>69271</v>
      </c>
      <c r="EKY3" s="1">
        <v>78182</v>
      </c>
      <c r="EKZ3" s="1">
        <v>7198</v>
      </c>
      <c r="ELA3" s="1">
        <v>0</v>
      </c>
      <c r="ELB3" s="1">
        <v>19188</v>
      </c>
      <c r="ELC3" s="1">
        <v>58333</v>
      </c>
      <c r="ELD3" s="1">
        <v>62885</v>
      </c>
      <c r="ELE3" s="1">
        <v>71944</v>
      </c>
      <c r="ELF3" s="1">
        <v>45750</v>
      </c>
      <c r="ELG3" s="1">
        <v>53393</v>
      </c>
      <c r="ELH3" s="1">
        <v>39280</v>
      </c>
      <c r="ELI3" s="1">
        <v>97180</v>
      </c>
      <c r="ELJ3" s="1">
        <v>57960</v>
      </c>
      <c r="ELK3" s="1">
        <v>48462</v>
      </c>
      <c r="ELL3" s="1">
        <v>71250</v>
      </c>
      <c r="ELM3" s="1">
        <v>56528</v>
      </c>
      <c r="ELN3" s="1">
        <v>88125</v>
      </c>
      <c r="ELO3" s="1">
        <v>67566</v>
      </c>
      <c r="ELP3" s="1">
        <v>97928</v>
      </c>
      <c r="ELQ3" s="1">
        <v>76000</v>
      </c>
      <c r="ELR3" s="1">
        <v>48353</v>
      </c>
      <c r="ELS3" s="1">
        <v>43750</v>
      </c>
      <c r="ELT3" s="1">
        <v>63170</v>
      </c>
      <c r="ELU3" s="1">
        <v>16304</v>
      </c>
      <c r="ELV3" s="1">
        <v>55938</v>
      </c>
      <c r="ELW3" s="1">
        <v>33750</v>
      </c>
      <c r="ELX3" s="1">
        <v>40398</v>
      </c>
      <c r="ELY3" s="1">
        <v>57431</v>
      </c>
      <c r="ELZ3" s="1">
        <v>38770</v>
      </c>
      <c r="EMA3" s="1">
        <v>62656</v>
      </c>
      <c r="EMB3" s="1">
        <v>39531</v>
      </c>
      <c r="EMC3" s="1">
        <v>0</v>
      </c>
      <c r="EMD3" s="1">
        <v>0</v>
      </c>
      <c r="EME3" s="1">
        <v>92083</v>
      </c>
      <c r="EMF3" s="1">
        <v>59067</v>
      </c>
      <c r="EMG3" s="1">
        <v>71500</v>
      </c>
      <c r="EMH3" s="1">
        <v>118194</v>
      </c>
      <c r="EMI3" s="1">
        <v>0</v>
      </c>
      <c r="EMJ3" s="1">
        <v>105909</v>
      </c>
      <c r="EMK3" s="1">
        <v>46908</v>
      </c>
      <c r="EML3" s="1">
        <v>0</v>
      </c>
      <c r="EMM3" s="1">
        <v>78253</v>
      </c>
      <c r="EMN3" s="1">
        <v>55187</v>
      </c>
      <c r="EMO3" s="1">
        <v>80341</v>
      </c>
      <c r="EMP3" s="1">
        <v>30030</v>
      </c>
      <c r="EMQ3" s="1">
        <v>83472</v>
      </c>
      <c r="EMR3" s="1">
        <v>0</v>
      </c>
      <c r="EMS3" s="1">
        <v>0</v>
      </c>
      <c r="EMT3" s="1">
        <v>76299</v>
      </c>
      <c r="EMU3" s="1">
        <v>55230</v>
      </c>
      <c r="EMV3" s="1">
        <v>30179</v>
      </c>
      <c r="EMW3" s="1">
        <v>75852</v>
      </c>
      <c r="EMX3" s="1">
        <v>87917</v>
      </c>
      <c r="EMY3" s="1">
        <v>131042</v>
      </c>
      <c r="EMZ3" s="1">
        <v>77368</v>
      </c>
      <c r="ENA3" s="1">
        <v>65833</v>
      </c>
      <c r="ENB3" s="1">
        <v>47011</v>
      </c>
      <c r="ENC3" s="1">
        <v>0</v>
      </c>
      <c r="END3" s="1">
        <v>39167</v>
      </c>
      <c r="ENE3" s="1">
        <v>68189</v>
      </c>
      <c r="ENF3" s="1">
        <v>0</v>
      </c>
      <c r="ENG3" s="1">
        <v>40726</v>
      </c>
      <c r="ENH3" s="1">
        <v>65814</v>
      </c>
      <c r="ENI3" s="1">
        <v>44688</v>
      </c>
      <c r="ENJ3" s="1">
        <v>76445</v>
      </c>
      <c r="ENK3" s="1">
        <v>55893</v>
      </c>
      <c r="ENL3" s="1">
        <v>51066</v>
      </c>
      <c r="ENM3" s="1">
        <v>25362</v>
      </c>
      <c r="ENN3" s="1">
        <v>62938</v>
      </c>
      <c r="ENO3" s="1">
        <v>54604</v>
      </c>
      <c r="ENP3" s="1">
        <v>101477</v>
      </c>
      <c r="ENQ3" s="1">
        <v>49971</v>
      </c>
      <c r="ENR3" s="1">
        <v>39177</v>
      </c>
      <c r="ENS3" s="1">
        <v>38875</v>
      </c>
      <c r="ENT3" s="1">
        <v>65096</v>
      </c>
      <c r="ENU3" s="1">
        <v>0</v>
      </c>
      <c r="ENV3" s="1">
        <v>0</v>
      </c>
      <c r="ENW3" s="1">
        <v>53594</v>
      </c>
      <c r="ENX3" s="1">
        <v>74125</v>
      </c>
      <c r="ENY3" s="1">
        <v>53125</v>
      </c>
      <c r="ENZ3" s="1">
        <v>0</v>
      </c>
      <c r="EOA3" s="1">
        <v>39306</v>
      </c>
      <c r="EOB3" s="1">
        <v>0</v>
      </c>
      <c r="EOC3" s="1">
        <v>68188</v>
      </c>
      <c r="EOD3" s="1">
        <v>48073</v>
      </c>
      <c r="EOE3" s="1">
        <v>0</v>
      </c>
      <c r="EOF3" s="1">
        <v>89050</v>
      </c>
      <c r="EOG3" s="1">
        <v>54611</v>
      </c>
      <c r="EOH3" s="1">
        <v>50179</v>
      </c>
      <c r="EOI3" s="1">
        <v>61250</v>
      </c>
      <c r="EOJ3" s="1">
        <v>63375</v>
      </c>
      <c r="EOK3" s="1">
        <v>0</v>
      </c>
      <c r="EOL3" s="1">
        <v>81806</v>
      </c>
      <c r="EOM3" s="1">
        <v>71154</v>
      </c>
      <c r="EON3" s="1">
        <v>0</v>
      </c>
    </row>
    <row r="4" spans="1:3784" x14ac:dyDescent="0.35">
      <c r="A4" t="s">
        <v>113</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c r="ADD4" s="1"/>
      <c r="ADE4" s="1"/>
      <c r="ADF4" s="1"/>
      <c r="ADG4" s="1"/>
      <c r="ADH4" s="1"/>
      <c r="ADI4" s="1"/>
      <c r="ADJ4" s="1"/>
      <c r="ADK4" s="1"/>
      <c r="ADL4" s="1"/>
      <c r="ADM4" s="1"/>
      <c r="ADN4" s="1"/>
      <c r="ADO4" s="1"/>
      <c r="ADP4" s="1"/>
      <c r="ADQ4" s="1"/>
      <c r="ADR4" s="1"/>
      <c r="ADS4" s="1"/>
      <c r="ADT4" s="1"/>
      <c r="ADU4" s="1"/>
      <c r="ADV4" s="1"/>
      <c r="ADW4" s="1"/>
      <c r="ADX4" s="1"/>
      <c r="ADY4" s="1"/>
      <c r="ADZ4" s="1"/>
      <c r="AEA4" s="1"/>
      <c r="AEB4" s="1"/>
      <c r="AEC4" s="1"/>
      <c r="AED4" s="1"/>
      <c r="AEE4" s="1"/>
      <c r="AEF4" s="1"/>
      <c r="AEG4" s="1"/>
      <c r="AEH4" s="1"/>
      <c r="AEI4" s="1"/>
      <c r="AEJ4" s="1"/>
      <c r="AEK4" s="1"/>
      <c r="AEL4" s="1"/>
      <c r="AEM4" s="1"/>
      <c r="AEN4" s="1"/>
      <c r="AEO4" s="1"/>
      <c r="AEP4" s="1"/>
      <c r="AEQ4" s="1"/>
      <c r="AER4" s="1"/>
      <c r="AES4" s="1"/>
      <c r="AET4" s="1"/>
      <c r="AEU4" s="1"/>
      <c r="AEV4" s="1"/>
      <c r="AEW4" s="1"/>
      <c r="AEX4" s="1"/>
      <c r="AEY4" s="1"/>
      <c r="AEZ4" s="1"/>
      <c r="AFA4" s="1"/>
      <c r="AFB4" s="1"/>
      <c r="AFC4" s="1"/>
      <c r="AFD4" s="1"/>
      <c r="AFE4" s="1"/>
      <c r="AFF4" s="1"/>
      <c r="AFG4" s="1"/>
      <c r="AFH4" s="1"/>
      <c r="AFI4" s="1"/>
      <c r="AFJ4" s="1"/>
      <c r="AFK4" s="1"/>
      <c r="AFL4" s="1"/>
      <c r="AFM4" s="1"/>
      <c r="AFN4" s="1"/>
      <c r="AFO4" s="1"/>
      <c r="AFP4" s="1"/>
      <c r="AFQ4" s="1"/>
      <c r="AFR4" s="1"/>
      <c r="AFS4" s="1"/>
      <c r="AFT4" s="1"/>
      <c r="AFU4" s="1"/>
      <c r="AFV4" s="1"/>
      <c r="AFW4" s="1"/>
      <c r="AFX4" s="1"/>
      <c r="AFY4" s="1"/>
      <c r="AFZ4" s="1"/>
      <c r="AGA4" s="1"/>
      <c r="AGB4" s="1"/>
      <c r="AGC4" s="1"/>
      <c r="AGD4" s="1"/>
      <c r="AGE4" s="1"/>
      <c r="AGF4" s="1"/>
      <c r="AGG4" s="1"/>
      <c r="AGH4" s="1"/>
      <c r="AGI4" s="1"/>
      <c r="AGJ4" s="1"/>
      <c r="AGK4" s="1"/>
      <c r="AGL4" s="1"/>
      <c r="AGM4" s="1"/>
      <c r="AGN4" s="1"/>
      <c r="AGO4" s="1"/>
      <c r="AGP4" s="1"/>
      <c r="AGQ4" s="1"/>
      <c r="AGR4" s="1"/>
      <c r="AGS4" s="1"/>
      <c r="AGT4" s="1"/>
      <c r="AGU4" s="1"/>
      <c r="AGV4" s="1"/>
      <c r="AGW4" s="1"/>
      <c r="AGX4" s="1"/>
      <c r="AGY4" s="1"/>
      <c r="AGZ4" s="1"/>
      <c r="AHA4" s="1"/>
      <c r="AHB4" s="1"/>
      <c r="AHC4" s="1"/>
      <c r="AHD4" s="1"/>
      <c r="AHE4" s="1"/>
      <c r="AHF4" s="1"/>
      <c r="AHG4" s="1"/>
      <c r="AHH4" s="1"/>
      <c r="AHI4" s="1"/>
      <c r="AHJ4" s="1"/>
      <c r="AHK4" s="1"/>
      <c r="AHL4" s="1"/>
      <c r="AHM4" s="1"/>
      <c r="AHN4" s="1"/>
      <c r="AHO4" s="1"/>
      <c r="AHP4" s="1"/>
      <c r="AHQ4" s="1"/>
      <c r="AHR4" s="1"/>
      <c r="AHS4" s="1"/>
      <c r="AHT4" s="1"/>
      <c r="AHU4" s="1"/>
      <c r="AHV4" s="1"/>
      <c r="AHW4" s="1"/>
      <c r="AHX4" s="1"/>
      <c r="AHY4" s="1"/>
      <c r="AHZ4" s="1"/>
      <c r="AIA4" s="1"/>
      <c r="AIB4" s="1"/>
      <c r="AIC4" s="1"/>
      <c r="AID4" s="1"/>
      <c r="AIE4" s="1"/>
      <c r="AIF4" s="1"/>
      <c r="AIG4" s="1"/>
      <c r="AIH4" s="1"/>
      <c r="AII4" s="1"/>
      <c r="AIJ4" s="1"/>
      <c r="AIK4" s="1"/>
      <c r="AIL4" s="1"/>
      <c r="AIM4" s="1"/>
      <c r="AIN4" s="1"/>
      <c r="AIO4" s="1"/>
      <c r="AIP4" s="1"/>
      <c r="AIQ4" s="1"/>
      <c r="AIR4" s="1"/>
      <c r="AIS4" s="1"/>
      <c r="AIT4" s="1"/>
      <c r="AIU4" s="1"/>
      <c r="AIV4" s="1"/>
      <c r="AIW4" s="1"/>
      <c r="AIX4" s="1"/>
      <c r="AIY4" s="1"/>
      <c r="AIZ4" s="1"/>
      <c r="AJA4" s="1"/>
      <c r="AJB4" s="1"/>
      <c r="AJC4" s="1"/>
      <c r="AJD4" s="1"/>
      <c r="AJE4" s="1"/>
      <c r="AJF4" s="1"/>
      <c r="AJG4" s="1"/>
      <c r="AJH4" s="1"/>
      <c r="AJI4" s="1"/>
      <c r="AJJ4" s="1"/>
      <c r="AJK4" s="1"/>
      <c r="AJL4" s="1"/>
      <c r="AJM4" s="1"/>
      <c r="AJN4" s="1"/>
      <c r="AJO4" s="1"/>
      <c r="AJP4" s="1"/>
      <c r="AJQ4" s="1"/>
      <c r="AJR4" s="1"/>
      <c r="AJS4" s="1"/>
      <c r="AJT4" s="1"/>
      <c r="AJU4" s="1"/>
      <c r="AJV4" s="1"/>
      <c r="AJW4" s="1"/>
      <c r="AJX4" s="1"/>
      <c r="AJY4" s="1"/>
      <c r="AJZ4" s="1"/>
      <c r="AKA4" s="1"/>
      <c r="AKB4" s="1"/>
      <c r="AKC4" s="1"/>
      <c r="AKD4" s="1"/>
      <c r="AKE4" s="1"/>
      <c r="AKF4" s="1"/>
      <c r="AKG4" s="1"/>
      <c r="AKH4" s="1"/>
      <c r="AKI4" s="1"/>
      <c r="AKJ4" s="1"/>
      <c r="AKK4" s="1"/>
      <c r="AKL4" s="1"/>
      <c r="AKM4" s="1"/>
      <c r="AKN4" s="1"/>
      <c r="AKO4" s="1"/>
      <c r="AKP4" s="1"/>
      <c r="AKQ4" s="1"/>
      <c r="AKR4" s="1"/>
      <c r="AKS4" s="1"/>
      <c r="AKT4" s="1"/>
      <c r="AKU4" s="1"/>
      <c r="AKV4" s="1"/>
      <c r="AKW4" s="1"/>
      <c r="AKX4" s="1"/>
      <c r="AKY4" s="1"/>
      <c r="AKZ4" s="1"/>
      <c r="ALA4" s="1"/>
      <c r="ALB4" s="1"/>
      <c r="ALC4" s="1"/>
      <c r="ALD4" s="1"/>
      <c r="ALE4" s="1"/>
      <c r="ALF4" s="1"/>
      <c r="ALG4" s="1"/>
      <c r="ALH4" s="1"/>
      <c r="ALI4" s="1"/>
      <c r="ALJ4" s="1"/>
      <c r="ALK4" s="1"/>
      <c r="ALL4" s="1"/>
      <c r="ALM4" s="1"/>
      <c r="ALN4" s="1"/>
      <c r="ALO4" s="1"/>
      <c r="ALP4" s="1"/>
      <c r="ALQ4" s="1"/>
      <c r="ALR4" s="1"/>
      <c r="ALS4" s="1"/>
      <c r="ALT4" s="1"/>
      <c r="ALU4" s="1"/>
      <c r="ALV4" s="1"/>
      <c r="ALW4" s="1"/>
      <c r="ALX4" s="1"/>
      <c r="ALY4" s="1"/>
      <c r="ALZ4" s="1"/>
      <c r="AMA4" s="1"/>
      <c r="AMB4" s="1"/>
      <c r="AMC4" s="1"/>
      <c r="AMD4" s="1"/>
      <c r="AME4" s="1"/>
      <c r="AMF4" s="1"/>
      <c r="AMG4" s="1"/>
      <c r="AMH4" s="1"/>
      <c r="AMI4" s="1"/>
      <c r="AMJ4" s="1"/>
      <c r="AMK4" s="1"/>
      <c r="AML4" s="1"/>
      <c r="AMM4" s="1"/>
      <c r="AMN4" s="1"/>
      <c r="AMO4" s="1"/>
      <c r="AMP4" s="1"/>
      <c r="AMQ4" s="1"/>
      <c r="AMR4" s="1"/>
      <c r="AMS4" s="1"/>
      <c r="AMT4" s="1"/>
      <c r="AMU4" s="1"/>
      <c r="AMV4" s="1"/>
      <c r="AMW4" s="1"/>
      <c r="AMX4" s="1"/>
      <c r="AMY4" s="1"/>
      <c r="AMZ4" s="1"/>
      <c r="ANA4" s="1"/>
      <c r="ANB4" s="1"/>
      <c r="ANC4" s="1"/>
      <c r="AND4" s="1"/>
      <c r="ANE4" s="1"/>
      <c r="ANF4" s="1"/>
      <c r="ANG4" s="1"/>
      <c r="ANH4" s="1"/>
      <c r="ANI4" s="1"/>
      <c r="ANJ4" s="1"/>
      <c r="ANK4" s="1"/>
      <c r="ANL4" s="1"/>
      <c r="ANM4" s="1"/>
      <c r="ANN4" s="1"/>
      <c r="ANO4" s="1"/>
      <c r="ANP4" s="1"/>
      <c r="ANQ4" s="1"/>
      <c r="ANR4" s="1"/>
      <c r="ANS4" s="1"/>
      <c r="ANT4" s="1"/>
      <c r="ANU4" s="1"/>
      <c r="ANV4" s="1"/>
      <c r="ANW4" s="1"/>
      <c r="ANX4" s="1"/>
      <c r="ANY4" s="1"/>
      <c r="ANZ4" s="1"/>
      <c r="AOA4" s="1"/>
      <c r="AOB4" s="1"/>
      <c r="AOC4" s="1"/>
      <c r="AOD4" s="1"/>
      <c r="AOE4" s="1"/>
      <c r="AOF4" s="1"/>
      <c r="AOG4" s="1"/>
      <c r="AOH4" s="1"/>
      <c r="AOI4" s="1"/>
      <c r="AOJ4" s="1"/>
      <c r="AOK4" s="1"/>
      <c r="AOL4" s="1"/>
      <c r="AOM4" s="1"/>
      <c r="AON4" s="1"/>
      <c r="AOO4" s="1"/>
      <c r="AOP4" s="1"/>
      <c r="AOQ4" s="1"/>
      <c r="AOR4" s="1"/>
      <c r="AOS4" s="1"/>
      <c r="AOT4" s="1"/>
      <c r="AOU4" s="1"/>
      <c r="AOV4" s="1"/>
      <c r="AOW4" s="1"/>
      <c r="AOX4" s="1"/>
      <c r="AOY4" s="1"/>
      <c r="AOZ4" s="1"/>
      <c r="APA4" s="1"/>
      <c r="APB4" s="1"/>
      <c r="APC4" s="1"/>
      <c r="APD4" s="1"/>
      <c r="APE4" s="1"/>
      <c r="APF4" s="1"/>
      <c r="APG4" s="1"/>
      <c r="APH4" s="1"/>
      <c r="API4" s="1"/>
      <c r="APJ4" s="1"/>
      <c r="APK4" s="1"/>
      <c r="APL4" s="1"/>
      <c r="APM4" s="1"/>
      <c r="APN4" s="1"/>
      <c r="APO4" s="1"/>
      <c r="APP4" s="1"/>
      <c r="APQ4" s="1"/>
      <c r="APR4" s="1"/>
      <c r="APS4" s="1"/>
      <c r="APT4" s="1"/>
      <c r="APU4" s="1"/>
      <c r="APV4" s="1"/>
      <c r="APW4" s="1"/>
      <c r="APX4" s="1"/>
      <c r="APY4" s="1"/>
      <c r="APZ4" s="1"/>
      <c r="AQA4" s="1"/>
      <c r="AQB4" s="1"/>
      <c r="AQC4" s="1"/>
      <c r="AQD4" s="1"/>
      <c r="AQE4" s="1"/>
      <c r="AQF4" s="1"/>
      <c r="AQG4" s="1"/>
      <c r="AQH4" s="1"/>
      <c r="AQI4" s="1"/>
      <c r="AQJ4" s="1"/>
      <c r="AQK4" s="1"/>
      <c r="AQL4" s="1"/>
      <c r="AQM4" s="1"/>
      <c r="AQN4" s="1"/>
      <c r="AQO4" s="1"/>
      <c r="AQP4" s="1"/>
      <c r="AQQ4" s="1"/>
      <c r="AQR4" s="1"/>
      <c r="AQS4" s="1"/>
      <c r="AQT4" s="1"/>
      <c r="AQU4" s="1"/>
      <c r="AQV4" s="1"/>
      <c r="AQW4" s="1"/>
      <c r="AQX4" s="1"/>
      <c r="AQY4" s="1"/>
      <c r="AQZ4" s="1"/>
      <c r="ARA4" s="1"/>
      <c r="ARB4" s="1"/>
      <c r="ARC4" s="1"/>
      <c r="ARD4" s="1"/>
      <c r="ARE4" s="1"/>
      <c r="ARF4" s="1"/>
      <c r="ARG4" s="1"/>
      <c r="ARH4" s="1"/>
      <c r="ARI4" s="1"/>
      <c r="ARJ4" s="1"/>
      <c r="ARK4" s="1"/>
      <c r="ARL4" s="1"/>
      <c r="ARM4" s="1"/>
      <c r="ARN4" s="1"/>
      <c r="ARO4" s="1"/>
      <c r="ARP4" s="1"/>
      <c r="ARQ4" s="1"/>
      <c r="ARR4" s="1"/>
      <c r="ARS4" s="1"/>
      <c r="ART4" s="1"/>
      <c r="ARU4" s="1"/>
      <c r="ARV4" s="1"/>
      <c r="ARW4" s="1"/>
      <c r="ARX4" s="1"/>
      <c r="ARY4" s="1"/>
      <c r="ARZ4" s="1"/>
      <c r="ASA4" s="1"/>
      <c r="ASB4" s="1"/>
      <c r="ASC4" s="1"/>
      <c r="ASD4" s="1"/>
      <c r="ASE4" s="1"/>
      <c r="ASF4" s="1"/>
      <c r="ASG4" s="1"/>
      <c r="ASH4" s="1"/>
      <c r="ASI4" s="1"/>
      <c r="ASJ4" s="1"/>
      <c r="ASK4" s="1"/>
      <c r="ASL4" s="1"/>
      <c r="ASM4" s="1"/>
      <c r="ASN4" s="1"/>
      <c r="ASO4" s="1"/>
      <c r="ASP4" s="1"/>
      <c r="ASQ4" s="1"/>
      <c r="ASR4" s="1"/>
      <c r="ASS4" s="1"/>
      <c r="AST4" s="1"/>
      <c r="ASU4" s="1"/>
      <c r="ASV4" s="1"/>
      <c r="ASW4" s="1"/>
      <c r="ASX4" s="1"/>
      <c r="ASY4" s="1"/>
      <c r="ASZ4" s="1"/>
      <c r="ATA4" s="1"/>
      <c r="ATB4" s="1"/>
      <c r="ATC4" s="1"/>
      <c r="ATD4" s="1"/>
      <c r="ATE4" s="1"/>
      <c r="ATF4" s="1"/>
      <c r="ATG4" s="1"/>
      <c r="ATH4" s="1"/>
      <c r="ATI4" s="1"/>
      <c r="ATJ4" s="1"/>
      <c r="ATK4" s="1"/>
      <c r="ATL4" s="1"/>
      <c r="ATM4" s="1"/>
      <c r="ATN4" s="1"/>
      <c r="ATO4" s="1"/>
      <c r="ATP4" s="1"/>
      <c r="ATQ4" s="1"/>
      <c r="ATR4" s="1"/>
      <c r="ATS4" s="1"/>
      <c r="ATT4" s="1"/>
      <c r="ATU4" s="1"/>
      <c r="ATV4" s="1"/>
      <c r="ATW4" s="1"/>
      <c r="ATX4" s="1"/>
      <c r="ATY4" s="1"/>
      <c r="ATZ4" s="1"/>
      <c r="AUA4" s="1"/>
      <c r="AUB4" s="1"/>
      <c r="AUC4" s="1"/>
      <c r="AUD4" s="1"/>
      <c r="AUE4" s="1"/>
      <c r="AUF4" s="1"/>
      <c r="AUG4" s="1"/>
      <c r="AUH4" s="1"/>
      <c r="AUI4" s="1"/>
      <c r="AUJ4" s="1"/>
      <c r="AUK4" s="1"/>
      <c r="AUL4" s="1"/>
      <c r="AUM4" s="1"/>
      <c r="AUN4" s="1"/>
      <c r="AUO4" s="1"/>
      <c r="AUP4" s="1"/>
      <c r="AUQ4" s="1"/>
      <c r="AUR4" s="1"/>
      <c r="AUS4" s="1"/>
      <c r="AUT4" s="1"/>
      <c r="AUU4" s="1"/>
      <c r="AUV4" s="1"/>
      <c r="AUW4" s="1"/>
      <c r="AUX4" s="1"/>
      <c r="AUY4" s="1"/>
      <c r="AUZ4" s="1"/>
      <c r="AVA4" s="1"/>
      <c r="AVB4" s="1"/>
      <c r="AVC4" s="1"/>
      <c r="AVD4" s="1"/>
      <c r="AVE4" s="1"/>
      <c r="AVF4" s="1"/>
      <c r="AVG4" s="1"/>
      <c r="AVH4" s="1"/>
      <c r="AVI4" s="1"/>
      <c r="AVJ4" s="1"/>
      <c r="AVK4" s="1"/>
      <c r="AVL4" s="1"/>
      <c r="AVM4" s="1"/>
      <c r="AVN4" s="1"/>
      <c r="AVO4" s="1"/>
      <c r="AVP4" s="1"/>
      <c r="AVQ4" s="1"/>
      <c r="AVR4" s="1"/>
      <c r="AVS4" s="1"/>
      <c r="AVT4" s="1"/>
      <c r="AVU4" s="1"/>
      <c r="AVV4" s="1"/>
      <c r="AVW4" s="1"/>
      <c r="AVX4" s="1"/>
      <c r="AVY4" s="1"/>
      <c r="AVZ4" s="1"/>
      <c r="AWA4" s="1"/>
      <c r="AWB4" s="1"/>
      <c r="AWC4" s="1"/>
      <c r="AWD4" s="1"/>
      <c r="AWE4" s="1"/>
      <c r="AWF4" s="1"/>
      <c r="AWG4" s="1"/>
      <c r="AWH4" s="1"/>
      <c r="AWI4" s="1"/>
      <c r="AWJ4" s="1"/>
      <c r="AWK4" s="1"/>
      <c r="AWL4" s="1"/>
      <c r="AWM4" s="1"/>
      <c r="AWN4" s="1"/>
      <c r="AWO4" s="1"/>
      <c r="AWP4" s="1"/>
      <c r="AWQ4" s="1"/>
      <c r="AWR4" s="1"/>
      <c r="AWS4" s="1"/>
      <c r="AWT4" s="1"/>
      <c r="AWU4" s="1"/>
      <c r="AWV4" s="1"/>
      <c r="AWW4" s="1"/>
      <c r="AWX4" s="1"/>
      <c r="AWY4" s="1"/>
      <c r="AWZ4" s="1"/>
      <c r="AXA4" s="1"/>
      <c r="AXB4" s="1"/>
      <c r="AXC4" s="1"/>
      <c r="AXD4" s="1"/>
      <c r="AXE4" s="1"/>
      <c r="AXF4" s="1"/>
      <c r="AXG4" s="1"/>
      <c r="AXH4" s="1"/>
      <c r="AXI4" s="1"/>
      <c r="AXJ4" s="1"/>
      <c r="AXK4" s="1"/>
      <c r="AXL4" s="1"/>
      <c r="AXM4" s="1"/>
      <c r="AXN4" s="1"/>
      <c r="AXO4" s="1"/>
      <c r="AXP4" s="1"/>
      <c r="AXQ4" s="1"/>
      <c r="AXR4" s="1"/>
      <c r="AXS4" s="1"/>
      <c r="AXT4" s="1"/>
      <c r="AXU4" s="1"/>
      <c r="AXV4" s="1"/>
      <c r="AXW4" s="1"/>
      <c r="AXX4" s="1"/>
      <c r="AXY4" s="1"/>
      <c r="AXZ4" s="1"/>
      <c r="AYA4" s="1"/>
      <c r="AYB4" s="1"/>
      <c r="AYC4" s="1"/>
      <c r="AYD4" s="1"/>
      <c r="AYE4" s="1"/>
      <c r="AYF4" s="1"/>
      <c r="AYG4" s="1"/>
      <c r="AYH4" s="1"/>
      <c r="AYI4" s="1"/>
      <c r="AYJ4" s="1"/>
      <c r="AYK4" s="1"/>
      <c r="AYL4" s="1"/>
      <c r="AYM4" s="1"/>
      <c r="AYN4" s="1"/>
      <c r="AYO4" s="1"/>
      <c r="AYP4" s="1"/>
      <c r="AYQ4" s="1"/>
      <c r="AYR4" s="1"/>
      <c r="AYS4" s="1"/>
      <c r="AYT4" s="1"/>
      <c r="AYU4" s="1"/>
      <c r="AYV4" s="1"/>
      <c r="AYW4" s="1"/>
      <c r="AYX4" s="1"/>
      <c r="AYY4" s="1"/>
      <c r="AYZ4" s="1"/>
      <c r="AZA4" s="1"/>
      <c r="AZB4" s="1"/>
      <c r="AZC4" s="1"/>
      <c r="AZD4" s="1"/>
      <c r="AZE4" s="1"/>
      <c r="AZF4" s="1"/>
      <c r="AZG4" s="1"/>
      <c r="AZH4" s="1"/>
      <c r="AZI4" s="1"/>
      <c r="AZJ4" s="1"/>
      <c r="AZK4" s="1"/>
      <c r="AZL4" s="1"/>
      <c r="AZM4" s="1"/>
      <c r="AZN4" s="1"/>
      <c r="AZO4" s="1"/>
      <c r="AZP4" s="1"/>
      <c r="AZQ4" s="1"/>
      <c r="AZR4" s="1"/>
      <c r="AZS4" s="1"/>
      <c r="AZT4" s="1"/>
      <c r="AZU4" s="1"/>
      <c r="AZV4" s="1"/>
      <c r="AZW4" s="1"/>
      <c r="AZX4" s="1"/>
      <c r="AZY4" s="1"/>
      <c r="AZZ4" s="1"/>
      <c r="BAA4" s="1"/>
      <c r="BAB4" s="1"/>
      <c r="BAC4" s="1"/>
      <c r="BAD4" s="1"/>
      <c r="BAE4" s="1"/>
      <c r="BAF4" s="1"/>
      <c r="BAG4" s="1"/>
      <c r="BAH4" s="1"/>
      <c r="BAI4" s="1"/>
      <c r="BAJ4" s="1"/>
      <c r="BAK4" s="1"/>
      <c r="BAL4" s="1"/>
      <c r="BAM4" s="1"/>
      <c r="BAN4" s="1"/>
      <c r="BAO4" s="1"/>
      <c r="BAP4" s="1"/>
      <c r="BAQ4" s="1"/>
      <c r="BAR4" s="1"/>
      <c r="BAS4" s="1"/>
      <c r="BAT4" s="1"/>
      <c r="BAU4" s="1"/>
      <c r="BAV4" s="1"/>
      <c r="BAW4" s="1"/>
      <c r="BAX4" s="1"/>
      <c r="BAY4" s="1"/>
      <c r="BAZ4" s="1"/>
      <c r="BBA4" s="1"/>
      <c r="BBB4" s="1"/>
      <c r="BBC4" s="1"/>
      <c r="BBD4" s="1"/>
      <c r="BBE4" s="1"/>
      <c r="BBF4" s="1"/>
      <c r="BBG4" s="1"/>
      <c r="BBH4" s="1"/>
      <c r="BBI4" s="1"/>
      <c r="BBJ4" s="1"/>
      <c r="BBK4" s="1"/>
      <c r="BBL4" s="1"/>
      <c r="BBM4" s="1"/>
      <c r="BBN4" s="1"/>
      <c r="BBO4" s="1"/>
      <c r="BBP4" s="1"/>
      <c r="BBQ4" s="1"/>
      <c r="BBR4" s="1"/>
      <c r="BBS4" s="1"/>
      <c r="BBT4" s="1"/>
      <c r="BBU4" s="1"/>
      <c r="BBV4" s="1"/>
      <c r="BBW4" s="1"/>
      <c r="BBX4" s="1"/>
      <c r="BBY4" s="1"/>
      <c r="BBZ4" s="1"/>
      <c r="BCA4" s="1"/>
      <c r="BCB4" s="1"/>
      <c r="BCC4" s="1"/>
      <c r="BCD4" s="1"/>
      <c r="BCE4" s="1"/>
      <c r="BCF4" s="1"/>
      <c r="BCG4" s="1"/>
      <c r="BCH4" s="1"/>
      <c r="BCI4" s="1"/>
      <c r="BCJ4" s="1"/>
      <c r="BCK4" s="1"/>
      <c r="BCL4" s="1"/>
      <c r="BCM4" s="1"/>
      <c r="BCN4" s="1"/>
      <c r="BCO4" s="1"/>
      <c r="BCP4" s="1"/>
      <c r="BCQ4" s="1"/>
      <c r="BCR4" s="1"/>
      <c r="BCS4" s="1"/>
      <c r="BCT4" s="1"/>
      <c r="BCU4" s="1"/>
      <c r="BCV4" s="1"/>
      <c r="BCW4" s="1"/>
      <c r="BCX4" s="1"/>
      <c r="BCY4" s="1"/>
      <c r="BCZ4" s="1"/>
      <c r="BDA4" s="1"/>
      <c r="BDB4" s="1"/>
      <c r="BDC4" s="1"/>
      <c r="BDD4" s="1"/>
      <c r="BDE4" s="1"/>
      <c r="BDF4" s="1"/>
      <c r="BDG4" s="1"/>
      <c r="BDH4" s="1"/>
      <c r="BDI4" s="1"/>
      <c r="BDJ4" s="1"/>
      <c r="BDK4" s="1"/>
      <c r="BDL4" s="1"/>
      <c r="BDM4" s="1"/>
      <c r="BDN4" s="1"/>
      <c r="BDO4" s="1"/>
      <c r="BDP4" s="1"/>
      <c r="BDQ4" s="1"/>
      <c r="BDR4" s="1"/>
      <c r="BDS4" s="1"/>
      <c r="BDT4" s="1"/>
      <c r="BDU4" s="1"/>
      <c r="BDV4" s="1"/>
      <c r="BDW4" s="1"/>
      <c r="BDX4" s="1"/>
      <c r="BDY4" s="1"/>
      <c r="BDZ4" s="1"/>
      <c r="BEA4" s="1"/>
      <c r="BEB4" s="1"/>
      <c r="BEC4" s="1"/>
      <c r="BED4" s="1"/>
      <c r="BEE4" s="1"/>
      <c r="BEF4" s="1"/>
      <c r="BEG4" s="1"/>
      <c r="BEH4" s="1"/>
      <c r="BEI4" s="1"/>
      <c r="BEJ4" s="1"/>
      <c r="BEK4" s="1"/>
      <c r="BEL4" s="1"/>
      <c r="BEM4" s="1"/>
      <c r="BEN4" s="1"/>
      <c r="BEO4" s="1"/>
      <c r="BEP4" s="1"/>
      <c r="BEQ4" s="1"/>
      <c r="BER4" s="1"/>
      <c r="BES4" s="1"/>
      <c r="BET4" s="1"/>
      <c r="BEU4" s="1"/>
      <c r="BEV4" s="1"/>
      <c r="BEW4" s="1"/>
      <c r="BEX4" s="1"/>
      <c r="BEY4" s="1"/>
      <c r="BEZ4" s="1"/>
      <c r="BFA4" s="1"/>
      <c r="BFB4" s="1"/>
      <c r="BFC4" s="1"/>
      <c r="BFD4" s="1"/>
      <c r="BFE4" s="1"/>
      <c r="BFF4" s="1"/>
      <c r="BFG4" s="1"/>
      <c r="BFH4" s="1"/>
      <c r="BFI4" s="1"/>
      <c r="BFJ4" s="1"/>
      <c r="BFK4" s="1"/>
      <c r="BFL4" s="1"/>
      <c r="BFM4" s="1"/>
      <c r="BFN4" s="1"/>
      <c r="BFO4" s="1"/>
      <c r="BFP4" s="1"/>
      <c r="BFQ4" s="1"/>
      <c r="BFR4" s="1"/>
      <c r="BFS4" s="1"/>
      <c r="BFT4" s="1"/>
      <c r="BFU4" s="1"/>
      <c r="BFV4" s="1"/>
      <c r="BFW4" s="1"/>
      <c r="BFX4" s="1"/>
      <c r="BFY4" s="1"/>
      <c r="BFZ4" s="1"/>
      <c r="BGA4" s="1"/>
      <c r="BGB4" s="1"/>
      <c r="BGC4" s="1"/>
      <c r="BGD4" s="1"/>
      <c r="BGE4" s="1"/>
      <c r="BGF4" s="1"/>
      <c r="BGG4" s="1"/>
      <c r="BGH4" s="1"/>
      <c r="BGI4" s="1"/>
      <c r="BGJ4" s="1"/>
      <c r="BGK4" s="1"/>
      <c r="BGL4" s="1"/>
      <c r="BGM4" s="1"/>
      <c r="BGN4" s="1"/>
      <c r="BGO4" s="1"/>
      <c r="BGP4" s="1"/>
      <c r="BGQ4" s="1"/>
      <c r="BGR4" s="1"/>
      <c r="BGS4" s="1"/>
      <c r="BGT4" s="1"/>
      <c r="BGU4" s="1"/>
      <c r="BGV4" s="1"/>
      <c r="BGW4" s="1"/>
      <c r="BGX4" s="1"/>
      <c r="BGY4" s="1"/>
      <c r="BGZ4" s="1"/>
      <c r="BHA4" s="1"/>
      <c r="BHB4" s="1"/>
      <c r="BHC4" s="1"/>
      <c r="BHD4" s="1"/>
      <c r="BHE4" s="1"/>
      <c r="BHF4" s="1"/>
      <c r="BHG4" s="1"/>
      <c r="BHH4" s="1"/>
      <c r="BHI4" s="1"/>
      <c r="BHJ4" s="1"/>
      <c r="BHK4" s="1"/>
      <c r="BHL4" s="1"/>
      <c r="BHM4" s="1"/>
      <c r="BHN4" s="1"/>
      <c r="BHO4" s="1"/>
      <c r="BHP4" s="1"/>
      <c r="BHQ4" s="1"/>
      <c r="BHR4" s="1"/>
      <c r="BHS4" s="1"/>
      <c r="BHT4" s="1"/>
      <c r="BHU4" s="1"/>
      <c r="BHV4" s="1"/>
      <c r="BHW4" s="1"/>
      <c r="BHX4" s="1"/>
      <c r="BHY4" s="1"/>
      <c r="BHZ4" s="1"/>
      <c r="BIA4" s="1"/>
      <c r="BIB4" s="1"/>
      <c r="BIC4" s="1"/>
      <c r="BID4" s="1"/>
      <c r="BIE4" s="1"/>
      <c r="BIF4" s="1"/>
      <c r="BIG4" s="1"/>
      <c r="BIH4" s="1"/>
      <c r="BII4" s="1"/>
      <c r="BIJ4" s="1"/>
      <c r="BIK4" s="1"/>
      <c r="BIL4" s="1"/>
      <c r="BIM4" s="1"/>
      <c r="BIN4" s="1"/>
      <c r="BIO4" s="1"/>
      <c r="BIP4" s="1"/>
      <c r="BIQ4" s="1"/>
      <c r="BIR4" s="1"/>
      <c r="BIS4" s="1"/>
      <c r="BIT4" s="1"/>
      <c r="BIU4" s="1"/>
      <c r="BIV4" s="1"/>
      <c r="BIW4" s="1"/>
      <c r="BIX4" s="1"/>
      <c r="BIY4" s="1"/>
      <c r="BIZ4" s="1"/>
      <c r="BJA4" s="1"/>
      <c r="BJB4" s="1"/>
      <c r="BJC4" s="1"/>
      <c r="BJD4" s="1"/>
      <c r="BJE4" s="1"/>
      <c r="BJF4" s="1"/>
      <c r="BJG4" s="1"/>
      <c r="BJH4" s="1"/>
      <c r="BJI4" s="1"/>
      <c r="BJJ4" s="1"/>
      <c r="BJK4" s="1"/>
      <c r="BJL4" s="1"/>
      <c r="BJM4" s="1"/>
      <c r="BJN4" s="1"/>
      <c r="BJO4" s="1"/>
      <c r="BJP4" s="1"/>
      <c r="BJQ4" s="1"/>
      <c r="BJR4" s="1"/>
      <c r="BJS4" s="1"/>
      <c r="BJT4" s="1"/>
      <c r="BJU4" s="1"/>
      <c r="BJV4" s="1"/>
      <c r="BJW4" s="1"/>
      <c r="BJX4" s="1"/>
      <c r="BJY4" s="1"/>
      <c r="BJZ4" s="1"/>
      <c r="BKA4" s="1"/>
      <c r="BKB4" s="1"/>
      <c r="BKC4" s="1"/>
      <c r="BKD4" s="1"/>
      <c r="BKE4" s="1"/>
      <c r="BKF4" s="1"/>
      <c r="BKG4" s="1"/>
      <c r="BKH4" s="1"/>
      <c r="BKI4" s="1"/>
      <c r="BKJ4" s="1"/>
      <c r="BKK4" s="1"/>
      <c r="BKL4" s="1"/>
      <c r="BKM4" s="1"/>
      <c r="BKN4" s="1"/>
      <c r="BKO4" s="1"/>
      <c r="BKP4" s="1"/>
      <c r="BKQ4" s="1"/>
      <c r="BKR4" s="1"/>
      <c r="BKS4" s="1"/>
      <c r="BKT4" s="1"/>
      <c r="BKU4" s="1"/>
      <c r="BKV4" s="1"/>
      <c r="BKW4" s="1"/>
      <c r="BKX4" s="1"/>
      <c r="BKY4" s="1"/>
      <c r="BKZ4" s="1"/>
      <c r="BLA4" s="1"/>
      <c r="BLB4" s="1"/>
      <c r="BLC4" s="1"/>
      <c r="BLD4" s="1"/>
      <c r="BLE4" s="1"/>
      <c r="BLF4" s="1"/>
      <c r="BLG4" s="1"/>
      <c r="BLH4" s="1"/>
      <c r="BLI4" s="1"/>
      <c r="BLJ4" s="1"/>
      <c r="BLK4" s="1"/>
      <c r="BLL4" s="1"/>
      <c r="BLM4" s="1"/>
      <c r="BLN4" s="1"/>
      <c r="BLO4" s="1"/>
      <c r="BLP4" s="1"/>
      <c r="BLQ4" s="1"/>
      <c r="BLR4" s="1"/>
      <c r="BLS4" s="1"/>
      <c r="BLT4" s="1"/>
      <c r="BLU4" s="1"/>
      <c r="BLV4" s="1"/>
      <c r="BLW4" s="1"/>
      <c r="BLX4" s="1"/>
      <c r="BLY4" s="1"/>
      <c r="BLZ4" s="1"/>
      <c r="BMA4" s="1"/>
      <c r="BMB4" s="1"/>
      <c r="BMC4" s="1"/>
      <c r="BMD4" s="1"/>
      <c r="BME4" s="1"/>
      <c r="BMF4" s="1"/>
      <c r="BMG4" s="1"/>
      <c r="BMH4" s="1"/>
      <c r="BMI4" s="1"/>
      <c r="BMJ4" s="1"/>
      <c r="BMK4" s="1"/>
      <c r="BML4" s="1"/>
      <c r="BMM4" s="1"/>
      <c r="BMN4" s="1"/>
      <c r="BMO4" s="1"/>
      <c r="BMP4" s="1"/>
      <c r="BMQ4" s="1"/>
      <c r="BMR4" s="1"/>
      <c r="BMS4" s="1"/>
      <c r="BMT4" s="1"/>
      <c r="BMU4" s="1"/>
      <c r="BMV4" s="1"/>
      <c r="BMW4" s="1"/>
      <c r="BMX4" s="1"/>
      <c r="BMY4" s="1"/>
      <c r="BMZ4" s="1"/>
      <c r="BNA4" s="1"/>
      <c r="BNB4" s="1"/>
      <c r="BNC4" s="1"/>
      <c r="BND4" s="1"/>
      <c r="BNE4" s="1"/>
      <c r="BNF4" s="1"/>
      <c r="BNG4" s="1"/>
      <c r="BNH4" s="1"/>
      <c r="BNI4" s="1"/>
      <c r="BNJ4" s="1"/>
      <c r="BNK4" s="1"/>
      <c r="BNL4" s="1"/>
      <c r="BNM4" s="1"/>
      <c r="BNN4" s="1"/>
      <c r="BNO4" s="1"/>
      <c r="BNP4" s="1"/>
      <c r="BNQ4" s="1"/>
      <c r="BNR4" s="1"/>
      <c r="BNS4" s="1"/>
      <c r="BNT4" s="1"/>
      <c r="BNU4" s="1"/>
      <c r="BNV4" s="1"/>
      <c r="BNW4" s="1"/>
      <c r="BNX4" s="1"/>
      <c r="BNY4" s="1"/>
      <c r="BNZ4" s="1"/>
      <c r="BOA4" s="1"/>
      <c r="BOB4" s="1"/>
      <c r="BOC4" s="1"/>
      <c r="BOD4" s="1"/>
      <c r="BOE4" s="1"/>
      <c r="BOF4" s="1"/>
      <c r="BOG4" s="1"/>
      <c r="BOH4" s="1"/>
      <c r="BOI4" s="1"/>
      <c r="BOJ4" s="1"/>
      <c r="BOK4" s="1"/>
      <c r="BOL4" s="1"/>
      <c r="BOM4" s="1"/>
      <c r="BON4" s="1"/>
      <c r="BOO4" s="1"/>
      <c r="BOP4" s="1"/>
      <c r="BOQ4" s="1"/>
      <c r="BOR4" s="1"/>
      <c r="BOS4" s="1"/>
      <c r="BOT4" s="1"/>
      <c r="BOU4" s="1"/>
      <c r="BOV4" s="1"/>
      <c r="BOW4" s="1"/>
      <c r="BOX4" s="1"/>
      <c r="BOY4" s="1"/>
      <c r="BOZ4" s="1"/>
      <c r="BPA4" s="1"/>
      <c r="BPB4" s="1"/>
      <c r="BPC4" s="1"/>
      <c r="BPD4" s="1"/>
      <c r="BPE4" s="1"/>
      <c r="BPF4" s="1"/>
      <c r="BPG4" s="1"/>
      <c r="BPH4" s="1"/>
      <c r="BPI4" s="1"/>
      <c r="BPJ4" s="1"/>
      <c r="BPK4" s="1"/>
      <c r="BPL4" s="1"/>
      <c r="BPM4" s="1"/>
      <c r="BPN4" s="1"/>
      <c r="BPO4" s="1"/>
      <c r="BPP4" s="1"/>
      <c r="BPQ4" s="1"/>
      <c r="BPR4" s="1"/>
      <c r="BPS4" s="1"/>
      <c r="BPT4" s="1"/>
      <c r="BPU4" s="1"/>
      <c r="BPV4" s="1"/>
      <c r="BPW4" s="1"/>
      <c r="BPX4" s="1"/>
      <c r="BPY4" s="1"/>
      <c r="BPZ4" s="1"/>
      <c r="BQA4" s="1"/>
      <c r="BQB4" s="1"/>
      <c r="BQC4" s="1"/>
      <c r="BQD4" s="1"/>
      <c r="BQE4" s="1"/>
      <c r="BQF4" s="1"/>
      <c r="BQG4" s="1"/>
      <c r="BQH4" s="1"/>
      <c r="BQI4" s="1"/>
      <c r="BQJ4" s="1"/>
      <c r="BQK4" s="1"/>
      <c r="BQL4" s="1"/>
      <c r="BQM4" s="1"/>
      <c r="BQN4" s="1"/>
      <c r="BQO4" s="1"/>
      <c r="BQP4" s="1"/>
      <c r="BQQ4" s="1"/>
      <c r="BQR4" s="1"/>
      <c r="BQS4" s="1"/>
      <c r="BQT4" s="1"/>
      <c r="BQU4" s="1"/>
      <c r="BQV4" s="1"/>
      <c r="BQW4" s="1"/>
      <c r="BQX4" s="1"/>
      <c r="BQY4" s="1"/>
      <c r="BQZ4" s="1"/>
      <c r="BRA4" s="1"/>
      <c r="BRB4" s="1"/>
      <c r="BRC4" s="1"/>
      <c r="BRD4" s="1"/>
      <c r="BRE4" s="1"/>
      <c r="BRF4" s="1"/>
      <c r="BRG4" s="1"/>
      <c r="BRH4" s="1"/>
      <c r="BRI4" s="1"/>
      <c r="BRJ4" s="1"/>
      <c r="BRK4" s="1"/>
      <c r="BRL4" s="1"/>
      <c r="BRM4" s="1"/>
      <c r="BRN4" s="1"/>
      <c r="BRO4" s="1"/>
      <c r="BRP4" s="1"/>
      <c r="BRQ4" s="1"/>
      <c r="BRR4" s="1"/>
      <c r="BRS4" s="1"/>
      <c r="BRT4" s="1"/>
      <c r="BRU4" s="1"/>
      <c r="BRV4" s="1"/>
      <c r="BRW4" s="1"/>
      <c r="BRX4" s="1"/>
      <c r="BRY4" s="1"/>
      <c r="BRZ4" s="1"/>
      <c r="BSA4" s="1"/>
      <c r="BSB4" s="1"/>
      <c r="BSC4" s="1"/>
      <c r="BSD4" s="1"/>
      <c r="BSE4" s="1"/>
      <c r="BSF4" s="1"/>
      <c r="BSG4" s="1"/>
      <c r="BSH4" s="1"/>
      <c r="BSI4" s="1"/>
      <c r="BSJ4" s="1"/>
      <c r="BSK4" s="1"/>
      <c r="BSL4" s="1"/>
      <c r="BSM4" s="1"/>
      <c r="BSN4" s="1"/>
      <c r="BSO4" s="1"/>
      <c r="BSP4" s="1"/>
      <c r="BSQ4" s="1"/>
      <c r="BSR4" s="1"/>
      <c r="BSS4" s="1"/>
      <c r="BST4" s="1"/>
      <c r="BSU4" s="1"/>
      <c r="BSV4" s="1"/>
      <c r="BSW4" s="1"/>
      <c r="BSX4" s="1"/>
      <c r="BSY4" s="1"/>
      <c r="BSZ4" s="1"/>
      <c r="BTA4" s="1"/>
      <c r="BTB4" s="1"/>
      <c r="BTC4" s="1"/>
      <c r="BTD4" s="1"/>
      <c r="BTE4" s="1"/>
      <c r="BTF4" s="1"/>
      <c r="BTG4" s="1"/>
      <c r="BTH4" s="1"/>
      <c r="BTI4" s="1"/>
      <c r="BTJ4" s="1"/>
      <c r="BTK4" s="1"/>
      <c r="BTL4" s="1"/>
      <c r="BTM4" s="1"/>
      <c r="BTN4" s="1"/>
      <c r="BTO4" s="1"/>
      <c r="BTP4" s="1"/>
      <c r="BTQ4" s="1"/>
      <c r="BTR4" s="1"/>
      <c r="BTS4" s="1"/>
      <c r="BTT4" s="1"/>
      <c r="BTU4" s="1"/>
      <c r="BTV4" s="1"/>
      <c r="BTW4" s="1"/>
      <c r="BTX4" s="1"/>
      <c r="BTY4" s="1"/>
      <c r="BTZ4" s="1"/>
      <c r="BUA4" s="1"/>
      <c r="BUB4" s="1"/>
      <c r="BUC4" s="1"/>
      <c r="BUD4" s="1"/>
      <c r="BUE4" s="1"/>
      <c r="BUF4" s="1"/>
      <c r="BUG4" s="1"/>
      <c r="BUH4" s="1"/>
      <c r="BUI4" s="1"/>
      <c r="BUJ4" s="1"/>
      <c r="BUK4" s="1"/>
      <c r="BUL4" s="1"/>
      <c r="BUM4" s="1"/>
      <c r="BUN4" s="1"/>
      <c r="BUO4" s="1"/>
      <c r="BUP4" s="1"/>
      <c r="BUQ4" s="1"/>
      <c r="BUR4" s="1"/>
      <c r="BUS4" s="1"/>
      <c r="BUT4" s="1"/>
      <c r="BUU4" s="1"/>
      <c r="BUV4" s="1"/>
      <c r="BUW4" s="1"/>
      <c r="BUX4" s="1"/>
      <c r="BUY4" s="1"/>
      <c r="BUZ4" s="1"/>
      <c r="BVA4" s="1"/>
      <c r="BVB4" s="1"/>
      <c r="BVC4" s="1"/>
      <c r="BVD4" s="1"/>
      <c r="BVE4" s="1"/>
      <c r="BVF4" s="1"/>
      <c r="BVG4" s="1"/>
      <c r="BVH4" s="1"/>
      <c r="BVI4" s="1"/>
      <c r="BVJ4" s="1"/>
      <c r="BVK4" s="1"/>
      <c r="BVL4" s="1"/>
      <c r="BVM4" s="1"/>
      <c r="BVN4" s="1"/>
      <c r="BVO4" s="1"/>
      <c r="BVP4" s="1"/>
      <c r="BVQ4" s="1"/>
      <c r="BVR4" s="1"/>
      <c r="BVS4" s="1"/>
      <c r="BVT4" s="1"/>
      <c r="BVU4" s="1"/>
      <c r="BVV4" s="1"/>
      <c r="BVW4" s="1"/>
      <c r="BVX4" s="1"/>
      <c r="BVY4" s="1"/>
      <c r="BVZ4" s="1"/>
      <c r="BWA4" s="1"/>
      <c r="BWB4" s="1"/>
      <c r="BWC4" s="1"/>
      <c r="BWD4" s="1"/>
      <c r="BWE4" s="1"/>
      <c r="BWF4" s="1"/>
      <c r="BWG4" s="1"/>
      <c r="BWH4" s="1"/>
      <c r="BWI4" s="1"/>
      <c r="BWJ4" s="1"/>
      <c r="BWK4" s="1"/>
      <c r="BWL4" s="1"/>
      <c r="BWM4" s="1"/>
      <c r="BWN4" s="1"/>
      <c r="BWO4" s="1"/>
      <c r="BWP4" s="1"/>
      <c r="BWQ4" s="1"/>
      <c r="BWR4" s="1"/>
      <c r="BWS4" s="1"/>
      <c r="BWT4" s="1"/>
      <c r="BWU4" s="1"/>
      <c r="BWV4" s="1"/>
      <c r="BWW4" s="1"/>
      <c r="BWX4" s="1"/>
      <c r="BWY4" s="1"/>
      <c r="BWZ4" s="1"/>
      <c r="BXA4" s="1"/>
      <c r="BXB4" s="1"/>
      <c r="BXC4" s="1"/>
      <c r="BXD4" s="1"/>
      <c r="BXE4" s="1"/>
      <c r="BXF4" s="1"/>
      <c r="BXG4" s="1"/>
      <c r="BXH4" s="1"/>
      <c r="BXI4" s="1"/>
      <c r="BXJ4" s="1"/>
      <c r="BXK4" s="1"/>
      <c r="BXL4" s="1"/>
      <c r="BXM4" s="1"/>
      <c r="BXN4" s="1"/>
      <c r="BXO4" s="1"/>
      <c r="BXP4" s="1"/>
      <c r="BXQ4" s="1"/>
      <c r="BXR4" s="1"/>
      <c r="BXS4" s="1"/>
      <c r="BXT4" s="1"/>
      <c r="BXU4" s="1"/>
      <c r="BXV4" s="1"/>
      <c r="BXW4" s="1"/>
      <c r="BXX4" s="1"/>
      <c r="BXY4" s="1"/>
      <c r="BXZ4" s="1"/>
      <c r="BYA4" s="1"/>
      <c r="BYB4" s="1"/>
      <c r="BYC4" s="1"/>
      <c r="BYD4" s="1"/>
      <c r="BYE4" s="1"/>
      <c r="BYF4" s="1"/>
      <c r="BYG4" s="1"/>
      <c r="BYH4" s="1"/>
      <c r="BYI4" s="1"/>
      <c r="BYJ4" s="1"/>
      <c r="BYK4" s="1"/>
      <c r="BYL4" s="1"/>
      <c r="BYM4" s="1"/>
      <c r="BYN4" s="1"/>
      <c r="BYO4" s="1"/>
      <c r="BYP4" s="1"/>
      <c r="BYQ4" s="1"/>
      <c r="BYR4" s="1"/>
      <c r="BYS4" s="1"/>
      <c r="BYT4" s="1"/>
      <c r="BYU4" s="1"/>
      <c r="BYV4" s="1"/>
      <c r="BYW4" s="1"/>
      <c r="BYX4" s="1"/>
      <c r="BYY4" s="1"/>
      <c r="BYZ4" s="1"/>
      <c r="BZA4" s="1"/>
      <c r="BZB4" s="1"/>
      <c r="BZC4" s="1"/>
      <c r="BZD4" s="1"/>
      <c r="BZE4" s="1"/>
      <c r="BZF4" s="1"/>
      <c r="BZG4" s="1"/>
      <c r="BZH4" s="1"/>
      <c r="BZI4" s="1"/>
      <c r="BZJ4" s="1"/>
      <c r="BZK4" s="1"/>
      <c r="BZL4" s="1"/>
      <c r="BZM4" s="1"/>
      <c r="BZN4" s="1"/>
      <c r="BZO4" s="1"/>
      <c r="BZP4" s="1"/>
      <c r="BZQ4" s="1"/>
      <c r="BZR4" s="1"/>
      <c r="BZS4" s="1"/>
      <c r="BZT4" s="1"/>
      <c r="BZU4" s="1"/>
      <c r="BZV4" s="1"/>
      <c r="BZW4" s="1"/>
      <c r="BZX4" s="1"/>
      <c r="BZY4" s="1"/>
      <c r="BZZ4" s="1"/>
      <c r="CAA4" s="1"/>
      <c r="CAB4" s="1"/>
      <c r="CAC4" s="1"/>
      <c r="CAD4" s="1"/>
      <c r="CAE4" s="1"/>
      <c r="CAF4" s="1"/>
      <c r="CAG4" s="1"/>
      <c r="CAH4" s="1"/>
      <c r="CAI4" s="1"/>
      <c r="CAJ4" s="1"/>
      <c r="CAK4" s="1"/>
      <c r="CAL4" s="1"/>
      <c r="CAM4" s="1"/>
      <c r="CAN4" s="1"/>
      <c r="CAO4" s="1"/>
      <c r="CAP4" s="1"/>
      <c r="CAQ4" s="1"/>
      <c r="CAR4" s="1"/>
      <c r="CAS4" s="1"/>
      <c r="CAT4" s="1"/>
      <c r="CAU4" s="1"/>
      <c r="CAV4" s="1"/>
      <c r="CAW4" s="1"/>
      <c r="CAX4" s="1"/>
      <c r="CAY4" s="1"/>
      <c r="CAZ4" s="1"/>
      <c r="CBA4" s="1"/>
      <c r="CBB4" s="1"/>
      <c r="CBC4" s="1"/>
      <c r="CBD4" s="1"/>
      <c r="CBE4" s="1"/>
      <c r="CBF4" s="1"/>
      <c r="CBG4" s="1"/>
      <c r="CBH4" s="1"/>
      <c r="CBI4" s="1"/>
      <c r="CBJ4" s="1"/>
      <c r="CBK4" s="1"/>
      <c r="CBL4" s="1"/>
      <c r="CBM4" s="1"/>
      <c r="CBN4" s="1"/>
      <c r="CBO4" s="1"/>
      <c r="CBP4" s="1"/>
      <c r="CBQ4" s="1"/>
      <c r="CBR4" s="1"/>
      <c r="CBS4" s="1"/>
      <c r="CBT4" s="1"/>
      <c r="CBU4" s="1"/>
      <c r="CBV4" s="1"/>
      <c r="CBW4" s="1"/>
      <c r="CBX4" s="1"/>
      <c r="CBY4" s="1"/>
      <c r="CBZ4" s="1"/>
      <c r="CCA4" s="1"/>
      <c r="CCB4" s="1"/>
      <c r="CCC4" s="1"/>
      <c r="CCD4" s="1"/>
      <c r="CCE4" s="1"/>
      <c r="CCF4" s="1"/>
      <c r="CCG4" s="1"/>
      <c r="CCH4" s="1"/>
      <c r="CCI4" s="1"/>
      <c r="CCJ4" s="1"/>
      <c r="CCK4" s="1"/>
      <c r="CCL4" s="1"/>
      <c r="CCM4" s="1"/>
      <c r="CCN4" s="1"/>
      <c r="CCO4" s="1"/>
      <c r="CCP4" s="1"/>
      <c r="CCQ4" s="1"/>
      <c r="CCR4" s="1"/>
      <c r="CCS4" s="1"/>
      <c r="CCT4" s="1"/>
      <c r="CCU4" s="1"/>
      <c r="CCV4" s="1"/>
      <c r="CCW4" s="1"/>
      <c r="CCX4" s="1"/>
      <c r="CCY4" s="1"/>
      <c r="CCZ4" s="1"/>
      <c r="CDA4" s="1"/>
      <c r="CDB4" s="1"/>
      <c r="CDC4" s="1"/>
      <c r="CDD4" s="1"/>
      <c r="CDE4" s="1"/>
      <c r="CDF4" s="1"/>
      <c r="CDG4" s="1"/>
      <c r="CDH4" s="1"/>
      <c r="CDI4" s="1"/>
      <c r="CDJ4" s="1"/>
      <c r="CDK4" s="1"/>
      <c r="CDL4" s="1"/>
      <c r="CDM4" s="1"/>
      <c r="CDN4" s="1"/>
      <c r="CDO4" s="1"/>
      <c r="CDP4" s="1"/>
      <c r="CDQ4" s="1"/>
      <c r="CDR4" s="1"/>
      <c r="CDS4" s="1"/>
      <c r="CDT4" s="1"/>
      <c r="CDU4" s="1"/>
      <c r="CDV4" s="1"/>
      <c r="CDW4" s="1"/>
      <c r="CDX4" s="1"/>
      <c r="CDY4" s="1"/>
      <c r="CDZ4" s="1"/>
      <c r="CEA4" s="1"/>
      <c r="CEB4" s="1"/>
      <c r="CEC4" s="1"/>
      <c r="CED4" s="1"/>
      <c r="CEE4" s="1"/>
      <c r="CEF4" s="1"/>
      <c r="CEG4" s="1"/>
      <c r="CEH4" s="1"/>
      <c r="CEI4" s="1"/>
      <c r="CEJ4" s="1"/>
      <c r="CEK4" s="1"/>
      <c r="CEL4" s="1"/>
      <c r="CEM4" s="1"/>
      <c r="CEN4" s="1"/>
      <c r="CEO4" s="1"/>
      <c r="CEP4" s="1"/>
      <c r="CEQ4" s="1"/>
      <c r="CER4" s="1"/>
      <c r="CES4" s="1"/>
      <c r="CET4" s="1"/>
      <c r="CEU4" s="1"/>
      <c r="CEV4" s="1"/>
      <c r="CEW4" s="1"/>
      <c r="CEX4" s="1"/>
      <c r="CEY4" s="1"/>
      <c r="CEZ4" s="1"/>
      <c r="CFA4" s="1"/>
      <c r="CFB4" s="1"/>
      <c r="CFC4" s="1"/>
      <c r="CFD4" s="1"/>
      <c r="CFE4" s="1"/>
      <c r="CFF4" s="1"/>
      <c r="CFG4" s="1"/>
      <c r="CFH4" s="1"/>
      <c r="CFI4" s="1"/>
      <c r="CFJ4" s="1"/>
      <c r="CFK4" s="1"/>
      <c r="CFL4" s="1"/>
      <c r="CFM4" s="1"/>
      <c r="CFN4" s="1"/>
      <c r="CFO4" s="1"/>
      <c r="CFP4" s="1"/>
      <c r="CFQ4" s="1"/>
      <c r="CFR4" s="1"/>
      <c r="CFS4" s="1"/>
      <c r="CFT4" s="1"/>
      <c r="CFU4" s="1"/>
      <c r="CFV4" s="1"/>
      <c r="CFW4" s="1"/>
      <c r="CFX4" s="1"/>
      <c r="CFY4" s="1"/>
      <c r="CFZ4" s="1"/>
      <c r="CGA4" s="1"/>
      <c r="CGB4" s="1"/>
      <c r="CGC4" s="1"/>
      <c r="CGD4" s="1"/>
      <c r="CGE4" s="1"/>
      <c r="CGF4" s="1"/>
      <c r="CGG4" s="1"/>
      <c r="CGH4" s="1"/>
      <c r="CGI4" s="1"/>
      <c r="CGJ4" s="1"/>
      <c r="CGK4" s="1"/>
      <c r="CGL4" s="1"/>
      <c r="CGM4" s="1"/>
      <c r="CGN4" s="1"/>
      <c r="CGO4" s="1"/>
      <c r="CGP4" s="1"/>
      <c r="CGQ4" s="1"/>
      <c r="CGR4" s="1"/>
      <c r="CGS4" s="1"/>
      <c r="CGT4" s="1"/>
      <c r="CGU4" s="1"/>
      <c r="CGV4" s="1"/>
      <c r="CGW4" s="1"/>
      <c r="CGX4" s="1"/>
      <c r="CGY4" s="1"/>
      <c r="CGZ4" s="1"/>
      <c r="CHA4" s="1"/>
      <c r="CHB4" s="1"/>
      <c r="CHC4" s="1"/>
      <c r="CHD4" s="1"/>
      <c r="CHE4" s="1"/>
      <c r="CHF4" s="1"/>
      <c r="CHG4" s="1"/>
      <c r="CHH4" s="1"/>
      <c r="CHI4" s="1"/>
      <c r="CHJ4" s="1"/>
      <c r="CHK4" s="1"/>
      <c r="CHL4" s="1"/>
      <c r="CHM4" s="1"/>
      <c r="CHN4" s="1"/>
      <c r="CHO4" s="1"/>
      <c r="CHP4" s="1"/>
      <c r="CHQ4" s="1"/>
      <c r="CHR4" s="1"/>
      <c r="CHS4" s="1"/>
      <c r="CHT4" s="1"/>
      <c r="CHU4" s="1"/>
      <c r="CHV4" s="1"/>
      <c r="CHW4" s="1"/>
      <c r="CHX4" s="1"/>
      <c r="CHY4" s="1"/>
      <c r="CHZ4" s="1"/>
      <c r="CIA4" s="1"/>
      <c r="CIB4" s="1"/>
      <c r="CIC4" s="1"/>
      <c r="CID4" s="1"/>
      <c r="CIE4" s="1"/>
      <c r="CIF4" s="1"/>
      <c r="CIG4" s="1"/>
      <c r="CIH4" s="1"/>
      <c r="CII4" s="1"/>
      <c r="CIJ4" s="1"/>
      <c r="CIK4" s="1"/>
      <c r="CIL4" s="1"/>
      <c r="CIM4" s="1"/>
      <c r="CIN4" s="1"/>
      <c r="CIO4" s="1"/>
      <c r="CIP4" s="1"/>
      <c r="CIQ4" s="1"/>
      <c r="CIR4" s="1"/>
      <c r="CIS4" s="1"/>
      <c r="CIT4" s="1"/>
      <c r="CIU4" s="1"/>
      <c r="CIV4" s="1"/>
      <c r="CIW4" s="1"/>
      <c r="CIX4" s="1"/>
      <c r="CIY4" s="1"/>
      <c r="CIZ4" s="1"/>
      <c r="CJA4" s="1"/>
      <c r="CJB4" s="1"/>
      <c r="CJC4" s="1"/>
      <c r="CJD4" s="1"/>
      <c r="CJE4" s="1"/>
      <c r="CJF4" s="1"/>
      <c r="CJG4" s="1"/>
      <c r="CJH4" s="1"/>
      <c r="CJI4" s="1"/>
      <c r="CJJ4" s="1"/>
      <c r="CJK4" s="1"/>
      <c r="CJL4" s="1"/>
      <c r="CJM4" s="1"/>
      <c r="CJN4" s="1"/>
      <c r="CJO4" s="1"/>
      <c r="CJP4" s="1"/>
      <c r="CJQ4" s="1"/>
      <c r="CJR4" s="1"/>
      <c r="CJS4" s="1"/>
      <c r="CJT4" s="1"/>
      <c r="CJU4" s="1"/>
      <c r="CJV4" s="1"/>
      <c r="CJW4" s="1"/>
      <c r="CJX4" s="1"/>
      <c r="CJY4" s="1"/>
      <c r="CJZ4" s="1"/>
      <c r="CKA4" s="1"/>
      <c r="CKB4" s="1"/>
      <c r="CKC4" s="1"/>
      <c r="CKD4" s="1"/>
      <c r="CKE4" s="1"/>
      <c r="CKF4" s="1"/>
      <c r="CKG4" s="1"/>
      <c r="CKH4" s="1"/>
      <c r="CKI4" s="1"/>
      <c r="CKJ4" s="1"/>
      <c r="CKK4" s="1"/>
      <c r="CKL4" s="1"/>
      <c r="CKM4" s="1"/>
      <c r="CKN4" s="1"/>
      <c r="CKO4" s="1"/>
      <c r="CKP4" s="1"/>
      <c r="CKQ4" s="1"/>
      <c r="CKR4" s="1"/>
      <c r="CKS4" s="1"/>
      <c r="CKT4" s="1"/>
      <c r="CKU4" s="1"/>
      <c r="CKV4" s="1"/>
      <c r="CKW4" s="1"/>
      <c r="CKX4" s="1"/>
      <c r="CKY4" s="1"/>
      <c r="CKZ4" s="1"/>
      <c r="CLA4" s="1"/>
      <c r="CLB4" s="1"/>
      <c r="CLC4" s="1"/>
      <c r="CLD4" s="1"/>
      <c r="CLE4" s="1"/>
      <c r="CLF4" s="1"/>
      <c r="CLG4" s="1"/>
      <c r="CLH4" s="1"/>
      <c r="CLI4" s="1"/>
      <c r="CLJ4" s="1"/>
      <c r="CLK4" s="1"/>
      <c r="CLL4" s="1"/>
      <c r="CLM4" s="1"/>
      <c r="CLN4" s="1"/>
      <c r="CLO4" s="1"/>
      <c r="CLP4" s="1"/>
      <c r="CLQ4" s="1"/>
      <c r="CLR4" s="1"/>
      <c r="CLS4" s="1"/>
      <c r="CLT4" s="1"/>
      <c r="CLU4" s="1"/>
      <c r="CLV4" s="1"/>
      <c r="CLW4" s="1"/>
      <c r="CLX4" s="1"/>
      <c r="CLY4" s="1"/>
      <c r="CLZ4" s="1"/>
      <c r="CMA4" s="1"/>
      <c r="CMB4" s="1"/>
      <c r="CMC4" s="1"/>
      <c r="CMD4" s="1"/>
      <c r="CME4" s="1"/>
      <c r="CMF4" s="1"/>
      <c r="CMG4" s="1"/>
      <c r="CMH4" s="1"/>
      <c r="CMI4" s="1"/>
      <c r="CMJ4" s="1"/>
      <c r="CMK4" s="1"/>
      <c r="CML4" s="1"/>
      <c r="CMM4" s="1"/>
      <c r="CMN4" s="1"/>
      <c r="CMO4" s="1"/>
      <c r="CMP4" s="1"/>
      <c r="CMQ4" s="1"/>
      <c r="CMR4" s="1"/>
      <c r="CMS4" s="1"/>
      <c r="CMT4" s="1"/>
      <c r="CMU4" s="1"/>
      <c r="CMV4" s="1"/>
      <c r="CMW4" s="1"/>
      <c r="CMX4" s="1"/>
      <c r="CMY4" s="1"/>
      <c r="CMZ4" s="1"/>
      <c r="CNA4" s="1"/>
      <c r="CNB4" s="1"/>
      <c r="CNC4" s="1"/>
      <c r="CND4" s="1"/>
      <c r="CNE4" s="1"/>
      <c r="CNF4" s="1"/>
      <c r="CNG4" s="1"/>
      <c r="CNH4" s="1"/>
      <c r="CNI4" s="1"/>
      <c r="CNJ4" s="1"/>
      <c r="CNK4" s="1"/>
      <c r="CNL4" s="1"/>
      <c r="CNM4" s="1"/>
      <c r="CNN4" s="1"/>
      <c r="CNO4" s="1"/>
      <c r="CNP4" s="1"/>
      <c r="CNQ4" s="1"/>
      <c r="CNR4" s="1"/>
      <c r="CNS4" s="1"/>
      <c r="CNT4" s="1"/>
      <c r="CNU4" s="1"/>
      <c r="CNV4" s="1"/>
      <c r="CNW4" s="1"/>
      <c r="CNX4" s="1"/>
      <c r="CNY4" s="1"/>
      <c r="CNZ4" s="1"/>
      <c r="COA4" s="1"/>
      <c r="COB4" s="1"/>
      <c r="COC4" s="1"/>
      <c r="COD4" s="1"/>
      <c r="COE4" s="1"/>
      <c r="COF4" s="1"/>
      <c r="COG4" s="1"/>
      <c r="COH4" s="1"/>
      <c r="COI4" s="1"/>
      <c r="COJ4" s="1"/>
      <c r="COK4" s="1"/>
      <c r="COL4" s="1"/>
      <c r="COM4" s="1"/>
      <c r="CON4" s="1"/>
      <c r="COO4" s="1"/>
      <c r="COP4" s="1"/>
      <c r="COQ4" s="1"/>
      <c r="COR4" s="1"/>
      <c r="COS4" s="1"/>
      <c r="COT4" s="1"/>
      <c r="COU4" s="1"/>
      <c r="COV4" s="1"/>
      <c r="COW4" s="1"/>
      <c r="COX4" s="1"/>
      <c r="COY4" s="1"/>
      <c r="COZ4" s="1"/>
      <c r="CPA4" s="1"/>
      <c r="CPB4" s="1"/>
      <c r="CPC4" s="1"/>
      <c r="CPD4" s="1"/>
      <c r="CPE4" s="1"/>
      <c r="CPF4" s="1"/>
      <c r="CPG4" s="1"/>
      <c r="CPH4" s="1"/>
      <c r="CPI4" s="1"/>
      <c r="CPJ4" s="1"/>
      <c r="CPK4" s="1"/>
      <c r="CPL4" s="1"/>
      <c r="CPM4" s="1"/>
      <c r="CPN4" s="1"/>
      <c r="CPO4" s="1"/>
      <c r="CPP4" s="1"/>
      <c r="CPQ4" s="1"/>
      <c r="CPR4" s="1"/>
      <c r="CPS4" s="1"/>
      <c r="CPT4" s="1"/>
      <c r="CPU4" s="1"/>
      <c r="CPV4" s="1"/>
      <c r="CPW4" s="1"/>
      <c r="CPX4" s="1"/>
      <c r="CPY4" s="1"/>
      <c r="CPZ4" s="1"/>
      <c r="CQA4" s="1"/>
      <c r="CQB4" s="1"/>
      <c r="CQC4" s="1"/>
      <c r="CQD4" s="1"/>
      <c r="CQE4" s="1"/>
      <c r="CQF4" s="1"/>
      <c r="CQG4" s="1"/>
      <c r="CQH4" s="1"/>
      <c r="CQI4" s="1"/>
      <c r="CQJ4" s="1"/>
      <c r="CQK4" s="1"/>
      <c r="CQL4" s="1"/>
      <c r="CQM4" s="1"/>
      <c r="CQN4" s="1"/>
      <c r="CQO4" s="1"/>
      <c r="CQP4" s="1"/>
      <c r="CQQ4" s="1"/>
      <c r="CQR4" s="1"/>
      <c r="CQS4" s="1"/>
      <c r="CQT4" s="1"/>
      <c r="CQU4" s="1"/>
      <c r="CQV4" s="1"/>
      <c r="CQW4" s="1"/>
      <c r="CQX4" s="1"/>
      <c r="CQY4" s="1"/>
      <c r="CQZ4" s="1"/>
      <c r="CRA4" s="1"/>
      <c r="CRB4" s="1"/>
      <c r="CRC4" s="1"/>
      <c r="CRD4" s="1"/>
      <c r="CRE4" s="1"/>
      <c r="CRF4" s="1"/>
      <c r="CRG4" s="1"/>
      <c r="CRH4" s="1"/>
      <c r="CRI4" s="1"/>
      <c r="CRJ4" s="1"/>
      <c r="CRK4" s="1"/>
      <c r="CRL4" s="1"/>
      <c r="CRM4" s="1"/>
      <c r="CRN4" s="1"/>
      <c r="CRO4" s="1"/>
      <c r="CRP4" s="1"/>
      <c r="CRQ4" s="1"/>
      <c r="CRR4" s="1"/>
      <c r="CRS4" s="1"/>
      <c r="CRT4" s="1"/>
      <c r="CRU4" s="1"/>
      <c r="CRV4" s="1"/>
      <c r="CRW4" s="1"/>
      <c r="CRX4" s="1"/>
      <c r="CRY4" s="1"/>
      <c r="CRZ4" s="1"/>
      <c r="CSA4" s="1"/>
      <c r="CSB4" s="1"/>
      <c r="CSC4" s="1"/>
      <c r="CSD4" s="1"/>
      <c r="CSE4" s="1"/>
      <c r="CSF4" s="1"/>
      <c r="CSG4" s="1"/>
      <c r="CSH4" s="1"/>
      <c r="CSI4" s="1"/>
      <c r="CSJ4" s="1"/>
      <c r="CSK4" s="1"/>
      <c r="CSL4" s="1"/>
      <c r="CSM4" s="1"/>
      <c r="CSN4" s="1"/>
      <c r="CSO4" s="1"/>
      <c r="CSP4" s="1"/>
      <c r="CSQ4" s="1"/>
      <c r="CSR4" s="1"/>
      <c r="CSS4" s="1"/>
      <c r="CST4" s="1"/>
      <c r="CSU4" s="1"/>
      <c r="CSV4" s="1"/>
      <c r="CSW4" s="1"/>
      <c r="CSX4" s="1"/>
      <c r="CSY4" s="1"/>
      <c r="CSZ4" s="1"/>
      <c r="CTA4" s="1"/>
      <c r="CTB4" s="1"/>
      <c r="CTC4" s="1"/>
      <c r="CTD4" s="1"/>
      <c r="CTE4" s="1"/>
      <c r="CTF4" s="1"/>
      <c r="CTG4" s="1"/>
      <c r="CTH4" s="1"/>
      <c r="CTI4" s="1"/>
      <c r="CTJ4" s="1"/>
      <c r="CTK4" s="1"/>
      <c r="CTL4" s="1"/>
      <c r="CTM4" s="1"/>
      <c r="CTN4" s="1"/>
      <c r="CTO4" s="1"/>
      <c r="CTP4" s="1"/>
      <c r="CTQ4" s="1"/>
      <c r="CTR4" s="1"/>
      <c r="CTS4" s="1"/>
      <c r="CTT4" s="1"/>
      <c r="CTU4" s="1"/>
      <c r="CTV4" s="1"/>
      <c r="CTW4" s="1"/>
      <c r="CTX4" s="1"/>
      <c r="CTY4" s="1"/>
      <c r="CTZ4" s="1"/>
      <c r="CUA4" s="1"/>
      <c r="CUB4" s="1"/>
      <c r="CUC4" s="1"/>
      <c r="CUD4" s="1"/>
      <c r="CUE4" s="1"/>
      <c r="CUF4" s="1"/>
      <c r="CUG4" s="1"/>
      <c r="CUH4" s="1"/>
      <c r="CUI4" s="1"/>
      <c r="CUJ4" s="1"/>
      <c r="CUK4" s="1"/>
      <c r="CUL4" s="1"/>
      <c r="CUM4" s="1"/>
      <c r="CUN4" s="1"/>
      <c r="CUO4" s="1"/>
      <c r="CUP4" s="1"/>
      <c r="CUQ4" s="1"/>
      <c r="CUR4" s="1"/>
      <c r="CUS4" s="1"/>
      <c r="CUT4" s="1"/>
      <c r="CUU4" s="1"/>
      <c r="CUV4" s="1"/>
      <c r="CUW4" s="1"/>
      <c r="CUX4" s="1"/>
      <c r="CUY4" s="1"/>
      <c r="CUZ4" s="1"/>
      <c r="CVA4" s="1"/>
      <c r="CVB4" s="1"/>
      <c r="CVC4" s="1"/>
      <c r="CVD4" s="1"/>
      <c r="CVE4" s="1"/>
      <c r="CVF4" s="1"/>
      <c r="CVG4" s="1"/>
      <c r="CVH4" s="1"/>
      <c r="CVI4" s="1"/>
      <c r="CVJ4" s="1"/>
      <c r="CVK4" s="1"/>
      <c r="CVL4" s="1"/>
      <c r="CVM4" s="1"/>
      <c r="CVN4" s="1"/>
      <c r="CVO4" s="1"/>
      <c r="CVP4" s="1"/>
      <c r="CVQ4" s="1"/>
      <c r="CVR4" s="1"/>
      <c r="CVS4" s="1"/>
      <c r="CVT4" s="1"/>
      <c r="CVU4" s="1"/>
      <c r="CVV4" s="1"/>
      <c r="CVW4" s="1"/>
      <c r="CVX4" s="1"/>
      <c r="CVY4" s="1"/>
      <c r="CVZ4" s="1"/>
      <c r="CWA4" s="1"/>
      <c r="CWB4" s="1"/>
      <c r="CWC4" s="1"/>
      <c r="CWD4" s="1"/>
      <c r="CWE4" s="1"/>
      <c r="CWF4" s="1"/>
      <c r="CWG4" s="1"/>
      <c r="CWH4" s="1"/>
      <c r="CWI4" s="1"/>
      <c r="CWJ4" s="1"/>
      <c r="CWK4" s="1"/>
      <c r="CWL4" s="1"/>
      <c r="CWM4" s="1"/>
      <c r="CWN4" s="1"/>
      <c r="CWO4" s="1"/>
      <c r="CWP4" s="1"/>
      <c r="CWQ4" s="1"/>
      <c r="CWR4" s="1"/>
      <c r="CWS4" s="1"/>
      <c r="CWT4" s="1"/>
      <c r="CWU4" s="1"/>
      <c r="CWV4" s="1"/>
      <c r="CWW4" s="1"/>
      <c r="CWX4" s="1"/>
      <c r="CWY4" s="1"/>
      <c r="CWZ4" s="1"/>
      <c r="CXA4" s="1"/>
      <c r="CXB4" s="1"/>
      <c r="CXC4" s="1"/>
      <c r="CXD4" s="1"/>
      <c r="CXE4" s="1"/>
      <c r="CXF4" s="1"/>
      <c r="CXG4" s="1"/>
      <c r="CXH4" s="1"/>
      <c r="CXI4" s="1"/>
      <c r="CXJ4" s="1"/>
      <c r="CXK4" s="1"/>
      <c r="CXL4" s="1"/>
      <c r="CXM4" s="1"/>
      <c r="CXN4" s="1"/>
      <c r="CXO4" s="1"/>
      <c r="CXP4" s="1"/>
      <c r="CXQ4" s="1"/>
      <c r="CXR4" s="1"/>
      <c r="CXS4" s="1"/>
      <c r="CXT4" s="1"/>
      <c r="CXU4" s="1"/>
      <c r="CXV4" s="1"/>
      <c r="CXW4" s="1"/>
      <c r="CXX4" s="1"/>
      <c r="CXY4" s="1"/>
      <c r="CXZ4" s="1"/>
      <c r="CYA4" s="1"/>
      <c r="CYB4" s="1"/>
      <c r="CYC4" s="1"/>
      <c r="CYD4" s="1"/>
      <c r="CYE4" s="1"/>
      <c r="CYF4" s="1"/>
      <c r="CYG4" s="1"/>
      <c r="CYH4" s="1"/>
      <c r="CYI4" s="1"/>
      <c r="CYJ4" s="1"/>
      <c r="CYK4" s="1"/>
      <c r="CYL4" s="1"/>
      <c r="CYM4" s="1"/>
      <c r="CYN4" s="1"/>
      <c r="CYO4" s="1"/>
      <c r="CYP4" s="1"/>
      <c r="CYQ4" s="1"/>
      <c r="CYR4" s="1"/>
      <c r="CYS4" s="1"/>
      <c r="CYT4" s="1"/>
      <c r="CYU4" s="1"/>
      <c r="CYV4" s="1"/>
      <c r="CYW4" s="1"/>
      <c r="CYX4" s="1"/>
      <c r="CYY4" s="1"/>
      <c r="CYZ4" s="1"/>
      <c r="CZA4" s="1"/>
      <c r="CZB4" s="1"/>
      <c r="CZC4" s="1"/>
      <c r="CZD4" s="1"/>
      <c r="CZE4" s="1"/>
      <c r="CZF4" s="1"/>
      <c r="CZG4" s="1"/>
      <c r="CZH4" s="1"/>
      <c r="CZI4" s="1"/>
      <c r="CZJ4" s="1"/>
      <c r="CZK4" s="1"/>
      <c r="CZL4" s="1"/>
      <c r="CZM4" s="1"/>
      <c r="CZN4" s="1"/>
      <c r="CZO4" s="1"/>
      <c r="CZP4" s="1"/>
      <c r="CZQ4" s="1"/>
      <c r="CZR4" s="1"/>
      <c r="CZS4" s="1"/>
      <c r="CZT4" s="1"/>
      <c r="CZU4" s="1"/>
      <c r="CZV4" s="1"/>
      <c r="CZW4" s="1"/>
      <c r="CZX4" s="1"/>
      <c r="CZY4" s="1"/>
      <c r="CZZ4" s="1"/>
      <c r="DAA4" s="1"/>
      <c r="DAB4" s="1"/>
      <c r="DAC4" s="1"/>
      <c r="DAD4" s="1"/>
      <c r="DAE4" s="1"/>
      <c r="DAF4" s="1"/>
      <c r="DAG4" s="1"/>
      <c r="DAH4" s="1"/>
      <c r="DAI4" s="1"/>
      <c r="DAJ4" s="1"/>
      <c r="DAK4" s="1"/>
      <c r="DAL4" s="1"/>
      <c r="DAM4" s="1"/>
      <c r="DAN4" s="1"/>
      <c r="DAO4" s="1"/>
      <c r="DAP4" s="1"/>
      <c r="DAQ4" s="1"/>
      <c r="DAR4" s="1"/>
      <c r="DAS4" s="1"/>
      <c r="DAT4" s="1"/>
      <c r="DAU4" s="1"/>
      <c r="DAV4" s="1"/>
      <c r="DAW4" s="1"/>
      <c r="DAX4" s="1"/>
      <c r="DAY4" s="1"/>
      <c r="DAZ4" s="1"/>
      <c r="DBA4" s="1"/>
      <c r="DBB4" s="1"/>
      <c r="DBC4" s="1"/>
      <c r="DBD4" s="1"/>
      <c r="DBE4" s="1"/>
      <c r="DBF4" s="1"/>
      <c r="DBG4" s="1"/>
      <c r="DBH4" s="1"/>
      <c r="DBI4" s="1"/>
      <c r="DBJ4" s="1"/>
      <c r="DBK4" s="1"/>
      <c r="DBL4" s="1"/>
      <c r="DBM4" s="1"/>
      <c r="DBN4" s="1"/>
      <c r="DBO4" s="1"/>
      <c r="DBP4" s="1"/>
      <c r="DBQ4" s="1"/>
      <c r="DBR4" s="1"/>
      <c r="DBS4" s="1"/>
      <c r="DBT4" s="1"/>
      <c r="DBU4" s="1"/>
      <c r="DBV4" s="1"/>
      <c r="DBW4" s="1"/>
      <c r="DBX4" s="1"/>
      <c r="DBY4" s="1"/>
      <c r="DBZ4" s="1"/>
      <c r="DCA4" s="1"/>
      <c r="DCB4" s="1"/>
      <c r="DCC4" s="1"/>
      <c r="DCD4" s="1"/>
      <c r="DCE4" s="1"/>
      <c r="DCF4" s="1"/>
      <c r="DCG4" s="1"/>
      <c r="DCH4" s="1"/>
      <c r="DCI4" s="1"/>
      <c r="DCJ4" s="1"/>
      <c r="DCK4" s="1"/>
      <c r="DCL4" s="1"/>
      <c r="DCM4" s="1"/>
      <c r="DCN4" s="1"/>
      <c r="DCO4" s="1"/>
      <c r="DCP4" s="1"/>
      <c r="DCQ4" s="1"/>
      <c r="DCR4" s="1"/>
      <c r="DCS4" s="1"/>
      <c r="DCT4" s="1"/>
      <c r="DCU4" s="1"/>
      <c r="DCV4" s="1"/>
      <c r="DCW4" s="1"/>
      <c r="DCX4" s="1"/>
      <c r="DCY4" s="1"/>
      <c r="DCZ4" s="1"/>
      <c r="DDA4" s="1"/>
      <c r="DDB4" s="1"/>
      <c r="DDC4" s="1"/>
      <c r="DDD4" s="1"/>
      <c r="DDE4" s="1"/>
      <c r="DDF4" s="1"/>
      <c r="DDG4" s="1"/>
      <c r="DDH4" s="1"/>
      <c r="DDI4" s="1"/>
      <c r="DDJ4" s="1"/>
      <c r="DDK4" s="1"/>
      <c r="DDL4" s="1"/>
      <c r="DDM4" s="1"/>
      <c r="DDN4" s="1"/>
      <c r="DDO4" s="1"/>
      <c r="DDP4" s="1"/>
      <c r="DDQ4" s="1"/>
      <c r="DDR4" s="1"/>
      <c r="DDS4" s="1"/>
      <c r="DDT4" s="1"/>
      <c r="DDU4" s="1"/>
      <c r="DDV4" s="1"/>
      <c r="DDW4" s="1"/>
      <c r="DDX4" s="1"/>
      <c r="DDY4" s="1"/>
      <c r="DDZ4" s="1"/>
      <c r="DEA4" s="1"/>
      <c r="DEB4" s="1"/>
      <c r="DEC4" s="1"/>
      <c r="DED4" s="1"/>
      <c r="DEE4" s="1"/>
      <c r="DEF4" s="1"/>
      <c r="DEG4" s="1"/>
      <c r="DEH4" s="1"/>
      <c r="DEI4" s="1"/>
      <c r="DEJ4" s="1"/>
      <c r="DEK4" s="1"/>
      <c r="DEL4" s="1"/>
      <c r="DEM4" s="1"/>
      <c r="DEN4" s="1"/>
      <c r="DEO4" s="1"/>
      <c r="DEP4" s="1"/>
      <c r="DEQ4" s="1"/>
      <c r="DER4" s="1"/>
      <c r="DES4" s="1"/>
      <c r="DET4" s="1"/>
      <c r="DEU4" s="1"/>
      <c r="DEV4" s="1"/>
      <c r="DEW4" s="1"/>
      <c r="DEX4" s="1"/>
      <c r="DEY4" s="1"/>
      <c r="DEZ4" s="1"/>
      <c r="DFA4" s="1"/>
      <c r="DFB4" s="1"/>
      <c r="DFC4" s="1"/>
      <c r="DFD4" s="1"/>
      <c r="DFE4" s="1"/>
      <c r="DFF4" s="1"/>
      <c r="DFG4" s="1"/>
      <c r="DFH4" s="1"/>
      <c r="DFI4" s="1"/>
      <c r="DFJ4" s="1"/>
      <c r="DFK4" s="1"/>
      <c r="DFL4" s="1"/>
      <c r="DFM4" s="1"/>
      <c r="DFN4" s="1"/>
      <c r="DFO4" s="1"/>
      <c r="DFP4" s="1"/>
      <c r="DFQ4" s="1"/>
      <c r="DFR4" s="1"/>
      <c r="DFS4" s="1"/>
      <c r="DFT4" s="1"/>
      <c r="DFU4" s="1"/>
      <c r="DFV4" s="1"/>
      <c r="DFW4" s="1"/>
      <c r="DFX4" s="1"/>
      <c r="DFY4" s="1"/>
      <c r="DFZ4" s="1"/>
      <c r="DGA4" s="1"/>
      <c r="DGB4" s="1"/>
      <c r="DGC4" s="1"/>
      <c r="DGD4" s="1"/>
      <c r="DGE4" s="1"/>
      <c r="DGF4" s="1"/>
      <c r="DGG4" s="1"/>
      <c r="DGH4" s="1"/>
      <c r="DGI4" s="1"/>
      <c r="DGJ4" s="1"/>
      <c r="DGK4" s="1"/>
      <c r="DGL4" s="1"/>
      <c r="DGM4" s="1"/>
      <c r="DGN4" s="1"/>
      <c r="DGO4" s="1"/>
      <c r="DGP4" s="1"/>
      <c r="DGQ4" s="1"/>
      <c r="DGR4" s="1"/>
      <c r="DGS4" s="1"/>
      <c r="DGT4" s="1"/>
      <c r="DGU4" s="1"/>
      <c r="DGV4" s="1"/>
      <c r="DGW4" s="1"/>
      <c r="DGX4" s="1"/>
      <c r="DGY4" s="1"/>
      <c r="DGZ4" s="1"/>
      <c r="DHA4" s="1"/>
      <c r="DHB4" s="1"/>
      <c r="DHC4" s="1"/>
      <c r="DHD4" s="1"/>
      <c r="DHE4" s="1"/>
      <c r="DHF4" s="1"/>
      <c r="DHG4" s="1"/>
      <c r="DHH4" s="1"/>
      <c r="DHI4" s="1"/>
      <c r="DHJ4" s="1"/>
      <c r="DHK4" s="1"/>
      <c r="DHL4" s="1"/>
      <c r="DHM4" s="1"/>
      <c r="DHN4" s="1"/>
      <c r="DHO4" s="1"/>
      <c r="DHP4" s="1"/>
      <c r="DHQ4" s="1"/>
      <c r="DHR4" s="1"/>
      <c r="DHS4" s="1"/>
      <c r="DHT4" s="1"/>
      <c r="DHU4" s="1"/>
      <c r="DHV4" s="1"/>
      <c r="DHW4" s="1"/>
      <c r="DHX4" s="1"/>
      <c r="DHY4" s="1"/>
      <c r="DHZ4" s="1"/>
      <c r="DIA4" s="1"/>
      <c r="DIB4" s="1"/>
      <c r="DIC4" s="1"/>
      <c r="DID4" s="1"/>
      <c r="DIE4" s="1"/>
      <c r="DIF4" s="1"/>
      <c r="DIG4" s="1"/>
      <c r="DIH4" s="1"/>
      <c r="DII4" s="1"/>
      <c r="DIJ4" s="1"/>
      <c r="DIK4" s="1"/>
      <c r="DIL4" s="1"/>
      <c r="DIM4" s="1"/>
      <c r="DIN4" s="1"/>
      <c r="DIO4" s="1"/>
      <c r="DIP4" s="1"/>
      <c r="DIQ4" s="1"/>
      <c r="DIR4" s="1"/>
      <c r="DIS4" s="1"/>
      <c r="DIT4" s="1"/>
      <c r="DIU4" s="1"/>
      <c r="DIV4" s="1"/>
      <c r="DIW4" s="1"/>
      <c r="DIX4" s="1"/>
      <c r="DIY4" s="1"/>
      <c r="DIZ4" s="1"/>
      <c r="DJA4" s="1"/>
      <c r="DJB4" s="1"/>
      <c r="DJC4" s="1"/>
      <c r="DJD4" s="1"/>
      <c r="DJE4" s="1"/>
      <c r="DJF4" s="1"/>
      <c r="DJG4" s="1"/>
      <c r="DJH4" s="1"/>
      <c r="DJI4" s="1"/>
      <c r="DJJ4" s="1"/>
      <c r="DJK4" s="1"/>
      <c r="DJL4" s="1"/>
      <c r="DJM4" s="1"/>
      <c r="DJN4" s="1"/>
      <c r="DJO4" s="1"/>
      <c r="DJP4" s="1"/>
      <c r="DJQ4" s="1"/>
      <c r="DJR4" s="1"/>
      <c r="DJS4" s="1"/>
      <c r="DJT4" s="1"/>
      <c r="DJU4" s="1"/>
      <c r="DJV4" s="1"/>
      <c r="DJW4" s="1"/>
      <c r="DJX4" s="1"/>
      <c r="DJY4" s="1"/>
      <c r="DJZ4" s="1"/>
      <c r="DKA4" s="1"/>
      <c r="DKB4" s="1"/>
      <c r="DKC4" s="1"/>
      <c r="DKD4" s="1"/>
      <c r="DKE4" s="1"/>
      <c r="DKF4" s="1"/>
      <c r="DKG4" s="1"/>
      <c r="DKH4" s="1"/>
      <c r="DKI4" s="1"/>
      <c r="DKJ4" s="1"/>
      <c r="DKK4" s="1"/>
      <c r="DKL4" s="1"/>
      <c r="DKM4" s="1"/>
      <c r="DKN4" s="1"/>
      <c r="DKO4" s="1"/>
      <c r="DKP4" s="1"/>
      <c r="DKQ4" s="1"/>
      <c r="DKR4" s="1"/>
      <c r="DKS4" s="1"/>
      <c r="DKT4" s="1"/>
      <c r="DKU4" s="1"/>
      <c r="DKV4" s="1"/>
      <c r="DKW4" s="1"/>
      <c r="DKX4" s="1"/>
      <c r="DKY4" s="1"/>
      <c r="DKZ4" s="1"/>
      <c r="DLA4" s="1"/>
      <c r="DLB4" s="1"/>
      <c r="DLC4" s="1"/>
      <c r="DLD4" s="1"/>
      <c r="DLE4" s="1"/>
      <c r="DLF4" s="1"/>
      <c r="DLG4" s="1"/>
      <c r="DLH4" s="1"/>
      <c r="DLI4" s="1"/>
      <c r="DLJ4" s="1"/>
      <c r="DLK4" s="1"/>
      <c r="DLL4" s="1"/>
      <c r="DLM4" s="1"/>
      <c r="DLN4" s="1"/>
      <c r="DLO4" s="1"/>
      <c r="DLP4" s="1"/>
      <c r="DLQ4" s="1"/>
      <c r="DLR4" s="1"/>
      <c r="DLS4" s="1"/>
      <c r="DLT4" s="1"/>
      <c r="DLU4" s="1"/>
      <c r="DLV4" s="1"/>
      <c r="DLW4" s="1"/>
      <c r="DLX4" s="1"/>
      <c r="DLY4" s="1"/>
      <c r="DLZ4" s="1"/>
      <c r="DMA4" s="1"/>
      <c r="DMB4" s="1"/>
      <c r="DMC4" s="1"/>
      <c r="DMD4" s="1"/>
      <c r="DME4" s="1"/>
      <c r="DMF4" s="1"/>
      <c r="DMG4" s="1"/>
      <c r="DMH4" s="1"/>
      <c r="DMI4" s="1"/>
      <c r="DMJ4" s="1"/>
      <c r="DMK4" s="1"/>
      <c r="DML4" s="1"/>
      <c r="DMM4" s="1"/>
      <c r="DMN4" s="1"/>
      <c r="DMO4" s="1"/>
      <c r="DMP4" s="1"/>
      <c r="DMQ4" s="1"/>
      <c r="DMR4" s="1"/>
      <c r="DMS4" s="1"/>
      <c r="DMT4" s="1"/>
      <c r="DMU4" s="1"/>
      <c r="DMV4" s="1"/>
      <c r="DMW4" s="1"/>
      <c r="DMX4" s="1"/>
      <c r="DMY4" s="1"/>
      <c r="DMZ4" s="1"/>
      <c r="DNA4" s="1"/>
      <c r="DNB4" s="1"/>
      <c r="DNC4" s="1"/>
      <c r="DND4" s="1"/>
      <c r="DNE4" s="1"/>
      <c r="DNF4" s="1"/>
      <c r="DNG4" s="1"/>
      <c r="DNH4" s="1"/>
      <c r="DNI4" s="1"/>
      <c r="DNJ4" s="1"/>
      <c r="DNK4" s="1"/>
      <c r="DNL4" s="1"/>
      <c r="DNM4" s="1"/>
      <c r="DNN4" s="1"/>
      <c r="DNO4" s="1"/>
      <c r="DNP4" s="1"/>
      <c r="DNQ4" s="1"/>
      <c r="DNR4" s="1"/>
      <c r="DNS4" s="1"/>
      <c r="DNT4" s="1"/>
      <c r="DNU4" s="1"/>
      <c r="DNV4" s="1"/>
      <c r="DNW4" s="1"/>
      <c r="DNX4" s="1"/>
      <c r="DNY4" s="1"/>
      <c r="DNZ4" s="1"/>
      <c r="DOA4" s="1"/>
      <c r="DOB4" s="1"/>
      <c r="DOC4" s="1"/>
      <c r="DOD4" s="1"/>
      <c r="DOE4" s="1"/>
      <c r="DOF4" s="1"/>
      <c r="DOG4" s="1"/>
      <c r="DOH4" s="1"/>
      <c r="DOI4" s="1"/>
      <c r="DOJ4" s="1"/>
      <c r="DOK4" s="1"/>
      <c r="DOL4" s="1"/>
      <c r="DOM4" s="1"/>
      <c r="DON4" s="1"/>
      <c r="DOO4" s="1"/>
      <c r="DOP4" s="1"/>
      <c r="DOQ4" s="1"/>
      <c r="DOR4" s="1"/>
      <c r="DOS4" s="1"/>
      <c r="DOT4" s="1"/>
      <c r="DOU4" s="1"/>
      <c r="DOV4" s="1"/>
      <c r="DOW4" s="1"/>
      <c r="DOX4" s="1"/>
      <c r="DOY4" s="1"/>
      <c r="DOZ4" s="1"/>
      <c r="DPA4" s="1"/>
      <c r="DPB4" s="1"/>
      <c r="DPC4" s="1"/>
      <c r="DPD4" s="1"/>
      <c r="DPE4" s="1"/>
      <c r="DPF4" s="1"/>
      <c r="DPG4" s="1"/>
      <c r="DPH4" s="1"/>
      <c r="DPI4" s="1"/>
      <c r="DPJ4" s="1"/>
      <c r="DPK4" s="1"/>
      <c r="DPL4" s="1"/>
      <c r="DPM4" s="1"/>
      <c r="DPN4" s="1"/>
      <c r="DPO4" s="1"/>
      <c r="DPP4" s="1"/>
      <c r="DPQ4" s="1"/>
      <c r="DPR4" s="1"/>
      <c r="DPS4" s="1"/>
      <c r="DPT4" s="1"/>
      <c r="DPU4" s="1"/>
      <c r="DPV4" s="1"/>
      <c r="DPW4" s="1"/>
      <c r="DPX4" s="1"/>
      <c r="DPY4" s="1"/>
      <c r="DPZ4" s="1"/>
      <c r="DQA4" s="1"/>
      <c r="DQB4" s="1"/>
      <c r="DQC4" s="1"/>
      <c r="DQD4" s="1"/>
      <c r="DQE4" s="1"/>
      <c r="DQF4" s="1"/>
      <c r="DQG4" s="1"/>
      <c r="DQH4" s="1"/>
      <c r="DQI4" s="1"/>
      <c r="DQJ4" s="1"/>
      <c r="DQK4" s="1"/>
      <c r="DQL4" s="1"/>
      <c r="DQM4" s="1"/>
      <c r="DQN4" s="1"/>
      <c r="DQO4" s="1"/>
      <c r="DQP4" s="1"/>
      <c r="DQQ4" s="1"/>
      <c r="DQR4" s="1"/>
      <c r="DQS4" s="1"/>
      <c r="DQT4" s="1"/>
      <c r="DQU4" s="1"/>
      <c r="DQV4" s="1"/>
      <c r="DQW4" s="1"/>
      <c r="DQX4" s="1"/>
      <c r="DQY4" s="1"/>
      <c r="DQZ4" s="1"/>
      <c r="DRA4" s="1"/>
      <c r="DRB4" s="1"/>
      <c r="DRC4" s="1"/>
      <c r="DRD4" s="1"/>
      <c r="DRE4" s="1"/>
      <c r="DRF4" s="1"/>
      <c r="DRG4" s="1"/>
      <c r="DRH4" s="1"/>
      <c r="DRI4" s="1"/>
      <c r="DRJ4" s="1"/>
      <c r="DRK4" s="1"/>
      <c r="DRL4" s="1"/>
      <c r="DRM4" s="1"/>
      <c r="DRN4" s="1"/>
      <c r="DRO4" s="1"/>
      <c r="DRP4" s="1"/>
      <c r="DRQ4" s="1"/>
      <c r="DRR4" s="1"/>
      <c r="DRS4" s="1"/>
      <c r="DRT4" s="1"/>
      <c r="DRU4" s="1"/>
      <c r="DRV4" s="1"/>
      <c r="DRW4" s="1"/>
      <c r="DRX4" s="1"/>
      <c r="DRY4" s="1"/>
      <c r="DRZ4" s="1"/>
      <c r="DSA4" s="1"/>
      <c r="DSB4" s="1"/>
      <c r="DSC4" s="1"/>
      <c r="DSD4" s="1"/>
      <c r="DSE4" s="1"/>
      <c r="DSF4" s="1"/>
      <c r="DSG4" s="1"/>
      <c r="DSH4" s="1"/>
      <c r="DSI4" s="1"/>
      <c r="DSJ4" s="1"/>
      <c r="DSK4" s="1"/>
      <c r="DSL4" s="1"/>
      <c r="DSM4" s="1"/>
      <c r="DSN4" s="1"/>
      <c r="DSO4" s="1"/>
      <c r="DSP4" s="1"/>
      <c r="DSQ4" s="1"/>
      <c r="DSR4" s="1"/>
      <c r="DSS4" s="1"/>
      <c r="DST4" s="1"/>
      <c r="DSU4" s="1"/>
      <c r="DSV4" s="1"/>
      <c r="DSW4" s="1"/>
      <c r="DSX4" s="1"/>
      <c r="DSY4" s="1"/>
      <c r="DSZ4" s="1"/>
      <c r="DTA4" s="1"/>
      <c r="DTB4" s="1"/>
      <c r="DTC4" s="1"/>
      <c r="DTD4" s="1"/>
      <c r="DTE4" s="1"/>
      <c r="DTF4" s="1"/>
      <c r="DTG4" s="1"/>
      <c r="DTH4" s="1"/>
      <c r="DTI4" s="1"/>
      <c r="DTJ4" s="1"/>
      <c r="DTK4" s="1"/>
      <c r="DTL4" s="1"/>
      <c r="DTM4" s="1"/>
      <c r="DTN4" s="1"/>
      <c r="DTO4" s="1"/>
      <c r="DTP4" s="1"/>
      <c r="DTQ4" s="1"/>
      <c r="DTR4" s="1"/>
      <c r="DTS4" s="1"/>
      <c r="DTT4" s="1"/>
      <c r="DTU4" s="1"/>
      <c r="DTV4" s="1"/>
      <c r="DTW4" s="1"/>
      <c r="DTX4" s="1"/>
      <c r="DTY4" s="1"/>
      <c r="DTZ4" s="1"/>
      <c r="DUA4" s="1"/>
      <c r="DUB4" s="1"/>
      <c r="DUC4" s="1"/>
      <c r="DUD4" s="1"/>
      <c r="DUE4" s="1"/>
      <c r="DUF4" s="1"/>
      <c r="DUG4" s="1"/>
      <c r="DUH4" s="1"/>
      <c r="DUI4" s="1"/>
      <c r="DUJ4" s="1"/>
      <c r="DUK4" s="1"/>
      <c r="DUL4" s="1"/>
      <c r="DUM4" s="1"/>
      <c r="DUN4" s="1"/>
      <c r="DUO4" s="1"/>
      <c r="DUP4" s="1"/>
      <c r="DUQ4" s="1"/>
      <c r="DUR4" s="1"/>
      <c r="DUS4" s="1"/>
      <c r="DUT4" s="1"/>
      <c r="DUU4" s="1"/>
      <c r="DUV4" s="1"/>
      <c r="DUW4" s="1"/>
      <c r="DUX4" s="1"/>
      <c r="DUY4" s="1"/>
      <c r="DUZ4" s="1"/>
      <c r="DVA4" s="1"/>
      <c r="DVB4" s="1"/>
      <c r="DVC4" s="1"/>
      <c r="DVD4" s="1"/>
      <c r="DVE4" s="1"/>
      <c r="DVF4" s="1"/>
      <c r="DVG4" s="1"/>
      <c r="DVH4" s="1"/>
      <c r="DVI4" s="1"/>
      <c r="DVJ4" s="1"/>
      <c r="DVK4" s="1"/>
      <c r="DVL4" s="1"/>
      <c r="DVM4" s="1"/>
      <c r="DVN4" s="1"/>
      <c r="DVO4" s="1"/>
      <c r="DVP4" s="1"/>
      <c r="DVQ4" s="1"/>
      <c r="DVR4" s="1"/>
      <c r="DVS4" s="1"/>
      <c r="DVT4" s="1"/>
      <c r="DVU4" s="1"/>
      <c r="DVV4" s="1"/>
      <c r="DVW4" s="1"/>
      <c r="DVX4" s="1"/>
      <c r="DVY4" s="1"/>
      <c r="DVZ4" s="1"/>
      <c r="DWA4" s="1"/>
      <c r="DWB4" s="1"/>
      <c r="DWC4" s="1"/>
      <c r="DWD4" s="1"/>
      <c r="DWE4" s="1"/>
      <c r="DWF4" s="1"/>
      <c r="DWG4" s="1"/>
      <c r="DWH4" s="1"/>
      <c r="DWI4" s="1"/>
      <c r="DWJ4" s="1"/>
      <c r="DWK4" s="1"/>
      <c r="DWL4" s="1"/>
      <c r="DWM4" s="1"/>
      <c r="DWN4" s="1"/>
      <c r="DWO4" s="1"/>
      <c r="DWP4" s="1"/>
      <c r="DWQ4" s="1"/>
      <c r="DWR4" s="1"/>
      <c r="DWS4" s="1"/>
      <c r="DWT4" s="1"/>
      <c r="DWU4" s="1"/>
      <c r="DWV4" s="1"/>
      <c r="DWW4" s="1"/>
      <c r="DWX4" s="1"/>
      <c r="DWY4" s="1"/>
      <c r="DWZ4" s="1"/>
      <c r="DXA4" s="1"/>
      <c r="DXB4" s="1"/>
      <c r="DXC4" s="1"/>
      <c r="DXD4" s="1"/>
      <c r="DXE4" s="1"/>
      <c r="DXF4" s="1"/>
      <c r="DXG4" s="1"/>
      <c r="DXH4" s="1"/>
      <c r="DXI4" s="1"/>
      <c r="DXJ4" s="1"/>
      <c r="DXK4" s="1"/>
      <c r="DXL4" s="1"/>
      <c r="DXM4" s="1"/>
      <c r="DXN4" s="1"/>
      <c r="DXO4" s="1"/>
      <c r="DXP4" s="1"/>
      <c r="DXQ4" s="1"/>
      <c r="DXR4" s="1"/>
      <c r="DXS4" s="1"/>
      <c r="DXT4" s="1"/>
      <c r="DXU4" s="1"/>
      <c r="DXV4" s="1"/>
      <c r="DXW4" s="1"/>
      <c r="DXX4" s="1"/>
      <c r="DXY4" s="1"/>
      <c r="DXZ4" s="1"/>
      <c r="DYA4" s="1"/>
      <c r="DYB4" s="1"/>
      <c r="DYC4" s="1"/>
      <c r="DYD4" s="1"/>
      <c r="DYE4" s="1"/>
      <c r="DYF4" s="1"/>
      <c r="DYG4" s="1"/>
      <c r="DYH4" s="1"/>
      <c r="DYI4" s="1"/>
      <c r="DYJ4" s="1"/>
      <c r="DYK4" s="1"/>
      <c r="DYL4" s="1"/>
      <c r="DYM4" s="1"/>
      <c r="DYN4" s="1"/>
      <c r="DYO4" s="1"/>
      <c r="DYP4" s="1"/>
      <c r="DYQ4" s="1"/>
      <c r="DYR4" s="1"/>
      <c r="DYS4" s="1"/>
      <c r="DYT4" s="1"/>
      <c r="DYU4" s="1"/>
      <c r="DYV4" s="1"/>
      <c r="DYW4" s="1"/>
      <c r="DYX4" s="1"/>
      <c r="DYY4" s="1"/>
      <c r="DYZ4" s="1"/>
      <c r="DZA4" s="1"/>
      <c r="DZB4" s="1"/>
      <c r="DZC4" s="1"/>
      <c r="DZD4" s="1"/>
      <c r="DZE4" s="1"/>
      <c r="DZF4" s="1"/>
      <c r="DZG4" s="1"/>
      <c r="DZH4" s="1"/>
      <c r="DZI4" s="1"/>
      <c r="DZJ4" s="1"/>
      <c r="DZK4" s="1"/>
      <c r="DZL4" s="1"/>
      <c r="DZM4" s="1"/>
      <c r="DZN4" s="1"/>
      <c r="DZO4" s="1"/>
      <c r="DZP4" s="1"/>
      <c r="DZQ4" s="1"/>
      <c r="DZR4" s="1"/>
      <c r="DZS4" s="1"/>
      <c r="DZT4" s="1"/>
      <c r="DZU4" s="1"/>
      <c r="DZV4" s="1"/>
      <c r="DZW4" s="1"/>
      <c r="DZX4" s="1"/>
      <c r="DZY4" s="1"/>
      <c r="DZZ4" s="1"/>
      <c r="EAA4" s="1"/>
      <c r="EAB4" s="1"/>
      <c r="EAC4" s="1"/>
      <c r="EAD4" s="1"/>
      <c r="EAE4" s="1"/>
      <c r="EAF4" s="1"/>
      <c r="EAG4" s="1"/>
      <c r="EAH4" s="1"/>
      <c r="EAI4" s="1"/>
      <c r="EAJ4" s="1"/>
      <c r="EAK4" s="1"/>
      <c r="EAL4" s="1"/>
      <c r="EAM4" s="1"/>
      <c r="EAN4" s="1"/>
      <c r="EAO4" s="1"/>
      <c r="EAP4" s="1"/>
      <c r="EAQ4" s="1"/>
      <c r="EAR4" s="1"/>
      <c r="EAS4" s="1"/>
      <c r="EAT4" s="1"/>
      <c r="EAU4" s="1"/>
      <c r="EAV4" s="1"/>
      <c r="EAW4" s="1"/>
      <c r="EAX4" s="1"/>
      <c r="EAY4" s="1"/>
      <c r="EAZ4" s="1"/>
      <c r="EBA4" s="1"/>
      <c r="EBB4" s="1"/>
      <c r="EBC4" s="1"/>
      <c r="EBD4" s="1"/>
      <c r="EBE4" s="1"/>
      <c r="EBF4" s="1"/>
      <c r="EBG4" s="1"/>
      <c r="EBH4" s="1"/>
      <c r="EBI4" s="1"/>
      <c r="EBJ4" s="1"/>
      <c r="EBK4" s="1"/>
      <c r="EBL4" s="1"/>
      <c r="EBM4" s="1"/>
      <c r="EBN4" s="1"/>
      <c r="EBO4" s="1"/>
      <c r="EBP4" s="1"/>
      <c r="EBQ4" s="1"/>
      <c r="EBR4" s="1"/>
      <c r="EBS4" s="1"/>
      <c r="EBT4" s="1"/>
      <c r="EBU4" s="1"/>
      <c r="EBV4" s="1"/>
      <c r="EBW4" s="1"/>
      <c r="EBX4" s="1"/>
      <c r="EBY4" s="1"/>
      <c r="EBZ4" s="1"/>
      <c r="ECA4" s="1"/>
      <c r="ECB4" s="1"/>
      <c r="ECC4" s="1"/>
      <c r="ECD4" s="1"/>
      <c r="ECE4" s="1"/>
      <c r="ECF4" s="1"/>
      <c r="ECG4" s="1"/>
      <c r="ECH4" s="1"/>
      <c r="ECI4" s="1"/>
      <c r="ECJ4" s="1"/>
      <c r="ECK4" s="1"/>
      <c r="ECL4" s="1"/>
      <c r="ECM4" s="1"/>
      <c r="ECN4" s="1"/>
      <c r="ECO4" s="1"/>
      <c r="ECP4" s="1"/>
      <c r="ECQ4" s="1"/>
      <c r="ECR4" s="1"/>
      <c r="ECS4" s="1"/>
      <c r="ECT4" s="1"/>
      <c r="ECU4" s="1"/>
      <c r="ECV4" s="1"/>
      <c r="ECW4" s="1"/>
      <c r="ECX4" s="1"/>
      <c r="ECY4" s="1"/>
      <c r="ECZ4" s="1"/>
      <c r="EDA4" s="1"/>
      <c r="EDB4" s="1"/>
      <c r="EDC4" s="1"/>
      <c r="EDD4" s="1"/>
      <c r="EDE4" s="1"/>
      <c r="EDF4" s="1"/>
      <c r="EDG4" s="1"/>
      <c r="EDH4" s="1"/>
      <c r="EDI4" s="1"/>
      <c r="EDJ4" s="1"/>
      <c r="EDK4" s="1"/>
      <c r="EDL4" s="1"/>
      <c r="EDM4" s="1"/>
      <c r="EDN4" s="1"/>
      <c r="EDO4" s="1"/>
      <c r="EDP4" s="1"/>
      <c r="EDQ4" s="1"/>
      <c r="EDR4" s="1"/>
      <c r="EDS4" s="1"/>
      <c r="EDT4" s="1"/>
      <c r="EDU4" s="1"/>
      <c r="EDV4" s="1"/>
      <c r="EDW4" s="1"/>
      <c r="EDX4" s="1"/>
      <c r="EDY4" s="1"/>
      <c r="EDZ4" s="1"/>
      <c r="EEA4" s="1"/>
      <c r="EEB4" s="1"/>
      <c r="EEC4" s="1"/>
      <c r="EED4" s="1"/>
      <c r="EEE4" s="1"/>
      <c r="EEF4" s="1"/>
      <c r="EEG4" s="1"/>
      <c r="EEH4" s="1"/>
      <c r="EEI4" s="1"/>
      <c r="EEJ4" s="1"/>
      <c r="EEK4" s="1"/>
      <c r="EEL4" s="1"/>
      <c r="EEM4" s="1"/>
      <c r="EEN4" s="1"/>
      <c r="EEO4" s="1"/>
      <c r="EEP4" s="1"/>
      <c r="EEQ4" s="1"/>
      <c r="EER4" s="1"/>
      <c r="EES4" s="1"/>
      <c r="EET4" s="1"/>
      <c r="EEU4" s="1"/>
      <c r="EEV4" s="1"/>
      <c r="EEW4" s="1"/>
      <c r="EEX4" s="1"/>
      <c r="EEY4" s="1"/>
      <c r="EEZ4" s="1"/>
      <c r="EFA4" s="1"/>
      <c r="EFB4" s="1"/>
      <c r="EFC4" s="1"/>
      <c r="EFD4" s="1"/>
      <c r="EFE4" s="1"/>
      <c r="EFF4" s="1"/>
      <c r="EFG4" s="1"/>
      <c r="EFH4" s="1"/>
      <c r="EFI4" s="1"/>
      <c r="EFJ4" s="1"/>
      <c r="EFK4" s="1"/>
      <c r="EFL4" s="1"/>
      <c r="EFM4" s="1"/>
      <c r="EFN4" s="1"/>
      <c r="EFO4" s="1"/>
      <c r="EFP4" s="1"/>
      <c r="EFQ4" s="1"/>
      <c r="EFR4" s="1"/>
      <c r="EFS4" s="1"/>
      <c r="EFT4" s="1"/>
      <c r="EFU4" s="1"/>
      <c r="EFV4" s="1"/>
      <c r="EFW4" s="1"/>
      <c r="EFX4" s="1"/>
      <c r="EFY4" s="1"/>
      <c r="EFZ4" s="1"/>
      <c r="EGA4" s="1"/>
      <c r="EGB4" s="1"/>
      <c r="EGC4" s="1"/>
      <c r="EGD4" s="1"/>
      <c r="EGE4" s="1"/>
      <c r="EGF4" s="1"/>
      <c r="EGG4" s="1"/>
      <c r="EGH4" s="1"/>
      <c r="EGI4" s="1"/>
      <c r="EGJ4" s="1"/>
      <c r="EGK4" s="1"/>
      <c r="EGL4" s="1"/>
      <c r="EGM4" s="1"/>
      <c r="EGN4" s="1"/>
      <c r="EGO4" s="1"/>
      <c r="EGP4" s="1"/>
      <c r="EGQ4" s="1"/>
      <c r="EGR4" s="1"/>
      <c r="EGS4" s="1"/>
      <c r="EGT4" s="1"/>
      <c r="EGU4" s="1"/>
      <c r="EGV4" s="1"/>
      <c r="EGW4" s="1"/>
      <c r="EGX4" s="1"/>
      <c r="EGY4" s="1"/>
      <c r="EGZ4" s="1"/>
      <c r="EHA4" s="1"/>
      <c r="EHB4" s="1"/>
      <c r="EHC4" s="1"/>
      <c r="EHD4" s="1"/>
      <c r="EHE4" s="1"/>
      <c r="EHF4" s="1"/>
      <c r="EHG4" s="1"/>
      <c r="EHH4" s="1"/>
      <c r="EHI4" s="1"/>
      <c r="EHJ4" s="1"/>
      <c r="EHK4" s="1"/>
      <c r="EHL4" s="1"/>
      <c r="EHM4" s="1"/>
      <c r="EHN4" s="1"/>
      <c r="EHO4" s="1"/>
      <c r="EHP4" s="1"/>
      <c r="EHQ4" s="1"/>
      <c r="EHR4" s="1"/>
      <c r="EHS4" s="1"/>
      <c r="EHT4" s="1"/>
      <c r="EHU4" s="1"/>
      <c r="EHV4" s="1"/>
      <c r="EHW4" s="1"/>
      <c r="EHX4" s="1"/>
      <c r="EHY4" s="1"/>
      <c r="EHZ4" s="1"/>
      <c r="EIA4" s="1"/>
      <c r="EIB4" s="1"/>
      <c r="EIC4" s="1"/>
      <c r="EID4" s="1"/>
      <c r="EIE4" s="1"/>
      <c r="EIF4" s="1"/>
      <c r="EIG4" s="1"/>
      <c r="EIH4" s="1"/>
      <c r="EII4" s="1"/>
      <c r="EIJ4" s="1"/>
      <c r="EIK4" s="1"/>
      <c r="EIL4" s="1"/>
      <c r="EIM4" s="1"/>
      <c r="EIN4" s="1"/>
      <c r="EIO4" s="1"/>
      <c r="EIP4" s="1"/>
      <c r="EIQ4" s="1"/>
      <c r="EIR4" s="1"/>
      <c r="EIS4" s="1"/>
      <c r="EIT4" s="1"/>
      <c r="EIU4" s="1"/>
      <c r="EIV4" s="1"/>
      <c r="EIW4" s="1"/>
      <c r="EIX4" s="1"/>
      <c r="EIY4" s="1"/>
      <c r="EIZ4" s="1"/>
      <c r="EJA4" s="1"/>
      <c r="EJB4" s="1"/>
      <c r="EJC4" s="1"/>
      <c r="EJD4" s="1"/>
      <c r="EJE4" s="1"/>
      <c r="EJF4" s="1"/>
      <c r="EJG4" s="1"/>
      <c r="EJH4" s="1"/>
      <c r="EJI4" s="1"/>
      <c r="EJJ4" s="1"/>
      <c r="EJK4" s="1"/>
      <c r="EJL4" s="1"/>
      <c r="EJM4" s="1"/>
      <c r="EJN4" s="1"/>
      <c r="EJO4" s="1"/>
      <c r="EJP4" s="1"/>
      <c r="EJQ4" s="1"/>
      <c r="EJR4" s="1"/>
      <c r="EJS4" s="1"/>
      <c r="EJT4" s="1"/>
      <c r="EJU4" s="1"/>
      <c r="EJV4" s="1"/>
      <c r="EJW4" s="1"/>
      <c r="EJX4" s="1"/>
      <c r="EJY4" s="1"/>
      <c r="EJZ4" s="1"/>
      <c r="EKA4" s="1"/>
      <c r="EKB4" s="1"/>
      <c r="EKC4" s="1"/>
      <c r="EKD4" s="1"/>
      <c r="EKE4" s="1"/>
      <c r="EKF4" s="1"/>
      <c r="EKG4" s="1"/>
      <c r="EKH4" s="1"/>
      <c r="EKI4" s="1"/>
      <c r="EKJ4" s="1"/>
      <c r="EKK4" s="1"/>
      <c r="EKL4" s="1"/>
      <c r="EKM4" s="1"/>
      <c r="EKN4" s="1"/>
      <c r="EKO4" s="1"/>
      <c r="EKP4" s="1"/>
      <c r="EKQ4" s="1"/>
      <c r="EKR4" s="1"/>
      <c r="EKS4" s="1"/>
      <c r="EKT4" s="1"/>
      <c r="EKU4" s="1"/>
      <c r="EKV4" s="1"/>
      <c r="EKW4" s="1"/>
      <c r="EKX4" s="1"/>
      <c r="EKY4" s="1"/>
      <c r="EKZ4" s="1"/>
      <c r="ELA4" s="1"/>
      <c r="ELB4" s="1"/>
      <c r="ELC4" s="1"/>
      <c r="ELD4" s="1"/>
      <c r="ELE4" s="1"/>
      <c r="ELF4" s="1"/>
      <c r="ELG4" s="1"/>
      <c r="ELH4" s="1"/>
      <c r="ELI4" s="1"/>
      <c r="ELJ4" s="1"/>
      <c r="ELK4" s="1"/>
      <c r="ELL4" s="1"/>
      <c r="ELM4" s="1"/>
      <c r="ELN4" s="1"/>
      <c r="ELO4" s="1"/>
      <c r="ELP4" s="1"/>
      <c r="ELQ4" s="1"/>
      <c r="ELR4" s="1"/>
      <c r="ELS4" s="1"/>
      <c r="ELT4" s="1"/>
      <c r="ELU4" s="1"/>
      <c r="ELV4" s="1"/>
      <c r="ELW4" s="1"/>
      <c r="ELX4" s="1"/>
      <c r="ELY4" s="1"/>
      <c r="ELZ4" s="1"/>
      <c r="EMA4" s="1"/>
      <c r="EMB4" s="1"/>
      <c r="EMC4" s="1"/>
      <c r="EMD4" s="1"/>
      <c r="EME4" s="1"/>
      <c r="EMF4" s="1"/>
      <c r="EMG4" s="1"/>
      <c r="EMH4" s="1"/>
      <c r="EMI4" s="1"/>
      <c r="EMJ4" s="1"/>
      <c r="EMK4" s="1"/>
      <c r="EML4" s="1"/>
      <c r="EMM4" s="1"/>
      <c r="EMN4" s="1"/>
      <c r="EMO4" s="1"/>
      <c r="EMP4" s="1"/>
      <c r="EMQ4" s="1"/>
      <c r="EMR4" s="1"/>
      <c r="EMS4" s="1"/>
      <c r="EMT4" s="1"/>
      <c r="EMU4" s="1"/>
      <c r="EMV4" s="1"/>
      <c r="EMW4" s="1"/>
      <c r="EMX4" s="1"/>
      <c r="EMY4" s="1"/>
      <c r="EMZ4" s="1"/>
      <c r="ENA4" s="1"/>
      <c r="ENB4" s="1"/>
      <c r="ENC4" s="1"/>
      <c r="END4" s="1"/>
      <c r="ENE4" s="1"/>
      <c r="ENF4" s="1"/>
      <c r="ENG4" s="1"/>
      <c r="ENH4" s="1"/>
      <c r="ENI4" s="1"/>
      <c r="ENJ4" s="1"/>
      <c r="ENK4" s="1"/>
      <c r="ENL4" s="1"/>
      <c r="ENM4" s="1"/>
      <c r="ENN4" s="1"/>
      <c r="ENO4" s="1"/>
      <c r="ENP4" s="1"/>
      <c r="ENQ4" s="1"/>
      <c r="ENR4" s="1"/>
      <c r="ENS4" s="1"/>
      <c r="ENT4" s="1"/>
      <c r="ENU4" s="1"/>
      <c r="ENV4" s="1"/>
      <c r="ENW4" s="1"/>
      <c r="ENX4" s="1"/>
      <c r="ENY4" s="1"/>
      <c r="ENZ4" s="1"/>
      <c r="EOA4" s="1"/>
      <c r="EOB4" s="1"/>
      <c r="EOC4" s="1"/>
      <c r="EOD4" s="1"/>
      <c r="EOE4" s="1"/>
      <c r="EOF4" s="1"/>
      <c r="EOG4" s="1"/>
      <c r="EOH4" s="1"/>
      <c r="EOI4" s="1"/>
      <c r="EOJ4" s="1"/>
      <c r="EOK4" s="1"/>
      <c r="EOL4" s="1"/>
      <c r="EOM4" s="1"/>
      <c r="EON4" s="1"/>
    </row>
    <row r="6" spans="1:3784" x14ac:dyDescent="0.35">
      <c r="A6" t="s">
        <v>3931</v>
      </c>
      <c r="B6">
        <f>COUNTA(inc_tbl[[#Headers],[20001]:[26886]])</f>
        <v>3783</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7D70-9947-4E4D-9B99-AA61BC7B4CA2}">
  <sheetPr codeName="Sheet10">
    <tabColor rgb="FF7030A0"/>
  </sheetPr>
  <dimension ref="A1:EON4"/>
  <sheetViews>
    <sheetView topLeftCell="ENF1" workbookViewId="0">
      <selection activeCell="EOH48" sqref="EOH48"/>
    </sheetView>
  </sheetViews>
  <sheetFormatPr defaultRowHeight="14.5" x14ac:dyDescent="0.35"/>
  <cols>
    <col min="1" max="1" width="8.54296875" bestFit="1" customWidth="1"/>
    <col min="2" max="3784" width="8.26953125" bestFit="1" customWidth="1"/>
  </cols>
  <sheetData>
    <row r="1" spans="1:3784" x14ac:dyDescent="0.35">
      <c r="A1" t="s">
        <v>110</v>
      </c>
      <c r="B1" t="s">
        <v>114</v>
      </c>
      <c r="C1" t="s">
        <v>115</v>
      </c>
      <c r="D1" t="s">
        <v>116</v>
      </c>
      <c r="E1" t="s">
        <v>117</v>
      </c>
      <c r="F1" t="s">
        <v>118</v>
      </c>
      <c r="G1" t="s">
        <v>119</v>
      </c>
      <c r="H1" t="s">
        <v>120</v>
      </c>
      <c r="I1" t="s">
        <v>121</v>
      </c>
      <c r="J1" t="s">
        <v>122</v>
      </c>
      <c r="K1" t="s">
        <v>123</v>
      </c>
      <c r="L1" t="s">
        <v>124</v>
      </c>
      <c r="M1" t="s">
        <v>125</v>
      </c>
      <c r="N1" t="s">
        <v>126</v>
      </c>
      <c r="O1" t="s">
        <v>127</v>
      </c>
      <c r="P1" t="s">
        <v>128</v>
      </c>
      <c r="Q1" t="s">
        <v>129</v>
      </c>
      <c r="R1" t="s">
        <v>130</v>
      </c>
      <c r="S1" t="s">
        <v>131</v>
      </c>
      <c r="T1" t="s">
        <v>132</v>
      </c>
      <c r="U1" t="s">
        <v>133</v>
      </c>
      <c r="V1" t="s">
        <v>134</v>
      </c>
      <c r="W1" t="s">
        <v>135</v>
      </c>
      <c r="X1" t="s">
        <v>136</v>
      </c>
      <c r="Y1" t="s">
        <v>137</v>
      </c>
      <c r="Z1" t="s">
        <v>138</v>
      </c>
      <c r="AA1" t="s">
        <v>139</v>
      </c>
      <c r="AB1" t="s">
        <v>140</v>
      </c>
      <c r="AC1" t="s">
        <v>141</v>
      </c>
      <c r="AD1" t="s">
        <v>142</v>
      </c>
      <c r="AE1" t="s">
        <v>143</v>
      </c>
      <c r="AF1" t="s">
        <v>144</v>
      </c>
      <c r="AG1" t="s">
        <v>145</v>
      </c>
      <c r="AH1" t="s">
        <v>146</v>
      </c>
      <c r="AI1" t="s">
        <v>147</v>
      </c>
      <c r="AJ1" t="s">
        <v>148</v>
      </c>
      <c r="AK1" t="s">
        <v>149</v>
      </c>
      <c r="AL1" t="s">
        <v>150</v>
      </c>
      <c r="AM1" t="s">
        <v>151</v>
      </c>
      <c r="AN1" t="s">
        <v>152</v>
      </c>
      <c r="AO1" t="s">
        <v>153</v>
      </c>
      <c r="AP1" t="s">
        <v>154</v>
      </c>
      <c r="AQ1" t="s">
        <v>155</v>
      </c>
      <c r="AR1" t="s">
        <v>156</v>
      </c>
      <c r="AS1" t="s">
        <v>157</v>
      </c>
      <c r="AT1" t="s">
        <v>158</v>
      </c>
      <c r="AU1" t="s">
        <v>159</v>
      </c>
      <c r="AV1" t="s">
        <v>160</v>
      </c>
      <c r="AW1" t="s">
        <v>161</v>
      </c>
      <c r="AX1" t="s">
        <v>162</v>
      </c>
      <c r="AY1" t="s">
        <v>163</v>
      </c>
      <c r="AZ1" t="s">
        <v>164</v>
      </c>
      <c r="BA1" t="s">
        <v>165</v>
      </c>
      <c r="BB1" t="s">
        <v>166</v>
      </c>
      <c r="BC1" t="s">
        <v>167</v>
      </c>
      <c r="BD1" t="s">
        <v>168</v>
      </c>
      <c r="BE1" t="s">
        <v>169</v>
      </c>
      <c r="BF1" t="s">
        <v>170</v>
      </c>
      <c r="BG1" t="s">
        <v>171</v>
      </c>
      <c r="BH1" t="s">
        <v>172</v>
      </c>
      <c r="BI1" t="s">
        <v>173</v>
      </c>
      <c r="BJ1" t="s">
        <v>174</v>
      </c>
      <c r="BK1" t="s">
        <v>175</v>
      </c>
      <c r="BL1" t="s">
        <v>176</v>
      </c>
      <c r="BM1" t="s">
        <v>177</v>
      </c>
      <c r="BN1" t="s">
        <v>178</v>
      </c>
      <c r="BO1" t="s">
        <v>179</v>
      </c>
      <c r="BP1" t="s">
        <v>180</v>
      </c>
      <c r="BQ1" t="s">
        <v>181</v>
      </c>
      <c r="BR1" t="s">
        <v>182</v>
      </c>
      <c r="BS1" t="s">
        <v>183</v>
      </c>
      <c r="BT1" t="s">
        <v>184</v>
      </c>
      <c r="BU1" t="s">
        <v>185</v>
      </c>
      <c r="BV1" t="s">
        <v>186</v>
      </c>
      <c r="BW1" t="s">
        <v>187</v>
      </c>
      <c r="BX1" t="s">
        <v>188</v>
      </c>
      <c r="BY1" t="s">
        <v>189</v>
      </c>
      <c r="BZ1" t="s">
        <v>190</v>
      </c>
      <c r="CA1" t="s">
        <v>191</v>
      </c>
      <c r="CB1" t="s">
        <v>192</v>
      </c>
      <c r="CC1" t="s">
        <v>193</v>
      </c>
      <c r="CD1" t="s">
        <v>194</v>
      </c>
      <c r="CE1" t="s">
        <v>195</v>
      </c>
      <c r="CF1" t="s">
        <v>196</v>
      </c>
      <c r="CG1" t="s">
        <v>197</v>
      </c>
      <c r="CH1" t="s">
        <v>198</v>
      </c>
      <c r="CI1" t="s">
        <v>199</v>
      </c>
      <c r="CJ1" t="s">
        <v>200</v>
      </c>
      <c r="CK1" t="s">
        <v>201</v>
      </c>
      <c r="CL1" t="s">
        <v>202</v>
      </c>
      <c r="CM1" t="s">
        <v>203</v>
      </c>
      <c r="CN1" t="s">
        <v>204</v>
      </c>
      <c r="CO1" t="s">
        <v>205</v>
      </c>
      <c r="CP1" t="s">
        <v>206</v>
      </c>
      <c r="CQ1" t="s">
        <v>207</v>
      </c>
      <c r="CR1" t="s">
        <v>208</v>
      </c>
      <c r="CS1" t="s">
        <v>209</v>
      </c>
      <c r="CT1" t="s">
        <v>210</v>
      </c>
      <c r="CU1" t="s">
        <v>211</v>
      </c>
      <c r="CV1" t="s">
        <v>212</v>
      </c>
      <c r="CW1" t="s">
        <v>213</v>
      </c>
      <c r="CX1" t="s">
        <v>214</v>
      </c>
      <c r="CY1" t="s">
        <v>215</v>
      </c>
      <c r="CZ1" t="s">
        <v>216</v>
      </c>
      <c r="DA1" t="s">
        <v>217</v>
      </c>
      <c r="DB1" t="s">
        <v>218</v>
      </c>
      <c r="DC1" t="s">
        <v>219</v>
      </c>
      <c r="DD1" t="s">
        <v>220</v>
      </c>
      <c r="DE1" t="s">
        <v>221</v>
      </c>
      <c r="DF1" t="s">
        <v>222</v>
      </c>
      <c r="DG1" t="s">
        <v>223</v>
      </c>
      <c r="DH1" t="s">
        <v>224</v>
      </c>
      <c r="DI1" t="s">
        <v>225</v>
      </c>
      <c r="DJ1" t="s">
        <v>226</v>
      </c>
      <c r="DK1" t="s">
        <v>227</v>
      </c>
      <c r="DL1" t="s">
        <v>228</v>
      </c>
      <c r="DM1" t="s">
        <v>229</v>
      </c>
      <c r="DN1" t="s">
        <v>230</v>
      </c>
      <c r="DO1" t="s">
        <v>231</v>
      </c>
      <c r="DP1" t="s">
        <v>232</v>
      </c>
      <c r="DQ1" t="s">
        <v>233</v>
      </c>
      <c r="DR1" t="s">
        <v>234</v>
      </c>
      <c r="DS1" t="s">
        <v>235</v>
      </c>
      <c r="DT1" t="s">
        <v>236</v>
      </c>
      <c r="DU1" t="s">
        <v>237</v>
      </c>
      <c r="DV1" t="s">
        <v>238</v>
      </c>
      <c r="DW1" t="s">
        <v>239</v>
      </c>
      <c r="DX1" t="s">
        <v>240</v>
      </c>
      <c r="DY1" t="s">
        <v>241</v>
      </c>
      <c r="DZ1" t="s">
        <v>242</v>
      </c>
      <c r="EA1" t="s">
        <v>243</v>
      </c>
      <c r="EB1" t="s">
        <v>244</v>
      </c>
      <c r="EC1" t="s">
        <v>245</v>
      </c>
      <c r="ED1" t="s">
        <v>246</v>
      </c>
      <c r="EE1" t="s">
        <v>247</v>
      </c>
      <c r="EF1" t="s">
        <v>248</v>
      </c>
      <c r="EG1" t="s">
        <v>249</v>
      </c>
      <c r="EH1" t="s">
        <v>250</v>
      </c>
      <c r="EI1" t="s">
        <v>251</v>
      </c>
      <c r="EJ1" t="s">
        <v>252</v>
      </c>
      <c r="EK1" t="s">
        <v>253</v>
      </c>
      <c r="EL1" t="s">
        <v>254</v>
      </c>
      <c r="EM1" t="s">
        <v>255</v>
      </c>
      <c r="EN1" t="s">
        <v>256</v>
      </c>
      <c r="EO1" t="s">
        <v>257</v>
      </c>
      <c r="EP1" t="s">
        <v>258</v>
      </c>
      <c r="EQ1" t="s">
        <v>259</v>
      </c>
      <c r="ER1" t="s">
        <v>260</v>
      </c>
      <c r="ES1" t="s">
        <v>261</v>
      </c>
      <c r="ET1" t="s">
        <v>262</v>
      </c>
      <c r="EU1" t="s">
        <v>263</v>
      </c>
      <c r="EV1" t="s">
        <v>264</v>
      </c>
      <c r="EW1" t="s">
        <v>265</v>
      </c>
      <c r="EX1" t="s">
        <v>266</v>
      </c>
      <c r="EY1" t="s">
        <v>267</v>
      </c>
      <c r="EZ1" t="s">
        <v>268</v>
      </c>
      <c r="FA1" t="s">
        <v>269</v>
      </c>
      <c r="FB1" t="s">
        <v>270</v>
      </c>
      <c r="FC1" t="s">
        <v>271</v>
      </c>
      <c r="FD1" t="s">
        <v>272</v>
      </c>
      <c r="FE1" t="s">
        <v>273</v>
      </c>
      <c r="FF1" t="s">
        <v>274</v>
      </c>
      <c r="FG1" t="s">
        <v>275</v>
      </c>
      <c r="FH1" t="s">
        <v>276</v>
      </c>
      <c r="FI1" t="s">
        <v>277</v>
      </c>
      <c r="FJ1" t="s">
        <v>278</v>
      </c>
      <c r="FK1" t="s">
        <v>279</v>
      </c>
      <c r="FL1" t="s">
        <v>280</v>
      </c>
      <c r="FM1" t="s">
        <v>281</v>
      </c>
      <c r="FN1" t="s">
        <v>282</v>
      </c>
      <c r="FO1" t="s">
        <v>283</v>
      </c>
      <c r="FP1" t="s">
        <v>284</v>
      </c>
      <c r="FQ1" t="s">
        <v>285</v>
      </c>
      <c r="FR1" t="s">
        <v>286</v>
      </c>
      <c r="FS1" t="s">
        <v>287</v>
      </c>
      <c r="FT1" t="s">
        <v>288</v>
      </c>
      <c r="FU1" t="s">
        <v>289</v>
      </c>
      <c r="FV1" t="s">
        <v>290</v>
      </c>
      <c r="FW1" t="s">
        <v>291</v>
      </c>
      <c r="FX1" t="s">
        <v>292</v>
      </c>
      <c r="FY1" t="s">
        <v>293</v>
      </c>
      <c r="FZ1" t="s">
        <v>294</v>
      </c>
      <c r="GA1" t="s">
        <v>295</v>
      </c>
      <c r="GB1" t="s">
        <v>296</v>
      </c>
      <c r="GC1" t="s">
        <v>297</v>
      </c>
      <c r="GD1" t="s">
        <v>298</v>
      </c>
      <c r="GE1" t="s">
        <v>299</v>
      </c>
      <c r="GF1" t="s">
        <v>300</v>
      </c>
      <c r="GG1" t="s">
        <v>301</v>
      </c>
      <c r="GH1" t="s">
        <v>302</v>
      </c>
      <c r="GI1" t="s">
        <v>303</v>
      </c>
      <c r="GJ1" t="s">
        <v>304</v>
      </c>
      <c r="GK1" t="s">
        <v>305</v>
      </c>
      <c r="GL1" t="s">
        <v>306</v>
      </c>
      <c r="GM1" t="s">
        <v>307</v>
      </c>
      <c r="GN1" t="s">
        <v>308</v>
      </c>
      <c r="GO1" t="s">
        <v>309</v>
      </c>
      <c r="GP1" t="s">
        <v>310</v>
      </c>
      <c r="GQ1" t="s">
        <v>311</v>
      </c>
      <c r="GR1" t="s">
        <v>312</v>
      </c>
      <c r="GS1" t="s">
        <v>313</v>
      </c>
      <c r="GT1" t="s">
        <v>314</v>
      </c>
      <c r="GU1" t="s">
        <v>315</v>
      </c>
      <c r="GV1" t="s">
        <v>316</v>
      </c>
      <c r="GW1" t="s">
        <v>317</v>
      </c>
      <c r="GX1" t="s">
        <v>318</v>
      </c>
      <c r="GY1" t="s">
        <v>319</v>
      </c>
      <c r="GZ1" t="s">
        <v>320</v>
      </c>
      <c r="HA1" t="s">
        <v>321</v>
      </c>
      <c r="HB1" t="s">
        <v>322</v>
      </c>
      <c r="HC1" t="s">
        <v>323</v>
      </c>
      <c r="HD1" t="s">
        <v>324</v>
      </c>
      <c r="HE1" t="s">
        <v>325</v>
      </c>
      <c r="HF1" t="s">
        <v>326</v>
      </c>
      <c r="HG1" t="s">
        <v>327</v>
      </c>
      <c r="HH1" t="s">
        <v>328</v>
      </c>
      <c r="HI1" t="s">
        <v>329</v>
      </c>
      <c r="HJ1" t="s">
        <v>330</v>
      </c>
      <c r="HK1" t="s">
        <v>331</v>
      </c>
      <c r="HL1" t="s">
        <v>332</v>
      </c>
      <c r="HM1" t="s">
        <v>333</v>
      </c>
      <c r="HN1" t="s">
        <v>334</v>
      </c>
      <c r="HO1" t="s">
        <v>335</v>
      </c>
      <c r="HP1" t="s">
        <v>336</v>
      </c>
      <c r="HQ1" t="s">
        <v>337</v>
      </c>
      <c r="HR1" t="s">
        <v>338</v>
      </c>
      <c r="HS1" t="s">
        <v>339</v>
      </c>
      <c r="HT1" t="s">
        <v>340</v>
      </c>
      <c r="HU1" t="s">
        <v>341</v>
      </c>
      <c r="HV1" t="s">
        <v>342</v>
      </c>
      <c r="HW1" t="s">
        <v>343</v>
      </c>
      <c r="HX1" t="s">
        <v>344</v>
      </c>
      <c r="HY1" t="s">
        <v>345</v>
      </c>
      <c r="HZ1" t="s">
        <v>346</v>
      </c>
      <c r="IA1" t="s">
        <v>347</v>
      </c>
      <c r="IB1" t="s">
        <v>348</v>
      </c>
      <c r="IC1" t="s">
        <v>349</v>
      </c>
      <c r="ID1" t="s">
        <v>350</v>
      </c>
      <c r="IE1" t="s">
        <v>351</v>
      </c>
      <c r="IF1" t="s">
        <v>352</v>
      </c>
      <c r="IG1" t="s">
        <v>353</v>
      </c>
      <c r="IH1" t="s">
        <v>354</v>
      </c>
      <c r="II1" t="s">
        <v>355</v>
      </c>
      <c r="IJ1" t="s">
        <v>356</v>
      </c>
      <c r="IK1" t="s">
        <v>357</v>
      </c>
      <c r="IL1" t="s">
        <v>358</v>
      </c>
      <c r="IM1" t="s">
        <v>359</v>
      </c>
      <c r="IN1" t="s">
        <v>360</v>
      </c>
      <c r="IO1" t="s">
        <v>361</v>
      </c>
      <c r="IP1" t="s">
        <v>362</v>
      </c>
      <c r="IQ1" t="s">
        <v>363</v>
      </c>
      <c r="IR1" t="s">
        <v>364</v>
      </c>
      <c r="IS1" t="s">
        <v>365</v>
      </c>
      <c r="IT1" t="s">
        <v>366</v>
      </c>
      <c r="IU1" t="s">
        <v>367</v>
      </c>
      <c r="IV1" t="s">
        <v>368</v>
      </c>
      <c r="IW1" t="s">
        <v>369</v>
      </c>
      <c r="IX1" t="s">
        <v>370</v>
      </c>
      <c r="IY1" t="s">
        <v>371</v>
      </c>
      <c r="IZ1" t="s">
        <v>372</v>
      </c>
      <c r="JA1" t="s">
        <v>373</v>
      </c>
      <c r="JB1" t="s">
        <v>374</v>
      </c>
      <c r="JC1" t="s">
        <v>375</v>
      </c>
      <c r="JD1" t="s">
        <v>376</v>
      </c>
      <c r="JE1" t="s">
        <v>377</v>
      </c>
      <c r="JF1" t="s">
        <v>378</v>
      </c>
      <c r="JG1" t="s">
        <v>379</v>
      </c>
      <c r="JH1" t="s">
        <v>380</v>
      </c>
      <c r="JI1" t="s">
        <v>381</v>
      </c>
      <c r="JJ1" t="s">
        <v>382</v>
      </c>
      <c r="JK1" t="s">
        <v>383</v>
      </c>
      <c r="JL1" t="s">
        <v>384</v>
      </c>
      <c r="JM1" t="s">
        <v>385</v>
      </c>
      <c r="JN1" t="s">
        <v>386</v>
      </c>
      <c r="JO1" t="s">
        <v>387</v>
      </c>
      <c r="JP1" t="s">
        <v>388</v>
      </c>
      <c r="JQ1" t="s">
        <v>389</v>
      </c>
      <c r="JR1" t="s">
        <v>390</v>
      </c>
      <c r="JS1" t="s">
        <v>391</v>
      </c>
      <c r="JT1" t="s">
        <v>392</v>
      </c>
      <c r="JU1" t="s">
        <v>393</v>
      </c>
      <c r="JV1" t="s">
        <v>394</v>
      </c>
      <c r="JW1" t="s">
        <v>395</v>
      </c>
      <c r="JX1" t="s">
        <v>396</v>
      </c>
      <c r="JY1" t="s">
        <v>397</v>
      </c>
      <c r="JZ1" t="s">
        <v>398</v>
      </c>
      <c r="KA1" t="s">
        <v>399</v>
      </c>
      <c r="KB1" t="s">
        <v>400</v>
      </c>
      <c r="KC1" t="s">
        <v>401</v>
      </c>
      <c r="KD1" t="s">
        <v>402</v>
      </c>
      <c r="KE1" t="s">
        <v>403</v>
      </c>
      <c r="KF1" t="s">
        <v>404</v>
      </c>
      <c r="KG1" t="s">
        <v>405</v>
      </c>
      <c r="KH1" t="s">
        <v>406</v>
      </c>
      <c r="KI1" t="s">
        <v>407</v>
      </c>
      <c r="KJ1" t="s">
        <v>408</v>
      </c>
      <c r="KK1" t="s">
        <v>409</v>
      </c>
      <c r="KL1" t="s">
        <v>410</v>
      </c>
      <c r="KM1" t="s">
        <v>411</v>
      </c>
      <c r="KN1" t="s">
        <v>412</v>
      </c>
      <c r="KO1" t="s">
        <v>413</v>
      </c>
      <c r="KP1" t="s">
        <v>414</v>
      </c>
      <c r="KQ1" t="s">
        <v>415</v>
      </c>
      <c r="KR1" t="s">
        <v>416</v>
      </c>
      <c r="KS1" t="s">
        <v>417</v>
      </c>
      <c r="KT1" t="s">
        <v>418</v>
      </c>
      <c r="KU1" t="s">
        <v>419</v>
      </c>
      <c r="KV1" t="s">
        <v>420</v>
      </c>
      <c r="KW1" t="s">
        <v>421</v>
      </c>
      <c r="KX1" t="s">
        <v>422</v>
      </c>
      <c r="KY1" t="s">
        <v>423</v>
      </c>
      <c r="KZ1" t="s">
        <v>424</v>
      </c>
      <c r="LA1" t="s">
        <v>425</v>
      </c>
      <c r="LB1" t="s">
        <v>426</v>
      </c>
      <c r="LC1" t="s">
        <v>427</v>
      </c>
      <c r="LD1" t="s">
        <v>428</v>
      </c>
      <c r="LE1" t="s">
        <v>429</v>
      </c>
      <c r="LF1" t="s">
        <v>430</v>
      </c>
      <c r="LG1" t="s">
        <v>431</v>
      </c>
      <c r="LH1" t="s">
        <v>432</v>
      </c>
      <c r="LI1" t="s">
        <v>433</v>
      </c>
      <c r="LJ1" t="s">
        <v>434</v>
      </c>
      <c r="LK1" t="s">
        <v>435</v>
      </c>
      <c r="LL1" t="s">
        <v>436</v>
      </c>
      <c r="LM1" t="s">
        <v>437</v>
      </c>
      <c r="LN1" t="s">
        <v>438</v>
      </c>
      <c r="LO1" t="s">
        <v>439</v>
      </c>
      <c r="LP1" t="s">
        <v>440</v>
      </c>
      <c r="LQ1" t="s">
        <v>441</v>
      </c>
      <c r="LR1" t="s">
        <v>442</v>
      </c>
      <c r="LS1" t="s">
        <v>443</v>
      </c>
      <c r="LT1" t="s">
        <v>444</v>
      </c>
      <c r="LU1" t="s">
        <v>445</v>
      </c>
      <c r="LV1" t="s">
        <v>446</v>
      </c>
      <c r="LW1" t="s">
        <v>447</v>
      </c>
      <c r="LX1" t="s">
        <v>448</v>
      </c>
      <c r="LY1" t="s">
        <v>449</v>
      </c>
      <c r="LZ1" t="s">
        <v>450</v>
      </c>
      <c r="MA1" t="s">
        <v>451</v>
      </c>
      <c r="MB1" t="s">
        <v>452</v>
      </c>
      <c r="MC1" t="s">
        <v>453</v>
      </c>
      <c r="MD1" t="s">
        <v>454</v>
      </c>
      <c r="ME1" t="s">
        <v>455</v>
      </c>
      <c r="MF1" t="s">
        <v>456</v>
      </c>
      <c r="MG1" t="s">
        <v>457</v>
      </c>
      <c r="MH1" t="s">
        <v>458</v>
      </c>
      <c r="MI1" t="s">
        <v>459</v>
      </c>
      <c r="MJ1" t="s">
        <v>460</v>
      </c>
      <c r="MK1" t="s">
        <v>461</v>
      </c>
      <c r="ML1" t="s">
        <v>462</v>
      </c>
      <c r="MM1" t="s">
        <v>463</v>
      </c>
      <c r="MN1" t="s">
        <v>464</v>
      </c>
      <c r="MO1" t="s">
        <v>465</v>
      </c>
      <c r="MP1" t="s">
        <v>466</v>
      </c>
      <c r="MQ1" t="s">
        <v>467</v>
      </c>
      <c r="MR1" t="s">
        <v>468</v>
      </c>
      <c r="MS1" t="s">
        <v>469</v>
      </c>
      <c r="MT1" t="s">
        <v>470</v>
      </c>
      <c r="MU1" t="s">
        <v>471</v>
      </c>
      <c r="MV1" t="s">
        <v>472</v>
      </c>
      <c r="MW1" t="s">
        <v>473</v>
      </c>
      <c r="MX1" t="s">
        <v>474</v>
      </c>
      <c r="MY1" t="s">
        <v>475</v>
      </c>
      <c r="MZ1" t="s">
        <v>476</v>
      </c>
      <c r="NA1" t="s">
        <v>477</v>
      </c>
      <c r="NB1" t="s">
        <v>478</v>
      </c>
      <c r="NC1" t="s">
        <v>479</v>
      </c>
      <c r="ND1" t="s">
        <v>480</v>
      </c>
      <c r="NE1" t="s">
        <v>481</v>
      </c>
      <c r="NF1" t="s">
        <v>482</v>
      </c>
      <c r="NG1" t="s">
        <v>483</v>
      </c>
      <c r="NH1" t="s">
        <v>484</v>
      </c>
      <c r="NI1" t="s">
        <v>485</v>
      </c>
      <c r="NJ1" t="s">
        <v>486</v>
      </c>
      <c r="NK1" t="s">
        <v>487</v>
      </c>
      <c r="NL1" t="s">
        <v>488</v>
      </c>
      <c r="NM1" t="s">
        <v>489</v>
      </c>
      <c r="NN1" t="s">
        <v>490</v>
      </c>
      <c r="NO1" t="s">
        <v>491</v>
      </c>
      <c r="NP1" t="s">
        <v>492</v>
      </c>
      <c r="NQ1" t="s">
        <v>493</v>
      </c>
      <c r="NR1" t="s">
        <v>494</v>
      </c>
      <c r="NS1" t="s">
        <v>495</v>
      </c>
      <c r="NT1" t="s">
        <v>496</v>
      </c>
      <c r="NU1" t="s">
        <v>497</v>
      </c>
      <c r="NV1" t="s">
        <v>498</v>
      </c>
      <c r="NW1" t="s">
        <v>499</v>
      </c>
      <c r="NX1" t="s">
        <v>500</v>
      </c>
      <c r="NY1" t="s">
        <v>501</v>
      </c>
      <c r="NZ1" t="s">
        <v>502</v>
      </c>
      <c r="OA1" t="s">
        <v>503</v>
      </c>
      <c r="OB1" t="s">
        <v>504</v>
      </c>
      <c r="OC1" t="s">
        <v>505</v>
      </c>
      <c r="OD1" t="s">
        <v>506</v>
      </c>
      <c r="OE1" t="s">
        <v>507</v>
      </c>
      <c r="OF1" t="s">
        <v>508</v>
      </c>
      <c r="OG1" t="s">
        <v>509</v>
      </c>
      <c r="OH1" t="s">
        <v>510</v>
      </c>
      <c r="OI1" t="s">
        <v>511</v>
      </c>
      <c r="OJ1" t="s">
        <v>512</v>
      </c>
      <c r="OK1" t="s">
        <v>513</v>
      </c>
      <c r="OL1" t="s">
        <v>514</v>
      </c>
      <c r="OM1" t="s">
        <v>515</v>
      </c>
      <c r="ON1" t="s">
        <v>516</v>
      </c>
      <c r="OO1" t="s">
        <v>517</v>
      </c>
      <c r="OP1" t="s">
        <v>518</v>
      </c>
      <c r="OQ1" t="s">
        <v>519</v>
      </c>
      <c r="OR1" t="s">
        <v>520</v>
      </c>
      <c r="OS1" t="s">
        <v>521</v>
      </c>
      <c r="OT1" t="s">
        <v>522</v>
      </c>
      <c r="OU1" t="s">
        <v>523</v>
      </c>
      <c r="OV1" t="s">
        <v>524</v>
      </c>
      <c r="OW1" t="s">
        <v>525</v>
      </c>
      <c r="OX1" t="s">
        <v>526</v>
      </c>
      <c r="OY1" t="s">
        <v>527</v>
      </c>
      <c r="OZ1" t="s">
        <v>528</v>
      </c>
      <c r="PA1" t="s">
        <v>529</v>
      </c>
      <c r="PB1" t="s">
        <v>530</v>
      </c>
      <c r="PC1" t="s">
        <v>531</v>
      </c>
      <c r="PD1" t="s">
        <v>532</v>
      </c>
      <c r="PE1" t="s">
        <v>533</v>
      </c>
      <c r="PF1" t="s">
        <v>534</v>
      </c>
      <c r="PG1" t="s">
        <v>535</v>
      </c>
      <c r="PH1" t="s">
        <v>536</v>
      </c>
      <c r="PI1" t="s">
        <v>537</v>
      </c>
      <c r="PJ1" t="s">
        <v>538</v>
      </c>
      <c r="PK1" t="s">
        <v>539</v>
      </c>
      <c r="PL1" t="s">
        <v>540</v>
      </c>
      <c r="PM1" t="s">
        <v>541</v>
      </c>
      <c r="PN1" t="s">
        <v>542</v>
      </c>
      <c r="PO1" t="s">
        <v>543</v>
      </c>
      <c r="PP1" t="s">
        <v>544</v>
      </c>
      <c r="PQ1" t="s">
        <v>545</v>
      </c>
      <c r="PR1" t="s">
        <v>546</v>
      </c>
      <c r="PS1" t="s">
        <v>547</v>
      </c>
      <c r="PT1" t="s">
        <v>548</v>
      </c>
      <c r="PU1" t="s">
        <v>549</v>
      </c>
      <c r="PV1" t="s">
        <v>550</v>
      </c>
      <c r="PW1" t="s">
        <v>551</v>
      </c>
      <c r="PX1" t="s">
        <v>552</v>
      </c>
      <c r="PY1" t="s">
        <v>553</v>
      </c>
      <c r="PZ1" t="s">
        <v>554</v>
      </c>
      <c r="QA1" t="s">
        <v>555</v>
      </c>
      <c r="QB1" t="s">
        <v>556</v>
      </c>
      <c r="QC1" t="s">
        <v>557</v>
      </c>
      <c r="QD1" t="s">
        <v>558</v>
      </c>
      <c r="QE1" t="s">
        <v>559</v>
      </c>
      <c r="QF1" t="s">
        <v>560</v>
      </c>
      <c r="QG1" t="s">
        <v>561</v>
      </c>
      <c r="QH1" t="s">
        <v>562</v>
      </c>
      <c r="QI1" t="s">
        <v>563</v>
      </c>
      <c r="QJ1" t="s">
        <v>564</v>
      </c>
      <c r="QK1" t="s">
        <v>565</v>
      </c>
      <c r="QL1" t="s">
        <v>566</v>
      </c>
      <c r="QM1" t="s">
        <v>567</v>
      </c>
      <c r="QN1" t="s">
        <v>568</v>
      </c>
      <c r="QO1" t="s">
        <v>569</v>
      </c>
      <c r="QP1" t="s">
        <v>570</v>
      </c>
      <c r="QQ1" t="s">
        <v>571</v>
      </c>
      <c r="QR1" t="s">
        <v>572</v>
      </c>
      <c r="QS1" t="s">
        <v>573</v>
      </c>
      <c r="QT1" t="s">
        <v>574</v>
      </c>
      <c r="QU1" t="s">
        <v>575</v>
      </c>
      <c r="QV1" t="s">
        <v>576</v>
      </c>
      <c r="QW1" t="s">
        <v>577</v>
      </c>
      <c r="QX1" t="s">
        <v>578</v>
      </c>
      <c r="QY1" t="s">
        <v>579</v>
      </c>
      <c r="QZ1" t="s">
        <v>580</v>
      </c>
      <c r="RA1" t="s">
        <v>581</v>
      </c>
      <c r="RB1" t="s">
        <v>582</v>
      </c>
      <c r="RC1" t="s">
        <v>583</v>
      </c>
      <c r="RD1" t="s">
        <v>584</v>
      </c>
      <c r="RE1" t="s">
        <v>585</v>
      </c>
      <c r="RF1" t="s">
        <v>586</v>
      </c>
      <c r="RG1" t="s">
        <v>587</v>
      </c>
      <c r="RH1" t="s">
        <v>588</v>
      </c>
      <c r="RI1" t="s">
        <v>589</v>
      </c>
      <c r="RJ1" t="s">
        <v>590</v>
      </c>
      <c r="RK1" t="s">
        <v>591</v>
      </c>
      <c r="RL1" t="s">
        <v>592</v>
      </c>
      <c r="RM1" t="s">
        <v>593</v>
      </c>
      <c r="RN1" t="s">
        <v>594</v>
      </c>
      <c r="RO1" t="s">
        <v>595</v>
      </c>
      <c r="RP1" t="s">
        <v>596</v>
      </c>
      <c r="RQ1" t="s">
        <v>597</v>
      </c>
      <c r="RR1" t="s">
        <v>598</v>
      </c>
      <c r="RS1" t="s">
        <v>599</v>
      </c>
      <c r="RT1" t="s">
        <v>600</v>
      </c>
      <c r="RU1" t="s">
        <v>601</v>
      </c>
      <c r="RV1" t="s">
        <v>602</v>
      </c>
      <c r="RW1" t="s">
        <v>603</v>
      </c>
      <c r="RX1" t="s">
        <v>604</v>
      </c>
      <c r="RY1" t="s">
        <v>605</v>
      </c>
      <c r="RZ1" t="s">
        <v>606</v>
      </c>
      <c r="SA1" t="s">
        <v>607</v>
      </c>
      <c r="SB1" t="s">
        <v>608</v>
      </c>
      <c r="SC1" t="s">
        <v>609</v>
      </c>
      <c r="SD1" t="s">
        <v>610</v>
      </c>
      <c r="SE1" t="s">
        <v>611</v>
      </c>
      <c r="SF1" t="s">
        <v>612</v>
      </c>
      <c r="SG1" t="s">
        <v>613</v>
      </c>
      <c r="SH1" t="s">
        <v>614</v>
      </c>
      <c r="SI1" t="s">
        <v>615</v>
      </c>
      <c r="SJ1" t="s">
        <v>616</v>
      </c>
      <c r="SK1" t="s">
        <v>617</v>
      </c>
      <c r="SL1" t="s">
        <v>618</v>
      </c>
      <c r="SM1" t="s">
        <v>619</v>
      </c>
      <c r="SN1" t="s">
        <v>620</v>
      </c>
      <c r="SO1" t="s">
        <v>621</v>
      </c>
      <c r="SP1" t="s">
        <v>622</v>
      </c>
      <c r="SQ1" t="s">
        <v>623</v>
      </c>
      <c r="SR1" t="s">
        <v>624</v>
      </c>
      <c r="SS1" t="s">
        <v>625</v>
      </c>
      <c r="ST1" t="s">
        <v>626</v>
      </c>
      <c r="SU1" t="s">
        <v>627</v>
      </c>
      <c r="SV1" t="s">
        <v>628</v>
      </c>
      <c r="SW1" t="s">
        <v>629</v>
      </c>
      <c r="SX1" t="s">
        <v>630</v>
      </c>
      <c r="SY1" t="s">
        <v>631</v>
      </c>
      <c r="SZ1" t="s">
        <v>632</v>
      </c>
      <c r="TA1" t="s">
        <v>633</v>
      </c>
      <c r="TB1" t="s">
        <v>634</v>
      </c>
      <c r="TC1" t="s">
        <v>635</v>
      </c>
      <c r="TD1" t="s">
        <v>636</v>
      </c>
      <c r="TE1" t="s">
        <v>637</v>
      </c>
      <c r="TF1" t="s">
        <v>638</v>
      </c>
      <c r="TG1" t="s">
        <v>639</v>
      </c>
      <c r="TH1" t="s">
        <v>640</v>
      </c>
      <c r="TI1" t="s">
        <v>641</v>
      </c>
      <c r="TJ1" t="s">
        <v>642</v>
      </c>
      <c r="TK1" t="s">
        <v>643</v>
      </c>
      <c r="TL1" t="s">
        <v>644</v>
      </c>
      <c r="TM1" t="s">
        <v>645</v>
      </c>
      <c r="TN1" t="s">
        <v>646</v>
      </c>
      <c r="TO1" t="s">
        <v>647</v>
      </c>
      <c r="TP1" t="s">
        <v>648</v>
      </c>
      <c r="TQ1" t="s">
        <v>649</v>
      </c>
      <c r="TR1" t="s">
        <v>650</v>
      </c>
      <c r="TS1" t="s">
        <v>651</v>
      </c>
      <c r="TT1" t="s">
        <v>652</v>
      </c>
      <c r="TU1" t="s">
        <v>653</v>
      </c>
      <c r="TV1" t="s">
        <v>654</v>
      </c>
      <c r="TW1" t="s">
        <v>655</v>
      </c>
      <c r="TX1" t="s">
        <v>656</v>
      </c>
      <c r="TY1" t="s">
        <v>657</v>
      </c>
      <c r="TZ1" t="s">
        <v>658</v>
      </c>
      <c r="UA1" t="s">
        <v>659</v>
      </c>
      <c r="UB1" t="s">
        <v>660</v>
      </c>
      <c r="UC1" t="s">
        <v>661</v>
      </c>
      <c r="UD1" t="s">
        <v>662</v>
      </c>
      <c r="UE1" t="s">
        <v>663</v>
      </c>
      <c r="UF1" t="s">
        <v>664</v>
      </c>
      <c r="UG1" t="s">
        <v>665</v>
      </c>
      <c r="UH1" t="s">
        <v>666</v>
      </c>
      <c r="UI1" t="s">
        <v>667</v>
      </c>
      <c r="UJ1" t="s">
        <v>668</v>
      </c>
      <c r="UK1" t="s">
        <v>669</v>
      </c>
      <c r="UL1" t="s">
        <v>670</v>
      </c>
      <c r="UM1" t="s">
        <v>671</v>
      </c>
      <c r="UN1" t="s">
        <v>672</v>
      </c>
      <c r="UO1" t="s">
        <v>673</v>
      </c>
      <c r="UP1" t="s">
        <v>674</v>
      </c>
      <c r="UQ1" t="s">
        <v>675</v>
      </c>
      <c r="UR1" t="s">
        <v>676</v>
      </c>
      <c r="US1" t="s">
        <v>677</v>
      </c>
      <c r="UT1" t="s">
        <v>678</v>
      </c>
      <c r="UU1" t="s">
        <v>679</v>
      </c>
      <c r="UV1" t="s">
        <v>680</v>
      </c>
      <c r="UW1" t="s">
        <v>681</v>
      </c>
      <c r="UX1" t="s">
        <v>682</v>
      </c>
      <c r="UY1" t="s">
        <v>683</v>
      </c>
      <c r="UZ1" t="s">
        <v>684</v>
      </c>
      <c r="VA1" t="s">
        <v>685</v>
      </c>
      <c r="VB1" t="s">
        <v>686</v>
      </c>
      <c r="VC1" t="s">
        <v>687</v>
      </c>
      <c r="VD1" t="s">
        <v>688</v>
      </c>
      <c r="VE1" t="s">
        <v>689</v>
      </c>
      <c r="VF1" t="s">
        <v>690</v>
      </c>
      <c r="VG1" t="s">
        <v>691</v>
      </c>
      <c r="VH1" t="s">
        <v>692</v>
      </c>
      <c r="VI1" t="s">
        <v>693</v>
      </c>
      <c r="VJ1" t="s">
        <v>694</v>
      </c>
      <c r="VK1" t="s">
        <v>695</v>
      </c>
      <c r="VL1" t="s">
        <v>696</v>
      </c>
      <c r="VM1" t="s">
        <v>697</v>
      </c>
      <c r="VN1" t="s">
        <v>698</v>
      </c>
      <c r="VO1" t="s">
        <v>699</v>
      </c>
      <c r="VP1" t="s">
        <v>700</v>
      </c>
      <c r="VQ1" t="s">
        <v>701</v>
      </c>
      <c r="VR1" t="s">
        <v>702</v>
      </c>
      <c r="VS1" t="s">
        <v>703</v>
      </c>
      <c r="VT1" t="s">
        <v>704</v>
      </c>
      <c r="VU1" t="s">
        <v>705</v>
      </c>
      <c r="VV1" t="s">
        <v>706</v>
      </c>
      <c r="VW1" t="s">
        <v>707</v>
      </c>
      <c r="VX1" t="s">
        <v>708</v>
      </c>
      <c r="VY1" t="s">
        <v>709</v>
      </c>
      <c r="VZ1" t="s">
        <v>710</v>
      </c>
      <c r="WA1" t="s">
        <v>711</v>
      </c>
      <c r="WB1" t="s">
        <v>712</v>
      </c>
      <c r="WC1" t="s">
        <v>713</v>
      </c>
      <c r="WD1" t="s">
        <v>714</v>
      </c>
      <c r="WE1" t="s">
        <v>715</v>
      </c>
      <c r="WF1" t="s">
        <v>716</v>
      </c>
      <c r="WG1" t="s">
        <v>717</v>
      </c>
      <c r="WH1" t="s">
        <v>718</v>
      </c>
      <c r="WI1" t="s">
        <v>719</v>
      </c>
      <c r="WJ1" t="s">
        <v>720</v>
      </c>
      <c r="WK1" t="s">
        <v>721</v>
      </c>
      <c r="WL1" t="s">
        <v>722</v>
      </c>
      <c r="WM1" t="s">
        <v>723</v>
      </c>
      <c r="WN1" t="s">
        <v>724</v>
      </c>
      <c r="WO1" t="s">
        <v>725</v>
      </c>
      <c r="WP1" t="s">
        <v>726</v>
      </c>
      <c r="WQ1" t="s">
        <v>727</v>
      </c>
      <c r="WR1" t="s">
        <v>728</v>
      </c>
      <c r="WS1" t="s">
        <v>729</v>
      </c>
      <c r="WT1" t="s">
        <v>730</v>
      </c>
      <c r="WU1" t="s">
        <v>731</v>
      </c>
      <c r="WV1" t="s">
        <v>732</v>
      </c>
      <c r="WW1" t="s">
        <v>733</v>
      </c>
      <c r="WX1" t="s">
        <v>734</v>
      </c>
      <c r="WY1" t="s">
        <v>735</v>
      </c>
      <c r="WZ1" t="s">
        <v>736</v>
      </c>
      <c r="XA1" t="s">
        <v>737</v>
      </c>
      <c r="XB1" t="s">
        <v>738</v>
      </c>
      <c r="XC1" t="s">
        <v>739</v>
      </c>
      <c r="XD1" t="s">
        <v>740</v>
      </c>
      <c r="XE1" t="s">
        <v>741</v>
      </c>
      <c r="XF1" t="s">
        <v>742</v>
      </c>
      <c r="XG1" t="s">
        <v>743</v>
      </c>
      <c r="XH1" t="s">
        <v>744</v>
      </c>
      <c r="XI1" t="s">
        <v>745</v>
      </c>
      <c r="XJ1" t="s">
        <v>746</v>
      </c>
      <c r="XK1" t="s">
        <v>747</v>
      </c>
      <c r="XL1" t="s">
        <v>748</v>
      </c>
      <c r="XM1" t="s">
        <v>749</v>
      </c>
      <c r="XN1" t="s">
        <v>750</v>
      </c>
      <c r="XO1" t="s">
        <v>751</v>
      </c>
      <c r="XP1" t="s">
        <v>752</v>
      </c>
      <c r="XQ1" t="s">
        <v>753</v>
      </c>
      <c r="XR1" t="s">
        <v>754</v>
      </c>
      <c r="XS1" t="s">
        <v>755</v>
      </c>
      <c r="XT1" t="s">
        <v>756</v>
      </c>
      <c r="XU1" t="s">
        <v>757</v>
      </c>
      <c r="XV1" t="s">
        <v>758</v>
      </c>
      <c r="XW1" t="s">
        <v>759</v>
      </c>
      <c r="XX1" t="s">
        <v>760</v>
      </c>
      <c r="XY1" t="s">
        <v>761</v>
      </c>
      <c r="XZ1" t="s">
        <v>762</v>
      </c>
      <c r="YA1" t="s">
        <v>763</v>
      </c>
      <c r="YB1" t="s">
        <v>764</v>
      </c>
      <c r="YC1" t="s">
        <v>765</v>
      </c>
      <c r="YD1" t="s">
        <v>766</v>
      </c>
      <c r="YE1" t="s">
        <v>767</v>
      </c>
      <c r="YF1" t="s">
        <v>768</v>
      </c>
      <c r="YG1" t="s">
        <v>769</v>
      </c>
      <c r="YH1" t="s">
        <v>770</v>
      </c>
      <c r="YI1" t="s">
        <v>771</v>
      </c>
      <c r="YJ1" t="s">
        <v>772</v>
      </c>
      <c r="YK1" t="s">
        <v>773</v>
      </c>
      <c r="YL1" t="s">
        <v>774</v>
      </c>
      <c r="YM1" t="s">
        <v>775</v>
      </c>
      <c r="YN1" t="s">
        <v>776</v>
      </c>
      <c r="YO1" t="s">
        <v>777</v>
      </c>
      <c r="YP1" t="s">
        <v>778</v>
      </c>
      <c r="YQ1" t="s">
        <v>779</v>
      </c>
      <c r="YR1" t="s">
        <v>780</v>
      </c>
      <c r="YS1" t="s">
        <v>781</v>
      </c>
      <c r="YT1" t="s">
        <v>782</v>
      </c>
      <c r="YU1" t="s">
        <v>783</v>
      </c>
      <c r="YV1" t="s">
        <v>784</v>
      </c>
      <c r="YW1" t="s">
        <v>785</v>
      </c>
      <c r="YX1" t="s">
        <v>786</v>
      </c>
      <c r="YY1" t="s">
        <v>787</v>
      </c>
      <c r="YZ1" t="s">
        <v>788</v>
      </c>
      <c r="ZA1" t="s">
        <v>789</v>
      </c>
      <c r="ZB1" t="s">
        <v>790</v>
      </c>
      <c r="ZC1" t="s">
        <v>791</v>
      </c>
      <c r="ZD1" t="s">
        <v>792</v>
      </c>
      <c r="ZE1" t="s">
        <v>793</v>
      </c>
      <c r="ZF1" t="s">
        <v>794</v>
      </c>
      <c r="ZG1" t="s">
        <v>795</v>
      </c>
      <c r="ZH1" t="s">
        <v>796</v>
      </c>
      <c r="ZI1" t="s">
        <v>797</v>
      </c>
      <c r="ZJ1" t="s">
        <v>798</v>
      </c>
      <c r="ZK1" t="s">
        <v>799</v>
      </c>
      <c r="ZL1" t="s">
        <v>800</v>
      </c>
      <c r="ZM1" t="s">
        <v>801</v>
      </c>
      <c r="ZN1" t="s">
        <v>802</v>
      </c>
      <c r="ZO1" t="s">
        <v>803</v>
      </c>
      <c r="ZP1" t="s">
        <v>804</v>
      </c>
      <c r="ZQ1" t="s">
        <v>805</v>
      </c>
      <c r="ZR1" t="s">
        <v>806</v>
      </c>
      <c r="ZS1" t="s">
        <v>807</v>
      </c>
      <c r="ZT1" t="s">
        <v>808</v>
      </c>
      <c r="ZU1" t="s">
        <v>809</v>
      </c>
      <c r="ZV1" t="s">
        <v>810</v>
      </c>
      <c r="ZW1" t="s">
        <v>811</v>
      </c>
      <c r="ZX1" t="s">
        <v>812</v>
      </c>
      <c r="ZY1" t="s">
        <v>813</v>
      </c>
      <c r="ZZ1" t="s">
        <v>814</v>
      </c>
      <c r="AAA1" t="s">
        <v>815</v>
      </c>
      <c r="AAB1" t="s">
        <v>816</v>
      </c>
      <c r="AAC1" t="s">
        <v>817</v>
      </c>
      <c r="AAD1" t="s">
        <v>818</v>
      </c>
      <c r="AAE1" t="s">
        <v>819</v>
      </c>
      <c r="AAF1" t="s">
        <v>820</v>
      </c>
      <c r="AAG1" t="s">
        <v>821</v>
      </c>
      <c r="AAH1" t="s">
        <v>822</v>
      </c>
      <c r="AAI1" t="s">
        <v>823</v>
      </c>
      <c r="AAJ1" t="s">
        <v>824</v>
      </c>
      <c r="AAK1" t="s">
        <v>825</v>
      </c>
      <c r="AAL1" t="s">
        <v>826</v>
      </c>
      <c r="AAM1" t="s">
        <v>827</v>
      </c>
      <c r="AAN1" t="s">
        <v>828</v>
      </c>
      <c r="AAO1" t="s">
        <v>829</v>
      </c>
      <c r="AAP1" t="s">
        <v>830</v>
      </c>
      <c r="AAQ1" t="s">
        <v>831</v>
      </c>
      <c r="AAR1" t="s">
        <v>832</v>
      </c>
      <c r="AAS1" t="s">
        <v>833</v>
      </c>
      <c r="AAT1" t="s">
        <v>834</v>
      </c>
      <c r="AAU1" t="s">
        <v>835</v>
      </c>
      <c r="AAV1" t="s">
        <v>836</v>
      </c>
      <c r="AAW1" t="s">
        <v>837</v>
      </c>
      <c r="AAX1" t="s">
        <v>838</v>
      </c>
      <c r="AAY1" t="s">
        <v>839</v>
      </c>
      <c r="AAZ1" t="s">
        <v>840</v>
      </c>
      <c r="ABA1" t="s">
        <v>841</v>
      </c>
      <c r="ABB1" t="s">
        <v>842</v>
      </c>
      <c r="ABC1" t="s">
        <v>843</v>
      </c>
      <c r="ABD1" t="s">
        <v>844</v>
      </c>
      <c r="ABE1" t="s">
        <v>845</v>
      </c>
      <c r="ABF1" t="s">
        <v>846</v>
      </c>
      <c r="ABG1" t="s">
        <v>847</v>
      </c>
      <c r="ABH1" t="s">
        <v>848</v>
      </c>
      <c r="ABI1" t="s">
        <v>849</v>
      </c>
      <c r="ABJ1" t="s">
        <v>850</v>
      </c>
      <c r="ABK1" t="s">
        <v>851</v>
      </c>
      <c r="ABL1" t="s">
        <v>852</v>
      </c>
      <c r="ABM1" t="s">
        <v>853</v>
      </c>
      <c r="ABN1" t="s">
        <v>854</v>
      </c>
      <c r="ABO1" t="s">
        <v>855</v>
      </c>
      <c r="ABP1" t="s">
        <v>856</v>
      </c>
      <c r="ABQ1" t="s">
        <v>857</v>
      </c>
      <c r="ABR1" t="s">
        <v>858</v>
      </c>
      <c r="ABS1" t="s">
        <v>859</v>
      </c>
      <c r="ABT1" t="s">
        <v>860</v>
      </c>
      <c r="ABU1" t="s">
        <v>861</v>
      </c>
      <c r="ABV1" t="s">
        <v>862</v>
      </c>
      <c r="ABW1" t="s">
        <v>863</v>
      </c>
      <c r="ABX1" t="s">
        <v>864</v>
      </c>
      <c r="ABY1" t="s">
        <v>865</v>
      </c>
      <c r="ABZ1" t="s">
        <v>866</v>
      </c>
      <c r="ACA1" t="s">
        <v>867</v>
      </c>
      <c r="ACB1" t="s">
        <v>868</v>
      </c>
      <c r="ACC1" t="s">
        <v>869</v>
      </c>
      <c r="ACD1" t="s">
        <v>870</v>
      </c>
      <c r="ACE1" t="s">
        <v>871</v>
      </c>
      <c r="ACF1" t="s">
        <v>872</v>
      </c>
      <c r="ACG1" t="s">
        <v>873</v>
      </c>
      <c r="ACH1" t="s">
        <v>874</v>
      </c>
      <c r="ACI1" t="s">
        <v>875</v>
      </c>
      <c r="ACJ1" t="s">
        <v>876</v>
      </c>
      <c r="ACK1" t="s">
        <v>877</v>
      </c>
      <c r="ACL1" t="s">
        <v>878</v>
      </c>
      <c r="ACM1" t="s">
        <v>879</v>
      </c>
      <c r="ACN1" t="s">
        <v>880</v>
      </c>
      <c r="ACO1" t="s">
        <v>881</v>
      </c>
      <c r="ACP1" t="s">
        <v>882</v>
      </c>
      <c r="ACQ1" t="s">
        <v>883</v>
      </c>
      <c r="ACR1" t="s">
        <v>884</v>
      </c>
      <c r="ACS1" t="s">
        <v>885</v>
      </c>
      <c r="ACT1" t="s">
        <v>886</v>
      </c>
      <c r="ACU1" t="s">
        <v>887</v>
      </c>
      <c r="ACV1" t="s">
        <v>888</v>
      </c>
      <c r="ACW1" t="s">
        <v>889</v>
      </c>
      <c r="ACX1" t="s">
        <v>890</v>
      </c>
      <c r="ACY1" t="s">
        <v>891</v>
      </c>
      <c r="ACZ1" t="s">
        <v>892</v>
      </c>
      <c r="ADA1" t="s">
        <v>893</v>
      </c>
      <c r="ADB1" t="s">
        <v>894</v>
      </c>
      <c r="ADC1" t="s">
        <v>895</v>
      </c>
      <c r="ADD1" t="s">
        <v>896</v>
      </c>
      <c r="ADE1" t="s">
        <v>897</v>
      </c>
      <c r="ADF1" t="s">
        <v>898</v>
      </c>
      <c r="ADG1" t="s">
        <v>899</v>
      </c>
      <c r="ADH1" t="s">
        <v>900</v>
      </c>
      <c r="ADI1" t="s">
        <v>901</v>
      </c>
      <c r="ADJ1" t="s">
        <v>902</v>
      </c>
      <c r="ADK1" t="s">
        <v>903</v>
      </c>
      <c r="ADL1" t="s">
        <v>904</v>
      </c>
      <c r="ADM1" t="s">
        <v>905</v>
      </c>
      <c r="ADN1" t="s">
        <v>906</v>
      </c>
      <c r="ADO1" t="s">
        <v>907</v>
      </c>
      <c r="ADP1" t="s">
        <v>908</v>
      </c>
      <c r="ADQ1" t="s">
        <v>909</v>
      </c>
      <c r="ADR1" t="s">
        <v>910</v>
      </c>
      <c r="ADS1" t="s">
        <v>911</v>
      </c>
      <c r="ADT1" t="s">
        <v>912</v>
      </c>
      <c r="ADU1" t="s">
        <v>913</v>
      </c>
      <c r="ADV1" t="s">
        <v>914</v>
      </c>
      <c r="ADW1" t="s">
        <v>915</v>
      </c>
      <c r="ADX1" t="s">
        <v>916</v>
      </c>
      <c r="ADY1" t="s">
        <v>917</v>
      </c>
      <c r="ADZ1" t="s">
        <v>918</v>
      </c>
      <c r="AEA1" t="s">
        <v>919</v>
      </c>
      <c r="AEB1" t="s">
        <v>920</v>
      </c>
      <c r="AEC1" t="s">
        <v>921</v>
      </c>
      <c r="AED1" t="s">
        <v>922</v>
      </c>
      <c r="AEE1" t="s">
        <v>923</v>
      </c>
      <c r="AEF1" t="s">
        <v>924</v>
      </c>
      <c r="AEG1" t="s">
        <v>925</v>
      </c>
      <c r="AEH1" t="s">
        <v>926</v>
      </c>
      <c r="AEI1" t="s">
        <v>927</v>
      </c>
      <c r="AEJ1" t="s">
        <v>928</v>
      </c>
      <c r="AEK1" t="s">
        <v>929</v>
      </c>
      <c r="AEL1" t="s">
        <v>930</v>
      </c>
      <c r="AEM1" t="s">
        <v>931</v>
      </c>
      <c r="AEN1" t="s">
        <v>932</v>
      </c>
      <c r="AEO1" t="s">
        <v>933</v>
      </c>
      <c r="AEP1" t="s">
        <v>934</v>
      </c>
      <c r="AEQ1" t="s">
        <v>935</v>
      </c>
      <c r="AER1" t="s">
        <v>936</v>
      </c>
      <c r="AES1" t="s">
        <v>937</v>
      </c>
      <c r="AET1" t="s">
        <v>938</v>
      </c>
      <c r="AEU1" t="s">
        <v>939</v>
      </c>
      <c r="AEV1" t="s">
        <v>940</v>
      </c>
      <c r="AEW1" t="s">
        <v>941</v>
      </c>
      <c r="AEX1" t="s">
        <v>942</v>
      </c>
      <c r="AEY1" t="s">
        <v>943</v>
      </c>
      <c r="AEZ1" t="s">
        <v>944</v>
      </c>
      <c r="AFA1" t="s">
        <v>945</v>
      </c>
      <c r="AFB1" t="s">
        <v>946</v>
      </c>
      <c r="AFC1" t="s">
        <v>947</v>
      </c>
      <c r="AFD1" t="s">
        <v>948</v>
      </c>
      <c r="AFE1" t="s">
        <v>949</v>
      </c>
      <c r="AFF1" t="s">
        <v>950</v>
      </c>
      <c r="AFG1" t="s">
        <v>951</v>
      </c>
      <c r="AFH1" t="s">
        <v>952</v>
      </c>
      <c r="AFI1" t="s">
        <v>953</v>
      </c>
      <c r="AFJ1" t="s">
        <v>954</v>
      </c>
      <c r="AFK1" t="s">
        <v>955</v>
      </c>
      <c r="AFL1" t="s">
        <v>956</v>
      </c>
      <c r="AFM1" t="s">
        <v>957</v>
      </c>
      <c r="AFN1" t="s">
        <v>958</v>
      </c>
      <c r="AFO1" t="s">
        <v>959</v>
      </c>
      <c r="AFP1" t="s">
        <v>960</v>
      </c>
      <c r="AFQ1" t="s">
        <v>961</v>
      </c>
      <c r="AFR1" t="s">
        <v>962</v>
      </c>
      <c r="AFS1" t="s">
        <v>963</v>
      </c>
      <c r="AFT1" t="s">
        <v>964</v>
      </c>
      <c r="AFU1" t="s">
        <v>965</v>
      </c>
      <c r="AFV1" t="s">
        <v>966</v>
      </c>
      <c r="AFW1" t="s">
        <v>967</v>
      </c>
      <c r="AFX1" t="s">
        <v>968</v>
      </c>
      <c r="AFY1" t="s">
        <v>969</v>
      </c>
      <c r="AFZ1" t="s">
        <v>970</v>
      </c>
      <c r="AGA1" t="s">
        <v>971</v>
      </c>
      <c r="AGB1" t="s">
        <v>972</v>
      </c>
      <c r="AGC1" t="s">
        <v>973</v>
      </c>
      <c r="AGD1" t="s">
        <v>974</v>
      </c>
      <c r="AGE1" t="s">
        <v>975</v>
      </c>
      <c r="AGF1" t="s">
        <v>976</v>
      </c>
      <c r="AGG1" t="s">
        <v>977</v>
      </c>
      <c r="AGH1" t="s">
        <v>978</v>
      </c>
      <c r="AGI1" t="s">
        <v>979</v>
      </c>
      <c r="AGJ1" t="s">
        <v>980</v>
      </c>
      <c r="AGK1" t="s">
        <v>981</v>
      </c>
      <c r="AGL1" t="s">
        <v>982</v>
      </c>
      <c r="AGM1" t="s">
        <v>983</v>
      </c>
      <c r="AGN1" t="s">
        <v>984</v>
      </c>
      <c r="AGO1" t="s">
        <v>985</v>
      </c>
      <c r="AGP1" t="s">
        <v>986</v>
      </c>
      <c r="AGQ1" t="s">
        <v>987</v>
      </c>
      <c r="AGR1" t="s">
        <v>988</v>
      </c>
      <c r="AGS1" t="s">
        <v>989</v>
      </c>
      <c r="AGT1" t="s">
        <v>990</v>
      </c>
      <c r="AGU1" t="s">
        <v>991</v>
      </c>
      <c r="AGV1" t="s">
        <v>992</v>
      </c>
      <c r="AGW1" t="s">
        <v>993</v>
      </c>
      <c r="AGX1" t="s">
        <v>994</v>
      </c>
      <c r="AGY1" t="s">
        <v>995</v>
      </c>
      <c r="AGZ1" t="s">
        <v>996</v>
      </c>
      <c r="AHA1" t="s">
        <v>997</v>
      </c>
      <c r="AHB1" t="s">
        <v>998</v>
      </c>
      <c r="AHC1" t="s">
        <v>999</v>
      </c>
      <c r="AHD1" t="s">
        <v>1000</v>
      </c>
      <c r="AHE1" t="s">
        <v>1001</v>
      </c>
      <c r="AHF1" t="s">
        <v>1002</v>
      </c>
      <c r="AHG1" t="s">
        <v>1003</v>
      </c>
      <c r="AHH1" t="s">
        <v>1004</v>
      </c>
      <c r="AHI1" t="s">
        <v>1005</v>
      </c>
      <c r="AHJ1" t="s">
        <v>1006</v>
      </c>
      <c r="AHK1" t="s">
        <v>1007</v>
      </c>
      <c r="AHL1" t="s">
        <v>1008</v>
      </c>
      <c r="AHM1" t="s">
        <v>1009</v>
      </c>
      <c r="AHN1" t="s">
        <v>1010</v>
      </c>
      <c r="AHO1" t="s">
        <v>1011</v>
      </c>
      <c r="AHP1" t="s">
        <v>1012</v>
      </c>
      <c r="AHQ1" t="s">
        <v>1013</v>
      </c>
      <c r="AHR1" t="s">
        <v>1014</v>
      </c>
      <c r="AHS1" t="s">
        <v>1015</v>
      </c>
      <c r="AHT1" t="s">
        <v>1016</v>
      </c>
      <c r="AHU1" t="s">
        <v>1017</v>
      </c>
      <c r="AHV1" t="s">
        <v>1018</v>
      </c>
      <c r="AHW1" t="s">
        <v>1019</v>
      </c>
      <c r="AHX1" t="s">
        <v>1020</v>
      </c>
      <c r="AHY1" t="s">
        <v>1021</v>
      </c>
      <c r="AHZ1" t="s">
        <v>1022</v>
      </c>
      <c r="AIA1" t="s">
        <v>1023</v>
      </c>
      <c r="AIB1" t="s">
        <v>1024</v>
      </c>
      <c r="AIC1" t="s">
        <v>1025</v>
      </c>
      <c r="AID1" t="s">
        <v>1026</v>
      </c>
      <c r="AIE1" t="s">
        <v>1027</v>
      </c>
      <c r="AIF1" t="s">
        <v>1028</v>
      </c>
      <c r="AIG1" t="s">
        <v>1029</v>
      </c>
      <c r="AIH1" t="s">
        <v>1030</v>
      </c>
      <c r="AII1" t="s">
        <v>1031</v>
      </c>
      <c r="AIJ1" t="s">
        <v>1032</v>
      </c>
      <c r="AIK1" t="s">
        <v>1033</v>
      </c>
      <c r="AIL1" t="s">
        <v>1034</v>
      </c>
      <c r="AIM1" t="s">
        <v>1035</v>
      </c>
      <c r="AIN1" t="s">
        <v>1036</v>
      </c>
      <c r="AIO1" t="s">
        <v>1037</v>
      </c>
      <c r="AIP1" t="s">
        <v>1038</v>
      </c>
      <c r="AIQ1" t="s">
        <v>1039</v>
      </c>
      <c r="AIR1" t="s">
        <v>1040</v>
      </c>
      <c r="AIS1" t="s">
        <v>1041</v>
      </c>
      <c r="AIT1" t="s">
        <v>1042</v>
      </c>
      <c r="AIU1" t="s">
        <v>1043</v>
      </c>
      <c r="AIV1" t="s">
        <v>1044</v>
      </c>
      <c r="AIW1" t="s">
        <v>1045</v>
      </c>
      <c r="AIX1" t="s">
        <v>1046</v>
      </c>
      <c r="AIY1" t="s">
        <v>1047</v>
      </c>
      <c r="AIZ1" t="s">
        <v>1048</v>
      </c>
      <c r="AJA1" t="s">
        <v>1049</v>
      </c>
      <c r="AJB1" t="s">
        <v>1050</v>
      </c>
      <c r="AJC1" t="s">
        <v>1051</v>
      </c>
      <c r="AJD1" t="s">
        <v>1052</v>
      </c>
      <c r="AJE1" t="s">
        <v>1053</v>
      </c>
      <c r="AJF1" t="s">
        <v>1054</v>
      </c>
      <c r="AJG1" t="s">
        <v>1055</v>
      </c>
      <c r="AJH1" t="s">
        <v>1056</v>
      </c>
      <c r="AJI1" t="s">
        <v>1057</v>
      </c>
      <c r="AJJ1" t="s">
        <v>1058</v>
      </c>
      <c r="AJK1" t="s">
        <v>1059</v>
      </c>
      <c r="AJL1" t="s">
        <v>1060</v>
      </c>
      <c r="AJM1" t="s">
        <v>1061</v>
      </c>
      <c r="AJN1" t="s">
        <v>1062</v>
      </c>
      <c r="AJO1" t="s">
        <v>1063</v>
      </c>
      <c r="AJP1" t="s">
        <v>1064</v>
      </c>
      <c r="AJQ1" t="s">
        <v>1065</v>
      </c>
      <c r="AJR1" t="s">
        <v>1066</v>
      </c>
      <c r="AJS1" t="s">
        <v>1067</v>
      </c>
      <c r="AJT1" t="s">
        <v>1068</v>
      </c>
      <c r="AJU1" t="s">
        <v>1069</v>
      </c>
      <c r="AJV1" t="s">
        <v>1070</v>
      </c>
      <c r="AJW1" t="s">
        <v>1071</v>
      </c>
      <c r="AJX1" t="s">
        <v>1072</v>
      </c>
      <c r="AJY1" t="s">
        <v>1073</v>
      </c>
      <c r="AJZ1" t="s">
        <v>1074</v>
      </c>
      <c r="AKA1" t="s">
        <v>1075</v>
      </c>
      <c r="AKB1" t="s">
        <v>1076</v>
      </c>
      <c r="AKC1" t="s">
        <v>1077</v>
      </c>
      <c r="AKD1" t="s">
        <v>1078</v>
      </c>
      <c r="AKE1" t="s">
        <v>1079</v>
      </c>
      <c r="AKF1" t="s">
        <v>1080</v>
      </c>
      <c r="AKG1" t="s">
        <v>1081</v>
      </c>
      <c r="AKH1" t="s">
        <v>1082</v>
      </c>
      <c r="AKI1" t="s">
        <v>1083</v>
      </c>
      <c r="AKJ1" t="s">
        <v>1084</v>
      </c>
      <c r="AKK1" t="s">
        <v>1085</v>
      </c>
      <c r="AKL1" t="s">
        <v>1086</v>
      </c>
      <c r="AKM1" t="s">
        <v>1087</v>
      </c>
      <c r="AKN1" t="s">
        <v>1088</v>
      </c>
      <c r="AKO1" t="s">
        <v>1089</v>
      </c>
      <c r="AKP1" t="s">
        <v>1090</v>
      </c>
      <c r="AKQ1" t="s">
        <v>1091</v>
      </c>
      <c r="AKR1" t="s">
        <v>1092</v>
      </c>
      <c r="AKS1" t="s">
        <v>1093</v>
      </c>
      <c r="AKT1" t="s">
        <v>1094</v>
      </c>
      <c r="AKU1" t="s">
        <v>1095</v>
      </c>
      <c r="AKV1" t="s">
        <v>1096</v>
      </c>
      <c r="AKW1" t="s">
        <v>1097</v>
      </c>
      <c r="AKX1" t="s">
        <v>1098</v>
      </c>
      <c r="AKY1" t="s">
        <v>1099</v>
      </c>
      <c r="AKZ1" t="s">
        <v>1100</v>
      </c>
      <c r="ALA1" t="s">
        <v>1101</v>
      </c>
      <c r="ALB1" t="s">
        <v>1102</v>
      </c>
      <c r="ALC1" t="s">
        <v>1103</v>
      </c>
      <c r="ALD1" t="s">
        <v>1104</v>
      </c>
      <c r="ALE1" t="s">
        <v>1105</v>
      </c>
      <c r="ALF1" t="s">
        <v>1106</v>
      </c>
      <c r="ALG1" t="s">
        <v>1107</v>
      </c>
      <c r="ALH1" t="s">
        <v>1108</v>
      </c>
      <c r="ALI1" t="s">
        <v>1109</v>
      </c>
      <c r="ALJ1" t="s">
        <v>1110</v>
      </c>
      <c r="ALK1" t="s">
        <v>1111</v>
      </c>
      <c r="ALL1" t="s">
        <v>1112</v>
      </c>
      <c r="ALM1" t="s">
        <v>1113</v>
      </c>
      <c r="ALN1" t="s">
        <v>1114</v>
      </c>
      <c r="ALO1" t="s">
        <v>1115</v>
      </c>
      <c r="ALP1" t="s">
        <v>1116</v>
      </c>
      <c r="ALQ1" t="s">
        <v>1117</v>
      </c>
      <c r="ALR1" t="s">
        <v>1118</v>
      </c>
      <c r="ALS1" t="s">
        <v>1119</v>
      </c>
      <c r="ALT1" t="s">
        <v>1120</v>
      </c>
      <c r="ALU1" t="s">
        <v>1121</v>
      </c>
      <c r="ALV1" t="s">
        <v>1122</v>
      </c>
      <c r="ALW1" t="s">
        <v>1123</v>
      </c>
      <c r="ALX1" t="s">
        <v>1124</v>
      </c>
      <c r="ALY1" t="s">
        <v>1125</v>
      </c>
      <c r="ALZ1" t="s">
        <v>1126</v>
      </c>
      <c r="AMA1" t="s">
        <v>1127</v>
      </c>
      <c r="AMB1" t="s">
        <v>1128</v>
      </c>
      <c r="AMC1" t="s">
        <v>1129</v>
      </c>
      <c r="AMD1" t="s">
        <v>1130</v>
      </c>
      <c r="AME1" t="s">
        <v>1131</v>
      </c>
      <c r="AMF1" t="s">
        <v>1132</v>
      </c>
      <c r="AMG1" t="s">
        <v>1133</v>
      </c>
      <c r="AMH1" t="s">
        <v>1134</v>
      </c>
      <c r="AMI1" t="s">
        <v>1135</v>
      </c>
      <c r="AMJ1" t="s">
        <v>1136</v>
      </c>
      <c r="AMK1" t="s">
        <v>1137</v>
      </c>
      <c r="AML1" t="s">
        <v>1138</v>
      </c>
      <c r="AMM1" t="s">
        <v>1139</v>
      </c>
      <c r="AMN1" t="s">
        <v>1140</v>
      </c>
      <c r="AMO1" t="s">
        <v>1141</v>
      </c>
      <c r="AMP1" t="s">
        <v>1142</v>
      </c>
      <c r="AMQ1" t="s">
        <v>1143</v>
      </c>
      <c r="AMR1" t="s">
        <v>1144</v>
      </c>
      <c r="AMS1" t="s">
        <v>1145</v>
      </c>
      <c r="AMT1" t="s">
        <v>1146</v>
      </c>
      <c r="AMU1" t="s">
        <v>1147</v>
      </c>
      <c r="AMV1" t="s">
        <v>1148</v>
      </c>
      <c r="AMW1" t="s">
        <v>1149</v>
      </c>
      <c r="AMX1" t="s">
        <v>1150</v>
      </c>
      <c r="AMY1" t="s">
        <v>1151</v>
      </c>
      <c r="AMZ1" t="s">
        <v>1152</v>
      </c>
      <c r="ANA1" t="s">
        <v>1153</v>
      </c>
      <c r="ANB1" t="s">
        <v>1154</v>
      </c>
      <c r="ANC1" t="s">
        <v>1155</v>
      </c>
      <c r="AND1" t="s">
        <v>1156</v>
      </c>
      <c r="ANE1" t="s">
        <v>1157</v>
      </c>
      <c r="ANF1" t="s">
        <v>1158</v>
      </c>
      <c r="ANG1" t="s">
        <v>1159</v>
      </c>
      <c r="ANH1" t="s">
        <v>1160</v>
      </c>
      <c r="ANI1" t="s">
        <v>1161</v>
      </c>
      <c r="ANJ1" t="s">
        <v>1162</v>
      </c>
      <c r="ANK1" t="s">
        <v>1163</v>
      </c>
      <c r="ANL1" t="s">
        <v>1164</v>
      </c>
      <c r="ANM1" t="s">
        <v>1165</v>
      </c>
      <c r="ANN1" t="s">
        <v>1166</v>
      </c>
      <c r="ANO1" t="s">
        <v>1167</v>
      </c>
      <c r="ANP1" t="s">
        <v>1168</v>
      </c>
      <c r="ANQ1" t="s">
        <v>1169</v>
      </c>
      <c r="ANR1" t="s">
        <v>1170</v>
      </c>
      <c r="ANS1" t="s">
        <v>1171</v>
      </c>
      <c r="ANT1" t="s">
        <v>1172</v>
      </c>
      <c r="ANU1" t="s">
        <v>1173</v>
      </c>
      <c r="ANV1" t="s">
        <v>1174</v>
      </c>
      <c r="ANW1" t="s">
        <v>1175</v>
      </c>
      <c r="ANX1" t="s">
        <v>1176</v>
      </c>
      <c r="ANY1" t="s">
        <v>1177</v>
      </c>
      <c r="ANZ1" t="s">
        <v>1178</v>
      </c>
      <c r="AOA1" t="s">
        <v>1179</v>
      </c>
      <c r="AOB1" t="s">
        <v>1180</v>
      </c>
      <c r="AOC1" t="s">
        <v>1181</v>
      </c>
      <c r="AOD1" t="s">
        <v>1182</v>
      </c>
      <c r="AOE1" t="s">
        <v>1183</v>
      </c>
      <c r="AOF1" t="s">
        <v>1184</v>
      </c>
      <c r="AOG1" t="s">
        <v>1185</v>
      </c>
      <c r="AOH1" t="s">
        <v>1186</v>
      </c>
      <c r="AOI1" t="s">
        <v>1187</v>
      </c>
      <c r="AOJ1" t="s">
        <v>1188</v>
      </c>
      <c r="AOK1" t="s">
        <v>1189</v>
      </c>
      <c r="AOL1" t="s">
        <v>1190</v>
      </c>
      <c r="AOM1" t="s">
        <v>1191</v>
      </c>
      <c r="AON1" t="s">
        <v>1192</v>
      </c>
      <c r="AOO1" t="s">
        <v>1193</v>
      </c>
      <c r="AOP1" t="s">
        <v>1194</v>
      </c>
      <c r="AOQ1" t="s">
        <v>1195</v>
      </c>
      <c r="AOR1" t="s">
        <v>1196</v>
      </c>
      <c r="AOS1" t="s">
        <v>1197</v>
      </c>
      <c r="AOT1" t="s">
        <v>1198</v>
      </c>
      <c r="AOU1" t="s">
        <v>1199</v>
      </c>
      <c r="AOV1" t="s">
        <v>1200</v>
      </c>
      <c r="AOW1" t="s">
        <v>1201</v>
      </c>
      <c r="AOX1" t="s">
        <v>1202</v>
      </c>
      <c r="AOY1" t="s">
        <v>1203</v>
      </c>
      <c r="AOZ1" t="s">
        <v>1204</v>
      </c>
      <c r="APA1" t="s">
        <v>1205</v>
      </c>
      <c r="APB1" t="s">
        <v>1206</v>
      </c>
      <c r="APC1" t="s">
        <v>1207</v>
      </c>
      <c r="APD1" t="s">
        <v>1208</v>
      </c>
      <c r="APE1" t="s">
        <v>1209</v>
      </c>
      <c r="APF1" t="s">
        <v>1210</v>
      </c>
      <c r="APG1" t="s">
        <v>1211</v>
      </c>
      <c r="APH1" t="s">
        <v>1212</v>
      </c>
      <c r="API1" t="s">
        <v>1213</v>
      </c>
      <c r="APJ1" t="s">
        <v>1214</v>
      </c>
      <c r="APK1" t="s">
        <v>1215</v>
      </c>
      <c r="APL1" t="s">
        <v>1216</v>
      </c>
      <c r="APM1" t="s">
        <v>1217</v>
      </c>
      <c r="APN1" t="s">
        <v>1218</v>
      </c>
      <c r="APO1" t="s">
        <v>1219</v>
      </c>
      <c r="APP1" t="s">
        <v>1220</v>
      </c>
      <c r="APQ1" t="s">
        <v>1221</v>
      </c>
      <c r="APR1" t="s">
        <v>1222</v>
      </c>
      <c r="APS1" t="s">
        <v>1223</v>
      </c>
      <c r="APT1" t="s">
        <v>1224</v>
      </c>
      <c r="APU1" t="s">
        <v>1225</v>
      </c>
      <c r="APV1" t="s">
        <v>1226</v>
      </c>
      <c r="APW1" t="s">
        <v>1227</v>
      </c>
      <c r="APX1" t="s">
        <v>1228</v>
      </c>
      <c r="APY1" t="s">
        <v>1229</v>
      </c>
      <c r="APZ1" t="s">
        <v>1230</v>
      </c>
      <c r="AQA1" t="s">
        <v>1231</v>
      </c>
      <c r="AQB1" t="s">
        <v>1232</v>
      </c>
      <c r="AQC1" t="s">
        <v>1233</v>
      </c>
      <c r="AQD1" t="s">
        <v>1234</v>
      </c>
      <c r="AQE1" t="s">
        <v>1235</v>
      </c>
      <c r="AQF1" t="s">
        <v>1236</v>
      </c>
      <c r="AQG1" t="s">
        <v>1237</v>
      </c>
      <c r="AQH1" t="s">
        <v>1238</v>
      </c>
      <c r="AQI1" t="s">
        <v>1239</v>
      </c>
      <c r="AQJ1" t="s">
        <v>1240</v>
      </c>
      <c r="AQK1" t="s">
        <v>1241</v>
      </c>
      <c r="AQL1" t="s">
        <v>1242</v>
      </c>
      <c r="AQM1" t="s">
        <v>1243</v>
      </c>
      <c r="AQN1" t="s">
        <v>1244</v>
      </c>
      <c r="AQO1" t="s">
        <v>1245</v>
      </c>
      <c r="AQP1" t="s">
        <v>1246</v>
      </c>
      <c r="AQQ1" t="s">
        <v>1247</v>
      </c>
      <c r="AQR1" t="s">
        <v>1248</v>
      </c>
      <c r="AQS1" t="s">
        <v>1249</v>
      </c>
      <c r="AQT1" t="s">
        <v>1250</v>
      </c>
      <c r="AQU1" t="s">
        <v>1251</v>
      </c>
      <c r="AQV1" t="s">
        <v>1252</v>
      </c>
      <c r="AQW1" t="s">
        <v>1253</v>
      </c>
      <c r="AQX1" t="s">
        <v>1254</v>
      </c>
      <c r="AQY1" t="s">
        <v>1255</v>
      </c>
      <c r="AQZ1" t="s">
        <v>1256</v>
      </c>
      <c r="ARA1" t="s">
        <v>1257</v>
      </c>
      <c r="ARB1" t="s">
        <v>1258</v>
      </c>
      <c r="ARC1" t="s">
        <v>1259</v>
      </c>
      <c r="ARD1" t="s">
        <v>1260</v>
      </c>
      <c r="ARE1" t="s">
        <v>1261</v>
      </c>
      <c r="ARF1" t="s">
        <v>1262</v>
      </c>
      <c r="ARG1" t="s">
        <v>1263</v>
      </c>
      <c r="ARH1" t="s">
        <v>1264</v>
      </c>
      <c r="ARI1" t="s">
        <v>1265</v>
      </c>
      <c r="ARJ1" t="s">
        <v>1266</v>
      </c>
      <c r="ARK1" t="s">
        <v>1267</v>
      </c>
      <c r="ARL1" t="s">
        <v>1268</v>
      </c>
      <c r="ARM1" t="s">
        <v>1269</v>
      </c>
      <c r="ARN1" t="s">
        <v>1270</v>
      </c>
      <c r="ARO1" t="s">
        <v>1271</v>
      </c>
      <c r="ARP1" t="s">
        <v>1272</v>
      </c>
      <c r="ARQ1" t="s">
        <v>1273</v>
      </c>
      <c r="ARR1" t="s">
        <v>1274</v>
      </c>
      <c r="ARS1" t="s">
        <v>1275</v>
      </c>
      <c r="ART1" t="s">
        <v>1276</v>
      </c>
      <c r="ARU1" t="s">
        <v>1277</v>
      </c>
      <c r="ARV1" t="s">
        <v>1278</v>
      </c>
      <c r="ARW1" t="s">
        <v>1279</v>
      </c>
      <c r="ARX1" t="s">
        <v>1280</v>
      </c>
      <c r="ARY1" t="s">
        <v>1281</v>
      </c>
      <c r="ARZ1" t="s">
        <v>1282</v>
      </c>
      <c r="ASA1" t="s">
        <v>1283</v>
      </c>
      <c r="ASB1" t="s">
        <v>1284</v>
      </c>
      <c r="ASC1" t="s">
        <v>1285</v>
      </c>
      <c r="ASD1" t="s">
        <v>1286</v>
      </c>
      <c r="ASE1" t="s">
        <v>1287</v>
      </c>
      <c r="ASF1" t="s">
        <v>1288</v>
      </c>
      <c r="ASG1" t="s">
        <v>1289</v>
      </c>
      <c r="ASH1" t="s">
        <v>1290</v>
      </c>
      <c r="ASI1" t="s">
        <v>1291</v>
      </c>
      <c r="ASJ1" t="s">
        <v>1292</v>
      </c>
      <c r="ASK1" t="s">
        <v>1293</v>
      </c>
      <c r="ASL1" t="s">
        <v>1294</v>
      </c>
      <c r="ASM1" t="s">
        <v>1295</v>
      </c>
      <c r="ASN1" t="s">
        <v>1296</v>
      </c>
      <c r="ASO1" t="s">
        <v>1297</v>
      </c>
      <c r="ASP1" t="s">
        <v>1298</v>
      </c>
      <c r="ASQ1" t="s">
        <v>1299</v>
      </c>
      <c r="ASR1" t="s">
        <v>1300</v>
      </c>
      <c r="ASS1" t="s">
        <v>1301</v>
      </c>
      <c r="AST1" t="s">
        <v>1302</v>
      </c>
      <c r="ASU1" t="s">
        <v>1303</v>
      </c>
      <c r="ASV1" t="s">
        <v>1304</v>
      </c>
      <c r="ASW1" t="s">
        <v>1305</v>
      </c>
      <c r="ASX1" t="s">
        <v>1306</v>
      </c>
      <c r="ASY1" t="s">
        <v>1307</v>
      </c>
      <c r="ASZ1" t="s">
        <v>1308</v>
      </c>
      <c r="ATA1" t="s">
        <v>1309</v>
      </c>
      <c r="ATB1" t="s">
        <v>1310</v>
      </c>
      <c r="ATC1" t="s">
        <v>1311</v>
      </c>
      <c r="ATD1" t="s">
        <v>1312</v>
      </c>
      <c r="ATE1" t="s">
        <v>1313</v>
      </c>
      <c r="ATF1" t="s">
        <v>1314</v>
      </c>
      <c r="ATG1" t="s">
        <v>1315</v>
      </c>
      <c r="ATH1" t="s">
        <v>1316</v>
      </c>
      <c r="ATI1" t="s">
        <v>1317</v>
      </c>
      <c r="ATJ1" t="s">
        <v>1318</v>
      </c>
      <c r="ATK1" t="s">
        <v>1319</v>
      </c>
      <c r="ATL1" t="s">
        <v>1320</v>
      </c>
      <c r="ATM1" t="s">
        <v>1321</v>
      </c>
      <c r="ATN1" t="s">
        <v>1322</v>
      </c>
      <c r="ATO1" t="s">
        <v>1323</v>
      </c>
      <c r="ATP1" t="s">
        <v>1324</v>
      </c>
      <c r="ATQ1" t="s">
        <v>1325</v>
      </c>
      <c r="ATR1" t="s">
        <v>1326</v>
      </c>
      <c r="ATS1" t="s">
        <v>1327</v>
      </c>
      <c r="ATT1" t="s">
        <v>1328</v>
      </c>
      <c r="ATU1" t="s">
        <v>1329</v>
      </c>
      <c r="ATV1" t="s">
        <v>1330</v>
      </c>
      <c r="ATW1" t="s">
        <v>1331</v>
      </c>
      <c r="ATX1" t="s">
        <v>1332</v>
      </c>
      <c r="ATY1" t="s">
        <v>1333</v>
      </c>
      <c r="ATZ1" t="s">
        <v>1334</v>
      </c>
      <c r="AUA1" t="s">
        <v>1335</v>
      </c>
      <c r="AUB1" t="s">
        <v>1336</v>
      </c>
      <c r="AUC1" t="s">
        <v>1337</v>
      </c>
      <c r="AUD1" t="s">
        <v>1338</v>
      </c>
      <c r="AUE1" t="s">
        <v>1339</v>
      </c>
      <c r="AUF1" t="s">
        <v>1340</v>
      </c>
      <c r="AUG1" t="s">
        <v>1341</v>
      </c>
      <c r="AUH1" t="s">
        <v>1342</v>
      </c>
      <c r="AUI1" t="s">
        <v>1343</v>
      </c>
      <c r="AUJ1" t="s">
        <v>1344</v>
      </c>
      <c r="AUK1" t="s">
        <v>1345</v>
      </c>
      <c r="AUL1" t="s">
        <v>1346</v>
      </c>
      <c r="AUM1" t="s">
        <v>1347</v>
      </c>
      <c r="AUN1" t="s">
        <v>1348</v>
      </c>
      <c r="AUO1" t="s">
        <v>1349</v>
      </c>
      <c r="AUP1" t="s">
        <v>1350</v>
      </c>
      <c r="AUQ1" t="s">
        <v>1351</v>
      </c>
      <c r="AUR1" t="s">
        <v>1352</v>
      </c>
      <c r="AUS1" t="s">
        <v>1353</v>
      </c>
      <c r="AUT1" t="s">
        <v>1354</v>
      </c>
      <c r="AUU1" t="s">
        <v>1355</v>
      </c>
      <c r="AUV1" t="s">
        <v>1356</v>
      </c>
      <c r="AUW1" t="s">
        <v>1357</v>
      </c>
      <c r="AUX1" t="s">
        <v>1358</v>
      </c>
      <c r="AUY1" t="s">
        <v>1359</v>
      </c>
      <c r="AUZ1" t="s">
        <v>1360</v>
      </c>
      <c r="AVA1" t="s">
        <v>1361</v>
      </c>
      <c r="AVB1" t="s">
        <v>1362</v>
      </c>
      <c r="AVC1" t="s">
        <v>1363</v>
      </c>
      <c r="AVD1" t="s">
        <v>1364</v>
      </c>
      <c r="AVE1" t="s">
        <v>1365</v>
      </c>
      <c r="AVF1" t="s">
        <v>1366</v>
      </c>
      <c r="AVG1" t="s">
        <v>1367</v>
      </c>
      <c r="AVH1" t="s">
        <v>1368</v>
      </c>
      <c r="AVI1" t="s">
        <v>1369</v>
      </c>
      <c r="AVJ1" t="s">
        <v>1370</v>
      </c>
      <c r="AVK1" t="s">
        <v>1371</v>
      </c>
      <c r="AVL1" t="s">
        <v>1372</v>
      </c>
      <c r="AVM1" t="s">
        <v>1373</v>
      </c>
      <c r="AVN1" t="s">
        <v>1374</v>
      </c>
      <c r="AVO1" t="s">
        <v>1375</v>
      </c>
      <c r="AVP1" t="s">
        <v>1376</v>
      </c>
      <c r="AVQ1" t="s">
        <v>1377</v>
      </c>
      <c r="AVR1" t="s">
        <v>1378</v>
      </c>
      <c r="AVS1" t="s">
        <v>1379</v>
      </c>
      <c r="AVT1" t="s">
        <v>1380</v>
      </c>
      <c r="AVU1" t="s">
        <v>1381</v>
      </c>
      <c r="AVV1" t="s">
        <v>1382</v>
      </c>
      <c r="AVW1" t="s">
        <v>1383</v>
      </c>
      <c r="AVX1" t="s">
        <v>1384</v>
      </c>
      <c r="AVY1" t="s">
        <v>1385</v>
      </c>
      <c r="AVZ1" t="s">
        <v>1386</v>
      </c>
      <c r="AWA1" t="s">
        <v>1387</v>
      </c>
      <c r="AWB1" t="s">
        <v>1388</v>
      </c>
      <c r="AWC1" t="s">
        <v>1389</v>
      </c>
      <c r="AWD1" t="s">
        <v>1390</v>
      </c>
      <c r="AWE1" t="s">
        <v>1391</v>
      </c>
      <c r="AWF1" t="s">
        <v>1392</v>
      </c>
      <c r="AWG1" t="s">
        <v>1393</v>
      </c>
      <c r="AWH1" t="s">
        <v>1394</v>
      </c>
      <c r="AWI1" t="s">
        <v>1395</v>
      </c>
      <c r="AWJ1" t="s">
        <v>1396</v>
      </c>
      <c r="AWK1" t="s">
        <v>1397</v>
      </c>
      <c r="AWL1" t="s">
        <v>1398</v>
      </c>
      <c r="AWM1" t="s">
        <v>1399</v>
      </c>
      <c r="AWN1" t="s">
        <v>1400</v>
      </c>
      <c r="AWO1" t="s">
        <v>1401</v>
      </c>
      <c r="AWP1" t="s">
        <v>1402</v>
      </c>
      <c r="AWQ1" t="s">
        <v>1403</v>
      </c>
      <c r="AWR1" t="s">
        <v>1404</v>
      </c>
      <c r="AWS1" t="s">
        <v>1405</v>
      </c>
      <c r="AWT1" t="s">
        <v>1406</v>
      </c>
      <c r="AWU1" t="s">
        <v>1407</v>
      </c>
      <c r="AWV1" t="s">
        <v>1408</v>
      </c>
      <c r="AWW1" t="s">
        <v>1409</v>
      </c>
      <c r="AWX1" t="s">
        <v>1410</v>
      </c>
      <c r="AWY1" t="s">
        <v>1411</v>
      </c>
      <c r="AWZ1" t="s">
        <v>1412</v>
      </c>
      <c r="AXA1" t="s">
        <v>1413</v>
      </c>
      <c r="AXB1" t="s">
        <v>1414</v>
      </c>
      <c r="AXC1" t="s">
        <v>1415</v>
      </c>
      <c r="AXD1" t="s">
        <v>1416</v>
      </c>
      <c r="AXE1" t="s">
        <v>1417</v>
      </c>
      <c r="AXF1" t="s">
        <v>1418</v>
      </c>
      <c r="AXG1" t="s">
        <v>1419</v>
      </c>
      <c r="AXH1" t="s">
        <v>1420</v>
      </c>
      <c r="AXI1" t="s">
        <v>1421</v>
      </c>
      <c r="AXJ1" t="s">
        <v>1422</v>
      </c>
      <c r="AXK1" t="s">
        <v>1423</v>
      </c>
      <c r="AXL1" t="s">
        <v>1424</v>
      </c>
      <c r="AXM1" t="s">
        <v>1425</v>
      </c>
      <c r="AXN1" t="s">
        <v>1426</v>
      </c>
      <c r="AXO1" t="s">
        <v>1427</v>
      </c>
      <c r="AXP1" t="s">
        <v>1428</v>
      </c>
      <c r="AXQ1" t="s">
        <v>1429</v>
      </c>
      <c r="AXR1" t="s">
        <v>1430</v>
      </c>
      <c r="AXS1" t="s">
        <v>1431</v>
      </c>
      <c r="AXT1" t="s">
        <v>1432</v>
      </c>
      <c r="AXU1" t="s">
        <v>1433</v>
      </c>
      <c r="AXV1" t="s">
        <v>1434</v>
      </c>
      <c r="AXW1" t="s">
        <v>1435</v>
      </c>
      <c r="AXX1" t="s">
        <v>1436</v>
      </c>
      <c r="AXY1" t="s">
        <v>1437</v>
      </c>
      <c r="AXZ1" t="s">
        <v>1438</v>
      </c>
      <c r="AYA1" t="s">
        <v>1439</v>
      </c>
      <c r="AYB1" t="s">
        <v>1440</v>
      </c>
      <c r="AYC1" t="s">
        <v>1441</v>
      </c>
      <c r="AYD1" t="s">
        <v>1442</v>
      </c>
      <c r="AYE1" t="s">
        <v>1443</v>
      </c>
      <c r="AYF1" t="s">
        <v>1444</v>
      </c>
      <c r="AYG1" t="s">
        <v>1445</v>
      </c>
      <c r="AYH1" t="s">
        <v>1446</v>
      </c>
      <c r="AYI1" t="s">
        <v>1447</v>
      </c>
      <c r="AYJ1" t="s">
        <v>1448</v>
      </c>
      <c r="AYK1" t="s">
        <v>1449</v>
      </c>
      <c r="AYL1" t="s">
        <v>1450</v>
      </c>
      <c r="AYM1" t="s">
        <v>1451</v>
      </c>
      <c r="AYN1" t="s">
        <v>1452</v>
      </c>
      <c r="AYO1" t="s">
        <v>1453</v>
      </c>
      <c r="AYP1" t="s">
        <v>1454</v>
      </c>
      <c r="AYQ1" t="s">
        <v>1455</v>
      </c>
      <c r="AYR1" t="s">
        <v>1456</v>
      </c>
      <c r="AYS1" t="s">
        <v>1457</v>
      </c>
      <c r="AYT1" t="s">
        <v>1458</v>
      </c>
      <c r="AYU1" t="s">
        <v>1459</v>
      </c>
      <c r="AYV1" t="s">
        <v>1460</v>
      </c>
      <c r="AYW1" t="s">
        <v>1461</v>
      </c>
      <c r="AYX1" t="s">
        <v>1462</v>
      </c>
      <c r="AYY1" t="s">
        <v>1463</v>
      </c>
      <c r="AYZ1" t="s">
        <v>1464</v>
      </c>
      <c r="AZA1" t="s">
        <v>1465</v>
      </c>
      <c r="AZB1" t="s">
        <v>1466</v>
      </c>
      <c r="AZC1" t="s">
        <v>1467</v>
      </c>
      <c r="AZD1" t="s">
        <v>1468</v>
      </c>
      <c r="AZE1" t="s">
        <v>1469</v>
      </c>
      <c r="AZF1" t="s">
        <v>1470</v>
      </c>
      <c r="AZG1" t="s">
        <v>1471</v>
      </c>
      <c r="AZH1" t="s">
        <v>1472</v>
      </c>
      <c r="AZI1" t="s">
        <v>1473</v>
      </c>
      <c r="AZJ1" t="s">
        <v>1474</v>
      </c>
      <c r="AZK1" t="s">
        <v>1475</v>
      </c>
      <c r="AZL1" t="s">
        <v>1476</v>
      </c>
      <c r="AZM1" t="s">
        <v>1477</v>
      </c>
      <c r="AZN1" t="s">
        <v>1478</v>
      </c>
      <c r="AZO1" t="s">
        <v>1479</v>
      </c>
      <c r="AZP1" t="s">
        <v>1480</v>
      </c>
      <c r="AZQ1" t="s">
        <v>1481</v>
      </c>
      <c r="AZR1" t="s">
        <v>1482</v>
      </c>
      <c r="AZS1" t="s">
        <v>1483</v>
      </c>
      <c r="AZT1" t="s">
        <v>1484</v>
      </c>
      <c r="AZU1" t="s">
        <v>1485</v>
      </c>
      <c r="AZV1" t="s">
        <v>1486</v>
      </c>
      <c r="AZW1" t="s">
        <v>1487</v>
      </c>
      <c r="AZX1" t="s">
        <v>1488</v>
      </c>
      <c r="AZY1" t="s">
        <v>1489</v>
      </c>
      <c r="AZZ1" t="s">
        <v>1490</v>
      </c>
      <c r="BAA1" t="s">
        <v>1491</v>
      </c>
      <c r="BAB1" t="s">
        <v>1492</v>
      </c>
      <c r="BAC1" t="s">
        <v>1493</v>
      </c>
      <c r="BAD1" t="s">
        <v>1494</v>
      </c>
      <c r="BAE1" t="s">
        <v>1495</v>
      </c>
      <c r="BAF1" t="s">
        <v>1496</v>
      </c>
      <c r="BAG1" t="s">
        <v>1497</v>
      </c>
      <c r="BAH1" t="s">
        <v>1498</v>
      </c>
      <c r="BAI1" t="s">
        <v>1499</v>
      </c>
      <c r="BAJ1" t="s">
        <v>1500</v>
      </c>
      <c r="BAK1" t="s">
        <v>1501</v>
      </c>
      <c r="BAL1" t="s">
        <v>1502</v>
      </c>
      <c r="BAM1" t="s">
        <v>1503</v>
      </c>
      <c r="BAN1" t="s">
        <v>1504</v>
      </c>
      <c r="BAO1" t="s">
        <v>1505</v>
      </c>
      <c r="BAP1" t="s">
        <v>1506</v>
      </c>
      <c r="BAQ1" t="s">
        <v>1507</v>
      </c>
      <c r="BAR1" t="s">
        <v>1508</v>
      </c>
      <c r="BAS1" t="s">
        <v>1509</v>
      </c>
      <c r="BAT1" t="s">
        <v>1510</v>
      </c>
      <c r="BAU1" t="s">
        <v>1511</v>
      </c>
      <c r="BAV1" t="s">
        <v>1512</v>
      </c>
      <c r="BAW1" t="s">
        <v>1513</v>
      </c>
      <c r="BAX1" t="s">
        <v>1514</v>
      </c>
      <c r="BAY1" t="s">
        <v>1515</v>
      </c>
      <c r="BAZ1" t="s">
        <v>1516</v>
      </c>
      <c r="BBA1" t="s">
        <v>1517</v>
      </c>
      <c r="BBB1" t="s">
        <v>1518</v>
      </c>
      <c r="BBC1" t="s">
        <v>1519</v>
      </c>
      <c r="BBD1" t="s">
        <v>1520</v>
      </c>
      <c r="BBE1" t="s">
        <v>1521</v>
      </c>
      <c r="BBF1" t="s">
        <v>1522</v>
      </c>
      <c r="BBG1" t="s">
        <v>1523</v>
      </c>
      <c r="BBH1" t="s">
        <v>1524</v>
      </c>
      <c r="BBI1" t="s">
        <v>1525</v>
      </c>
      <c r="BBJ1" t="s">
        <v>1526</v>
      </c>
      <c r="BBK1" t="s">
        <v>1527</v>
      </c>
      <c r="BBL1" t="s">
        <v>1528</v>
      </c>
      <c r="BBM1" t="s">
        <v>1529</v>
      </c>
      <c r="BBN1" t="s">
        <v>1530</v>
      </c>
      <c r="BBO1" t="s">
        <v>1531</v>
      </c>
      <c r="BBP1" t="s">
        <v>1532</v>
      </c>
      <c r="BBQ1" t="s">
        <v>1533</v>
      </c>
      <c r="BBR1" t="s">
        <v>1534</v>
      </c>
      <c r="BBS1" t="s">
        <v>1535</v>
      </c>
      <c r="BBT1" t="s">
        <v>1536</v>
      </c>
      <c r="BBU1" t="s">
        <v>1537</v>
      </c>
      <c r="BBV1" t="s">
        <v>1538</v>
      </c>
      <c r="BBW1" t="s">
        <v>1539</v>
      </c>
      <c r="BBX1" t="s">
        <v>1540</v>
      </c>
      <c r="BBY1" t="s">
        <v>1541</v>
      </c>
      <c r="BBZ1" t="s">
        <v>1542</v>
      </c>
      <c r="BCA1" t="s">
        <v>1543</v>
      </c>
      <c r="BCB1" t="s">
        <v>1544</v>
      </c>
      <c r="BCC1" t="s">
        <v>1545</v>
      </c>
      <c r="BCD1" t="s">
        <v>1546</v>
      </c>
      <c r="BCE1" t="s">
        <v>1547</v>
      </c>
      <c r="BCF1" t="s">
        <v>1548</v>
      </c>
      <c r="BCG1" t="s">
        <v>1549</v>
      </c>
      <c r="BCH1" t="s">
        <v>1550</v>
      </c>
      <c r="BCI1" t="s">
        <v>1551</v>
      </c>
      <c r="BCJ1" t="s">
        <v>1552</v>
      </c>
      <c r="BCK1" t="s">
        <v>1553</v>
      </c>
      <c r="BCL1" t="s">
        <v>1554</v>
      </c>
      <c r="BCM1" t="s">
        <v>1555</v>
      </c>
      <c r="BCN1" t="s">
        <v>1556</v>
      </c>
      <c r="BCO1" t="s">
        <v>1557</v>
      </c>
      <c r="BCP1" t="s">
        <v>1558</v>
      </c>
      <c r="BCQ1" t="s">
        <v>1559</v>
      </c>
      <c r="BCR1" t="s">
        <v>1560</v>
      </c>
      <c r="BCS1" t="s">
        <v>1561</v>
      </c>
      <c r="BCT1" t="s">
        <v>1562</v>
      </c>
      <c r="BCU1" t="s">
        <v>1563</v>
      </c>
      <c r="BCV1" t="s">
        <v>1564</v>
      </c>
      <c r="BCW1" t="s">
        <v>1565</v>
      </c>
      <c r="BCX1" t="s">
        <v>1566</v>
      </c>
      <c r="BCY1" t="s">
        <v>1567</v>
      </c>
      <c r="BCZ1" t="s">
        <v>1568</v>
      </c>
      <c r="BDA1" t="s">
        <v>1569</v>
      </c>
      <c r="BDB1" t="s">
        <v>1570</v>
      </c>
      <c r="BDC1" t="s">
        <v>1571</v>
      </c>
      <c r="BDD1" t="s">
        <v>1572</v>
      </c>
      <c r="BDE1" t="s">
        <v>1573</v>
      </c>
      <c r="BDF1" t="s">
        <v>1574</v>
      </c>
      <c r="BDG1" t="s">
        <v>1575</v>
      </c>
      <c r="BDH1" t="s">
        <v>1576</v>
      </c>
      <c r="BDI1" t="s">
        <v>1577</v>
      </c>
      <c r="BDJ1" t="s">
        <v>1578</v>
      </c>
      <c r="BDK1" t="s">
        <v>1579</v>
      </c>
      <c r="BDL1" t="s">
        <v>1580</v>
      </c>
      <c r="BDM1" t="s">
        <v>1581</v>
      </c>
      <c r="BDN1" t="s">
        <v>1582</v>
      </c>
      <c r="BDO1" t="s">
        <v>1583</v>
      </c>
      <c r="BDP1" t="s">
        <v>1584</v>
      </c>
      <c r="BDQ1" t="s">
        <v>1585</v>
      </c>
      <c r="BDR1" t="s">
        <v>1586</v>
      </c>
      <c r="BDS1" t="s">
        <v>1587</v>
      </c>
      <c r="BDT1" t="s">
        <v>1588</v>
      </c>
      <c r="BDU1" t="s">
        <v>1589</v>
      </c>
      <c r="BDV1" t="s">
        <v>1590</v>
      </c>
      <c r="BDW1" t="s">
        <v>1591</v>
      </c>
      <c r="BDX1" t="s">
        <v>1592</v>
      </c>
      <c r="BDY1" t="s">
        <v>1593</v>
      </c>
      <c r="BDZ1" t="s">
        <v>1594</v>
      </c>
      <c r="BEA1" t="s">
        <v>1595</v>
      </c>
      <c r="BEB1" t="s">
        <v>1596</v>
      </c>
      <c r="BEC1" t="s">
        <v>1597</v>
      </c>
      <c r="BED1" t="s">
        <v>1598</v>
      </c>
      <c r="BEE1" t="s">
        <v>1599</v>
      </c>
      <c r="BEF1" t="s">
        <v>1600</v>
      </c>
      <c r="BEG1" t="s">
        <v>1601</v>
      </c>
      <c r="BEH1" t="s">
        <v>1602</v>
      </c>
      <c r="BEI1" t="s">
        <v>1603</v>
      </c>
      <c r="BEJ1" t="s">
        <v>1604</v>
      </c>
      <c r="BEK1" t="s">
        <v>1605</v>
      </c>
      <c r="BEL1" t="s">
        <v>1606</v>
      </c>
      <c r="BEM1" t="s">
        <v>1607</v>
      </c>
      <c r="BEN1" t="s">
        <v>1608</v>
      </c>
      <c r="BEO1" t="s">
        <v>1609</v>
      </c>
      <c r="BEP1" t="s">
        <v>1610</v>
      </c>
      <c r="BEQ1" t="s">
        <v>1611</v>
      </c>
      <c r="BER1" t="s">
        <v>1612</v>
      </c>
      <c r="BES1" t="s">
        <v>1613</v>
      </c>
      <c r="BET1" t="s">
        <v>1614</v>
      </c>
      <c r="BEU1" t="s">
        <v>1615</v>
      </c>
      <c r="BEV1" t="s">
        <v>1616</v>
      </c>
      <c r="BEW1" t="s">
        <v>1617</v>
      </c>
      <c r="BEX1" t="s">
        <v>1618</v>
      </c>
      <c r="BEY1" t="s">
        <v>1619</v>
      </c>
      <c r="BEZ1" t="s">
        <v>1620</v>
      </c>
      <c r="BFA1" t="s">
        <v>1621</v>
      </c>
      <c r="BFB1" t="s">
        <v>1622</v>
      </c>
      <c r="BFC1" t="s">
        <v>1623</v>
      </c>
      <c r="BFD1" t="s">
        <v>1624</v>
      </c>
      <c r="BFE1" t="s">
        <v>1625</v>
      </c>
      <c r="BFF1" t="s">
        <v>1626</v>
      </c>
      <c r="BFG1" t="s">
        <v>1627</v>
      </c>
      <c r="BFH1" t="s">
        <v>1628</v>
      </c>
      <c r="BFI1" t="s">
        <v>1629</v>
      </c>
      <c r="BFJ1" t="s">
        <v>1630</v>
      </c>
      <c r="BFK1" t="s">
        <v>1631</v>
      </c>
      <c r="BFL1" t="s">
        <v>1632</v>
      </c>
      <c r="BFM1" t="s">
        <v>1633</v>
      </c>
      <c r="BFN1" t="s">
        <v>1634</v>
      </c>
      <c r="BFO1" t="s">
        <v>1635</v>
      </c>
      <c r="BFP1" t="s">
        <v>1636</v>
      </c>
      <c r="BFQ1" t="s">
        <v>1637</v>
      </c>
      <c r="BFR1" t="s">
        <v>1638</v>
      </c>
      <c r="BFS1" t="s">
        <v>1639</v>
      </c>
      <c r="BFT1" t="s">
        <v>1640</v>
      </c>
      <c r="BFU1" t="s">
        <v>1641</v>
      </c>
      <c r="BFV1" t="s">
        <v>1642</v>
      </c>
      <c r="BFW1" t="s">
        <v>1643</v>
      </c>
      <c r="BFX1" t="s">
        <v>1644</v>
      </c>
      <c r="BFY1" t="s">
        <v>1645</v>
      </c>
      <c r="BFZ1" t="s">
        <v>1646</v>
      </c>
      <c r="BGA1" t="s">
        <v>1647</v>
      </c>
      <c r="BGB1" t="s">
        <v>1648</v>
      </c>
      <c r="BGC1" t="s">
        <v>1649</v>
      </c>
      <c r="BGD1" t="s">
        <v>1650</v>
      </c>
      <c r="BGE1" t="s">
        <v>1651</v>
      </c>
      <c r="BGF1" t="s">
        <v>1652</v>
      </c>
      <c r="BGG1" t="s">
        <v>1653</v>
      </c>
      <c r="BGH1" t="s">
        <v>1654</v>
      </c>
      <c r="BGI1" t="s">
        <v>1655</v>
      </c>
      <c r="BGJ1" t="s">
        <v>1656</v>
      </c>
      <c r="BGK1" t="s">
        <v>1657</v>
      </c>
      <c r="BGL1" t="s">
        <v>1658</v>
      </c>
      <c r="BGM1" t="s">
        <v>1659</v>
      </c>
      <c r="BGN1" t="s">
        <v>1660</v>
      </c>
      <c r="BGO1" t="s">
        <v>1661</v>
      </c>
      <c r="BGP1" t="s">
        <v>1662</v>
      </c>
      <c r="BGQ1" t="s">
        <v>1663</v>
      </c>
      <c r="BGR1" t="s">
        <v>1664</v>
      </c>
      <c r="BGS1" t="s">
        <v>1665</v>
      </c>
      <c r="BGT1" t="s">
        <v>1666</v>
      </c>
      <c r="BGU1" t="s">
        <v>1667</v>
      </c>
      <c r="BGV1" t="s">
        <v>1668</v>
      </c>
      <c r="BGW1" t="s">
        <v>1669</v>
      </c>
      <c r="BGX1" t="s">
        <v>1670</v>
      </c>
      <c r="BGY1" t="s">
        <v>1671</v>
      </c>
      <c r="BGZ1" t="s">
        <v>1672</v>
      </c>
      <c r="BHA1" t="s">
        <v>1673</v>
      </c>
      <c r="BHB1" t="s">
        <v>1674</v>
      </c>
      <c r="BHC1" t="s">
        <v>1675</v>
      </c>
      <c r="BHD1" t="s">
        <v>1676</v>
      </c>
      <c r="BHE1" t="s">
        <v>1677</v>
      </c>
      <c r="BHF1" t="s">
        <v>1678</v>
      </c>
      <c r="BHG1" t="s">
        <v>1679</v>
      </c>
      <c r="BHH1" t="s">
        <v>1680</v>
      </c>
      <c r="BHI1" t="s">
        <v>1681</v>
      </c>
      <c r="BHJ1" t="s">
        <v>1682</v>
      </c>
      <c r="BHK1" t="s">
        <v>1683</v>
      </c>
      <c r="BHL1" t="s">
        <v>1684</v>
      </c>
      <c r="BHM1" t="s">
        <v>1685</v>
      </c>
      <c r="BHN1" t="s">
        <v>1686</v>
      </c>
      <c r="BHO1" t="s">
        <v>1687</v>
      </c>
      <c r="BHP1" t="s">
        <v>1688</v>
      </c>
      <c r="BHQ1" t="s">
        <v>1689</v>
      </c>
      <c r="BHR1" t="s">
        <v>1690</v>
      </c>
      <c r="BHS1" t="s">
        <v>1691</v>
      </c>
      <c r="BHT1" t="s">
        <v>1692</v>
      </c>
      <c r="BHU1" t="s">
        <v>1693</v>
      </c>
      <c r="BHV1" t="s">
        <v>1694</v>
      </c>
      <c r="BHW1" t="s">
        <v>1695</v>
      </c>
      <c r="BHX1" t="s">
        <v>1696</v>
      </c>
      <c r="BHY1" t="s">
        <v>1697</v>
      </c>
      <c r="BHZ1" t="s">
        <v>1698</v>
      </c>
      <c r="BIA1" t="s">
        <v>1699</v>
      </c>
      <c r="BIB1" t="s">
        <v>1700</v>
      </c>
      <c r="BIC1" t="s">
        <v>1701</v>
      </c>
      <c r="BID1" t="s">
        <v>1702</v>
      </c>
      <c r="BIE1" t="s">
        <v>1703</v>
      </c>
      <c r="BIF1" t="s">
        <v>1704</v>
      </c>
      <c r="BIG1" t="s">
        <v>1705</v>
      </c>
      <c r="BIH1" t="s">
        <v>1706</v>
      </c>
      <c r="BII1" t="s">
        <v>1707</v>
      </c>
      <c r="BIJ1" t="s">
        <v>1708</v>
      </c>
      <c r="BIK1" t="s">
        <v>1709</v>
      </c>
      <c r="BIL1" t="s">
        <v>1710</v>
      </c>
      <c r="BIM1" t="s">
        <v>1711</v>
      </c>
      <c r="BIN1" t="s">
        <v>1712</v>
      </c>
      <c r="BIO1" t="s">
        <v>1713</v>
      </c>
      <c r="BIP1" t="s">
        <v>1714</v>
      </c>
      <c r="BIQ1" t="s">
        <v>1715</v>
      </c>
      <c r="BIR1" t="s">
        <v>1716</v>
      </c>
      <c r="BIS1" t="s">
        <v>1717</v>
      </c>
      <c r="BIT1" t="s">
        <v>1718</v>
      </c>
      <c r="BIU1" t="s">
        <v>1719</v>
      </c>
      <c r="BIV1" t="s">
        <v>1720</v>
      </c>
      <c r="BIW1" t="s">
        <v>1721</v>
      </c>
      <c r="BIX1" t="s">
        <v>1722</v>
      </c>
      <c r="BIY1" t="s">
        <v>1723</v>
      </c>
      <c r="BIZ1" t="s">
        <v>1724</v>
      </c>
      <c r="BJA1" t="s">
        <v>1725</v>
      </c>
      <c r="BJB1" t="s">
        <v>1726</v>
      </c>
      <c r="BJC1" t="s">
        <v>1727</v>
      </c>
      <c r="BJD1" t="s">
        <v>1728</v>
      </c>
      <c r="BJE1" t="s">
        <v>1729</v>
      </c>
      <c r="BJF1" t="s">
        <v>1730</v>
      </c>
      <c r="BJG1" t="s">
        <v>1731</v>
      </c>
      <c r="BJH1" t="s">
        <v>1732</v>
      </c>
      <c r="BJI1" t="s">
        <v>1733</v>
      </c>
      <c r="BJJ1" t="s">
        <v>1734</v>
      </c>
      <c r="BJK1" t="s">
        <v>1735</v>
      </c>
      <c r="BJL1" t="s">
        <v>1736</v>
      </c>
      <c r="BJM1" t="s">
        <v>1737</v>
      </c>
      <c r="BJN1" t="s">
        <v>1738</v>
      </c>
      <c r="BJO1" t="s">
        <v>1739</v>
      </c>
      <c r="BJP1" t="s">
        <v>1740</v>
      </c>
      <c r="BJQ1" t="s">
        <v>1741</v>
      </c>
      <c r="BJR1" t="s">
        <v>1742</v>
      </c>
      <c r="BJS1" t="s">
        <v>1743</v>
      </c>
      <c r="BJT1" t="s">
        <v>1744</v>
      </c>
      <c r="BJU1" t="s">
        <v>1745</v>
      </c>
      <c r="BJV1" t="s">
        <v>1746</v>
      </c>
      <c r="BJW1" t="s">
        <v>1747</v>
      </c>
      <c r="BJX1" t="s">
        <v>1748</v>
      </c>
      <c r="BJY1" t="s">
        <v>1749</v>
      </c>
      <c r="BJZ1" t="s">
        <v>1750</v>
      </c>
      <c r="BKA1" t="s">
        <v>1751</v>
      </c>
      <c r="BKB1" t="s">
        <v>1752</v>
      </c>
      <c r="BKC1" t="s">
        <v>1753</v>
      </c>
      <c r="BKD1" t="s">
        <v>1754</v>
      </c>
      <c r="BKE1" t="s">
        <v>1755</v>
      </c>
      <c r="BKF1" t="s">
        <v>1756</v>
      </c>
      <c r="BKG1" t="s">
        <v>1757</v>
      </c>
      <c r="BKH1" t="s">
        <v>1758</v>
      </c>
      <c r="BKI1" t="s">
        <v>1759</v>
      </c>
      <c r="BKJ1" t="s">
        <v>1760</v>
      </c>
      <c r="BKK1" t="s">
        <v>1761</v>
      </c>
      <c r="BKL1" t="s">
        <v>1762</v>
      </c>
      <c r="BKM1" t="s">
        <v>1763</v>
      </c>
      <c r="BKN1" t="s">
        <v>1764</v>
      </c>
      <c r="BKO1" t="s">
        <v>1765</v>
      </c>
      <c r="BKP1" t="s">
        <v>1766</v>
      </c>
      <c r="BKQ1" t="s">
        <v>1767</v>
      </c>
      <c r="BKR1" t="s">
        <v>1768</v>
      </c>
      <c r="BKS1" t="s">
        <v>1769</v>
      </c>
      <c r="BKT1" t="s">
        <v>1770</v>
      </c>
      <c r="BKU1" t="s">
        <v>1771</v>
      </c>
      <c r="BKV1" t="s">
        <v>1772</v>
      </c>
      <c r="BKW1" t="s">
        <v>1773</v>
      </c>
      <c r="BKX1" t="s">
        <v>1774</v>
      </c>
      <c r="BKY1" t="s">
        <v>1775</v>
      </c>
      <c r="BKZ1" t="s">
        <v>1776</v>
      </c>
      <c r="BLA1" t="s">
        <v>1777</v>
      </c>
      <c r="BLB1" t="s">
        <v>1778</v>
      </c>
      <c r="BLC1" t="s">
        <v>1779</v>
      </c>
      <c r="BLD1" t="s">
        <v>1780</v>
      </c>
      <c r="BLE1" t="s">
        <v>1781</v>
      </c>
      <c r="BLF1" t="s">
        <v>1782</v>
      </c>
      <c r="BLG1" t="s">
        <v>1783</v>
      </c>
      <c r="BLH1" t="s">
        <v>1784</v>
      </c>
      <c r="BLI1" t="s">
        <v>1785</v>
      </c>
      <c r="BLJ1" t="s">
        <v>1786</v>
      </c>
      <c r="BLK1" t="s">
        <v>1787</v>
      </c>
      <c r="BLL1" t="s">
        <v>1788</v>
      </c>
      <c r="BLM1" t="s">
        <v>1789</v>
      </c>
      <c r="BLN1" t="s">
        <v>1790</v>
      </c>
      <c r="BLO1" t="s">
        <v>1791</v>
      </c>
      <c r="BLP1" t="s">
        <v>1792</v>
      </c>
      <c r="BLQ1" t="s">
        <v>1793</v>
      </c>
      <c r="BLR1" t="s">
        <v>1794</v>
      </c>
      <c r="BLS1" t="s">
        <v>1795</v>
      </c>
      <c r="BLT1" t="s">
        <v>1796</v>
      </c>
      <c r="BLU1" t="s">
        <v>1797</v>
      </c>
      <c r="BLV1" t="s">
        <v>1798</v>
      </c>
      <c r="BLW1" t="s">
        <v>1799</v>
      </c>
      <c r="BLX1" t="s">
        <v>1800</v>
      </c>
      <c r="BLY1" t="s">
        <v>1801</v>
      </c>
      <c r="BLZ1" t="s">
        <v>1802</v>
      </c>
      <c r="BMA1" t="s">
        <v>1803</v>
      </c>
      <c r="BMB1" t="s">
        <v>1804</v>
      </c>
      <c r="BMC1" t="s">
        <v>1805</v>
      </c>
      <c r="BMD1" t="s">
        <v>1806</v>
      </c>
      <c r="BME1" t="s">
        <v>1807</v>
      </c>
      <c r="BMF1" t="s">
        <v>1808</v>
      </c>
      <c r="BMG1" t="s">
        <v>1809</v>
      </c>
      <c r="BMH1" t="s">
        <v>1810</v>
      </c>
      <c r="BMI1" t="s">
        <v>1811</v>
      </c>
      <c r="BMJ1" t="s">
        <v>1812</v>
      </c>
      <c r="BMK1" t="s">
        <v>1813</v>
      </c>
      <c r="BML1" t="s">
        <v>1814</v>
      </c>
      <c r="BMM1" t="s">
        <v>1815</v>
      </c>
      <c r="BMN1" t="s">
        <v>1816</v>
      </c>
      <c r="BMO1" t="s">
        <v>1817</v>
      </c>
      <c r="BMP1" t="s">
        <v>1818</v>
      </c>
      <c r="BMQ1" t="s">
        <v>1819</v>
      </c>
      <c r="BMR1" t="s">
        <v>1820</v>
      </c>
      <c r="BMS1" t="s">
        <v>1821</v>
      </c>
      <c r="BMT1" t="s">
        <v>1822</v>
      </c>
      <c r="BMU1" t="s">
        <v>1823</v>
      </c>
      <c r="BMV1" t="s">
        <v>1824</v>
      </c>
      <c r="BMW1" t="s">
        <v>1825</v>
      </c>
      <c r="BMX1" t="s">
        <v>1826</v>
      </c>
      <c r="BMY1" t="s">
        <v>1827</v>
      </c>
      <c r="BMZ1" t="s">
        <v>1828</v>
      </c>
      <c r="BNA1" t="s">
        <v>1829</v>
      </c>
      <c r="BNB1" t="s">
        <v>1830</v>
      </c>
      <c r="BNC1" t="s">
        <v>1831</v>
      </c>
      <c r="BND1" t="s">
        <v>1832</v>
      </c>
      <c r="BNE1" t="s">
        <v>1833</v>
      </c>
      <c r="BNF1" t="s">
        <v>1834</v>
      </c>
      <c r="BNG1" t="s">
        <v>1835</v>
      </c>
      <c r="BNH1" t="s">
        <v>1836</v>
      </c>
      <c r="BNI1" t="s">
        <v>1837</v>
      </c>
      <c r="BNJ1" t="s">
        <v>1838</v>
      </c>
      <c r="BNK1" t="s">
        <v>1839</v>
      </c>
      <c r="BNL1" t="s">
        <v>1840</v>
      </c>
      <c r="BNM1" t="s">
        <v>1841</v>
      </c>
      <c r="BNN1" t="s">
        <v>1842</v>
      </c>
      <c r="BNO1" t="s">
        <v>1843</v>
      </c>
      <c r="BNP1" t="s">
        <v>1844</v>
      </c>
      <c r="BNQ1" t="s">
        <v>1845</v>
      </c>
      <c r="BNR1" t="s">
        <v>1846</v>
      </c>
      <c r="BNS1" t="s">
        <v>1847</v>
      </c>
      <c r="BNT1" t="s">
        <v>1848</v>
      </c>
      <c r="BNU1" t="s">
        <v>1849</v>
      </c>
      <c r="BNV1" t="s">
        <v>1850</v>
      </c>
      <c r="BNW1" t="s">
        <v>1851</v>
      </c>
      <c r="BNX1" t="s">
        <v>1852</v>
      </c>
      <c r="BNY1" t="s">
        <v>1853</v>
      </c>
      <c r="BNZ1" t="s">
        <v>1854</v>
      </c>
      <c r="BOA1" t="s">
        <v>1855</v>
      </c>
      <c r="BOB1" t="s">
        <v>1856</v>
      </c>
      <c r="BOC1" t="s">
        <v>1857</v>
      </c>
      <c r="BOD1" t="s">
        <v>1858</v>
      </c>
      <c r="BOE1" t="s">
        <v>1859</v>
      </c>
      <c r="BOF1" t="s">
        <v>1860</v>
      </c>
      <c r="BOG1" t="s">
        <v>1861</v>
      </c>
      <c r="BOH1" t="s">
        <v>1862</v>
      </c>
      <c r="BOI1" t="s">
        <v>1863</v>
      </c>
      <c r="BOJ1" t="s">
        <v>1864</v>
      </c>
      <c r="BOK1" t="s">
        <v>1865</v>
      </c>
      <c r="BOL1" t="s">
        <v>1866</v>
      </c>
      <c r="BOM1" t="s">
        <v>1867</v>
      </c>
      <c r="BON1" t="s">
        <v>1868</v>
      </c>
      <c r="BOO1" t="s">
        <v>1869</v>
      </c>
      <c r="BOP1" t="s">
        <v>1870</v>
      </c>
      <c r="BOQ1" t="s">
        <v>1871</v>
      </c>
      <c r="BOR1" t="s">
        <v>1872</v>
      </c>
      <c r="BOS1" t="s">
        <v>1873</v>
      </c>
      <c r="BOT1" t="s">
        <v>1874</v>
      </c>
      <c r="BOU1" t="s">
        <v>1875</v>
      </c>
      <c r="BOV1" t="s">
        <v>1876</v>
      </c>
      <c r="BOW1" t="s">
        <v>1877</v>
      </c>
      <c r="BOX1" t="s">
        <v>1878</v>
      </c>
      <c r="BOY1" t="s">
        <v>1879</v>
      </c>
      <c r="BOZ1" t="s">
        <v>1880</v>
      </c>
      <c r="BPA1" t="s">
        <v>1881</v>
      </c>
      <c r="BPB1" t="s">
        <v>1882</v>
      </c>
      <c r="BPC1" t="s">
        <v>1883</v>
      </c>
      <c r="BPD1" t="s">
        <v>1884</v>
      </c>
      <c r="BPE1" t="s">
        <v>1885</v>
      </c>
      <c r="BPF1" t="s">
        <v>1886</v>
      </c>
      <c r="BPG1" t="s">
        <v>1887</v>
      </c>
      <c r="BPH1" t="s">
        <v>1888</v>
      </c>
      <c r="BPI1" t="s">
        <v>1889</v>
      </c>
      <c r="BPJ1" t="s">
        <v>1890</v>
      </c>
      <c r="BPK1" t="s">
        <v>1891</v>
      </c>
      <c r="BPL1" t="s">
        <v>1892</v>
      </c>
      <c r="BPM1" t="s">
        <v>1893</v>
      </c>
      <c r="BPN1" t="s">
        <v>1894</v>
      </c>
      <c r="BPO1" t="s">
        <v>1895</v>
      </c>
      <c r="BPP1" t="s">
        <v>1896</v>
      </c>
      <c r="BPQ1" t="s">
        <v>1897</v>
      </c>
      <c r="BPR1" t="s">
        <v>1898</v>
      </c>
      <c r="BPS1" t="s">
        <v>1899</v>
      </c>
      <c r="BPT1" t="s">
        <v>1900</v>
      </c>
      <c r="BPU1" t="s">
        <v>1901</v>
      </c>
      <c r="BPV1" t="s">
        <v>1902</v>
      </c>
      <c r="BPW1" t="s">
        <v>1903</v>
      </c>
      <c r="BPX1" t="s">
        <v>1904</v>
      </c>
      <c r="BPY1" t="s">
        <v>1905</v>
      </c>
      <c r="BPZ1" t="s">
        <v>1906</v>
      </c>
      <c r="BQA1" t="s">
        <v>1907</v>
      </c>
      <c r="BQB1" t="s">
        <v>1908</v>
      </c>
      <c r="BQC1" t="s">
        <v>1909</v>
      </c>
      <c r="BQD1" t="s">
        <v>1910</v>
      </c>
      <c r="BQE1" t="s">
        <v>1911</v>
      </c>
      <c r="BQF1" t="s">
        <v>1912</v>
      </c>
      <c r="BQG1" t="s">
        <v>1913</v>
      </c>
      <c r="BQH1" t="s">
        <v>1914</v>
      </c>
      <c r="BQI1" t="s">
        <v>1915</v>
      </c>
      <c r="BQJ1" t="s">
        <v>1916</v>
      </c>
      <c r="BQK1" t="s">
        <v>1917</v>
      </c>
      <c r="BQL1" t="s">
        <v>1918</v>
      </c>
      <c r="BQM1" t="s">
        <v>1919</v>
      </c>
      <c r="BQN1" t="s">
        <v>1920</v>
      </c>
      <c r="BQO1" t="s">
        <v>1921</v>
      </c>
      <c r="BQP1" t="s">
        <v>1922</v>
      </c>
      <c r="BQQ1" t="s">
        <v>1923</v>
      </c>
      <c r="BQR1" t="s">
        <v>1924</v>
      </c>
      <c r="BQS1" t="s">
        <v>1925</v>
      </c>
      <c r="BQT1" t="s">
        <v>1926</v>
      </c>
      <c r="BQU1" t="s">
        <v>1927</v>
      </c>
      <c r="BQV1" t="s">
        <v>1928</v>
      </c>
      <c r="BQW1" t="s">
        <v>1929</v>
      </c>
      <c r="BQX1" t="s">
        <v>1930</v>
      </c>
      <c r="BQY1" t="s">
        <v>1931</v>
      </c>
      <c r="BQZ1" t="s">
        <v>1932</v>
      </c>
      <c r="BRA1" t="s">
        <v>1933</v>
      </c>
      <c r="BRB1" t="s">
        <v>1934</v>
      </c>
      <c r="BRC1" t="s">
        <v>1935</v>
      </c>
      <c r="BRD1" t="s">
        <v>1936</v>
      </c>
      <c r="BRE1" t="s">
        <v>1937</v>
      </c>
      <c r="BRF1" t="s">
        <v>1938</v>
      </c>
      <c r="BRG1" t="s">
        <v>1939</v>
      </c>
      <c r="BRH1" t="s">
        <v>1940</v>
      </c>
      <c r="BRI1" t="s">
        <v>1941</v>
      </c>
      <c r="BRJ1" t="s">
        <v>1942</v>
      </c>
      <c r="BRK1" t="s">
        <v>1943</v>
      </c>
      <c r="BRL1" t="s">
        <v>1944</v>
      </c>
      <c r="BRM1" t="s">
        <v>1945</v>
      </c>
      <c r="BRN1" t="s">
        <v>1946</v>
      </c>
      <c r="BRO1" t="s">
        <v>1947</v>
      </c>
      <c r="BRP1" t="s">
        <v>1948</v>
      </c>
      <c r="BRQ1" t="s">
        <v>1949</v>
      </c>
      <c r="BRR1" t="s">
        <v>1950</v>
      </c>
      <c r="BRS1" t="s">
        <v>1951</v>
      </c>
      <c r="BRT1" t="s">
        <v>1952</v>
      </c>
      <c r="BRU1" t="s">
        <v>1953</v>
      </c>
      <c r="BRV1" t="s">
        <v>1954</v>
      </c>
      <c r="BRW1" t="s">
        <v>1955</v>
      </c>
      <c r="BRX1" t="s">
        <v>1956</v>
      </c>
      <c r="BRY1" t="s">
        <v>1957</v>
      </c>
      <c r="BRZ1" t="s">
        <v>1958</v>
      </c>
      <c r="BSA1" t="s">
        <v>1959</v>
      </c>
      <c r="BSB1" t="s">
        <v>1960</v>
      </c>
      <c r="BSC1" t="s">
        <v>1961</v>
      </c>
      <c r="BSD1" t="s">
        <v>1962</v>
      </c>
      <c r="BSE1" t="s">
        <v>1963</v>
      </c>
      <c r="BSF1" t="s">
        <v>1964</v>
      </c>
      <c r="BSG1" t="s">
        <v>1965</v>
      </c>
      <c r="BSH1" t="s">
        <v>1966</v>
      </c>
      <c r="BSI1" t="s">
        <v>1967</v>
      </c>
      <c r="BSJ1" t="s">
        <v>1968</v>
      </c>
      <c r="BSK1" t="s">
        <v>1969</v>
      </c>
      <c r="BSL1" t="s">
        <v>1970</v>
      </c>
      <c r="BSM1" t="s">
        <v>1971</v>
      </c>
      <c r="BSN1" t="s">
        <v>1972</v>
      </c>
      <c r="BSO1" t="s">
        <v>1973</v>
      </c>
      <c r="BSP1" t="s">
        <v>1974</v>
      </c>
      <c r="BSQ1" t="s">
        <v>1975</v>
      </c>
      <c r="BSR1" t="s">
        <v>1976</v>
      </c>
      <c r="BSS1" t="s">
        <v>1977</v>
      </c>
      <c r="BST1" t="s">
        <v>1978</v>
      </c>
      <c r="BSU1" t="s">
        <v>1979</v>
      </c>
      <c r="BSV1" t="s">
        <v>1980</v>
      </c>
      <c r="BSW1" t="s">
        <v>1981</v>
      </c>
      <c r="BSX1" t="s">
        <v>1982</v>
      </c>
      <c r="BSY1" t="s">
        <v>1983</v>
      </c>
      <c r="BSZ1" t="s">
        <v>1984</v>
      </c>
      <c r="BTA1" t="s">
        <v>1985</v>
      </c>
      <c r="BTB1" t="s">
        <v>1986</v>
      </c>
      <c r="BTC1" t="s">
        <v>1987</v>
      </c>
      <c r="BTD1" t="s">
        <v>1988</v>
      </c>
      <c r="BTE1" t="s">
        <v>1989</v>
      </c>
      <c r="BTF1" t="s">
        <v>1990</v>
      </c>
      <c r="BTG1" t="s">
        <v>1991</v>
      </c>
      <c r="BTH1" t="s">
        <v>1992</v>
      </c>
      <c r="BTI1" t="s">
        <v>1993</v>
      </c>
      <c r="BTJ1" t="s">
        <v>1994</v>
      </c>
      <c r="BTK1" t="s">
        <v>1995</v>
      </c>
      <c r="BTL1" t="s">
        <v>1996</v>
      </c>
      <c r="BTM1" t="s">
        <v>1997</v>
      </c>
      <c r="BTN1" t="s">
        <v>1998</v>
      </c>
      <c r="BTO1" t="s">
        <v>1999</v>
      </c>
      <c r="BTP1" t="s">
        <v>2000</v>
      </c>
      <c r="BTQ1" t="s">
        <v>2001</v>
      </c>
      <c r="BTR1" t="s">
        <v>2002</v>
      </c>
      <c r="BTS1" t="s">
        <v>2003</v>
      </c>
      <c r="BTT1" t="s">
        <v>2004</v>
      </c>
      <c r="BTU1" t="s">
        <v>2005</v>
      </c>
      <c r="BTV1" t="s">
        <v>2006</v>
      </c>
      <c r="BTW1" t="s">
        <v>2007</v>
      </c>
      <c r="BTX1" t="s">
        <v>2008</v>
      </c>
      <c r="BTY1" t="s">
        <v>2009</v>
      </c>
      <c r="BTZ1" t="s">
        <v>2010</v>
      </c>
      <c r="BUA1" t="s">
        <v>2011</v>
      </c>
      <c r="BUB1" t="s">
        <v>2012</v>
      </c>
      <c r="BUC1" t="s">
        <v>2013</v>
      </c>
      <c r="BUD1" t="s">
        <v>2014</v>
      </c>
      <c r="BUE1" t="s">
        <v>2015</v>
      </c>
      <c r="BUF1" t="s">
        <v>2016</v>
      </c>
      <c r="BUG1" t="s">
        <v>2017</v>
      </c>
      <c r="BUH1" t="s">
        <v>2018</v>
      </c>
      <c r="BUI1" t="s">
        <v>2019</v>
      </c>
      <c r="BUJ1" t="s">
        <v>2020</v>
      </c>
      <c r="BUK1" t="s">
        <v>2021</v>
      </c>
      <c r="BUL1" t="s">
        <v>2022</v>
      </c>
      <c r="BUM1" t="s">
        <v>2023</v>
      </c>
      <c r="BUN1" t="s">
        <v>2024</v>
      </c>
      <c r="BUO1" t="s">
        <v>2025</v>
      </c>
      <c r="BUP1" t="s">
        <v>2026</v>
      </c>
      <c r="BUQ1" t="s">
        <v>2027</v>
      </c>
      <c r="BUR1" t="s">
        <v>2028</v>
      </c>
      <c r="BUS1" t="s">
        <v>2029</v>
      </c>
      <c r="BUT1" t="s">
        <v>2030</v>
      </c>
      <c r="BUU1" t="s">
        <v>2031</v>
      </c>
      <c r="BUV1" t="s">
        <v>2032</v>
      </c>
      <c r="BUW1" t="s">
        <v>2033</v>
      </c>
      <c r="BUX1" t="s">
        <v>2034</v>
      </c>
      <c r="BUY1" t="s">
        <v>2035</v>
      </c>
      <c r="BUZ1" t="s">
        <v>2036</v>
      </c>
      <c r="BVA1" t="s">
        <v>2037</v>
      </c>
      <c r="BVB1" t="s">
        <v>2038</v>
      </c>
      <c r="BVC1" t="s">
        <v>2039</v>
      </c>
      <c r="BVD1" t="s">
        <v>2040</v>
      </c>
      <c r="BVE1" t="s">
        <v>2041</v>
      </c>
      <c r="BVF1" t="s">
        <v>2042</v>
      </c>
      <c r="BVG1" t="s">
        <v>2043</v>
      </c>
      <c r="BVH1" t="s">
        <v>2044</v>
      </c>
      <c r="BVI1" t="s">
        <v>2045</v>
      </c>
      <c r="BVJ1" t="s">
        <v>2046</v>
      </c>
      <c r="BVK1" t="s">
        <v>2047</v>
      </c>
      <c r="BVL1" t="s">
        <v>2048</v>
      </c>
      <c r="BVM1" t="s">
        <v>2049</v>
      </c>
      <c r="BVN1" t="s">
        <v>2050</v>
      </c>
      <c r="BVO1" t="s">
        <v>2051</v>
      </c>
      <c r="BVP1" t="s">
        <v>2052</v>
      </c>
      <c r="BVQ1" t="s">
        <v>2053</v>
      </c>
      <c r="BVR1" t="s">
        <v>2054</v>
      </c>
      <c r="BVS1" t="s">
        <v>2055</v>
      </c>
      <c r="BVT1" t="s">
        <v>2056</v>
      </c>
      <c r="BVU1" t="s">
        <v>2057</v>
      </c>
      <c r="BVV1" t="s">
        <v>2058</v>
      </c>
      <c r="BVW1" t="s">
        <v>2059</v>
      </c>
      <c r="BVX1" t="s">
        <v>2060</v>
      </c>
      <c r="BVY1" t="s">
        <v>2061</v>
      </c>
      <c r="BVZ1" t="s">
        <v>2062</v>
      </c>
      <c r="BWA1" t="s">
        <v>2063</v>
      </c>
      <c r="BWB1" t="s">
        <v>2064</v>
      </c>
      <c r="BWC1" t="s">
        <v>2065</v>
      </c>
      <c r="BWD1" t="s">
        <v>2066</v>
      </c>
      <c r="BWE1" t="s">
        <v>2067</v>
      </c>
      <c r="BWF1" t="s">
        <v>2068</v>
      </c>
      <c r="BWG1" t="s">
        <v>2069</v>
      </c>
      <c r="BWH1" t="s">
        <v>2070</v>
      </c>
      <c r="BWI1" t="s">
        <v>2071</v>
      </c>
      <c r="BWJ1" t="s">
        <v>2072</v>
      </c>
      <c r="BWK1" t="s">
        <v>2073</v>
      </c>
      <c r="BWL1" t="s">
        <v>2074</v>
      </c>
      <c r="BWM1" t="s">
        <v>2075</v>
      </c>
      <c r="BWN1" t="s">
        <v>2076</v>
      </c>
      <c r="BWO1" t="s">
        <v>2077</v>
      </c>
      <c r="BWP1" t="s">
        <v>2078</v>
      </c>
      <c r="BWQ1" t="s">
        <v>2079</v>
      </c>
      <c r="BWR1" t="s">
        <v>2080</v>
      </c>
      <c r="BWS1" t="s">
        <v>2081</v>
      </c>
      <c r="BWT1" t="s">
        <v>2082</v>
      </c>
      <c r="BWU1" t="s">
        <v>2083</v>
      </c>
      <c r="BWV1" t="s">
        <v>2084</v>
      </c>
      <c r="BWW1" t="s">
        <v>2085</v>
      </c>
      <c r="BWX1" t="s">
        <v>2086</v>
      </c>
      <c r="BWY1" t="s">
        <v>2087</v>
      </c>
      <c r="BWZ1" t="s">
        <v>2088</v>
      </c>
      <c r="BXA1" t="s">
        <v>2089</v>
      </c>
      <c r="BXB1" t="s">
        <v>2090</v>
      </c>
      <c r="BXC1" t="s">
        <v>2091</v>
      </c>
      <c r="BXD1" t="s">
        <v>2092</v>
      </c>
      <c r="BXE1" t="s">
        <v>2093</v>
      </c>
      <c r="BXF1" t="s">
        <v>2094</v>
      </c>
      <c r="BXG1" t="s">
        <v>2095</v>
      </c>
      <c r="BXH1" t="s">
        <v>2096</v>
      </c>
      <c r="BXI1" t="s">
        <v>2097</v>
      </c>
      <c r="BXJ1" t="s">
        <v>2098</v>
      </c>
      <c r="BXK1" t="s">
        <v>2099</v>
      </c>
      <c r="BXL1" t="s">
        <v>2100</v>
      </c>
      <c r="BXM1" t="s">
        <v>2101</v>
      </c>
      <c r="BXN1" t="s">
        <v>2102</v>
      </c>
      <c r="BXO1" t="s">
        <v>2103</v>
      </c>
      <c r="BXP1" t="s">
        <v>2104</v>
      </c>
      <c r="BXQ1" t="s">
        <v>2105</v>
      </c>
      <c r="BXR1" t="s">
        <v>2106</v>
      </c>
      <c r="BXS1" t="s">
        <v>2107</v>
      </c>
      <c r="BXT1" t="s">
        <v>2108</v>
      </c>
      <c r="BXU1" t="s">
        <v>2109</v>
      </c>
      <c r="BXV1" t="s">
        <v>2110</v>
      </c>
      <c r="BXW1" t="s">
        <v>2111</v>
      </c>
      <c r="BXX1" t="s">
        <v>2112</v>
      </c>
      <c r="BXY1" t="s">
        <v>2113</v>
      </c>
      <c r="BXZ1" t="s">
        <v>2114</v>
      </c>
      <c r="BYA1" t="s">
        <v>2115</v>
      </c>
      <c r="BYB1" t="s">
        <v>2116</v>
      </c>
      <c r="BYC1" t="s">
        <v>2117</v>
      </c>
      <c r="BYD1" t="s">
        <v>2118</v>
      </c>
      <c r="BYE1" t="s">
        <v>2119</v>
      </c>
      <c r="BYF1" t="s">
        <v>2120</v>
      </c>
      <c r="BYG1" t="s">
        <v>2121</v>
      </c>
      <c r="BYH1" t="s">
        <v>2122</v>
      </c>
      <c r="BYI1" t="s">
        <v>2123</v>
      </c>
      <c r="BYJ1" t="s">
        <v>2124</v>
      </c>
      <c r="BYK1" t="s">
        <v>2125</v>
      </c>
      <c r="BYL1" t="s">
        <v>2126</v>
      </c>
      <c r="BYM1" t="s">
        <v>2127</v>
      </c>
      <c r="BYN1" t="s">
        <v>2128</v>
      </c>
      <c r="BYO1" t="s">
        <v>2129</v>
      </c>
      <c r="BYP1" t="s">
        <v>2130</v>
      </c>
      <c r="BYQ1" t="s">
        <v>2131</v>
      </c>
      <c r="BYR1" t="s">
        <v>2132</v>
      </c>
      <c r="BYS1" t="s">
        <v>2133</v>
      </c>
      <c r="BYT1" t="s">
        <v>2134</v>
      </c>
      <c r="BYU1" t="s">
        <v>2135</v>
      </c>
      <c r="BYV1" t="s">
        <v>2136</v>
      </c>
      <c r="BYW1" t="s">
        <v>2137</v>
      </c>
      <c r="BYX1" t="s">
        <v>2138</v>
      </c>
      <c r="BYY1" t="s">
        <v>2139</v>
      </c>
      <c r="BYZ1" t="s">
        <v>2140</v>
      </c>
      <c r="BZA1" t="s">
        <v>2141</v>
      </c>
      <c r="BZB1" t="s">
        <v>2142</v>
      </c>
      <c r="BZC1" t="s">
        <v>2143</v>
      </c>
      <c r="BZD1" t="s">
        <v>2144</v>
      </c>
      <c r="BZE1" t="s">
        <v>2145</v>
      </c>
      <c r="BZF1" t="s">
        <v>2146</v>
      </c>
      <c r="BZG1" t="s">
        <v>2147</v>
      </c>
      <c r="BZH1" t="s">
        <v>2148</v>
      </c>
      <c r="BZI1" t="s">
        <v>2149</v>
      </c>
      <c r="BZJ1" t="s">
        <v>2150</v>
      </c>
      <c r="BZK1" t="s">
        <v>2151</v>
      </c>
      <c r="BZL1" t="s">
        <v>2152</v>
      </c>
      <c r="BZM1" t="s">
        <v>2153</v>
      </c>
      <c r="BZN1" t="s">
        <v>2154</v>
      </c>
      <c r="BZO1" t="s">
        <v>2155</v>
      </c>
      <c r="BZP1" t="s">
        <v>2156</v>
      </c>
      <c r="BZQ1" t="s">
        <v>2157</v>
      </c>
      <c r="BZR1" t="s">
        <v>2158</v>
      </c>
      <c r="BZS1" t="s">
        <v>2159</v>
      </c>
      <c r="BZT1" t="s">
        <v>2160</v>
      </c>
      <c r="BZU1" t="s">
        <v>2161</v>
      </c>
      <c r="BZV1" t="s">
        <v>2162</v>
      </c>
      <c r="BZW1" t="s">
        <v>2163</v>
      </c>
      <c r="BZX1" t="s">
        <v>2164</v>
      </c>
      <c r="BZY1" t="s">
        <v>2165</v>
      </c>
      <c r="BZZ1" t="s">
        <v>2166</v>
      </c>
      <c r="CAA1" t="s">
        <v>2167</v>
      </c>
      <c r="CAB1" t="s">
        <v>2168</v>
      </c>
      <c r="CAC1" t="s">
        <v>2169</v>
      </c>
      <c r="CAD1" t="s">
        <v>2170</v>
      </c>
      <c r="CAE1" t="s">
        <v>2171</v>
      </c>
      <c r="CAF1" t="s">
        <v>2172</v>
      </c>
      <c r="CAG1" t="s">
        <v>2173</v>
      </c>
      <c r="CAH1" t="s">
        <v>2174</v>
      </c>
      <c r="CAI1" t="s">
        <v>2175</v>
      </c>
      <c r="CAJ1" t="s">
        <v>2176</v>
      </c>
      <c r="CAK1" t="s">
        <v>2177</v>
      </c>
      <c r="CAL1" t="s">
        <v>2178</v>
      </c>
      <c r="CAM1" t="s">
        <v>2179</v>
      </c>
      <c r="CAN1" t="s">
        <v>2180</v>
      </c>
      <c r="CAO1" t="s">
        <v>2181</v>
      </c>
      <c r="CAP1" t="s">
        <v>2182</v>
      </c>
      <c r="CAQ1" t="s">
        <v>2183</v>
      </c>
      <c r="CAR1" t="s">
        <v>2184</v>
      </c>
      <c r="CAS1" t="s">
        <v>2185</v>
      </c>
      <c r="CAT1" t="s">
        <v>2186</v>
      </c>
      <c r="CAU1" t="s">
        <v>2187</v>
      </c>
      <c r="CAV1" t="s">
        <v>2188</v>
      </c>
      <c r="CAW1" t="s">
        <v>2189</v>
      </c>
      <c r="CAX1" t="s">
        <v>2190</v>
      </c>
      <c r="CAY1" t="s">
        <v>2191</v>
      </c>
      <c r="CAZ1" t="s">
        <v>2192</v>
      </c>
      <c r="CBA1" t="s">
        <v>2193</v>
      </c>
      <c r="CBB1" t="s">
        <v>2194</v>
      </c>
      <c r="CBC1" t="s">
        <v>2195</v>
      </c>
      <c r="CBD1" t="s">
        <v>2196</v>
      </c>
      <c r="CBE1" t="s">
        <v>2197</v>
      </c>
      <c r="CBF1" t="s">
        <v>2198</v>
      </c>
      <c r="CBG1" t="s">
        <v>2199</v>
      </c>
      <c r="CBH1" t="s">
        <v>2200</v>
      </c>
      <c r="CBI1" t="s">
        <v>2201</v>
      </c>
      <c r="CBJ1" t="s">
        <v>2202</v>
      </c>
      <c r="CBK1" t="s">
        <v>2203</v>
      </c>
      <c r="CBL1" t="s">
        <v>2204</v>
      </c>
      <c r="CBM1" t="s">
        <v>2205</v>
      </c>
      <c r="CBN1" t="s">
        <v>2206</v>
      </c>
      <c r="CBO1" t="s">
        <v>2207</v>
      </c>
      <c r="CBP1" t="s">
        <v>2208</v>
      </c>
      <c r="CBQ1" t="s">
        <v>2209</v>
      </c>
      <c r="CBR1" t="s">
        <v>2210</v>
      </c>
      <c r="CBS1" t="s">
        <v>2211</v>
      </c>
      <c r="CBT1" t="s">
        <v>2212</v>
      </c>
      <c r="CBU1" t="s">
        <v>2213</v>
      </c>
      <c r="CBV1" t="s">
        <v>2214</v>
      </c>
      <c r="CBW1" t="s">
        <v>2215</v>
      </c>
      <c r="CBX1" t="s">
        <v>2216</v>
      </c>
      <c r="CBY1" t="s">
        <v>2217</v>
      </c>
      <c r="CBZ1" t="s">
        <v>2218</v>
      </c>
      <c r="CCA1" t="s">
        <v>2219</v>
      </c>
      <c r="CCB1" t="s">
        <v>2220</v>
      </c>
      <c r="CCC1" t="s">
        <v>2221</v>
      </c>
      <c r="CCD1" t="s">
        <v>2222</v>
      </c>
      <c r="CCE1" t="s">
        <v>2223</v>
      </c>
      <c r="CCF1" t="s">
        <v>2224</v>
      </c>
      <c r="CCG1" t="s">
        <v>2225</v>
      </c>
      <c r="CCH1" t="s">
        <v>2226</v>
      </c>
      <c r="CCI1" t="s">
        <v>2227</v>
      </c>
      <c r="CCJ1" t="s">
        <v>2228</v>
      </c>
      <c r="CCK1" t="s">
        <v>2229</v>
      </c>
      <c r="CCL1" t="s">
        <v>2230</v>
      </c>
      <c r="CCM1" t="s">
        <v>2231</v>
      </c>
      <c r="CCN1" t="s">
        <v>2232</v>
      </c>
      <c r="CCO1" t="s">
        <v>2233</v>
      </c>
      <c r="CCP1" t="s">
        <v>2234</v>
      </c>
      <c r="CCQ1" t="s">
        <v>2235</v>
      </c>
      <c r="CCR1" t="s">
        <v>2236</v>
      </c>
      <c r="CCS1" t="s">
        <v>2237</v>
      </c>
      <c r="CCT1" t="s">
        <v>2238</v>
      </c>
      <c r="CCU1" t="s">
        <v>2239</v>
      </c>
      <c r="CCV1" t="s">
        <v>2240</v>
      </c>
      <c r="CCW1" t="s">
        <v>2241</v>
      </c>
      <c r="CCX1" t="s">
        <v>2242</v>
      </c>
      <c r="CCY1" t="s">
        <v>2243</v>
      </c>
      <c r="CCZ1" t="s">
        <v>2244</v>
      </c>
      <c r="CDA1" t="s">
        <v>2245</v>
      </c>
      <c r="CDB1" t="s">
        <v>2246</v>
      </c>
      <c r="CDC1" t="s">
        <v>2247</v>
      </c>
      <c r="CDD1" t="s">
        <v>2248</v>
      </c>
      <c r="CDE1" t="s">
        <v>2249</v>
      </c>
      <c r="CDF1" t="s">
        <v>2250</v>
      </c>
      <c r="CDG1" t="s">
        <v>2251</v>
      </c>
      <c r="CDH1" t="s">
        <v>2252</v>
      </c>
      <c r="CDI1" t="s">
        <v>2253</v>
      </c>
      <c r="CDJ1" t="s">
        <v>2254</v>
      </c>
      <c r="CDK1" t="s">
        <v>2255</v>
      </c>
      <c r="CDL1" t="s">
        <v>2256</v>
      </c>
      <c r="CDM1" t="s">
        <v>2257</v>
      </c>
      <c r="CDN1" t="s">
        <v>2258</v>
      </c>
      <c r="CDO1" t="s">
        <v>2259</v>
      </c>
      <c r="CDP1" t="s">
        <v>2260</v>
      </c>
      <c r="CDQ1" t="s">
        <v>2261</v>
      </c>
      <c r="CDR1" t="s">
        <v>2262</v>
      </c>
      <c r="CDS1" t="s">
        <v>2263</v>
      </c>
      <c r="CDT1" t="s">
        <v>2264</v>
      </c>
      <c r="CDU1" t="s">
        <v>2265</v>
      </c>
      <c r="CDV1" t="s">
        <v>2266</v>
      </c>
      <c r="CDW1" t="s">
        <v>2267</v>
      </c>
      <c r="CDX1" t="s">
        <v>2268</v>
      </c>
      <c r="CDY1" t="s">
        <v>2269</v>
      </c>
      <c r="CDZ1" t="s">
        <v>2270</v>
      </c>
      <c r="CEA1" t="s">
        <v>2271</v>
      </c>
      <c r="CEB1" t="s">
        <v>2272</v>
      </c>
      <c r="CEC1" t="s">
        <v>2273</v>
      </c>
      <c r="CED1" t="s">
        <v>2274</v>
      </c>
      <c r="CEE1" t="s">
        <v>2275</v>
      </c>
      <c r="CEF1" t="s">
        <v>2276</v>
      </c>
      <c r="CEG1" t="s">
        <v>2277</v>
      </c>
      <c r="CEH1" t="s">
        <v>2278</v>
      </c>
      <c r="CEI1" t="s">
        <v>2279</v>
      </c>
      <c r="CEJ1" t="s">
        <v>2280</v>
      </c>
      <c r="CEK1" t="s">
        <v>2281</v>
      </c>
      <c r="CEL1" t="s">
        <v>2282</v>
      </c>
      <c r="CEM1" t="s">
        <v>2283</v>
      </c>
      <c r="CEN1" t="s">
        <v>2284</v>
      </c>
      <c r="CEO1" t="s">
        <v>2285</v>
      </c>
      <c r="CEP1" t="s">
        <v>2286</v>
      </c>
      <c r="CEQ1" t="s">
        <v>2287</v>
      </c>
      <c r="CER1" t="s">
        <v>2288</v>
      </c>
      <c r="CES1" t="s">
        <v>2289</v>
      </c>
      <c r="CET1" t="s">
        <v>2290</v>
      </c>
      <c r="CEU1" t="s">
        <v>2291</v>
      </c>
      <c r="CEV1" t="s">
        <v>2292</v>
      </c>
      <c r="CEW1" t="s">
        <v>2293</v>
      </c>
      <c r="CEX1" t="s">
        <v>2294</v>
      </c>
      <c r="CEY1" t="s">
        <v>2295</v>
      </c>
      <c r="CEZ1" t="s">
        <v>2296</v>
      </c>
      <c r="CFA1" t="s">
        <v>2297</v>
      </c>
      <c r="CFB1" t="s">
        <v>2298</v>
      </c>
      <c r="CFC1" t="s">
        <v>2299</v>
      </c>
      <c r="CFD1" t="s">
        <v>2300</v>
      </c>
      <c r="CFE1" t="s">
        <v>2301</v>
      </c>
      <c r="CFF1" t="s">
        <v>2302</v>
      </c>
      <c r="CFG1" t="s">
        <v>2303</v>
      </c>
      <c r="CFH1" t="s">
        <v>2304</v>
      </c>
      <c r="CFI1" t="s">
        <v>2305</v>
      </c>
      <c r="CFJ1" t="s">
        <v>2306</v>
      </c>
      <c r="CFK1" t="s">
        <v>2307</v>
      </c>
      <c r="CFL1" t="s">
        <v>2308</v>
      </c>
      <c r="CFM1" t="s">
        <v>2309</v>
      </c>
      <c r="CFN1" t="s">
        <v>2310</v>
      </c>
      <c r="CFO1" t="s">
        <v>2311</v>
      </c>
      <c r="CFP1" t="s">
        <v>2312</v>
      </c>
      <c r="CFQ1" t="s">
        <v>2313</v>
      </c>
      <c r="CFR1" t="s">
        <v>2314</v>
      </c>
      <c r="CFS1" t="s">
        <v>2315</v>
      </c>
      <c r="CFT1" t="s">
        <v>2316</v>
      </c>
      <c r="CFU1" t="s">
        <v>2317</v>
      </c>
      <c r="CFV1" t="s">
        <v>2318</v>
      </c>
      <c r="CFW1" t="s">
        <v>2319</v>
      </c>
      <c r="CFX1" t="s">
        <v>2320</v>
      </c>
      <c r="CFY1" t="s">
        <v>2321</v>
      </c>
      <c r="CFZ1" t="s">
        <v>2322</v>
      </c>
      <c r="CGA1" t="s">
        <v>2323</v>
      </c>
      <c r="CGB1" t="s">
        <v>2324</v>
      </c>
      <c r="CGC1" t="s">
        <v>2325</v>
      </c>
      <c r="CGD1" t="s">
        <v>2326</v>
      </c>
      <c r="CGE1" t="s">
        <v>2327</v>
      </c>
      <c r="CGF1" t="s">
        <v>2328</v>
      </c>
      <c r="CGG1" t="s">
        <v>2329</v>
      </c>
      <c r="CGH1" t="s">
        <v>2330</v>
      </c>
      <c r="CGI1" t="s">
        <v>2331</v>
      </c>
      <c r="CGJ1" t="s">
        <v>2332</v>
      </c>
      <c r="CGK1" t="s">
        <v>2333</v>
      </c>
      <c r="CGL1" t="s">
        <v>2334</v>
      </c>
      <c r="CGM1" t="s">
        <v>2335</v>
      </c>
      <c r="CGN1" t="s">
        <v>2336</v>
      </c>
      <c r="CGO1" t="s">
        <v>2337</v>
      </c>
      <c r="CGP1" t="s">
        <v>2338</v>
      </c>
      <c r="CGQ1" t="s">
        <v>2339</v>
      </c>
      <c r="CGR1" t="s">
        <v>2340</v>
      </c>
      <c r="CGS1" t="s">
        <v>2341</v>
      </c>
      <c r="CGT1" t="s">
        <v>2342</v>
      </c>
      <c r="CGU1" t="s">
        <v>2343</v>
      </c>
      <c r="CGV1" t="s">
        <v>2344</v>
      </c>
      <c r="CGW1" t="s">
        <v>2345</v>
      </c>
      <c r="CGX1" t="s">
        <v>2346</v>
      </c>
      <c r="CGY1" t="s">
        <v>2347</v>
      </c>
      <c r="CGZ1" t="s">
        <v>2348</v>
      </c>
      <c r="CHA1" t="s">
        <v>2349</v>
      </c>
      <c r="CHB1" t="s">
        <v>2350</v>
      </c>
      <c r="CHC1" t="s">
        <v>2351</v>
      </c>
      <c r="CHD1" t="s">
        <v>2352</v>
      </c>
      <c r="CHE1" t="s">
        <v>2353</v>
      </c>
      <c r="CHF1" t="s">
        <v>2354</v>
      </c>
      <c r="CHG1" t="s">
        <v>2355</v>
      </c>
      <c r="CHH1" t="s">
        <v>2356</v>
      </c>
      <c r="CHI1" t="s">
        <v>2357</v>
      </c>
      <c r="CHJ1" t="s">
        <v>2358</v>
      </c>
      <c r="CHK1" t="s">
        <v>2359</v>
      </c>
      <c r="CHL1" t="s">
        <v>2360</v>
      </c>
      <c r="CHM1" t="s">
        <v>2361</v>
      </c>
      <c r="CHN1" t="s">
        <v>2362</v>
      </c>
      <c r="CHO1" t="s">
        <v>2363</v>
      </c>
      <c r="CHP1" t="s">
        <v>2364</v>
      </c>
      <c r="CHQ1" t="s">
        <v>2365</v>
      </c>
      <c r="CHR1" t="s">
        <v>2366</v>
      </c>
      <c r="CHS1" t="s">
        <v>2367</v>
      </c>
      <c r="CHT1" t="s">
        <v>2368</v>
      </c>
      <c r="CHU1" t="s">
        <v>2369</v>
      </c>
      <c r="CHV1" t="s">
        <v>2370</v>
      </c>
      <c r="CHW1" t="s">
        <v>2371</v>
      </c>
      <c r="CHX1" t="s">
        <v>2372</v>
      </c>
      <c r="CHY1" t="s">
        <v>2373</v>
      </c>
      <c r="CHZ1" t="s">
        <v>2374</v>
      </c>
      <c r="CIA1" t="s">
        <v>2375</v>
      </c>
      <c r="CIB1" t="s">
        <v>2376</v>
      </c>
      <c r="CIC1" t="s">
        <v>2377</v>
      </c>
      <c r="CID1" t="s">
        <v>2378</v>
      </c>
      <c r="CIE1" t="s">
        <v>2379</v>
      </c>
      <c r="CIF1" t="s">
        <v>2380</v>
      </c>
      <c r="CIG1" t="s">
        <v>2381</v>
      </c>
      <c r="CIH1" t="s">
        <v>2382</v>
      </c>
      <c r="CII1" t="s">
        <v>2383</v>
      </c>
      <c r="CIJ1" t="s">
        <v>2384</v>
      </c>
      <c r="CIK1" t="s">
        <v>2385</v>
      </c>
      <c r="CIL1" t="s">
        <v>2386</v>
      </c>
      <c r="CIM1" t="s">
        <v>2387</v>
      </c>
      <c r="CIN1" t="s">
        <v>2388</v>
      </c>
      <c r="CIO1" t="s">
        <v>2389</v>
      </c>
      <c r="CIP1" t="s">
        <v>2390</v>
      </c>
      <c r="CIQ1" t="s">
        <v>2391</v>
      </c>
      <c r="CIR1" t="s">
        <v>2392</v>
      </c>
      <c r="CIS1" t="s">
        <v>2393</v>
      </c>
      <c r="CIT1" t="s">
        <v>2394</v>
      </c>
      <c r="CIU1" t="s">
        <v>2395</v>
      </c>
      <c r="CIV1" t="s">
        <v>2396</v>
      </c>
      <c r="CIW1" t="s">
        <v>2397</v>
      </c>
      <c r="CIX1" t="s">
        <v>2398</v>
      </c>
      <c r="CIY1" t="s">
        <v>2399</v>
      </c>
      <c r="CIZ1" t="s">
        <v>2400</v>
      </c>
      <c r="CJA1" t="s">
        <v>2401</v>
      </c>
      <c r="CJB1" t="s">
        <v>2402</v>
      </c>
      <c r="CJC1" t="s">
        <v>2403</v>
      </c>
      <c r="CJD1" t="s">
        <v>2404</v>
      </c>
      <c r="CJE1" t="s">
        <v>2405</v>
      </c>
      <c r="CJF1" t="s">
        <v>2406</v>
      </c>
      <c r="CJG1" t="s">
        <v>2407</v>
      </c>
      <c r="CJH1" t="s">
        <v>2408</v>
      </c>
      <c r="CJI1" t="s">
        <v>2409</v>
      </c>
      <c r="CJJ1" t="s">
        <v>2410</v>
      </c>
      <c r="CJK1" t="s">
        <v>2411</v>
      </c>
      <c r="CJL1" t="s">
        <v>2412</v>
      </c>
      <c r="CJM1" t="s">
        <v>2413</v>
      </c>
      <c r="CJN1" t="s">
        <v>2414</v>
      </c>
      <c r="CJO1" t="s">
        <v>2415</v>
      </c>
      <c r="CJP1" t="s">
        <v>2416</v>
      </c>
      <c r="CJQ1" t="s">
        <v>2417</v>
      </c>
      <c r="CJR1" t="s">
        <v>2418</v>
      </c>
      <c r="CJS1" t="s">
        <v>2419</v>
      </c>
      <c r="CJT1" t="s">
        <v>2420</v>
      </c>
      <c r="CJU1" t="s">
        <v>2421</v>
      </c>
      <c r="CJV1" t="s">
        <v>2422</v>
      </c>
      <c r="CJW1" t="s">
        <v>2423</v>
      </c>
      <c r="CJX1" t="s">
        <v>2424</v>
      </c>
      <c r="CJY1" t="s">
        <v>2425</v>
      </c>
      <c r="CJZ1" t="s">
        <v>2426</v>
      </c>
      <c r="CKA1" t="s">
        <v>2427</v>
      </c>
      <c r="CKB1" t="s">
        <v>2428</v>
      </c>
      <c r="CKC1" t="s">
        <v>2429</v>
      </c>
      <c r="CKD1" t="s">
        <v>2430</v>
      </c>
      <c r="CKE1" t="s">
        <v>2431</v>
      </c>
      <c r="CKF1" t="s">
        <v>2432</v>
      </c>
      <c r="CKG1" t="s">
        <v>2433</v>
      </c>
      <c r="CKH1" t="s">
        <v>2434</v>
      </c>
      <c r="CKI1" t="s">
        <v>2435</v>
      </c>
      <c r="CKJ1" t="s">
        <v>2436</v>
      </c>
      <c r="CKK1" t="s">
        <v>2437</v>
      </c>
      <c r="CKL1" t="s">
        <v>2438</v>
      </c>
      <c r="CKM1" t="s">
        <v>2439</v>
      </c>
      <c r="CKN1" t="s">
        <v>2440</v>
      </c>
      <c r="CKO1" t="s">
        <v>2441</v>
      </c>
      <c r="CKP1" t="s">
        <v>2442</v>
      </c>
      <c r="CKQ1" t="s">
        <v>2443</v>
      </c>
      <c r="CKR1" t="s">
        <v>2444</v>
      </c>
      <c r="CKS1" t="s">
        <v>2445</v>
      </c>
      <c r="CKT1" t="s">
        <v>2446</v>
      </c>
      <c r="CKU1" t="s">
        <v>2447</v>
      </c>
      <c r="CKV1" t="s">
        <v>2448</v>
      </c>
      <c r="CKW1" t="s">
        <v>2449</v>
      </c>
      <c r="CKX1" t="s">
        <v>2450</v>
      </c>
      <c r="CKY1" t="s">
        <v>2451</v>
      </c>
      <c r="CKZ1" t="s">
        <v>2452</v>
      </c>
      <c r="CLA1" t="s">
        <v>2453</v>
      </c>
      <c r="CLB1" t="s">
        <v>2454</v>
      </c>
      <c r="CLC1" t="s">
        <v>2455</v>
      </c>
      <c r="CLD1" t="s">
        <v>2456</v>
      </c>
      <c r="CLE1" t="s">
        <v>2457</v>
      </c>
      <c r="CLF1" t="s">
        <v>2458</v>
      </c>
      <c r="CLG1" t="s">
        <v>2459</v>
      </c>
      <c r="CLH1" t="s">
        <v>2460</v>
      </c>
      <c r="CLI1" t="s">
        <v>2461</v>
      </c>
      <c r="CLJ1" t="s">
        <v>2462</v>
      </c>
      <c r="CLK1" t="s">
        <v>2463</v>
      </c>
      <c r="CLL1" t="s">
        <v>2464</v>
      </c>
      <c r="CLM1" t="s">
        <v>2465</v>
      </c>
      <c r="CLN1" t="s">
        <v>2466</v>
      </c>
      <c r="CLO1" t="s">
        <v>2467</v>
      </c>
      <c r="CLP1" t="s">
        <v>2468</v>
      </c>
      <c r="CLQ1" t="s">
        <v>2469</v>
      </c>
      <c r="CLR1" t="s">
        <v>2470</v>
      </c>
      <c r="CLS1" t="s">
        <v>2471</v>
      </c>
      <c r="CLT1" t="s">
        <v>2472</v>
      </c>
      <c r="CLU1" t="s">
        <v>2473</v>
      </c>
      <c r="CLV1" t="s">
        <v>2474</v>
      </c>
      <c r="CLW1" t="s">
        <v>2475</v>
      </c>
      <c r="CLX1" t="s">
        <v>2476</v>
      </c>
      <c r="CLY1" t="s">
        <v>2477</v>
      </c>
      <c r="CLZ1" t="s">
        <v>2478</v>
      </c>
      <c r="CMA1" t="s">
        <v>2479</v>
      </c>
      <c r="CMB1" t="s">
        <v>2480</v>
      </c>
      <c r="CMC1" t="s">
        <v>2481</v>
      </c>
      <c r="CMD1" t="s">
        <v>2482</v>
      </c>
      <c r="CME1" t="s">
        <v>2483</v>
      </c>
      <c r="CMF1" t="s">
        <v>2484</v>
      </c>
      <c r="CMG1" t="s">
        <v>2485</v>
      </c>
      <c r="CMH1" t="s">
        <v>2486</v>
      </c>
      <c r="CMI1" t="s">
        <v>2487</v>
      </c>
      <c r="CMJ1" t="s">
        <v>2488</v>
      </c>
      <c r="CMK1" t="s">
        <v>2489</v>
      </c>
      <c r="CML1" t="s">
        <v>2490</v>
      </c>
      <c r="CMM1" t="s">
        <v>2491</v>
      </c>
      <c r="CMN1" t="s">
        <v>2492</v>
      </c>
      <c r="CMO1" t="s">
        <v>2493</v>
      </c>
      <c r="CMP1" t="s">
        <v>2494</v>
      </c>
      <c r="CMQ1" t="s">
        <v>2495</v>
      </c>
      <c r="CMR1" t="s">
        <v>2496</v>
      </c>
      <c r="CMS1" t="s">
        <v>2497</v>
      </c>
      <c r="CMT1" t="s">
        <v>2498</v>
      </c>
      <c r="CMU1" t="s">
        <v>2499</v>
      </c>
      <c r="CMV1" t="s">
        <v>2500</v>
      </c>
      <c r="CMW1" t="s">
        <v>2501</v>
      </c>
      <c r="CMX1" t="s">
        <v>2502</v>
      </c>
      <c r="CMY1" t="s">
        <v>2503</v>
      </c>
      <c r="CMZ1" t="s">
        <v>2504</v>
      </c>
      <c r="CNA1" t="s">
        <v>2505</v>
      </c>
      <c r="CNB1" t="s">
        <v>2506</v>
      </c>
      <c r="CNC1" t="s">
        <v>2507</v>
      </c>
      <c r="CND1" t="s">
        <v>2508</v>
      </c>
      <c r="CNE1" t="s">
        <v>2509</v>
      </c>
      <c r="CNF1" t="s">
        <v>2510</v>
      </c>
      <c r="CNG1" t="s">
        <v>2511</v>
      </c>
      <c r="CNH1" t="s">
        <v>2512</v>
      </c>
      <c r="CNI1" t="s">
        <v>2513</v>
      </c>
      <c r="CNJ1" t="s">
        <v>2514</v>
      </c>
      <c r="CNK1" t="s">
        <v>2515</v>
      </c>
      <c r="CNL1" t="s">
        <v>2516</v>
      </c>
      <c r="CNM1" t="s">
        <v>2517</v>
      </c>
      <c r="CNN1" t="s">
        <v>2518</v>
      </c>
      <c r="CNO1" t="s">
        <v>2519</v>
      </c>
      <c r="CNP1" t="s">
        <v>2520</v>
      </c>
      <c r="CNQ1" t="s">
        <v>2521</v>
      </c>
      <c r="CNR1" t="s">
        <v>2522</v>
      </c>
      <c r="CNS1" t="s">
        <v>2523</v>
      </c>
      <c r="CNT1" t="s">
        <v>2524</v>
      </c>
      <c r="CNU1" t="s">
        <v>2525</v>
      </c>
      <c r="CNV1" t="s">
        <v>2526</v>
      </c>
      <c r="CNW1" t="s">
        <v>2527</v>
      </c>
      <c r="CNX1" t="s">
        <v>2528</v>
      </c>
      <c r="CNY1" t="s">
        <v>2529</v>
      </c>
      <c r="CNZ1" t="s">
        <v>2530</v>
      </c>
      <c r="COA1" t="s">
        <v>2531</v>
      </c>
      <c r="COB1" t="s">
        <v>2532</v>
      </c>
      <c r="COC1" t="s">
        <v>2533</v>
      </c>
      <c r="COD1" t="s">
        <v>2534</v>
      </c>
      <c r="COE1" t="s">
        <v>2535</v>
      </c>
      <c r="COF1" t="s">
        <v>2536</v>
      </c>
      <c r="COG1" t="s">
        <v>2537</v>
      </c>
      <c r="COH1" t="s">
        <v>2538</v>
      </c>
      <c r="COI1" t="s">
        <v>2539</v>
      </c>
      <c r="COJ1" t="s">
        <v>2540</v>
      </c>
      <c r="COK1" t="s">
        <v>2541</v>
      </c>
      <c r="COL1" t="s">
        <v>2542</v>
      </c>
      <c r="COM1" t="s">
        <v>2543</v>
      </c>
      <c r="CON1" t="s">
        <v>2544</v>
      </c>
      <c r="COO1" t="s">
        <v>2545</v>
      </c>
      <c r="COP1" t="s">
        <v>2546</v>
      </c>
      <c r="COQ1" t="s">
        <v>2547</v>
      </c>
      <c r="COR1" t="s">
        <v>2548</v>
      </c>
      <c r="COS1" t="s">
        <v>2549</v>
      </c>
      <c r="COT1" t="s">
        <v>2550</v>
      </c>
      <c r="COU1" t="s">
        <v>2551</v>
      </c>
      <c r="COV1" t="s">
        <v>2552</v>
      </c>
      <c r="COW1" t="s">
        <v>2553</v>
      </c>
      <c r="COX1" t="s">
        <v>2554</v>
      </c>
      <c r="COY1" t="s">
        <v>2555</v>
      </c>
      <c r="COZ1" t="s">
        <v>2556</v>
      </c>
      <c r="CPA1" t="s">
        <v>2557</v>
      </c>
      <c r="CPB1" t="s">
        <v>2558</v>
      </c>
      <c r="CPC1" t="s">
        <v>2559</v>
      </c>
      <c r="CPD1" t="s">
        <v>2560</v>
      </c>
      <c r="CPE1" t="s">
        <v>2561</v>
      </c>
      <c r="CPF1" t="s">
        <v>2562</v>
      </c>
      <c r="CPG1" t="s">
        <v>2563</v>
      </c>
      <c r="CPH1" t="s">
        <v>2564</v>
      </c>
      <c r="CPI1" t="s">
        <v>2565</v>
      </c>
      <c r="CPJ1" t="s">
        <v>2566</v>
      </c>
      <c r="CPK1" t="s">
        <v>2567</v>
      </c>
      <c r="CPL1" t="s">
        <v>2568</v>
      </c>
      <c r="CPM1" t="s">
        <v>2569</v>
      </c>
      <c r="CPN1" t="s">
        <v>2570</v>
      </c>
      <c r="CPO1" t="s">
        <v>2571</v>
      </c>
      <c r="CPP1" t="s">
        <v>2572</v>
      </c>
      <c r="CPQ1" t="s">
        <v>2573</v>
      </c>
      <c r="CPR1" t="s">
        <v>2574</v>
      </c>
      <c r="CPS1" t="s">
        <v>2575</v>
      </c>
      <c r="CPT1" t="s">
        <v>2576</v>
      </c>
      <c r="CPU1" t="s">
        <v>2577</v>
      </c>
      <c r="CPV1" t="s">
        <v>2578</v>
      </c>
      <c r="CPW1" t="s">
        <v>2579</v>
      </c>
      <c r="CPX1" t="s">
        <v>2580</v>
      </c>
      <c r="CPY1" t="s">
        <v>2581</v>
      </c>
      <c r="CPZ1" t="s">
        <v>2582</v>
      </c>
      <c r="CQA1" t="s">
        <v>2583</v>
      </c>
      <c r="CQB1" t="s">
        <v>2584</v>
      </c>
      <c r="CQC1" t="s">
        <v>2585</v>
      </c>
      <c r="CQD1" t="s">
        <v>2586</v>
      </c>
      <c r="CQE1" t="s">
        <v>2587</v>
      </c>
      <c r="CQF1" t="s">
        <v>2588</v>
      </c>
      <c r="CQG1" t="s">
        <v>2589</v>
      </c>
      <c r="CQH1" t="s">
        <v>2590</v>
      </c>
      <c r="CQI1" t="s">
        <v>2591</v>
      </c>
      <c r="CQJ1" t="s">
        <v>2592</v>
      </c>
      <c r="CQK1" t="s">
        <v>2593</v>
      </c>
      <c r="CQL1" t="s">
        <v>2594</v>
      </c>
      <c r="CQM1" t="s">
        <v>2595</v>
      </c>
      <c r="CQN1" t="s">
        <v>2596</v>
      </c>
      <c r="CQO1" t="s">
        <v>2597</v>
      </c>
      <c r="CQP1" t="s">
        <v>2598</v>
      </c>
      <c r="CQQ1" t="s">
        <v>2599</v>
      </c>
      <c r="CQR1" t="s">
        <v>2600</v>
      </c>
      <c r="CQS1" t="s">
        <v>2601</v>
      </c>
      <c r="CQT1" t="s">
        <v>2602</v>
      </c>
      <c r="CQU1" t="s">
        <v>2603</v>
      </c>
      <c r="CQV1" t="s">
        <v>2604</v>
      </c>
      <c r="CQW1" t="s">
        <v>2605</v>
      </c>
      <c r="CQX1" t="s">
        <v>2606</v>
      </c>
      <c r="CQY1" t="s">
        <v>2607</v>
      </c>
      <c r="CQZ1" t="s">
        <v>2608</v>
      </c>
      <c r="CRA1" t="s">
        <v>2609</v>
      </c>
      <c r="CRB1" t="s">
        <v>2610</v>
      </c>
      <c r="CRC1" t="s">
        <v>2611</v>
      </c>
      <c r="CRD1" t="s">
        <v>2612</v>
      </c>
      <c r="CRE1" t="s">
        <v>2613</v>
      </c>
      <c r="CRF1" t="s">
        <v>2614</v>
      </c>
      <c r="CRG1" t="s">
        <v>2615</v>
      </c>
      <c r="CRH1" t="s">
        <v>2616</v>
      </c>
      <c r="CRI1" t="s">
        <v>2617</v>
      </c>
      <c r="CRJ1" t="s">
        <v>2618</v>
      </c>
      <c r="CRK1" t="s">
        <v>2619</v>
      </c>
      <c r="CRL1" t="s">
        <v>2620</v>
      </c>
      <c r="CRM1" t="s">
        <v>2621</v>
      </c>
      <c r="CRN1" t="s">
        <v>2622</v>
      </c>
      <c r="CRO1" t="s">
        <v>2623</v>
      </c>
      <c r="CRP1" t="s">
        <v>2624</v>
      </c>
      <c r="CRQ1" t="s">
        <v>2625</v>
      </c>
      <c r="CRR1" t="s">
        <v>2626</v>
      </c>
      <c r="CRS1" t="s">
        <v>2627</v>
      </c>
      <c r="CRT1" t="s">
        <v>2628</v>
      </c>
      <c r="CRU1" t="s">
        <v>2629</v>
      </c>
      <c r="CRV1" t="s">
        <v>2630</v>
      </c>
      <c r="CRW1" t="s">
        <v>2631</v>
      </c>
      <c r="CRX1" t="s">
        <v>2632</v>
      </c>
      <c r="CRY1" t="s">
        <v>2633</v>
      </c>
      <c r="CRZ1" t="s">
        <v>2634</v>
      </c>
      <c r="CSA1" t="s">
        <v>2635</v>
      </c>
      <c r="CSB1" t="s">
        <v>2636</v>
      </c>
      <c r="CSC1" t="s">
        <v>2637</v>
      </c>
      <c r="CSD1" t="s">
        <v>2638</v>
      </c>
      <c r="CSE1" t="s">
        <v>2639</v>
      </c>
      <c r="CSF1" t="s">
        <v>2640</v>
      </c>
      <c r="CSG1" t="s">
        <v>2641</v>
      </c>
      <c r="CSH1" t="s">
        <v>2642</v>
      </c>
      <c r="CSI1" t="s">
        <v>2643</v>
      </c>
      <c r="CSJ1" t="s">
        <v>2644</v>
      </c>
      <c r="CSK1" t="s">
        <v>2645</v>
      </c>
      <c r="CSL1" t="s">
        <v>2646</v>
      </c>
      <c r="CSM1" t="s">
        <v>2647</v>
      </c>
      <c r="CSN1" t="s">
        <v>2648</v>
      </c>
      <c r="CSO1" t="s">
        <v>2649</v>
      </c>
      <c r="CSP1" t="s">
        <v>2650</v>
      </c>
      <c r="CSQ1" t="s">
        <v>2651</v>
      </c>
      <c r="CSR1" t="s">
        <v>2652</v>
      </c>
      <c r="CSS1" t="s">
        <v>2653</v>
      </c>
      <c r="CST1" t="s">
        <v>2654</v>
      </c>
      <c r="CSU1" t="s">
        <v>2655</v>
      </c>
      <c r="CSV1" t="s">
        <v>2656</v>
      </c>
      <c r="CSW1" t="s">
        <v>2657</v>
      </c>
      <c r="CSX1" t="s">
        <v>2658</v>
      </c>
      <c r="CSY1" t="s">
        <v>2659</v>
      </c>
      <c r="CSZ1" t="s">
        <v>2660</v>
      </c>
      <c r="CTA1" t="s">
        <v>2661</v>
      </c>
      <c r="CTB1" t="s">
        <v>2662</v>
      </c>
      <c r="CTC1" t="s">
        <v>2663</v>
      </c>
      <c r="CTD1" t="s">
        <v>2664</v>
      </c>
      <c r="CTE1" t="s">
        <v>2665</v>
      </c>
      <c r="CTF1" t="s">
        <v>2666</v>
      </c>
      <c r="CTG1" t="s">
        <v>2667</v>
      </c>
      <c r="CTH1" t="s">
        <v>2668</v>
      </c>
      <c r="CTI1" t="s">
        <v>2669</v>
      </c>
      <c r="CTJ1" t="s">
        <v>2670</v>
      </c>
      <c r="CTK1" t="s">
        <v>2671</v>
      </c>
      <c r="CTL1" t="s">
        <v>2672</v>
      </c>
      <c r="CTM1" t="s">
        <v>2673</v>
      </c>
      <c r="CTN1" t="s">
        <v>2674</v>
      </c>
      <c r="CTO1" t="s">
        <v>2675</v>
      </c>
      <c r="CTP1" t="s">
        <v>2676</v>
      </c>
      <c r="CTQ1" t="s">
        <v>2677</v>
      </c>
      <c r="CTR1" t="s">
        <v>2678</v>
      </c>
      <c r="CTS1" t="s">
        <v>2679</v>
      </c>
      <c r="CTT1" t="s">
        <v>2680</v>
      </c>
      <c r="CTU1" t="s">
        <v>2681</v>
      </c>
      <c r="CTV1" t="s">
        <v>2682</v>
      </c>
      <c r="CTW1" t="s">
        <v>2683</v>
      </c>
      <c r="CTX1" t="s">
        <v>2684</v>
      </c>
      <c r="CTY1" t="s">
        <v>2685</v>
      </c>
      <c r="CTZ1" t="s">
        <v>2686</v>
      </c>
      <c r="CUA1" t="s">
        <v>2687</v>
      </c>
      <c r="CUB1" t="s">
        <v>2688</v>
      </c>
      <c r="CUC1" t="s">
        <v>2689</v>
      </c>
      <c r="CUD1" t="s">
        <v>2690</v>
      </c>
      <c r="CUE1" t="s">
        <v>2691</v>
      </c>
      <c r="CUF1" t="s">
        <v>2692</v>
      </c>
      <c r="CUG1" t="s">
        <v>2693</v>
      </c>
      <c r="CUH1" t="s">
        <v>2694</v>
      </c>
      <c r="CUI1" t="s">
        <v>2695</v>
      </c>
      <c r="CUJ1" t="s">
        <v>2696</v>
      </c>
      <c r="CUK1" t="s">
        <v>2697</v>
      </c>
      <c r="CUL1" t="s">
        <v>2698</v>
      </c>
      <c r="CUM1" t="s">
        <v>2699</v>
      </c>
      <c r="CUN1" t="s">
        <v>2700</v>
      </c>
      <c r="CUO1" t="s">
        <v>2701</v>
      </c>
      <c r="CUP1" t="s">
        <v>2702</v>
      </c>
      <c r="CUQ1" t="s">
        <v>2703</v>
      </c>
      <c r="CUR1" t="s">
        <v>2704</v>
      </c>
      <c r="CUS1" t="s">
        <v>2705</v>
      </c>
      <c r="CUT1" t="s">
        <v>2706</v>
      </c>
      <c r="CUU1" t="s">
        <v>2707</v>
      </c>
      <c r="CUV1" t="s">
        <v>2708</v>
      </c>
      <c r="CUW1" t="s">
        <v>2709</v>
      </c>
      <c r="CUX1" t="s">
        <v>2710</v>
      </c>
      <c r="CUY1" t="s">
        <v>2711</v>
      </c>
      <c r="CUZ1" t="s">
        <v>2712</v>
      </c>
      <c r="CVA1" t="s">
        <v>2713</v>
      </c>
      <c r="CVB1" t="s">
        <v>2714</v>
      </c>
      <c r="CVC1" t="s">
        <v>2715</v>
      </c>
      <c r="CVD1" t="s">
        <v>2716</v>
      </c>
      <c r="CVE1" t="s">
        <v>2717</v>
      </c>
      <c r="CVF1" t="s">
        <v>2718</v>
      </c>
      <c r="CVG1" t="s">
        <v>2719</v>
      </c>
      <c r="CVH1" t="s">
        <v>2720</v>
      </c>
      <c r="CVI1" t="s">
        <v>2721</v>
      </c>
      <c r="CVJ1" t="s">
        <v>2722</v>
      </c>
      <c r="CVK1" t="s">
        <v>2723</v>
      </c>
      <c r="CVL1" t="s">
        <v>2724</v>
      </c>
      <c r="CVM1" t="s">
        <v>2725</v>
      </c>
      <c r="CVN1" t="s">
        <v>2726</v>
      </c>
      <c r="CVO1" t="s">
        <v>2727</v>
      </c>
      <c r="CVP1" t="s">
        <v>2728</v>
      </c>
      <c r="CVQ1" t="s">
        <v>2729</v>
      </c>
      <c r="CVR1" t="s">
        <v>2730</v>
      </c>
      <c r="CVS1" t="s">
        <v>2731</v>
      </c>
      <c r="CVT1" t="s">
        <v>2732</v>
      </c>
      <c r="CVU1" t="s">
        <v>2733</v>
      </c>
      <c r="CVV1" t="s">
        <v>2734</v>
      </c>
      <c r="CVW1" t="s">
        <v>2735</v>
      </c>
      <c r="CVX1" t="s">
        <v>2736</v>
      </c>
      <c r="CVY1" t="s">
        <v>2737</v>
      </c>
      <c r="CVZ1" t="s">
        <v>2738</v>
      </c>
      <c r="CWA1" t="s">
        <v>2739</v>
      </c>
      <c r="CWB1" t="s">
        <v>2740</v>
      </c>
      <c r="CWC1" t="s">
        <v>2741</v>
      </c>
      <c r="CWD1" t="s">
        <v>2742</v>
      </c>
      <c r="CWE1" t="s">
        <v>2743</v>
      </c>
      <c r="CWF1" t="s">
        <v>2744</v>
      </c>
      <c r="CWG1" t="s">
        <v>2745</v>
      </c>
      <c r="CWH1" t="s">
        <v>2746</v>
      </c>
      <c r="CWI1" t="s">
        <v>2747</v>
      </c>
      <c r="CWJ1" t="s">
        <v>2748</v>
      </c>
      <c r="CWK1" t="s">
        <v>2749</v>
      </c>
      <c r="CWL1" t="s">
        <v>2750</v>
      </c>
      <c r="CWM1" t="s">
        <v>2751</v>
      </c>
      <c r="CWN1" t="s">
        <v>2752</v>
      </c>
      <c r="CWO1" t="s">
        <v>2753</v>
      </c>
      <c r="CWP1" t="s">
        <v>2754</v>
      </c>
      <c r="CWQ1" t="s">
        <v>2755</v>
      </c>
      <c r="CWR1" t="s">
        <v>2756</v>
      </c>
      <c r="CWS1" t="s">
        <v>2757</v>
      </c>
      <c r="CWT1" t="s">
        <v>2758</v>
      </c>
      <c r="CWU1" t="s">
        <v>2759</v>
      </c>
      <c r="CWV1" t="s">
        <v>2760</v>
      </c>
      <c r="CWW1" t="s">
        <v>2761</v>
      </c>
      <c r="CWX1" t="s">
        <v>2762</v>
      </c>
      <c r="CWY1" t="s">
        <v>2763</v>
      </c>
      <c r="CWZ1" t="s">
        <v>2764</v>
      </c>
      <c r="CXA1" t="s">
        <v>2765</v>
      </c>
      <c r="CXB1" t="s">
        <v>2766</v>
      </c>
      <c r="CXC1" t="s">
        <v>2767</v>
      </c>
      <c r="CXD1" t="s">
        <v>2768</v>
      </c>
      <c r="CXE1" t="s">
        <v>2769</v>
      </c>
      <c r="CXF1" t="s">
        <v>2770</v>
      </c>
      <c r="CXG1" t="s">
        <v>2771</v>
      </c>
      <c r="CXH1" t="s">
        <v>2772</v>
      </c>
      <c r="CXI1" t="s">
        <v>2773</v>
      </c>
      <c r="CXJ1" t="s">
        <v>2774</v>
      </c>
      <c r="CXK1" t="s">
        <v>2775</v>
      </c>
      <c r="CXL1" t="s">
        <v>2776</v>
      </c>
      <c r="CXM1" t="s">
        <v>2777</v>
      </c>
      <c r="CXN1" t="s">
        <v>2778</v>
      </c>
      <c r="CXO1" t="s">
        <v>2779</v>
      </c>
      <c r="CXP1" t="s">
        <v>2780</v>
      </c>
      <c r="CXQ1" t="s">
        <v>2781</v>
      </c>
      <c r="CXR1" t="s">
        <v>2782</v>
      </c>
      <c r="CXS1" t="s">
        <v>2783</v>
      </c>
      <c r="CXT1" t="s">
        <v>2784</v>
      </c>
      <c r="CXU1" t="s">
        <v>2785</v>
      </c>
      <c r="CXV1" t="s">
        <v>2786</v>
      </c>
      <c r="CXW1" t="s">
        <v>2787</v>
      </c>
      <c r="CXX1" t="s">
        <v>2788</v>
      </c>
      <c r="CXY1" t="s">
        <v>2789</v>
      </c>
      <c r="CXZ1" t="s">
        <v>2790</v>
      </c>
      <c r="CYA1" t="s">
        <v>2791</v>
      </c>
      <c r="CYB1" t="s">
        <v>2792</v>
      </c>
      <c r="CYC1" t="s">
        <v>2793</v>
      </c>
      <c r="CYD1" t="s">
        <v>2794</v>
      </c>
      <c r="CYE1" t="s">
        <v>2795</v>
      </c>
      <c r="CYF1" t="s">
        <v>2796</v>
      </c>
      <c r="CYG1" t="s">
        <v>2797</v>
      </c>
      <c r="CYH1" t="s">
        <v>2798</v>
      </c>
      <c r="CYI1" t="s">
        <v>2799</v>
      </c>
      <c r="CYJ1" t="s">
        <v>2800</v>
      </c>
      <c r="CYK1" t="s">
        <v>2801</v>
      </c>
      <c r="CYL1" t="s">
        <v>2802</v>
      </c>
      <c r="CYM1" t="s">
        <v>2803</v>
      </c>
      <c r="CYN1" t="s">
        <v>2804</v>
      </c>
      <c r="CYO1" t="s">
        <v>2805</v>
      </c>
      <c r="CYP1" t="s">
        <v>2806</v>
      </c>
      <c r="CYQ1" t="s">
        <v>2807</v>
      </c>
      <c r="CYR1" t="s">
        <v>2808</v>
      </c>
      <c r="CYS1" t="s">
        <v>2809</v>
      </c>
      <c r="CYT1" t="s">
        <v>2810</v>
      </c>
      <c r="CYU1" t="s">
        <v>2811</v>
      </c>
      <c r="CYV1" t="s">
        <v>2812</v>
      </c>
      <c r="CYW1" t="s">
        <v>2813</v>
      </c>
      <c r="CYX1" t="s">
        <v>2814</v>
      </c>
      <c r="CYY1" t="s">
        <v>2815</v>
      </c>
      <c r="CYZ1" t="s">
        <v>2816</v>
      </c>
      <c r="CZA1" t="s">
        <v>2817</v>
      </c>
      <c r="CZB1" t="s">
        <v>2818</v>
      </c>
      <c r="CZC1" t="s">
        <v>2819</v>
      </c>
      <c r="CZD1" t="s">
        <v>2820</v>
      </c>
      <c r="CZE1" t="s">
        <v>2821</v>
      </c>
      <c r="CZF1" t="s">
        <v>2822</v>
      </c>
      <c r="CZG1" t="s">
        <v>2823</v>
      </c>
      <c r="CZH1" t="s">
        <v>2824</v>
      </c>
      <c r="CZI1" t="s">
        <v>2825</v>
      </c>
      <c r="CZJ1" t="s">
        <v>2826</v>
      </c>
      <c r="CZK1" t="s">
        <v>2827</v>
      </c>
      <c r="CZL1" t="s">
        <v>2828</v>
      </c>
      <c r="CZM1" t="s">
        <v>2829</v>
      </c>
      <c r="CZN1" t="s">
        <v>2830</v>
      </c>
      <c r="CZO1" t="s">
        <v>2831</v>
      </c>
      <c r="CZP1" t="s">
        <v>2832</v>
      </c>
      <c r="CZQ1" t="s">
        <v>2833</v>
      </c>
      <c r="CZR1" t="s">
        <v>2834</v>
      </c>
      <c r="CZS1" t="s">
        <v>2835</v>
      </c>
      <c r="CZT1" t="s">
        <v>2836</v>
      </c>
      <c r="CZU1" t="s">
        <v>2837</v>
      </c>
      <c r="CZV1" t="s">
        <v>2838</v>
      </c>
      <c r="CZW1" t="s">
        <v>2839</v>
      </c>
      <c r="CZX1" t="s">
        <v>2840</v>
      </c>
      <c r="CZY1" t="s">
        <v>2841</v>
      </c>
      <c r="CZZ1" t="s">
        <v>2842</v>
      </c>
      <c r="DAA1" t="s">
        <v>2843</v>
      </c>
      <c r="DAB1" t="s">
        <v>2844</v>
      </c>
      <c r="DAC1" t="s">
        <v>2845</v>
      </c>
      <c r="DAD1" t="s">
        <v>2846</v>
      </c>
      <c r="DAE1" t="s">
        <v>2847</v>
      </c>
      <c r="DAF1" t="s">
        <v>2848</v>
      </c>
      <c r="DAG1" t="s">
        <v>2849</v>
      </c>
      <c r="DAH1" t="s">
        <v>2850</v>
      </c>
      <c r="DAI1" t="s">
        <v>2851</v>
      </c>
      <c r="DAJ1" t="s">
        <v>2852</v>
      </c>
      <c r="DAK1" t="s">
        <v>2853</v>
      </c>
      <c r="DAL1" t="s">
        <v>2854</v>
      </c>
      <c r="DAM1" t="s">
        <v>2855</v>
      </c>
      <c r="DAN1" t="s">
        <v>2856</v>
      </c>
      <c r="DAO1" t="s">
        <v>2857</v>
      </c>
      <c r="DAP1" t="s">
        <v>2858</v>
      </c>
      <c r="DAQ1" t="s">
        <v>2859</v>
      </c>
      <c r="DAR1" t="s">
        <v>2860</v>
      </c>
      <c r="DAS1" t="s">
        <v>2861</v>
      </c>
      <c r="DAT1" t="s">
        <v>2862</v>
      </c>
      <c r="DAU1" t="s">
        <v>2863</v>
      </c>
      <c r="DAV1" t="s">
        <v>2864</v>
      </c>
      <c r="DAW1" t="s">
        <v>2865</v>
      </c>
      <c r="DAX1" t="s">
        <v>2866</v>
      </c>
      <c r="DAY1" t="s">
        <v>2867</v>
      </c>
      <c r="DAZ1" t="s">
        <v>2868</v>
      </c>
      <c r="DBA1" t="s">
        <v>2869</v>
      </c>
      <c r="DBB1" t="s">
        <v>2870</v>
      </c>
      <c r="DBC1" t="s">
        <v>2871</v>
      </c>
      <c r="DBD1" t="s">
        <v>2872</v>
      </c>
      <c r="DBE1" t="s">
        <v>2873</v>
      </c>
      <c r="DBF1" t="s">
        <v>2874</v>
      </c>
      <c r="DBG1" t="s">
        <v>2875</v>
      </c>
      <c r="DBH1" t="s">
        <v>2876</v>
      </c>
      <c r="DBI1" t="s">
        <v>2877</v>
      </c>
      <c r="DBJ1" t="s">
        <v>2878</v>
      </c>
      <c r="DBK1" t="s">
        <v>2879</v>
      </c>
      <c r="DBL1" t="s">
        <v>2880</v>
      </c>
      <c r="DBM1" t="s">
        <v>2881</v>
      </c>
      <c r="DBN1" t="s">
        <v>2882</v>
      </c>
      <c r="DBO1" t="s">
        <v>2883</v>
      </c>
      <c r="DBP1" t="s">
        <v>2884</v>
      </c>
      <c r="DBQ1" t="s">
        <v>2885</v>
      </c>
      <c r="DBR1" t="s">
        <v>2886</v>
      </c>
      <c r="DBS1" t="s">
        <v>2887</v>
      </c>
      <c r="DBT1" t="s">
        <v>2888</v>
      </c>
      <c r="DBU1" t="s">
        <v>2889</v>
      </c>
      <c r="DBV1" t="s">
        <v>2890</v>
      </c>
      <c r="DBW1" t="s">
        <v>2891</v>
      </c>
      <c r="DBX1" t="s">
        <v>2892</v>
      </c>
      <c r="DBY1" t="s">
        <v>2893</v>
      </c>
      <c r="DBZ1" t="s">
        <v>2894</v>
      </c>
      <c r="DCA1" t="s">
        <v>2895</v>
      </c>
      <c r="DCB1" t="s">
        <v>2896</v>
      </c>
      <c r="DCC1" t="s">
        <v>2897</v>
      </c>
      <c r="DCD1" t="s">
        <v>2898</v>
      </c>
      <c r="DCE1" t="s">
        <v>2899</v>
      </c>
      <c r="DCF1" t="s">
        <v>2900</v>
      </c>
      <c r="DCG1" t="s">
        <v>2901</v>
      </c>
      <c r="DCH1" t="s">
        <v>2902</v>
      </c>
      <c r="DCI1" t="s">
        <v>2903</v>
      </c>
      <c r="DCJ1" t="s">
        <v>2904</v>
      </c>
      <c r="DCK1" t="s">
        <v>2905</v>
      </c>
      <c r="DCL1" t="s">
        <v>2906</v>
      </c>
      <c r="DCM1" t="s">
        <v>2907</v>
      </c>
      <c r="DCN1" t="s">
        <v>2908</v>
      </c>
      <c r="DCO1" t="s">
        <v>2909</v>
      </c>
      <c r="DCP1" t="s">
        <v>2910</v>
      </c>
      <c r="DCQ1" t="s">
        <v>2911</v>
      </c>
      <c r="DCR1" t="s">
        <v>2912</v>
      </c>
      <c r="DCS1" t="s">
        <v>2913</v>
      </c>
      <c r="DCT1" t="s">
        <v>2914</v>
      </c>
      <c r="DCU1" t="s">
        <v>2915</v>
      </c>
      <c r="DCV1" t="s">
        <v>2916</v>
      </c>
      <c r="DCW1" t="s">
        <v>2917</v>
      </c>
      <c r="DCX1" t="s">
        <v>2918</v>
      </c>
      <c r="DCY1" t="s">
        <v>2919</v>
      </c>
      <c r="DCZ1" t="s">
        <v>2920</v>
      </c>
      <c r="DDA1" t="s">
        <v>2921</v>
      </c>
      <c r="DDB1" t="s">
        <v>2922</v>
      </c>
      <c r="DDC1" t="s">
        <v>2923</v>
      </c>
      <c r="DDD1" t="s">
        <v>2924</v>
      </c>
      <c r="DDE1" t="s">
        <v>2925</v>
      </c>
      <c r="DDF1" t="s">
        <v>2926</v>
      </c>
      <c r="DDG1" t="s">
        <v>2927</v>
      </c>
      <c r="DDH1" t="s">
        <v>2928</v>
      </c>
      <c r="DDI1" t="s">
        <v>2929</v>
      </c>
      <c r="DDJ1" t="s">
        <v>2930</v>
      </c>
      <c r="DDK1" t="s">
        <v>2931</v>
      </c>
      <c r="DDL1" t="s">
        <v>2932</v>
      </c>
      <c r="DDM1" t="s">
        <v>2933</v>
      </c>
      <c r="DDN1" t="s">
        <v>2934</v>
      </c>
      <c r="DDO1" t="s">
        <v>2935</v>
      </c>
      <c r="DDP1" t="s">
        <v>2936</v>
      </c>
      <c r="DDQ1" t="s">
        <v>2937</v>
      </c>
      <c r="DDR1" t="s">
        <v>2938</v>
      </c>
      <c r="DDS1" t="s">
        <v>2939</v>
      </c>
      <c r="DDT1" t="s">
        <v>2940</v>
      </c>
      <c r="DDU1" t="s">
        <v>2941</v>
      </c>
      <c r="DDV1" t="s">
        <v>2942</v>
      </c>
      <c r="DDW1" t="s">
        <v>2943</v>
      </c>
      <c r="DDX1" t="s">
        <v>2944</v>
      </c>
      <c r="DDY1" t="s">
        <v>2945</v>
      </c>
      <c r="DDZ1" t="s">
        <v>2946</v>
      </c>
      <c r="DEA1" t="s">
        <v>2947</v>
      </c>
      <c r="DEB1" t="s">
        <v>2948</v>
      </c>
      <c r="DEC1" t="s">
        <v>2949</v>
      </c>
      <c r="DED1" t="s">
        <v>2950</v>
      </c>
      <c r="DEE1" t="s">
        <v>2951</v>
      </c>
      <c r="DEF1" t="s">
        <v>2952</v>
      </c>
      <c r="DEG1" t="s">
        <v>2953</v>
      </c>
      <c r="DEH1" t="s">
        <v>2954</v>
      </c>
      <c r="DEI1" t="s">
        <v>2955</v>
      </c>
      <c r="DEJ1" t="s">
        <v>2956</v>
      </c>
      <c r="DEK1" t="s">
        <v>2957</v>
      </c>
      <c r="DEL1" t="s">
        <v>2958</v>
      </c>
      <c r="DEM1" t="s">
        <v>2959</v>
      </c>
      <c r="DEN1" t="s">
        <v>2960</v>
      </c>
      <c r="DEO1" t="s">
        <v>2961</v>
      </c>
      <c r="DEP1" t="s">
        <v>2962</v>
      </c>
      <c r="DEQ1" t="s">
        <v>2963</v>
      </c>
      <c r="DER1" t="s">
        <v>2964</v>
      </c>
      <c r="DES1" t="s">
        <v>2965</v>
      </c>
      <c r="DET1" t="s">
        <v>2966</v>
      </c>
      <c r="DEU1" t="s">
        <v>2967</v>
      </c>
      <c r="DEV1" t="s">
        <v>2968</v>
      </c>
      <c r="DEW1" t="s">
        <v>2969</v>
      </c>
      <c r="DEX1" t="s">
        <v>2970</v>
      </c>
      <c r="DEY1" t="s">
        <v>2971</v>
      </c>
      <c r="DEZ1" t="s">
        <v>2972</v>
      </c>
      <c r="DFA1" t="s">
        <v>2973</v>
      </c>
      <c r="DFB1" t="s">
        <v>2974</v>
      </c>
      <c r="DFC1" t="s">
        <v>2975</v>
      </c>
      <c r="DFD1" t="s">
        <v>2976</v>
      </c>
      <c r="DFE1" t="s">
        <v>2977</v>
      </c>
      <c r="DFF1" t="s">
        <v>2978</v>
      </c>
      <c r="DFG1" t="s">
        <v>2979</v>
      </c>
      <c r="DFH1" t="s">
        <v>2980</v>
      </c>
      <c r="DFI1" t="s">
        <v>2981</v>
      </c>
      <c r="DFJ1" t="s">
        <v>2982</v>
      </c>
      <c r="DFK1" t="s">
        <v>2983</v>
      </c>
      <c r="DFL1" t="s">
        <v>2984</v>
      </c>
      <c r="DFM1" t="s">
        <v>2985</v>
      </c>
      <c r="DFN1" t="s">
        <v>2986</v>
      </c>
      <c r="DFO1" t="s">
        <v>2987</v>
      </c>
      <c r="DFP1" t="s">
        <v>2988</v>
      </c>
      <c r="DFQ1" t="s">
        <v>2989</v>
      </c>
      <c r="DFR1" t="s">
        <v>2990</v>
      </c>
      <c r="DFS1" t="s">
        <v>2991</v>
      </c>
      <c r="DFT1" t="s">
        <v>2992</v>
      </c>
      <c r="DFU1" t="s">
        <v>2993</v>
      </c>
      <c r="DFV1" t="s">
        <v>2994</v>
      </c>
      <c r="DFW1" t="s">
        <v>2995</v>
      </c>
      <c r="DFX1" t="s">
        <v>2996</v>
      </c>
      <c r="DFY1" t="s">
        <v>2997</v>
      </c>
      <c r="DFZ1" t="s">
        <v>2998</v>
      </c>
      <c r="DGA1" t="s">
        <v>2999</v>
      </c>
      <c r="DGB1" t="s">
        <v>3000</v>
      </c>
      <c r="DGC1" t="s">
        <v>3001</v>
      </c>
      <c r="DGD1" t="s">
        <v>3002</v>
      </c>
      <c r="DGE1" t="s">
        <v>3003</v>
      </c>
      <c r="DGF1" t="s">
        <v>3004</v>
      </c>
      <c r="DGG1" t="s">
        <v>3005</v>
      </c>
      <c r="DGH1" t="s">
        <v>3006</v>
      </c>
      <c r="DGI1" t="s">
        <v>3007</v>
      </c>
      <c r="DGJ1" t="s">
        <v>3008</v>
      </c>
      <c r="DGK1" t="s">
        <v>3009</v>
      </c>
      <c r="DGL1" t="s">
        <v>3010</v>
      </c>
      <c r="DGM1" t="s">
        <v>3011</v>
      </c>
      <c r="DGN1" t="s">
        <v>3012</v>
      </c>
      <c r="DGO1" t="s">
        <v>3013</v>
      </c>
      <c r="DGP1" t="s">
        <v>3014</v>
      </c>
      <c r="DGQ1" t="s">
        <v>3015</v>
      </c>
      <c r="DGR1" t="s">
        <v>3016</v>
      </c>
      <c r="DGS1" t="s">
        <v>3017</v>
      </c>
      <c r="DGT1" t="s">
        <v>3018</v>
      </c>
      <c r="DGU1" t="s">
        <v>3019</v>
      </c>
      <c r="DGV1" t="s">
        <v>3020</v>
      </c>
      <c r="DGW1" t="s">
        <v>3021</v>
      </c>
      <c r="DGX1" t="s">
        <v>3022</v>
      </c>
      <c r="DGY1" t="s">
        <v>3023</v>
      </c>
      <c r="DGZ1" t="s">
        <v>3024</v>
      </c>
      <c r="DHA1" t="s">
        <v>3025</v>
      </c>
      <c r="DHB1" t="s">
        <v>3026</v>
      </c>
      <c r="DHC1" t="s">
        <v>3027</v>
      </c>
      <c r="DHD1" t="s">
        <v>3028</v>
      </c>
      <c r="DHE1" t="s">
        <v>3029</v>
      </c>
      <c r="DHF1" t="s">
        <v>3030</v>
      </c>
      <c r="DHG1" t="s">
        <v>3031</v>
      </c>
      <c r="DHH1" t="s">
        <v>3032</v>
      </c>
      <c r="DHI1" t="s">
        <v>3033</v>
      </c>
      <c r="DHJ1" t="s">
        <v>3034</v>
      </c>
      <c r="DHK1" t="s">
        <v>3035</v>
      </c>
      <c r="DHL1" t="s">
        <v>3036</v>
      </c>
      <c r="DHM1" t="s">
        <v>3037</v>
      </c>
      <c r="DHN1" t="s">
        <v>3038</v>
      </c>
      <c r="DHO1" t="s">
        <v>3039</v>
      </c>
      <c r="DHP1" t="s">
        <v>3040</v>
      </c>
      <c r="DHQ1" t="s">
        <v>3041</v>
      </c>
      <c r="DHR1" t="s">
        <v>3042</v>
      </c>
      <c r="DHS1" t="s">
        <v>3043</v>
      </c>
      <c r="DHT1" t="s">
        <v>3044</v>
      </c>
      <c r="DHU1" t="s">
        <v>3045</v>
      </c>
      <c r="DHV1" t="s">
        <v>3046</v>
      </c>
      <c r="DHW1" t="s">
        <v>3047</v>
      </c>
      <c r="DHX1" t="s">
        <v>3048</v>
      </c>
      <c r="DHY1" t="s">
        <v>3049</v>
      </c>
      <c r="DHZ1" t="s">
        <v>3050</v>
      </c>
      <c r="DIA1" t="s">
        <v>3051</v>
      </c>
      <c r="DIB1" t="s">
        <v>3052</v>
      </c>
      <c r="DIC1" t="s">
        <v>3053</v>
      </c>
      <c r="DID1" t="s">
        <v>3054</v>
      </c>
      <c r="DIE1" t="s">
        <v>3055</v>
      </c>
      <c r="DIF1" t="s">
        <v>3056</v>
      </c>
      <c r="DIG1" t="s">
        <v>3057</v>
      </c>
      <c r="DIH1" t="s">
        <v>3058</v>
      </c>
      <c r="DII1" t="s">
        <v>3059</v>
      </c>
      <c r="DIJ1" t="s">
        <v>3060</v>
      </c>
      <c r="DIK1" t="s">
        <v>3061</v>
      </c>
      <c r="DIL1" t="s">
        <v>3062</v>
      </c>
      <c r="DIM1" t="s">
        <v>3063</v>
      </c>
      <c r="DIN1" t="s">
        <v>3064</v>
      </c>
      <c r="DIO1" t="s">
        <v>3065</v>
      </c>
      <c r="DIP1" t="s">
        <v>3066</v>
      </c>
      <c r="DIQ1" t="s">
        <v>3067</v>
      </c>
      <c r="DIR1" t="s">
        <v>3068</v>
      </c>
      <c r="DIS1" t="s">
        <v>3069</v>
      </c>
      <c r="DIT1" t="s">
        <v>3070</v>
      </c>
      <c r="DIU1" t="s">
        <v>3071</v>
      </c>
      <c r="DIV1" t="s">
        <v>3072</v>
      </c>
      <c r="DIW1" t="s">
        <v>3073</v>
      </c>
      <c r="DIX1" t="s">
        <v>3074</v>
      </c>
      <c r="DIY1" t="s">
        <v>3075</v>
      </c>
      <c r="DIZ1" t="s">
        <v>3076</v>
      </c>
      <c r="DJA1" t="s">
        <v>3077</v>
      </c>
      <c r="DJB1" t="s">
        <v>3078</v>
      </c>
      <c r="DJC1" t="s">
        <v>3079</v>
      </c>
      <c r="DJD1" t="s">
        <v>3080</v>
      </c>
      <c r="DJE1" t="s">
        <v>3081</v>
      </c>
      <c r="DJF1" t="s">
        <v>3082</v>
      </c>
      <c r="DJG1" t="s">
        <v>3083</v>
      </c>
      <c r="DJH1" t="s">
        <v>3084</v>
      </c>
      <c r="DJI1" t="s">
        <v>3085</v>
      </c>
      <c r="DJJ1" t="s">
        <v>3086</v>
      </c>
      <c r="DJK1" t="s">
        <v>3087</v>
      </c>
      <c r="DJL1" t="s">
        <v>3088</v>
      </c>
      <c r="DJM1" t="s">
        <v>3089</v>
      </c>
      <c r="DJN1" t="s">
        <v>3090</v>
      </c>
      <c r="DJO1" t="s">
        <v>3091</v>
      </c>
      <c r="DJP1" t="s">
        <v>3092</v>
      </c>
      <c r="DJQ1" t="s">
        <v>3093</v>
      </c>
      <c r="DJR1" t="s">
        <v>3094</v>
      </c>
      <c r="DJS1" t="s">
        <v>3095</v>
      </c>
      <c r="DJT1" t="s">
        <v>3096</v>
      </c>
      <c r="DJU1" t="s">
        <v>3097</v>
      </c>
      <c r="DJV1" t="s">
        <v>3098</v>
      </c>
      <c r="DJW1" t="s">
        <v>3099</v>
      </c>
      <c r="DJX1" t="s">
        <v>3100</v>
      </c>
      <c r="DJY1" t="s">
        <v>3101</v>
      </c>
      <c r="DJZ1" t="s">
        <v>3102</v>
      </c>
      <c r="DKA1" t="s">
        <v>3103</v>
      </c>
      <c r="DKB1" t="s">
        <v>3104</v>
      </c>
      <c r="DKC1" t="s">
        <v>3105</v>
      </c>
      <c r="DKD1" t="s">
        <v>3106</v>
      </c>
      <c r="DKE1" t="s">
        <v>3107</v>
      </c>
      <c r="DKF1" t="s">
        <v>3108</v>
      </c>
      <c r="DKG1" t="s">
        <v>3109</v>
      </c>
      <c r="DKH1" t="s">
        <v>3110</v>
      </c>
      <c r="DKI1" t="s">
        <v>3111</v>
      </c>
      <c r="DKJ1" t="s">
        <v>3112</v>
      </c>
      <c r="DKK1" t="s">
        <v>3113</v>
      </c>
      <c r="DKL1" t="s">
        <v>3114</v>
      </c>
      <c r="DKM1" t="s">
        <v>3115</v>
      </c>
      <c r="DKN1" t="s">
        <v>3116</v>
      </c>
      <c r="DKO1" t="s">
        <v>3117</v>
      </c>
      <c r="DKP1" t="s">
        <v>3118</v>
      </c>
      <c r="DKQ1" t="s">
        <v>3119</v>
      </c>
      <c r="DKR1" t="s">
        <v>3120</v>
      </c>
      <c r="DKS1" t="s">
        <v>3121</v>
      </c>
      <c r="DKT1" t="s">
        <v>3122</v>
      </c>
      <c r="DKU1" t="s">
        <v>3123</v>
      </c>
      <c r="DKV1" t="s">
        <v>3124</v>
      </c>
      <c r="DKW1" t="s">
        <v>3125</v>
      </c>
      <c r="DKX1" t="s">
        <v>3126</v>
      </c>
      <c r="DKY1" t="s">
        <v>3127</v>
      </c>
      <c r="DKZ1" t="s">
        <v>3128</v>
      </c>
      <c r="DLA1" t="s">
        <v>3129</v>
      </c>
      <c r="DLB1" t="s">
        <v>3130</v>
      </c>
      <c r="DLC1" t="s">
        <v>3131</v>
      </c>
      <c r="DLD1" t="s">
        <v>3132</v>
      </c>
      <c r="DLE1" t="s">
        <v>3133</v>
      </c>
      <c r="DLF1" t="s">
        <v>3134</v>
      </c>
      <c r="DLG1" t="s">
        <v>3135</v>
      </c>
      <c r="DLH1" t="s">
        <v>3136</v>
      </c>
      <c r="DLI1" t="s">
        <v>3137</v>
      </c>
      <c r="DLJ1" t="s">
        <v>3138</v>
      </c>
      <c r="DLK1" t="s">
        <v>3139</v>
      </c>
      <c r="DLL1" t="s">
        <v>3140</v>
      </c>
      <c r="DLM1" t="s">
        <v>3141</v>
      </c>
      <c r="DLN1" t="s">
        <v>3142</v>
      </c>
      <c r="DLO1" t="s">
        <v>3143</v>
      </c>
      <c r="DLP1" t="s">
        <v>3144</v>
      </c>
      <c r="DLQ1" t="s">
        <v>3145</v>
      </c>
      <c r="DLR1" t="s">
        <v>3146</v>
      </c>
      <c r="DLS1" t="s">
        <v>3147</v>
      </c>
      <c r="DLT1" t="s">
        <v>3148</v>
      </c>
      <c r="DLU1" t="s">
        <v>3149</v>
      </c>
      <c r="DLV1" t="s">
        <v>3150</v>
      </c>
      <c r="DLW1" t="s">
        <v>3151</v>
      </c>
      <c r="DLX1" t="s">
        <v>3152</v>
      </c>
      <c r="DLY1" t="s">
        <v>3153</v>
      </c>
      <c r="DLZ1" t="s">
        <v>3154</v>
      </c>
      <c r="DMA1" t="s">
        <v>3155</v>
      </c>
      <c r="DMB1" t="s">
        <v>3156</v>
      </c>
      <c r="DMC1" t="s">
        <v>3157</v>
      </c>
      <c r="DMD1" t="s">
        <v>3158</v>
      </c>
      <c r="DME1" t="s">
        <v>3159</v>
      </c>
      <c r="DMF1" t="s">
        <v>3160</v>
      </c>
      <c r="DMG1" t="s">
        <v>3161</v>
      </c>
      <c r="DMH1" t="s">
        <v>3162</v>
      </c>
      <c r="DMI1" t="s">
        <v>3163</v>
      </c>
      <c r="DMJ1" t="s">
        <v>3164</v>
      </c>
      <c r="DMK1" t="s">
        <v>3165</v>
      </c>
      <c r="DML1" t="s">
        <v>3166</v>
      </c>
      <c r="DMM1" t="s">
        <v>3167</v>
      </c>
      <c r="DMN1" t="s">
        <v>3168</v>
      </c>
      <c r="DMO1" t="s">
        <v>3169</v>
      </c>
      <c r="DMP1" t="s">
        <v>3170</v>
      </c>
      <c r="DMQ1" t="s">
        <v>3171</v>
      </c>
      <c r="DMR1" t="s">
        <v>3172</v>
      </c>
      <c r="DMS1" t="s">
        <v>3173</v>
      </c>
      <c r="DMT1" t="s">
        <v>3174</v>
      </c>
      <c r="DMU1" t="s">
        <v>3175</v>
      </c>
      <c r="DMV1" t="s">
        <v>3176</v>
      </c>
      <c r="DMW1" t="s">
        <v>3177</v>
      </c>
      <c r="DMX1" t="s">
        <v>3178</v>
      </c>
      <c r="DMY1" t="s">
        <v>3179</v>
      </c>
      <c r="DMZ1" t="s">
        <v>3180</v>
      </c>
      <c r="DNA1" t="s">
        <v>3181</v>
      </c>
      <c r="DNB1" t="s">
        <v>3182</v>
      </c>
      <c r="DNC1" t="s">
        <v>3183</v>
      </c>
      <c r="DND1" t="s">
        <v>3184</v>
      </c>
      <c r="DNE1" t="s">
        <v>3185</v>
      </c>
      <c r="DNF1" t="s">
        <v>3186</v>
      </c>
      <c r="DNG1" t="s">
        <v>3187</v>
      </c>
      <c r="DNH1" t="s">
        <v>3188</v>
      </c>
      <c r="DNI1" t="s">
        <v>3189</v>
      </c>
      <c r="DNJ1" t="s">
        <v>3190</v>
      </c>
      <c r="DNK1" t="s">
        <v>3191</v>
      </c>
      <c r="DNL1" t="s">
        <v>3192</v>
      </c>
      <c r="DNM1" t="s">
        <v>3193</v>
      </c>
      <c r="DNN1" t="s">
        <v>3194</v>
      </c>
      <c r="DNO1" t="s">
        <v>3195</v>
      </c>
      <c r="DNP1" t="s">
        <v>3196</v>
      </c>
      <c r="DNQ1" t="s">
        <v>3197</v>
      </c>
      <c r="DNR1" t="s">
        <v>3198</v>
      </c>
      <c r="DNS1" t="s">
        <v>3199</v>
      </c>
      <c r="DNT1" t="s">
        <v>3200</v>
      </c>
      <c r="DNU1" t="s">
        <v>3201</v>
      </c>
      <c r="DNV1" t="s">
        <v>3202</v>
      </c>
      <c r="DNW1" t="s">
        <v>3203</v>
      </c>
      <c r="DNX1" t="s">
        <v>3204</v>
      </c>
      <c r="DNY1" t="s">
        <v>3205</v>
      </c>
      <c r="DNZ1" t="s">
        <v>3206</v>
      </c>
      <c r="DOA1" t="s">
        <v>3207</v>
      </c>
      <c r="DOB1" t="s">
        <v>3208</v>
      </c>
      <c r="DOC1" t="s">
        <v>3209</v>
      </c>
      <c r="DOD1" t="s">
        <v>3210</v>
      </c>
      <c r="DOE1" t="s">
        <v>3211</v>
      </c>
      <c r="DOF1" t="s">
        <v>3212</v>
      </c>
      <c r="DOG1" t="s">
        <v>3213</v>
      </c>
      <c r="DOH1" t="s">
        <v>3214</v>
      </c>
      <c r="DOI1" t="s">
        <v>3215</v>
      </c>
      <c r="DOJ1" t="s">
        <v>3216</v>
      </c>
      <c r="DOK1" t="s">
        <v>3217</v>
      </c>
      <c r="DOL1" t="s">
        <v>3218</v>
      </c>
      <c r="DOM1" t="s">
        <v>3219</v>
      </c>
      <c r="DON1" t="s">
        <v>3220</v>
      </c>
      <c r="DOO1" t="s">
        <v>3221</v>
      </c>
      <c r="DOP1" t="s">
        <v>3222</v>
      </c>
      <c r="DOQ1" t="s">
        <v>3223</v>
      </c>
      <c r="DOR1" t="s">
        <v>3224</v>
      </c>
      <c r="DOS1" t="s">
        <v>3225</v>
      </c>
      <c r="DOT1" t="s">
        <v>3226</v>
      </c>
      <c r="DOU1" t="s">
        <v>3227</v>
      </c>
      <c r="DOV1" t="s">
        <v>3228</v>
      </c>
      <c r="DOW1" t="s">
        <v>3229</v>
      </c>
      <c r="DOX1" t="s">
        <v>3230</v>
      </c>
      <c r="DOY1" t="s">
        <v>3231</v>
      </c>
      <c r="DOZ1" t="s">
        <v>3232</v>
      </c>
      <c r="DPA1" t="s">
        <v>3233</v>
      </c>
      <c r="DPB1" t="s">
        <v>3234</v>
      </c>
      <c r="DPC1" t="s">
        <v>3235</v>
      </c>
      <c r="DPD1" t="s">
        <v>3236</v>
      </c>
      <c r="DPE1" t="s">
        <v>3237</v>
      </c>
      <c r="DPF1" t="s">
        <v>3238</v>
      </c>
      <c r="DPG1" t="s">
        <v>3239</v>
      </c>
      <c r="DPH1" t="s">
        <v>3240</v>
      </c>
      <c r="DPI1" t="s">
        <v>3241</v>
      </c>
      <c r="DPJ1" t="s">
        <v>3242</v>
      </c>
      <c r="DPK1" t="s">
        <v>3243</v>
      </c>
      <c r="DPL1" t="s">
        <v>3244</v>
      </c>
      <c r="DPM1" t="s">
        <v>3245</v>
      </c>
      <c r="DPN1" t="s">
        <v>3246</v>
      </c>
      <c r="DPO1" t="s">
        <v>3247</v>
      </c>
      <c r="DPP1" t="s">
        <v>3248</v>
      </c>
      <c r="DPQ1" t="s">
        <v>3249</v>
      </c>
      <c r="DPR1" t="s">
        <v>3250</v>
      </c>
      <c r="DPS1" t="s">
        <v>3251</v>
      </c>
      <c r="DPT1" t="s">
        <v>3252</v>
      </c>
      <c r="DPU1" t="s">
        <v>3253</v>
      </c>
      <c r="DPV1" t="s">
        <v>3254</v>
      </c>
      <c r="DPW1" t="s">
        <v>3255</v>
      </c>
      <c r="DPX1" t="s">
        <v>3256</v>
      </c>
      <c r="DPY1" t="s">
        <v>3257</v>
      </c>
      <c r="DPZ1" t="s">
        <v>3258</v>
      </c>
      <c r="DQA1" t="s">
        <v>3259</v>
      </c>
      <c r="DQB1" t="s">
        <v>3260</v>
      </c>
      <c r="DQC1" t="s">
        <v>3261</v>
      </c>
      <c r="DQD1" t="s">
        <v>3262</v>
      </c>
      <c r="DQE1" t="s">
        <v>3263</v>
      </c>
      <c r="DQF1" t="s">
        <v>3264</v>
      </c>
      <c r="DQG1" t="s">
        <v>3265</v>
      </c>
      <c r="DQH1" t="s">
        <v>3266</v>
      </c>
      <c r="DQI1" t="s">
        <v>3267</v>
      </c>
      <c r="DQJ1" t="s">
        <v>3268</v>
      </c>
      <c r="DQK1" t="s">
        <v>3269</v>
      </c>
      <c r="DQL1" t="s">
        <v>3270</v>
      </c>
      <c r="DQM1" t="s">
        <v>3271</v>
      </c>
      <c r="DQN1" t="s">
        <v>3272</v>
      </c>
      <c r="DQO1" t="s">
        <v>3273</v>
      </c>
      <c r="DQP1" t="s">
        <v>3274</v>
      </c>
      <c r="DQQ1" t="s">
        <v>3275</v>
      </c>
      <c r="DQR1" t="s">
        <v>3276</v>
      </c>
      <c r="DQS1" t="s">
        <v>3277</v>
      </c>
      <c r="DQT1" t="s">
        <v>3278</v>
      </c>
      <c r="DQU1" t="s">
        <v>3279</v>
      </c>
      <c r="DQV1" t="s">
        <v>3280</v>
      </c>
      <c r="DQW1" t="s">
        <v>3281</v>
      </c>
      <c r="DQX1" t="s">
        <v>3282</v>
      </c>
      <c r="DQY1" t="s">
        <v>3283</v>
      </c>
      <c r="DQZ1" t="s">
        <v>3284</v>
      </c>
      <c r="DRA1" t="s">
        <v>3285</v>
      </c>
      <c r="DRB1" t="s">
        <v>3286</v>
      </c>
      <c r="DRC1" t="s">
        <v>3287</v>
      </c>
      <c r="DRD1" t="s">
        <v>3288</v>
      </c>
      <c r="DRE1" t="s">
        <v>3289</v>
      </c>
      <c r="DRF1" t="s">
        <v>3290</v>
      </c>
      <c r="DRG1" t="s">
        <v>3291</v>
      </c>
      <c r="DRH1" t="s">
        <v>3292</v>
      </c>
      <c r="DRI1" t="s">
        <v>3293</v>
      </c>
      <c r="DRJ1" t="s">
        <v>3294</v>
      </c>
      <c r="DRK1" t="s">
        <v>3295</v>
      </c>
      <c r="DRL1" t="s">
        <v>3296</v>
      </c>
      <c r="DRM1" t="s">
        <v>3297</v>
      </c>
      <c r="DRN1" t="s">
        <v>3298</v>
      </c>
      <c r="DRO1" t="s">
        <v>3299</v>
      </c>
      <c r="DRP1" t="s">
        <v>3300</v>
      </c>
      <c r="DRQ1" t="s">
        <v>3301</v>
      </c>
      <c r="DRR1" t="s">
        <v>3302</v>
      </c>
      <c r="DRS1" t="s">
        <v>3303</v>
      </c>
      <c r="DRT1" t="s">
        <v>3304</v>
      </c>
      <c r="DRU1" t="s">
        <v>3305</v>
      </c>
      <c r="DRV1" t="s">
        <v>3306</v>
      </c>
      <c r="DRW1" t="s">
        <v>3307</v>
      </c>
      <c r="DRX1" t="s">
        <v>3308</v>
      </c>
      <c r="DRY1" t="s">
        <v>3309</v>
      </c>
      <c r="DRZ1" t="s">
        <v>3310</v>
      </c>
      <c r="DSA1" t="s">
        <v>3311</v>
      </c>
      <c r="DSB1" t="s">
        <v>3312</v>
      </c>
      <c r="DSC1" t="s">
        <v>3313</v>
      </c>
      <c r="DSD1" t="s">
        <v>3314</v>
      </c>
      <c r="DSE1" t="s">
        <v>3315</v>
      </c>
      <c r="DSF1" t="s">
        <v>3316</v>
      </c>
      <c r="DSG1" t="s">
        <v>3317</v>
      </c>
      <c r="DSH1" t="s">
        <v>3318</v>
      </c>
      <c r="DSI1" t="s">
        <v>3319</v>
      </c>
      <c r="DSJ1" t="s">
        <v>3320</v>
      </c>
      <c r="DSK1" t="s">
        <v>3321</v>
      </c>
      <c r="DSL1" t="s">
        <v>3322</v>
      </c>
      <c r="DSM1" t="s">
        <v>3323</v>
      </c>
      <c r="DSN1" t="s">
        <v>3324</v>
      </c>
      <c r="DSO1" t="s">
        <v>3325</v>
      </c>
      <c r="DSP1" t="s">
        <v>3326</v>
      </c>
      <c r="DSQ1" t="s">
        <v>3327</v>
      </c>
      <c r="DSR1" t="s">
        <v>3328</v>
      </c>
      <c r="DSS1" t="s">
        <v>3329</v>
      </c>
      <c r="DST1" t="s">
        <v>3330</v>
      </c>
      <c r="DSU1" t="s">
        <v>3331</v>
      </c>
      <c r="DSV1" t="s">
        <v>3332</v>
      </c>
      <c r="DSW1" t="s">
        <v>3333</v>
      </c>
      <c r="DSX1" t="s">
        <v>3334</v>
      </c>
      <c r="DSY1" t="s">
        <v>3335</v>
      </c>
      <c r="DSZ1" t="s">
        <v>3336</v>
      </c>
      <c r="DTA1" t="s">
        <v>3337</v>
      </c>
      <c r="DTB1" t="s">
        <v>3338</v>
      </c>
      <c r="DTC1" t="s">
        <v>3339</v>
      </c>
      <c r="DTD1" t="s">
        <v>3340</v>
      </c>
      <c r="DTE1" t="s">
        <v>3341</v>
      </c>
      <c r="DTF1" t="s">
        <v>3342</v>
      </c>
      <c r="DTG1" t="s">
        <v>3343</v>
      </c>
      <c r="DTH1" t="s">
        <v>3344</v>
      </c>
      <c r="DTI1" t="s">
        <v>3345</v>
      </c>
      <c r="DTJ1" t="s">
        <v>3346</v>
      </c>
      <c r="DTK1" t="s">
        <v>3347</v>
      </c>
      <c r="DTL1" t="s">
        <v>3348</v>
      </c>
      <c r="DTM1" t="s">
        <v>3349</v>
      </c>
      <c r="DTN1" t="s">
        <v>3350</v>
      </c>
      <c r="DTO1" t="s">
        <v>3351</v>
      </c>
      <c r="DTP1" t="s">
        <v>3352</v>
      </c>
      <c r="DTQ1" t="s">
        <v>3353</v>
      </c>
      <c r="DTR1" t="s">
        <v>3354</v>
      </c>
      <c r="DTS1" t="s">
        <v>3355</v>
      </c>
      <c r="DTT1" t="s">
        <v>3356</v>
      </c>
      <c r="DTU1" t="s">
        <v>3357</v>
      </c>
      <c r="DTV1" t="s">
        <v>3358</v>
      </c>
      <c r="DTW1" t="s">
        <v>3359</v>
      </c>
      <c r="DTX1" t="s">
        <v>3360</v>
      </c>
      <c r="DTY1" t="s">
        <v>3361</v>
      </c>
      <c r="DTZ1" t="s">
        <v>3362</v>
      </c>
      <c r="DUA1" t="s">
        <v>3363</v>
      </c>
      <c r="DUB1" t="s">
        <v>3364</v>
      </c>
      <c r="DUC1" t="s">
        <v>3365</v>
      </c>
      <c r="DUD1" t="s">
        <v>3366</v>
      </c>
      <c r="DUE1" t="s">
        <v>3367</v>
      </c>
      <c r="DUF1" t="s">
        <v>3368</v>
      </c>
      <c r="DUG1" t="s">
        <v>3369</v>
      </c>
      <c r="DUH1" t="s">
        <v>3370</v>
      </c>
      <c r="DUI1" t="s">
        <v>3371</v>
      </c>
      <c r="DUJ1" t="s">
        <v>3372</v>
      </c>
      <c r="DUK1" t="s">
        <v>3373</v>
      </c>
      <c r="DUL1" t="s">
        <v>3374</v>
      </c>
      <c r="DUM1" t="s">
        <v>3375</v>
      </c>
      <c r="DUN1" t="s">
        <v>3376</v>
      </c>
      <c r="DUO1" t="s">
        <v>3377</v>
      </c>
      <c r="DUP1" t="s">
        <v>3378</v>
      </c>
      <c r="DUQ1" t="s">
        <v>3379</v>
      </c>
      <c r="DUR1" t="s">
        <v>3380</v>
      </c>
      <c r="DUS1" t="s">
        <v>3381</v>
      </c>
      <c r="DUT1" t="s">
        <v>3382</v>
      </c>
      <c r="DUU1" t="s">
        <v>3383</v>
      </c>
      <c r="DUV1" t="s">
        <v>3384</v>
      </c>
      <c r="DUW1" t="s">
        <v>3385</v>
      </c>
      <c r="DUX1" t="s">
        <v>3386</v>
      </c>
      <c r="DUY1" t="s">
        <v>3387</v>
      </c>
      <c r="DUZ1" t="s">
        <v>3388</v>
      </c>
      <c r="DVA1" t="s">
        <v>3389</v>
      </c>
      <c r="DVB1" t="s">
        <v>3390</v>
      </c>
      <c r="DVC1" t="s">
        <v>3391</v>
      </c>
      <c r="DVD1" t="s">
        <v>3392</v>
      </c>
      <c r="DVE1" t="s">
        <v>3393</v>
      </c>
      <c r="DVF1" t="s">
        <v>3394</v>
      </c>
      <c r="DVG1" t="s">
        <v>3395</v>
      </c>
      <c r="DVH1" t="s">
        <v>3396</v>
      </c>
      <c r="DVI1" t="s">
        <v>3397</v>
      </c>
      <c r="DVJ1" t="s">
        <v>3398</v>
      </c>
      <c r="DVK1" t="s">
        <v>3399</v>
      </c>
      <c r="DVL1" t="s">
        <v>3400</v>
      </c>
      <c r="DVM1" t="s">
        <v>3401</v>
      </c>
      <c r="DVN1" t="s">
        <v>3402</v>
      </c>
      <c r="DVO1" t="s">
        <v>3403</v>
      </c>
      <c r="DVP1" t="s">
        <v>3404</v>
      </c>
      <c r="DVQ1" t="s">
        <v>3405</v>
      </c>
      <c r="DVR1" t="s">
        <v>3406</v>
      </c>
      <c r="DVS1" t="s">
        <v>3407</v>
      </c>
      <c r="DVT1" t="s">
        <v>3408</v>
      </c>
      <c r="DVU1" t="s">
        <v>3409</v>
      </c>
      <c r="DVV1" t="s">
        <v>3410</v>
      </c>
      <c r="DVW1" t="s">
        <v>3411</v>
      </c>
      <c r="DVX1" t="s">
        <v>3412</v>
      </c>
      <c r="DVY1" t="s">
        <v>3413</v>
      </c>
      <c r="DVZ1" t="s">
        <v>3414</v>
      </c>
      <c r="DWA1" t="s">
        <v>3415</v>
      </c>
      <c r="DWB1" t="s">
        <v>3416</v>
      </c>
      <c r="DWC1" t="s">
        <v>3417</v>
      </c>
      <c r="DWD1" t="s">
        <v>3418</v>
      </c>
      <c r="DWE1" t="s">
        <v>3419</v>
      </c>
      <c r="DWF1" t="s">
        <v>3420</v>
      </c>
      <c r="DWG1" t="s">
        <v>3421</v>
      </c>
      <c r="DWH1" t="s">
        <v>3422</v>
      </c>
      <c r="DWI1" t="s">
        <v>3423</v>
      </c>
      <c r="DWJ1" t="s">
        <v>3424</v>
      </c>
      <c r="DWK1" t="s">
        <v>3425</v>
      </c>
      <c r="DWL1" t="s">
        <v>3426</v>
      </c>
      <c r="DWM1" t="s">
        <v>3427</v>
      </c>
      <c r="DWN1" t="s">
        <v>3428</v>
      </c>
      <c r="DWO1" t="s">
        <v>3429</v>
      </c>
      <c r="DWP1" t="s">
        <v>3430</v>
      </c>
      <c r="DWQ1" t="s">
        <v>3431</v>
      </c>
      <c r="DWR1" t="s">
        <v>3432</v>
      </c>
      <c r="DWS1" t="s">
        <v>3433</v>
      </c>
      <c r="DWT1" t="s">
        <v>3434</v>
      </c>
      <c r="DWU1" t="s">
        <v>3435</v>
      </c>
      <c r="DWV1" t="s">
        <v>3436</v>
      </c>
      <c r="DWW1" t="s">
        <v>3437</v>
      </c>
      <c r="DWX1" t="s">
        <v>3438</v>
      </c>
      <c r="DWY1" t="s">
        <v>3439</v>
      </c>
      <c r="DWZ1" t="s">
        <v>3440</v>
      </c>
      <c r="DXA1" t="s">
        <v>3441</v>
      </c>
      <c r="DXB1" t="s">
        <v>3442</v>
      </c>
      <c r="DXC1" t="s">
        <v>3443</v>
      </c>
      <c r="DXD1" t="s">
        <v>3444</v>
      </c>
      <c r="DXE1" t="s">
        <v>3445</v>
      </c>
      <c r="DXF1" t="s">
        <v>3446</v>
      </c>
      <c r="DXG1" t="s">
        <v>3447</v>
      </c>
      <c r="DXH1" t="s">
        <v>3448</v>
      </c>
      <c r="DXI1" t="s">
        <v>3449</v>
      </c>
      <c r="DXJ1" t="s">
        <v>3450</v>
      </c>
      <c r="DXK1" t="s">
        <v>3451</v>
      </c>
      <c r="DXL1" t="s">
        <v>3452</v>
      </c>
      <c r="DXM1" t="s">
        <v>3453</v>
      </c>
      <c r="DXN1" t="s">
        <v>3454</v>
      </c>
      <c r="DXO1" t="s">
        <v>3455</v>
      </c>
      <c r="DXP1" t="s">
        <v>3456</v>
      </c>
      <c r="DXQ1" t="s">
        <v>3457</v>
      </c>
      <c r="DXR1" t="s">
        <v>3458</v>
      </c>
      <c r="DXS1" t="s">
        <v>3459</v>
      </c>
      <c r="DXT1" t="s">
        <v>3460</v>
      </c>
      <c r="DXU1" t="s">
        <v>3461</v>
      </c>
      <c r="DXV1" t="s">
        <v>3462</v>
      </c>
      <c r="DXW1" t="s">
        <v>3463</v>
      </c>
      <c r="DXX1" t="s">
        <v>3464</v>
      </c>
      <c r="DXY1" t="s">
        <v>3465</v>
      </c>
      <c r="DXZ1" t="s">
        <v>3466</v>
      </c>
      <c r="DYA1" t="s">
        <v>3467</v>
      </c>
      <c r="DYB1" t="s">
        <v>3468</v>
      </c>
      <c r="DYC1" t="s">
        <v>3469</v>
      </c>
      <c r="DYD1" t="s">
        <v>3470</v>
      </c>
      <c r="DYE1" t="s">
        <v>3471</v>
      </c>
      <c r="DYF1" t="s">
        <v>3472</v>
      </c>
      <c r="DYG1" t="s">
        <v>3473</v>
      </c>
      <c r="DYH1" t="s">
        <v>3474</v>
      </c>
      <c r="DYI1" t="s">
        <v>3475</v>
      </c>
      <c r="DYJ1" t="s">
        <v>3476</v>
      </c>
      <c r="DYK1" t="s">
        <v>3477</v>
      </c>
      <c r="DYL1" t="s">
        <v>3478</v>
      </c>
      <c r="DYM1" t="s">
        <v>3479</v>
      </c>
      <c r="DYN1" t="s">
        <v>3480</v>
      </c>
      <c r="DYO1" t="s">
        <v>3481</v>
      </c>
      <c r="DYP1" t="s">
        <v>3482</v>
      </c>
      <c r="DYQ1" t="s">
        <v>3483</v>
      </c>
      <c r="DYR1" t="s">
        <v>3484</v>
      </c>
      <c r="DYS1" t="s">
        <v>3485</v>
      </c>
      <c r="DYT1" t="s">
        <v>3486</v>
      </c>
      <c r="DYU1" t="s">
        <v>3487</v>
      </c>
      <c r="DYV1" t="s">
        <v>3488</v>
      </c>
      <c r="DYW1" t="s">
        <v>3489</v>
      </c>
      <c r="DYX1" t="s">
        <v>3490</v>
      </c>
      <c r="DYY1" t="s">
        <v>3491</v>
      </c>
      <c r="DYZ1" t="s">
        <v>3492</v>
      </c>
      <c r="DZA1" t="s">
        <v>3493</v>
      </c>
      <c r="DZB1" t="s">
        <v>3494</v>
      </c>
      <c r="DZC1" t="s">
        <v>3495</v>
      </c>
      <c r="DZD1" t="s">
        <v>3496</v>
      </c>
      <c r="DZE1" t="s">
        <v>3497</v>
      </c>
      <c r="DZF1" t="s">
        <v>3498</v>
      </c>
      <c r="DZG1" t="s">
        <v>3499</v>
      </c>
      <c r="DZH1" t="s">
        <v>3500</v>
      </c>
      <c r="DZI1" t="s">
        <v>3501</v>
      </c>
      <c r="DZJ1" t="s">
        <v>3502</v>
      </c>
      <c r="DZK1" t="s">
        <v>3503</v>
      </c>
      <c r="DZL1" t="s">
        <v>3504</v>
      </c>
      <c r="DZM1" t="s">
        <v>3505</v>
      </c>
      <c r="DZN1" t="s">
        <v>3506</v>
      </c>
      <c r="DZO1" t="s">
        <v>3507</v>
      </c>
      <c r="DZP1" t="s">
        <v>3508</v>
      </c>
      <c r="DZQ1" t="s">
        <v>3509</v>
      </c>
      <c r="DZR1" t="s">
        <v>3510</v>
      </c>
      <c r="DZS1" t="s">
        <v>3511</v>
      </c>
      <c r="DZT1" t="s">
        <v>3512</v>
      </c>
      <c r="DZU1" t="s">
        <v>3513</v>
      </c>
      <c r="DZV1" t="s">
        <v>3514</v>
      </c>
      <c r="DZW1" t="s">
        <v>3515</v>
      </c>
      <c r="DZX1" t="s">
        <v>3516</v>
      </c>
      <c r="DZY1" t="s">
        <v>3517</v>
      </c>
      <c r="DZZ1" t="s">
        <v>3518</v>
      </c>
      <c r="EAA1" t="s">
        <v>3519</v>
      </c>
      <c r="EAB1" t="s">
        <v>3520</v>
      </c>
      <c r="EAC1" t="s">
        <v>3521</v>
      </c>
      <c r="EAD1" t="s">
        <v>3522</v>
      </c>
      <c r="EAE1" t="s">
        <v>3523</v>
      </c>
      <c r="EAF1" t="s">
        <v>3524</v>
      </c>
      <c r="EAG1" t="s">
        <v>3525</v>
      </c>
      <c r="EAH1" t="s">
        <v>3526</v>
      </c>
      <c r="EAI1" t="s">
        <v>3527</v>
      </c>
      <c r="EAJ1" t="s">
        <v>3528</v>
      </c>
      <c r="EAK1" t="s">
        <v>3529</v>
      </c>
      <c r="EAL1" t="s">
        <v>3530</v>
      </c>
      <c r="EAM1" t="s">
        <v>3531</v>
      </c>
      <c r="EAN1" t="s">
        <v>3532</v>
      </c>
      <c r="EAO1" t="s">
        <v>3533</v>
      </c>
      <c r="EAP1" t="s">
        <v>3534</v>
      </c>
      <c r="EAQ1" t="s">
        <v>3535</v>
      </c>
      <c r="EAR1" t="s">
        <v>3536</v>
      </c>
      <c r="EAS1" t="s">
        <v>3537</v>
      </c>
      <c r="EAT1" t="s">
        <v>3538</v>
      </c>
      <c r="EAU1" t="s">
        <v>3539</v>
      </c>
      <c r="EAV1" t="s">
        <v>3540</v>
      </c>
      <c r="EAW1" t="s">
        <v>3541</v>
      </c>
      <c r="EAX1" t="s">
        <v>3542</v>
      </c>
      <c r="EAY1" t="s">
        <v>3543</v>
      </c>
      <c r="EAZ1" t="s">
        <v>3544</v>
      </c>
      <c r="EBA1" t="s">
        <v>3545</v>
      </c>
      <c r="EBB1" t="s">
        <v>3546</v>
      </c>
      <c r="EBC1" t="s">
        <v>3547</v>
      </c>
      <c r="EBD1" t="s">
        <v>3548</v>
      </c>
      <c r="EBE1" t="s">
        <v>3549</v>
      </c>
      <c r="EBF1" t="s">
        <v>3550</v>
      </c>
      <c r="EBG1" t="s">
        <v>3551</v>
      </c>
      <c r="EBH1" t="s">
        <v>3552</v>
      </c>
      <c r="EBI1" t="s">
        <v>3553</v>
      </c>
      <c r="EBJ1" t="s">
        <v>3554</v>
      </c>
      <c r="EBK1" t="s">
        <v>3555</v>
      </c>
      <c r="EBL1" t="s">
        <v>3556</v>
      </c>
      <c r="EBM1" t="s">
        <v>3557</v>
      </c>
      <c r="EBN1" t="s">
        <v>3558</v>
      </c>
      <c r="EBO1" t="s">
        <v>3559</v>
      </c>
      <c r="EBP1" t="s">
        <v>3560</v>
      </c>
      <c r="EBQ1" t="s">
        <v>3561</v>
      </c>
      <c r="EBR1" t="s">
        <v>3562</v>
      </c>
      <c r="EBS1" t="s">
        <v>3563</v>
      </c>
      <c r="EBT1" t="s">
        <v>3564</v>
      </c>
      <c r="EBU1" t="s">
        <v>3565</v>
      </c>
      <c r="EBV1" t="s">
        <v>3566</v>
      </c>
      <c r="EBW1" t="s">
        <v>3567</v>
      </c>
      <c r="EBX1" t="s">
        <v>3568</v>
      </c>
      <c r="EBY1" t="s">
        <v>3569</v>
      </c>
      <c r="EBZ1" t="s">
        <v>3570</v>
      </c>
      <c r="ECA1" t="s">
        <v>3571</v>
      </c>
      <c r="ECB1" t="s">
        <v>3572</v>
      </c>
      <c r="ECC1" t="s">
        <v>3573</v>
      </c>
      <c r="ECD1" t="s">
        <v>3574</v>
      </c>
      <c r="ECE1" t="s">
        <v>3575</v>
      </c>
      <c r="ECF1" t="s">
        <v>3576</v>
      </c>
      <c r="ECG1" t="s">
        <v>3577</v>
      </c>
      <c r="ECH1" t="s">
        <v>3578</v>
      </c>
      <c r="ECI1" t="s">
        <v>3579</v>
      </c>
      <c r="ECJ1" t="s">
        <v>3580</v>
      </c>
      <c r="ECK1" t="s">
        <v>3581</v>
      </c>
      <c r="ECL1" t="s">
        <v>3582</v>
      </c>
      <c r="ECM1" t="s">
        <v>3583</v>
      </c>
      <c r="ECN1" t="s">
        <v>3584</v>
      </c>
      <c r="ECO1" t="s">
        <v>3585</v>
      </c>
      <c r="ECP1" t="s">
        <v>3586</v>
      </c>
      <c r="ECQ1" t="s">
        <v>3587</v>
      </c>
      <c r="ECR1" t="s">
        <v>3588</v>
      </c>
      <c r="ECS1" t="s">
        <v>3589</v>
      </c>
      <c r="ECT1" t="s">
        <v>3590</v>
      </c>
      <c r="ECU1" t="s">
        <v>3591</v>
      </c>
      <c r="ECV1" t="s">
        <v>3592</v>
      </c>
      <c r="ECW1" t="s">
        <v>3593</v>
      </c>
      <c r="ECX1" t="s">
        <v>3594</v>
      </c>
      <c r="ECY1" t="s">
        <v>3595</v>
      </c>
      <c r="ECZ1" t="s">
        <v>3596</v>
      </c>
      <c r="EDA1" t="s">
        <v>3597</v>
      </c>
      <c r="EDB1" t="s">
        <v>3598</v>
      </c>
      <c r="EDC1" t="s">
        <v>3599</v>
      </c>
      <c r="EDD1" t="s">
        <v>3600</v>
      </c>
      <c r="EDE1" t="s">
        <v>3601</v>
      </c>
      <c r="EDF1" t="s">
        <v>3602</v>
      </c>
      <c r="EDG1" t="s">
        <v>3603</v>
      </c>
      <c r="EDH1" t="s">
        <v>3604</v>
      </c>
      <c r="EDI1" t="s">
        <v>3605</v>
      </c>
      <c r="EDJ1" t="s">
        <v>3606</v>
      </c>
      <c r="EDK1" t="s">
        <v>3607</v>
      </c>
      <c r="EDL1" t="s">
        <v>3608</v>
      </c>
      <c r="EDM1" t="s">
        <v>3609</v>
      </c>
      <c r="EDN1" t="s">
        <v>3610</v>
      </c>
      <c r="EDO1" t="s">
        <v>3611</v>
      </c>
      <c r="EDP1" t="s">
        <v>3612</v>
      </c>
      <c r="EDQ1" t="s">
        <v>3613</v>
      </c>
      <c r="EDR1" t="s">
        <v>3614</v>
      </c>
      <c r="EDS1" t="s">
        <v>3615</v>
      </c>
      <c r="EDT1" t="s">
        <v>3616</v>
      </c>
      <c r="EDU1" t="s">
        <v>3617</v>
      </c>
      <c r="EDV1" t="s">
        <v>3618</v>
      </c>
      <c r="EDW1" t="s">
        <v>3619</v>
      </c>
      <c r="EDX1" t="s">
        <v>3620</v>
      </c>
      <c r="EDY1" t="s">
        <v>3621</v>
      </c>
      <c r="EDZ1" t="s">
        <v>3622</v>
      </c>
      <c r="EEA1" t="s">
        <v>3623</v>
      </c>
      <c r="EEB1" t="s">
        <v>3624</v>
      </c>
      <c r="EEC1" t="s">
        <v>3625</v>
      </c>
      <c r="EED1" t="s">
        <v>3626</v>
      </c>
      <c r="EEE1" t="s">
        <v>3627</v>
      </c>
      <c r="EEF1" t="s">
        <v>3628</v>
      </c>
      <c r="EEG1" t="s">
        <v>3629</v>
      </c>
      <c r="EEH1" t="s">
        <v>3630</v>
      </c>
      <c r="EEI1" t="s">
        <v>3631</v>
      </c>
      <c r="EEJ1" t="s">
        <v>3632</v>
      </c>
      <c r="EEK1" t="s">
        <v>3633</v>
      </c>
      <c r="EEL1" t="s">
        <v>3634</v>
      </c>
      <c r="EEM1" t="s">
        <v>3635</v>
      </c>
      <c r="EEN1" t="s">
        <v>3636</v>
      </c>
      <c r="EEO1" t="s">
        <v>3637</v>
      </c>
      <c r="EEP1" t="s">
        <v>3638</v>
      </c>
      <c r="EEQ1" t="s">
        <v>3639</v>
      </c>
      <c r="EER1" t="s">
        <v>3640</v>
      </c>
      <c r="EES1" t="s">
        <v>3641</v>
      </c>
      <c r="EET1" t="s">
        <v>3642</v>
      </c>
      <c r="EEU1" t="s">
        <v>3643</v>
      </c>
      <c r="EEV1" t="s">
        <v>3644</v>
      </c>
      <c r="EEW1" t="s">
        <v>3645</v>
      </c>
      <c r="EEX1" t="s">
        <v>3646</v>
      </c>
      <c r="EEY1" t="s">
        <v>3647</v>
      </c>
      <c r="EEZ1" t="s">
        <v>3648</v>
      </c>
      <c r="EFA1" t="s">
        <v>3649</v>
      </c>
      <c r="EFB1" t="s">
        <v>3650</v>
      </c>
      <c r="EFC1" t="s">
        <v>3651</v>
      </c>
      <c r="EFD1" t="s">
        <v>3652</v>
      </c>
      <c r="EFE1" t="s">
        <v>3653</v>
      </c>
      <c r="EFF1" t="s">
        <v>3654</v>
      </c>
      <c r="EFG1" t="s">
        <v>3655</v>
      </c>
      <c r="EFH1" t="s">
        <v>3656</v>
      </c>
      <c r="EFI1" t="s">
        <v>3657</v>
      </c>
      <c r="EFJ1" t="s">
        <v>3658</v>
      </c>
      <c r="EFK1" t="s">
        <v>3659</v>
      </c>
      <c r="EFL1" t="s">
        <v>3660</v>
      </c>
      <c r="EFM1" t="s">
        <v>3661</v>
      </c>
      <c r="EFN1" t="s">
        <v>3662</v>
      </c>
      <c r="EFO1" t="s">
        <v>3663</v>
      </c>
      <c r="EFP1" t="s">
        <v>3664</v>
      </c>
      <c r="EFQ1" t="s">
        <v>3665</v>
      </c>
      <c r="EFR1" t="s">
        <v>3666</v>
      </c>
      <c r="EFS1" t="s">
        <v>3667</v>
      </c>
      <c r="EFT1" t="s">
        <v>3668</v>
      </c>
      <c r="EFU1" t="s">
        <v>3669</v>
      </c>
      <c r="EFV1" t="s">
        <v>3670</v>
      </c>
      <c r="EFW1" t="s">
        <v>3671</v>
      </c>
      <c r="EFX1" t="s">
        <v>3672</v>
      </c>
      <c r="EFY1" t="s">
        <v>3673</v>
      </c>
      <c r="EFZ1" t="s">
        <v>3674</v>
      </c>
      <c r="EGA1" t="s">
        <v>3675</v>
      </c>
      <c r="EGB1" t="s">
        <v>3676</v>
      </c>
      <c r="EGC1" t="s">
        <v>3677</v>
      </c>
      <c r="EGD1" t="s">
        <v>3678</v>
      </c>
      <c r="EGE1" t="s">
        <v>3679</v>
      </c>
      <c r="EGF1" t="s">
        <v>3680</v>
      </c>
      <c r="EGG1" t="s">
        <v>3681</v>
      </c>
      <c r="EGH1" t="s">
        <v>3682</v>
      </c>
      <c r="EGI1" t="s">
        <v>3683</v>
      </c>
      <c r="EGJ1" t="s">
        <v>3684</v>
      </c>
      <c r="EGK1" t="s">
        <v>3685</v>
      </c>
      <c r="EGL1" t="s">
        <v>3686</v>
      </c>
      <c r="EGM1" t="s">
        <v>3687</v>
      </c>
      <c r="EGN1" t="s">
        <v>3688</v>
      </c>
      <c r="EGO1" t="s">
        <v>3689</v>
      </c>
      <c r="EGP1" t="s">
        <v>3690</v>
      </c>
      <c r="EGQ1" t="s">
        <v>3691</v>
      </c>
      <c r="EGR1" t="s">
        <v>3692</v>
      </c>
      <c r="EGS1" t="s">
        <v>3693</v>
      </c>
      <c r="EGT1" t="s">
        <v>3694</v>
      </c>
      <c r="EGU1" t="s">
        <v>3695</v>
      </c>
      <c r="EGV1" t="s">
        <v>3696</v>
      </c>
      <c r="EGW1" t="s">
        <v>3697</v>
      </c>
      <c r="EGX1" t="s">
        <v>3698</v>
      </c>
      <c r="EGY1" t="s">
        <v>3699</v>
      </c>
      <c r="EGZ1" t="s">
        <v>3700</v>
      </c>
      <c r="EHA1" t="s">
        <v>3701</v>
      </c>
      <c r="EHB1" t="s">
        <v>3702</v>
      </c>
      <c r="EHC1" t="s">
        <v>3703</v>
      </c>
      <c r="EHD1" t="s">
        <v>3704</v>
      </c>
      <c r="EHE1" t="s">
        <v>3705</v>
      </c>
      <c r="EHF1" t="s">
        <v>3706</v>
      </c>
      <c r="EHG1" t="s">
        <v>3707</v>
      </c>
      <c r="EHH1" t="s">
        <v>3708</v>
      </c>
      <c r="EHI1" t="s">
        <v>3709</v>
      </c>
      <c r="EHJ1" t="s">
        <v>3710</v>
      </c>
      <c r="EHK1" t="s">
        <v>3711</v>
      </c>
      <c r="EHL1" t="s">
        <v>3712</v>
      </c>
      <c r="EHM1" t="s">
        <v>3713</v>
      </c>
      <c r="EHN1" t="s">
        <v>3714</v>
      </c>
      <c r="EHO1" t="s">
        <v>3715</v>
      </c>
      <c r="EHP1" t="s">
        <v>3716</v>
      </c>
      <c r="EHQ1" t="s">
        <v>3717</v>
      </c>
      <c r="EHR1" t="s">
        <v>3718</v>
      </c>
      <c r="EHS1" t="s">
        <v>3719</v>
      </c>
      <c r="EHT1" t="s">
        <v>3720</v>
      </c>
      <c r="EHU1" t="s">
        <v>3721</v>
      </c>
      <c r="EHV1" t="s">
        <v>3722</v>
      </c>
      <c r="EHW1" t="s">
        <v>3723</v>
      </c>
      <c r="EHX1" t="s">
        <v>3724</v>
      </c>
      <c r="EHY1" t="s">
        <v>3725</v>
      </c>
      <c r="EHZ1" t="s">
        <v>3726</v>
      </c>
      <c r="EIA1" t="s">
        <v>3727</v>
      </c>
      <c r="EIB1" t="s">
        <v>3728</v>
      </c>
      <c r="EIC1" t="s">
        <v>3729</v>
      </c>
      <c r="EID1" t="s">
        <v>3730</v>
      </c>
      <c r="EIE1" t="s">
        <v>3731</v>
      </c>
      <c r="EIF1" t="s">
        <v>3732</v>
      </c>
      <c r="EIG1" t="s">
        <v>3733</v>
      </c>
      <c r="EIH1" t="s">
        <v>3734</v>
      </c>
      <c r="EII1" t="s">
        <v>3735</v>
      </c>
      <c r="EIJ1" t="s">
        <v>3736</v>
      </c>
      <c r="EIK1" t="s">
        <v>3737</v>
      </c>
      <c r="EIL1" t="s">
        <v>3738</v>
      </c>
      <c r="EIM1" t="s">
        <v>3739</v>
      </c>
      <c r="EIN1" t="s">
        <v>3740</v>
      </c>
      <c r="EIO1" t="s">
        <v>3741</v>
      </c>
      <c r="EIP1" t="s">
        <v>3742</v>
      </c>
      <c r="EIQ1" t="s">
        <v>3743</v>
      </c>
      <c r="EIR1" t="s">
        <v>3744</v>
      </c>
      <c r="EIS1" t="s">
        <v>3745</v>
      </c>
      <c r="EIT1" t="s">
        <v>3746</v>
      </c>
      <c r="EIU1" t="s">
        <v>3747</v>
      </c>
      <c r="EIV1" t="s">
        <v>3748</v>
      </c>
      <c r="EIW1" t="s">
        <v>3749</v>
      </c>
      <c r="EIX1" t="s">
        <v>3750</v>
      </c>
      <c r="EIY1" t="s">
        <v>3751</v>
      </c>
      <c r="EIZ1" t="s">
        <v>3752</v>
      </c>
      <c r="EJA1" t="s">
        <v>3753</v>
      </c>
      <c r="EJB1" t="s">
        <v>3754</v>
      </c>
      <c r="EJC1" t="s">
        <v>3755</v>
      </c>
      <c r="EJD1" t="s">
        <v>3756</v>
      </c>
      <c r="EJE1" t="s">
        <v>3757</v>
      </c>
      <c r="EJF1" t="s">
        <v>3758</v>
      </c>
      <c r="EJG1" t="s">
        <v>3759</v>
      </c>
      <c r="EJH1" t="s">
        <v>3760</v>
      </c>
      <c r="EJI1" t="s">
        <v>3761</v>
      </c>
      <c r="EJJ1" t="s">
        <v>3762</v>
      </c>
      <c r="EJK1" t="s">
        <v>3763</v>
      </c>
      <c r="EJL1" t="s">
        <v>3764</v>
      </c>
      <c r="EJM1" t="s">
        <v>3765</v>
      </c>
      <c r="EJN1" t="s">
        <v>3766</v>
      </c>
      <c r="EJO1" t="s">
        <v>3767</v>
      </c>
      <c r="EJP1" t="s">
        <v>3768</v>
      </c>
      <c r="EJQ1" t="s">
        <v>3769</v>
      </c>
      <c r="EJR1" t="s">
        <v>3770</v>
      </c>
      <c r="EJS1" t="s">
        <v>3771</v>
      </c>
      <c r="EJT1" t="s">
        <v>3772</v>
      </c>
      <c r="EJU1" t="s">
        <v>3773</v>
      </c>
      <c r="EJV1" t="s">
        <v>3774</v>
      </c>
      <c r="EJW1" t="s">
        <v>3775</v>
      </c>
      <c r="EJX1" t="s">
        <v>3776</v>
      </c>
      <c r="EJY1" t="s">
        <v>3777</v>
      </c>
      <c r="EJZ1" t="s">
        <v>3778</v>
      </c>
      <c r="EKA1" t="s">
        <v>3779</v>
      </c>
      <c r="EKB1" t="s">
        <v>3780</v>
      </c>
      <c r="EKC1" t="s">
        <v>3781</v>
      </c>
      <c r="EKD1" t="s">
        <v>3782</v>
      </c>
      <c r="EKE1" t="s">
        <v>3783</v>
      </c>
      <c r="EKF1" t="s">
        <v>3784</v>
      </c>
      <c r="EKG1" t="s">
        <v>3785</v>
      </c>
      <c r="EKH1" t="s">
        <v>3786</v>
      </c>
      <c r="EKI1" t="s">
        <v>3787</v>
      </c>
      <c r="EKJ1" t="s">
        <v>3788</v>
      </c>
      <c r="EKK1" t="s">
        <v>3789</v>
      </c>
      <c r="EKL1" t="s">
        <v>3790</v>
      </c>
      <c r="EKM1" t="s">
        <v>3791</v>
      </c>
      <c r="EKN1" t="s">
        <v>3792</v>
      </c>
      <c r="EKO1" t="s">
        <v>3793</v>
      </c>
      <c r="EKP1" t="s">
        <v>3794</v>
      </c>
      <c r="EKQ1" t="s">
        <v>3795</v>
      </c>
      <c r="EKR1" t="s">
        <v>3796</v>
      </c>
      <c r="EKS1" t="s">
        <v>3797</v>
      </c>
      <c r="EKT1" t="s">
        <v>3798</v>
      </c>
      <c r="EKU1" t="s">
        <v>3799</v>
      </c>
      <c r="EKV1" t="s">
        <v>3800</v>
      </c>
      <c r="EKW1" t="s">
        <v>3801</v>
      </c>
      <c r="EKX1" t="s">
        <v>3802</v>
      </c>
      <c r="EKY1" t="s">
        <v>3803</v>
      </c>
      <c r="EKZ1" t="s">
        <v>3804</v>
      </c>
      <c r="ELA1" t="s">
        <v>3805</v>
      </c>
      <c r="ELB1" t="s">
        <v>3806</v>
      </c>
      <c r="ELC1" t="s">
        <v>3807</v>
      </c>
      <c r="ELD1" t="s">
        <v>3808</v>
      </c>
      <c r="ELE1" t="s">
        <v>3809</v>
      </c>
      <c r="ELF1" t="s">
        <v>3810</v>
      </c>
      <c r="ELG1" t="s">
        <v>3811</v>
      </c>
      <c r="ELH1" t="s">
        <v>3812</v>
      </c>
      <c r="ELI1" t="s">
        <v>3813</v>
      </c>
      <c r="ELJ1" t="s">
        <v>3814</v>
      </c>
      <c r="ELK1" t="s">
        <v>3815</v>
      </c>
      <c r="ELL1" t="s">
        <v>3816</v>
      </c>
      <c r="ELM1" t="s">
        <v>3817</v>
      </c>
      <c r="ELN1" t="s">
        <v>3818</v>
      </c>
      <c r="ELO1" t="s">
        <v>3819</v>
      </c>
      <c r="ELP1" t="s">
        <v>3820</v>
      </c>
      <c r="ELQ1" t="s">
        <v>3821</v>
      </c>
      <c r="ELR1" t="s">
        <v>3822</v>
      </c>
      <c r="ELS1" t="s">
        <v>3823</v>
      </c>
      <c r="ELT1" t="s">
        <v>3824</v>
      </c>
      <c r="ELU1" t="s">
        <v>3825</v>
      </c>
      <c r="ELV1" t="s">
        <v>3826</v>
      </c>
      <c r="ELW1" t="s">
        <v>3827</v>
      </c>
      <c r="ELX1" t="s">
        <v>3828</v>
      </c>
      <c r="ELY1" t="s">
        <v>3829</v>
      </c>
      <c r="ELZ1" t="s">
        <v>3830</v>
      </c>
      <c r="EMA1" t="s">
        <v>3831</v>
      </c>
      <c r="EMB1" t="s">
        <v>3832</v>
      </c>
      <c r="EMC1" t="s">
        <v>3833</v>
      </c>
      <c r="EMD1" t="s">
        <v>3834</v>
      </c>
      <c r="EME1" t="s">
        <v>3835</v>
      </c>
      <c r="EMF1" t="s">
        <v>3836</v>
      </c>
      <c r="EMG1" t="s">
        <v>3837</v>
      </c>
      <c r="EMH1" t="s">
        <v>3838</v>
      </c>
      <c r="EMI1" t="s">
        <v>3839</v>
      </c>
      <c r="EMJ1" t="s">
        <v>3840</v>
      </c>
      <c r="EMK1" t="s">
        <v>3841</v>
      </c>
      <c r="EML1" t="s">
        <v>3842</v>
      </c>
      <c r="EMM1" t="s">
        <v>3843</v>
      </c>
      <c r="EMN1" t="s">
        <v>3844</v>
      </c>
      <c r="EMO1" t="s">
        <v>3845</v>
      </c>
      <c r="EMP1" t="s">
        <v>3846</v>
      </c>
      <c r="EMQ1" t="s">
        <v>3847</v>
      </c>
      <c r="EMR1" t="s">
        <v>3848</v>
      </c>
      <c r="EMS1" t="s">
        <v>3849</v>
      </c>
      <c r="EMT1" t="s">
        <v>3850</v>
      </c>
      <c r="EMU1" t="s">
        <v>3851</v>
      </c>
      <c r="EMV1" t="s">
        <v>3852</v>
      </c>
      <c r="EMW1" t="s">
        <v>3853</v>
      </c>
      <c r="EMX1" t="s">
        <v>3854</v>
      </c>
      <c r="EMY1" t="s">
        <v>3855</v>
      </c>
      <c r="EMZ1" t="s">
        <v>3856</v>
      </c>
      <c r="ENA1" t="s">
        <v>3857</v>
      </c>
      <c r="ENB1" t="s">
        <v>3858</v>
      </c>
      <c r="ENC1" t="s">
        <v>3859</v>
      </c>
      <c r="END1" t="s">
        <v>3860</v>
      </c>
      <c r="ENE1" t="s">
        <v>3861</v>
      </c>
      <c r="ENF1" t="s">
        <v>3862</v>
      </c>
      <c r="ENG1" t="s">
        <v>3863</v>
      </c>
      <c r="ENH1" t="s">
        <v>3864</v>
      </c>
      <c r="ENI1" t="s">
        <v>3865</v>
      </c>
      <c r="ENJ1" t="s">
        <v>3866</v>
      </c>
      <c r="ENK1" t="s">
        <v>3867</v>
      </c>
      <c r="ENL1" t="s">
        <v>3868</v>
      </c>
      <c r="ENM1" t="s">
        <v>3869</v>
      </c>
      <c r="ENN1" t="s">
        <v>3870</v>
      </c>
      <c r="ENO1" t="s">
        <v>3871</v>
      </c>
      <c r="ENP1" t="s">
        <v>3872</v>
      </c>
      <c r="ENQ1" t="s">
        <v>3873</v>
      </c>
      <c r="ENR1" t="s">
        <v>3874</v>
      </c>
      <c r="ENS1" t="s">
        <v>3875</v>
      </c>
      <c r="ENT1" t="s">
        <v>3876</v>
      </c>
      <c r="ENU1" t="s">
        <v>3877</v>
      </c>
      <c r="ENV1" t="s">
        <v>3878</v>
      </c>
      <c r="ENW1" t="s">
        <v>3879</v>
      </c>
      <c r="ENX1" t="s">
        <v>3880</v>
      </c>
      <c r="ENY1" t="s">
        <v>3881</v>
      </c>
      <c r="ENZ1" t="s">
        <v>3882</v>
      </c>
      <c r="EOA1" t="s">
        <v>3883</v>
      </c>
      <c r="EOB1" t="s">
        <v>3884</v>
      </c>
      <c r="EOC1" t="s">
        <v>3885</v>
      </c>
      <c r="EOD1" t="s">
        <v>3886</v>
      </c>
      <c r="EOE1" t="s">
        <v>3887</v>
      </c>
      <c r="EOF1" t="s">
        <v>3888</v>
      </c>
      <c r="EOG1" t="s">
        <v>3889</v>
      </c>
      <c r="EOH1" t="s">
        <v>3890</v>
      </c>
      <c r="EOI1" t="s">
        <v>3891</v>
      </c>
      <c r="EOJ1" t="s">
        <v>3892</v>
      </c>
      <c r="EOK1" t="s">
        <v>3893</v>
      </c>
      <c r="EOL1" t="s">
        <v>3894</v>
      </c>
      <c r="EOM1" t="s">
        <v>3895</v>
      </c>
      <c r="EON1" t="s">
        <v>3896</v>
      </c>
    </row>
    <row r="2" spans="1:3784" x14ac:dyDescent="0.35">
      <c r="A2" t="s">
        <v>111</v>
      </c>
      <c r="B2">
        <v>133211</v>
      </c>
      <c r="C2">
        <v>107130</v>
      </c>
      <c r="D2">
        <v>155054</v>
      </c>
      <c r="E2">
        <v>152955</v>
      </c>
      <c r="F2">
        <v>109147</v>
      </c>
      <c r="G2">
        <v>34352</v>
      </c>
      <c r="H2">
        <v>145048</v>
      </c>
      <c r="I2">
        <v>123134</v>
      </c>
      <c r="J2">
        <v>132374</v>
      </c>
      <c r="K2">
        <v>106560</v>
      </c>
      <c r="L2">
        <v>97327</v>
      </c>
      <c r="M2">
        <v>110375</v>
      </c>
      <c r="N2">
        <v>235511</v>
      </c>
      <c r="O2">
        <v>169489</v>
      </c>
      <c r="P2">
        <v>97507</v>
      </c>
      <c r="Q2">
        <v>87552</v>
      </c>
      <c r="R2">
        <v>53394</v>
      </c>
      <c r="S2">
        <v>48106</v>
      </c>
      <c r="T2">
        <v>97694</v>
      </c>
      <c r="U2">
        <v>47871</v>
      </c>
      <c r="V2">
        <v>106930</v>
      </c>
      <c r="W2">
        <v>94820</v>
      </c>
      <c r="BG2">
        <v>86836</v>
      </c>
      <c r="BH2">
        <v>136124</v>
      </c>
      <c r="BI2">
        <v>162808</v>
      </c>
      <c r="BJ2">
        <v>68218</v>
      </c>
      <c r="BK2">
        <v>135081</v>
      </c>
      <c r="BL2">
        <v>85274</v>
      </c>
      <c r="BM2">
        <v>56825</v>
      </c>
      <c r="BN2">
        <v>70987</v>
      </c>
      <c r="BO2">
        <v>68163</v>
      </c>
      <c r="BP2">
        <v>70933</v>
      </c>
      <c r="BQ2">
        <v>109890</v>
      </c>
      <c r="BS2">
        <v>111033</v>
      </c>
      <c r="BT2">
        <v>50020</v>
      </c>
      <c r="BU2">
        <v>145351</v>
      </c>
      <c r="BV2">
        <v>135679</v>
      </c>
      <c r="BW2">
        <v>88732</v>
      </c>
      <c r="BX2">
        <v>126485</v>
      </c>
      <c r="BY2">
        <v>117774</v>
      </c>
      <c r="BZ2">
        <v>54787</v>
      </c>
      <c r="CA2">
        <v>105260</v>
      </c>
      <c r="CB2">
        <v>59067</v>
      </c>
      <c r="CC2">
        <v>53780</v>
      </c>
      <c r="CD2">
        <v>68650</v>
      </c>
      <c r="CE2">
        <v>87792</v>
      </c>
      <c r="CF2">
        <v>128052</v>
      </c>
      <c r="CG2">
        <v>135591</v>
      </c>
      <c r="CH2">
        <v>90738</v>
      </c>
      <c r="CI2">
        <v>74244</v>
      </c>
      <c r="CJ2">
        <v>95554</v>
      </c>
      <c r="CK2">
        <v>59225</v>
      </c>
      <c r="CL2">
        <v>85985</v>
      </c>
      <c r="CM2">
        <v>86512</v>
      </c>
      <c r="CN2">
        <v>71370</v>
      </c>
      <c r="CO2">
        <v>84881</v>
      </c>
      <c r="CP2">
        <v>67917</v>
      </c>
      <c r="CQ2">
        <v>63316</v>
      </c>
      <c r="CR2">
        <v>58782</v>
      </c>
      <c r="CS2">
        <v>124665</v>
      </c>
      <c r="CT2">
        <v>114496</v>
      </c>
      <c r="CU2">
        <v>108309</v>
      </c>
      <c r="CV2">
        <v>72083</v>
      </c>
      <c r="CW2">
        <v>143077</v>
      </c>
      <c r="CX2">
        <v>41964</v>
      </c>
      <c r="CY2">
        <v>62262</v>
      </c>
      <c r="CZ2">
        <v>63929</v>
      </c>
      <c r="DA2">
        <v>148740</v>
      </c>
      <c r="DB2">
        <v>104658</v>
      </c>
      <c r="DC2">
        <v>87529</v>
      </c>
      <c r="DD2">
        <v>60859</v>
      </c>
      <c r="DE2">
        <v>85061</v>
      </c>
      <c r="DF2">
        <v>101118</v>
      </c>
      <c r="DG2">
        <v>51017</v>
      </c>
      <c r="DH2">
        <v>79693</v>
      </c>
      <c r="DI2">
        <v>92753</v>
      </c>
      <c r="DJ2">
        <v>59435</v>
      </c>
      <c r="DL2">
        <v>72707</v>
      </c>
      <c r="DM2">
        <v>48489</v>
      </c>
      <c r="DN2">
        <v>77833</v>
      </c>
      <c r="DO2">
        <v>69705</v>
      </c>
      <c r="DP2">
        <v>122285</v>
      </c>
      <c r="DQ2">
        <v>103205</v>
      </c>
      <c r="DR2">
        <v>85869</v>
      </c>
      <c r="DS2">
        <v>73012</v>
      </c>
      <c r="DT2">
        <v>67069</v>
      </c>
      <c r="DU2">
        <v>77888</v>
      </c>
      <c r="DV2">
        <v>65447</v>
      </c>
      <c r="DW2">
        <v>99726</v>
      </c>
      <c r="DX2">
        <v>51135</v>
      </c>
      <c r="DY2">
        <v>70577</v>
      </c>
      <c r="EA2">
        <v>71087</v>
      </c>
      <c r="EB2">
        <v>93800</v>
      </c>
      <c r="EC2">
        <v>109443</v>
      </c>
      <c r="ED2">
        <v>67362</v>
      </c>
      <c r="EE2">
        <v>54276</v>
      </c>
      <c r="EG2">
        <v>80370</v>
      </c>
      <c r="EH2">
        <v>73200</v>
      </c>
      <c r="EI2">
        <v>56196</v>
      </c>
      <c r="EJ2">
        <v>75406</v>
      </c>
      <c r="EK2">
        <v>49507</v>
      </c>
      <c r="EL2">
        <v>94399</v>
      </c>
      <c r="EM2">
        <v>97834</v>
      </c>
      <c r="EN2">
        <v>97411</v>
      </c>
      <c r="EO2">
        <v>68193</v>
      </c>
      <c r="EP2">
        <v>89336</v>
      </c>
      <c r="EQ2">
        <v>76250</v>
      </c>
      <c r="ER2">
        <v>63274</v>
      </c>
      <c r="ES2">
        <v>82791</v>
      </c>
      <c r="ET2">
        <v>75567</v>
      </c>
      <c r="EU2">
        <v>82665</v>
      </c>
      <c r="EV2">
        <v>76789</v>
      </c>
      <c r="EW2">
        <v>60113</v>
      </c>
      <c r="EX2">
        <v>89773</v>
      </c>
      <c r="EZ2">
        <v>119133</v>
      </c>
      <c r="FA2">
        <v>53094</v>
      </c>
      <c r="FB2">
        <v>84973</v>
      </c>
      <c r="FC2">
        <v>55496</v>
      </c>
      <c r="FD2">
        <v>58553</v>
      </c>
      <c r="FE2">
        <v>63956</v>
      </c>
      <c r="FF2">
        <v>72708</v>
      </c>
      <c r="FG2">
        <v>83750</v>
      </c>
      <c r="FH2">
        <v>47158</v>
      </c>
      <c r="FI2">
        <v>63525</v>
      </c>
      <c r="FJ2">
        <v>56992</v>
      </c>
      <c r="FL2">
        <v>63853</v>
      </c>
      <c r="FM2">
        <v>74773</v>
      </c>
      <c r="FN2">
        <v>87582</v>
      </c>
      <c r="FO2">
        <v>55235</v>
      </c>
      <c r="FP2">
        <v>92083</v>
      </c>
      <c r="FQ2">
        <v>102019</v>
      </c>
      <c r="FR2">
        <v>54286</v>
      </c>
      <c r="FS2">
        <v>92671</v>
      </c>
      <c r="FT2">
        <v>100467</v>
      </c>
      <c r="FU2">
        <v>104295</v>
      </c>
      <c r="FV2">
        <v>58867</v>
      </c>
      <c r="FW2">
        <v>114479</v>
      </c>
      <c r="FX2">
        <v>81503</v>
      </c>
      <c r="FY2">
        <v>83756</v>
      </c>
      <c r="FZ2">
        <v>84020</v>
      </c>
      <c r="GA2">
        <v>113381</v>
      </c>
      <c r="GB2">
        <v>69643</v>
      </c>
      <c r="GC2">
        <v>60085</v>
      </c>
      <c r="GD2">
        <v>63973</v>
      </c>
      <c r="GE2">
        <v>81250</v>
      </c>
      <c r="GF2">
        <v>58977</v>
      </c>
      <c r="GG2">
        <v>51542</v>
      </c>
      <c r="GH2">
        <v>68835</v>
      </c>
      <c r="GI2">
        <v>78490</v>
      </c>
      <c r="GJ2">
        <v>23676</v>
      </c>
      <c r="GK2">
        <v>53444</v>
      </c>
      <c r="GL2">
        <v>67823</v>
      </c>
      <c r="GM2">
        <v>44849</v>
      </c>
      <c r="GN2">
        <v>65660</v>
      </c>
      <c r="GO2">
        <v>59701</v>
      </c>
      <c r="GP2">
        <v>57589</v>
      </c>
      <c r="GQ2">
        <v>50647</v>
      </c>
      <c r="GR2">
        <v>80151</v>
      </c>
      <c r="GT2">
        <v>53512</v>
      </c>
      <c r="GU2">
        <v>98582</v>
      </c>
      <c r="GV2">
        <v>80697</v>
      </c>
      <c r="GW2">
        <v>88125</v>
      </c>
      <c r="GX2">
        <v>73721</v>
      </c>
      <c r="GY2">
        <v>57804</v>
      </c>
      <c r="GZ2">
        <v>100893</v>
      </c>
      <c r="HA2">
        <v>53809</v>
      </c>
      <c r="HB2">
        <v>74853</v>
      </c>
      <c r="HC2">
        <v>102653</v>
      </c>
      <c r="HD2">
        <v>71184</v>
      </c>
      <c r="HE2">
        <v>110821</v>
      </c>
      <c r="HG2">
        <v>63380</v>
      </c>
      <c r="HH2">
        <v>50337</v>
      </c>
      <c r="HI2">
        <v>77800</v>
      </c>
      <c r="HJ2">
        <v>99764</v>
      </c>
      <c r="HK2">
        <v>116257</v>
      </c>
      <c r="HL2">
        <v>67855</v>
      </c>
      <c r="HN2">
        <v>75469</v>
      </c>
      <c r="HO2">
        <v>48346</v>
      </c>
      <c r="HP2">
        <v>48839</v>
      </c>
      <c r="HR2">
        <v>110380</v>
      </c>
      <c r="HS2">
        <v>45290</v>
      </c>
      <c r="HT2">
        <v>78345</v>
      </c>
      <c r="HU2">
        <v>52784</v>
      </c>
      <c r="HV2">
        <v>73608</v>
      </c>
      <c r="HW2">
        <v>77260</v>
      </c>
      <c r="HX2">
        <v>58799</v>
      </c>
      <c r="HY2">
        <v>44267</v>
      </c>
      <c r="IA2">
        <v>103982</v>
      </c>
      <c r="IB2">
        <v>120679</v>
      </c>
      <c r="IC2">
        <v>140417</v>
      </c>
      <c r="ID2">
        <v>78429</v>
      </c>
      <c r="IE2">
        <v>110303</v>
      </c>
      <c r="IF2">
        <v>45641</v>
      </c>
      <c r="IG2">
        <v>46988</v>
      </c>
      <c r="IH2">
        <v>70540</v>
      </c>
      <c r="II2">
        <v>64514</v>
      </c>
      <c r="IJ2">
        <v>32374</v>
      </c>
      <c r="IK2">
        <v>36436</v>
      </c>
      <c r="IL2">
        <v>91135</v>
      </c>
      <c r="IM2">
        <v>105785</v>
      </c>
      <c r="IN2">
        <v>69640</v>
      </c>
      <c r="IO2">
        <v>127776</v>
      </c>
      <c r="IQ2">
        <v>90455</v>
      </c>
      <c r="IR2">
        <v>110208</v>
      </c>
      <c r="IS2">
        <v>173761</v>
      </c>
      <c r="IT2">
        <v>101186</v>
      </c>
      <c r="IU2">
        <v>69912</v>
      </c>
      <c r="IV2">
        <v>60748</v>
      </c>
      <c r="IY2">
        <v>51415</v>
      </c>
      <c r="IZ2">
        <v>49558</v>
      </c>
      <c r="JA2">
        <v>123125</v>
      </c>
      <c r="JB2">
        <v>97106</v>
      </c>
      <c r="JC2">
        <v>57564</v>
      </c>
      <c r="JD2">
        <v>75104</v>
      </c>
      <c r="JE2">
        <v>115779</v>
      </c>
      <c r="JF2">
        <v>58710</v>
      </c>
      <c r="JG2">
        <v>101875</v>
      </c>
      <c r="JH2">
        <v>68350</v>
      </c>
      <c r="JI2">
        <v>58713</v>
      </c>
      <c r="JJ2">
        <v>77116</v>
      </c>
      <c r="JK2">
        <v>51424</v>
      </c>
      <c r="JL2">
        <v>88875</v>
      </c>
      <c r="JM2">
        <v>103879</v>
      </c>
      <c r="JN2">
        <v>49292</v>
      </c>
      <c r="JO2">
        <v>65208</v>
      </c>
      <c r="JP2">
        <v>43218</v>
      </c>
      <c r="JQ2">
        <v>48125</v>
      </c>
      <c r="JR2">
        <v>44427</v>
      </c>
      <c r="JT2">
        <v>66350</v>
      </c>
      <c r="JU2">
        <v>56236</v>
      </c>
      <c r="JV2">
        <v>50214</v>
      </c>
      <c r="JW2">
        <v>51290</v>
      </c>
      <c r="JX2">
        <v>17000</v>
      </c>
      <c r="JY2">
        <v>59033</v>
      </c>
      <c r="JZ2">
        <v>78635</v>
      </c>
      <c r="KA2">
        <v>59324</v>
      </c>
      <c r="KB2">
        <v>43008</v>
      </c>
      <c r="KC2">
        <v>41375</v>
      </c>
      <c r="KD2">
        <v>43750</v>
      </c>
      <c r="KE2">
        <v>45214</v>
      </c>
      <c r="KF2">
        <v>46388</v>
      </c>
      <c r="KG2">
        <v>37500</v>
      </c>
      <c r="KH2">
        <v>31579</v>
      </c>
      <c r="KI2">
        <v>35906</v>
      </c>
      <c r="KJ2">
        <v>70833</v>
      </c>
      <c r="KM2">
        <v>53036</v>
      </c>
      <c r="KO2">
        <v>51083</v>
      </c>
      <c r="KP2">
        <v>44942</v>
      </c>
      <c r="KQ2">
        <v>47368</v>
      </c>
      <c r="KR2">
        <v>43583</v>
      </c>
      <c r="KS2">
        <v>51083</v>
      </c>
      <c r="KT2">
        <v>31269</v>
      </c>
      <c r="KU2">
        <v>46451</v>
      </c>
      <c r="KW2">
        <v>69790</v>
      </c>
      <c r="KX2">
        <v>80714</v>
      </c>
      <c r="KY2">
        <v>44701</v>
      </c>
      <c r="KZ2">
        <v>70650</v>
      </c>
      <c r="LA2">
        <v>38179</v>
      </c>
      <c r="LB2">
        <v>68000</v>
      </c>
      <c r="LC2">
        <v>51580</v>
      </c>
      <c r="LD2">
        <v>40642</v>
      </c>
      <c r="LE2">
        <v>58777</v>
      </c>
      <c r="LF2">
        <v>67046</v>
      </c>
      <c r="LG2">
        <v>88691</v>
      </c>
      <c r="LH2">
        <v>72119</v>
      </c>
      <c r="LI2">
        <v>47420</v>
      </c>
      <c r="LJ2">
        <v>74115</v>
      </c>
      <c r="LK2">
        <v>61169</v>
      </c>
      <c r="LL2">
        <v>55648</v>
      </c>
      <c r="LM2">
        <v>72593</v>
      </c>
      <c r="LN2">
        <v>104314</v>
      </c>
      <c r="LO2">
        <v>94079</v>
      </c>
      <c r="LP2">
        <v>98228</v>
      </c>
      <c r="LQ2">
        <v>58981</v>
      </c>
      <c r="LR2">
        <v>58869</v>
      </c>
      <c r="LS2">
        <v>71406</v>
      </c>
      <c r="LT2">
        <v>73131</v>
      </c>
      <c r="LU2">
        <v>57475</v>
      </c>
      <c r="LV2">
        <v>92273</v>
      </c>
      <c r="LW2">
        <v>66401</v>
      </c>
      <c r="LX2">
        <v>62772</v>
      </c>
      <c r="LY2">
        <v>59881</v>
      </c>
      <c r="LZ2">
        <v>54688</v>
      </c>
      <c r="MA2">
        <v>65902</v>
      </c>
      <c r="MB2">
        <v>84601</v>
      </c>
      <c r="MC2">
        <v>50545</v>
      </c>
      <c r="MD2">
        <v>70080</v>
      </c>
      <c r="ME2">
        <v>42292</v>
      </c>
      <c r="MF2">
        <v>51789</v>
      </c>
      <c r="MG2">
        <v>25096</v>
      </c>
      <c r="MH2">
        <v>71806</v>
      </c>
      <c r="MI2">
        <v>88922</v>
      </c>
      <c r="MJ2">
        <v>88531</v>
      </c>
      <c r="MK2">
        <v>74908</v>
      </c>
      <c r="ML2">
        <v>72604</v>
      </c>
      <c r="MM2">
        <v>55076</v>
      </c>
      <c r="MN2">
        <v>87386</v>
      </c>
      <c r="MO2">
        <v>107727</v>
      </c>
      <c r="MP2">
        <v>90876</v>
      </c>
      <c r="MQ2">
        <v>53125</v>
      </c>
      <c r="MR2">
        <v>53786</v>
      </c>
      <c r="MS2">
        <v>69292</v>
      </c>
      <c r="MT2">
        <v>36875</v>
      </c>
      <c r="MU2">
        <v>63261</v>
      </c>
      <c r="MV2">
        <v>51977</v>
      </c>
      <c r="MW2">
        <v>55441</v>
      </c>
      <c r="MX2">
        <v>51053</v>
      </c>
      <c r="MY2">
        <v>45938</v>
      </c>
      <c r="MZ2">
        <v>78594</v>
      </c>
      <c r="NA2">
        <v>72985</v>
      </c>
      <c r="NB2">
        <v>56471</v>
      </c>
      <c r="NC2">
        <v>63375</v>
      </c>
      <c r="ND2">
        <v>71000</v>
      </c>
      <c r="NE2">
        <v>70511</v>
      </c>
      <c r="NF2">
        <v>64185</v>
      </c>
      <c r="NG2">
        <v>60104</v>
      </c>
      <c r="NI2">
        <v>78250</v>
      </c>
      <c r="NJ2">
        <v>72500</v>
      </c>
      <c r="NK2">
        <v>51988</v>
      </c>
      <c r="NM2">
        <v>59224</v>
      </c>
      <c r="NP2">
        <v>36319</v>
      </c>
      <c r="NR2">
        <v>46701</v>
      </c>
      <c r="NS2">
        <v>58727</v>
      </c>
      <c r="NT2">
        <v>57455</v>
      </c>
      <c r="NV2">
        <v>71932</v>
      </c>
      <c r="NW2">
        <v>77833</v>
      </c>
      <c r="NX2">
        <v>109259</v>
      </c>
      <c r="NY2">
        <v>128571</v>
      </c>
      <c r="OA2">
        <v>68289</v>
      </c>
      <c r="OB2">
        <v>80063</v>
      </c>
      <c r="OC2">
        <v>70571</v>
      </c>
      <c r="OD2">
        <v>62035</v>
      </c>
      <c r="OE2">
        <v>50733</v>
      </c>
      <c r="OF2">
        <v>39948</v>
      </c>
      <c r="OG2">
        <v>46127</v>
      </c>
      <c r="OH2">
        <v>48815</v>
      </c>
      <c r="OI2">
        <v>48314</v>
      </c>
      <c r="OJ2">
        <v>44933</v>
      </c>
      <c r="OL2">
        <v>66103</v>
      </c>
      <c r="OM2">
        <v>83592</v>
      </c>
      <c r="ON2">
        <v>60331</v>
      </c>
      <c r="OO2">
        <v>60545</v>
      </c>
      <c r="OP2">
        <v>68911</v>
      </c>
      <c r="OQ2">
        <v>80276</v>
      </c>
      <c r="OR2">
        <v>65622</v>
      </c>
      <c r="OS2">
        <v>86976</v>
      </c>
      <c r="OT2">
        <v>85417</v>
      </c>
      <c r="OU2">
        <v>54070</v>
      </c>
      <c r="OV2">
        <v>63000</v>
      </c>
      <c r="OX2">
        <v>20577</v>
      </c>
      <c r="OY2">
        <v>81150</v>
      </c>
      <c r="OZ2">
        <v>47941</v>
      </c>
      <c r="PA2">
        <v>53417</v>
      </c>
      <c r="PB2">
        <v>51818</v>
      </c>
      <c r="PC2">
        <v>51186</v>
      </c>
      <c r="PD2">
        <v>101224</v>
      </c>
      <c r="PE2">
        <v>49224</v>
      </c>
      <c r="PF2">
        <v>74081</v>
      </c>
      <c r="PG2">
        <v>71351</v>
      </c>
      <c r="PH2">
        <v>58209</v>
      </c>
      <c r="PI2">
        <v>61990</v>
      </c>
      <c r="PJ2">
        <v>63250</v>
      </c>
      <c r="PK2">
        <v>55521</v>
      </c>
      <c r="PL2">
        <v>68227</v>
      </c>
      <c r="PM2">
        <v>62237</v>
      </c>
      <c r="PN2">
        <v>64034</v>
      </c>
      <c r="PO2">
        <v>51775</v>
      </c>
      <c r="PQ2">
        <v>68056</v>
      </c>
      <c r="PS2">
        <v>46702</v>
      </c>
      <c r="PT2">
        <v>46603</v>
      </c>
      <c r="PU2">
        <v>45909</v>
      </c>
      <c r="PV2">
        <v>51893</v>
      </c>
      <c r="PW2">
        <v>52917</v>
      </c>
      <c r="PX2">
        <v>56791</v>
      </c>
      <c r="PY2">
        <v>81445</v>
      </c>
      <c r="PZ2">
        <v>53228</v>
      </c>
      <c r="QA2">
        <v>70302</v>
      </c>
      <c r="QB2">
        <v>76088</v>
      </c>
      <c r="QC2">
        <v>47850</v>
      </c>
      <c r="QD2">
        <v>44294</v>
      </c>
      <c r="QE2">
        <v>80769</v>
      </c>
      <c r="QF2">
        <v>42820</v>
      </c>
      <c r="QG2">
        <v>99150</v>
      </c>
      <c r="QI2">
        <v>55083</v>
      </c>
      <c r="QJ2">
        <v>47017</v>
      </c>
      <c r="QK2">
        <v>69993</v>
      </c>
      <c r="QL2">
        <v>14306</v>
      </c>
      <c r="QM2">
        <v>64561</v>
      </c>
      <c r="QN2">
        <v>82853</v>
      </c>
      <c r="QO2">
        <v>54630</v>
      </c>
      <c r="QP2">
        <v>49167</v>
      </c>
      <c r="QQ2">
        <v>62895</v>
      </c>
      <c r="QR2">
        <v>49964</v>
      </c>
      <c r="QS2">
        <v>125020</v>
      </c>
      <c r="QT2">
        <v>66484</v>
      </c>
      <c r="QV2">
        <v>81133</v>
      </c>
      <c r="QW2">
        <v>72977</v>
      </c>
      <c r="QX2">
        <v>62081</v>
      </c>
      <c r="QY2">
        <v>33992</v>
      </c>
      <c r="QZ2">
        <v>48684</v>
      </c>
      <c r="RB2">
        <v>42250</v>
      </c>
      <c r="RC2">
        <v>41284</v>
      </c>
      <c r="RE2">
        <v>55170</v>
      </c>
      <c r="RF2">
        <v>55540</v>
      </c>
      <c r="RG2">
        <v>46324</v>
      </c>
      <c r="RH2">
        <v>52202</v>
      </c>
      <c r="RI2">
        <v>42361</v>
      </c>
      <c r="RJ2">
        <v>22282</v>
      </c>
      <c r="RK2">
        <v>41189</v>
      </c>
      <c r="RL2">
        <v>69511</v>
      </c>
      <c r="RM2">
        <v>44271</v>
      </c>
      <c r="RN2">
        <v>77831</v>
      </c>
      <c r="RO2">
        <v>64647</v>
      </c>
      <c r="RQ2">
        <v>39258</v>
      </c>
      <c r="RR2">
        <v>57781</v>
      </c>
      <c r="RS2">
        <v>37083</v>
      </c>
      <c r="RU2">
        <v>99722</v>
      </c>
      <c r="RV2">
        <v>42886</v>
      </c>
      <c r="RW2">
        <v>48603</v>
      </c>
      <c r="RX2">
        <v>79957</v>
      </c>
      <c r="RY2">
        <v>47453</v>
      </c>
      <c r="RZ2">
        <v>68625</v>
      </c>
      <c r="SA2">
        <v>65313</v>
      </c>
      <c r="SB2">
        <v>55207</v>
      </c>
      <c r="SC2">
        <v>45578</v>
      </c>
      <c r="SD2">
        <v>52500</v>
      </c>
      <c r="SE2">
        <v>60017</v>
      </c>
      <c r="SF2">
        <v>40644</v>
      </c>
      <c r="SG2">
        <v>53571</v>
      </c>
      <c r="SH2">
        <v>37298</v>
      </c>
      <c r="SI2">
        <v>46258</v>
      </c>
      <c r="SJ2">
        <v>48889</v>
      </c>
      <c r="SK2">
        <v>45084</v>
      </c>
      <c r="SL2">
        <v>60102</v>
      </c>
      <c r="SM2">
        <v>135000</v>
      </c>
      <c r="SN2">
        <v>46020</v>
      </c>
      <c r="SO2">
        <v>72265</v>
      </c>
      <c r="SP2">
        <v>70177</v>
      </c>
      <c r="SQ2">
        <v>54322</v>
      </c>
      <c r="SR2">
        <v>47500</v>
      </c>
      <c r="SS2">
        <v>69741</v>
      </c>
      <c r="ST2">
        <v>73750</v>
      </c>
      <c r="SV2">
        <v>46875</v>
      </c>
      <c r="SW2">
        <v>43665</v>
      </c>
      <c r="SX2">
        <v>51625</v>
      </c>
      <c r="SY2">
        <v>66406</v>
      </c>
      <c r="TA2">
        <v>24539</v>
      </c>
      <c r="TB2">
        <v>33806</v>
      </c>
      <c r="TC2">
        <v>33558</v>
      </c>
      <c r="TE2">
        <v>84792</v>
      </c>
      <c r="TF2">
        <v>112738</v>
      </c>
      <c r="TG2">
        <v>55952</v>
      </c>
      <c r="TH2">
        <v>46789</v>
      </c>
      <c r="TI2">
        <v>24643</v>
      </c>
      <c r="TJ2">
        <v>76509</v>
      </c>
      <c r="TK2">
        <v>67692</v>
      </c>
      <c r="TL2">
        <v>38083</v>
      </c>
      <c r="TM2">
        <v>23935</v>
      </c>
      <c r="TN2">
        <v>34773</v>
      </c>
      <c r="TO2">
        <v>45000</v>
      </c>
      <c r="TP2">
        <v>54391</v>
      </c>
      <c r="TR2">
        <v>48184</v>
      </c>
      <c r="TS2">
        <v>53006</v>
      </c>
      <c r="TT2">
        <v>59830</v>
      </c>
      <c r="TU2">
        <v>78537</v>
      </c>
      <c r="TV2">
        <v>72500</v>
      </c>
      <c r="TW2">
        <v>23946</v>
      </c>
      <c r="TX2">
        <v>66485</v>
      </c>
      <c r="TY2">
        <v>80625</v>
      </c>
      <c r="TZ2">
        <v>39875</v>
      </c>
      <c r="UA2">
        <v>61713</v>
      </c>
      <c r="UB2">
        <v>43455</v>
      </c>
      <c r="UC2">
        <v>40560</v>
      </c>
      <c r="UD2">
        <v>35078</v>
      </c>
      <c r="UE2">
        <v>25682</v>
      </c>
      <c r="UF2">
        <v>49000</v>
      </c>
      <c r="UG2">
        <v>45625</v>
      </c>
      <c r="UH2">
        <v>47449</v>
      </c>
      <c r="UI2">
        <v>46250</v>
      </c>
      <c r="UK2">
        <v>42639</v>
      </c>
      <c r="UL2">
        <v>29970</v>
      </c>
      <c r="UM2">
        <v>80716</v>
      </c>
      <c r="UN2">
        <v>40217</v>
      </c>
      <c r="UO2">
        <v>65221</v>
      </c>
      <c r="UP2">
        <v>72321</v>
      </c>
      <c r="UQ2">
        <v>52665</v>
      </c>
      <c r="UR2">
        <v>45619</v>
      </c>
      <c r="US2">
        <v>38672</v>
      </c>
      <c r="UT2">
        <v>43578</v>
      </c>
      <c r="UU2">
        <v>63808</v>
      </c>
      <c r="UV2">
        <v>84444</v>
      </c>
      <c r="UW2">
        <v>21642</v>
      </c>
      <c r="UX2">
        <v>40228</v>
      </c>
      <c r="UY2">
        <v>28915</v>
      </c>
      <c r="VA2">
        <v>76214</v>
      </c>
      <c r="VB2">
        <v>47560</v>
      </c>
      <c r="VD2">
        <v>67073</v>
      </c>
      <c r="VE2">
        <v>41145</v>
      </c>
      <c r="VF2">
        <v>86141</v>
      </c>
      <c r="VG2">
        <v>46618</v>
      </c>
      <c r="VH2">
        <v>62773</v>
      </c>
      <c r="VJ2">
        <v>42799</v>
      </c>
      <c r="VK2">
        <v>97857</v>
      </c>
      <c r="VL2">
        <v>62500</v>
      </c>
      <c r="VM2">
        <v>49844</v>
      </c>
      <c r="VN2">
        <v>92114</v>
      </c>
      <c r="VO2">
        <v>55579</v>
      </c>
      <c r="VQ2">
        <v>48538</v>
      </c>
      <c r="VR2">
        <v>59841</v>
      </c>
      <c r="VS2">
        <v>58125</v>
      </c>
      <c r="VT2">
        <v>65306</v>
      </c>
      <c r="VU2">
        <v>68689</v>
      </c>
      <c r="VV2">
        <v>90019</v>
      </c>
      <c r="VW2">
        <v>44167</v>
      </c>
      <c r="VX2">
        <v>104411</v>
      </c>
      <c r="VY2">
        <v>76960</v>
      </c>
      <c r="WA2">
        <v>99729</v>
      </c>
      <c r="WB2">
        <v>62051</v>
      </c>
      <c r="WC2">
        <v>54543</v>
      </c>
      <c r="WE2">
        <v>49881</v>
      </c>
      <c r="WF2">
        <v>45872</v>
      </c>
      <c r="WG2">
        <v>54197</v>
      </c>
      <c r="WH2">
        <v>62698</v>
      </c>
      <c r="WI2">
        <v>77270</v>
      </c>
      <c r="WJ2">
        <v>46635</v>
      </c>
      <c r="WL2">
        <v>89316</v>
      </c>
      <c r="WM2">
        <v>119670</v>
      </c>
      <c r="WN2">
        <v>35753</v>
      </c>
      <c r="WO2">
        <v>66078</v>
      </c>
      <c r="WQ2">
        <v>38633</v>
      </c>
      <c r="WR2">
        <v>50559</v>
      </c>
      <c r="WS2">
        <v>44438</v>
      </c>
      <c r="WT2">
        <v>72500</v>
      </c>
      <c r="WU2">
        <v>42244</v>
      </c>
      <c r="WV2">
        <v>56825</v>
      </c>
      <c r="WW2">
        <v>48807</v>
      </c>
      <c r="WX2">
        <v>45938</v>
      </c>
      <c r="WY2">
        <v>35181</v>
      </c>
      <c r="WZ2">
        <v>99738</v>
      </c>
      <c r="XA2">
        <v>86178</v>
      </c>
      <c r="XC2">
        <v>64856</v>
      </c>
      <c r="XD2">
        <v>72689</v>
      </c>
      <c r="XE2">
        <v>31053</v>
      </c>
      <c r="XF2">
        <v>45223</v>
      </c>
      <c r="XG2">
        <v>49379</v>
      </c>
      <c r="XH2">
        <v>46159</v>
      </c>
      <c r="XI2">
        <v>41219</v>
      </c>
      <c r="XJ2">
        <v>46496</v>
      </c>
      <c r="XK2">
        <v>36648</v>
      </c>
      <c r="XL2">
        <v>58158</v>
      </c>
      <c r="XM2">
        <v>41670</v>
      </c>
      <c r="XN2">
        <v>65035</v>
      </c>
      <c r="XP2">
        <v>71464</v>
      </c>
      <c r="XQ2">
        <v>33906</v>
      </c>
      <c r="XR2">
        <v>68472</v>
      </c>
      <c r="XS2">
        <v>43676</v>
      </c>
      <c r="XT2">
        <v>44224</v>
      </c>
      <c r="XU2">
        <v>43348</v>
      </c>
      <c r="XV2">
        <v>50400</v>
      </c>
      <c r="XW2">
        <v>53438</v>
      </c>
      <c r="XY2">
        <v>46681</v>
      </c>
      <c r="XZ2">
        <v>68360</v>
      </c>
      <c r="YA2">
        <v>44906</v>
      </c>
      <c r="YB2">
        <v>87125</v>
      </c>
      <c r="YC2">
        <v>42292</v>
      </c>
      <c r="YD2">
        <v>52083</v>
      </c>
      <c r="YF2">
        <v>56563</v>
      </c>
      <c r="YG2">
        <v>33785</v>
      </c>
      <c r="YI2">
        <v>51759</v>
      </c>
      <c r="YJ2">
        <v>63810</v>
      </c>
      <c r="YL2">
        <v>32903</v>
      </c>
      <c r="YM2">
        <v>50502</v>
      </c>
      <c r="YN2">
        <v>69437</v>
      </c>
      <c r="YO2">
        <v>47585</v>
      </c>
      <c r="YP2">
        <v>48177</v>
      </c>
      <c r="YQ2">
        <v>47500</v>
      </c>
      <c r="YR2">
        <v>28917</v>
      </c>
      <c r="YS2">
        <v>42273</v>
      </c>
      <c r="YT2">
        <v>79103</v>
      </c>
      <c r="YU2">
        <v>54464</v>
      </c>
      <c r="YV2">
        <v>39000</v>
      </c>
      <c r="YW2">
        <v>59545</v>
      </c>
      <c r="YX2">
        <v>35243</v>
      </c>
      <c r="YY2">
        <v>68428</v>
      </c>
      <c r="YZ2">
        <v>80613</v>
      </c>
      <c r="ZA2">
        <v>47778</v>
      </c>
      <c r="ZB2">
        <v>40704</v>
      </c>
      <c r="ZC2">
        <v>60280</v>
      </c>
      <c r="ZD2">
        <v>59097</v>
      </c>
      <c r="ZE2">
        <v>28421</v>
      </c>
      <c r="ZF2">
        <v>50833</v>
      </c>
      <c r="ZG2">
        <v>37875</v>
      </c>
      <c r="ZH2">
        <v>39028</v>
      </c>
      <c r="ZI2">
        <v>40250</v>
      </c>
      <c r="ZJ2">
        <v>61806</v>
      </c>
      <c r="ZK2">
        <v>42938</v>
      </c>
      <c r="ZL2">
        <v>39333</v>
      </c>
      <c r="ZN2">
        <v>43804</v>
      </c>
      <c r="ZQ2">
        <v>32611</v>
      </c>
      <c r="ZS2">
        <v>36805</v>
      </c>
      <c r="ZT2">
        <v>47286</v>
      </c>
      <c r="ZU2">
        <v>37915</v>
      </c>
      <c r="ZV2">
        <v>37917</v>
      </c>
      <c r="ZW2">
        <v>78016</v>
      </c>
      <c r="ZX2">
        <v>38815</v>
      </c>
      <c r="ZY2">
        <v>54300</v>
      </c>
      <c r="ZZ2">
        <v>40600</v>
      </c>
      <c r="AAA2">
        <v>28056</v>
      </c>
      <c r="AAB2">
        <v>76243</v>
      </c>
      <c r="AAC2">
        <v>51518</v>
      </c>
      <c r="AAE2">
        <v>48527</v>
      </c>
      <c r="AAF2">
        <v>48750</v>
      </c>
      <c r="AAG2">
        <v>38889</v>
      </c>
      <c r="AAH2">
        <v>62880</v>
      </c>
      <c r="AAI2">
        <v>38286</v>
      </c>
      <c r="AAJ2">
        <v>66377</v>
      </c>
      <c r="AAK2">
        <v>50192</v>
      </c>
      <c r="AAL2">
        <v>39274</v>
      </c>
      <c r="AAM2">
        <v>37972</v>
      </c>
      <c r="AAP2">
        <v>74653</v>
      </c>
      <c r="AAQ2">
        <v>81838</v>
      </c>
      <c r="AAR2">
        <v>81468</v>
      </c>
      <c r="AAS2">
        <v>40938</v>
      </c>
      <c r="AAT2">
        <v>44113</v>
      </c>
      <c r="AAU2">
        <v>59038</v>
      </c>
      <c r="AAV2">
        <v>51467</v>
      </c>
      <c r="AAW2">
        <v>69286</v>
      </c>
      <c r="AAX2">
        <v>45625</v>
      </c>
      <c r="AAY2">
        <v>54797</v>
      </c>
      <c r="AAZ2">
        <v>61439</v>
      </c>
      <c r="ABA2">
        <v>38571</v>
      </c>
      <c r="ABB2">
        <v>36613</v>
      </c>
      <c r="ABC2">
        <v>35547</v>
      </c>
      <c r="ABD2">
        <v>52885</v>
      </c>
      <c r="ABE2">
        <v>34673</v>
      </c>
      <c r="ABF2">
        <v>72313</v>
      </c>
      <c r="ABG2">
        <v>47875</v>
      </c>
      <c r="ABH2">
        <v>45539</v>
      </c>
      <c r="ABI2">
        <v>52837</v>
      </c>
      <c r="ABJ2">
        <v>58952</v>
      </c>
      <c r="ABK2">
        <v>46414</v>
      </c>
      <c r="ABL2">
        <v>73070</v>
      </c>
      <c r="ABM2">
        <v>46613</v>
      </c>
      <c r="ABN2">
        <v>38021</v>
      </c>
      <c r="ABO2">
        <v>50216</v>
      </c>
      <c r="ABP2">
        <v>42234</v>
      </c>
      <c r="ABQ2">
        <v>51810</v>
      </c>
      <c r="ABR2">
        <v>44493</v>
      </c>
      <c r="ABS2">
        <v>97361</v>
      </c>
      <c r="ABT2">
        <v>43646</v>
      </c>
      <c r="ABU2">
        <v>54429</v>
      </c>
      <c r="ABV2">
        <v>99469</v>
      </c>
      <c r="ABW2">
        <v>96970</v>
      </c>
      <c r="ABY2">
        <v>91941</v>
      </c>
      <c r="ABZ2">
        <v>48417</v>
      </c>
      <c r="ACB2">
        <v>45000</v>
      </c>
      <c r="ACC2">
        <v>48728</v>
      </c>
      <c r="ACD2">
        <v>106131</v>
      </c>
      <c r="ACF2">
        <v>59231</v>
      </c>
      <c r="ACG2">
        <v>69211</v>
      </c>
      <c r="ACH2">
        <v>27192</v>
      </c>
      <c r="ACI2">
        <v>42077</v>
      </c>
      <c r="ACJ2">
        <v>72593</v>
      </c>
      <c r="ACK2">
        <v>46632</v>
      </c>
      <c r="ACL2">
        <v>130702</v>
      </c>
      <c r="ACM2">
        <v>60692</v>
      </c>
      <c r="ACN2">
        <v>67391</v>
      </c>
      <c r="ACP2">
        <v>60397</v>
      </c>
      <c r="ACQ2">
        <v>46711</v>
      </c>
      <c r="ACR2">
        <v>39865</v>
      </c>
      <c r="ACS2">
        <v>27926</v>
      </c>
      <c r="ACT2">
        <v>62089</v>
      </c>
      <c r="ACU2">
        <v>68635</v>
      </c>
      <c r="ACV2">
        <v>38647</v>
      </c>
      <c r="ACW2">
        <v>53099</v>
      </c>
      <c r="ACX2">
        <v>66488</v>
      </c>
      <c r="ACY2">
        <v>56220</v>
      </c>
      <c r="ACZ2">
        <v>44472</v>
      </c>
      <c r="ADA2">
        <v>51133</v>
      </c>
      <c r="ADB2">
        <v>47914</v>
      </c>
      <c r="ADC2">
        <v>43494</v>
      </c>
      <c r="ADD2">
        <v>50234</v>
      </c>
      <c r="ADE2">
        <v>45043</v>
      </c>
      <c r="ADF2">
        <v>60669</v>
      </c>
      <c r="ADG2">
        <v>39375</v>
      </c>
      <c r="ADH2">
        <v>54500</v>
      </c>
      <c r="ADI2">
        <v>46433</v>
      </c>
      <c r="ADK2">
        <v>50625</v>
      </c>
      <c r="ADL2">
        <v>43208</v>
      </c>
      <c r="ADM2">
        <v>56145</v>
      </c>
      <c r="ADN2">
        <v>22224</v>
      </c>
      <c r="ADO2">
        <v>65078</v>
      </c>
      <c r="ADP2">
        <v>39907</v>
      </c>
      <c r="ADQ2">
        <v>45149</v>
      </c>
      <c r="ADR2">
        <v>47534</v>
      </c>
      <c r="ADS2">
        <v>32331</v>
      </c>
      <c r="ADT2">
        <v>40769</v>
      </c>
      <c r="ADU2">
        <v>39375</v>
      </c>
      <c r="ADV2">
        <v>45263</v>
      </c>
      <c r="ADW2">
        <v>46333</v>
      </c>
      <c r="ADX2">
        <v>24000</v>
      </c>
      <c r="ADY2">
        <v>47292</v>
      </c>
      <c r="ADZ2">
        <v>49038</v>
      </c>
      <c r="AEA2">
        <v>58229</v>
      </c>
      <c r="AEC2">
        <v>32708</v>
      </c>
      <c r="AED2">
        <v>49810</v>
      </c>
      <c r="AEE2">
        <v>61849</v>
      </c>
      <c r="AEF2">
        <v>115742</v>
      </c>
      <c r="AEG2">
        <v>102536</v>
      </c>
      <c r="AEH2">
        <v>132753</v>
      </c>
      <c r="AEI2">
        <v>174750</v>
      </c>
      <c r="AEJ2">
        <v>151475</v>
      </c>
      <c r="AEK2">
        <v>102647</v>
      </c>
      <c r="AEL2">
        <v>112625</v>
      </c>
      <c r="AEM2">
        <v>129598</v>
      </c>
      <c r="AEO2">
        <v>145445</v>
      </c>
      <c r="AEP2">
        <v>183393</v>
      </c>
      <c r="AEQ2">
        <v>118864</v>
      </c>
      <c r="AER2">
        <v>123438</v>
      </c>
      <c r="AES2">
        <v>78654</v>
      </c>
      <c r="AET2">
        <v>110960</v>
      </c>
      <c r="AEU2">
        <v>154128</v>
      </c>
      <c r="AEW2">
        <v>121908</v>
      </c>
      <c r="AEX2">
        <v>116475</v>
      </c>
      <c r="AEY2">
        <v>128977</v>
      </c>
      <c r="AEZ2">
        <v>126657</v>
      </c>
      <c r="AFA2">
        <v>56806</v>
      </c>
      <c r="AFB2">
        <v>111550</v>
      </c>
      <c r="AFC2">
        <v>86861</v>
      </c>
      <c r="AFD2">
        <v>193274</v>
      </c>
      <c r="AFE2">
        <v>196250</v>
      </c>
      <c r="AFF2">
        <v>131042</v>
      </c>
      <c r="AFG2">
        <v>151193</v>
      </c>
      <c r="AFH2">
        <v>141382</v>
      </c>
      <c r="AFI2">
        <v>144035</v>
      </c>
      <c r="AFJ2">
        <v>88750</v>
      </c>
      <c r="AFK2">
        <v>119167</v>
      </c>
      <c r="AFL2">
        <v>130168</v>
      </c>
      <c r="AFM2">
        <v>137854</v>
      </c>
      <c r="AFN2">
        <v>96650</v>
      </c>
      <c r="AFP2">
        <v>110669</v>
      </c>
      <c r="AFQ2">
        <v>93864</v>
      </c>
      <c r="AFR2">
        <v>115729</v>
      </c>
      <c r="AFU2">
        <v>76250</v>
      </c>
      <c r="AFV2">
        <v>93313</v>
      </c>
      <c r="AFX2">
        <v>53125</v>
      </c>
      <c r="AFY2">
        <v>165650</v>
      </c>
      <c r="AFZ2">
        <v>128325</v>
      </c>
      <c r="AGA2">
        <v>161071</v>
      </c>
      <c r="AGB2">
        <v>156161</v>
      </c>
      <c r="AGC2">
        <v>115710</v>
      </c>
      <c r="AGE2">
        <v>137188</v>
      </c>
      <c r="AGF2">
        <v>119792</v>
      </c>
      <c r="AGH2">
        <v>143468</v>
      </c>
      <c r="AGI2">
        <v>89295</v>
      </c>
      <c r="AGJ2">
        <v>174750</v>
      </c>
      <c r="AGK2">
        <v>139500</v>
      </c>
      <c r="AGL2">
        <v>154833</v>
      </c>
      <c r="AGM2">
        <v>141875</v>
      </c>
      <c r="AGN2">
        <v>121528</v>
      </c>
      <c r="AGO2">
        <v>79236</v>
      </c>
      <c r="AGP2">
        <v>102816</v>
      </c>
      <c r="AGQ2">
        <v>99555</v>
      </c>
      <c r="AGR2">
        <v>97720</v>
      </c>
      <c r="AGS2">
        <v>80569</v>
      </c>
      <c r="AGT2">
        <v>58884</v>
      </c>
      <c r="AGU2">
        <v>86633</v>
      </c>
      <c r="AGV2">
        <v>64674</v>
      </c>
      <c r="AGW2">
        <v>86534</v>
      </c>
      <c r="AGX2">
        <v>139056</v>
      </c>
      <c r="AGY2">
        <v>119507</v>
      </c>
      <c r="AGZ2">
        <v>158598</v>
      </c>
      <c r="AHA2">
        <v>162538</v>
      </c>
      <c r="AHB2">
        <v>82241</v>
      </c>
      <c r="AHC2">
        <v>128226</v>
      </c>
      <c r="AHD2">
        <v>105757</v>
      </c>
      <c r="AHE2">
        <v>130008</v>
      </c>
      <c r="AHF2">
        <v>128864</v>
      </c>
      <c r="AHG2">
        <v>124371</v>
      </c>
      <c r="AHH2">
        <v>158924</v>
      </c>
      <c r="AHI2">
        <v>85752</v>
      </c>
      <c r="AHJ2">
        <v>79446</v>
      </c>
      <c r="AHL2">
        <v>73023</v>
      </c>
      <c r="AHM2">
        <v>121068</v>
      </c>
      <c r="AHN2">
        <v>77869</v>
      </c>
      <c r="AHO2">
        <v>78754</v>
      </c>
      <c r="AHP2">
        <v>71259</v>
      </c>
      <c r="AHQ2">
        <v>79381</v>
      </c>
      <c r="AHR2">
        <v>115451</v>
      </c>
      <c r="AHS2">
        <v>166976</v>
      </c>
      <c r="AHT2">
        <v>94110</v>
      </c>
      <c r="AHU2">
        <v>112065</v>
      </c>
      <c r="AHV2">
        <v>246618</v>
      </c>
      <c r="AHW2">
        <v>83966</v>
      </c>
      <c r="AHX2">
        <v>98621</v>
      </c>
      <c r="AHY2">
        <v>112500</v>
      </c>
      <c r="AHZ2">
        <v>139167</v>
      </c>
      <c r="AIA2">
        <v>155794</v>
      </c>
      <c r="AIB2">
        <v>80876</v>
      </c>
      <c r="AID2">
        <v>131973</v>
      </c>
      <c r="AIE2">
        <v>118595</v>
      </c>
      <c r="AIF2">
        <v>118092</v>
      </c>
      <c r="AIG2">
        <v>215833</v>
      </c>
      <c r="AIH2">
        <v>178854</v>
      </c>
      <c r="AII2">
        <v>109931</v>
      </c>
      <c r="AIJ2">
        <v>89281</v>
      </c>
      <c r="AIK2">
        <v>82037</v>
      </c>
      <c r="AIL2">
        <v>79040</v>
      </c>
      <c r="AIM2">
        <v>80170</v>
      </c>
      <c r="AIN2">
        <v>83146</v>
      </c>
      <c r="AIO2">
        <v>111200</v>
      </c>
      <c r="AIP2">
        <v>194375</v>
      </c>
      <c r="AIQ2">
        <v>149657</v>
      </c>
      <c r="AIR2">
        <v>185873</v>
      </c>
      <c r="AIS2">
        <v>228311</v>
      </c>
      <c r="AIT2">
        <v>231292</v>
      </c>
      <c r="AIU2">
        <v>211196</v>
      </c>
      <c r="AIV2">
        <v>160287</v>
      </c>
      <c r="AIW2">
        <v>195564</v>
      </c>
      <c r="AIX2">
        <v>193264</v>
      </c>
      <c r="AIY2">
        <v>195938</v>
      </c>
      <c r="AJA2">
        <v>177588</v>
      </c>
      <c r="AJB2">
        <v>152917</v>
      </c>
      <c r="AJC2">
        <v>125268</v>
      </c>
      <c r="AJD2">
        <v>107578</v>
      </c>
      <c r="AJE2">
        <v>121550</v>
      </c>
      <c r="AJF2">
        <v>146075</v>
      </c>
      <c r="AJG2">
        <v>241697</v>
      </c>
      <c r="AJH2">
        <v>146036</v>
      </c>
      <c r="AJI2">
        <v>152768</v>
      </c>
      <c r="AJJ2">
        <v>175250</v>
      </c>
      <c r="AJK2">
        <v>192083</v>
      </c>
      <c r="AJL2">
        <v>137990</v>
      </c>
      <c r="AJM2">
        <v>106050</v>
      </c>
      <c r="AJN2">
        <v>162472</v>
      </c>
      <c r="AJO2">
        <v>129775</v>
      </c>
      <c r="AJP2">
        <v>108211</v>
      </c>
      <c r="AJQ2">
        <v>107542</v>
      </c>
      <c r="AJR2">
        <v>86134</v>
      </c>
      <c r="AJS2">
        <v>141902</v>
      </c>
      <c r="AJT2">
        <v>100324</v>
      </c>
      <c r="AJU2">
        <v>131528</v>
      </c>
      <c r="AJV2">
        <v>171903</v>
      </c>
      <c r="AJW2">
        <v>94586</v>
      </c>
      <c r="AKA2">
        <v>165423</v>
      </c>
      <c r="AKC2">
        <v>19722</v>
      </c>
      <c r="AKD2">
        <v>123031</v>
      </c>
      <c r="AKE2">
        <v>105677</v>
      </c>
      <c r="AKF2">
        <v>78649</v>
      </c>
      <c r="AKG2">
        <v>90926</v>
      </c>
      <c r="AKH2">
        <v>142929</v>
      </c>
      <c r="AKI2">
        <v>91563</v>
      </c>
      <c r="AKJ2">
        <v>103813</v>
      </c>
      <c r="AKK2">
        <v>80593</v>
      </c>
      <c r="AKL2">
        <v>76250</v>
      </c>
      <c r="AKM2">
        <v>118750</v>
      </c>
      <c r="AKN2">
        <v>108703</v>
      </c>
      <c r="AKO2">
        <v>91667</v>
      </c>
      <c r="AKP2">
        <v>136705</v>
      </c>
      <c r="AKQ2">
        <v>161141</v>
      </c>
      <c r="AKR2">
        <v>109366</v>
      </c>
      <c r="AKS2">
        <v>135454</v>
      </c>
      <c r="AKT2">
        <v>96424</v>
      </c>
      <c r="AKU2">
        <v>76131</v>
      </c>
      <c r="AKV2">
        <v>128220</v>
      </c>
      <c r="AKW2">
        <v>238095</v>
      </c>
      <c r="AKX2">
        <v>92333</v>
      </c>
      <c r="AKZ2">
        <v>142202</v>
      </c>
      <c r="ALA2">
        <v>85833</v>
      </c>
      <c r="ALB2">
        <v>171185</v>
      </c>
      <c r="ALC2">
        <v>185195</v>
      </c>
      <c r="ALD2">
        <v>127554</v>
      </c>
      <c r="ALE2">
        <v>86195</v>
      </c>
      <c r="ALF2">
        <v>178207</v>
      </c>
      <c r="ALG2">
        <v>145000</v>
      </c>
      <c r="ALH2">
        <v>123658</v>
      </c>
      <c r="ALI2">
        <v>115134</v>
      </c>
      <c r="ALJ2">
        <v>125280</v>
      </c>
      <c r="ALK2">
        <v>150593</v>
      </c>
      <c r="ALL2">
        <v>125098</v>
      </c>
      <c r="ALM2">
        <v>117551</v>
      </c>
      <c r="ALO2">
        <v>73542</v>
      </c>
      <c r="ALP2">
        <v>99513</v>
      </c>
      <c r="ALQ2">
        <v>152232</v>
      </c>
      <c r="ALS2">
        <v>163462</v>
      </c>
      <c r="ALT2">
        <v>95596</v>
      </c>
      <c r="ALU2">
        <v>79778</v>
      </c>
      <c r="ALW2">
        <v>96367</v>
      </c>
      <c r="ALX2">
        <v>126378</v>
      </c>
      <c r="ALY2">
        <v>137237</v>
      </c>
      <c r="ALZ2">
        <v>180167</v>
      </c>
      <c r="AMA2">
        <v>100853</v>
      </c>
      <c r="AMB2">
        <v>137399</v>
      </c>
      <c r="AMC2">
        <v>114200</v>
      </c>
      <c r="AMD2">
        <v>100573</v>
      </c>
      <c r="AME2">
        <v>113472</v>
      </c>
      <c r="AMF2">
        <v>118048</v>
      </c>
      <c r="AMG2">
        <v>120947</v>
      </c>
      <c r="AMH2">
        <v>110503</v>
      </c>
      <c r="AMI2">
        <v>195000</v>
      </c>
      <c r="AMK2">
        <v>142001</v>
      </c>
      <c r="AML2">
        <v>140966</v>
      </c>
      <c r="AMM2">
        <v>116584</v>
      </c>
      <c r="AMN2">
        <v>132829</v>
      </c>
      <c r="AMO2">
        <v>96672</v>
      </c>
      <c r="AMP2">
        <v>148090</v>
      </c>
      <c r="AMQ2">
        <v>118302</v>
      </c>
      <c r="AMR2">
        <v>122021</v>
      </c>
      <c r="AMT2">
        <v>187500</v>
      </c>
      <c r="AMU2">
        <v>158550</v>
      </c>
      <c r="AMV2">
        <v>83305</v>
      </c>
      <c r="AMW2">
        <v>105300</v>
      </c>
      <c r="AMX2">
        <v>141411</v>
      </c>
      <c r="AMY2">
        <v>127055</v>
      </c>
      <c r="AMZ2">
        <v>171848</v>
      </c>
      <c r="ANA2">
        <v>113711</v>
      </c>
      <c r="ANC2">
        <v>115000</v>
      </c>
      <c r="AND2">
        <v>129231</v>
      </c>
      <c r="ANE2">
        <v>129583</v>
      </c>
      <c r="ANF2">
        <v>96406</v>
      </c>
      <c r="ANG2">
        <v>109076</v>
      </c>
      <c r="ANH2">
        <v>108424</v>
      </c>
      <c r="ANI2">
        <v>109848</v>
      </c>
      <c r="ANJ2">
        <v>138654</v>
      </c>
      <c r="ANK2">
        <v>123858</v>
      </c>
      <c r="ANL2">
        <v>42324</v>
      </c>
      <c r="ANM2">
        <v>59098</v>
      </c>
      <c r="ANN2">
        <v>92734</v>
      </c>
      <c r="ANO2">
        <v>38211</v>
      </c>
      <c r="ANP2">
        <v>61572</v>
      </c>
      <c r="ANQ2">
        <v>59822</v>
      </c>
      <c r="ANR2">
        <v>89702</v>
      </c>
      <c r="ANS2">
        <v>89398</v>
      </c>
      <c r="ANT2">
        <v>114409</v>
      </c>
      <c r="ANU2">
        <v>79909</v>
      </c>
      <c r="ANV2">
        <v>94014</v>
      </c>
      <c r="ANW2">
        <v>47870</v>
      </c>
      <c r="ANX2">
        <v>77398</v>
      </c>
      <c r="ANY2">
        <v>49523</v>
      </c>
      <c r="ANZ2">
        <v>46761</v>
      </c>
      <c r="AOA2">
        <v>36665</v>
      </c>
      <c r="AOB2">
        <v>58847</v>
      </c>
      <c r="AOC2">
        <v>116000</v>
      </c>
      <c r="AOD2">
        <v>77571</v>
      </c>
      <c r="AOE2">
        <v>68140</v>
      </c>
      <c r="AOF2">
        <v>60483</v>
      </c>
      <c r="AOG2">
        <v>35541</v>
      </c>
      <c r="AOH2">
        <v>86443</v>
      </c>
      <c r="AOI2">
        <v>49171</v>
      </c>
      <c r="AOJ2">
        <v>71500</v>
      </c>
      <c r="AOK2">
        <v>78626</v>
      </c>
      <c r="AOL2">
        <v>102592</v>
      </c>
      <c r="AOM2">
        <v>52692</v>
      </c>
      <c r="AON2">
        <v>95470</v>
      </c>
      <c r="AOO2">
        <v>88091</v>
      </c>
      <c r="AOQ2">
        <v>80692</v>
      </c>
      <c r="AOR2">
        <v>91855</v>
      </c>
      <c r="AOS2">
        <v>84118</v>
      </c>
      <c r="AOT2">
        <v>62547</v>
      </c>
      <c r="AOV2">
        <v>80335</v>
      </c>
      <c r="APA2">
        <v>92722</v>
      </c>
      <c r="APC2">
        <v>114699</v>
      </c>
      <c r="APD2">
        <v>81125</v>
      </c>
      <c r="APE2">
        <v>108759</v>
      </c>
      <c r="APF2">
        <v>150208</v>
      </c>
      <c r="APG2">
        <v>140236</v>
      </c>
      <c r="APH2">
        <v>56958</v>
      </c>
      <c r="API2">
        <v>67708</v>
      </c>
      <c r="APJ2">
        <v>59792</v>
      </c>
      <c r="APL2">
        <v>70885</v>
      </c>
      <c r="APM2">
        <v>43929</v>
      </c>
      <c r="APN2">
        <v>57115</v>
      </c>
      <c r="APO2">
        <v>56250</v>
      </c>
      <c r="APP2">
        <v>55761</v>
      </c>
      <c r="APQ2">
        <v>60455</v>
      </c>
      <c r="APR2">
        <v>82250</v>
      </c>
      <c r="APS2">
        <v>57143</v>
      </c>
      <c r="APT2">
        <v>63125</v>
      </c>
      <c r="APU2">
        <v>58519</v>
      </c>
      <c r="APX2">
        <v>58250</v>
      </c>
      <c r="APY2">
        <v>61824</v>
      </c>
      <c r="APZ2">
        <v>47917</v>
      </c>
      <c r="AQA2">
        <v>40625</v>
      </c>
      <c r="AQC2">
        <v>72159</v>
      </c>
      <c r="AQD2">
        <v>57693</v>
      </c>
      <c r="AQE2">
        <v>80434</v>
      </c>
      <c r="AQF2">
        <v>83472</v>
      </c>
      <c r="AQG2">
        <v>62750</v>
      </c>
      <c r="AQH2">
        <v>110778</v>
      </c>
      <c r="AQI2">
        <v>51094</v>
      </c>
      <c r="AQJ2">
        <v>116827</v>
      </c>
      <c r="AQK2">
        <v>94815</v>
      </c>
      <c r="AQL2">
        <v>69842</v>
      </c>
      <c r="AQM2">
        <v>56375</v>
      </c>
      <c r="AQN2">
        <v>69068</v>
      </c>
      <c r="AQO2">
        <v>87813</v>
      </c>
      <c r="AQP2">
        <v>98750</v>
      </c>
      <c r="AQQ2">
        <v>60313</v>
      </c>
      <c r="AQR2">
        <v>76250</v>
      </c>
      <c r="AQS2">
        <v>91417</v>
      </c>
      <c r="AQT2">
        <v>65541</v>
      </c>
      <c r="AQU2">
        <v>67181</v>
      </c>
      <c r="AQV2">
        <v>59135</v>
      </c>
      <c r="AQW2">
        <v>49250</v>
      </c>
      <c r="AQX2">
        <v>120169</v>
      </c>
      <c r="AQY2">
        <v>56447</v>
      </c>
      <c r="AQZ2">
        <v>116953</v>
      </c>
      <c r="ARA2">
        <v>56173</v>
      </c>
      <c r="ARB2">
        <v>77721</v>
      </c>
      <c r="ARC2">
        <v>69375</v>
      </c>
      <c r="ARD2">
        <v>52143</v>
      </c>
      <c r="ARG2">
        <v>107361</v>
      </c>
      <c r="ARH2">
        <v>137500</v>
      </c>
      <c r="ARI2">
        <v>56806</v>
      </c>
      <c r="ARJ2">
        <v>92000</v>
      </c>
      <c r="ARK2">
        <v>76042</v>
      </c>
      <c r="ARL2">
        <v>120644</v>
      </c>
      <c r="ARN2">
        <v>77288</v>
      </c>
      <c r="ARO2">
        <v>78000</v>
      </c>
      <c r="ARP2">
        <v>105648</v>
      </c>
      <c r="ARQ2">
        <v>124375</v>
      </c>
      <c r="ARR2">
        <v>68393</v>
      </c>
      <c r="ARS2">
        <v>78922</v>
      </c>
      <c r="ART2">
        <v>77875</v>
      </c>
      <c r="ARU2">
        <v>167647</v>
      </c>
      <c r="ARV2">
        <v>76667</v>
      </c>
      <c r="ARW2">
        <v>66458</v>
      </c>
      <c r="ARX2">
        <v>150809</v>
      </c>
      <c r="ARY2">
        <v>119154</v>
      </c>
      <c r="ASA2">
        <v>76250</v>
      </c>
      <c r="ASB2">
        <v>87708</v>
      </c>
      <c r="ASC2">
        <v>55208</v>
      </c>
      <c r="ASD2">
        <v>59375</v>
      </c>
      <c r="ASE2">
        <v>66163</v>
      </c>
      <c r="ASG2">
        <v>108244</v>
      </c>
      <c r="ASH2">
        <v>100481</v>
      </c>
      <c r="ASI2">
        <v>75865</v>
      </c>
      <c r="ASK2">
        <v>97769</v>
      </c>
      <c r="ASL2">
        <v>100449</v>
      </c>
      <c r="ASM2">
        <v>103028</v>
      </c>
      <c r="ASN2">
        <v>162437</v>
      </c>
      <c r="ASP2">
        <v>158918</v>
      </c>
      <c r="ASQ2">
        <v>92868</v>
      </c>
      <c r="ASR2">
        <v>96555</v>
      </c>
      <c r="ASS2">
        <v>176736</v>
      </c>
      <c r="ASU2">
        <v>100043</v>
      </c>
      <c r="ASV2">
        <v>77375</v>
      </c>
      <c r="ASW2">
        <v>90000</v>
      </c>
      <c r="ASX2">
        <v>74479</v>
      </c>
      <c r="ASY2">
        <v>84906</v>
      </c>
      <c r="ATA2">
        <v>82636</v>
      </c>
      <c r="ATB2">
        <v>83313</v>
      </c>
      <c r="ATC2">
        <v>52794</v>
      </c>
      <c r="ATE2">
        <v>239821</v>
      </c>
      <c r="ATF2">
        <v>57150</v>
      </c>
      <c r="ATG2">
        <v>80306</v>
      </c>
      <c r="ATI2">
        <v>50833</v>
      </c>
      <c r="ATJ2">
        <v>179068</v>
      </c>
      <c r="ATK2">
        <v>129085</v>
      </c>
      <c r="ATL2">
        <v>92222</v>
      </c>
      <c r="ATM2">
        <v>96250</v>
      </c>
      <c r="ATN2">
        <v>103081</v>
      </c>
      <c r="ATP2">
        <v>55592</v>
      </c>
      <c r="ATQ2">
        <v>44531</v>
      </c>
      <c r="ATR2">
        <v>142887</v>
      </c>
      <c r="ATS2">
        <v>175809</v>
      </c>
      <c r="ATT2">
        <v>148909</v>
      </c>
      <c r="ATU2">
        <v>142470</v>
      </c>
      <c r="ATV2">
        <v>159542</v>
      </c>
      <c r="ATW2">
        <v>106823</v>
      </c>
      <c r="ATX2">
        <v>126944</v>
      </c>
      <c r="ATY2">
        <v>76063</v>
      </c>
      <c r="ATZ2">
        <v>111648</v>
      </c>
      <c r="AUA2">
        <v>62043</v>
      </c>
      <c r="AUC2">
        <v>82256</v>
      </c>
      <c r="AUD2">
        <v>94432</v>
      </c>
      <c r="AUE2">
        <v>138923</v>
      </c>
      <c r="AUF2">
        <v>83669</v>
      </c>
      <c r="AUG2">
        <v>90091</v>
      </c>
      <c r="AUI2">
        <v>88984</v>
      </c>
      <c r="AUJ2">
        <v>125203</v>
      </c>
      <c r="AUK2">
        <v>191458</v>
      </c>
      <c r="AUL2">
        <v>84833</v>
      </c>
      <c r="AUM2">
        <v>179271</v>
      </c>
      <c r="AUN2">
        <v>120732</v>
      </c>
      <c r="AUO2">
        <v>65750</v>
      </c>
      <c r="AUP2">
        <v>64513</v>
      </c>
      <c r="AUQ2">
        <v>127891</v>
      </c>
      <c r="AUR2">
        <v>87611</v>
      </c>
      <c r="AUS2">
        <v>103387</v>
      </c>
      <c r="AUU2">
        <v>46875</v>
      </c>
      <c r="AUV2">
        <v>42250</v>
      </c>
      <c r="AUW2">
        <v>42346</v>
      </c>
      <c r="AUX2">
        <v>83401</v>
      </c>
      <c r="AUY2">
        <v>60513</v>
      </c>
      <c r="AVA2">
        <v>105836</v>
      </c>
      <c r="AVB2">
        <v>34659</v>
      </c>
      <c r="AVC2">
        <v>81173</v>
      </c>
      <c r="AVD2">
        <v>85929</v>
      </c>
      <c r="AVF2">
        <v>83839</v>
      </c>
      <c r="AVG2">
        <v>68626</v>
      </c>
      <c r="AVH2">
        <v>70266</v>
      </c>
      <c r="AVI2">
        <v>72368</v>
      </c>
      <c r="AVJ2">
        <v>47901</v>
      </c>
      <c r="AVK2">
        <v>55000</v>
      </c>
      <c r="AVL2">
        <v>74167</v>
      </c>
      <c r="AVM2">
        <v>83125</v>
      </c>
      <c r="AVO2">
        <v>67107</v>
      </c>
      <c r="AVP2">
        <v>95313</v>
      </c>
      <c r="AVQ2">
        <v>94118</v>
      </c>
      <c r="AVR2">
        <v>78977</v>
      </c>
      <c r="AVT2">
        <v>66375</v>
      </c>
      <c r="AVU2">
        <v>51500</v>
      </c>
      <c r="AVV2">
        <v>110709</v>
      </c>
      <c r="AVW2">
        <v>75655</v>
      </c>
      <c r="AVX2">
        <v>69362</v>
      </c>
      <c r="AVZ2">
        <v>105876</v>
      </c>
      <c r="AWB2">
        <v>73608</v>
      </c>
      <c r="AWC2">
        <v>89797</v>
      </c>
      <c r="AWD2">
        <v>88583</v>
      </c>
      <c r="AWE2">
        <v>69732</v>
      </c>
      <c r="AWG2">
        <v>70347</v>
      </c>
      <c r="AWH2">
        <v>87841</v>
      </c>
      <c r="AWI2">
        <v>102601</v>
      </c>
      <c r="AWJ2">
        <v>78691</v>
      </c>
      <c r="AWK2">
        <v>101806</v>
      </c>
      <c r="AWL2">
        <v>113687</v>
      </c>
      <c r="AWM2">
        <v>80999</v>
      </c>
      <c r="AWO2">
        <v>90711</v>
      </c>
      <c r="AWP2">
        <v>85739</v>
      </c>
      <c r="AWQ2">
        <v>95855</v>
      </c>
      <c r="AWR2">
        <v>58198</v>
      </c>
      <c r="AWS2">
        <v>91003</v>
      </c>
      <c r="AWT2">
        <v>60769</v>
      </c>
      <c r="AWU2">
        <v>52250</v>
      </c>
      <c r="AWV2">
        <v>50524</v>
      </c>
      <c r="AWW2">
        <v>60602</v>
      </c>
      <c r="AWX2">
        <v>64543</v>
      </c>
      <c r="AWY2">
        <v>51596</v>
      </c>
      <c r="AWZ2">
        <v>48356</v>
      </c>
      <c r="AXA2">
        <v>59316</v>
      </c>
      <c r="AXB2">
        <v>34881</v>
      </c>
      <c r="AXC2">
        <v>90066</v>
      </c>
      <c r="AXD2">
        <v>59083</v>
      </c>
      <c r="AXE2">
        <v>51712</v>
      </c>
      <c r="AXF2">
        <v>43768</v>
      </c>
      <c r="AXG2">
        <v>58298</v>
      </c>
      <c r="AXH2">
        <v>44653</v>
      </c>
      <c r="AXI2">
        <v>92441</v>
      </c>
      <c r="AXJ2">
        <v>60166</v>
      </c>
      <c r="AXK2">
        <v>98000</v>
      </c>
      <c r="AXL2">
        <v>71042</v>
      </c>
      <c r="AXM2">
        <v>65670</v>
      </c>
      <c r="AXN2">
        <v>54259</v>
      </c>
      <c r="AXO2">
        <v>71250</v>
      </c>
      <c r="AXP2">
        <v>57395</v>
      </c>
      <c r="AXQ2">
        <v>84016</v>
      </c>
      <c r="AXR2">
        <v>58902</v>
      </c>
      <c r="AXS2">
        <v>55324</v>
      </c>
      <c r="AXT2">
        <v>63141</v>
      </c>
      <c r="AXU2">
        <v>92823</v>
      </c>
      <c r="AXV2">
        <v>61921</v>
      </c>
      <c r="AXW2">
        <v>44798</v>
      </c>
      <c r="AXX2">
        <v>59073</v>
      </c>
      <c r="AXY2">
        <v>75592</v>
      </c>
      <c r="AXZ2">
        <v>34873</v>
      </c>
      <c r="AYA2">
        <v>63308</v>
      </c>
      <c r="AYB2">
        <v>54176</v>
      </c>
      <c r="AYE2">
        <v>60235</v>
      </c>
      <c r="AYF2">
        <v>52708</v>
      </c>
      <c r="AYH2">
        <v>43879</v>
      </c>
      <c r="AYI2">
        <v>61286</v>
      </c>
      <c r="AYJ2">
        <v>65526</v>
      </c>
      <c r="AYK2">
        <v>55729</v>
      </c>
      <c r="AYL2">
        <v>49271</v>
      </c>
      <c r="AYM2">
        <v>88125</v>
      </c>
      <c r="AYO2">
        <v>71250</v>
      </c>
      <c r="AYP2">
        <v>63844</v>
      </c>
      <c r="AYQ2">
        <v>50450</v>
      </c>
      <c r="AYR2">
        <v>46150</v>
      </c>
      <c r="AYS2">
        <v>70625</v>
      </c>
      <c r="AYT2">
        <v>74934</v>
      </c>
      <c r="AYU2">
        <v>105424</v>
      </c>
      <c r="AYV2">
        <v>58063</v>
      </c>
      <c r="AYW2">
        <v>29327</v>
      </c>
      <c r="AYX2">
        <v>84358</v>
      </c>
      <c r="AYY2">
        <v>65747</v>
      </c>
      <c r="AZA2">
        <v>55114</v>
      </c>
      <c r="AZB2">
        <v>77153</v>
      </c>
      <c r="AZC2">
        <v>37356</v>
      </c>
      <c r="AZD2">
        <v>56842</v>
      </c>
      <c r="AZF2">
        <v>70893</v>
      </c>
      <c r="AZG2">
        <v>63846</v>
      </c>
      <c r="AZH2">
        <v>38482</v>
      </c>
      <c r="AZI2">
        <v>58104</v>
      </c>
      <c r="AZJ2">
        <v>51423</v>
      </c>
      <c r="AZK2">
        <v>68621</v>
      </c>
      <c r="AZM2">
        <v>94525</v>
      </c>
      <c r="AZN2">
        <v>73974</v>
      </c>
      <c r="AZO2">
        <v>85388</v>
      </c>
      <c r="AZP2">
        <v>74383</v>
      </c>
      <c r="AZQ2">
        <v>75707</v>
      </c>
      <c r="AZR2">
        <v>49219</v>
      </c>
      <c r="AZS2">
        <v>83958</v>
      </c>
      <c r="AZT2">
        <v>49809</v>
      </c>
      <c r="AZU2">
        <v>59526</v>
      </c>
      <c r="AZV2">
        <v>58936</v>
      </c>
      <c r="AZW2">
        <v>73333</v>
      </c>
      <c r="AZX2">
        <v>77316</v>
      </c>
      <c r="AZY2">
        <v>77308</v>
      </c>
      <c r="AZZ2">
        <v>47917</v>
      </c>
      <c r="BAA2">
        <v>57841</v>
      </c>
      <c r="BAB2">
        <v>154750</v>
      </c>
      <c r="BAC2">
        <v>35216</v>
      </c>
      <c r="BAD2">
        <v>95064</v>
      </c>
      <c r="BAE2">
        <v>77500</v>
      </c>
      <c r="BAF2">
        <v>54609</v>
      </c>
      <c r="BAG2">
        <v>59904</v>
      </c>
      <c r="BAH2">
        <v>49369</v>
      </c>
      <c r="BAI2">
        <v>58285</v>
      </c>
      <c r="BAJ2">
        <v>50070</v>
      </c>
      <c r="BAK2">
        <v>48834</v>
      </c>
      <c r="BAL2">
        <v>63182</v>
      </c>
      <c r="BAM2">
        <v>58279</v>
      </c>
      <c r="BAN2">
        <v>71554</v>
      </c>
      <c r="BAP2">
        <v>53632</v>
      </c>
      <c r="BAQ2">
        <v>108533</v>
      </c>
      <c r="BAR2">
        <v>91597</v>
      </c>
      <c r="BAS2">
        <v>60133</v>
      </c>
      <c r="BAT2">
        <v>67545</v>
      </c>
      <c r="BAU2">
        <v>56113</v>
      </c>
      <c r="BAW2">
        <v>60826</v>
      </c>
      <c r="BAX2">
        <v>56117</v>
      </c>
      <c r="BAY2">
        <v>72488</v>
      </c>
      <c r="BAZ2">
        <v>118893</v>
      </c>
      <c r="BBA2">
        <v>56383</v>
      </c>
      <c r="BBB2">
        <v>69065</v>
      </c>
      <c r="BBC2">
        <v>61075</v>
      </c>
      <c r="BBE2">
        <v>74354</v>
      </c>
      <c r="BBF2">
        <v>84977</v>
      </c>
      <c r="BBG2">
        <v>43438</v>
      </c>
      <c r="BBH2">
        <v>43092</v>
      </c>
      <c r="BBI2">
        <v>53023</v>
      </c>
      <c r="BBJ2">
        <v>42497</v>
      </c>
      <c r="BBK2">
        <v>53222</v>
      </c>
      <c r="BBL2">
        <v>56198</v>
      </c>
      <c r="BBM2">
        <v>81460</v>
      </c>
      <c r="BBN2">
        <v>56432</v>
      </c>
      <c r="BBO2">
        <v>80271</v>
      </c>
      <c r="BBR2">
        <v>90778</v>
      </c>
      <c r="BBS2">
        <v>71476</v>
      </c>
      <c r="BBT2">
        <v>130683</v>
      </c>
      <c r="BBU2">
        <v>81660</v>
      </c>
      <c r="BBV2">
        <v>63430</v>
      </c>
      <c r="BBW2">
        <v>70570</v>
      </c>
      <c r="BBY2">
        <v>85327</v>
      </c>
      <c r="BBZ2">
        <v>49798</v>
      </c>
      <c r="BCA2">
        <v>67859</v>
      </c>
      <c r="BCB2">
        <v>61089</v>
      </c>
      <c r="BCC2">
        <v>98474</v>
      </c>
      <c r="BCD2">
        <v>116669</v>
      </c>
      <c r="BCE2">
        <v>97511</v>
      </c>
      <c r="BCF2">
        <v>94354</v>
      </c>
      <c r="BCG2">
        <v>117757</v>
      </c>
      <c r="BCH2">
        <v>117647</v>
      </c>
      <c r="BCI2">
        <v>154632</v>
      </c>
      <c r="BCJ2">
        <v>82694</v>
      </c>
      <c r="BCK2">
        <v>49644</v>
      </c>
      <c r="BCL2">
        <v>71477</v>
      </c>
      <c r="BCM2">
        <v>122158</v>
      </c>
      <c r="BCN2">
        <v>68549</v>
      </c>
      <c r="BCO2">
        <v>66142</v>
      </c>
      <c r="BCP2">
        <v>90325</v>
      </c>
      <c r="BCQ2">
        <v>107666</v>
      </c>
      <c r="BCR2">
        <v>80021</v>
      </c>
      <c r="BCS2">
        <v>52466</v>
      </c>
      <c r="BCV2">
        <v>56745</v>
      </c>
      <c r="BCW2">
        <v>39028</v>
      </c>
      <c r="BCX2">
        <v>52709</v>
      </c>
      <c r="BCY2">
        <v>132122</v>
      </c>
      <c r="BCZ2">
        <v>121108</v>
      </c>
      <c r="BDA2">
        <v>72345</v>
      </c>
      <c r="BDB2">
        <v>58966</v>
      </c>
      <c r="BDC2">
        <v>70666</v>
      </c>
      <c r="BDD2">
        <v>81507</v>
      </c>
      <c r="BDE2">
        <v>57043</v>
      </c>
      <c r="BDF2">
        <v>61581</v>
      </c>
      <c r="BDG2">
        <v>74833</v>
      </c>
      <c r="BDH2">
        <v>29857</v>
      </c>
      <c r="BDI2">
        <v>45000</v>
      </c>
      <c r="BDK2">
        <v>60577</v>
      </c>
      <c r="BDL2">
        <v>56709</v>
      </c>
      <c r="BDM2">
        <v>110458</v>
      </c>
      <c r="BDN2">
        <v>155406</v>
      </c>
      <c r="BDO2">
        <v>40000</v>
      </c>
      <c r="BDP2">
        <v>57169</v>
      </c>
      <c r="BDQ2">
        <v>65625</v>
      </c>
      <c r="BDR2">
        <v>63843</v>
      </c>
      <c r="BDT2">
        <v>122464</v>
      </c>
      <c r="BDU2">
        <v>94129</v>
      </c>
      <c r="BDV2">
        <v>45057</v>
      </c>
      <c r="BDW2">
        <v>60244</v>
      </c>
      <c r="BDX2">
        <v>52228</v>
      </c>
      <c r="BDY2">
        <v>57281</v>
      </c>
      <c r="BDZ2">
        <v>67500</v>
      </c>
      <c r="BEA2">
        <v>48929</v>
      </c>
      <c r="BEB2">
        <v>72822</v>
      </c>
      <c r="BED2">
        <v>116593</v>
      </c>
      <c r="BEE2">
        <v>37566</v>
      </c>
      <c r="BEF2">
        <v>79360</v>
      </c>
      <c r="BEG2">
        <v>89219</v>
      </c>
      <c r="BEJ2">
        <v>91735</v>
      </c>
      <c r="BEK2">
        <v>77283</v>
      </c>
      <c r="BEM2">
        <v>63218</v>
      </c>
      <c r="BEN2">
        <v>84569</v>
      </c>
      <c r="BEO2">
        <v>73698</v>
      </c>
      <c r="BEP2">
        <v>62126</v>
      </c>
      <c r="BEQ2">
        <v>71701</v>
      </c>
      <c r="BER2">
        <v>89179</v>
      </c>
      <c r="BES2">
        <v>148261</v>
      </c>
      <c r="BET2">
        <v>78118</v>
      </c>
      <c r="BEU2">
        <v>62900</v>
      </c>
      <c r="BEV2">
        <v>94710</v>
      </c>
      <c r="BEW2">
        <v>119278</v>
      </c>
      <c r="BEX2">
        <v>125727</v>
      </c>
      <c r="BEY2">
        <v>102643</v>
      </c>
      <c r="BEZ2">
        <v>77566</v>
      </c>
      <c r="BFA2">
        <v>102207</v>
      </c>
      <c r="BFD2">
        <v>61475</v>
      </c>
      <c r="BFE2">
        <v>82056</v>
      </c>
      <c r="BFF2">
        <v>59237</v>
      </c>
      <c r="BFG2">
        <v>65935</v>
      </c>
      <c r="BFH2">
        <v>69579</v>
      </c>
      <c r="BFK2">
        <v>85216</v>
      </c>
      <c r="BFL2">
        <v>89941</v>
      </c>
      <c r="BFM2">
        <v>42488</v>
      </c>
      <c r="BFN2">
        <v>55898</v>
      </c>
      <c r="BFO2">
        <v>54604</v>
      </c>
      <c r="BFP2">
        <v>47134</v>
      </c>
      <c r="BFQ2">
        <v>45500</v>
      </c>
      <c r="BFR2">
        <v>59872</v>
      </c>
      <c r="BFS2">
        <v>95568</v>
      </c>
      <c r="BFT2">
        <v>66912</v>
      </c>
      <c r="BFU2">
        <v>41184</v>
      </c>
      <c r="BFV2">
        <v>50036</v>
      </c>
      <c r="BFW2">
        <v>52868</v>
      </c>
      <c r="BFX2">
        <v>81406</v>
      </c>
      <c r="BFZ2">
        <v>31702</v>
      </c>
      <c r="BGA2">
        <v>64010</v>
      </c>
      <c r="BGB2">
        <v>52539</v>
      </c>
      <c r="BGC2">
        <v>36835</v>
      </c>
      <c r="BGD2">
        <v>52932</v>
      </c>
      <c r="BGE2">
        <v>88472</v>
      </c>
      <c r="BGF2">
        <v>58594</v>
      </c>
      <c r="BGG2">
        <v>31857</v>
      </c>
      <c r="BGH2">
        <v>29844</v>
      </c>
      <c r="BGI2">
        <v>40000</v>
      </c>
      <c r="BGJ2">
        <v>44750</v>
      </c>
      <c r="BGK2">
        <v>88504</v>
      </c>
      <c r="BGL2">
        <v>52625</v>
      </c>
      <c r="BGM2">
        <v>55304</v>
      </c>
      <c r="BGN2">
        <v>46747</v>
      </c>
      <c r="BGO2">
        <v>29940</v>
      </c>
      <c r="BGP2">
        <v>47580</v>
      </c>
      <c r="BGQ2">
        <v>44515</v>
      </c>
      <c r="BGR2">
        <v>70735</v>
      </c>
      <c r="BGS2">
        <v>44214</v>
      </c>
      <c r="BGT2">
        <v>24612</v>
      </c>
      <c r="BGU2">
        <v>18229</v>
      </c>
      <c r="BGV2">
        <v>79896</v>
      </c>
      <c r="BGW2">
        <v>42344</v>
      </c>
      <c r="BGX2">
        <v>37731</v>
      </c>
      <c r="BGY2">
        <v>45341</v>
      </c>
      <c r="BGZ2">
        <v>41870</v>
      </c>
      <c r="BHA2">
        <v>28750</v>
      </c>
      <c r="BHB2">
        <v>42524</v>
      </c>
      <c r="BHC2">
        <v>55750</v>
      </c>
      <c r="BHD2">
        <v>51707</v>
      </c>
      <c r="BHE2">
        <v>54145</v>
      </c>
      <c r="BHG2">
        <v>44398</v>
      </c>
      <c r="BHH2">
        <v>63180</v>
      </c>
      <c r="BHI2">
        <v>53125</v>
      </c>
      <c r="BHJ2">
        <v>56533</v>
      </c>
      <c r="BHK2">
        <v>66042</v>
      </c>
      <c r="BHL2">
        <v>26750</v>
      </c>
      <c r="BHM2">
        <v>65500</v>
      </c>
      <c r="BHN2">
        <v>75142</v>
      </c>
      <c r="BHO2">
        <v>58182</v>
      </c>
      <c r="BHP2">
        <v>71843</v>
      </c>
      <c r="BHQ2">
        <v>88621</v>
      </c>
      <c r="BHR2">
        <v>40929</v>
      </c>
      <c r="BHS2">
        <v>44416</v>
      </c>
      <c r="BHT2">
        <v>44127</v>
      </c>
      <c r="BHU2">
        <v>33229</v>
      </c>
      <c r="BHV2">
        <v>30288</v>
      </c>
      <c r="BHW2">
        <v>31629</v>
      </c>
      <c r="BHX2">
        <v>21250</v>
      </c>
      <c r="BHY2">
        <v>46448</v>
      </c>
      <c r="BIA2">
        <v>29972</v>
      </c>
      <c r="BIB2">
        <v>32083</v>
      </c>
      <c r="BIC2">
        <v>81329</v>
      </c>
      <c r="BIE2">
        <v>52500</v>
      </c>
      <c r="BIF2">
        <v>56141</v>
      </c>
      <c r="BIG2">
        <v>58614</v>
      </c>
      <c r="BIH2">
        <v>49333</v>
      </c>
      <c r="BII2">
        <v>47766</v>
      </c>
      <c r="BIJ2">
        <v>48194</v>
      </c>
      <c r="BIK2">
        <v>49382</v>
      </c>
      <c r="BIL2">
        <v>31063</v>
      </c>
      <c r="BIM2">
        <v>57979</v>
      </c>
      <c r="BIN2">
        <v>46425</v>
      </c>
      <c r="BIO2">
        <v>37737</v>
      </c>
      <c r="BIP2">
        <v>64320</v>
      </c>
      <c r="BIQ2">
        <v>53021</v>
      </c>
      <c r="BIR2">
        <v>61499</v>
      </c>
      <c r="BIS2">
        <v>42849</v>
      </c>
      <c r="BIT2">
        <v>33750</v>
      </c>
      <c r="BIU2">
        <v>73670</v>
      </c>
      <c r="BIW2">
        <v>56088</v>
      </c>
      <c r="BIX2">
        <v>87344</v>
      </c>
      <c r="BIY2">
        <v>73864</v>
      </c>
      <c r="BIZ2">
        <v>46583</v>
      </c>
      <c r="BJA2">
        <v>61186</v>
      </c>
      <c r="BJB2">
        <v>38864</v>
      </c>
      <c r="BJC2">
        <v>51552</v>
      </c>
      <c r="BJD2">
        <v>46653</v>
      </c>
      <c r="BJE2">
        <v>85962</v>
      </c>
      <c r="BJF2">
        <v>58750</v>
      </c>
      <c r="BJG2">
        <v>114775</v>
      </c>
      <c r="BJH2">
        <v>49814</v>
      </c>
      <c r="BJI2">
        <v>63750</v>
      </c>
      <c r="BJJ2">
        <v>65368</v>
      </c>
      <c r="BJK2">
        <v>57500</v>
      </c>
      <c r="BJL2">
        <v>58281</v>
      </c>
      <c r="BJM2">
        <v>70465</v>
      </c>
      <c r="BJN2">
        <v>38224</v>
      </c>
      <c r="BJO2">
        <v>31875</v>
      </c>
      <c r="BJP2">
        <v>47067</v>
      </c>
      <c r="BJQ2">
        <v>59594</v>
      </c>
      <c r="BJR2">
        <v>63611</v>
      </c>
      <c r="BJS2">
        <v>83571</v>
      </c>
      <c r="BJT2">
        <v>78517</v>
      </c>
      <c r="BJU2">
        <v>103429</v>
      </c>
      <c r="BJV2">
        <v>82500</v>
      </c>
      <c r="BJW2">
        <v>50302</v>
      </c>
      <c r="BJX2">
        <v>75877</v>
      </c>
      <c r="BJZ2">
        <v>36250</v>
      </c>
      <c r="BKA2">
        <v>102229</v>
      </c>
      <c r="BKB2">
        <v>87560</v>
      </c>
      <c r="BKC2">
        <v>65672</v>
      </c>
      <c r="BKD2">
        <v>37161</v>
      </c>
      <c r="BKE2">
        <v>63771</v>
      </c>
      <c r="BKF2">
        <v>76250</v>
      </c>
      <c r="BKG2">
        <v>74671</v>
      </c>
      <c r="BKH2">
        <v>24885</v>
      </c>
      <c r="BKJ2">
        <v>61740</v>
      </c>
      <c r="BKK2">
        <v>32905</v>
      </c>
      <c r="BKL2">
        <v>61648</v>
      </c>
      <c r="BKM2">
        <v>68214</v>
      </c>
      <c r="BKN2">
        <v>82011</v>
      </c>
      <c r="BKO2">
        <v>88125</v>
      </c>
      <c r="BKP2">
        <v>46532</v>
      </c>
      <c r="BKQ2">
        <v>54554</v>
      </c>
      <c r="BKR2">
        <v>72528</v>
      </c>
      <c r="BKS2">
        <v>71484</v>
      </c>
      <c r="BKU2">
        <v>42352</v>
      </c>
      <c r="BKV2">
        <v>52250</v>
      </c>
      <c r="BKW2">
        <v>46196</v>
      </c>
      <c r="BKX2">
        <v>54284</v>
      </c>
      <c r="BKY2">
        <v>48171</v>
      </c>
      <c r="BKZ2">
        <v>54375</v>
      </c>
      <c r="BLA2">
        <v>42708</v>
      </c>
      <c r="BLB2">
        <v>81045</v>
      </c>
      <c r="BLC2">
        <v>51341</v>
      </c>
      <c r="BLE2">
        <v>55188</v>
      </c>
      <c r="BLG2">
        <v>36958</v>
      </c>
      <c r="BLH2">
        <v>53377</v>
      </c>
      <c r="BLI2">
        <v>57670</v>
      </c>
      <c r="BLK2">
        <v>70595</v>
      </c>
      <c r="BLL2">
        <v>87934</v>
      </c>
      <c r="BLM2">
        <v>111823</v>
      </c>
      <c r="BLN2">
        <v>75026</v>
      </c>
      <c r="BLO2">
        <v>56525</v>
      </c>
      <c r="BLP2">
        <v>57496</v>
      </c>
      <c r="BLQ2">
        <v>133676</v>
      </c>
      <c r="BLR2">
        <v>110932</v>
      </c>
      <c r="BLT2">
        <v>55634</v>
      </c>
      <c r="BLW2">
        <v>43770</v>
      </c>
      <c r="BLX2">
        <v>44448</v>
      </c>
      <c r="BLY2">
        <v>55892</v>
      </c>
      <c r="BLZ2">
        <v>86118</v>
      </c>
      <c r="BMA2">
        <v>72900</v>
      </c>
      <c r="BMB2">
        <v>54033</v>
      </c>
      <c r="BMC2">
        <v>48766</v>
      </c>
      <c r="BME2">
        <v>132829</v>
      </c>
      <c r="BMG2">
        <v>27724</v>
      </c>
      <c r="BMH2">
        <v>112278</v>
      </c>
      <c r="BMI2">
        <v>94991</v>
      </c>
      <c r="BMJ2">
        <v>76801</v>
      </c>
      <c r="BMK2">
        <v>64180</v>
      </c>
      <c r="BML2">
        <v>57054</v>
      </c>
      <c r="BMM2">
        <v>59020</v>
      </c>
      <c r="BMN2">
        <v>57143</v>
      </c>
      <c r="BMO2">
        <v>66250</v>
      </c>
      <c r="BMP2">
        <v>48275</v>
      </c>
      <c r="BMQ2">
        <v>45972</v>
      </c>
      <c r="BMR2">
        <v>59979</v>
      </c>
      <c r="BMS2">
        <v>56000</v>
      </c>
      <c r="BMT2">
        <v>58281</v>
      </c>
      <c r="BMU2">
        <v>94792</v>
      </c>
      <c r="BMV2">
        <v>58250</v>
      </c>
      <c r="BMW2">
        <v>69167</v>
      </c>
      <c r="BMX2">
        <v>127304</v>
      </c>
      <c r="BMY2">
        <v>100845</v>
      </c>
      <c r="BMZ2">
        <v>103943</v>
      </c>
      <c r="BNB2">
        <v>28835</v>
      </c>
      <c r="BNC2">
        <v>81495</v>
      </c>
      <c r="BND2">
        <v>64981</v>
      </c>
      <c r="BNE2">
        <v>56034</v>
      </c>
      <c r="BNF2">
        <v>80837</v>
      </c>
      <c r="BNG2">
        <v>104449</v>
      </c>
      <c r="BNH2">
        <v>47780</v>
      </c>
      <c r="BNI2">
        <v>71996</v>
      </c>
      <c r="BNJ2">
        <v>75288</v>
      </c>
      <c r="BNK2">
        <v>76798</v>
      </c>
      <c r="BNL2">
        <v>75945</v>
      </c>
      <c r="BNM2">
        <v>62093</v>
      </c>
      <c r="BNN2">
        <v>72365</v>
      </c>
      <c r="BNO2">
        <v>60817</v>
      </c>
      <c r="BNP2">
        <v>68622</v>
      </c>
      <c r="BNQ2">
        <v>49375</v>
      </c>
      <c r="BNR2">
        <v>77589</v>
      </c>
      <c r="BNS2">
        <v>73516</v>
      </c>
      <c r="BNT2">
        <v>62807</v>
      </c>
      <c r="BNU2">
        <v>55371</v>
      </c>
      <c r="BNV2">
        <v>50938</v>
      </c>
      <c r="BNW2">
        <v>64547</v>
      </c>
      <c r="BNX2">
        <v>58072</v>
      </c>
      <c r="BNY2">
        <v>46931</v>
      </c>
      <c r="BNZ2">
        <v>51549</v>
      </c>
      <c r="BOA2">
        <v>60449</v>
      </c>
      <c r="BOB2">
        <v>38170</v>
      </c>
      <c r="BOC2">
        <v>72440</v>
      </c>
      <c r="BOD2">
        <v>74904</v>
      </c>
      <c r="BOE2">
        <v>80000</v>
      </c>
      <c r="BOF2">
        <v>55387</v>
      </c>
      <c r="BOG2">
        <v>62077</v>
      </c>
      <c r="BOH2">
        <v>55972</v>
      </c>
      <c r="BOI2">
        <v>34808</v>
      </c>
      <c r="BOJ2">
        <v>144544</v>
      </c>
      <c r="BOK2">
        <v>64020</v>
      </c>
      <c r="BOL2">
        <v>95273</v>
      </c>
      <c r="BOM2">
        <v>99507</v>
      </c>
      <c r="BON2">
        <v>77279</v>
      </c>
      <c r="BOO2">
        <v>68418</v>
      </c>
      <c r="BOP2">
        <v>45555</v>
      </c>
      <c r="BOQ2">
        <v>217656</v>
      </c>
      <c r="BOR2">
        <v>48819</v>
      </c>
      <c r="BOS2">
        <v>92452</v>
      </c>
      <c r="BOT2">
        <v>90050</v>
      </c>
      <c r="BOU2">
        <v>119805</v>
      </c>
      <c r="BOV2">
        <v>48918</v>
      </c>
      <c r="BOW2">
        <v>50708</v>
      </c>
      <c r="BOX2">
        <v>76679</v>
      </c>
      <c r="BOY2">
        <v>61855</v>
      </c>
      <c r="BOZ2">
        <v>58579</v>
      </c>
      <c r="BPA2">
        <v>59635</v>
      </c>
      <c r="BPC2">
        <v>116220</v>
      </c>
      <c r="BPD2">
        <v>72119</v>
      </c>
      <c r="BPF2">
        <v>63631</v>
      </c>
      <c r="BPG2">
        <v>76560</v>
      </c>
      <c r="BPH2">
        <v>120894</v>
      </c>
      <c r="BPI2">
        <v>83822</v>
      </c>
      <c r="BPK2">
        <v>117369</v>
      </c>
      <c r="BPL2">
        <v>116576</v>
      </c>
      <c r="BPO2">
        <v>34748</v>
      </c>
      <c r="BPP2">
        <v>50620</v>
      </c>
      <c r="BPQ2">
        <v>54444</v>
      </c>
      <c r="BPR2">
        <v>66778</v>
      </c>
      <c r="BPS2">
        <v>61053</v>
      </c>
      <c r="BPT2">
        <v>46575</v>
      </c>
      <c r="BPW2">
        <v>55849</v>
      </c>
      <c r="BPX2">
        <v>60650</v>
      </c>
      <c r="BPY2">
        <v>57151</v>
      </c>
      <c r="BPZ2">
        <v>68776</v>
      </c>
      <c r="BQA2">
        <v>60672</v>
      </c>
      <c r="BQB2">
        <v>53050</v>
      </c>
      <c r="BQC2">
        <v>53190</v>
      </c>
      <c r="BQE2">
        <v>78270</v>
      </c>
      <c r="BQF2">
        <v>79753</v>
      </c>
      <c r="BQG2">
        <v>47087</v>
      </c>
      <c r="BQJ2">
        <v>59464</v>
      </c>
      <c r="BQK2">
        <v>37477</v>
      </c>
      <c r="BQL2">
        <v>49536</v>
      </c>
      <c r="BQM2">
        <v>36762</v>
      </c>
      <c r="BQN2">
        <v>56854</v>
      </c>
      <c r="BQO2">
        <v>48958</v>
      </c>
      <c r="BQP2">
        <v>34886</v>
      </c>
      <c r="BQQ2">
        <v>50708</v>
      </c>
      <c r="BQR2">
        <v>71786</v>
      </c>
      <c r="BQS2">
        <v>40882</v>
      </c>
      <c r="BQT2">
        <v>45999</v>
      </c>
      <c r="BQU2">
        <v>36507</v>
      </c>
      <c r="BQV2">
        <v>37462</v>
      </c>
      <c r="BQW2">
        <v>65407</v>
      </c>
      <c r="BQX2">
        <v>61705</v>
      </c>
      <c r="BQZ2">
        <v>41970</v>
      </c>
      <c r="BRA2">
        <v>40794</v>
      </c>
      <c r="BRC2">
        <v>61135</v>
      </c>
      <c r="BRD2">
        <v>47336</v>
      </c>
      <c r="BRE2">
        <v>45595</v>
      </c>
      <c r="BRG2">
        <v>44685</v>
      </c>
      <c r="BRH2">
        <v>32500</v>
      </c>
      <c r="BRI2">
        <v>41523</v>
      </c>
      <c r="BRJ2">
        <v>35880</v>
      </c>
      <c r="BRK2">
        <v>48406</v>
      </c>
      <c r="BRL2">
        <v>59881</v>
      </c>
      <c r="BRM2">
        <v>44375</v>
      </c>
      <c r="BRN2">
        <v>73869</v>
      </c>
      <c r="BRO2">
        <v>40132</v>
      </c>
      <c r="BRP2">
        <v>49677</v>
      </c>
      <c r="BRQ2">
        <v>33788</v>
      </c>
      <c r="BRR2">
        <v>74130</v>
      </c>
      <c r="BRS2">
        <v>103474</v>
      </c>
      <c r="BRT2">
        <v>60625</v>
      </c>
      <c r="BRU2">
        <v>59427</v>
      </c>
      <c r="BRV2">
        <v>34367</v>
      </c>
      <c r="BRX2">
        <v>45298</v>
      </c>
      <c r="BRY2">
        <v>71136</v>
      </c>
      <c r="BRZ2">
        <v>35470</v>
      </c>
      <c r="BSA2">
        <v>42016</v>
      </c>
      <c r="BSB2">
        <v>69240</v>
      </c>
      <c r="BSC2">
        <v>28757</v>
      </c>
      <c r="BSD2">
        <v>76060</v>
      </c>
      <c r="BSE2">
        <v>53547</v>
      </c>
      <c r="BSF2">
        <v>67317</v>
      </c>
      <c r="BSH2">
        <v>34699</v>
      </c>
      <c r="BSI2">
        <v>67500</v>
      </c>
      <c r="BSJ2">
        <v>80952</v>
      </c>
      <c r="BSK2">
        <v>51174</v>
      </c>
      <c r="BSL2">
        <v>40440</v>
      </c>
      <c r="BSM2">
        <v>43750</v>
      </c>
      <c r="BSN2">
        <v>46743</v>
      </c>
      <c r="BSO2">
        <v>50757</v>
      </c>
      <c r="BSP2">
        <v>64853</v>
      </c>
      <c r="BSQ2">
        <v>101796</v>
      </c>
      <c r="BSR2">
        <v>91121</v>
      </c>
      <c r="BSS2">
        <v>62850</v>
      </c>
      <c r="BST2">
        <v>51364</v>
      </c>
      <c r="BSU2">
        <v>58203</v>
      </c>
      <c r="BSV2">
        <v>67292</v>
      </c>
      <c r="BSW2">
        <v>40052</v>
      </c>
      <c r="BSX2">
        <v>42188</v>
      </c>
      <c r="BSY2">
        <v>63750</v>
      </c>
      <c r="BSZ2">
        <v>87330</v>
      </c>
      <c r="BTA2">
        <v>63227</v>
      </c>
      <c r="BTB2">
        <v>59028</v>
      </c>
      <c r="BTC2">
        <v>31714</v>
      </c>
      <c r="BTD2">
        <v>51917</v>
      </c>
      <c r="BTE2">
        <v>36835</v>
      </c>
      <c r="BTF2">
        <v>40625</v>
      </c>
      <c r="BTG2">
        <v>42394</v>
      </c>
      <c r="BTH2">
        <v>72540</v>
      </c>
      <c r="BTI2">
        <v>54095</v>
      </c>
      <c r="BTJ2">
        <v>26750</v>
      </c>
      <c r="BTK2">
        <v>41515</v>
      </c>
      <c r="BTL2">
        <v>42212</v>
      </c>
      <c r="BTM2">
        <v>86162</v>
      </c>
      <c r="BTN2">
        <v>58438</v>
      </c>
      <c r="BTO2">
        <v>79720</v>
      </c>
      <c r="BTP2">
        <v>46139</v>
      </c>
      <c r="BTQ2">
        <v>38611</v>
      </c>
      <c r="BTR2">
        <v>101471</v>
      </c>
      <c r="BTS2">
        <v>63667</v>
      </c>
      <c r="BTT2">
        <v>71534</v>
      </c>
      <c r="BTU2">
        <v>46641</v>
      </c>
      <c r="BTV2">
        <v>39256</v>
      </c>
      <c r="BTW2">
        <v>59844</v>
      </c>
      <c r="BTX2">
        <v>51279</v>
      </c>
      <c r="BTY2">
        <v>42323</v>
      </c>
      <c r="BTZ2">
        <v>65474</v>
      </c>
      <c r="BUA2">
        <v>38750</v>
      </c>
      <c r="BUB2">
        <v>79112</v>
      </c>
      <c r="BUC2">
        <v>77470</v>
      </c>
      <c r="BUD2">
        <v>60427</v>
      </c>
      <c r="BUE2">
        <v>32345</v>
      </c>
      <c r="BUF2">
        <v>42019</v>
      </c>
      <c r="BUG2">
        <v>86442</v>
      </c>
      <c r="BUH2">
        <v>59163</v>
      </c>
      <c r="BUI2">
        <v>71404</v>
      </c>
      <c r="BUJ2">
        <v>83143</v>
      </c>
      <c r="BUK2">
        <v>83071</v>
      </c>
      <c r="BUL2">
        <v>58843</v>
      </c>
      <c r="BUM2">
        <v>41755</v>
      </c>
      <c r="BUN2">
        <v>61680</v>
      </c>
      <c r="BUO2">
        <v>77014</v>
      </c>
      <c r="BUP2">
        <v>121417</v>
      </c>
      <c r="BUQ2">
        <v>34818</v>
      </c>
      <c r="BUR2">
        <v>46043</v>
      </c>
      <c r="BUS2">
        <v>36404</v>
      </c>
      <c r="BUU2">
        <v>54757</v>
      </c>
      <c r="BUV2">
        <v>46683</v>
      </c>
      <c r="BUW2">
        <v>72500</v>
      </c>
      <c r="BUX2">
        <v>54984</v>
      </c>
      <c r="BUY2">
        <v>26522</v>
      </c>
      <c r="BUZ2">
        <v>52556</v>
      </c>
      <c r="BVA2">
        <v>55888</v>
      </c>
      <c r="BVB2">
        <v>49167</v>
      </c>
      <c r="BVC2">
        <v>66625</v>
      </c>
      <c r="BVD2">
        <v>54324</v>
      </c>
      <c r="BVE2">
        <v>43994</v>
      </c>
      <c r="BVF2">
        <v>90813</v>
      </c>
      <c r="BVG2">
        <v>53702</v>
      </c>
      <c r="BVH2">
        <v>37269</v>
      </c>
      <c r="BVI2">
        <v>59375</v>
      </c>
      <c r="BVJ2">
        <v>54732</v>
      </c>
      <c r="BVK2">
        <v>61875</v>
      </c>
      <c r="BVL2">
        <v>35403</v>
      </c>
      <c r="BVM2">
        <v>67888</v>
      </c>
      <c r="BVN2">
        <v>61389</v>
      </c>
      <c r="BVQ2">
        <v>52368</v>
      </c>
      <c r="BVR2">
        <v>59399</v>
      </c>
      <c r="BVS2">
        <v>58242</v>
      </c>
      <c r="BVT2">
        <v>108125</v>
      </c>
      <c r="BVU2">
        <v>40343</v>
      </c>
      <c r="BVV2">
        <v>51436</v>
      </c>
      <c r="BVW2">
        <v>56434</v>
      </c>
      <c r="BVX2">
        <v>71625</v>
      </c>
      <c r="BVY2">
        <v>49125</v>
      </c>
      <c r="BVZ2">
        <v>58090</v>
      </c>
      <c r="BWA2">
        <v>83510</v>
      </c>
      <c r="BWB2">
        <v>51364</v>
      </c>
      <c r="BWC2">
        <v>59940</v>
      </c>
      <c r="BWE2">
        <v>62947</v>
      </c>
      <c r="BWF2">
        <v>59536</v>
      </c>
      <c r="BWG2">
        <v>73010</v>
      </c>
      <c r="BWH2">
        <v>73008</v>
      </c>
      <c r="BWI2">
        <v>67292</v>
      </c>
      <c r="BWJ2">
        <v>55522</v>
      </c>
      <c r="BWK2">
        <v>59100</v>
      </c>
      <c r="BWL2">
        <v>61312</v>
      </c>
      <c r="BWM2">
        <v>116250</v>
      </c>
      <c r="BWN2">
        <v>70938</v>
      </c>
      <c r="BWO2">
        <v>61515</v>
      </c>
      <c r="BWP2">
        <v>65880</v>
      </c>
      <c r="BWQ2">
        <v>45900</v>
      </c>
      <c r="BWS2">
        <v>62171</v>
      </c>
      <c r="BWT2">
        <v>74698</v>
      </c>
      <c r="BWU2">
        <v>56875</v>
      </c>
      <c r="BWV2">
        <v>43173</v>
      </c>
      <c r="BWW2">
        <v>31250</v>
      </c>
      <c r="BWY2">
        <v>81951</v>
      </c>
      <c r="BWZ2">
        <v>85982</v>
      </c>
      <c r="BXA2">
        <v>65158</v>
      </c>
      <c r="BXB2">
        <v>53180</v>
      </c>
      <c r="BXC2">
        <v>61161</v>
      </c>
      <c r="BXD2">
        <v>68939</v>
      </c>
      <c r="BXE2">
        <v>49797</v>
      </c>
      <c r="BXF2">
        <v>45476</v>
      </c>
      <c r="BXG2">
        <v>73359</v>
      </c>
      <c r="BXH2">
        <v>68906</v>
      </c>
      <c r="BXJ2">
        <v>50944</v>
      </c>
      <c r="BXK2">
        <v>55261</v>
      </c>
      <c r="BXL2">
        <v>50383</v>
      </c>
      <c r="BXM2">
        <v>106000</v>
      </c>
      <c r="BXN2">
        <v>38750</v>
      </c>
      <c r="BXO2">
        <v>55350</v>
      </c>
      <c r="BXP2">
        <v>45625</v>
      </c>
      <c r="BXQ2">
        <v>54493</v>
      </c>
      <c r="BXR2">
        <v>44491</v>
      </c>
      <c r="BXS2">
        <v>56125</v>
      </c>
      <c r="BXT2">
        <v>51698</v>
      </c>
      <c r="BXU2">
        <v>60569</v>
      </c>
      <c r="BXV2">
        <v>62891</v>
      </c>
      <c r="BXW2">
        <v>45250</v>
      </c>
      <c r="BXZ2">
        <v>61924</v>
      </c>
      <c r="BYB2">
        <v>70644</v>
      </c>
      <c r="BYC2">
        <v>41123</v>
      </c>
      <c r="BYD2">
        <v>65371</v>
      </c>
      <c r="BYE2">
        <v>52798</v>
      </c>
      <c r="BYF2">
        <v>49489</v>
      </c>
      <c r="BYG2">
        <v>48417</v>
      </c>
      <c r="BYI2">
        <v>46012</v>
      </c>
      <c r="BYJ2">
        <v>46760</v>
      </c>
      <c r="BYK2">
        <v>31500</v>
      </c>
      <c r="BYL2">
        <v>49136</v>
      </c>
      <c r="BYM2">
        <v>71538</v>
      </c>
      <c r="BYN2">
        <v>43350</v>
      </c>
      <c r="BYO2">
        <v>64007</v>
      </c>
      <c r="BYP2">
        <v>50798</v>
      </c>
      <c r="BYS2">
        <v>47656</v>
      </c>
      <c r="BYT2">
        <v>51689</v>
      </c>
      <c r="BYU2">
        <v>50216</v>
      </c>
      <c r="BYV2">
        <v>62265</v>
      </c>
      <c r="BYW2">
        <v>50351</v>
      </c>
      <c r="BYX2">
        <v>72056</v>
      </c>
      <c r="BZA2">
        <v>63051</v>
      </c>
      <c r="BZB2">
        <v>43393</v>
      </c>
      <c r="BZF2">
        <v>50521</v>
      </c>
      <c r="BZG2">
        <v>48641</v>
      </c>
      <c r="BZH2">
        <v>50469</v>
      </c>
      <c r="BZJ2">
        <v>94080</v>
      </c>
      <c r="BZK2">
        <v>40221</v>
      </c>
      <c r="BZL2">
        <v>51844</v>
      </c>
      <c r="BZM2">
        <v>55940</v>
      </c>
      <c r="BZN2">
        <v>68012</v>
      </c>
      <c r="BZO2">
        <v>61857</v>
      </c>
      <c r="BZP2">
        <v>59309</v>
      </c>
      <c r="BZQ2">
        <v>92923</v>
      </c>
      <c r="BZR2">
        <v>43771</v>
      </c>
      <c r="BZS2">
        <v>62575</v>
      </c>
      <c r="BZT2">
        <v>40313</v>
      </c>
      <c r="BZU2">
        <v>69853</v>
      </c>
      <c r="BZV2">
        <v>66250</v>
      </c>
      <c r="BZW2">
        <v>44824</v>
      </c>
      <c r="BZX2">
        <v>46979</v>
      </c>
      <c r="BZY2">
        <v>49154</v>
      </c>
      <c r="BZZ2">
        <v>47340</v>
      </c>
      <c r="CAA2">
        <v>54306</v>
      </c>
      <c r="CAB2">
        <v>89643</v>
      </c>
      <c r="CAC2">
        <v>34563</v>
      </c>
      <c r="CAD2">
        <v>75969</v>
      </c>
      <c r="CAE2">
        <v>55198</v>
      </c>
      <c r="CAF2">
        <v>47847</v>
      </c>
      <c r="CAG2">
        <v>41429</v>
      </c>
      <c r="CAH2">
        <v>67566</v>
      </c>
      <c r="CAJ2">
        <v>69922</v>
      </c>
      <c r="CAK2">
        <v>61084</v>
      </c>
      <c r="CAL2">
        <v>58226</v>
      </c>
      <c r="CAM2">
        <v>52865</v>
      </c>
      <c r="CAN2">
        <v>66025</v>
      </c>
      <c r="CAO2">
        <v>55261</v>
      </c>
      <c r="CAP2">
        <v>71023</v>
      </c>
      <c r="CAQ2">
        <v>67892</v>
      </c>
      <c r="CAR2">
        <v>47929</v>
      </c>
      <c r="CAS2">
        <v>60417</v>
      </c>
      <c r="CAT2">
        <v>60479</v>
      </c>
      <c r="CAU2">
        <v>59173</v>
      </c>
      <c r="CAV2">
        <v>43649</v>
      </c>
      <c r="CAX2">
        <v>52463</v>
      </c>
      <c r="CAY2">
        <v>89773</v>
      </c>
      <c r="CAZ2">
        <v>85743</v>
      </c>
      <c r="CBA2">
        <v>68276</v>
      </c>
      <c r="CBB2">
        <v>75881</v>
      </c>
      <c r="CBC2">
        <v>140132</v>
      </c>
      <c r="CBD2">
        <v>48428</v>
      </c>
      <c r="CBF2">
        <v>65750</v>
      </c>
      <c r="CBG2">
        <v>68873</v>
      </c>
      <c r="CBH2">
        <v>51316</v>
      </c>
      <c r="CBI2">
        <v>65606</v>
      </c>
      <c r="CBJ2">
        <v>79904</v>
      </c>
      <c r="CBK2">
        <v>52625</v>
      </c>
      <c r="CBL2">
        <v>88844</v>
      </c>
      <c r="CBM2">
        <v>63036</v>
      </c>
      <c r="CBN2">
        <v>58400</v>
      </c>
      <c r="CBO2">
        <v>60041</v>
      </c>
      <c r="CBQ2">
        <v>61398</v>
      </c>
      <c r="CBR2">
        <v>53910</v>
      </c>
      <c r="CBS2">
        <v>57738</v>
      </c>
      <c r="CBT2">
        <v>60547</v>
      </c>
      <c r="CBV2">
        <v>60049</v>
      </c>
      <c r="CBY2">
        <v>80566</v>
      </c>
      <c r="CBZ2">
        <v>51750</v>
      </c>
      <c r="CCA2">
        <v>53553</v>
      </c>
      <c r="CCB2">
        <v>61953</v>
      </c>
      <c r="CCC2">
        <v>74375</v>
      </c>
      <c r="CCD2">
        <v>63542</v>
      </c>
      <c r="CCF2">
        <v>45865</v>
      </c>
      <c r="CCG2">
        <v>70000</v>
      </c>
      <c r="CCH2">
        <v>66298</v>
      </c>
      <c r="CCI2">
        <v>113798</v>
      </c>
      <c r="CCJ2">
        <v>90313</v>
      </c>
      <c r="CCK2">
        <v>57154</v>
      </c>
      <c r="CCL2">
        <v>67992</v>
      </c>
      <c r="CCM2">
        <v>53470</v>
      </c>
      <c r="CCN2">
        <v>40515</v>
      </c>
      <c r="CCO2">
        <v>59594</v>
      </c>
      <c r="CCP2">
        <v>65240</v>
      </c>
      <c r="CCQ2">
        <v>59700</v>
      </c>
      <c r="CCR2">
        <v>54008</v>
      </c>
      <c r="CCS2">
        <v>67833</v>
      </c>
      <c r="CCT2">
        <v>85938</v>
      </c>
      <c r="CCU2">
        <v>39754</v>
      </c>
      <c r="CCV2">
        <v>95352</v>
      </c>
      <c r="CCW2">
        <v>78618</v>
      </c>
      <c r="CCX2">
        <v>52327</v>
      </c>
      <c r="CCY2">
        <v>46496</v>
      </c>
      <c r="CCZ2">
        <v>65642</v>
      </c>
      <c r="CDA2">
        <v>79309</v>
      </c>
      <c r="CDB2">
        <v>61404</v>
      </c>
      <c r="CDC2">
        <v>59875</v>
      </c>
      <c r="CDD2">
        <v>46857</v>
      </c>
      <c r="CDE2">
        <v>53438</v>
      </c>
      <c r="CDF2">
        <v>59863</v>
      </c>
      <c r="CDG2">
        <v>51908</v>
      </c>
      <c r="CDH2">
        <v>49426</v>
      </c>
      <c r="CDI2">
        <v>75855</v>
      </c>
      <c r="CDJ2">
        <v>198473</v>
      </c>
      <c r="CDK2">
        <v>91458</v>
      </c>
      <c r="CDL2">
        <v>83248</v>
      </c>
      <c r="CDM2">
        <v>113837</v>
      </c>
      <c r="CDN2">
        <v>105391</v>
      </c>
      <c r="CDO2">
        <v>179028</v>
      </c>
      <c r="CDP2">
        <v>133722</v>
      </c>
      <c r="CDQ2">
        <v>128750</v>
      </c>
      <c r="CDR2">
        <v>152593</v>
      </c>
      <c r="CDS2">
        <v>147266</v>
      </c>
      <c r="CDT2">
        <v>128682</v>
      </c>
      <c r="CDU2">
        <v>208125</v>
      </c>
      <c r="CDW2">
        <v>88155</v>
      </c>
      <c r="CDX2">
        <v>175127</v>
      </c>
      <c r="CDY2">
        <v>91484</v>
      </c>
      <c r="CDZ2">
        <v>171674</v>
      </c>
      <c r="CEA2">
        <v>142395</v>
      </c>
      <c r="CEB2">
        <v>187593</v>
      </c>
      <c r="CEC2">
        <v>144896</v>
      </c>
      <c r="CED2">
        <v>160987</v>
      </c>
      <c r="CEE2">
        <v>154714</v>
      </c>
      <c r="CEF2">
        <v>219491</v>
      </c>
      <c r="CEG2">
        <v>137483</v>
      </c>
      <c r="CEH2">
        <v>183929</v>
      </c>
      <c r="CEI2">
        <v>147295</v>
      </c>
      <c r="CEJ2">
        <v>198027</v>
      </c>
      <c r="CEK2">
        <v>125302</v>
      </c>
      <c r="CEL2">
        <v>173015</v>
      </c>
      <c r="CEM2">
        <v>133085</v>
      </c>
      <c r="CEN2">
        <v>187446</v>
      </c>
      <c r="CEO2">
        <v>151136</v>
      </c>
      <c r="CEP2">
        <v>155357</v>
      </c>
      <c r="CEQ2">
        <v>161389</v>
      </c>
      <c r="CER2">
        <v>156077</v>
      </c>
      <c r="CES2">
        <v>152768</v>
      </c>
      <c r="CET2">
        <v>155408</v>
      </c>
      <c r="CEU2">
        <v>60469</v>
      </c>
      <c r="CEV2">
        <v>101083</v>
      </c>
      <c r="CEW2">
        <v>157763</v>
      </c>
      <c r="CEX2">
        <v>120337</v>
      </c>
      <c r="CEY2">
        <v>139932</v>
      </c>
      <c r="CEZ2">
        <v>161639</v>
      </c>
      <c r="CFA2">
        <v>224620</v>
      </c>
      <c r="CFB2">
        <v>99929</v>
      </c>
      <c r="CFC2">
        <v>125222</v>
      </c>
      <c r="CFD2">
        <v>161698</v>
      </c>
      <c r="CFE2">
        <v>134456</v>
      </c>
      <c r="CFF2">
        <v>112077</v>
      </c>
      <c r="CFH2">
        <v>137664</v>
      </c>
      <c r="CFI2">
        <v>126049</v>
      </c>
      <c r="CFJ2">
        <v>173728</v>
      </c>
      <c r="CFK2">
        <v>129513</v>
      </c>
      <c r="CFN2">
        <v>86731</v>
      </c>
      <c r="CFO2">
        <v>131756</v>
      </c>
      <c r="CFP2">
        <v>136648</v>
      </c>
      <c r="CFQ2">
        <v>92889</v>
      </c>
      <c r="CFR2">
        <v>176112</v>
      </c>
      <c r="CFS2">
        <v>97473</v>
      </c>
      <c r="CFU2">
        <v>133274</v>
      </c>
      <c r="CFW2">
        <v>149420</v>
      </c>
      <c r="CFX2">
        <v>201541</v>
      </c>
      <c r="CFY2">
        <v>147188</v>
      </c>
      <c r="CFZ2">
        <v>62688</v>
      </c>
      <c r="CGA2">
        <v>112331</v>
      </c>
      <c r="CGB2">
        <v>148438</v>
      </c>
      <c r="CGC2">
        <v>155563</v>
      </c>
      <c r="CGD2">
        <v>164084</v>
      </c>
      <c r="CGE2">
        <v>103261</v>
      </c>
      <c r="CGF2">
        <v>179320</v>
      </c>
      <c r="CGG2">
        <v>199197</v>
      </c>
      <c r="CGH2">
        <v>202411</v>
      </c>
      <c r="CGI2">
        <v>101659</v>
      </c>
      <c r="CGJ2">
        <v>118518</v>
      </c>
      <c r="CGK2">
        <v>116428</v>
      </c>
      <c r="CGL2">
        <v>140453</v>
      </c>
      <c r="CGM2">
        <v>137736</v>
      </c>
      <c r="CGN2">
        <v>123315</v>
      </c>
      <c r="CGO2">
        <v>105674</v>
      </c>
      <c r="CGP2">
        <v>206369</v>
      </c>
      <c r="CGQ2">
        <v>130772</v>
      </c>
      <c r="CGR2">
        <v>227941</v>
      </c>
      <c r="CGS2">
        <v>112550</v>
      </c>
      <c r="CGT2">
        <v>224000</v>
      </c>
      <c r="CGU2">
        <v>200833</v>
      </c>
      <c r="CGW2">
        <v>188538</v>
      </c>
      <c r="CGX2">
        <v>120081</v>
      </c>
      <c r="CGY2">
        <v>102386</v>
      </c>
      <c r="CGZ2">
        <v>98238</v>
      </c>
      <c r="CHA2">
        <v>104615</v>
      </c>
      <c r="CHB2">
        <v>88759</v>
      </c>
      <c r="CHC2">
        <v>132198</v>
      </c>
      <c r="CHD2">
        <v>201484</v>
      </c>
      <c r="CHE2">
        <v>105683</v>
      </c>
      <c r="CHF2">
        <v>154936</v>
      </c>
      <c r="CHG2">
        <v>84948</v>
      </c>
      <c r="CHH2">
        <v>101374</v>
      </c>
      <c r="CHI2">
        <v>143031</v>
      </c>
      <c r="CHJ2">
        <v>148530</v>
      </c>
      <c r="CHK2">
        <v>83288</v>
      </c>
      <c r="CHL2">
        <v>123923</v>
      </c>
      <c r="CHM2">
        <v>116784</v>
      </c>
      <c r="CHN2">
        <v>102999</v>
      </c>
      <c r="CHO2">
        <v>109884</v>
      </c>
      <c r="CHP2">
        <v>62545</v>
      </c>
      <c r="CHQ2">
        <v>61711</v>
      </c>
      <c r="CHR2">
        <v>72898</v>
      </c>
      <c r="CHS2">
        <v>60706</v>
      </c>
      <c r="CHT2">
        <v>58837</v>
      </c>
      <c r="CHU2">
        <v>98482</v>
      </c>
      <c r="CHV2">
        <v>98359</v>
      </c>
      <c r="CHW2">
        <v>55414</v>
      </c>
      <c r="CHX2">
        <v>82188</v>
      </c>
      <c r="CHY2">
        <v>55598</v>
      </c>
      <c r="CHZ2">
        <v>61541</v>
      </c>
      <c r="CIA2">
        <v>50606</v>
      </c>
      <c r="CIC2">
        <v>67660</v>
      </c>
      <c r="CID2">
        <v>48942</v>
      </c>
      <c r="CIE2">
        <v>63036</v>
      </c>
      <c r="CIF2">
        <v>47317</v>
      </c>
      <c r="CIG2">
        <v>103931</v>
      </c>
      <c r="CIH2">
        <v>65091</v>
      </c>
      <c r="CII2">
        <v>61552</v>
      </c>
      <c r="CIJ2">
        <v>95962</v>
      </c>
      <c r="CIK2">
        <v>109107</v>
      </c>
      <c r="CIL2">
        <v>28656</v>
      </c>
      <c r="CIM2">
        <v>92631</v>
      </c>
      <c r="CIN2">
        <v>66413</v>
      </c>
      <c r="CIO2">
        <v>64464</v>
      </c>
      <c r="CIP2">
        <v>138750</v>
      </c>
      <c r="CIQ2">
        <v>122724</v>
      </c>
      <c r="CIR2">
        <v>73711</v>
      </c>
      <c r="CIS2">
        <v>4016</v>
      </c>
      <c r="CIT2">
        <v>81556</v>
      </c>
      <c r="CIU2">
        <v>84525</v>
      </c>
      <c r="CIV2">
        <v>92904</v>
      </c>
      <c r="CIX2">
        <v>99854</v>
      </c>
      <c r="CIY2">
        <v>117195</v>
      </c>
      <c r="CIZ2">
        <v>137633</v>
      </c>
      <c r="CJA2">
        <v>126219</v>
      </c>
      <c r="CJB2">
        <v>49631</v>
      </c>
      <c r="CJC2">
        <v>96136</v>
      </c>
      <c r="CJD2">
        <v>63854</v>
      </c>
      <c r="CJE2">
        <v>77262</v>
      </c>
      <c r="CJF2">
        <v>86357</v>
      </c>
      <c r="CJG2">
        <v>90524</v>
      </c>
      <c r="CJH2">
        <v>63671</v>
      </c>
      <c r="CJI2">
        <v>100029</v>
      </c>
      <c r="CJJ2">
        <v>79454</v>
      </c>
      <c r="CJK2">
        <v>94957</v>
      </c>
      <c r="CJL2">
        <v>113406</v>
      </c>
      <c r="CJM2">
        <v>109180</v>
      </c>
      <c r="CJN2">
        <v>111071</v>
      </c>
      <c r="CJO2">
        <v>89722</v>
      </c>
      <c r="CJP2">
        <v>98000</v>
      </c>
      <c r="CJQ2">
        <v>104122</v>
      </c>
      <c r="CJR2">
        <v>77870</v>
      </c>
      <c r="CJS2">
        <v>76393</v>
      </c>
      <c r="CJT2">
        <v>133988</v>
      </c>
      <c r="CJU2">
        <v>97125</v>
      </c>
      <c r="CJV2">
        <v>64438</v>
      </c>
      <c r="CJW2">
        <v>96389</v>
      </c>
      <c r="CJY2">
        <v>79811</v>
      </c>
      <c r="CJZ2">
        <v>69554</v>
      </c>
      <c r="CKB2">
        <v>66773</v>
      </c>
      <c r="CKC2">
        <v>93802</v>
      </c>
      <c r="CKD2">
        <v>70920</v>
      </c>
      <c r="CKE2">
        <v>99208</v>
      </c>
      <c r="CKF2">
        <v>103654</v>
      </c>
      <c r="CKG2">
        <v>59414</v>
      </c>
      <c r="CKH2">
        <v>73958</v>
      </c>
      <c r="CKI2">
        <v>109375</v>
      </c>
      <c r="CKJ2">
        <v>59417</v>
      </c>
      <c r="CKK2">
        <v>90197</v>
      </c>
      <c r="CKL2">
        <v>83214</v>
      </c>
      <c r="CKN2">
        <v>105020</v>
      </c>
      <c r="CKO2">
        <v>99861</v>
      </c>
      <c r="CKP2">
        <v>91360</v>
      </c>
      <c r="CKQ2">
        <v>93450</v>
      </c>
      <c r="CKR2">
        <v>131510</v>
      </c>
      <c r="CKS2">
        <v>81750</v>
      </c>
      <c r="CKT2">
        <v>100357</v>
      </c>
      <c r="CKU2">
        <v>144571</v>
      </c>
      <c r="CKX2">
        <v>171957</v>
      </c>
      <c r="CKZ2">
        <v>79205</v>
      </c>
      <c r="CLA2">
        <v>59180</v>
      </c>
      <c r="CLB2">
        <v>100776</v>
      </c>
      <c r="CLE2">
        <v>81462</v>
      </c>
      <c r="CLG2">
        <v>68320</v>
      </c>
      <c r="CLH2">
        <v>88342</v>
      </c>
      <c r="CLI2">
        <v>73333</v>
      </c>
      <c r="CLK2">
        <v>94548</v>
      </c>
      <c r="CLL2">
        <v>96875</v>
      </c>
      <c r="CLM2">
        <v>91225</v>
      </c>
      <c r="CLN2">
        <v>178646</v>
      </c>
      <c r="CLO2">
        <v>111083</v>
      </c>
      <c r="CLP2">
        <v>41513</v>
      </c>
      <c r="CLQ2">
        <v>130372</v>
      </c>
      <c r="CLR2">
        <v>113750</v>
      </c>
      <c r="CLT2">
        <v>64277</v>
      </c>
      <c r="CLU2">
        <v>58032</v>
      </c>
      <c r="CLW2">
        <v>61818</v>
      </c>
      <c r="CLX2">
        <v>51667</v>
      </c>
      <c r="CLY2">
        <v>75000</v>
      </c>
      <c r="CLZ2">
        <v>68151</v>
      </c>
      <c r="CMB2">
        <v>72328</v>
      </c>
      <c r="CMC2">
        <v>71629</v>
      </c>
      <c r="CMD2">
        <v>60691</v>
      </c>
      <c r="CME2">
        <v>58915</v>
      </c>
      <c r="CMF2">
        <v>49831</v>
      </c>
      <c r="CMG2">
        <v>61875</v>
      </c>
      <c r="CMH2">
        <v>84643</v>
      </c>
      <c r="CMI2">
        <v>53184</v>
      </c>
      <c r="CMJ2">
        <v>90694</v>
      </c>
      <c r="CMK2">
        <v>68250</v>
      </c>
      <c r="CML2">
        <v>51897</v>
      </c>
      <c r="CMM2">
        <v>79773</v>
      </c>
      <c r="CMN2">
        <v>57708</v>
      </c>
      <c r="CMP2">
        <v>85833</v>
      </c>
      <c r="CMQ2">
        <v>63594</v>
      </c>
      <c r="CMR2">
        <v>64436</v>
      </c>
      <c r="CMS2">
        <v>82708</v>
      </c>
      <c r="CMT2">
        <v>56010</v>
      </c>
      <c r="CMU2">
        <v>64043</v>
      </c>
      <c r="CMV2">
        <v>88911</v>
      </c>
      <c r="CMW2">
        <v>83865</v>
      </c>
      <c r="CMX2">
        <v>66344</v>
      </c>
      <c r="CNA2">
        <v>108776</v>
      </c>
      <c r="CNB2">
        <v>97500</v>
      </c>
      <c r="CNC2">
        <v>55075</v>
      </c>
      <c r="CND2">
        <v>102979</v>
      </c>
      <c r="CNE2">
        <v>100625</v>
      </c>
      <c r="CNF2">
        <v>99684</v>
      </c>
      <c r="CNG2">
        <v>97905</v>
      </c>
      <c r="CNH2">
        <v>133944</v>
      </c>
      <c r="CNI2">
        <v>71366</v>
      </c>
      <c r="CNJ2">
        <v>57222</v>
      </c>
      <c r="CNK2">
        <v>78337</v>
      </c>
      <c r="CNL2">
        <v>89476</v>
      </c>
      <c r="CNM2">
        <v>87500</v>
      </c>
      <c r="CNP2">
        <v>129833</v>
      </c>
      <c r="CNR2">
        <v>51250</v>
      </c>
      <c r="CNS2">
        <v>75217</v>
      </c>
      <c r="CNU2">
        <v>92232</v>
      </c>
      <c r="CNV2">
        <v>108606</v>
      </c>
      <c r="CNW2">
        <v>73509</v>
      </c>
      <c r="CNX2">
        <v>98229</v>
      </c>
      <c r="CNY2">
        <v>115281</v>
      </c>
      <c r="CNZ2">
        <v>79290</v>
      </c>
      <c r="COA2">
        <v>81828</v>
      </c>
      <c r="COB2">
        <v>61383</v>
      </c>
      <c r="COC2">
        <v>74441</v>
      </c>
      <c r="COD2">
        <v>195341</v>
      </c>
      <c r="COE2">
        <v>70716</v>
      </c>
      <c r="COF2">
        <v>104570</v>
      </c>
      <c r="COH2">
        <v>60428</v>
      </c>
      <c r="COJ2">
        <v>61302</v>
      </c>
      <c r="COK2">
        <v>56094</v>
      </c>
      <c r="COL2">
        <v>86136</v>
      </c>
      <c r="COM2">
        <v>85960</v>
      </c>
      <c r="CON2">
        <v>120083</v>
      </c>
      <c r="COO2">
        <v>118224</v>
      </c>
      <c r="COQ2">
        <v>46250</v>
      </c>
      <c r="COR2">
        <v>76250</v>
      </c>
      <c r="COS2">
        <v>88977</v>
      </c>
      <c r="COT2">
        <v>46007</v>
      </c>
      <c r="COU2">
        <v>78875</v>
      </c>
      <c r="COV2">
        <v>67404</v>
      </c>
      <c r="COW2">
        <v>86250</v>
      </c>
      <c r="COX2">
        <v>100027</v>
      </c>
      <c r="COY2">
        <v>79828</v>
      </c>
      <c r="COZ2">
        <v>160333</v>
      </c>
      <c r="CPA2">
        <v>55286</v>
      </c>
      <c r="CPB2">
        <v>67813</v>
      </c>
      <c r="CPD2">
        <v>78263</v>
      </c>
      <c r="CPF2">
        <v>51769</v>
      </c>
      <c r="CPG2">
        <v>98818</v>
      </c>
      <c r="CPH2">
        <v>147578</v>
      </c>
      <c r="CPI2">
        <v>105249</v>
      </c>
      <c r="CPJ2">
        <v>92014</v>
      </c>
      <c r="CPK2">
        <v>50217</v>
      </c>
      <c r="CPL2">
        <v>70053</v>
      </c>
      <c r="CPM2">
        <v>87600</v>
      </c>
      <c r="CPN2">
        <v>89009</v>
      </c>
      <c r="CPP2">
        <v>77188</v>
      </c>
      <c r="CPQ2">
        <v>127702</v>
      </c>
      <c r="CPR2">
        <v>78209</v>
      </c>
      <c r="CPS2">
        <v>74344</v>
      </c>
      <c r="CPT2">
        <v>45806</v>
      </c>
      <c r="CPU2">
        <v>99477</v>
      </c>
      <c r="CPV2">
        <v>58250</v>
      </c>
      <c r="CPX2">
        <v>89712</v>
      </c>
      <c r="CPY2">
        <v>56016</v>
      </c>
      <c r="CPZ2">
        <v>93500</v>
      </c>
      <c r="CQA2">
        <v>79397</v>
      </c>
      <c r="CQB2">
        <v>91463</v>
      </c>
      <c r="CQE2">
        <v>65799</v>
      </c>
      <c r="CQF2">
        <v>106161</v>
      </c>
      <c r="CQG2">
        <v>118244</v>
      </c>
      <c r="CQH2">
        <v>54042</v>
      </c>
      <c r="CQI2">
        <v>120556</v>
      </c>
      <c r="CQJ2">
        <v>72582</v>
      </c>
      <c r="CQK2">
        <v>67656</v>
      </c>
      <c r="CQL2">
        <v>89849</v>
      </c>
      <c r="CQM2">
        <v>113166</v>
      </c>
      <c r="CQN2">
        <v>147734</v>
      </c>
      <c r="CQO2">
        <v>105730</v>
      </c>
      <c r="CQP2">
        <v>131665</v>
      </c>
      <c r="CQQ2">
        <v>82271</v>
      </c>
      <c r="CQS2">
        <v>163989</v>
      </c>
      <c r="CQT2">
        <v>63664</v>
      </c>
      <c r="CQU2">
        <v>123393</v>
      </c>
      <c r="CQV2">
        <v>80038</v>
      </c>
      <c r="CQW2">
        <v>117228</v>
      </c>
      <c r="CQX2">
        <v>132695</v>
      </c>
      <c r="CQZ2">
        <v>93663</v>
      </c>
      <c r="CRA2">
        <v>107265</v>
      </c>
      <c r="CRB2">
        <v>98900</v>
      </c>
      <c r="CRC2">
        <v>108100</v>
      </c>
      <c r="CRD2">
        <v>129327</v>
      </c>
      <c r="CRF2">
        <v>75954</v>
      </c>
      <c r="CRG2">
        <v>91981</v>
      </c>
      <c r="CRH2">
        <v>74280</v>
      </c>
      <c r="CRI2">
        <v>104773</v>
      </c>
      <c r="CRJ2">
        <v>40192</v>
      </c>
      <c r="CRN2">
        <v>106771</v>
      </c>
      <c r="CRO2">
        <v>49444</v>
      </c>
      <c r="CRQ2">
        <v>50231</v>
      </c>
      <c r="CRR2">
        <v>70217</v>
      </c>
      <c r="CRS2">
        <v>80375</v>
      </c>
      <c r="CRT2">
        <v>67813</v>
      </c>
      <c r="CRU2">
        <v>88294</v>
      </c>
      <c r="CRV2">
        <v>98713</v>
      </c>
      <c r="CRW2">
        <v>96821</v>
      </c>
      <c r="CRX2">
        <v>93822</v>
      </c>
      <c r="CRY2">
        <v>57679</v>
      </c>
      <c r="CRZ2">
        <v>51830</v>
      </c>
      <c r="CSA2">
        <v>96169</v>
      </c>
      <c r="CSB2">
        <v>54756</v>
      </c>
      <c r="CSC2">
        <v>52246</v>
      </c>
      <c r="CSD2">
        <v>46112</v>
      </c>
      <c r="CSE2">
        <v>61021</v>
      </c>
      <c r="CSF2">
        <v>124364</v>
      </c>
      <c r="CSG2">
        <v>63114</v>
      </c>
      <c r="CSH2">
        <v>63533</v>
      </c>
      <c r="CSI2">
        <v>97993</v>
      </c>
      <c r="CSJ2">
        <v>73024</v>
      </c>
      <c r="CSK2">
        <v>69972</v>
      </c>
      <c r="CSL2">
        <v>116469</v>
      </c>
      <c r="CSM2">
        <v>60669</v>
      </c>
      <c r="CSN2">
        <v>88767</v>
      </c>
      <c r="CSO2">
        <v>97195</v>
      </c>
      <c r="CSP2">
        <v>75219</v>
      </c>
      <c r="CSQ2">
        <v>91174</v>
      </c>
      <c r="CST2">
        <v>66394</v>
      </c>
      <c r="CSV2">
        <v>48894</v>
      </c>
      <c r="CSZ2">
        <v>42396</v>
      </c>
      <c r="CTA2">
        <v>41786</v>
      </c>
      <c r="CTB2">
        <v>70050</v>
      </c>
      <c r="CTC2">
        <v>55417</v>
      </c>
      <c r="CTD2">
        <v>101081</v>
      </c>
      <c r="CTE2">
        <v>87708</v>
      </c>
      <c r="CTF2">
        <v>78750</v>
      </c>
      <c r="CTG2">
        <v>81963</v>
      </c>
      <c r="CTH2">
        <v>96235</v>
      </c>
      <c r="CTI2">
        <v>129628</v>
      </c>
      <c r="CTJ2">
        <v>99407</v>
      </c>
      <c r="CTK2">
        <v>57636</v>
      </c>
      <c r="CTL2">
        <v>72708</v>
      </c>
      <c r="CTM2">
        <v>46736</v>
      </c>
      <c r="CTO2">
        <v>93750</v>
      </c>
      <c r="CTP2">
        <v>46972</v>
      </c>
      <c r="CTR2">
        <v>66667</v>
      </c>
      <c r="CTT2">
        <v>74688</v>
      </c>
      <c r="CTU2">
        <v>65732</v>
      </c>
      <c r="CTY2">
        <v>34844</v>
      </c>
      <c r="CTZ2">
        <v>83344</v>
      </c>
      <c r="CUA2">
        <v>65949</v>
      </c>
      <c r="CUD2">
        <v>42259</v>
      </c>
      <c r="CUE2">
        <v>44231</v>
      </c>
      <c r="CUG2">
        <v>43010</v>
      </c>
      <c r="CUI2">
        <v>68248</v>
      </c>
      <c r="CUJ2">
        <v>47219</v>
      </c>
      <c r="CUK2">
        <v>50293</v>
      </c>
      <c r="CUL2">
        <v>63125</v>
      </c>
      <c r="CUP2">
        <v>38000</v>
      </c>
      <c r="CUQ2">
        <v>95316</v>
      </c>
      <c r="CUR2">
        <v>150461</v>
      </c>
      <c r="CUS2">
        <v>144167</v>
      </c>
      <c r="CUT2">
        <v>73843</v>
      </c>
      <c r="CUU2">
        <v>107800</v>
      </c>
      <c r="CUV2">
        <v>185063</v>
      </c>
      <c r="CUW2">
        <v>70823</v>
      </c>
      <c r="CUX2">
        <v>84231</v>
      </c>
      <c r="CVA2">
        <v>66042</v>
      </c>
      <c r="CVB2">
        <v>93172</v>
      </c>
      <c r="CVC2">
        <v>75185</v>
      </c>
      <c r="CVD2">
        <v>79317</v>
      </c>
      <c r="CVE2">
        <v>95547</v>
      </c>
      <c r="CVF2">
        <v>82977</v>
      </c>
      <c r="CVG2">
        <v>125116</v>
      </c>
      <c r="CVH2">
        <v>100927</v>
      </c>
      <c r="CVL2">
        <v>69375</v>
      </c>
      <c r="CVM2">
        <v>90535</v>
      </c>
      <c r="CVN2">
        <v>39798</v>
      </c>
      <c r="CVO2">
        <v>50611</v>
      </c>
      <c r="CVP2">
        <v>75634</v>
      </c>
      <c r="CVQ2">
        <v>63449</v>
      </c>
      <c r="CVR2">
        <v>65421</v>
      </c>
      <c r="CVS2">
        <v>58063</v>
      </c>
      <c r="CVT2">
        <v>39611</v>
      </c>
      <c r="CVU2">
        <v>56919</v>
      </c>
      <c r="CVV2">
        <v>93512</v>
      </c>
      <c r="CVW2">
        <v>73075</v>
      </c>
      <c r="CVX2">
        <v>68540</v>
      </c>
      <c r="CVY2">
        <v>71720</v>
      </c>
      <c r="CVZ2">
        <v>63456</v>
      </c>
      <c r="CWA2">
        <v>61737</v>
      </c>
      <c r="CWB2">
        <v>55536</v>
      </c>
      <c r="CWC2">
        <v>71313</v>
      </c>
      <c r="CWD2">
        <v>34201</v>
      </c>
      <c r="CWF2">
        <v>65299</v>
      </c>
      <c r="CWG2">
        <v>70717</v>
      </c>
      <c r="CWH2">
        <v>95029</v>
      </c>
      <c r="CWI2">
        <v>70815</v>
      </c>
      <c r="CWJ2">
        <v>44644</v>
      </c>
      <c r="CWK2">
        <v>67943</v>
      </c>
      <c r="CWL2">
        <v>39139</v>
      </c>
      <c r="CWM2">
        <v>67260</v>
      </c>
      <c r="CWN2">
        <v>98281</v>
      </c>
      <c r="CWO2">
        <v>63172</v>
      </c>
      <c r="CWP2">
        <v>114503</v>
      </c>
      <c r="CWQ2">
        <v>53760</v>
      </c>
      <c r="CWR2">
        <v>73560</v>
      </c>
      <c r="CWS2">
        <v>75929</v>
      </c>
      <c r="CWT2">
        <v>67033</v>
      </c>
      <c r="CWW2">
        <v>60959</v>
      </c>
      <c r="CWY2">
        <v>83173</v>
      </c>
      <c r="CXA2">
        <v>101987</v>
      </c>
      <c r="CXB2">
        <v>109213</v>
      </c>
      <c r="CXC2">
        <v>128438</v>
      </c>
      <c r="CXD2">
        <v>61961</v>
      </c>
      <c r="CXE2">
        <v>45772</v>
      </c>
      <c r="CXF2">
        <v>72822</v>
      </c>
      <c r="CXG2">
        <v>43680</v>
      </c>
      <c r="CXH2">
        <v>49363</v>
      </c>
      <c r="CXK2">
        <v>73906</v>
      </c>
      <c r="CXL2">
        <v>53876</v>
      </c>
      <c r="CXM2">
        <v>63501</v>
      </c>
      <c r="CXN2">
        <v>58787</v>
      </c>
      <c r="CXO2">
        <v>58917</v>
      </c>
      <c r="CXP2">
        <v>44050</v>
      </c>
      <c r="CXQ2">
        <v>65208</v>
      </c>
      <c r="CXR2">
        <v>85648</v>
      </c>
      <c r="CXS2">
        <v>109207</v>
      </c>
      <c r="CXT2">
        <v>90964</v>
      </c>
      <c r="CXU2">
        <v>100744</v>
      </c>
      <c r="CXV2">
        <v>81141</v>
      </c>
      <c r="CXW2">
        <v>76332</v>
      </c>
      <c r="CXX2">
        <v>102984</v>
      </c>
      <c r="CXY2">
        <v>51818</v>
      </c>
      <c r="CXZ2">
        <v>124512</v>
      </c>
      <c r="CYA2">
        <v>95208</v>
      </c>
      <c r="CYB2">
        <v>84632</v>
      </c>
      <c r="CYC2">
        <v>59706</v>
      </c>
      <c r="CYD2">
        <v>85375</v>
      </c>
      <c r="CYE2">
        <v>65714</v>
      </c>
      <c r="CYF2">
        <v>31863</v>
      </c>
      <c r="CYG2">
        <v>67500</v>
      </c>
      <c r="CYH2">
        <v>84205</v>
      </c>
      <c r="CYI2">
        <v>43840</v>
      </c>
      <c r="CYJ2">
        <v>79630</v>
      </c>
      <c r="CYK2">
        <v>61416</v>
      </c>
      <c r="CYL2">
        <v>40711</v>
      </c>
      <c r="CYN2">
        <v>54724</v>
      </c>
      <c r="CYO2">
        <v>67891</v>
      </c>
      <c r="CYP2">
        <v>72639</v>
      </c>
      <c r="CYQ2">
        <v>48620</v>
      </c>
      <c r="CYS2">
        <v>71654</v>
      </c>
      <c r="CYT2">
        <v>54356</v>
      </c>
      <c r="CYU2">
        <v>72714</v>
      </c>
      <c r="CYV2">
        <v>29722</v>
      </c>
      <c r="CYW2">
        <v>88697</v>
      </c>
      <c r="CYX2">
        <v>56667</v>
      </c>
      <c r="CYY2">
        <v>60469</v>
      </c>
      <c r="CYZ2">
        <v>55417</v>
      </c>
      <c r="CZA2">
        <v>76250</v>
      </c>
      <c r="CZC2">
        <v>95668</v>
      </c>
      <c r="CZE2">
        <v>61797</v>
      </c>
      <c r="CZF2">
        <v>51759</v>
      </c>
      <c r="CZG2">
        <v>77464</v>
      </c>
      <c r="CZI2">
        <v>80893</v>
      </c>
      <c r="CZJ2">
        <v>85313</v>
      </c>
      <c r="CZK2">
        <v>70486</v>
      </c>
      <c r="CZL2">
        <v>82500</v>
      </c>
      <c r="CZM2">
        <v>54583</v>
      </c>
      <c r="CZN2">
        <v>53105</v>
      </c>
      <c r="CZP2">
        <v>48750</v>
      </c>
      <c r="CZQ2">
        <v>61597</v>
      </c>
      <c r="CZR2">
        <v>62243</v>
      </c>
      <c r="CZS2">
        <v>56319</v>
      </c>
      <c r="CZT2">
        <v>80455</v>
      </c>
      <c r="CZU2">
        <v>92407</v>
      </c>
      <c r="CZV2">
        <v>46464</v>
      </c>
      <c r="CZW2">
        <v>45458</v>
      </c>
      <c r="CZX2">
        <v>58793</v>
      </c>
      <c r="CZY2">
        <v>56379</v>
      </c>
      <c r="CZZ2">
        <v>115711</v>
      </c>
      <c r="DAA2">
        <v>59053</v>
      </c>
      <c r="DAB2">
        <v>37430</v>
      </c>
      <c r="DAC2">
        <v>48750</v>
      </c>
      <c r="DAD2">
        <v>61761</v>
      </c>
      <c r="DAF2">
        <v>57500</v>
      </c>
      <c r="DAG2">
        <v>60946</v>
      </c>
      <c r="DAH2">
        <v>39219</v>
      </c>
      <c r="DAJ2">
        <v>72870</v>
      </c>
      <c r="DAL2">
        <v>46917</v>
      </c>
      <c r="DAM2">
        <v>72361</v>
      </c>
      <c r="DAN2">
        <v>68125</v>
      </c>
      <c r="DAO2">
        <v>65476</v>
      </c>
      <c r="DAQ2">
        <v>52708</v>
      </c>
      <c r="DAR2">
        <v>61625</v>
      </c>
      <c r="DAS2">
        <v>54948</v>
      </c>
      <c r="DAT2">
        <v>35000</v>
      </c>
      <c r="DAU2">
        <v>50673</v>
      </c>
      <c r="DAV2">
        <v>48433</v>
      </c>
      <c r="DAW2">
        <v>19500</v>
      </c>
      <c r="DAX2">
        <v>59700</v>
      </c>
      <c r="DAY2">
        <v>50857</v>
      </c>
      <c r="DAZ2">
        <v>51858</v>
      </c>
      <c r="DBA2">
        <v>58738</v>
      </c>
      <c r="DBB2">
        <v>67295</v>
      </c>
      <c r="DBC2">
        <v>40664</v>
      </c>
      <c r="DBD2">
        <v>43097</v>
      </c>
      <c r="DBE2">
        <v>91769</v>
      </c>
      <c r="DBF2">
        <v>73637</v>
      </c>
      <c r="DBI2">
        <v>42302</v>
      </c>
      <c r="DBJ2">
        <v>52278</v>
      </c>
      <c r="DBK2">
        <v>36210</v>
      </c>
      <c r="DBL2">
        <v>49850</v>
      </c>
      <c r="DBM2">
        <v>79412</v>
      </c>
      <c r="DBN2">
        <v>57270</v>
      </c>
      <c r="DBP2">
        <v>82602</v>
      </c>
      <c r="DBQ2">
        <v>73659</v>
      </c>
      <c r="DBR2">
        <v>60924</v>
      </c>
      <c r="DBS2">
        <v>49861</v>
      </c>
      <c r="DBT2">
        <v>41382</v>
      </c>
      <c r="DBU2">
        <v>81544</v>
      </c>
      <c r="DBV2">
        <v>91932</v>
      </c>
      <c r="DBW2">
        <v>69581</v>
      </c>
      <c r="DBX2">
        <v>42356</v>
      </c>
      <c r="DBY2">
        <v>79286</v>
      </c>
      <c r="DBZ2">
        <v>47130</v>
      </c>
      <c r="DCA2">
        <v>77898</v>
      </c>
      <c r="DCB2">
        <v>76115</v>
      </c>
      <c r="DCC2">
        <v>106083</v>
      </c>
      <c r="DCD2">
        <v>62909</v>
      </c>
      <c r="DCE2">
        <v>43969</v>
      </c>
      <c r="DCF2">
        <v>113750</v>
      </c>
      <c r="DCG2">
        <v>45347</v>
      </c>
      <c r="DCH2">
        <v>34188</v>
      </c>
      <c r="DCI2">
        <v>36659</v>
      </c>
      <c r="DCJ2">
        <v>84948</v>
      </c>
      <c r="DCK2">
        <v>57886</v>
      </c>
      <c r="DCL2">
        <v>64948</v>
      </c>
      <c r="DCN2">
        <v>77936</v>
      </c>
      <c r="DCO2">
        <v>77468</v>
      </c>
      <c r="DCP2">
        <v>56625</v>
      </c>
      <c r="DCQ2">
        <v>80650</v>
      </c>
      <c r="DCR2">
        <v>70380</v>
      </c>
      <c r="DCS2">
        <v>42349</v>
      </c>
      <c r="DCT2">
        <v>45678</v>
      </c>
      <c r="DCU2">
        <v>84421</v>
      </c>
      <c r="DCV2">
        <v>59500</v>
      </c>
      <c r="DCW2">
        <v>57853</v>
      </c>
      <c r="DCX2">
        <v>62273</v>
      </c>
      <c r="DCY2">
        <v>68162</v>
      </c>
      <c r="DDC2">
        <v>39375</v>
      </c>
      <c r="DDD2">
        <v>62500</v>
      </c>
      <c r="DDE2">
        <v>66389</v>
      </c>
      <c r="DDF2">
        <v>64295</v>
      </c>
      <c r="DDG2">
        <v>76964</v>
      </c>
      <c r="DDH2">
        <v>32713</v>
      </c>
      <c r="DDI2">
        <v>58544</v>
      </c>
      <c r="DDK2">
        <v>37974</v>
      </c>
      <c r="DDL2">
        <v>54294</v>
      </c>
      <c r="DDM2">
        <v>61063</v>
      </c>
      <c r="DDN2">
        <v>73491</v>
      </c>
      <c r="DDO2">
        <v>61740</v>
      </c>
      <c r="DDP2">
        <v>73136</v>
      </c>
      <c r="DDQ2">
        <v>49044</v>
      </c>
      <c r="DDR2">
        <v>67986</v>
      </c>
      <c r="DDS2">
        <v>58819</v>
      </c>
      <c r="DDT2">
        <v>33015</v>
      </c>
      <c r="DDU2">
        <v>55417</v>
      </c>
      <c r="DDV2">
        <v>55042</v>
      </c>
      <c r="DDW2">
        <v>53726</v>
      </c>
      <c r="DDX2">
        <v>81295</v>
      </c>
      <c r="DDY2">
        <v>105417</v>
      </c>
      <c r="DDZ2">
        <v>67996</v>
      </c>
      <c r="DEA2">
        <v>63397</v>
      </c>
      <c r="DEB2">
        <v>71012</v>
      </c>
      <c r="DEC2">
        <v>43599</v>
      </c>
      <c r="DED2">
        <v>56476</v>
      </c>
      <c r="DEE2">
        <v>60337</v>
      </c>
      <c r="DEF2">
        <v>80952</v>
      </c>
      <c r="DEG2">
        <v>35053</v>
      </c>
      <c r="DEH2">
        <v>73056</v>
      </c>
      <c r="DEI2">
        <v>58380</v>
      </c>
      <c r="DEJ2">
        <v>49583</v>
      </c>
      <c r="DEK2">
        <v>50313</v>
      </c>
      <c r="DEL2">
        <v>44026</v>
      </c>
      <c r="DEM2">
        <v>26741</v>
      </c>
      <c r="DEN2">
        <v>46513</v>
      </c>
      <c r="DEO2">
        <v>39367</v>
      </c>
      <c r="DEP2">
        <v>52529</v>
      </c>
      <c r="DEQ2">
        <v>33185</v>
      </c>
      <c r="DER2">
        <v>26818</v>
      </c>
      <c r="DET2">
        <v>51071</v>
      </c>
      <c r="DEU2">
        <v>41406</v>
      </c>
      <c r="DEV2">
        <v>34926</v>
      </c>
      <c r="DEX2">
        <v>58295</v>
      </c>
      <c r="DEY2">
        <v>40750</v>
      </c>
      <c r="DEZ2">
        <v>46105</v>
      </c>
      <c r="DFA2">
        <v>43373</v>
      </c>
      <c r="DFB2">
        <v>40540</v>
      </c>
      <c r="DFC2">
        <v>38136</v>
      </c>
      <c r="DFD2">
        <v>32227</v>
      </c>
      <c r="DFE2">
        <v>83089</v>
      </c>
      <c r="DFF2">
        <v>48199</v>
      </c>
      <c r="DFG2">
        <v>44107</v>
      </c>
      <c r="DFH2">
        <v>46821</v>
      </c>
      <c r="DFI2">
        <v>39115</v>
      </c>
      <c r="DFJ2">
        <v>30254</v>
      </c>
      <c r="DFK2">
        <v>38396</v>
      </c>
      <c r="DFL2">
        <v>33155</v>
      </c>
      <c r="DFM2">
        <v>41371</v>
      </c>
      <c r="DFN2">
        <v>68839</v>
      </c>
      <c r="DFO2">
        <v>57665</v>
      </c>
      <c r="DFQ2">
        <v>28833</v>
      </c>
      <c r="DFR2">
        <v>51563</v>
      </c>
      <c r="DFS2">
        <v>41250</v>
      </c>
      <c r="DFT2">
        <v>48591</v>
      </c>
      <c r="DFU2">
        <v>56965</v>
      </c>
      <c r="DFV2">
        <v>39375</v>
      </c>
      <c r="DFW2">
        <v>31196</v>
      </c>
      <c r="DFX2">
        <v>31250</v>
      </c>
      <c r="DFY2">
        <v>60714</v>
      </c>
      <c r="DFZ2">
        <v>61524</v>
      </c>
      <c r="DGB2">
        <v>45150</v>
      </c>
      <c r="DGC2">
        <v>63913</v>
      </c>
      <c r="DGD2">
        <v>50177</v>
      </c>
      <c r="DGF2">
        <v>72198</v>
      </c>
      <c r="DGG2">
        <v>79475</v>
      </c>
      <c r="DGH2">
        <v>77612</v>
      </c>
      <c r="DGI2">
        <v>39563</v>
      </c>
      <c r="DGK2">
        <v>52857</v>
      </c>
      <c r="DGL2">
        <v>39060</v>
      </c>
      <c r="DGM2">
        <v>50374</v>
      </c>
      <c r="DGN2">
        <v>55766</v>
      </c>
      <c r="DGO2">
        <v>49701</v>
      </c>
      <c r="DGP2">
        <v>60417</v>
      </c>
      <c r="DGQ2">
        <v>41984</v>
      </c>
      <c r="DGR2">
        <v>48889</v>
      </c>
      <c r="DGS2">
        <v>18438</v>
      </c>
      <c r="DGT2">
        <v>45422</v>
      </c>
      <c r="DGU2">
        <v>41091</v>
      </c>
      <c r="DGV2">
        <v>67407</v>
      </c>
      <c r="DGW2">
        <v>67063</v>
      </c>
      <c r="DGX2">
        <v>48350</v>
      </c>
      <c r="DGY2">
        <v>38173</v>
      </c>
      <c r="DGZ2">
        <v>64000</v>
      </c>
      <c r="DHA2">
        <v>46648</v>
      </c>
      <c r="DHB2">
        <v>40924</v>
      </c>
      <c r="DHC2">
        <v>52813</v>
      </c>
      <c r="DHE2">
        <v>34375</v>
      </c>
      <c r="DHF2">
        <v>48065</v>
      </c>
      <c r="DHG2">
        <v>64100</v>
      </c>
      <c r="DHH2">
        <v>48521</v>
      </c>
      <c r="DHI2">
        <v>60655</v>
      </c>
      <c r="DHL2">
        <v>49375</v>
      </c>
      <c r="DHN2">
        <v>49614</v>
      </c>
      <c r="DHO2">
        <v>92250</v>
      </c>
      <c r="DHP2">
        <v>44452</v>
      </c>
      <c r="DHQ2">
        <v>51686</v>
      </c>
      <c r="DHR2">
        <v>44821</v>
      </c>
      <c r="DHS2">
        <v>69655</v>
      </c>
      <c r="DHT2">
        <v>83542</v>
      </c>
      <c r="DHU2">
        <v>66136</v>
      </c>
      <c r="DHV2">
        <v>60000</v>
      </c>
      <c r="DHW2">
        <v>87083</v>
      </c>
      <c r="DHX2">
        <v>38250</v>
      </c>
      <c r="DHY2">
        <v>56774</v>
      </c>
      <c r="DHZ2">
        <v>78487</v>
      </c>
      <c r="DIA2">
        <v>64766</v>
      </c>
      <c r="DIB2">
        <v>54787</v>
      </c>
      <c r="DIC2">
        <v>41875</v>
      </c>
      <c r="DID2">
        <v>75704</v>
      </c>
      <c r="DIE2">
        <v>92885</v>
      </c>
      <c r="DIF2">
        <v>49063</v>
      </c>
      <c r="DIG2">
        <v>86979</v>
      </c>
      <c r="DIH2">
        <v>39250</v>
      </c>
      <c r="DII2">
        <v>34383</v>
      </c>
      <c r="DIJ2">
        <v>59500</v>
      </c>
      <c r="DIK2">
        <v>103317</v>
      </c>
      <c r="DIM2">
        <v>73903</v>
      </c>
      <c r="DIN2">
        <v>49898</v>
      </c>
      <c r="DIO2">
        <v>89813</v>
      </c>
      <c r="DIP2">
        <v>58750</v>
      </c>
      <c r="DIR2">
        <v>77303</v>
      </c>
      <c r="DIS2">
        <v>74034</v>
      </c>
      <c r="DIT2">
        <v>66582</v>
      </c>
      <c r="DIU2">
        <v>81136</v>
      </c>
      <c r="DIV2">
        <v>43000</v>
      </c>
      <c r="DIW2">
        <v>67361</v>
      </c>
      <c r="DIX2">
        <v>76023</v>
      </c>
      <c r="DIY2">
        <v>76659</v>
      </c>
      <c r="DIZ2">
        <v>44000</v>
      </c>
      <c r="DJA2">
        <v>62537</v>
      </c>
      <c r="DJB2">
        <v>90363</v>
      </c>
      <c r="DJC2">
        <v>45873</v>
      </c>
      <c r="DJE2">
        <v>47845</v>
      </c>
      <c r="DJF2">
        <v>40756</v>
      </c>
      <c r="DJG2">
        <v>64700</v>
      </c>
      <c r="DJH2">
        <v>61207</v>
      </c>
      <c r="DJI2">
        <v>62095</v>
      </c>
      <c r="DJJ2">
        <v>68585</v>
      </c>
      <c r="DJK2">
        <v>61815</v>
      </c>
      <c r="DJL2">
        <v>53410</v>
      </c>
      <c r="DJM2">
        <v>31806</v>
      </c>
      <c r="DJN2">
        <v>33064</v>
      </c>
      <c r="DJO2">
        <v>49087</v>
      </c>
      <c r="DJP2">
        <v>39557</v>
      </c>
      <c r="DJQ2">
        <v>156250</v>
      </c>
      <c r="DJR2">
        <v>57135</v>
      </c>
      <c r="DJS2">
        <v>55797</v>
      </c>
      <c r="DJT2">
        <v>44458</v>
      </c>
      <c r="DJU2">
        <v>47587</v>
      </c>
      <c r="DJV2">
        <v>53309</v>
      </c>
      <c r="DJW2">
        <v>64916</v>
      </c>
      <c r="DJX2">
        <v>88251</v>
      </c>
      <c r="DJY2">
        <v>59490</v>
      </c>
      <c r="DJZ2">
        <v>52537</v>
      </c>
      <c r="DKA2">
        <v>57500</v>
      </c>
      <c r="DKB2">
        <v>86354</v>
      </c>
      <c r="DKC2">
        <v>41688</v>
      </c>
      <c r="DKD2">
        <v>47661</v>
      </c>
      <c r="DKF2">
        <v>45000</v>
      </c>
      <c r="DKG2">
        <v>43929</v>
      </c>
      <c r="DKH2">
        <v>68875</v>
      </c>
      <c r="DKI2">
        <v>47200</v>
      </c>
      <c r="DKK2">
        <v>40069</v>
      </c>
      <c r="DKL2">
        <v>63125</v>
      </c>
      <c r="DKM2">
        <v>59732</v>
      </c>
      <c r="DKN2">
        <v>43041</v>
      </c>
      <c r="DKO2">
        <v>52857</v>
      </c>
      <c r="DKP2">
        <v>41542</v>
      </c>
      <c r="DKQ2">
        <v>53598</v>
      </c>
      <c r="DKS2">
        <v>53592</v>
      </c>
      <c r="DKT2">
        <v>62459</v>
      </c>
      <c r="DKU2">
        <v>63945</v>
      </c>
      <c r="DKV2">
        <v>83817</v>
      </c>
      <c r="DKW2">
        <v>53036</v>
      </c>
      <c r="DKX2">
        <v>65286</v>
      </c>
      <c r="DKY2">
        <v>42462</v>
      </c>
      <c r="DLA2">
        <v>45262</v>
      </c>
      <c r="DLB2">
        <v>53750</v>
      </c>
      <c r="DLC2">
        <v>39713</v>
      </c>
      <c r="DLE2">
        <v>37288</v>
      </c>
      <c r="DLF2">
        <v>32656</v>
      </c>
      <c r="DLG2">
        <v>24286</v>
      </c>
      <c r="DLH2">
        <v>51300</v>
      </c>
      <c r="DLJ2">
        <v>54250</v>
      </c>
      <c r="DLK2">
        <v>49394</v>
      </c>
      <c r="DLL2">
        <v>25625</v>
      </c>
      <c r="DLM2">
        <v>42396</v>
      </c>
      <c r="DLN2">
        <v>36875</v>
      </c>
      <c r="DLO2">
        <v>34471</v>
      </c>
      <c r="DLP2">
        <v>33750</v>
      </c>
      <c r="DLQ2">
        <v>56250</v>
      </c>
      <c r="DLR2">
        <v>47770</v>
      </c>
      <c r="DLS2">
        <v>26875</v>
      </c>
      <c r="DLT2">
        <v>39028</v>
      </c>
      <c r="DLU2">
        <v>52378</v>
      </c>
      <c r="DLV2">
        <v>41518</v>
      </c>
      <c r="DLW2">
        <v>36919</v>
      </c>
      <c r="DLX2">
        <v>44356</v>
      </c>
      <c r="DLY2">
        <v>46328</v>
      </c>
      <c r="DLZ2">
        <v>44866</v>
      </c>
      <c r="DMA2">
        <v>55417</v>
      </c>
      <c r="DMB2">
        <v>18529</v>
      </c>
      <c r="DMC2">
        <v>59525</v>
      </c>
      <c r="DMD2">
        <v>50542</v>
      </c>
      <c r="DME2">
        <v>44918</v>
      </c>
      <c r="DMF2">
        <v>59181</v>
      </c>
      <c r="DMG2">
        <v>69083</v>
      </c>
      <c r="DMH2">
        <v>57708</v>
      </c>
      <c r="DMI2">
        <v>12326</v>
      </c>
      <c r="DMK2">
        <v>20536</v>
      </c>
      <c r="DML2">
        <v>27159</v>
      </c>
      <c r="DMM2">
        <v>40294</v>
      </c>
      <c r="DMP2">
        <v>33750</v>
      </c>
      <c r="DMQ2">
        <v>31595</v>
      </c>
      <c r="DMS2">
        <v>54226</v>
      </c>
      <c r="DMT2">
        <v>41911</v>
      </c>
      <c r="DMU2">
        <v>41364</v>
      </c>
      <c r="DMV2">
        <v>27788</v>
      </c>
      <c r="DNC2">
        <v>31731</v>
      </c>
      <c r="DND2">
        <v>122576</v>
      </c>
      <c r="DNE2">
        <v>49485</v>
      </c>
      <c r="DNG2">
        <v>51981</v>
      </c>
      <c r="DNJ2">
        <v>39148</v>
      </c>
      <c r="DNK2">
        <v>61752</v>
      </c>
      <c r="DNL2">
        <v>38875</v>
      </c>
      <c r="DNM2">
        <v>26912</v>
      </c>
      <c r="DNO2">
        <v>24522</v>
      </c>
      <c r="DNP2">
        <v>50833</v>
      </c>
      <c r="DNS2">
        <v>25000</v>
      </c>
      <c r="DNT2">
        <v>36898</v>
      </c>
      <c r="DNV2">
        <v>40817</v>
      </c>
      <c r="DNX2">
        <v>25250</v>
      </c>
      <c r="DOB2">
        <v>32039</v>
      </c>
      <c r="DOC2">
        <v>23333</v>
      </c>
      <c r="DOD2">
        <v>45461</v>
      </c>
      <c r="DOF2">
        <v>22167</v>
      </c>
      <c r="DOG2">
        <v>34492</v>
      </c>
      <c r="DOH2">
        <v>43276</v>
      </c>
      <c r="DOI2">
        <v>58229</v>
      </c>
      <c r="DOJ2">
        <v>31875</v>
      </c>
      <c r="DOL2">
        <v>37209</v>
      </c>
      <c r="DOM2">
        <v>40078</v>
      </c>
      <c r="DON2">
        <v>31154</v>
      </c>
      <c r="DOQ2">
        <v>78938</v>
      </c>
      <c r="DOR2">
        <v>58466</v>
      </c>
      <c r="DOU2">
        <v>27455</v>
      </c>
      <c r="DOY2">
        <v>50008</v>
      </c>
      <c r="DOZ2">
        <v>37348</v>
      </c>
      <c r="DPA2">
        <v>41513</v>
      </c>
      <c r="DPB2">
        <v>71021</v>
      </c>
      <c r="DPC2">
        <v>55625</v>
      </c>
      <c r="DPD2">
        <v>48523</v>
      </c>
      <c r="DPE2">
        <v>36579</v>
      </c>
      <c r="DPF2">
        <v>29556</v>
      </c>
      <c r="DPG2">
        <v>20288</v>
      </c>
      <c r="DPH2">
        <v>37500</v>
      </c>
      <c r="DPI2">
        <v>39135</v>
      </c>
      <c r="DPJ2">
        <v>39208</v>
      </c>
      <c r="DPK2">
        <v>75938</v>
      </c>
      <c r="DPL2">
        <v>54788</v>
      </c>
      <c r="DPM2">
        <v>78942</v>
      </c>
      <c r="DPN2">
        <v>61875</v>
      </c>
      <c r="DPO2">
        <v>38938</v>
      </c>
      <c r="DPP2">
        <v>61250</v>
      </c>
      <c r="DPQ2">
        <v>63462</v>
      </c>
      <c r="DPR2">
        <v>38456</v>
      </c>
      <c r="DPU2">
        <v>55435</v>
      </c>
      <c r="DPV2">
        <v>56193</v>
      </c>
      <c r="DPW2">
        <v>42609</v>
      </c>
      <c r="DPY2">
        <v>41563</v>
      </c>
      <c r="DPZ2">
        <v>50265</v>
      </c>
      <c r="DQA2">
        <v>130585</v>
      </c>
      <c r="DQB2">
        <v>41237</v>
      </c>
      <c r="DQE2">
        <v>42312</v>
      </c>
      <c r="DQF2">
        <v>53982</v>
      </c>
      <c r="DQI2">
        <v>56394</v>
      </c>
      <c r="DQK2">
        <v>26597</v>
      </c>
      <c r="DQM2">
        <v>34476</v>
      </c>
      <c r="DQN2">
        <v>71250</v>
      </c>
      <c r="DQO2">
        <v>49071</v>
      </c>
      <c r="DQP2">
        <v>32063</v>
      </c>
      <c r="DQR2">
        <v>40441</v>
      </c>
      <c r="DQU2">
        <v>45119</v>
      </c>
      <c r="DQV2">
        <v>57143</v>
      </c>
      <c r="DQW2">
        <v>35446</v>
      </c>
      <c r="DQX2">
        <v>44688</v>
      </c>
      <c r="DQY2">
        <v>70809</v>
      </c>
      <c r="DRA2">
        <v>55000</v>
      </c>
      <c r="DRB2">
        <v>89978</v>
      </c>
      <c r="DRD2">
        <v>63304</v>
      </c>
      <c r="DRE2">
        <v>38750</v>
      </c>
      <c r="DRF2">
        <v>30694</v>
      </c>
      <c r="DRH2">
        <v>59300</v>
      </c>
      <c r="DRI2">
        <v>60741</v>
      </c>
      <c r="DRJ2">
        <v>62292</v>
      </c>
      <c r="DRK2">
        <v>74797</v>
      </c>
      <c r="DRM2">
        <v>86429</v>
      </c>
      <c r="DRO2">
        <v>53711</v>
      </c>
      <c r="DRQ2">
        <v>34261</v>
      </c>
      <c r="DRR2">
        <v>48107</v>
      </c>
      <c r="DRS2">
        <v>52750</v>
      </c>
      <c r="DRT2">
        <v>71974</v>
      </c>
      <c r="DRU2">
        <v>62865</v>
      </c>
      <c r="DRV2">
        <v>25086</v>
      </c>
      <c r="DRX2">
        <v>87747</v>
      </c>
      <c r="DRY2">
        <v>99417</v>
      </c>
      <c r="DRZ2">
        <v>29650</v>
      </c>
      <c r="DSA2">
        <v>31630</v>
      </c>
      <c r="DSB2">
        <v>48810</v>
      </c>
      <c r="DSD2">
        <v>35257</v>
      </c>
      <c r="DSF2">
        <v>80250</v>
      </c>
      <c r="DSI2">
        <v>61176</v>
      </c>
      <c r="DSJ2">
        <v>80625</v>
      </c>
      <c r="DSK2">
        <v>41010</v>
      </c>
      <c r="DSL2">
        <v>53409</v>
      </c>
      <c r="DSO2">
        <v>31486</v>
      </c>
      <c r="DSP2">
        <v>14325</v>
      </c>
      <c r="DSQ2">
        <v>38319</v>
      </c>
      <c r="DST2">
        <v>53029</v>
      </c>
      <c r="DSU2">
        <v>50147</v>
      </c>
      <c r="DSV2">
        <v>41348</v>
      </c>
      <c r="DSW2">
        <v>65833</v>
      </c>
      <c r="DSX2">
        <v>38488</v>
      </c>
      <c r="DSY2">
        <v>54648</v>
      </c>
      <c r="DSZ2">
        <v>41621</v>
      </c>
      <c r="DTA2">
        <v>38750</v>
      </c>
      <c r="DTC2">
        <v>30114</v>
      </c>
      <c r="DTD2">
        <v>122992</v>
      </c>
      <c r="DTE2">
        <v>22790</v>
      </c>
      <c r="DTF2">
        <v>80179</v>
      </c>
      <c r="DTG2">
        <v>76602</v>
      </c>
      <c r="DTH2">
        <v>55114</v>
      </c>
      <c r="DTI2">
        <v>82614</v>
      </c>
      <c r="DTK2">
        <v>53264</v>
      </c>
      <c r="DTL2">
        <v>78906</v>
      </c>
      <c r="DTN2">
        <v>54949</v>
      </c>
      <c r="DTO2">
        <v>46417</v>
      </c>
      <c r="DTP2">
        <v>26360</v>
      </c>
      <c r="DTQ2">
        <v>67679</v>
      </c>
      <c r="DTR2">
        <v>53681</v>
      </c>
      <c r="DTS2">
        <v>70686</v>
      </c>
      <c r="DTT2">
        <v>92898</v>
      </c>
      <c r="DTV2">
        <v>29516</v>
      </c>
      <c r="DTW2">
        <v>34327</v>
      </c>
      <c r="DTX2">
        <v>57279</v>
      </c>
      <c r="DUC2">
        <v>31953</v>
      </c>
      <c r="DUD2">
        <v>43657</v>
      </c>
      <c r="DUE2">
        <v>75893</v>
      </c>
      <c r="DUG2">
        <v>93125</v>
      </c>
      <c r="DUI2">
        <v>46000</v>
      </c>
      <c r="DUJ2">
        <v>73413</v>
      </c>
      <c r="DUK2">
        <v>23125</v>
      </c>
      <c r="DUL2">
        <v>33939</v>
      </c>
      <c r="DUM2">
        <v>45417</v>
      </c>
      <c r="DUN2">
        <v>21741</v>
      </c>
      <c r="DUO2">
        <v>81691</v>
      </c>
      <c r="DUR2">
        <v>36146</v>
      </c>
      <c r="DUS2">
        <v>47582</v>
      </c>
      <c r="DUT2">
        <v>72063</v>
      </c>
      <c r="DUU2">
        <v>73333</v>
      </c>
      <c r="DUV2">
        <v>34698</v>
      </c>
      <c r="DUW2">
        <v>60179</v>
      </c>
      <c r="DUY2">
        <v>51250</v>
      </c>
      <c r="DUZ2">
        <v>47841</v>
      </c>
      <c r="DVA2">
        <v>49436</v>
      </c>
      <c r="DVB2">
        <v>41445</v>
      </c>
      <c r="DVC2">
        <v>58545</v>
      </c>
      <c r="DVE2">
        <v>50288</v>
      </c>
      <c r="DVF2">
        <v>43813</v>
      </c>
      <c r="DVG2">
        <v>64659</v>
      </c>
      <c r="DVH2">
        <v>60039</v>
      </c>
      <c r="DVI2">
        <v>65058</v>
      </c>
      <c r="DVJ2">
        <v>53607</v>
      </c>
      <c r="DVK2">
        <v>42614</v>
      </c>
      <c r="DVL2">
        <v>32206</v>
      </c>
      <c r="DVM2">
        <v>39046</v>
      </c>
      <c r="DVN2">
        <v>49961</v>
      </c>
      <c r="DVO2">
        <v>62774</v>
      </c>
      <c r="DVP2">
        <v>34637</v>
      </c>
      <c r="DVQ2">
        <v>52264</v>
      </c>
      <c r="DVR2">
        <v>56500</v>
      </c>
      <c r="DVS2">
        <v>52458</v>
      </c>
      <c r="DVT2">
        <v>23852</v>
      </c>
      <c r="DVU2">
        <v>46498</v>
      </c>
      <c r="DVV2">
        <v>69808</v>
      </c>
      <c r="DVW2">
        <v>73229</v>
      </c>
      <c r="DVY2">
        <v>54125</v>
      </c>
      <c r="DVZ2">
        <v>51497</v>
      </c>
      <c r="DWA2">
        <v>46626</v>
      </c>
      <c r="DWB2">
        <v>54858</v>
      </c>
      <c r="DWC2">
        <v>59829</v>
      </c>
      <c r="DWD2">
        <v>84231</v>
      </c>
      <c r="DWE2">
        <v>48333</v>
      </c>
      <c r="DWF2">
        <v>47128</v>
      </c>
      <c r="DWG2">
        <v>40546</v>
      </c>
      <c r="DWH2">
        <v>49735</v>
      </c>
      <c r="DWI2">
        <v>74334</v>
      </c>
      <c r="DWJ2">
        <v>64737</v>
      </c>
      <c r="DWK2">
        <v>84963</v>
      </c>
      <c r="DWL2">
        <v>62799</v>
      </c>
      <c r="DWM2">
        <v>75665</v>
      </c>
      <c r="DWN2">
        <v>99187</v>
      </c>
      <c r="DWO2">
        <v>82156</v>
      </c>
      <c r="DWP2">
        <v>90326</v>
      </c>
      <c r="DWR2">
        <v>35938</v>
      </c>
      <c r="DWS2">
        <v>92513</v>
      </c>
      <c r="DWT2">
        <v>79694</v>
      </c>
      <c r="DWU2">
        <v>80086</v>
      </c>
      <c r="DWV2">
        <v>82974</v>
      </c>
      <c r="DWW2">
        <v>63274</v>
      </c>
      <c r="DWX2">
        <v>51250</v>
      </c>
      <c r="DWY2">
        <v>70536</v>
      </c>
      <c r="DXA2">
        <v>78393</v>
      </c>
      <c r="DXB2">
        <v>113720</v>
      </c>
      <c r="DXC2">
        <v>103095</v>
      </c>
      <c r="DXD2">
        <v>51192</v>
      </c>
      <c r="DXE2">
        <v>139688</v>
      </c>
      <c r="DXF2">
        <v>54141</v>
      </c>
      <c r="DXG2">
        <v>43641</v>
      </c>
      <c r="DXH2">
        <v>40542</v>
      </c>
      <c r="DXI2">
        <v>61650</v>
      </c>
      <c r="DXK2">
        <v>42027</v>
      </c>
      <c r="DXL2">
        <v>32574</v>
      </c>
      <c r="DXM2">
        <v>48372</v>
      </c>
      <c r="DXN2">
        <v>77813</v>
      </c>
      <c r="DXO2">
        <v>29536</v>
      </c>
      <c r="DXP2">
        <v>37810</v>
      </c>
      <c r="DXQ2">
        <v>51944</v>
      </c>
      <c r="DXR2">
        <v>47500</v>
      </c>
      <c r="DXS2">
        <v>38359</v>
      </c>
      <c r="DXU2">
        <v>60523</v>
      </c>
      <c r="DXV2">
        <v>45691</v>
      </c>
      <c r="DXW2">
        <v>42083</v>
      </c>
      <c r="DXX2">
        <v>80000</v>
      </c>
      <c r="DXY2">
        <v>59962</v>
      </c>
      <c r="DXZ2">
        <v>64763</v>
      </c>
      <c r="DYB2">
        <v>81985</v>
      </c>
      <c r="DYC2">
        <v>54861</v>
      </c>
      <c r="DYE2">
        <v>52078</v>
      </c>
      <c r="DYG2">
        <v>81964</v>
      </c>
      <c r="DYI2">
        <v>57056</v>
      </c>
      <c r="DYJ2">
        <v>71458</v>
      </c>
      <c r="DYK2">
        <v>41250</v>
      </c>
      <c r="DYL2">
        <v>32375</v>
      </c>
      <c r="DYM2">
        <v>100410</v>
      </c>
      <c r="DYN2">
        <v>114504</v>
      </c>
      <c r="DYO2">
        <v>31429</v>
      </c>
      <c r="DYQ2">
        <v>43832</v>
      </c>
      <c r="DYR2">
        <v>68750</v>
      </c>
      <c r="DYT2">
        <v>44263</v>
      </c>
      <c r="DYU2">
        <v>37875</v>
      </c>
      <c r="DYV2">
        <v>28438</v>
      </c>
      <c r="DYW2">
        <v>58214</v>
      </c>
      <c r="DZA2">
        <v>47813</v>
      </c>
      <c r="DZB2">
        <v>13643</v>
      </c>
      <c r="DZC2">
        <v>54278</v>
      </c>
      <c r="DZD2">
        <v>28750</v>
      </c>
      <c r="DZE2">
        <v>62353</v>
      </c>
      <c r="DZF2">
        <v>28426</v>
      </c>
      <c r="DZG2">
        <v>32470</v>
      </c>
      <c r="DZH2">
        <v>80000</v>
      </c>
      <c r="DZI2">
        <v>47059</v>
      </c>
      <c r="DZK2">
        <v>36875</v>
      </c>
      <c r="DZM2">
        <v>29773</v>
      </c>
      <c r="DZN2">
        <v>40366</v>
      </c>
      <c r="DZO2">
        <v>51037</v>
      </c>
      <c r="DZQ2">
        <v>19798</v>
      </c>
      <c r="DZR2">
        <v>36591</v>
      </c>
      <c r="DZS2">
        <v>36343</v>
      </c>
      <c r="DZU2">
        <v>33634</v>
      </c>
      <c r="DZV2">
        <v>75110</v>
      </c>
      <c r="DZY2">
        <v>42230</v>
      </c>
      <c r="DZZ2">
        <v>36250</v>
      </c>
      <c r="EAA2">
        <v>24659</v>
      </c>
      <c r="EAB2">
        <v>26627</v>
      </c>
      <c r="EAC2">
        <v>35960</v>
      </c>
      <c r="EAD2">
        <v>40395</v>
      </c>
      <c r="EAE2">
        <v>58571</v>
      </c>
      <c r="EAG2">
        <v>61602</v>
      </c>
      <c r="EAH2">
        <v>23682</v>
      </c>
      <c r="EAI2">
        <v>42196</v>
      </c>
      <c r="EAK2">
        <v>47557</v>
      </c>
      <c r="EAL2">
        <v>31635</v>
      </c>
      <c r="EAM2">
        <v>20352</v>
      </c>
      <c r="EAN2">
        <v>47254</v>
      </c>
      <c r="EAO2">
        <v>56928</v>
      </c>
      <c r="EAQ2">
        <v>46612</v>
      </c>
      <c r="EAT2">
        <v>51250</v>
      </c>
      <c r="EAU2">
        <v>56169</v>
      </c>
      <c r="EAV2">
        <v>65408</v>
      </c>
      <c r="EAX2">
        <v>46994</v>
      </c>
      <c r="EAZ2">
        <v>56924</v>
      </c>
      <c r="EBB2">
        <v>58243</v>
      </c>
      <c r="EBC2">
        <v>42596</v>
      </c>
      <c r="EBD2">
        <v>81544</v>
      </c>
      <c r="EBH2">
        <v>62872</v>
      </c>
      <c r="EBI2">
        <v>76750</v>
      </c>
      <c r="EBJ2">
        <v>84348</v>
      </c>
      <c r="EBK2">
        <v>90250</v>
      </c>
      <c r="EBL2">
        <v>13365</v>
      </c>
      <c r="EBN2">
        <v>36602</v>
      </c>
      <c r="EBR2">
        <v>57863</v>
      </c>
      <c r="EBS2">
        <v>28348</v>
      </c>
      <c r="EBU2">
        <v>73698</v>
      </c>
      <c r="EBW2">
        <v>37422</v>
      </c>
      <c r="EBX2">
        <v>54130</v>
      </c>
      <c r="EBY2">
        <v>50556</v>
      </c>
      <c r="ECA2">
        <v>43304</v>
      </c>
      <c r="ECB2">
        <v>33517</v>
      </c>
      <c r="ECC2">
        <v>88047</v>
      </c>
      <c r="ECF2">
        <v>58486</v>
      </c>
      <c r="ECG2">
        <v>39010</v>
      </c>
      <c r="ECH2">
        <v>68636</v>
      </c>
      <c r="ECI2">
        <v>47582</v>
      </c>
      <c r="ECK2">
        <v>45156</v>
      </c>
      <c r="ECL2">
        <v>65625</v>
      </c>
      <c r="ECN2">
        <v>52381</v>
      </c>
      <c r="ECO2">
        <v>39276</v>
      </c>
      <c r="ECQ2">
        <v>45444</v>
      </c>
      <c r="ECS2">
        <v>58243</v>
      </c>
      <c r="ECT2">
        <v>63147</v>
      </c>
      <c r="ECU2">
        <v>110969</v>
      </c>
      <c r="ECV2">
        <v>33488</v>
      </c>
      <c r="ECX2">
        <v>21364</v>
      </c>
      <c r="ECY2">
        <v>82875</v>
      </c>
      <c r="EDA2">
        <v>70893</v>
      </c>
      <c r="EDD2">
        <v>35961</v>
      </c>
      <c r="EDF2">
        <v>42745</v>
      </c>
      <c r="EDG2">
        <v>79286</v>
      </c>
      <c r="EDH2">
        <v>58906</v>
      </c>
      <c r="EDI2">
        <v>69089</v>
      </c>
      <c r="EDJ2">
        <v>36515</v>
      </c>
      <c r="EDK2">
        <v>43198</v>
      </c>
      <c r="EDM2">
        <v>70875</v>
      </c>
      <c r="EDN2">
        <v>35333</v>
      </c>
      <c r="EDO2">
        <v>35690</v>
      </c>
      <c r="EDP2">
        <v>26481</v>
      </c>
      <c r="EDQ2">
        <v>35938</v>
      </c>
      <c r="EDR2">
        <v>69286</v>
      </c>
      <c r="EDT2">
        <v>56662</v>
      </c>
      <c r="EDU2">
        <v>28958</v>
      </c>
      <c r="EDV2">
        <v>42132</v>
      </c>
      <c r="EDW2">
        <v>46250</v>
      </c>
      <c r="EDX2">
        <v>55214</v>
      </c>
      <c r="EDY2">
        <v>53760</v>
      </c>
      <c r="EDZ2">
        <v>59293</v>
      </c>
      <c r="EEA2">
        <v>157813</v>
      </c>
      <c r="EEB2">
        <v>51452</v>
      </c>
      <c r="EEC2">
        <v>80083</v>
      </c>
      <c r="EEE2">
        <v>53000</v>
      </c>
      <c r="EEF2">
        <v>54578</v>
      </c>
      <c r="EEG2">
        <v>55680</v>
      </c>
      <c r="EEH2">
        <v>26133</v>
      </c>
      <c r="EEJ2">
        <v>74135</v>
      </c>
      <c r="EEL2">
        <v>63191</v>
      </c>
      <c r="EEM2">
        <v>73603</v>
      </c>
      <c r="EEN2">
        <v>58233</v>
      </c>
      <c r="EEO2">
        <v>49908</v>
      </c>
      <c r="EEP2">
        <v>42500</v>
      </c>
      <c r="EEQ2">
        <v>48750</v>
      </c>
      <c r="EER2">
        <v>43134</v>
      </c>
      <c r="EES2">
        <v>47604</v>
      </c>
      <c r="EET2">
        <v>63011</v>
      </c>
      <c r="EEU2">
        <v>72798</v>
      </c>
      <c r="EEV2">
        <v>47381</v>
      </c>
      <c r="EEW2">
        <v>47604</v>
      </c>
      <c r="EEX2">
        <v>24615</v>
      </c>
      <c r="EEZ2">
        <v>41905</v>
      </c>
      <c r="EFA2">
        <v>67417</v>
      </c>
      <c r="EFB2">
        <v>56429</v>
      </c>
      <c r="EFC2">
        <v>67313</v>
      </c>
      <c r="EFD2">
        <v>43047</v>
      </c>
      <c r="EFF2">
        <v>70524</v>
      </c>
      <c r="EFG2">
        <v>65550</v>
      </c>
      <c r="EFH2">
        <v>32632</v>
      </c>
      <c r="EFJ2">
        <v>53598</v>
      </c>
      <c r="EFK2">
        <v>55179</v>
      </c>
      <c r="EFL2">
        <v>51875</v>
      </c>
      <c r="EFM2">
        <v>54375</v>
      </c>
      <c r="EFO2">
        <v>51776</v>
      </c>
      <c r="EFP2">
        <v>40625</v>
      </c>
      <c r="EFQ2">
        <v>53250</v>
      </c>
      <c r="EFR2">
        <v>59131</v>
      </c>
      <c r="EFS2">
        <v>56514</v>
      </c>
      <c r="EFT2">
        <v>37132</v>
      </c>
      <c r="EFU2">
        <v>63553</v>
      </c>
      <c r="EFV2">
        <v>80959</v>
      </c>
      <c r="EFW2">
        <v>64167</v>
      </c>
      <c r="EFX2">
        <v>75266</v>
      </c>
      <c r="EFY2">
        <v>49962</v>
      </c>
      <c r="EFZ2">
        <v>38403</v>
      </c>
      <c r="EGA2">
        <v>23621</v>
      </c>
      <c r="EGB2">
        <v>36667</v>
      </c>
      <c r="EGC2">
        <v>48625</v>
      </c>
      <c r="EGD2">
        <v>48295</v>
      </c>
      <c r="EGI2">
        <v>55795</v>
      </c>
      <c r="EGJ2">
        <v>41964</v>
      </c>
      <c r="EGK2">
        <v>31792</v>
      </c>
      <c r="EGN2">
        <v>32024</v>
      </c>
      <c r="EGP2">
        <v>78043</v>
      </c>
      <c r="EGQ2">
        <v>42720</v>
      </c>
      <c r="EGR2">
        <v>48450</v>
      </c>
      <c r="EGS2">
        <v>45191</v>
      </c>
      <c r="EGT2">
        <v>57429</v>
      </c>
      <c r="EGU2">
        <v>68750</v>
      </c>
      <c r="EGV2">
        <v>52198</v>
      </c>
      <c r="EGW2">
        <v>60729</v>
      </c>
      <c r="EGX2">
        <v>59973</v>
      </c>
      <c r="EGY2">
        <v>31788</v>
      </c>
      <c r="EGZ2">
        <v>48750</v>
      </c>
      <c r="EHA2">
        <v>44208</v>
      </c>
      <c r="EHC2">
        <v>55603</v>
      </c>
      <c r="EHE2">
        <v>61563</v>
      </c>
      <c r="EHF2">
        <v>58661</v>
      </c>
      <c r="EHG2">
        <v>31875</v>
      </c>
      <c r="EHH2">
        <v>36406</v>
      </c>
      <c r="EHI2">
        <v>37500</v>
      </c>
      <c r="EHJ2">
        <v>57561</v>
      </c>
      <c r="EHK2">
        <v>62951</v>
      </c>
      <c r="EHL2">
        <v>51250</v>
      </c>
      <c r="EHN2">
        <v>44891</v>
      </c>
      <c r="EHP2">
        <v>53021</v>
      </c>
      <c r="EHQ2">
        <v>37500</v>
      </c>
      <c r="EHT2">
        <v>53500</v>
      </c>
      <c r="EHU2">
        <v>128355</v>
      </c>
      <c r="EHV2">
        <v>42125</v>
      </c>
      <c r="EHX2">
        <v>60104</v>
      </c>
      <c r="EHY2">
        <v>48496</v>
      </c>
      <c r="EHZ2">
        <v>62216</v>
      </c>
      <c r="EIA2">
        <v>31500</v>
      </c>
      <c r="EIB2">
        <v>27679</v>
      </c>
      <c r="EIC2">
        <v>37222</v>
      </c>
      <c r="EIE2">
        <v>87705</v>
      </c>
      <c r="EIF2">
        <v>61923</v>
      </c>
      <c r="EIG2">
        <v>49063</v>
      </c>
      <c r="EIH2">
        <v>95179</v>
      </c>
      <c r="EIJ2">
        <v>68148</v>
      </c>
      <c r="EIK2">
        <v>40588</v>
      </c>
      <c r="EIL2">
        <v>61058</v>
      </c>
      <c r="EIM2">
        <v>42159</v>
      </c>
      <c r="EIO2">
        <v>51786</v>
      </c>
      <c r="EIP2">
        <v>50444</v>
      </c>
      <c r="EIQ2">
        <v>48750</v>
      </c>
      <c r="EIS2">
        <v>43017</v>
      </c>
      <c r="EIV2">
        <v>104375</v>
      </c>
      <c r="EIW2">
        <v>51932</v>
      </c>
      <c r="EIX2">
        <v>40909</v>
      </c>
      <c r="EIY2">
        <v>48235</v>
      </c>
      <c r="EIZ2">
        <v>70326</v>
      </c>
      <c r="EJA2">
        <v>66917</v>
      </c>
      <c r="EJB2">
        <v>67969</v>
      </c>
      <c r="EJC2">
        <v>57360</v>
      </c>
      <c r="EJD2">
        <v>13915</v>
      </c>
      <c r="EJE2">
        <v>54821</v>
      </c>
      <c r="EJF2">
        <v>73802</v>
      </c>
      <c r="EJG2">
        <v>61000</v>
      </c>
      <c r="EJH2">
        <v>45900</v>
      </c>
      <c r="EJI2">
        <v>83320</v>
      </c>
      <c r="EJJ2">
        <v>62905</v>
      </c>
      <c r="EJK2">
        <v>44042</v>
      </c>
      <c r="EJL2">
        <v>58750</v>
      </c>
      <c r="EJM2">
        <v>48092</v>
      </c>
      <c r="EJN2">
        <v>69803</v>
      </c>
      <c r="EJO2">
        <v>29200</v>
      </c>
      <c r="EJP2">
        <v>46029</v>
      </c>
      <c r="EJQ2">
        <v>51052</v>
      </c>
      <c r="EJS2">
        <v>48450</v>
      </c>
      <c r="EJU2">
        <v>32670</v>
      </c>
      <c r="EJX2">
        <v>57500</v>
      </c>
      <c r="EJY2">
        <v>86250</v>
      </c>
      <c r="EJZ2">
        <v>51940</v>
      </c>
      <c r="EKA2">
        <v>46042</v>
      </c>
      <c r="EKB2">
        <v>43929</v>
      </c>
      <c r="EKC2">
        <v>59297</v>
      </c>
      <c r="EKD2">
        <v>42592</v>
      </c>
      <c r="EKE2">
        <v>58875</v>
      </c>
      <c r="EKF2">
        <v>36953</v>
      </c>
      <c r="EKG2">
        <v>61837</v>
      </c>
      <c r="EKH2">
        <v>41817</v>
      </c>
      <c r="EKJ2">
        <v>79650</v>
      </c>
      <c r="EKK2">
        <v>52083</v>
      </c>
      <c r="EKO2">
        <v>90394</v>
      </c>
      <c r="EKP2">
        <v>28389</v>
      </c>
      <c r="EKQ2">
        <v>58043</v>
      </c>
      <c r="EKR2">
        <v>82877</v>
      </c>
      <c r="EKS2">
        <v>54924</v>
      </c>
      <c r="EKW2">
        <v>62795</v>
      </c>
      <c r="EKX2">
        <v>59875</v>
      </c>
      <c r="EKY2">
        <v>67391</v>
      </c>
      <c r="ELC2">
        <v>56667</v>
      </c>
      <c r="ELD2">
        <v>60531</v>
      </c>
      <c r="ELE2">
        <v>60595</v>
      </c>
      <c r="ELF2">
        <v>44107</v>
      </c>
      <c r="ELG2">
        <v>50982</v>
      </c>
      <c r="ELH2">
        <v>37455</v>
      </c>
      <c r="ELI2">
        <v>94084</v>
      </c>
      <c r="ELJ2">
        <v>56007</v>
      </c>
      <c r="ELK2">
        <v>55747</v>
      </c>
      <c r="ELL2">
        <v>64917</v>
      </c>
      <c r="ELN2">
        <v>73875</v>
      </c>
      <c r="ELO2">
        <v>59458</v>
      </c>
      <c r="ELP2">
        <v>93191</v>
      </c>
      <c r="ELQ2">
        <v>75179</v>
      </c>
      <c r="ELR2">
        <v>46875</v>
      </c>
      <c r="ELS2">
        <v>44706</v>
      </c>
      <c r="ELU2">
        <v>13607</v>
      </c>
      <c r="ELV2">
        <v>31367</v>
      </c>
      <c r="ELW2">
        <v>33036</v>
      </c>
      <c r="ELX2">
        <v>40481</v>
      </c>
      <c r="ELY2">
        <v>53007</v>
      </c>
      <c r="ELZ2">
        <v>43167</v>
      </c>
      <c r="EMB2">
        <v>45200</v>
      </c>
      <c r="EMD2">
        <v>34464</v>
      </c>
      <c r="EME2">
        <v>88043</v>
      </c>
      <c r="EMF2">
        <v>60435</v>
      </c>
      <c r="EMG2">
        <v>60952</v>
      </c>
      <c r="EMH2">
        <v>84650</v>
      </c>
      <c r="EMJ2">
        <v>100714</v>
      </c>
      <c r="EMK2">
        <v>28607</v>
      </c>
      <c r="EML2">
        <v>73918</v>
      </c>
      <c r="EMM2">
        <v>75659</v>
      </c>
      <c r="EMN2">
        <v>45559</v>
      </c>
      <c r="EMO2">
        <v>43607</v>
      </c>
      <c r="EMP2">
        <v>35391</v>
      </c>
      <c r="EMQ2">
        <v>92974</v>
      </c>
      <c r="EMS2">
        <v>78065</v>
      </c>
      <c r="EMT2">
        <v>70455</v>
      </c>
      <c r="EMU2">
        <v>52721</v>
      </c>
      <c r="EMV2">
        <v>26250</v>
      </c>
      <c r="EMW2">
        <v>72500</v>
      </c>
      <c r="EMX2">
        <v>90070</v>
      </c>
      <c r="EMZ2">
        <v>69167</v>
      </c>
      <c r="ENA2">
        <v>58846</v>
      </c>
      <c r="ENB2">
        <v>49698</v>
      </c>
      <c r="END2">
        <v>28667</v>
      </c>
      <c r="ENE2">
        <v>67139</v>
      </c>
      <c r="ENG2">
        <v>58300</v>
      </c>
      <c r="ENH2">
        <v>62917</v>
      </c>
      <c r="ENI2">
        <v>46250</v>
      </c>
      <c r="ENJ2">
        <v>72375</v>
      </c>
      <c r="ENK2">
        <v>56964</v>
      </c>
      <c r="ENL2">
        <v>38894</v>
      </c>
      <c r="ENM2">
        <v>25112</v>
      </c>
      <c r="ENN2">
        <v>61875</v>
      </c>
      <c r="ENO2">
        <v>55821</v>
      </c>
      <c r="ENP2">
        <v>97768</v>
      </c>
      <c r="ENQ2">
        <v>46875</v>
      </c>
      <c r="ENR2">
        <v>38333</v>
      </c>
      <c r="ENS2">
        <v>38598</v>
      </c>
      <c r="ENT2">
        <v>48875</v>
      </c>
      <c r="ENW2">
        <v>46594</v>
      </c>
      <c r="ENX2">
        <v>70880</v>
      </c>
      <c r="ENY2">
        <v>50938</v>
      </c>
      <c r="ENZ2">
        <v>115363</v>
      </c>
      <c r="EOA2">
        <v>43523</v>
      </c>
      <c r="EOC2">
        <v>51125</v>
      </c>
      <c r="EOD2">
        <v>50068</v>
      </c>
      <c r="EOG2">
        <v>51898</v>
      </c>
      <c r="EOH2">
        <v>58281</v>
      </c>
      <c r="EOI2">
        <v>54767</v>
      </c>
      <c r="EOJ2">
        <v>61346</v>
      </c>
      <c r="EOL2">
        <v>77969</v>
      </c>
      <c r="EOM2">
        <v>57411</v>
      </c>
      <c r="EON2">
        <v>54875</v>
      </c>
    </row>
    <row r="3" spans="1:3784" x14ac:dyDescent="0.35">
      <c r="A3" t="s">
        <v>112</v>
      </c>
      <c r="B3">
        <v>138730</v>
      </c>
      <c r="C3">
        <v>114482</v>
      </c>
      <c r="D3">
        <v>159604</v>
      </c>
      <c r="E3">
        <v>161359</v>
      </c>
      <c r="F3">
        <v>111960</v>
      </c>
      <c r="G3">
        <v>36019</v>
      </c>
      <c r="H3">
        <v>142783</v>
      </c>
      <c r="I3">
        <v>123653</v>
      </c>
      <c r="J3">
        <v>140555</v>
      </c>
      <c r="K3">
        <v>110260</v>
      </c>
      <c r="L3">
        <v>108377</v>
      </c>
      <c r="M3">
        <v>128234</v>
      </c>
      <c r="O3">
        <v>179107</v>
      </c>
      <c r="P3">
        <v>101543</v>
      </c>
      <c r="Q3">
        <v>92569</v>
      </c>
      <c r="R3">
        <v>57031</v>
      </c>
      <c r="S3">
        <v>53015</v>
      </c>
      <c r="T3">
        <v>102623</v>
      </c>
      <c r="U3">
        <v>48146</v>
      </c>
      <c r="V3">
        <v>105800</v>
      </c>
      <c r="W3">
        <v>98917</v>
      </c>
      <c r="BG3">
        <v>87813</v>
      </c>
      <c r="BH3">
        <v>147996</v>
      </c>
      <c r="BI3">
        <v>170951</v>
      </c>
      <c r="BJ3">
        <v>73130</v>
      </c>
      <c r="BK3">
        <v>135819</v>
      </c>
      <c r="BL3">
        <v>84776</v>
      </c>
      <c r="BM3">
        <v>60169</v>
      </c>
      <c r="BN3">
        <v>71086</v>
      </c>
      <c r="BO3">
        <v>71055</v>
      </c>
      <c r="BP3">
        <v>74276</v>
      </c>
      <c r="BQ3">
        <v>95654</v>
      </c>
      <c r="BR3">
        <v>69375</v>
      </c>
      <c r="BS3">
        <v>115275</v>
      </c>
      <c r="BT3">
        <v>48158</v>
      </c>
      <c r="BU3">
        <v>153022</v>
      </c>
      <c r="BV3">
        <v>139918</v>
      </c>
      <c r="BW3">
        <v>91125</v>
      </c>
      <c r="BX3">
        <v>132569</v>
      </c>
      <c r="BY3">
        <v>127318</v>
      </c>
      <c r="BZ3">
        <v>61292</v>
      </c>
      <c r="CA3">
        <v>107647</v>
      </c>
      <c r="CB3">
        <v>60551</v>
      </c>
      <c r="CC3">
        <v>65733</v>
      </c>
      <c r="CD3">
        <v>70860</v>
      </c>
      <c r="CE3">
        <v>90500</v>
      </c>
      <c r="CF3">
        <v>133028</v>
      </c>
      <c r="CG3">
        <v>141825</v>
      </c>
      <c r="CH3">
        <v>91299</v>
      </c>
      <c r="CI3">
        <v>76133</v>
      </c>
      <c r="CJ3">
        <v>98702</v>
      </c>
      <c r="CK3">
        <v>63379</v>
      </c>
      <c r="CL3">
        <v>85909</v>
      </c>
      <c r="CM3">
        <v>90567</v>
      </c>
      <c r="CN3">
        <v>73750</v>
      </c>
      <c r="CO3">
        <v>85208</v>
      </c>
      <c r="CP3">
        <v>80444</v>
      </c>
      <c r="CQ3">
        <v>62633</v>
      </c>
      <c r="CR3">
        <v>62180</v>
      </c>
      <c r="CS3">
        <v>128981</v>
      </c>
      <c r="CT3">
        <v>118511</v>
      </c>
      <c r="CU3">
        <v>112067</v>
      </c>
      <c r="CV3">
        <v>76537</v>
      </c>
      <c r="CW3">
        <v>142911</v>
      </c>
      <c r="CX3">
        <v>62589</v>
      </c>
      <c r="CY3">
        <v>61351</v>
      </c>
      <c r="CZ3">
        <v>65781</v>
      </c>
      <c r="DA3">
        <v>153743</v>
      </c>
      <c r="DB3">
        <v>113166</v>
      </c>
      <c r="DC3">
        <v>90054</v>
      </c>
      <c r="DD3">
        <v>70833</v>
      </c>
      <c r="DE3">
        <v>87949</v>
      </c>
      <c r="DF3">
        <v>114093</v>
      </c>
      <c r="DG3">
        <v>54162</v>
      </c>
      <c r="DH3">
        <v>82747</v>
      </c>
      <c r="DI3">
        <v>89484</v>
      </c>
      <c r="DJ3">
        <v>64734</v>
      </c>
      <c r="DL3">
        <v>77339</v>
      </c>
      <c r="DM3">
        <v>50690</v>
      </c>
      <c r="DN3">
        <v>87619</v>
      </c>
      <c r="DO3">
        <v>75478</v>
      </c>
      <c r="DP3">
        <v>127464</v>
      </c>
      <c r="DQ3">
        <v>107004</v>
      </c>
      <c r="DR3">
        <v>91673</v>
      </c>
      <c r="DS3">
        <v>76055</v>
      </c>
      <c r="DT3">
        <v>65833</v>
      </c>
      <c r="DU3">
        <v>80125</v>
      </c>
      <c r="DV3">
        <v>65715</v>
      </c>
      <c r="DW3">
        <v>105561</v>
      </c>
      <c r="DX3">
        <v>62143</v>
      </c>
      <c r="DY3">
        <v>69725</v>
      </c>
      <c r="EA3">
        <v>62483</v>
      </c>
      <c r="EB3">
        <v>97684</v>
      </c>
      <c r="EC3">
        <v>113346</v>
      </c>
      <c r="ED3">
        <v>74208</v>
      </c>
      <c r="EE3">
        <v>58463</v>
      </c>
      <c r="EG3">
        <v>83892</v>
      </c>
      <c r="EH3">
        <v>77496</v>
      </c>
      <c r="EI3">
        <v>64072</v>
      </c>
      <c r="EJ3">
        <v>75365</v>
      </c>
      <c r="EK3">
        <v>55719</v>
      </c>
      <c r="EL3">
        <v>99975</v>
      </c>
      <c r="EM3">
        <v>104997</v>
      </c>
      <c r="EN3">
        <v>102800</v>
      </c>
      <c r="EO3">
        <v>73699</v>
      </c>
      <c r="EP3">
        <v>92991</v>
      </c>
      <c r="EQ3">
        <v>76319</v>
      </c>
      <c r="ER3">
        <v>62188</v>
      </c>
      <c r="ES3">
        <v>84724</v>
      </c>
      <c r="ET3">
        <v>79879</v>
      </c>
      <c r="EU3">
        <v>84628</v>
      </c>
      <c r="EV3">
        <v>73995</v>
      </c>
      <c r="EW3">
        <v>56875</v>
      </c>
      <c r="EX3">
        <v>104375</v>
      </c>
      <c r="EZ3">
        <v>121026</v>
      </c>
      <c r="FA3">
        <v>55704</v>
      </c>
      <c r="FB3">
        <v>93562</v>
      </c>
      <c r="FC3">
        <v>60176</v>
      </c>
      <c r="FD3">
        <v>63915</v>
      </c>
      <c r="FE3">
        <v>65646</v>
      </c>
      <c r="FF3">
        <v>88750</v>
      </c>
      <c r="FG3">
        <v>84327</v>
      </c>
      <c r="FH3">
        <v>58494</v>
      </c>
      <c r="FI3">
        <v>66595</v>
      </c>
      <c r="FJ3">
        <v>59958</v>
      </c>
      <c r="FL3">
        <v>65987</v>
      </c>
      <c r="FM3">
        <v>79311</v>
      </c>
      <c r="FN3">
        <v>88269</v>
      </c>
      <c r="FO3">
        <v>48365</v>
      </c>
      <c r="FP3">
        <v>93250</v>
      </c>
      <c r="FQ3">
        <v>105750</v>
      </c>
      <c r="FR3">
        <v>68516</v>
      </c>
      <c r="FS3">
        <v>102500</v>
      </c>
      <c r="FT3">
        <v>105395</v>
      </c>
      <c r="FU3">
        <v>109324</v>
      </c>
      <c r="FV3">
        <v>61852</v>
      </c>
      <c r="FW3">
        <v>124375</v>
      </c>
      <c r="FX3">
        <v>77500</v>
      </c>
      <c r="FY3">
        <v>92681</v>
      </c>
      <c r="FZ3">
        <v>87138</v>
      </c>
      <c r="GA3">
        <v>116435</v>
      </c>
      <c r="GB3">
        <v>66071</v>
      </c>
      <c r="GC3">
        <v>58512</v>
      </c>
      <c r="GD3">
        <v>62384</v>
      </c>
      <c r="GE3">
        <v>72278</v>
      </c>
      <c r="GF3">
        <v>63281</v>
      </c>
      <c r="GG3">
        <v>56940</v>
      </c>
      <c r="GH3">
        <v>70134</v>
      </c>
      <c r="GI3">
        <v>81448</v>
      </c>
      <c r="GJ3">
        <v>25859</v>
      </c>
      <c r="GK3">
        <v>57835</v>
      </c>
      <c r="GL3">
        <v>67831</v>
      </c>
      <c r="GM3">
        <v>46397</v>
      </c>
      <c r="GN3">
        <v>68867</v>
      </c>
      <c r="GO3">
        <v>60232</v>
      </c>
      <c r="GP3">
        <v>59521</v>
      </c>
      <c r="GQ3">
        <v>47988</v>
      </c>
      <c r="GR3">
        <v>85458</v>
      </c>
      <c r="GT3">
        <v>66721</v>
      </c>
      <c r="GU3">
        <v>97339</v>
      </c>
      <c r="GV3">
        <v>81601</v>
      </c>
      <c r="GW3">
        <v>80263</v>
      </c>
      <c r="GX3">
        <v>67974</v>
      </c>
      <c r="GY3">
        <v>55714</v>
      </c>
      <c r="GZ3">
        <v>106768</v>
      </c>
      <c r="HA3">
        <v>55212</v>
      </c>
      <c r="HB3">
        <v>79752</v>
      </c>
      <c r="HC3">
        <v>104446</v>
      </c>
      <c r="HD3">
        <v>71792</v>
      </c>
      <c r="HE3">
        <v>111093</v>
      </c>
      <c r="HG3">
        <v>68255</v>
      </c>
      <c r="HH3">
        <v>50455</v>
      </c>
      <c r="HJ3">
        <v>103311</v>
      </c>
      <c r="HK3">
        <v>119226</v>
      </c>
      <c r="HL3">
        <v>70587</v>
      </c>
      <c r="HN3">
        <v>80652</v>
      </c>
      <c r="HO3">
        <v>50526</v>
      </c>
      <c r="HP3">
        <v>50499</v>
      </c>
      <c r="HR3">
        <v>122738</v>
      </c>
      <c r="HS3">
        <v>46208</v>
      </c>
      <c r="HT3">
        <v>83516</v>
      </c>
      <c r="HU3">
        <v>55506</v>
      </c>
      <c r="HV3">
        <v>76731</v>
      </c>
      <c r="HW3">
        <v>76528</v>
      </c>
      <c r="HX3">
        <v>60322</v>
      </c>
      <c r="HY3">
        <v>45975</v>
      </c>
      <c r="IA3">
        <v>107836</v>
      </c>
      <c r="IB3">
        <v>133085</v>
      </c>
      <c r="IC3">
        <v>147553</v>
      </c>
      <c r="ID3">
        <v>82420</v>
      </c>
      <c r="IE3">
        <v>111894</v>
      </c>
      <c r="IF3">
        <v>45542</v>
      </c>
      <c r="IG3">
        <v>51242</v>
      </c>
      <c r="IH3">
        <v>75963</v>
      </c>
      <c r="II3">
        <v>79068</v>
      </c>
      <c r="IJ3">
        <v>36870</v>
      </c>
      <c r="IK3">
        <v>42383</v>
      </c>
      <c r="IL3">
        <v>96491</v>
      </c>
      <c r="IM3">
        <v>105190</v>
      </c>
      <c r="IN3">
        <v>79222</v>
      </c>
      <c r="IO3">
        <v>132847</v>
      </c>
      <c r="IQ3">
        <v>93815</v>
      </c>
      <c r="IR3">
        <v>113611</v>
      </c>
      <c r="IS3">
        <v>182317</v>
      </c>
      <c r="IT3">
        <v>113736</v>
      </c>
      <c r="IU3">
        <v>70968</v>
      </c>
      <c r="IV3">
        <v>61548</v>
      </c>
      <c r="IY3">
        <v>53367</v>
      </c>
      <c r="IZ3">
        <v>49472</v>
      </c>
      <c r="JA3">
        <v>122931</v>
      </c>
      <c r="JB3">
        <v>101049</v>
      </c>
      <c r="JC3">
        <v>57216</v>
      </c>
      <c r="JD3">
        <v>81774</v>
      </c>
      <c r="JE3">
        <v>117865</v>
      </c>
      <c r="JF3">
        <v>59647</v>
      </c>
      <c r="JG3">
        <v>107151</v>
      </c>
      <c r="JH3">
        <v>70168</v>
      </c>
      <c r="JI3">
        <v>64732</v>
      </c>
      <c r="JJ3">
        <v>84633</v>
      </c>
      <c r="JK3">
        <v>53932</v>
      </c>
      <c r="JL3">
        <v>83239</v>
      </c>
      <c r="JM3">
        <v>107604</v>
      </c>
      <c r="JN3">
        <v>50935</v>
      </c>
      <c r="JO3">
        <v>75385</v>
      </c>
      <c r="JP3">
        <v>46440</v>
      </c>
      <c r="JQ3">
        <v>70938</v>
      </c>
      <c r="JR3">
        <v>54732</v>
      </c>
      <c r="JT3">
        <v>61295</v>
      </c>
      <c r="JU3">
        <v>54239</v>
      </c>
      <c r="JV3">
        <v>38958</v>
      </c>
      <c r="JW3">
        <v>54352</v>
      </c>
      <c r="JX3">
        <v>80000</v>
      </c>
      <c r="JY3">
        <v>60405</v>
      </c>
      <c r="JZ3">
        <v>80625</v>
      </c>
      <c r="KA3">
        <v>58116</v>
      </c>
      <c r="KB3">
        <v>65037</v>
      </c>
      <c r="KD3">
        <v>46667</v>
      </c>
      <c r="KE3">
        <v>52301</v>
      </c>
      <c r="KF3">
        <v>51181</v>
      </c>
      <c r="KG3">
        <v>36886</v>
      </c>
      <c r="KH3">
        <v>36385</v>
      </c>
      <c r="KI3">
        <v>36415</v>
      </c>
      <c r="KJ3">
        <v>73190</v>
      </c>
      <c r="KM3">
        <v>57212</v>
      </c>
      <c r="KN3">
        <v>49625</v>
      </c>
      <c r="KO3">
        <v>54567</v>
      </c>
      <c r="KP3">
        <v>41399</v>
      </c>
      <c r="KQ3">
        <v>49292</v>
      </c>
      <c r="KR3">
        <v>44219</v>
      </c>
      <c r="KS3">
        <v>53133</v>
      </c>
      <c r="KT3">
        <v>39296</v>
      </c>
      <c r="KU3">
        <v>50036</v>
      </c>
      <c r="KW3">
        <v>77167</v>
      </c>
      <c r="KY3">
        <v>48728</v>
      </c>
      <c r="KZ3">
        <v>71083</v>
      </c>
      <c r="LA3">
        <v>39762</v>
      </c>
      <c r="LB3">
        <v>57250</v>
      </c>
      <c r="LC3">
        <v>54713</v>
      </c>
      <c r="LD3">
        <v>38237</v>
      </c>
      <c r="LE3">
        <v>58214</v>
      </c>
      <c r="LF3">
        <v>71833</v>
      </c>
      <c r="LG3">
        <v>95224</v>
      </c>
      <c r="LH3">
        <v>74782</v>
      </c>
      <c r="LI3">
        <v>49005</v>
      </c>
      <c r="LJ3">
        <v>85237</v>
      </c>
      <c r="LK3">
        <v>65815</v>
      </c>
      <c r="LL3">
        <v>58020</v>
      </c>
      <c r="LM3">
        <v>68182</v>
      </c>
      <c r="LN3">
        <v>109627</v>
      </c>
      <c r="LO3">
        <v>97339</v>
      </c>
      <c r="LP3">
        <v>98846</v>
      </c>
      <c r="LQ3">
        <v>52813</v>
      </c>
      <c r="LR3">
        <v>55618</v>
      </c>
      <c r="LS3">
        <v>85960</v>
      </c>
      <c r="LT3">
        <v>76780</v>
      </c>
      <c r="LU3">
        <v>58374</v>
      </c>
      <c r="LV3">
        <v>108052</v>
      </c>
      <c r="LW3">
        <v>69592</v>
      </c>
      <c r="LX3">
        <v>62122</v>
      </c>
      <c r="LY3">
        <v>53017</v>
      </c>
      <c r="LZ3">
        <v>55403</v>
      </c>
      <c r="MA3">
        <v>70417</v>
      </c>
      <c r="MB3">
        <v>88953</v>
      </c>
      <c r="MC3">
        <v>55380</v>
      </c>
      <c r="MD3">
        <v>73252</v>
      </c>
      <c r="ME3">
        <v>51818</v>
      </c>
      <c r="MF3">
        <v>52336</v>
      </c>
      <c r="MG3">
        <v>24345</v>
      </c>
      <c r="MH3">
        <v>73771</v>
      </c>
      <c r="MI3">
        <v>90021</v>
      </c>
      <c r="MJ3">
        <v>92644</v>
      </c>
      <c r="MK3">
        <v>75848</v>
      </c>
      <c r="ML3">
        <v>76477</v>
      </c>
      <c r="MM3">
        <v>58180</v>
      </c>
      <c r="MN3">
        <v>95645</v>
      </c>
      <c r="MO3">
        <v>112986</v>
      </c>
      <c r="MP3">
        <v>88951</v>
      </c>
      <c r="MQ3">
        <v>58417</v>
      </c>
      <c r="MR3">
        <v>52146</v>
      </c>
      <c r="MS3">
        <v>81789</v>
      </c>
      <c r="MT3">
        <v>41500</v>
      </c>
      <c r="MU3">
        <v>66806</v>
      </c>
      <c r="MV3">
        <v>60043</v>
      </c>
      <c r="MW3">
        <v>61310</v>
      </c>
      <c r="MX3">
        <v>56391</v>
      </c>
      <c r="MY3">
        <v>55571</v>
      </c>
      <c r="MZ3">
        <v>82202</v>
      </c>
      <c r="NA3">
        <v>74710</v>
      </c>
      <c r="NB3">
        <v>56049</v>
      </c>
      <c r="NC3">
        <v>61524</v>
      </c>
      <c r="ND3">
        <v>85208</v>
      </c>
      <c r="NE3">
        <v>74753</v>
      </c>
      <c r="NF3">
        <v>71176</v>
      </c>
      <c r="NG3">
        <v>63028</v>
      </c>
      <c r="NI3">
        <v>80481</v>
      </c>
      <c r="NJ3">
        <v>75000</v>
      </c>
      <c r="NK3">
        <v>50096</v>
      </c>
      <c r="NM3">
        <v>65122</v>
      </c>
      <c r="NP3">
        <v>37357</v>
      </c>
      <c r="NR3">
        <v>48188</v>
      </c>
      <c r="NS3">
        <v>61397</v>
      </c>
      <c r="NT3">
        <v>63727</v>
      </c>
      <c r="NV3">
        <v>79531</v>
      </c>
      <c r="NW3">
        <v>80867</v>
      </c>
      <c r="NX3">
        <v>119167</v>
      </c>
      <c r="NY3">
        <v>127530</v>
      </c>
      <c r="NZ3">
        <v>92917</v>
      </c>
      <c r="OA3">
        <v>64464</v>
      </c>
      <c r="OB3">
        <v>87407</v>
      </c>
      <c r="OC3">
        <v>83188</v>
      </c>
      <c r="OD3">
        <v>64882</v>
      </c>
      <c r="OE3">
        <v>58806</v>
      </c>
      <c r="OF3">
        <v>47000</v>
      </c>
      <c r="OG3">
        <v>50962</v>
      </c>
      <c r="OH3">
        <v>54890</v>
      </c>
      <c r="OI3">
        <v>54295</v>
      </c>
      <c r="OJ3">
        <v>45368</v>
      </c>
      <c r="OL3">
        <v>68295</v>
      </c>
      <c r="OM3">
        <v>89394</v>
      </c>
      <c r="ON3">
        <v>57145</v>
      </c>
      <c r="OO3">
        <v>67614</v>
      </c>
      <c r="OP3">
        <v>72431</v>
      </c>
      <c r="OQ3">
        <v>80357</v>
      </c>
      <c r="OR3">
        <v>68292</v>
      </c>
      <c r="OS3">
        <v>88431</v>
      </c>
      <c r="OT3">
        <v>91133</v>
      </c>
      <c r="OU3">
        <v>55583</v>
      </c>
      <c r="OV3">
        <v>72813</v>
      </c>
      <c r="OW3">
        <v>51875</v>
      </c>
      <c r="OX3">
        <v>18929</v>
      </c>
      <c r="OY3">
        <v>84044</v>
      </c>
      <c r="OZ3">
        <v>46667</v>
      </c>
      <c r="PA3">
        <v>55972</v>
      </c>
      <c r="PB3">
        <v>59000</v>
      </c>
      <c r="PC3">
        <v>49342</v>
      </c>
      <c r="PD3">
        <v>103165</v>
      </c>
      <c r="PE3">
        <v>47500</v>
      </c>
      <c r="PF3">
        <v>77038</v>
      </c>
      <c r="PG3">
        <v>75625</v>
      </c>
      <c r="PH3">
        <v>62075</v>
      </c>
      <c r="PI3">
        <v>68519</v>
      </c>
      <c r="PJ3">
        <v>71538</v>
      </c>
      <c r="PK3">
        <v>51680</v>
      </c>
      <c r="PL3">
        <v>71197</v>
      </c>
      <c r="PM3">
        <v>68882</v>
      </c>
      <c r="PN3">
        <v>65620</v>
      </c>
      <c r="PO3">
        <v>57749</v>
      </c>
      <c r="PQ3">
        <v>64044</v>
      </c>
      <c r="PS3">
        <v>49388</v>
      </c>
      <c r="PT3">
        <v>47462</v>
      </c>
      <c r="PU3">
        <v>49909</v>
      </c>
      <c r="PV3">
        <v>53550</v>
      </c>
      <c r="PW3">
        <v>58702</v>
      </c>
      <c r="PX3">
        <v>63419</v>
      </c>
      <c r="PY3">
        <v>83896</v>
      </c>
      <c r="PZ3">
        <v>61250</v>
      </c>
      <c r="QA3">
        <v>72396</v>
      </c>
      <c r="QB3">
        <v>88665</v>
      </c>
      <c r="QC3">
        <v>52117</v>
      </c>
      <c r="QD3">
        <v>46473</v>
      </c>
      <c r="QE3">
        <v>88523</v>
      </c>
      <c r="QF3">
        <v>48775</v>
      </c>
      <c r="QG3">
        <v>103589</v>
      </c>
      <c r="QI3">
        <v>54258</v>
      </c>
      <c r="QJ3">
        <v>49111</v>
      </c>
      <c r="QK3">
        <v>70433</v>
      </c>
      <c r="QM3">
        <v>65190</v>
      </c>
      <c r="QN3">
        <v>88395</v>
      </c>
      <c r="QO3">
        <v>56250</v>
      </c>
      <c r="QP3">
        <v>51352</v>
      </c>
      <c r="QQ3">
        <v>65078</v>
      </c>
      <c r="QR3">
        <v>50598</v>
      </c>
      <c r="QS3">
        <v>130150</v>
      </c>
      <c r="QT3">
        <v>63929</v>
      </c>
      <c r="QV3">
        <v>83890</v>
      </c>
      <c r="QW3">
        <v>74641</v>
      </c>
      <c r="QX3">
        <v>65132</v>
      </c>
      <c r="QY3">
        <v>43625</v>
      </c>
      <c r="QZ3">
        <v>49658</v>
      </c>
      <c r="RA3">
        <v>53186</v>
      </c>
      <c r="RB3">
        <v>43830</v>
      </c>
      <c r="RC3">
        <v>50568</v>
      </c>
      <c r="RE3">
        <v>46676</v>
      </c>
      <c r="RF3">
        <v>54214</v>
      </c>
      <c r="RG3">
        <v>38750</v>
      </c>
      <c r="RH3">
        <v>50956</v>
      </c>
      <c r="RI3">
        <v>44942</v>
      </c>
      <c r="RJ3">
        <v>23019</v>
      </c>
      <c r="RK3">
        <v>45636</v>
      </c>
      <c r="RL3">
        <v>65583</v>
      </c>
      <c r="RM3">
        <v>46159</v>
      </c>
      <c r="RN3">
        <v>83349</v>
      </c>
      <c r="RO3">
        <v>67710</v>
      </c>
      <c r="RQ3">
        <v>43625</v>
      </c>
      <c r="RR3">
        <v>60168</v>
      </c>
      <c r="RS3">
        <v>38750</v>
      </c>
      <c r="RU3">
        <v>107071</v>
      </c>
      <c r="RV3">
        <v>42872</v>
      </c>
      <c r="RW3">
        <v>46190</v>
      </c>
      <c r="RX3">
        <v>82855</v>
      </c>
      <c r="RY3">
        <v>48302</v>
      </c>
      <c r="RZ3">
        <v>76250</v>
      </c>
      <c r="SA3">
        <v>72350</v>
      </c>
      <c r="SB3">
        <v>52016</v>
      </c>
      <c r="SC3">
        <v>41930</v>
      </c>
      <c r="SD3">
        <v>47096</v>
      </c>
      <c r="SE3">
        <v>62671</v>
      </c>
      <c r="SF3">
        <v>47606</v>
      </c>
      <c r="SG3">
        <v>47764</v>
      </c>
      <c r="SH3">
        <v>48516</v>
      </c>
      <c r="SI3">
        <v>50956</v>
      </c>
      <c r="SJ3">
        <v>59250</v>
      </c>
      <c r="SK3">
        <v>47558</v>
      </c>
      <c r="SL3">
        <v>62826</v>
      </c>
      <c r="SM3">
        <v>138125</v>
      </c>
      <c r="SN3">
        <v>44537</v>
      </c>
      <c r="SO3">
        <v>83536</v>
      </c>
      <c r="SP3">
        <v>79529</v>
      </c>
      <c r="SQ3">
        <v>58141</v>
      </c>
      <c r="SR3">
        <v>54472</v>
      </c>
      <c r="SS3">
        <v>73598</v>
      </c>
      <c r="ST3">
        <v>67034</v>
      </c>
      <c r="SV3">
        <v>39471</v>
      </c>
      <c r="SW3">
        <v>48310</v>
      </c>
      <c r="SX3">
        <v>58958</v>
      </c>
      <c r="SY3">
        <v>67661</v>
      </c>
      <c r="TA3">
        <v>30046</v>
      </c>
      <c r="TB3">
        <v>35273</v>
      </c>
      <c r="TC3">
        <v>39063</v>
      </c>
      <c r="TD3">
        <v>46307</v>
      </c>
      <c r="TE3">
        <v>106050</v>
      </c>
      <c r="TF3">
        <v>115581</v>
      </c>
      <c r="TG3">
        <v>57500</v>
      </c>
      <c r="TH3">
        <v>49096</v>
      </c>
      <c r="TI3">
        <v>30341</v>
      </c>
      <c r="TJ3">
        <v>87731</v>
      </c>
      <c r="TK3">
        <v>58482</v>
      </c>
      <c r="TL3">
        <v>50394</v>
      </c>
      <c r="TM3">
        <v>24635</v>
      </c>
      <c r="TN3">
        <v>40196</v>
      </c>
      <c r="TO3">
        <v>44135</v>
      </c>
      <c r="TP3">
        <v>55371</v>
      </c>
      <c r="TR3">
        <v>53255</v>
      </c>
      <c r="TS3">
        <v>56961</v>
      </c>
      <c r="TT3">
        <v>59813</v>
      </c>
      <c r="TU3">
        <v>82566</v>
      </c>
      <c r="TV3">
        <v>66667</v>
      </c>
      <c r="TW3">
        <v>24722</v>
      </c>
      <c r="TX3">
        <v>75526</v>
      </c>
      <c r="TY3">
        <v>50217</v>
      </c>
      <c r="TZ3">
        <v>40735</v>
      </c>
      <c r="UA3">
        <v>60161</v>
      </c>
      <c r="UB3">
        <v>47333</v>
      </c>
      <c r="UC3">
        <v>40197</v>
      </c>
      <c r="UD3">
        <v>36442</v>
      </c>
      <c r="UE3">
        <v>38274</v>
      </c>
      <c r="UF3">
        <v>53068</v>
      </c>
      <c r="UG3">
        <v>128056</v>
      </c>
      <c r="UH3">
        <v>51932</v>
      </c>
      <c r="UI3">
        <v>52813</v>
      </c>
      <c r="UK3">
        <v>49028</v>
      </c>
      <c r="UL3">
        <v>29673</v>
      </c>
      <c r="UM3">
        <v>81507</v>
      </c>
      <c r="UN3">
        <v>37089</v>
      </c>
      <c r="UO3">
        <v>68958</v>
      </c>
      <c r="UP3">
        <v>51429</v>
      </c>
      <c r="UQ3">
        <v>60682</v>
      </c>
      <c r="UR3">
        <v>48186</v>
      </c>
      <c r="US3">
        <v>33672</v>
      </c>
      <c r="UT3">
        <v>47950</v>
      </c>
      <c r="UU3">
        <v>66328</v>
      </c>
      <c r="UV3">
        <v>87398</v>
      </c>
      <c r="UW3">
        <v>22936</v>
      </c>
      <c r="UX3">
        <v>38478</v>
      </c>
      <c r="UY3">
        <v>35006</v>
      </c>
      <c r="VA3">
        <v>82158</v>
      </c>
      <c r="VB3">
        <v>51595</v>
      </c>
      <c r="VD3">
        <v>70166</v>
      </c>
      <c r="VE3">
        <v>43821</v>
      </c>
      <c r="VF3">
        <v>83265</v>
      </c>
      <c r="VG3">
        <v>51175</v>
      </c>
      <c r="VH3">
        <v>67256</v>
      </c>
      <c r="VJ3">
        <v>36339</v>
      </c>
      <c r="VK3">
        <v>110573</v>
      </c>
      <c r="VL3">
        <v>65395</v>
      </c>
      <c r="VM3">
        <v>62500</v>
      </c>
      <c r="VN3">
        <v>98367</v>
      </c>
      <c r="VO3">
        <v>59443</v>
      </c>
      <c r="VQ3">
        <v>51090</v>
      </c>
      <c r="VR3">
        <v>68006</v>
      </c>
      <c r="VS3">
        <v>52234</v>
      </c>
      <c r="VT3">
        <v>68958</v>
      </c>
      <c r="VU3">
        <v>70781</v>
      </c>
      <c r="VV3">
        <v>91293</v>
      </c>
      <c r="VW3">
        <v>46088</v>
      </c>
      <c r="VX3">
        <v>110767</v>
      </c>
      <c r="VY3">
        <v>82196</v>
      </c>
      <c r="WA3">
        <v>105669</v>
      </c>
      <c r="WB3">
        <v>72163</v>
      </c>
      <c r="WC3">
        <v>60669</v>
      </c>
      <c r="WD3">
        <v>29650</v>
      </c>
      <c r="WE3">
        <v>50182</v>
      </c>
      <c r="WF3">
        <v>49805</v>
      </c>
      <c r="WG3">
        <v>62123</v>
      </c>
      <c r="WH3">
        <v>66084</v>
      </c>
      <c r="WI3">
        <v>83954</v>
      </c>
      <c r="WJ3">
        <v>40109</v>
      </c>
      <c r="WL3">
        <v>97225</v>
      </c>
      <c r="WM3">
        <v>122723</v>
      </c>
      <c r="WN3">
        <v>37890</v>
      </c>
      <c r="WO3">
        <v>70734</v>
      </c>
      <c r="WQ3">
        <v>37203</v>
      </c>
      <c r="WR3">
        <v>55042</v>
      </c>
      <c r="WS3">
        <v>52721</v>
      </c>
      <c r="WU3">
        <v>42977</v>
      </c>
      <c r="WV3">
        <v>57394</v>
      </c>
      <c r="WW3">
        <v>86750</v>
      </c>
      <c r="WX3">
        <v>41563</v>
      </c>
      <c r="WY3">
        <v>37652</v>
      </c>
      <c r="WZ3">
        <v>106413</v>
      </c>
      <c r="XA3">
        <v>90148</v>
      </c>
      <c r="XC3">
        <v>65896</v>
      </c>
      <c r="XD3">
        <v>76445</v>
      </c>
      <c r="XE3">
        <v>52132</v>
      </c>
      <c r="XF3">
        <v>44211</v>
      </c>
      <c r="XG3">
        <v>54208</v>
      </c>
      <c r="XH3">
        <v>49613</v>
      </c>
      <c r="XI3">
        <v>38321</v>
      </c>
      <c r="XJ3">
        <v>46875</v>
      </c>
      <c r="XK3">
        <v>44576</v>
      </c>
      <c r="XL3">
        <v>41333</v>
      </c>
      <c r="XM3">
        <v>44260</v>
      </c>
      <c r="XN3">
        <v>65065</v>
      </c>
      <c r="XP3">
        <v>77913</v>
      </c>
      <c r="XQ3">
        <v>35144</v>
      </c>
      <c r="XR3">
        <v>53438</v>
      </c>
      <c r="XS3">
        <v>46887</v>
      </c>
      <c r="XT3">
        <v>45833</v>
      </c>
      <c r="XU3">
        <v>46205</v>
      </c>
      <c r="XV3">
        <v>52175</v>
      </c>
      <c r="XW3">
        <v>67241</v>
      </c>
      <c r="XY3">
        <v>47818</v>
      </c>
      <c r="XZ3">
        <v>67761</v>
      </c>
      <c r="YA3">
        <v>42845</v>
      </c>
      <c r="YB3">
        <v>144375</v>
      </c>
      <c r="YD3">
        <v>55625</v>
      </c>
      <c r="YF3">
        <v>72054</v>
      </c>
      <c r="YG3">
        <v>33184</v>
      </c>
      <c r="YH3">
        <v>50703</v>
      </c>
      <c r="YI3">
        <v>63793</v>
      </c>
      <c r="YJ3">
        <v>72275</v>
      </c>
      <c r="YL3">
        <v>34846</v>
      </c>
      <c r="YM3">
        <v>55980</v>
      </c>
      <c r="YN3">
        <v>73991</v>
      </c>
      <c r="YO3">
        <v>43411</v>
      </c>
      <c r="YP3">
        <v>51375</v>
      </c>
      <c r="YQ3">
        <v>54038</v>
      </c>
      <c r="YR3">
        <v>29500</v>
      </c>
      <c r="YS3">
        <v>42885</v>
      </c>
      <c r="YT3">
        <v>80663</v>
      </c>
      <c r="YU3">
        <v>58510</v>
      </c>
      <c r="YV3">
        <v>38438</v>
      </c>
      <c r="YW3">
        <v>69917</v>
      </c>
      <c r="YX3">
        <v>26667</v>
      </c>
      <c r="YY3">
        <v>70671</v>
      </c>
      <c r="YZ3">
        <v>81178</v>
      </c>
      <c r="ZA3">
        <v>55625</v>
      </c>
      <c r="ZB3">
        <v>43815</v>
      </c>
      <c r="ZC3">
        <v>64340</v>
      </c>
      <c r="ZD3">
        <v>59138</v>
      </c>
      <c r="ZE3">
        <v>53750</v>
      </c>
      <c r="ZF3">
        <v>51071</v>
      </c>
      <c r="ZG3">
        <v>46500</v>
      </c>
      <c r="ZH3">
        <v>39131</v>
      </c>
      <c r="ZI3">
        <v>43324</v>
      </c>
      <c r="ZJ3">
        <v>71429</v>
      </c>
      <c r="ZK3">
        <v>41298</v>
      </c>
      <c r="ZL3">
        <v>40521</v>
      </c>
      <c r="ZM3">
        <v>91141</v>
      </c>
      <c r="ZN3">
        <v>44226</v>
      </c>
      <c r="ZQ3">
        <v>32902</v>
      </c>
      <c r="ZS3">
        <v>37210</v>
      </c>
      <c r="ZT3">
        <v>49179</v>
      </c>
      <c r="ZU3">
        <v>41400</v>
      </c>
      <c r="ZV3">
        <v>49107</v>
      </c>
      <c r="ZW3">
        <v>71667</v>
      </c>
      <c r="ZX3">
        <v>35324</v>
      </c>
      <c r="ZY3">
        <v>58297</v>
      </c>
      <c r="ZZ3">
        <v>43496</v>
      </c>
      <c r="AAA3">
        <v>31563</v>
      </c>
      <c r="AAB3">
        <v>78314</v>
      </c>
      <c r="AAC3">
        <v>54844</v>
      </c>
      <c r="AAE3">
        <v>46304</v>
      </c>
      <c r="AAF3">
        <v>41250</v>
      </c>
      <c r="AAG3">
        <v>43438</v>
      </c>
      <c r="AAH3">
        <v>67250</v>
      </c>
      <c r="AAI3">
        <v>33750</v>
      </c>
      <c r="AAJ3">
        <v>59310</v>
      </c>
      <c r="AAK3">
        <v>53750</v>
      </c>
      <c r="AAL3">
        <v>38485</v>
      </c>
      <c r="AAM3">
        <v>39564</v>
      </c>
      <c r="AAO3">
        <v>80682</v>
      </c>
      <c r="AAP3">
        <v>82620</v>
      </c>
      <c r="AAQ3">
        <v>84593</v>
      </c>
      <c r="AAR3">
        <v>83407</v>
      </c>
      <c r="AAS3">
        <v>47946</v>
      </c>
      <c r="AAT3">
        <v>44895</v>
      </c>
      <c r="AAU3">
        <v>57976</v>
      </c>
      <c r="AAV3">
        <v>42442</v>
      </c>
      <c r="AAW3">
        <v>80785</v>
      </c>
      <c r="AAX3">
        <v>50242</v>
      </c>
      <c r="AAY3">
        <v>57868</v>
      </c>
      <c r="AAZ3">
        <v>71216</v>
      </c>
      <c r="ABA3">
        <v>50450</v>
      </c>
      <c r="ABB3">
        <v>38639</v>
      </c>
      <c r="ABC3">
        <v>50605</v>
      </c>
      <c r="ABD3">
        <v>58371</v>
      </c>
      <c r="ABE3">
        <v>46042</v>
      </c>
      <c r="ABF3">
        <v>76120</v>
      </c>
      <c r="ABG3">
        <v>51775</v>
      </c>
      <c r="ABH3">
        <v>48877</v>
      </c>
      <c r="ABI3">
        <v>58375</v>
      </c>
      <c r="ABJ3">
        <v>62093</v>
      </c>
      <c r="ABK3">
        <v>49045</v>
      </c>
      <c r="ABL3">
        <v>79018</v>
      </c>
      <c r="ABM3">
        <v>44569</v>
      </c>
      <c r="ABN3">
        <v>48162</v>
      </c>
      <c r="ABO3">
        <v>47803</v>
      </c>
      <c r="ABP3">
        <v>58244</v>
      </c>
      <c r="ABQ3">
        <v>51793</v>
      </c>
      <c r="ABR3">
        <v>45646</v>
      </c>
      <c r="ABS3">
        <v>100761</v>
      </c>
      <c r="ABT3">
        <v>47256</v>
      </c>
      <c r="ABU3">
        <v>61026</v>
      </c>
      <c r="ABV3">
        <v>103547</v>
      </c>
      <c r="ABW3">
        <v>97237</v>
      </c>
      <c r="ABX3">
        <v>31375</v>
      </c>
      <c r="ABY3">
        <v>91290</v>
      </c>
      <c r="ABZ3">
        <v>49750</v>
      </c>
      <c r="ACB3">
        <v>36771</v>
      </c>
      <c r="ACC3">
        <v>51052</v>
      </c>
      <c r="ACD3">
        <v>114444</v>
      </c>
      <c r="ACF3">
        <v>65799</v>
      </c>
      <c r="ACG3">
        <v>72016</v>
      </c>
      <c r="ACH3">
        <v>32083</v>
      </c>
      <c r="ACI3">
        <v>35590</v>
      </c>
      <c r="ACJ3">
        <v>82617</v>
      </c>
      <c r="ACK3">
        <v>45170</v>
      </c>
      <c r="ACL3">
        <v>121433</v>
      </c>
      <c r="ACM3">
        <v>56667</v>
      </c>
      <c r="ACN3">
        <v>71579</v>
      </c>
      <c r="ACP3">
        <v>59142</v>
      </c>
      <c r="ACQ3">
        <v>48750</v>
      </c>
      <c r="ACR3">
        <v>47316</v>
      </c>
      <c r="ACS3">
        <v>29488</v>
      </c>
      <c r="ACT3">
        <v>65625</v>
      </c>
      <c r="ACU3">
        <v>72112</v>
      </c>
      <c r="ACV3">
        <v>41913</v>
      </c>
      <c r="ACW3">
        <v>52620</v>
      </c>
      <c r="ACX3">
        <v>69221</v>
      </c>
      <c r="ACY3">
        <v>58230</v>
      </c>
      <c r="ACZ3">
        <v>45385</v>
      </c>
      <c r="ADA3">
        <v>54018</v>
      </c>
      <c r="ADB3">
        <v>50841</v>
      </c>
      <c r="ADC3">
        <v>42654</v>
      </c>
      <c r="ADD3">
        <v>57875</v>
      </c>
      <c r="ADE3">
        <v>48404</v>
      </c>
      <c r="ADF3">
        <v>63885</v>
      </c>
      <c r="ADG3">
        <v>47500</v>
      </c>
      <c r="ADH3">
        <v>54976</v>
      </c>
      <c r="ADI3">
        <v>48653</v>
      </c>
      <c r="ADK3">
        <v>47434</v>
      </c>
      <c r="ADL3">
        <v>45887</v>
      </c>
      <c r="ADM3">
        <v>59365</v>
      </c>
      <c r="ADN3">
        <v>22090</v>
      </c>
      <c r="ADO3">
        <v>55871</v>
      </c>
      <c r="ADP3">
        <v>41181</v>
      </c>
      <c r="ADQ3">
        <v>48588</v>
      </c>
      <c r="ADR3">
        <v>38571</v>
      </c>
      <c r="ADS3">
        <v>45417</v>
      </c>
      <c r="ADT3">
        <v>40972</v>
      </c>
      <c r="ADV3">
        <v>41250</v>
      </c>
      <c r="ADW3">
        <v>46500</v>
      </c>
      <c r="ADX3">
        <v>42917</v>
      </c>
      <c r="ADY3">
        <v>47143</v>
      </c>
      <c r="ADZ3">
        <v>46351</v>
      </c>
      <c r="AEA3">
        <v>61167</v>
      </c>
      <c r="AEC3">
        <v>38897</v>
      </c>
      <c r="AED3">
        <v>52215</v>
      </c>
      <c r="AEE3">
        <v>62668</v>
      </c>
      <c r="AEF3">
        <v>120278</v>
      </c>
      <c r="AEG3">
        <v>108733</v>
      </c>
      <c r="AEH3">
        <v>137138</v>
      </c>
      <c r="AEI3">
        <v>86406</v>
      </c>
      <c r="AEJ3">
        <v>147647</v>
      </c>
      <c r="AEK3">
        <v>79635</v>
      </c>
      <c r="AEL3">
        <v>114181</v>
      </c>
      <c r="AEM3">
        <v>132917</v>
      </c>
      <c r="AEO3">
        <v>149821</v>
      </c>
      <c r="AEP3">
        <v>191944</v>
      </c>
      <c r="AEQ3">
        <v>129188</v>
      </c>
      <c r="AER3">
        <v>113068</v>
      </c>
      <c r="AES3">
        <v>103115</v>
      </c>
      <c r="AET3">
        <v>114848</v>
      </c>
      <c r="AEU3">
        <v>154188</v>
      </c>
      <c r="AEW3">
        <v>118938</v>
      </c>
      <c r="AEX3">
        <v>132386</v>
      </c>
      <c r="AEY3">
        <v>99638</v>
      </c>
      <c r="AEZ3">
        <v>161000</v>
      </c>
      <c r="AFA3">
        <v>53143</v>
      </c>
      <c r="AFB3">
        <v>160043</v>
      </c>
      <c r="AFC3">
        <v>90400</v>
      </c>
      <c r="AFD3">
        <v>227581</v>
      </c>
      <c r="AFE3">
        <v>204071</v>
      </c>
      <c r="AFF3">
        <v>117431</v>
      </c>
      <c r="AFG3">
        <v>159800</v>
      </c>
      <c r="AFH3">
        <v>149821</v>
      </c>
      <c r="AFI3">
        <v>153375</v>
      </c>
      <c r="AFJ3">
        <v>95560</v>
      </c>
      <c r="AFK3">
        <v>176591</v>
      </c>
      <c r="AFL3">
        <v>130008</v>
      </c>
      <c r="AFM3">
        <v>139688</v>
      </c>
      <c r="AFN3">
        <v>97923</v>
      </c>
      <c r="AFP3">
        <v>117776</v>
      </c>
      <c r="AFQ3">
        <v>97177</v>
      </c>
      <c r="AFR3">
        <v>117571</v>
      </c>
      <c r="AFU3">
        <v>84286</v>
      </c>
      <c r="AFV3">
        <v>82083</v>
      </c>
      <c r="AFX3">
        <v>70945</v>
      </c>
      <c r="AFY3">
        <v>126029</v>
      </c>
      <c r="AFZ3">
        <v>116439</v>
      </c>
      <c r="AGA3">
        <v>150916</v>
      </c>
      <c r="AGB3">
        <v>150956</v>
      </c>
      <c r="AGC3">
        <v>118288</v>
      </c>
      <c r="AGD3">
        <v>81125</v>
      </c>
      <c r="AGE3">
        <v>176938</v>
      </c>
      <c r="AGF3">
        <v>122059</v>
      </c>
      <c r="AGI3">
        <v>88902</v>
      </c>
      <c r="AGJ3">
        <v>174583</v>
      </c>
      <c r="AGK3">
        <v>129236</v>
      </c>
      <c r="AGL3">
        <v>120491</v>
      </c>
      <c r="AGM3">
        <v>148750</v>
      </c>
      <c r="AGN3">
        <v>118949</v>
      </c>
      <c r="AGO3">
        <v>81763</v>
      </c>
      <c r="AGP3">
        <v>106691</v>
      </c>
      <c r="AGQ3">
        <v>100061</v>
      </c>
      <c r="AGR3">
        <v>104093</v>
      </c>
      <c r="AGS3">
        <v>83457</v>
      </c>
      <c r="AGT3">
        <v>64406</v>
      </c>
      <c r="AGU3">
        <v>98517</v>
      </c>
      <c r="AGV3">
        <v>68452</v>
      </c>
      <c r="AGW3">
        <v>88612</v>
      </c>
      <c r="AGX3">
        <v>139962</v>
      </c>
      <c r="AGY3">
        <v>122683</v>
      </c>
      <c r="AGZ3">
        <v>162976</v>
      </c>
      <c r="AHA3">
        <v>167689</v>
      </c>
      <c r="AHB3">
        <v>85750</v>
      </c>
      <c r="AHC3">
        <v>129870</v>
      </c>
      <c r="AHD3">
        <v>109530</v>
      </c>
      <c r="AHE3">
        <v>135925</v>
      </c>
      <c r="AHF3">
        <v>132955</v>
      </c>
      <c r="AHG3">
        <v>123125</v>
      </c>
      <c r="AHH3">
        <v>159821</v>
      </c>
      <c r="AHI3">
        <v>84241</v>
      </c>
      <c r="AHJ3">
        <v>81359</v>
      </c>
      <c r="AHL3">
        <v>76332</v>
      </c>
      <c r="AHM3">
        <v>124838</v>
      </c>
      <c r="AHN3">
        <v>80649</v>
      </c>
      <c r="AHO3">
        <v>78391</v>
      </c>
      <c r="AHP3">
        <v>72931</v>
      </c>
      <c r="AHQ3">
        <v>82160</v>
      </c>
      <c r="AHR3">
        <v>122448</v>
      </c>
      <c r="AHS3">
        <v>173208</v>
      </c>
      <c r="AHT3">
        <v>102886</v>
      </c>
      <c r="AHW3">
        <v>91905</v>
      </c>
      <c r="AHX3">
        <v>119083</v>
      </c>
      <c r="AHY3">
        <v>111129</v>
      </c>
      <c r="AHZ3">
        <v>131023</v>
      </c>
      <c r="AIA3">
        <v>170117</v>
      </c>
      <c r="AIB3">
        <v>84125</v>
      </c>
      <c r="AID3">
        <v>135576</v>
      </c>
      <c r="AIE3">
        <v>128392</v>
      </c>
      <c r="AIF3">
        <v>122440</v>
      </c>
      <c r="AIG3">
        <v>218808</v>
      </c>
      <c r="AIH3">
        <v>177083</v>
      </c>
      <c r="AII3">
        <v>120924</v>
      </c>
      <c r="AIJ3">
        <v>91037</v>
      </c>
      <c r="AIK3">
        <v>88226</v>
      </c>
      <c r="AIL3">
        <v>87052</v>
      </c>
      <c r="AIM3">
        <v>84599</v>
      </c>
      <c r="AIN3">
        <v>83690</v>
      </c>
      <c r="AIO3">
        <v>105441</v>
      </c>
      <c r="AIP3">
        <v>195000</v>
      </c>
      <c r="AIQ3">
        <v>150401</v>
      </c>
      <c r="AIR3">
        <v>198243</v>
      </c>
      <c r="AIS3">
        <v>231284</v>
      </c>
      <c r="AIT3">
        <v>240104</v>
      </c>
      <c r="AIU3">
        <v>221392</v>
      </c>
      <c r="AIV3">
        <v>166892</v>
      </c>
      <c r="AIW3">
        <v>203631</v>
      </c>
      <c r="AIX3">
        <v>191927</v>
      </c>
      <c r="AIY3">
        <v>223571</v>
      </c>
      <c r="AIZ3">
        <v>101250</v>
      </c>
      <c r="AJA3">
        <v>184276</v>
      </c>
      <c r="AJB3">
        <v>166389</v>
      </c>
      <c r="AJC3">
        <v>122691</v>
      </c>
      <c r="AJD3">
        <v>113951</v>
      </c>
      <c r="AJE3">
        <v>121496</v>
      </c>
      <c r="AJF3">
        <v>157168</v>
      </c>
      <c r="AJH3">
        <v>147708</v>
      </c>
      <c r="AJJ3">
        <v>176094</v>
      </c>
      <c r="AJK3">
        <v>242721</v>
      </c>
      <c r="AJL3">
        <v>134682</v>
      </c>
      <c r="AJM3">
        <v>109554</v>
      </c>
      <c r="AJN3">
        <v>177120</v>
      </c>
      <c r="AJO3">
        <v>132804</v>
      </c>
      <c r="AJP3">
        <v>109648</v>
      </c>
      <c r="AJQ3">
        <v>113329</v>
      </c>
      <c r="AJR3">
        <v>86103</v>
      </c>
      <c r="AJS3">
        <v>142062</v>
      </c>
      <c r="AJT3">
        <v>105109</v>
      </c>
      <c r="AJU3">
        <v>160417</v>
      </c>
      <c r="AJV3">
        <v>186964</v>
      </c>
      <c r="AJW3">
        <v>98767</v>
      </c>
      <c r="AKA3">
        <v>169527</v>
      </c>
      <c r="AKC3">
        <v>23917</v>
      </c>
      <c r="AKD3">
        <v>127133</v>
      </c>
      <c r="AKE3">
        <v>111408</v>
      </c>
      <c r="AKF3">
        <v>77349</v>
      </c>
      <c r="AKG3">
        <v>93322</v>
      </c>
      <c r="AKH3">
        <v>155023</v>
      </c>
      <c r="AKI3">
        <v>92964</v>
      </c>
      <c r="AKJ3">
        <v>107994</v>
      </c>
      <c r="AKK3">
        <v>82097</v>
      </c>
      <c r="AKL3">
        <v>81778</v>
      </c>
      <c r="AKM3">
        <v>123264</v>
      </c>
      <c r="AKN3">
        <v>117017</v>
      </c>
      <c r="AKO3">
        <v>94097</v>
      </c>
      <c r="AKP3">
        <v>137544</v>
      </c>
      <c r="AKQ3">
        <v>170333</v>
      </c>
      <c r="AKR3">
        <v>113825</v>
      </c>
      <c r="AKS3">
        <v>137219</v>
      </c>
      <c r="AKT3">
        <v>100298</v>
      </c>
      <c r="AKU3">
        <v>81438</v>
      </c>
      <c r="AKV3">
        <v>133583</v>
      </c>
      <c r="AKX3">
        <v>97875</v>
      </c>
      <c r="AKZ3">
        <v>175234</v>
      </c>
      <c r="ALA3">
        <v>77063</v>
      </c>
      <c r="ALB3">
        <v>176597</v>
      </c>
      <c r="ALC3">
        <v>170313</v>
      </c>
      <c r="ALD3">
        <v>135541</v>
      </c>
      <c r="ALE3">
        <v>86925</v>
      </c>
      <c r="ALF3">
        <v>190504</v>
      </c>
      <c r="ALG3">
        <v>141846</v>
      </c>
      <c r="ALH3">
        <v>132924</v>
      </c>
      <c r="ALI3">
        <v>117323</v>
      </c>
      <c r="ALJ3">
        <v>126549</v>
      </c>
      <c r="ALK3">
        <v>154524</v>
      </c>
      <c r="ALL3">
        <v>122801</v>
      </c>
      <c r="ALM3">
        <v>123750</v>
      </c>
      <c r="ALN3">
        <v>189453</v>
      </c>
      <c r="ALO3">
        <v>117222</v>
      </c>
      <c r="ALP3">
        <v>100015</v>
      </c>
      <c r="ALQ3">
        <v>153976</v>
      </c>
      <c r="ALS3">
        <v>170417</v>
      </c>
      <c r="ALT3">
        <v>99739</v>
      </c>
      <c r="ALU3">
        <v>86081</v>
      </c>
      <c r="ALV3">
        <v>138456</v>
      </c>
      <c r="ALW3">
        <v>101462</v>
      </c>
      <c r="ALX3">
        <v>133321</v>
      </c>
      <c r="ALY3">
        <v>143409</v>
      </c>
      <c r="AMA3">
        <v>109451</v>
      </c>
      <c r="AMB3">
        <v>144426</v>
      </c>
      <c r="AMC3">
        <v>118098</v>
      </c>
      <c r="AMD3">
        <v>107975</v>
      </c>
      <c r="AME3">
        <v>124500</v>
      </c>
      <c r="AMF3">
        <v>124688</v>
      </c>
      <c r="AMG3">
        <v>121771</v>
      </c>
      <c r="AMH3">
        <v>119535</v>
      </c>
      <c r="AMI3">
        <v>199803</v>
      </c>
      <c r="AMK3">
        <v>146556</v>
      </c>
      <c r="AML3">
        <v>135781</v>
      </c>
      <c r="AMM3">
        <v>125081</v>
      </c>
      <c r="AMN3">
        <v>136250</v>
      </c>
      <c r="AMO3">
        <v>100934</v>
      </c>
      <c r="AMP3">
        <v>157275</v>
      </c>
      <c r="AMQ3">
        <v>121732</v>
      </c>
      <c r="AMR3">
        <v>123191</v>
      </c>
      <c r="AMT3">
        <v>187250</v>
      </c>
      <c r="AMU3">
        <v>150119</v>
      </c>
      <c r="AMV3">
        <v>84248</v>
      </c>
      <c r="AMW3">
        <v>106559</v>
      </c>
      <c r="AMX3">
        <v>152188</v>
      </c>
      <c r="AMY3">
        <v>132820</v>
      </c>
      <c r="AMZ3">
        <v>169835</v>
      </c>
      <c r="ANA3">
        <v>119833</v>
      </c>
      <c r="ANB3">
        <v>184643</v>
      </c>
      <c r="ANC3">
        <v>100583</v>
      </c>
      <c r="AND3">
        <v>124219</v>
      </c>
      <c r="ANE3">
        <v>124648</v>
      </c>
      <c r="ANF3">
        <v>102835</v>
      </c>
      <c r="ANG3">
        <v>108795</v>
      </c>
      <c r="ANH3">
        <v>102188</v>
      </c>
      <c r="ANI3">
        <v>99709</v>
      </c>
      <c r="ANJ3">
        <v>168021</v>
      </c>
      <c r="ANK3">
        <v>131154</v>
      </c>
      <c r="ANL3">
        <v>44722</v>
      </c>
      <c r="ANM3">
        <v>61578</v>
      </c>
      <c r="ANN3">
        <v>98452</v>
      </c>
      <c r="ANO3">
        <v>38723</v>
      </c>
      <c r="ANP3">
        <v>62965</v>
      </c>
      <c r="ANQ3">
        <v>64284</v>
      </c>
      <c r="ANR3">
        <v>90822</v>
      </c>
      <c r="ANS3">
        <v>87669</v>
      </c>
      <c r="ANT3">
        <v>108929</v>
      </c>
      <c r="ANU3">
        <v>81467</v>
      </c>
      <c r="ANV3">
        <v>96752</v>
      </c>
      <c r="ANW3">
        <v>50031</v>
      </c>
      <c r="ANX3">
        <v>82093</v>
      </c>
      <c r="ANY3">
        <v>47606</v>
      </c>
      <c r="ANZ3">
        <v>46440</v>
      </c>
      <c r="AOA3">
        <v>37207</v>
      </c>
      <c r="AOB3">
        <v>58378</v>
      </c>
      <c r="AOC3">
        <v>118500</v>
      </c>
      <c r="AOD3">
        <v>79676</v>
      </c>
      <c r="AOE3">
        <v>67368</v>
      </c>
      <c r="AOF3">
        <v>61934</v>
      </c>
      <c r="AOG3">
        <v>41828</v>
      </c>
      <c r="AOH3">
        <v>86209</v>
      </c>
      <c r="AOI3">
        <v>50069</v>
      </c>
      <c r="AOJ3">
        <v>79712</v>
      </c>
      <c r="AOK3">
        <v>83620</v>
      </c>
      <c r="AOL3">
        <v>107714</v>
      </c>
      <c r="AOM3">
        <v>55457</v>
      </c>
      <c r="AON3">
        <v>94164</v>
      </c>
      <c r="AOO3">
        <v>85382</v>
      </c>
      <c r="AOQ3">
        <v>83139</v>
      </c>
      <c r="AOR3">
        <v>92130</v>
      </c>
      <c r="AOS3">
        <v>90269</v>
      </c>
      <c r="AOT3">
        <v>64288</v>
      </c>
      <c r="AOV3">
        <v>84849</v>
      </c>
      <c r="APA3">
        <v>93093</v>
      </c>
      <c r="APC3">
        <v>119296</v>
      </c>
      <c r="APD3">
        <v>85893</v>
      </c>
      <c r="APE3">
        <v>115068</v>
      </c>
      <c r="APF3">
        <v>182614</v>
      </c>
      <c r="APG3">
        <v>146667</v>
      </c>
      <c r="APH3">
        <v>58721</v>
      </c>
      <c r="API3">
        <v>63631</v>
      </c>
      <c r="APJ3">
        <v>69758</v>
      </c>
      <c r="APK3">
        <v>70347</v>
      </c>
      <c r="APL3">
        <v>73661</v>
      </c>
      <c r="APM3">
        <v>34167</v>
      </c>
      <c r="APN3">
        <v>63904</v>
      </c>
      <c r="APO3">
        <v>53750</v>
      </c>
      <c r="APP3">
        <v>60158</v>
      </c>
      <c r="APQ3">
        <v>69677</v>
      </c>
      <c r="APR3">
        <v>83913</v>
      </c>
      <c r="APS3">
        <v>51667</v>
      </c>
      <c r="APT3">
        <v>73125</v>
      </c>
      <c r="APU3">
        <v>65347</v>
      </c>
      <c r="APX3">
        <v>59551</v>
      </c>
      <c r="APY3">
        <v>65302</v>
      </c>
      <c r="AQA3">
        <v>33646</v>
      </c>
      <c r="AQC3">
        <v>71964</v>
      </c>
      <c r="AQD3">
        <v>53056</v>
      </c>
      <c r="AQE3">
        <v>81837</v>
      </c>
      <c r="AQF3">
        <v>88702</v>
      </c>
      <c r="AQG3">
        <v>74375</v>
      </c>
      <c r="AQH3">
        <v>113438</v>
      </c>
      <c r="AQI3">
        <v>53171</v>
      </c>
      <c r="AQJ3">
        <v>117668</v>
      </c>
      <c r="AQK3">
        <v>100359</v>
      </c>
      <c r="AQL3">
        <v>76094</v>
      </c>
      <c r="AQM3">
        <v>69792</v>
      </c>
      <c r="AQN3">
        <v>77014</v>
      </c>
      <c r="AQP3">
        <v>93589</v>
      </c>
      <c r="AQR3">
        <v>81563</v>
      </c>
      <c r="AQS3">
        <v>96875</v>
      </c>
      <c r="AQT3">
        <v>70117</v>
      </c>
      <c r="AQU3">
        <v>69095</v>
      </c>
      <c r="AQV3">
        <v>59808</v>
      </c>
      <c r="AQW3">
        <v>58750</v>
      </c>
      <c r="AQX3">
        <v>97194</v>
      </c>
      <c r="AQY3">
        <v>66818</v>
      </c>
      <c r="AQZ3">
        <v>130804</v>
      </c>
      <c r="ARA3">
        <v>59274</v>
      </c>
      <c r="ARB3">
        <v>65952</v>
      </c>
      <c r="ARC3">
        <v>65417</v>
      </c>
      <c r="ARD3">
        <v>61708</v>
      </c>
      <c r="ARG3">
        <v>111111</v>
      </c>
      <c r="ARI3">
        <v>58464</v>
      </c>
      <c r="ARK3">
        <v>71983</v>
      </c>
      <c r="ARL3">
        <v>126174</v>
      </c>
      <c r="ARM3">
        <v>100917</v>
      </c>
      <c r="ARN3">
        <v>88512</v>
      </c>
      <c r="ARO3">
        <v>85608</v>
      </c>
      <c r="ARP3">
        <v>106588</v>
      </c>
      <c r="ARQ3">
        <v>132500</v>
      </c>
      <c r="ARR3">
        <v>68889</v>
      </c>
      <c r="ARS3">
        <v>76917</v>
      </c>
      <c r="ART3">
        <v>87778</v>
      </c>
      <c r="ARU3">
        <v>133125</v>
      </c>
      <c r="ARV3">
        <v>81932</v>
      </c>
      <c r="ARW3">
        <v>68333</v>
      </c>
      <c r="ARY3">
        <v>130426</v>
      </c>
      <c r="ARZ3">
        <v>61505</v>
      </c>
      <c r="ASA3">
        <v>80938</v>
      </c>
      <c r="ASB3">
        <v>104750</v>
      </c>
      <c r="ASC3">
        <v>64514</v>
      </c>
      <c r="ASD3">
        <v>80385</v>
      </c>
      <c r="ASE3">
        <v>72500</v>
      </c>
      <c r="ASF3">
        <v>23958</v>
      </c>
      <c r="ASG3">
        <v>112862</v>
      </c>
      <c r="ASH3">
        <v>112578</v>
      </c>
      <c r="ASI3">
        <v>70167</v>
      </c>
      <c r="ASJ3">
        <v>116908</v>
      </c>
      <c r="ASK3">
        <v>102306</v>
      </c>
      <c r="ASL3">
        <v>104659</v>
      </c>
      <c r="ASM3">
        <v>105293</v>
      </c>
      <c r="ASN3">
        <v>164457</v>
      </c>
      <c r="ASP3">
        <v>164727</v>
      </c>
      <c r="ASQ3">
        <v>91083</v>
      </c>
      <c r="ASR3">
        <v>101585</v>
      </c>
      <c r="ASS3">
        <v>208750</v>
      </c>
      <c r="ASU3">
        <v>107188</v>
      </c>
      <c r="ASV3">
        <v>153030</v>
      </c>
      <c r="ASW3">
        <v>102917</v>
      </c>
      <c r="ASX3">
        <v>75278</v>
      </c>
      <c r="ASY3">
        <v>86341</v>
      </c>
      <c r="ATA3">
        <v>92697</v>
      </c>
      <c r="ATB3">
        <v>106667</v>
      </c>
      <c r="ATC3">
        <v>58438</v>
      </c>
      <c r="ATE3">
        <v>230429</v>
      </c>
      <c r="ATF3">
        <v>59410</v>
      </c>
      <c r="ATG3">
        <v>80533</v>
      </c>
      <c r="ATI3">
        <v>54188</v>
      </c>
      <c r="ATJ3">
        <v>179797</v>
      </c>
      <c r="ATK3">
        <v>134677</v>
      </c>
      <c r="ATL3">
        <v>91836</v>
      </c>
      <c r="ATM3">
        <v>98520</v>
      </c>
      <c r="ATN3">
        <v>110694</v>
      </c>
      <c r="ATP3">
        <v>54821</v>
      </c>
      <c r="ATQ3">
        <v>44960</v>
      </c>
      <c r="ATR3">
        <v>148821</v>
      </c>
      <c r="ATS3">
        <v>184464</v>
      </c>
      <c r="ATT3">
        <v>154844</v>
      </c>
      <c r="ATU3">
        <v>152839</v>
      </c>
      <c r="ATV3">
        <v>171875</v>
      </c>
      <c r="ATW3">
        <v>111923</v>
      </c>
      <c r="ATX3">
        <v>136827</v>
      </c>
      <c r="ATY3">
        <v>110489</v>
      </c>
      <c r="ATZ3">
        <v>80743</v>
      </c>
      <c r="AUA3">
        <v>64602</v>
      </c>
      <c r="AUC3">
        <v>89375</v>
      </c>
      <c r="AUD3">
        <v>96055</v>
      </c>
      <c r="AUE3">
        <v>141228</v>
      </c>
      <c r="AUF3">
        <v>88212</v>
      </c>
      <c r="AUG3">
        <v>93717</v>
      </c>
      <c r="AUI3">
        <v>90460</v>
      </c>
      <c r="AUJ3">
        <v>128504</v>
      </c>
      <c r="AUK3">
        <v>223833</v>
      </c>
      <c r="AUL3">
        <v>83542</v>
      </c>
      <c r="AUM3">
        <v>185435</v>
      </c>
      <c r="AUN3">
        <v>125583</v>
      </c>
      <c r="AUO3">
        <v>67140</v>
      </c>
      <c r="AUP3">
        <v>68882</v>
      </c>
      <c r="AUQ3">
        <v>133201</v>
      </c>
      <c r="AUR3">
        <v>91293</v>
      </c>
      <c r="AUS3">
        <v>102332</v>
      </c>
      <c r="AUU3">
        <v>53139</v>
      </c>
      <c r="AUV3">
        <v>51500</v>
      </c>
      <c r="AUW3">
        <v>51500</v>
      </c>
      <c r="AUX3">
        <v>87938</v>
      </c>
      <c r="AUY3">
        <v>63472</v>
      </c>
      <c r="AUZ3">
        <v>155676</v>
      </c>
      <c r="AVA3">
        <v>110015</v>
      </c>
      <c r="AVB3">
        <v>50380</v>
      </c>
      <c r="AVC3">
        <v>71667</v>
      </c>
      <c r="AVD3">
        <v>85577</v>
      </c>
      <c r="AVE3">
        <v>120324</v>
      </c>
      <c r="AVF3">
        <v>78036</v>
      </c>
      <c r="AVG3">
        <v>75372</v>
      </c>
      <c r="AVH3">
        <v>74966</v>
      </c>
      <c r="AVI3">
        <v>76667</v>
      </c>
      <c r="AVJ3">
        <v>50847</v>
      </c>
      <c r="AVK3">
        <v>51710</v>
      </c>
      <c r="AVL3">
        <v>77946</v>
      </c>
      <c r="AVM3">
        <v>85714</v>
      </c>
      <c r="AVO3">
        <v>71250</v>
      </c>
      <c r="AVP3">
        <v>87717</v>
      </c>
      <c r="AVQ3">
        <v>80398</v>
      </c>
      <c r="AVR3">
        <v>81420</v>
      </c>
      <c r="AVT3">
        <v>66484</v>
      </c>
      <c r="AVU3">
        <v>52064</v>
      </c>
      <c r="AVV3">
        <v>114625</v>
      </c>
      <c r="AVW3">
        <v>74545</v>
      </c>
      <c r="AVX3">
        <v>76007</v>
      </c>
      <c r="AVZ3">
        <v>113107</v>
      </c>
      <c r="AWB3">
        <v>77500</v>
      </c>
      <c r="AWC3">
        <v>84375</v>
      </c>
      <c r="AWD3">
        <v>100401</v>
      </c>
      <c r="AWE3">
        <v>65074</v>
      </c>
      <c r="AWF3">
        <v>95795</v>
      </c>
      <c r="AWG3">
        <v>57167</v>
      </c>
      <c r="AWH3">
        <v>97794</v>
      </c>
      <c r="AWI3">
        <v>104583</v>
      </c>
      <c r="AWJ3">
        <v>81026</v>
      </c>
      <c r="AWK3">
        <v>115152</v>
      </c>
      <c r="AWL3">
        <v>119156</v>
      </c>
      <c r="AWM3">
        <v>84608</v>
      </c>
      <c r="AWO3">
        <v>94477</v>
      </c>
      <c r="AWP3">
        <v>85911</v>
      </c>
      <c r="AWQ3">
        <v>83300</v>
      </c>
      <c r="AWR3">
        <v>66861</v>
      </c>
      <c r="AWS3">
        <v>94082</v>
      </c>
      <c r="AWT3">
        <v>67443</v>
      </c>
      <c r="AWU3">
        <v>47417</v>
      </c>
      <c r="AWV3">
        <v>54920</v>
      </c>
      <c r="AWW3">
        <v>57087</v>
      </c>
      <c r="AWX3">
        <v>66725</v>
      </c>
      <c r="AWY3">
        <v>54609</v>
      </c>
      <c r="AWZ3">
        <v>47590</v>
      </c>
      <c r="AXA3">
        <v>61736</v>
      </c>
      <c r="AXB3">
        <v>41645</v>
      </c>
      <c r="AXC3">
        <v>88418</v>
      </c>
      <c r="AXD3">
        <v>61395</v>
      </c>
      <c r="AXE3">
        <v>53075</v>
      </c>
      <c r="AXF3">
        <v>45865</v>
      </c>
      <c r="AXG3">
        <v>66166</v>
      </c>
      <c r="AXH3">
        <v>47213</v>
      </c>
      <c r="AXI3">
        <v>92365</v>
      </c>
      <c r="AXJ3">
        <v>68328</v>
      </c>
      <c r="AXK3">
        <v>104038</v>
      </c>
      <c r="AXL3">
        <v>75513</v>
      </c>
      <c r="AXM3">
        <v>70345</v>
      </c>
      <c r="AXN3">
        <v>49632</v>
      </c>
      <c r="AXO3">
        <v>79702</v>
      </c>
      <c r="AXP3">
        <v>59324</v>
      </c>
      <c r="AXQ3">
        <v>85820</v>
      </c>
      <c r="AXR3">
        <v>70825</v>
      </c>
      <c r="AXS3">
        <v>57913</v>
      </c>
      <c r="AXT3">
        <v>66875</v>
      </c>
      <c r="AXU3">
        <v>89795</v>
      </c>
      <c r="AXV3">
        <v>63770</v>
      </c>
      <c r="AXW3">
        <v>44611</v>
      </c>
      <c r="AXX3">
        <v>66582</v>
      </c>
      <c r="AXY3">
        <v>77056</v>
      </c>
      <c r="AXZ3">
        <v>41580</v>
      </c>
      <c r="AYA3">
        <v>66091</v>
      </c>
      <c r="AYB3">
        <v>59897</v>
      </c>
      <c r="AYE3">
        <v>63822</v>
      </c>
      <c r="AYF3">
        <v>55179</v>
      </c>
      <c r="AYH3">
        <v>47506</v>
      </c>
      <c r="AYI3">
        <v>63577</v>
      </c>
      <c r="AYJ3">
        <v>68240</v>
      </c>
      <c r="AYK3">
        <v>60333</v>
      </c>
      <c r="AYL3">
        <v>43795</v>
      </c>
      <c r="AYM3">
        <v>80741</v>
      </c>
      <c r="AYO3">
        <v>78482</v>
      </c>
      <c r="AYP3">
        <v>66669</v>
      </c>
      <c r="AYQ3">
        <v>50770</v>
      </c>
      <c r="AYR3">
        <v>47891</v>
      </c>
      <c r="AYS3">
        <v>57159</v>
      </c>
      <c r="AYT3">
        <v>71446</v>
      </c>
      <c r="AYU3">
        <v>101440</v>
      </c>
      <c r="AYV3">
        <v>61098</v>
      </c>
      <c r="AYW3">
        <v>38431</v>
      </c>
      <c r="AYX3">
        <v>88681</v>
      </c>
      <c r="AYY3">
        <v>70982</v>
      </c>
      <c r="AZA3">
        <v>61667</v>
      </c>
      <c r="AZB3">
        <v>81250</v>
      </c>
      <c r="AZC3">
        <v>37934</v>
      </c>
      <c r="AZD3">
        <v>62020</v>
      </c>
      <c r="AZF3">
        <v>71875</v>
      </c>
      <c r="AZH3">
        <v>41817</v>
      </c>
      <c r="AZI3">
        <v>64395</v>
      </c>
      <c r="AZJ3">
        <v>52637</v>
      </c>
      <c r="AZK3">
        <v>70929</v>
      </c>
      <c r="AZM3">
        <v>101821</v>
      </c>
      <c r="AZN3">
        <v>71021</v>
      </c>
      <c r="AZO3">
        <v>86270</v>
      </c>
      <c r="AZP3">
        <v>77140</v>
      </c>
      <c r="AZQ3">
        <v>80739</v>
      </c>
      <c r="AZR3">
        <v>53081</v>
      </c>
      <c r="AZS3">
        <v>87500</v>
      </c>
      <c r="AZT3">
        <v>54468</v>
      </c>
      <c r="AZU3">
        <v>65446</v>
      </c>
      <c r="AZV3">
        <v>61488</v>
      </c>
      <c r="AZW3">
        <v>75433</v>
      </c>
      <c r="AZX3">
        <v>82116</v>
      </c>
      <c r="AZY3">
        <v>81875</v>
      </c>
      <c r="AZZ3">
        <v>53750</v>
      </c>
      <c r="BAA3">
        <v>57202</v>
      </c>
      <c r="BAB3">
        <v>149743</v>
      </c>
      <c r="BAC3">
        <v>35473</v>
      </c>
      <c r="BAD3">
        <v>100505</v>
      </c>
      <c r="BAE3">
        <v>77929</v>
      </c>
      <c r="BAG3">
        <v>66166</v>
      </c>
      <c r="BAH3">
        <v>52699</v>
      </c>
      <c r="BAI3">
        <v>57266</v>
      </c>
      <c r="BAJ3">
        <v>55491</v>
      </c>
      <c r="BAK3">
        <v>50941</v>
      </c>
      <c r="BAL3">
        <v>66035</v>
      </c>
      <c r="BAM3">
        <v>60726</v>
      </c>
      <c r="BAN3">
        <v>73075</v>
      </c>
      <c r="BAP3">
        <v>55938</v>
      </c>
      <c r="BAQ3">
        <v>113750</v>
      </c>
      <c r="BAR3">
        <v>97104</v>
      </c>
      <c r="BAS3">
        <v>62493</v>
      </c>
      <c r="BAT3">
        <v>69375</v>
      </c>
      <c r="BAU3">
        <v>66612</v>
      </c>
      <c r="BAW3">
        <v>43409</v>
      </c>
      <c r="BAX3">
        <v>58156</v>
      </c>
      <c r="BAY3">
        <v>78779</v>
      </c>
      <c r="BAZ3">
        <v>128843</v>
      </c>
      <c r="BBA3">
        <v>60898</v>
      </c>
      <c r="BBB3">
        <v>70893</v>
      </c>
      <c r="BBC3">
        <v>62392</v>
      </c>
      <c r="BBE3">
        <v>74891</v>
      </c>
      <c r="BBF3">
        <v>78517</v>
      </c>
      <c r="BBG3">
        <v>41361</v>
      </c>
      <c r="BBH3">
        <v>44524</v>
      </c>
      <c r="BBI3">
        <v>56722</v>
      </c>
      <c r="BBJ3">
        <v>46498</v>
      </c>
      <c r="BBK3">
        <v>56748</v>
      </c>
      <c r="BBL3">
        <v>59308</v>
      </c>
      <c r="BBM3">
        <v>89524</v>
      </c>
      <c r="BBN3">
        <v>57862</v>
      </c>
      <c r="BBO3">
        <v>84225</v>
      </c>
      <c r="BBR3">
        <v>93841</v>
      </c>
      <c r="BBS3">
        <v>71217</v>
      </c>
      <c r="BBT3">
        <v>137088</v>
      </c>
      <c r="BBU3">
        <v>107173</v>
      </c>
      <c r="BBV3">
        <v>68376</v>
      </c>
      <c r="BBW3">
        <v>77629</v>
      </c>
      <c r="BBY3">
        <v>110952</v>
      </c>
      <c r="BBZ3">
        <v>50750</v>
      </c>
      <c r="BCA3">
        <v>70886</v>
      </c>
      <c r="BCB3">
        <v>62737</v>
      </c>
      <c r="BCC3">
        <v>104072</v>
      </c>
      <c r="BCD3">
        <v>119458</v>
      </c>
      <c r="BCE3">
        <v>94167</v>
      </c>
      <c r="BCF3">
        <v>100788</v>
      </c>
      <c r="BCG3">
        <v>124821</v>
      </c>
      <c r="BCH3">
        <v>121242</v>
      </c>
      <c r="BCI3">
        <v>159414</v>
      </c>
      <c r="BCJ3">
        <v>84545</v>
      </c>
      <c r="BCK3">
        <v>57540</v>
      </c>
      <c r="BCL3">
        <v>74722</v>
      </c>
      <c r="BCM3">
        <v>122401</v>
      </c>
      <c r="BCN3">
        <v>76141</v>
      </c>
      <c r="BCO3">
        <v>68847</v>
      </c>
      <c r="BCP3">
        <v>105055</v>
      </c>
      <c r="BCQ3">
        <v>111011</v>
      </c>
      <c r="BCR3">
        <v>86426</v>
      </c>
      <c r="BCS3">
        <v>55507</v>
      </c>
      <c r="BCV3">
        <v>59950</v>
      </c>
      <c r="BCW3">
        <v>39491</v>
      </c>
      <c r="BCX3">
        <v>52345</v>
      </c>
      <c r="BCY3">
        <v>140121</v>
      </c>
      <c r="BCZ3">
        <v>125681</v>
      </c>
      <c r="BDA3">
        <v>74561</v>
      </c>
      <c r="BDB3">
        <v>56157</v>
      </c>
      <c r="BDC3">
        <v>63393</v>
      </c>
      <c r="BDD3">
        <v>85400</v>
      </c>
      <c r="BDE3">
        <v>61781</v>
      </c>
      <c r="BDF3">
        <v>63534</v>
      </c>
      <c r="BDG3">
        <v>77778</v>
      </c>
      <c r="BDH3">
        <v>27462</v>
      </c>
      <c r="BDI3">
        <v>51094</v>
      </c>
      <c r="BDK3">
        <v>65833</v>
      </c>
      <c r="BDL3">
        <v>63750</v>
      </c>
      <c r="BDM3">
        <v>117340</v>
      </c>
      <c r="BDN3">
        <v>168804</v>
      </c>
      <c r="BDO3">
        <v>39732</v>
      </c>
      <c r="BDP3">
        <v>59406</v>
      </c>
      <c r="BDQ3">
        <v>72639</v>
      </c>
      <c r="BDR3">
        <v>73507</v>
      </c>
      <c r="BDT3">
        <v>129340</v>
      </c>
      <c r="BDU3">
        <v>96128</v>
      </c>
      <c r="BDV3">
        <v>44234</v>
      </c>
      <c r="BDW3">
        <v>65378</v>
      </c>
      <c r="BDX3">
        <v>62044</v>
      </c>
      <c r="BDY3">
        <v>56237</v>
      </c>
      <c r="BDZ3">
        <v>68235</v>
      </c>
      <c r="BEA3">
        <v>48958</v>
      </c>
      <c r="BEB3">
        <v>76659</v>
      </c>
      <c r="BED3">
        <v>125607</v>
      </c>
      <c r="BEE3">
        <v>43878</v>
      </c>
      <c r="BEF3">
        <v>76710</v>
      </c>
      <c r="BEG3">
        <v>94564</v>
      </c>
      <c r="BEJ3">
        <v>90189</v>
      </c>
      <c r="BEK3">
        <v>81862</v>
      </c>
      <c r="BEM3">
        <v>70433</v>
      </c>
      <c r="BEN3">
        <v>87939</v>
      </c>
      <c r="BEO3">
        <v>72793</v>
      </c>
      <c r="BEP3">
        <v>63267</v>
      </c>
      <c r="BEQ3">
        <v>75640</v>
      </c>
      <c r="BER3">
        <v>95216</v>
      </c>
      <c r="BES3">
        <v>155433</v>
      </c>
      <c r="BET3">
        <v>81538</v>
      </c>
      <c r="BEU3">
        <v>66245</v>
      </c>
      <c r="BEV3">
        <v>95565</v>
      </c>
      <c r="BEW3">
        <v>119362</v>
      </c>
      <c r="BEX3">
        <v>122258</v>
      </c>
      <c r="BEY3">
        <v>107051</v>
      </c>
      <c r="BEZ3">
        <v>81534</v>
      </c>
      <c r="BFA3">
        <v>109991</v>
      </c>
      <c r="BFD3">
        <v>66852</v>
      </c>
      <c r="BFE3">
        <v>86953</v>
      </c>
      <c r="BFF3">
        <v>62435</v>
      </c>
      <c r="BFG3">
        <v>71153</v>
      </c>
      <c r="BFH3">
        <v>72432</v>
      </c>
      <c r="BFK3">
        <v>91190</v>
      </c>
      <c r="BFL3">
        <v>96900</v>
      </c>
      <c r="BFM3">
        <v>41696</v>
      </c>
      <c r="BFN3">
        <v>59647</v>
      </c>
      <c r="BFO3">
        <v>58837</v>
      </c>
      <c r="BFP3">
        <v>52040</v>
      </c>
      <c r="BFQ3">
        <v>44306</v>
      </c>
      <c r="BFR3">
        <v>67563</v>
      </c>
      <c r="BFS3">
        <v>86644</v>
      </c>
      <c r="BFT3">
        <v>71512</v>
      </c>
      <c r="BFU3">
        <v>47171</v>
      </c>
      <c r="BFV3">
        <v>51265</v>
      </c>
      <c r="BFW3">
        <v>47337</v>
      </c>
      <c r="BFX3">
        <v>76857</v>
      </c>
      <c r="BFZ3">
        <v>31806</v>
      </c>
      <c r="BGA3">
        <v>69902</v>
      </c>
      <c r="BGB3">
        <v>55185</v>
      </c>
      <c r="BGC3">
        <v>38955</v>
      </c>
      <c r="BGD3">
        <v>53625</v>
      </c>
      <c r="BGE3">
        <v>91458</v>
      </c>
      <c r="BGF3">
        <v>61189</v>
      </c>
      <c r="BGG3">
        <v>33549</v>
      </c>
      <c r="BGH3">
        <v>45255</v>
      </c>
      <c r="BGI3">
        <v>43194</v>
      </c>
      <c r="BGJ3">
        <v>42885</v>
      </c>
      <c r="BGK3">
        <v>93542</v>
      </c>
      <c r="BGL3">
        <v>53523</v>
      </c>
      <c r="BGM3">
        <v>58385</v>
      </c>
      <c r="BGN3">
        <v>51115</v>
      </c>
      <c r="BGO3">
        <v>34262</v>
      </c>
      <c r="BGP3">
        <v>47096</v>
      </c>
      <c r="BGQ3">
        <v>48081</v>
      </c>
      <c r="BGR3">
        <v>77768</v>
      </c>
      <c r="BGS3">
        <v>51818</v>
      </c>
      <c r="BGT3">
        <v>24596</v>
      </c>
      <c r="BGU3">
        <v>21058</v>
      </c>
      <c r="BGV3">
        <v>87500</v>
      </c>
      <c r="BGW3">
        <v>56726</v>
      </c>
      <c r="BGX3">
        <v>38058</v>
      </c>
      <c r="BGY3">
        <v>49021</v>
      </c>
      <c r="BGZ3">
        <v>44511</v>
      </c>
      <c r="BHA3">
        <v>32986</v>
      </c>
      <c r="BHB3">
        <v>45855</v>
      </c>
      <c r="BHC3">
        <v>65651</v>
      </c>
      <c r="BHD3">
        <v>61556</v>
      </c>
      <c r="BHE3">
        <v>58864</v>
      </c>
      <c r="BHF3">
        <v>49423</v>
      </c>
      <c r="BHG3">
        <v>47500</v>
      </c>
      <c r="BHH3">
        <v>66147</v>
      </c>
      <c r="BHI3">
        <v>60158</v>
      </c>
      <c r="BHJ3">
        <v>60915</v>
      </c>
      <c r="BHK3">
        <v>58750</v>
      </c>
      <c r="BHL3">
        <v>21719</v>
      </c>
      <c r="BHM3">
        <v>70691</v>
      </c>
      <c r="BHN3">
        <v>78063</v>
      </c>
      <c r="BHO3">
        <v>54764</v>
      </c>
      <c r="BHP3">
        <v>74315</v>
      </c>
      <c r="BHQ3">
        <v>86429</v>
      </c>
      <c r="BHR3">
        <v>41819</v>
      </c>
      <c r="BHS3">
        <v>48994</v>
      </c>
      <c r="BHT3">
        <v>55067</v>
      </c>
      <c r="BHU3">
        <v>38375</v>
      </c>
      <c r="BHV3">
        <v>22500</v>
      </c>
      <c r="BHW3">
        <v>37500</v>
      </c>
      <c r="BHX3">
        <v>19796</v>
      </c>
      <c r="BHY3">
        <v>48696</v>
      </c>
      <c r="BIA3">
        <v>37801</v>
      </c>
      <c r="BIB3">
        <v>36875</v>
      </c>
      <c r="BIC3">
        <v>76903</v>
      </c>
      <c r="BIE3">
        <v>55972</v>
      </c>
      <c r="BIF3">
        <v>56380</v>
      </c>
      <c r="BIG3">
        <v>62017</v>
      </c>
      <c r="BIH3">
        <v>58448</v>
      </c>
      <c r="BII3">
        <v>51180</v>
      </c>
      <c r="BIJ3">
        <v>42734</v>
      </c>
      <c r="BIK3">
        <v>52694</v>
      </c>
      <c r="BIL3">
        <v>31544</v>
      </c>
      <c r="BIM3">
        <v>65806</v>
      </c>
      <c r="BIN3">
        <v>46892</v>
      </c>
      <c r="BIO3">
        <v>40180</v>
      </c>
      <c r="BIP3">
        <v>67893</v>
      </c>
      <c r="BIQ3">
        <v>50863</v>
      </c>
      <c r="BIR3">
        <v>64039</v>
      </c>
      <c r="BIS3">
        <v>43950</v>
      </c>
      <c r="BIU3">
        <v>76341</v>
      </c>
      <c r="BIW3">
        <v>59070</v>
      </c>
      <c r="BIX3">
        <v>67054</v>
      </c>
      <c r="BIY3">
        <v>80727</v>
      </c>
      <c r="BIZ3">
        <v>36719</v>
      </c>
      <c r="BJA3">
        <v>68750</v>
      </c>
      <c r="BJB3">
        <v>57365</v>
      </c>
      <c r="BJC3">
        <v>41607</v>
      </c>
      <c r="BJD3">
        <v>57941</v>
      </c>
      <c r="BJE3">
        <v>104808</v>
      </c>
      <c r="BJF3">
        <v>61231</v>
      </c>
      <c r="BJG3">
        <v>122558</v>
      </c>
      <c r="BJH3">
        <v>54962</v>
      </c>
      <c r="BJI3">
        <v>83088</v>
      </c>
      <c r="BJJ3">
        <v>43162</v>
      </c>
      <c r="BJK3">
        <v>66250</v>
      </c>
      <c r="BJL3">
        <v>49757</v>
      </c>
      <c r="BJM3">
        <v>63188</v>
      </c>
      <c r="BJN3">
        <v>32188</v>
      </c>
      <c r="BJO3">
        <v>42778</v>
      </c>
      <c r="BJP3">
        <v>48980</v>
      </c>
      <c r="BJQ3">
        <v>61911</v>
      </c>
      <c r="BJR3">
        <v>74485</v>
      </c>
      <c r="BJS3">
        <v>94145</v>
      </c>
      <c r="BJT3">
        <v>85319</v>
      </c>
      <c r="BJU3">
        <v>109443</v>
      </c>
      <c r="BJV3">
        <v>83125</v>
      </c>
      <c r="BJW3">
        <v>27489</v>
      </c>
      <c r="BJX3">
        <v>78291</v>
      </c>
      <c r="BJY3">
        <v>93594</v>
      </c>
      <c r="BJZ3">
        <v>37279</v>
      </c>
      <c r="BKA3">
        <v>109634</v>
      </c>
      <c r="BKB3">
        <v>87619</v>
      </c>
      <c r="BKD3">
        <v>42342</v>
      </c>
      <c r="BKE3">
        <v>70380</v>
      </c>
      <c r="BKF3">
        <v>61864</v>
      </c>
      <c r="BKG3">
        <v>84338</v>
      </c>
      <c r="BKH3">
        <v>24617</v>
      </c>
      <c r="BKI3">
        <v>34066</v>
      </c>
      <c r="BKK3">
        <v>30556</v>
      </c>
      <c r="BKL3">
        <v>64405</v>
      </c>
      <c r="BKM3">
        <v>85086</v>
      </c>
      <c r="BKN3">
        <v>78396</v>
      </c>
      <c r="BKO3">
        <v>96835</v>
      </c>
      <c r="BKP3">
        <v>49625</v>
      </c>
      <c r="BKQ3">
        <v>54293</v>
      </c>
      <c r="BKR3">
        <v>73316</v>
      </c>
      <c r="BKS3">
        <v>73542</v>
      </c>
      <c r="BKU3">
        <v>44228</v>
      </c>
      <c r="BKV3">
        <v>60114</v>
      </c>
      <c r="BKW3">
        <v>48235</v>
      </c>
      <c r="BKX3">
        <v>55610</v>
      </c>
      <c r="BKY3">
        <v>50117</v>
      </c>
      <c r="BKZ3">
        <v>52422</v>
      </c>
      <c r="BLA3">
        <v>43068</v>
      </c>
      <c r="BLB3">
        <v>81057</v>
      </c>
      <c r="BLC3">
        <v>52058</v>
      </c>
      <c r="BLE3">
        <v>54432</v>
      </c>
      <c r="BLG3">
        <v>61750</v>
      </c>
      <c r="BLH3">
        <v>57652</v>
      </c>
      <c r="BLI3">
        <v>62064</v>
      </c>
      <c r="BLK3">
        <v>79271</v>
      </c>
      <c r="BLL3">
        <v>89101</v>
      </c>
      <c r="BLM3">
        <v>115746</v>
      </c>
      <c r="BLN3">
        <v>74085</v>
      </c>
      <c r="BLO3">
        <v>68643</v>
      </c>
      <c r="BLP3">
        <v>59969</v>
      </c>
      <c r="BLQ3">
        <v>144920</v>
      </c>
      <c r="BLR3">
        <v>109779</v>
      </c>
      <c r="BLT3">
        <v>57989</v>
      </c>
      <c r="BLW3">
        <v>41746</v>
      </c>
      <c r="BLX3">
        <v>46015</v>
      </c>
      <c r="BLY3">
        <v>59524</v>
      </c>
      <c r="BLZ3">
        <v>90422</v>
      </c>
      <c r="BMA3">
        <v>82286</v>
      </c>
      <c r="BMB3">
        <v>56814</v>
      </c>
      <c r="BMC3">
        <v>55466</v>
      </c>
      <c r="BME3">
        <v>140739</v>
      </c>
      <c r="BMG3">
        <v>30882</v>
      </c>
      <c r="BMH3">
        <v>120503</v>
      </c>
      <c r="BMI3">
        <v>97602</v>
      </c>
      <c r="BMJ3">
        <v>76054</v>
      </c>
      <c r="BMK3">
        <v>69167</v>
      </c>
      <c r="BML3">
        <v>60563</v>
      </c>
      <c r="BMM3">
        <v>56079</v>
      </c>
      <c r="BMN3">
        <v>56958</v>
      </c>
      <c r="BMO3">
        <v>76250</v>
      </c>
      <c r="BMP3">
        <v>52224</v>
      </c>
      <c r="BMQ3">
        <v>54333</v>
      </c>
      <c r="BMR3">
        <v>62625</v>
      </c>
      <c r="BMS3">
        <v>77600</v>
      </c>
      <c r="BMT3">
        <v>51879</v>
      </c>
      <c r="BMU3">
        <v>124063</v>
      </c>
      <c r="BMW3">
        <v>75000</v>
      </c>
      <c r="BMX3">
        <v>129775</v>
      </c>
      <c r="BMY3">
        <v>104242</v>
      </c>
      <c r="BMZ3">
        <v>96632</v>
      </c>
      <c r="BNB3">
        <v>28771</v>
      </c>
      <c r="BNC3">
        <v>81221</v>
      </c>
      <c r="BND3">
        <v>74853</v>
      </c>
      <c r="BNE3">
        <v>60439</v>
      </c>
      <c r="BNF3">
        <v>86724</v>
      </c>
      <c r="BNG3">
        <v>109310</v>
      </c>
      <c r="BNH3">
        <v>38444</v>
      </c>
      <c r="BNI3">
        <v>74809</v>
      </c>
      <c r="BNJ3">
        <v>76600</v>
      </c>
      <c r="BNK3">
        <v>83894</v>
      </c>
      <c r="BNL3">
        <v>78382</v>
      </c>
      <c r="BNM3">
        <v>59941</v>
      </c>
      <c r="BNN3">
        <v>73712</v>
      </c>
      <c r="BNO3">
        <v>55675</v>
      </c>
      <c r="BNP3">
        <v>82947</v>
      </c>
      <c r="BNQ3">
        <v>65313</v>
      </c>
      <c r="BNR3">
        <v>78125</v>
      </c>
      <c r="BNS3">
        <v>71875</v>
      </c>
      <c r="BNT3">
        <v>64032</v>
      </c>
      <c r="BNU3">
        <v>52148</v>
      </c>
      <c r="BNV3">
        <v>51432</v>
      </c>
      <c r="BNW3">
        <v>67053</v>
      </c>
      <c r="BNX3">
        <v>59770</v>
      </c>
      <c r="BNY3">
        <v>53027</v>
      </c>
      <c r="BNZ3">
        <v>55926</v>
      </c>
      <c r="BOA3">
        <v>63396</v>
      </c>
      <c r="BOB3">
        <v>38625</v>
      </c>
      <c r="BOC3">
        <v>75483</v>
      </c>
      <c r="BOD3">
        <v>82661</v>
      </c>
      <c r="BOE3">
        <v>85107</v>
      </c>
      <c r="BOF3">
        <v>42419</v>
      </c>
      <c r="BOG3">
        <v>63396</v>
      </c>
      <c r="BOI3">
        <v>36139</v>
      </c>
      <c r="BOJ3">
        <v>146196</v>
      </c>
      <c r="BOK3">
        <v>71115</v>
      </c>
      <c r="BOL3">
        <v>101711</v>
      </c>
      <c r="BOM3">
        <v>103860</v>
      </c>
      <c r="BON3">
        <v>89207</v>
      </c>
      <c r="BOO3">
        <v>72479</v>
      </c>
      <c r="BOP3">
        <v>51456</v>
      </c>
      <c r="BOQ3">
        <v>212348</v>
      </c>
      <c r="BOR3">
        <v>51339</v>
      </c>
      <c r="BOS3">
        <v>97762</v>
      </c>
      <c r="BOT3">
        <v>94145</v>
      </c>
      <c r="BOU3">
        <v>130221</v>
      </c>
      <c r="BOV3">
        <v>51530</v>
      </c>
      <c r="BOW3">
        <v>55612</v>
      </c>
      <c r="BOX3">
        <v>83618</v>
      </c>
      <c r="BOY3">
        <v>66065</v>
      </c>
      <c r="BOZ3">
        <v>64977</v>
      </c>
      <c r="BPA3">
        <v>60397</v>
      </c>
      <c r="BPC3">
        <v>113203</v>
      </c>
      <c r="BPD3">
        <v>75322</v>
      </c>
      <c r="BPF3">
        <v>66757</v>
      </c>
      <c r="BPG3">
        <v>81063</v>
      </c>
      <c r="BPH3">
        <v>128660</v>
      </c>
      <c r="BPI3">
        <v>84739</v>
      </c>
      <c r="BPK3">
        <v>122223</v>
      </c>
      <c r="BPL3">
        <v>121366</v>
      </c>
      <c r="BPO3">
        <v>36955</v>
      </c>
      <c r="BPP3">
        <v>53261</v>
      </c>
      <c r="BPQ3">
        <v>57867</v>
      </c>
      <c r="BPR3">
        <v>70612</v>
      </c>
      <c r="BPS3">
        <v>63175</v>
      </c>
      <c r="BPT3">
        <v>51264</v>
      </c>
      <c r="BPW3">
        <v>60033</v>
      </c>
      <c r="BPX3">
        <v>66441</v>
      </c>
      <c r="BPY3">
        <v>60036</v>
      </c>
      <c r="BPZ3">
        <v>73079</v>
      </c>
      <c r="BQA3">
        <v>64984</v>
      </c>
      <c r="BQB3">
        <v>56889</v>
      </c>
      <c r="BQC3">
        <v>66538</v>
      </c>
      <c r="BQD3">
        <v>43828</v>
      </c>
      <c r="BQE3">
        <v>77197</v>
      </c>
      <c r="BQF3">
        <v>84850</v>
      </c>
      <c r="BQG3">
        <v>48137</v>
      </c>
      <c r="BQJ3">
        <v>57727</v>
      </c>
      <c r="BQK3">
        <v>40821</v>
      </c>
      <c r="BQL3">
        <v>54527</v>
      </c>
      <c r="BQM3">
        <v>37224</v>
      </c>
      <c r="BQN3">
        <v>58666</v>
      </c>
      <c r="BQO3">
        <v>51803</v>
      </c>
      <c r="BQP3">
        <v>38188</v>
      </c>
      <c r="BQQ3">
        <v>53611</v>
      </c>
      <c r="BQR3">
        <v>80833</v>
      </c>
      <c r="BQS3">
        <v>35000</v>
      </c>
      <c r="BQT3">
        <v>48729</v>
      </c>
      <c r="BQU3">
        <v>38472</v>
      </c>
      <c r="BQV3">
        <v>39414</v>
      </c>
      <c r="BQW3">
        <v>65213</v>
      </c>
      <c r="BQX3">
        <v>63903</v>
      </c>
      <c r="BQZ3">
        <v>46218</v>
      </c>
      <c r="BRA3">
        <v>41635</v>
      </c>
      <c r="BRC3">
        <v>63592</v>
      </c>
      <c r="BRD3">
        <v>47188</v>
      </c>
      <c r="BRE3">
        <v>46756</v>
      </c>
      <c r="BRG3">
        <v>46560</v>
      </c>
      <c r="BRH3">
        <v>33125</v>
      </c>
      <c r="BRI3">
        <v>44362</v>
      </c>
      <c r="BRJ3">
        <v>33889</v>
      </c>
      <c r="BRK3">
        <v>52333</v>
      </c>
      <c r="BRL3">
        <v>57803</v>
      </c>
      <c r="BRM3">
        <v>63125</v>
      </c>
      <c r="BRN3">
        <v>76354</v>
      </c>
      <c r="BRO3">
        <v>42554</v>
      </c>
      <c r="BRP3">
        <v>53781</v>
      </c>
      <c r="BRQ3">
        <v>31860</v>
      </c>
      <c r="BRR3">
        <v>74375</v>
      </c>
      <c r="BRS3">
        <v>106746</v>
      </c>
      <c r="BRT3">
        <v>71705</v>
      </c>
      <c r="BRU3">
        <v>61793</v>
      </c>
      <c r="BRV3">
        <v>34892</v>
      </c>
      <c r="BRX3">
        <v>47156</v>
      </c>
      <c r="BRY3">
        <v>73737</v>
      </c>
      <c r="BRZ3">
        <v>37373</v>
      </c>
      <c r="BSA3">
        <v>48045</v>
      </c>
      <c r="BSB3">
        <v>72500</v>
      </c>
      <c r="BSC3">
        <v>30286</v>
      </c>
      <c r="BSD3">
        <v>73587</v>
      </c>
      <c r="BSE3">
        <v>58750</v>
      </c>
      <c r="BSF3">
        <v>70227</v>
      </c>
      <c r="BSG3">
        <v>72019</v>
      </c>
      <c r="BSH3">
        <v>34494</v>
      </c>
      <c r="BSI3">
        <v>87407</v>
      </c>
      <c r="BSJ3">
        <v>80833</v>
      </c>
      <c r="BSK3">
        <v>56736</v>
      </c>
      <c r="BSL3">
        <v>45167</v>
      </c>
      <c r="BSM3">
        <v>45395</v>
      </c>
      <c r="BSN3">
        <v>52159</v>
      </c>
      <c r="BSO3">
        <v>50988</v>
      </c>
      <c r="BSP3">
        <v>67809</v>
      </c>
      <c r="BSQ3">
        <v>108241</v>
      </c>
      <c r="BSR3">
        <v>94200</v>
      </c>
      <c r="BSS3">
        <v>67396</v>
      </c>
      <c r="BST3">
        <v>51324</v>
      </c>
      <c r="BSU3">
        <v>56154</v>
      </c>
      <c r="BSV3">
        <v>67883</v>
      </c>
      <c r="BSW3">
        <v>45556</v>
      </c>
      <c r="BSX3">
        <v>48289</v>
      </c>
      <c r="BSY3">
        <v>65163</v>
      </c>
      <c r="BSZ3">
        <v>87670</v>
      </c>
      <c r="BTA3">
        <v>73259</v>
      </c>
      <c r="BTB3">
        <v>66786</v>
      </c>
      <c r="BTC3">
        <v>32244</v>
      </c>
      <c r="BTD3">
        <v>83984</v>
      </c>
      <c r="BTE3">
        <v>49922</v>
      </c>
      <c r="BTF3">
        <v>43716</v>
      </c>
      <c r="BTG3">
        <v>41200</v>
      </c>
      <c r="BTH3">
        <v>66250</v>
      </c>
      <c r="BTI3">
        <v>55605</v>
      </c>
      <c r="BTJ3">
        <v>28875</v>
      </c>
      <c r="BTK3">
        <v>42656</v>
      </c>
      <c r="BTL3">
        <v>58141</v>
      </c>
      <c r="BTM3">
        <v>89392</v>
      </c>
      <c r="BTN3">
        <v>58051</v>
      </c>
      <c r="BTO3">
        <v>89250</v>
      </c>
      <c r="BTP3">
        <v>73273</v>
      </c>
      <c r="BTQ3">
        <v>51377</v>
      </c>
      <c r="BTR3">
        <v>106518</v>
      </c>
      <c r="BTS3">
        <v>74917</v>
      </c>
      <c r="BTT3">
        <v>77380</v>
      </c>
      <c r="BTV3">
        <v>50451</v>
      </c>
      <c r="BTW3">
        <v>68889</v>
      </c>
      <c r="BTX3">
        <v>52805</v>
      </c>
      <c r="BTY3">
        <v>48164</v>
      </c>
      <c r="BTZ3">
        <v>66860</v>
      </c>
      <c r="BUA3">
        <v>37128</v>
      </c>
      <c r="BUB3">
        <v>86180</v>
      </c>
      <c r="BUC3">
        <v>79681</v>
      </c>
      <c r="BUD3">
        <v>58545</v>
      </c>
      <c r="BUE3">
        <v>38671</v>
      </c>
      <c r="BUF3">
        <v>50250</v>
      </c>
      <c r="BUG3">
        <v>83739</v>
      </c>
      <c r="BUH3">
        <v>61906</v>
      </c>
      <c r="BUI3">
        <v>72840</v>
      </c>
      <c r="BUJ3">
        <v>84934</v>
      </c>
      <c r="BUK3">
        <v>87285</v>
      </c>
      <c r="BUL3">
        <v>68043</v>
      </c>
      <c r="BUM3">
        <v>48963</v>
      </c>
      <c r="BUN3">
        <v>64830</v>
      </c>
      <c r="BUO3">
        <v>77708</v>
      </c>
      <c r="BUP3">
        <v>165682</v>
      </c>
      <c r="BUQ3">
        <v>33823</v>
      </c>
      <c r="BUR3">
        <v>50650</v>
      </c>
      <c r="BUS3">
        <v>38417</v>
      </c>
      <c r="BUU3">
        <v>62917</v>
      </c>
      <c r="BUV3">
        <v>56328</v>
      </c>
      <c r="BUW3">
        <v>80375</v>
      </c>
      <c r="BUX3">
        <v>54534</v>
      </c>
      <c r="BUY3">
        <v>31857</v>
      </c>
      <c r="BUZ3">
        <v>63257</v>
      </c>
      <c r="BVA3">
        <v>54500</v>
      </c>
      <c r="BVB3">
        <v>36012</v>
      </c>
      <c r="BVC3">
        <v>64875</v>
      </c>
      <c r="BVD3">
        <v>50437</v>
      </c>
      <c r="BVE3">
        <v>45283</v>
      </c>
      <c r="BVF3">
        <v>71083</v>
      </c>
      <c r="BVG3">
        <v>53750</v>
      </c>
      <c r="BVH3">
        <v>48929</v>
      </c>
      <c r="BVI3">
        <v>63375</v>
      </c>
      <c r="BVJ3">
        <v>71292</v>
      </c>
      <c r="BVK3">
        <v>67077</v>
      </c>
      <c r="BVL3">
        <v>39233</v>
      </c>
      <c r="BVM3">
        <v>58750</v>
      </c>
      <c r="BVN3">
        <v>65772</v>
      </c>
      <c r="BVQ3">
        <v>54773</v>
      </c>
      <c r="BVR3">
        <v>61280</v>
      </c>
      <c r="BVS3">
        <v>61462</v>
      </c>
      <c r="BVT3">
        <v>112981</v>
      </c>
      <c r="BVU3">
        <v>43680</v>
      </c>
      <c r="BVV3">
        <v>49449</v>
      </c>
      <c r="BVW3">
        <v>60552</v>
      </c>
      <c r="BVX3">
        <v>67981</v>
      </c>
      <c r="BVY3">
        <v>52449</v>
      </c>
      <c r="BVZ3">
        <v>60625</v>
      </c>
      <c r="BWA3">
        <v>85875</v>
      </c>
      <c r="BWB3">
        <v>70000</v>
      </c>
      <c r="BWC3">
        <v>71250</v>
      </c>
      <c r="BWD3">
        <v>65804</v>
      </c>
      <c r="BWE3">
        <v>67753</v>
      </c>
      <c r="BWF3">
        <v>62142</v>
      </c>
      <c r="BWG3">
        <v>74620</v>
      </c>
      <c r="BWH3">
        <v>69018</v>
      </c>
      <c r="BWI3">
        <v>67961</v>
      </c>
      <c r="BWJ3">
        <v>57740</v>
      </c>
      <c r="BWK3">
        <v>57188</v>
      </c>
      <c r="BWL3">
        <v>66555</v>
      </c>
      <c r="BWM3">
        <v>130625</v>
      </c>
      <c r="BWN3">
        <v>88250</v>
      </c>
      <c r="BWO3">
        <v>55966</v>
      </c>
      <c r="BWP3">
        <v>100139</v>
      </c>
      <c r="BWQ3">
        <v>46310</v>
      </c>
      <c r="BWS3">
        <v>74867</v>
      </c>
      <c r="BWT3">
        <v>81574</v>
      </c>
      <c r="BWU3">
        <v>62330</v>
      </c>
      <c r="BWV3">
        <v>46486</v>
      </c>
      <c r="BWW3">
        <v>31250</v>
      </c>
      <c r="BWY3">
        <v>83318</v>
      </c>
      <c r="BWZ3">
        <v>89432</v>
      </c>
      <c r="BXA3">
        <v>67839</v>
      </c>
      <c r="BXB3">
        <v>56031</v>
      </c>
      <c r="BXC3">
        <v>64052</v>
      </c>
      <c r="BXD3">
        <v>74865</v>
      </c>
      <c r="BXE3">
        <v>51009</v>
      </c>
      <c r="BXF3">
        <v>44132</v>
      </c>
      <c r="BXG3">
        <v>81756</v>
      </c>
      <c r="BXH3">
        <v>62309</v>
      </c>
      <c r="BXJ3">
        <v>56007</v>
      </c>
      <c r="BXK3">
        <v>55690</v>
      </c>
      <c r="BXL3">
        <v>46888</v>
      </c>
      <c r="BXM3">
        <v>107292</v>
      </c>
      <c r="BXN3">
        <v>56667</v>
      </c>
      <c r="BXO3">
        <v>62667</v>
      </c>
      <c r="BXP3">
        <v>40000</v>
      </c>
      <c r="BXQ3">
        <v>54481</v>
      </c>
      <c r="BXR3">
        <v>45169</v>
      </c>
      <c r="BXS3">
        <v>45114</v>
      </c>
      <c r="BXT3">
        <v>36345</v>
      </c>
      <c r="BXU3">
        <v>64657</v>
      </c>
      <c r="BXV3">
        <v>71186</v>
      </c>
      <c r="BXW3">
        <v>42938</v>
      </c>
      <c r="BXZ3">
        <v>65713</v>
      </c>
      <c r="BYA3">
        <v>28798</v>
      </c>
      <c r="BYB3">
        <v>70375</v>
      </c>
      <c r="BYC3">
        <v>44540</v>
      </c>
      <c r="BYD3">
        <v>67917</v>
      </c>
      <c r="BYE3">
        <v>58190</v>
      </c>
      <c r="BYF3">
        <v>58914</v>
      </c>
      <c r="BYG3">
        <v>50946</v>
      </c>
      <c r="BYI3">
        <v>45781</v>
      </c>
      <c r="BYJ3">
        <v>48464</v>
      </c>
      <c r="BYK3">
        <v>33897</v>
      </c>
      <c r="BYL3">
        <v>50529</v>
      </c>
      <c r="BYM3">
        <v>73868</v>
      </c>
      <c r="BYN3">
        <v>43391</v>
      </c>
      <c r="BYO3">
        <v>71784</v>
      </c>
      <c r="BYP3">
        <v>57232</v>
      </c>
      <c r="BYS3">
        <v>53486</v>
      </c>
      <c r="BYT3">
        <v>53464</v>
      </c>
      <c r="BYU3">
        <v>56371</v>
      </c>
      <c r="BYV3">
        <v>67805</v>
      </c>
      <c r="BYW3">
        <v>49578</v>
      </c>
      <c r="BYX3">
        <v>74403</v>
      </c>
      <c r="BZB3">
        <v>42347</v>
      </c>
      <c r="BZF3">
        <v>51802</v>
      </c>
      <c r="BZG3">
        <v>47266</v>
      </c>
      <c r="BZH3">
        <v>70690</v>
      </c>
      <c r="BZJ3">
        <v>99036</v>
      </c>
      <c r="BZK3">
        <v>44137</v>
      </c>
      <c r="BZL3">
        <v>57692</v>
      </c>
      <c r="BZM3">
        <v>59081</v>
      </c>
      <c r="BZN3">
        <v>70940</v>
      </c>
      <c r="BZO3">
        <v>64833</v>
      </c>
      <c r="BZP3">
        <v>61343</v>
      </c>
      <c r="BZQ3">
        <v>96949</v>
      </c>
      <c r="BZR3">
        <v>46268</v>
      </c>
      <c r="BZS3">
        <v>66123</v>
      </c>
      <c r="BZT3">
        <v>45029</v>
      </c>
      <c r="BZU3">
        <v>67643</v>
      </c>
      <c r="BZV3">
        <v>67974</v>
      </c>
      <c r="BZW3">
        <v>48750</v>
      </c>
      <c r="BZX3">
        <v>55764</v>
      </c>
      <c r="BZY3">
        <v>48135</v>
      </c>
      <c r="BZZ3">
        <v>55217</v>
      </c>
      <c r="CAA3">
        <v>56506</v>
      </c>
      <c r="CAB3">
        <v>92047</v>
      </c>
      <c r="CAC3">
        <v>36995</v>
      </c>
      <c r="CAD3">
        <v>79088</v>
      </c>
      <c r="CAE3">
        <v>54350</v>
      </c>
      <c r="CAF3">
        <v>44813</v>
      </c>
      <c r="CAH3">
        <v>75441</v>
      </c>
      <c r="CAJ3">
        <v>69177</v>
      </c>
      <c r="CAK3">
        <v>61560</v>
      </c>
      <c r="CAL3">
        <v>56368</v>
      </c>
      <c r="CAM3">
        <v>56551</v>
      </c>
      <c r="CAN3">
        <v>70950</v>
      </c>
      <c r="CAO3">
        <v>60008</v>
      </c>
      <c r="CAP3">
        <v>73065</v>
      </c>
      <c r="CAQ3">
        <v>71074</v>
      </c>
      <c r="CAR3">
        <v>52221</v>
      </c>
      <c r="CAT3">
        <v>67323</v>
      </c>
      <c r="CAU3">
        <v>60774</v>
      </c>
      <c r="CAV3">
        <v>43539</v>
      </c>
      <c r="CAX3">
        <v>56638</v>
      </c>
      <c r="CAY3">
        <v>81326</v>
      </c>
      <c r="CAZ3">
        <v>91544</v>
      </c>
      <c r="CBA3">
        <v>65882</v>
      </c>
      <c r="CBB3">
        <v>79451</v>
      </c>
      <c r="CBC3">
        <v>147738</v>
      </c>
      <c r="CBD3">
        <v>50221</v>
      </c>
      <c r="CBF3">
        <v>67483</v>
      </c>
      <c r="CBG3">
        <v>70464</v>
      </c>
      <c r="CBH3">
        <v>41912</v>
      </c>
      <c r="CBI3">
        <v>68874</v>
      </c>
      <c r="CBJ3">
        <v>97292</v>
      </c>
      <c r="CBK3">
        <v>47266</v>
      </c>
      <c r="CBL3">
        <v>115081</v>
      </c>
      <c r="CBM3">
        <v>65703</v>
      </c>
      <c r="CBN3">
        <v>60405</v>
      </c>
      <c r="CBO3">
        <v>65269</v>
      </c>
      <c r="CBQ3">
        <v>66393</v>
      </c>
      <c r="CBR3">
        <v>55036</v>
      </c>
      <c r="CBS3">
        <v>56172</v>
      </c>
      <c r="CBT3">
        <v>68750</v>
      </c>
      <c r="CBV3">
        <v>54112</v>
      </c>
      <c r="CBY3">
        <v>88984</v>
      </c>
      <c r="CBZ3">
        <v>68152</v>
      </c>
      <c r="CCA3">
        <v>52269</v>
      </c>
      <c r="CCB3">
        <v>64836</v>
      </c>
      <c r="CCC3">
        <v>59844</v>
      </c>
      <c r="CCD3">
        <v>72567</v>
      </c>
      <c r="CCF3">
        <v>48570</v>
      </c>
      <c r="CCG3">
        <v>76165</v>
      </c>
      <c r="CCH3">
        <v>80625</v>
      </c>
      <c r="CCI3">
        <v>119183</v>
      </c>
      <c r="CCJ3">
        <v>51497</v>
      </c>
      <c r="CCK3">
        <v>62399</v>
      </c>
      <c r="CCL3">
        <v>72717</v>
      </c>
      <c r="CCM3">
        <v>54407</v>
      </c>
      <c r="CCN3">
        <v>50577</v>
      </c>
      <c r="CCO3">
        <v>61731</v>
      </c>
      <c r="CCP3">
        <v>49703</v>
      </c>
      <c r="CCQ3">
        <v>63750</v>
      </c>
      <c r="CCR3">
        <v>56047</v>
      </c>
      <c r="CCS3">
        <v>75051</v>
      </c>
      <c r="CCT3">
        <v>78125</v>
      </c>
      <c r="CCU3">
        <v>46026</v>
      </c>
      <c r="CCV3">
        <v>98115</v>
      </c>
      <c r="CCW3">
        <v>78179</v>
      </c>
      <c r="CCX3">
        <v>55066</v>
      </c>
      <c r="CCY3">
        <v>51125</v>
      </c>
      <c r="CCZ3">
        <v>70638</v>
      </c>
      <c r="CDA3">
        <v>79709</v>
      </c>
      <c r="CDB3">
        <v>67104</v>
      </c>
      <c r="CDC3">
        <v>59925</v>
      </c>
      <c r="CDD3">
        <v>39299</v>
      </c>
      <c r="CDE3">
        <v>65769</v>
      </c>
      <c r="CDF3">
        <v>53785</v>
      </c>
      <c r="CDG3">
        <v>54310</v>
      </c>
      <c r="CDH3">
        <v>52669</v>
      </c>
      <c r="CDI3">
        <v>87604</v>
      </c>
      <c r="CDJ3">
        <v>202775</v>
      </c>
      <c r="CDK3">
        <v>105529</v>
      </c>
      <c r="CDL3">
        <v>88966</v>
      </c>
      <c r="CDM3">
        <v>120397</v>
      </c>
      <c r="CDN3">
        <v>109785</v>
      </c>
      <c r="CDO3">
        <v>191108</v>
      </c>
      <c r="CDP3">
        <v>142500</v>
      </c>
      <c r="CDQ3">
        <v>148063</v>
      </c>
      <c r="CDR3">
        <v>137625</v>
      </c>
      <c r="CDS3">
        <v>149844</v>
      </c>
      <c r="CDT3">
        <v>133024</v>
      </c>
      <c r="CDU3">
        <v>218942</v>
      </c>
      <c r="CDW3">
        <v>90688</v>
      </c>
      <c r="CDX3">
        <v>180663</v>
      </c>
      <c r="CDY3">
        <v>110800</v>
      </c>
      <c r="CDZ3">
        <v>178098</v>
      </c>
      <c r="CEA3">
        <v>147456</v>
      </c>
      <c r="CEB3">
        <v>181912</v>
      </c>
      <c r="CEC3">
        <v>178125</v>
      </c>
      <c r="CED3">
        <v>171429</v>
      </c>
      <c r="CEE3">
        <v>161356</v>
      </c>
      <c r="CEF3">
        <v>233502</v>
      </c>
      <c r="CEG3">
        <v>143422</v>
      </c>
      <c r="CEH3">
        <v>191392</v>
      </c>
      <c r="CEI3">
        <v>154531</v>
      </c>
      <c r="CEJ3">
        <v>206375</v>
      </c>
      <c r="CEK3">
        <v>132067</v>
      </c>
      <c r="CEL3">
        <v>185594</v>
      </c>
      <c r="CEM3">
        <v>135246</v>
      </c>
      <c r="CEN3">
        <v>198317</v>
      </c>
      <c r="CEO3">
        <v>157875</v>
      </c>
      <c r="CEP3">
        <v>166154</v>
      </c>
      <c r="CEQ3">
        <v>168035</v>
      </c>
      <c r="CER3">
        <v>166870</v>
      </c>
      <c r="CES3">
        <v>162955</v>
      </c>
      <c r="CET3">
        <v>162986</v>
      </c>
      <c r="CEU3">
        <v>50833</v>
      </c>
      <c r="CEV3">
        <v>100813</v>
      </c>
      <c r="CEW3">
        <v>166113</v>
      </c>
      <c r="CEX3">
        <v>126928</v>
      </c>
      <c r="CEY3">
        <v>141019</v>
      </c>
      <c r="CEZ3">
        <v>166423</v>
      </c>
      <c r="CFA3">
        <v>233777</v>
      </c>
      <c r="CFB3">
        <v>81950</v>
      </c>
      <c r="CFC3">
        <v>134109</v>
      </c>
      <c r="CFD3">
        <v>166016</v>
      </c>
      <c r="CFE3">
        <v>135957</v>
      </c>
      <c r="CFF3">
        <v>114512</v>
      </c>
      <c r="CFH3">
        <v>139885</v>
      </c>
      <c r="CFI3">
        <v>129743</v>
      </c>
      <c r="CFJ3">
        <v>175913</v>
      </c>
      <c r="CFK3">
        <v>134532</v>
      </c>
      <c r="CFN3">
        <v>91075</v>
      </c>
      <c r="CFO3">
        <v>135578</v>
      </c>
      <c r="CFP3">
        <v>143836</v>
      </c>
      <c r="CFQ3">
        <v>100129</v>
      </c>
      <c r="CFR3">
        <v>175446</v>
      </c>
      <c r="CFS3">
        <v>102162</v>
      </c>
      <c r="CFU3">
        <v>140817</v>
      </c>
      <c r="CFW3">
        <v>153816</v>
      </c>
      <c r="CFX3">
        <v>216712</v>
      </c>
      <c r="CFY3">
        <v>166250</v>
      </c>
      <c r="CFZ3">
        <v>67965</v>
      </c>
      <c r="CGA3">
        <v>120406</v>
      </c>
      <c r="CGB3">
        <v>160187</v>
      </c>
      <c r="CGC3">
        <v>159557</v>
      </c>
      <c r="CGD3">
        <v>169638</v>
      </c>
      <c r="CGE3">
        <v>113043</v>
      </c>
      <c r="CGF3">
        <v>181467</v>
      </c>
      <c r="CGG3">
        <v>212156</v>
      </c>
      <c r="CGH3">
        <v>200038</v>
      </c>
      <c r="CGI3">
        <v>107993</v>
      </c>
      <c r="CGJ3">
        <v>122005</v>
      </c>
      <c r="CGK3">
        <v>119273</v>
      </c>
      <c r="CGL3">
        <v>141736</v>
      </c>
      <c r="CGM3">
        <v>141933</v>
      </c>
      <c r="CGN3">
        <v>132402</v>
      </c>
      <c r="CGO3">
        <v>109277</v>
      </c>
      <c r="CGP3">
        <v>192951</v>
      </c>
      <c r="CGQ3">
        <v>136472</v>
      </c>
      <c r="CGR3">
        <v>237126</v>
      </c>
      <c r="CGS3">
        <v>110824</v>
      </c>
      <c r="CGT3">
        <v>234250</v>
      </c>
      <c r="CGU3">
        <v>169201</v>
      </c>
      <c r="CGW3">
        <v>188211</v>
      </c>
      <c r="CGX3">
        <v>127037</v>
      </c>
      <c r="CGY3">
        <v>103822</v>
      </c>
      <c r="CGZ3">
        <v>97629</v>
      </c>
      <c r="CHA3">
        <v>109124</v>
      </c>
      <c r="CHB3">
        <v>95026</v>
      </c>
      <c r="CHC3">
        <v>140559</v>
      </c>
      <c r="CHD3">
        <v>204177</v>
      </c>
      <c r="CHE3">
        <v>101556</v>
      </c>
      <c r="CHF3">
        <v>160872</v>
      </c>
      <c r="CHG3">
        <v>84759</v>
      </c>
      <c r="CHH3">
        <v>105044</v>
      </c>
      <c r="CHI3">
        <v>144359</v>
      </c>
      <c r="CHJ3">
        <v>156230</v>
      </c>
      <c r="CHK3">
        <v>85432</v>
      </c>
      <c r="CHL3">
        <v>128315</v>
      </c>
      <c r="CHM3">
        <v>124357</v>
      </c>
      <c r="CHN3">
        <v>105218</v>
      </c>
      <c r="CHO3">
        <v>114598</v>
      </c>
      <c r="CHP3">
        <v>76635</v>
      </c>
      <c r="CHQ3">
        <v>64091</v>
      </c>
      <c r="CHR3">
        <v>76156</v>
      </c>
      <c r="CHS3">
        <v>63000</v>
      </c>
      <c r="CHT3">
        <v>60833</v>
      </c>
      <c r="CHU3">
        <v>101528</v>
      </c>
      <c r="CHV3">
        <v>113125</v>
      </c>
      <c r="CHW3">
        <v>57366</v>
      </c>
      <c r="CHX3">
        <v>99375</v>
      </c>
      <c r="CHY3">
        <v>48377</v>
      </c>
      <c r="CHZ3">
        <v>63845</v>
      </c>
      <c r="CIA3">
        <v>70159</v>
      </c>
      <c r="CIC3">
        <v>70260</v>
      </c>
      <c r="CID3">
        <v>51538</v>
      </c>
      <c r="CIE3">
        <v>86563</v>
      </c>
      <c r="CIF3">
        <v>49733</v>
      </c>
      <c r="CIG3">
        <v>110657</v>
      </c>
      <c r="CII3">
        <v>70993</v>
      </c>
      <c r="CIK3">
        <v>113733</v>
      </c>
      <c r="CIL3">
        <v>28598</v>
      </c>
      <c r="CIM3">
        <v>79688</v>
      </c>
      <c r="CIN3">
        <v>74063</v>
      </c>
      <c r="CIO3">
        <v>69063</v>
      </c>
      <c r="CIP3">
        <v>80833</v>
      </c>
      <c r="CIQ3">
        <v>105625</v>
      </c>
      <c r="CIR3">
        <v>119135</v>
      </c>
      <c r="CIT3">
        <v>88984</v>
      </c>
      <c r="CIU3">
        <v>89944</v>
      </c>
      <c r="CIV3">
        <v>89097</v>
      </c>
      <c r="CIX3">
        <v>106497</v>
      </c>
      <c r="CIY3">
        <v>131416</v>
      </c>
      <c r="CIZ3">
        <v>148268</v>
      </c>
      <c r="CJA3">
        <v>127713</v>
      </c>
      <c r="CJB3">
        <v>65357</v>
      </c>
      <c r="CJC3">
        <v>99000</v>
      </c>
      <c r="CJD3">
        <v>61294</v>
      </c>
      <c r="CJE3">
        <v>96250</v>
      </c>
      <c r="CJF3">
        <v>80938</v>
      </c>
      <c r="CJG3">
        <v>91328</v>
      </c>
      <c r="CJH3">
        <v>66542</v>
      </c>
      <c r="CJI3">
        <v>99534</v>
      </c>
      <c r="CJJ3">
        <v>79260</v>
      </c>
      <c r="CJK3">
        <v>78065</v>
      </c>
      <c r="CJL3">
        <v>117525</v>
      </c>
      <c r="CJM3">
        <v>112446</v>
      </c>
      <c r="CJN3">
        <v>73702</v>
      </c>
      <c r="CJO3">
        <v>90117</v>
      </c>
      <c r="CJP3">
        <v>96818</v>
      </c>
      <c r="CJQ3">
        <v>124063</v>
      </c>
      <c r="CJR3">
        <v>84513</v>
      </c>
      <c r="CJS3">
        <v>80219</v>
      </c>
      <c r="CJT3">
        <v>81890</v>
      </c>
      <c r="CJU3">
        <v>99708</v>
      </c>
      <c r="CJW3">
        <v>108807</v>
      </c>
      <c r="CJY3">
        <v>74839</v>
      </c>
      <c r="CJZ3">
        <v>81354</v>
      </c>
      <c r="CKB3">
        <v>68852</v>
      </c>
      <c r="CKC3">
        <v>98125</v>
      </c>
      <c r="CKD3">
        <v>72500</v>
      </c>
      <c r="CKE3">
        <v>106030</v>
      </c>
      <c r="CKF3">
        <v>110903</v>
      </c>
      <c r="CKG3">
        <v>66152</v>
      </c>
      <c r="CKH3">
        <v>74010</v>
      </c>
      <c r="CKI3">
        <v>89265</v>
      </c>
      <c r="CKJ3">
        <v>58250</v>
      </c>
      <c r="CKK3">
        <v>93910</v>
      </c>
      <c r="CKL3">
        <v>117708</v>
      </c>
      <c r="CKM3">
        <v>92639</v>
      </c>
      <c r="CKN3">
        <v>104375</v>
      </c>
      <c r="CKO3">
        <v>83897</v>
      </c>
      <c r="CKP3">
        <v>94815</v>
      </c>
      <c r="CKQ3">
        <v>100278</v>
      </c>
      <c r="CKR3">
        <v>136748</v>
      </c>
      <c r="CKS3">
        <v>83750</v>
      </c>
      <c r="CKT3">
        <v>79250</v>
      </c>
      <c r="CKU3">
        <v>164583</v>
      </c>
      <c r="CKX3">
        <v>165714</v>
      </c>
      <c r="CKZ3">
        <v>85865</v>
      </c>
      <c r="CLA3">
        <v>70694</v>
      </c>
      <c r="CLB3">
        <v>107354</v>
      </c>
      <c r="CLE3">
        <v>83517</v>
      </c>
      <c r="CLG3">
        <v>69536</v>
      </c>
      <c r="CLH3">
        <v>81545</v>
      </c>
      <c r="CLI3">
        <v>71500</v>
      </c>
      <c r="CLK3">
        <v>96555</v>
      </c>
      <c r="CLL3">
        <v>89896</v>
      </c>
      <c r="CLM3">
        <v>96220</v>
      </c>
      <c r="CLN3">
        <v>140038</v>
      </c>
      <c r="CLO3">
        <v>99102</v>
      </c>
      <c r="CLQ3">
        <v>135788</v>
      </c>
      <c r="CLR3">
        <v>103654</v>
      </c>
      <c r="CLT3">
        <v>70779</v>
      </c>
      <c r="CLU3">
        <v>62116</v>
      </c>
      <c r="CLW3">
        <v>61346</v>
      </c>
      <c r="CLX3">
        <v>52115</v>
      </c>
      <c r="CLY3">
        <v>83858</v>
      </c>
      <c r="CLZ3">
        <v>70598</v>
      </c>
      <c r="CMB3">
        <v>81667</v>
      </c>
      <c r="CMC3">
        <v>59629</v>
      </c>
      <c r="CMD3">
        <v>67425</v>
      </c>
      <c r="CME3">
        <v>61330</v>
      </c>
      <c r="CMF3">
        <v>51181</v>
      </c>
      <c r="CMG3">
        <v>63125</v>
      </c>
      <c r="CMH3">
        <v>89716</v>
      </c>
      <c r="CMI3">
        <v>57365</v>
      </c>
      <c r="CMJ3">
        <v>93580</v>
      </c>
      <c r="CMK3">
        <v>75978</v>
      </c>
      <c r="CML3">
        <v>56410</v>
      </c>
      <c r="CMM3">
        <v>99286</v>
      </c>
      <c r="CMN3">
        <v>63061</v>
      </c>
      <c r="CMP3">
        <v>110987</v>
      </c>
      <c r="CMQ3">
        <v>70000</v>
      </c>
      <c r="CMR3">
        <v>66748</v>
      </c>
      <c r="CMS3">
        <v>88542</v>
      </c>
      <c r="CMT3">
        <v>57662</v>
      </c>
      <c r="CMU3">
        <v>61415</v>
      </c>
      <c r="CMV3">
        <v>91154</v>
      </c>
      <c r="CMW3">
        <v>91162</v>
      </c>
      <c r="CMX3">
        <v>64352</v>
      </c>
      <c r="CNA3">
        <v>121556</v>
      </c>
      <c r="CNB3">
        <v>100760</v>
      </c>
      <c r="CNC3">
        <v>56992</v>
      </c>
      <c r="CND3">
        <v>108796</v>
      </c>
      <c r="CNE3">
        <v>106875</v>
      </c>
      <c r="CNF3">
        <v>115054</v>
      </c>
      <c r="CNG3">
        <v>103309</v>
      </c>
      <c r="CNH3">
        <v>139095</v>
      </c>
      <c r="CNI3">
        <v>77375</v>
      </c>
      <c r="CNJ3">
        <v>95750</v>
      </c>
      <c r="CNK3">
        <v>81765</v>
      </c>
      <c r="CNL3">
        <v>93583</v>
      </c>
      <c r="CNM3">
        <v>97569</v>
      </c>
      <c r="CNN3">
        <v>101111</v>
      </c>
      <c r="CNP3">
        <v>126944</v>
      </c>
      <c r="CNQ3">
        <v>50909</v>
      </c>
      <c r="CNR3">
        <v>50234</v>
      </c>
      <c r="CNS3">
        <v>80625</v>
      </c>
      <c r="CNU3">
        <v>94402</v>
      </c>
      <c r="CNV3">
        <v>110066</v>
      </c>
      <c r="CNW3">
        <v>79081</v>
      </c>
      <c r="CNX3">
        <v>100761</v>
      </c>
      <c r="CNY3">
        <v>118125</v>
      </c>
      <c r="CNZ3">
        <v>69250</v>
      </c>
      <c r="COA3">
        <v>83429</v>
      </c>
      <c r="COB3">
        <v>93611</v>
      </c>
      <c r="COC3">
        <v>76151</v>
      </c>
      <c r="COD3">
        <v>202946</v>
      </c>
      <c r="COE3">
        <v>73579</v>
      </c>
      <c r="COF3">
        <v>108859</v>
      </c>
      <c r="COG3">
        <v>43041</v>
      </c>
      <c r="COH3">
        <v>63176</v>
      </c>
      <c r="COJ3">
        <v>64083</v>
      </c>
      <c r="COK3">
        <v>54318</v>
      </c>
      <c r="COL3">
        <v>90049</v>
      </c>
      <c r="COM3">
        <v>91923</v>
      </c>
      <c r="CON3">
        <v>125799</v>
      </c>
      <c r="COO3">
        <v>109648</v>
      </c>
      <c r="COQ3">
        <v>43568</v>
      </c>
      <c r="COR3">
        <v>80521</v>
      </c>
      <c r="COS3">
        <v>96738</v>
      </c>
      <c r="COT3">
        <v>48250</v>
      </c>
      <c r="COU3">
        <v>88417</v>
      </c>
      <c r="COV3">
        <v>72917</v>
      </c>
      <c r="COW3">
        <v>88802</v>
      </c>
      <c r="COX3">
        <v>80339</v>
      </c>
      <c r="COY3">
        <v>74318</v>
      </c>
      <c r="COZ3">
        <v>144432</v>
      </c>
      <c r="CPA3">
        <v>55019</v>
      </c>
      <c r="CPB3">
        <v>69162</v>
      </c>
      <c r="CPC3">
        <v>70833</v>
      </c>
      <c r="CPD3">
        <v>81203</v>
      </c>
      <c r="CPE3">
        <v>39375</v>
      </c>
      <c r="CPF3">
        <v>53725</v>
      </c>
      <c r="CPG3">
        <v>104028</v>
      </c>
      <c r="CPH3">
        <v>153719</v>
      </c>
      <c r="CPI3">
        <v>106685</v>
      </c>
      <c r="CPJ3">
        <v>91547</v>
      </c>
      <c r="CPK3">
        <v>49637</v>
      </c>
      <c r="CPL3">
        <v>100417</v>
      </c>
      <c r="CPM3">
        <v>76631</v>
      </c>
      <c r="CPN3">
        <v>91210</v>
      </c>
      <c r="CPO3">
        <v>113470</v>
      </c>
      <c r="CPP3">
        <v>81667</v>
      </c>
      <c r="CPQ3">
        <v>132532</v>
      </c>
      <c r="CPR3">
        <v>86912</v>
      </c>
      <c r="CPS3">
        <v>71886</v>
      </c>
      <c r="CPT3">
        <v>50947</v>
      </c>
      <c r="CPU3">
        <v>104470</v>
      </c>
      <c r="CPV3">
        <v>61615</v>
      </c>
      <c r="CPX3">
        <v>78293</v>
      </c>
      <c r="CPY3">
        <v>58021</v>
      </c>
      <c r="CQA3">
        <v>82244</v>
      </c>
      <c r="CQB3">
        <v>102929</v>
      </c>
      <c r="CQC3">
        <v>55179</v>
      </c>
      <c r="CQE3">
        <v>67645</v>
      </c>
      <c r="CQF3">
        <v>114444</v>
      </c>
      <c r="CQG3">
        <v>134563</v>
      </c>
      <c r="CQH3">
        <v>56509</v>
      </c>
      <c r="CQI3">
        <v>125972</v>
      </c>
      <c r="CQJ3">
        <v>69418</v>
      </c>
      <c r="CQK3">
        <v>71274</v>
      </c>
      <c r="CQL3">
        <v>96736</v>
      </c>
      <c r="CQM3">
        <v>117716</v>
      </c>
      <c r="CQN3">
        <v>150673</v>
      </c>
      <c r="CQO3">
        <v>108770</v>
      </c>
      <c r="CQP3">
        <v>139029</v>
      </c>
      <c r="CQQ3">
        <v>85786</v>
      </c>
      <c r="CQR3">
        <v>66786</v>
      </c>
      <c r="CQS3">
        <v>166676</v>
      </c>
      <c r="CQT3">
        <v>65288</v>
      </c>
      <c r="CQU3">
        <v>130203</v>
      </c>
      <c r="CQV3">
        <v>64479</v>
      </c>
      <c r="CQX3">
        <v>138365</v>
      </c>
      <c r="CQZ3">
        <v>76306</v>
      </c>
      <c r="CRA3">
        <v>109231</v>
      </c>
      <c r="CRB3">
        <v>99107</v>
      </c>
      <c r="CRC3">
        <v>117076</v>
      </c>
      <c r="CRD3">
        <v>110893</v>
      </c>
      <c r="CRF3">
        <v>78005</v>
      </c>
      <c r="CRG3">
        <v>97016</v>
      </c>
      <c r="CRH3">
        <v>76184</v>
      </c>
      <c r="CRI3">
        <v>133750</v>
      </c>
      <c r="CRM3">
        <v>49297</v>
      </c>
      <c r="CRN3">
        <v>128135</v>
      </c>
      <c r="CRO3">
        <v>70833</v>
      </c>
      <c r="CRQ3">
        <v>51522</v>
      </c>
      <c r="CRR3">
        <v>73617</v>
      </c>
      <c r="CRS3">
        <v>92992</v>
      </c>
      <c r="CRT3">
        <v>67365</v>
      </c>
      <c r="CRU3">
        <v>94531</v>
      </c>
      <c r="CRV3">
        <v>103507</v>
      </c>
      <c r="CRW3">
        <v>101088</v>
      </c>
      <c r="CRX3">
        <v>98682</v>
      </c>
      <c r="CRY3">
        <v>62533</v>
      </c>
      <c r="CRZ3">
        <v>56681</v>
      </c>
      <c r="CSA3">
        <v>97006</v>
      </c>
      <c r="CSB3">
        <v>58105</v>
      </c>
      <c r="CSC3">
        <v>56518</v>
      </c>
      <c r="CSD3">
        <v>49263</v>
      </c>
      <c r="CSE3">
        <v>60865</v>
      </c>
      <c r="CSF3">
        <v>126554</v>
      </c>
      <c r="CSG3">
        <v>70537</v>
      </c>
      <c r="CSH3">
        <v>65650</v>
      </c>
      <c r="CSI3">
        <v>102415</v>
      </c>
      <c r="CSJ3">
        <v>71189</v>
      </c>
      <c r="CSK3">
        <v>74245</v>
      </c>
      <c r="CSL3">
        <v>117500</v>
      </c>
      <c r="CSM3">
        <v>63630</v>
      </c>
      <c r="CSN3">
        <v>89959</v>
      </c>
      <c r="CSO3">
        <v>109338</v>
      </c>
      <c r="CSP3">
        <v>77769</v>
      </c>
      <c r="CSQ3">
        <v>97286</v>
      </c>
      <c r="CST3">
        <v>66587</v>
      </c>
      <c r="CSV3">
        <v>49342</v>
      </c>
      <c r="CSX3">
        <v>146875</v>
      </c>
      <c r="CSZ3">
        <v>51083</v>
      </c>
      <c r="CTA3">
        <v>43350</v>
      </c>
      <c r="CTB3">
        <v>71298</v>
      </c>
      <c r="CTC3">
        <v>53482</v>
      </c>
      <c r="CTD3">
        <v>110827</v>
      </c>
      <c r="CTE3">
        <v>72321</v>
      </c>
      <c r="CTF3">
        <v>93750</v>
      </c>
      <c r="CTG3">
        <v>81736</v>
      </c>
      <c r="CTH3">
        <v>98257</v>
      </c>
      <c r="CTI3">
        <v>133522</v>
      </c>
      <c r="CTJ3">
        <v>105912</v>
      </c>
      <c r="CTK3">
        <v>57774</v>
      </c>
      <c r="CTL3">
        <v>73666</v>
      </c>
      <c r="CTM3">
        <v>63264</v>
      </c>
      <c r="CTN3">
        <v>84138</v>
      </c>
      <c r="CTO3">
        <v>84479</v>
      </c>
      <c r="CTP3">
        <v>51667</v>
      </c>
      <c r="CTQ3">
        <v>152931</v>
      </c>
      <c r="CTR3">
        <v>98934</v>
      </c>
      <c r="CTS3">
        <v>32798</v>
      </c>
      <c r="CTT3">
        <v>76042</v>
      </c>
      <c r="CTU3">
        <v>68509</v>
      </c>
      <c r="CTY3">
        <v>33750</v>
      </c>
      <c r="CTZ3">
        <v>59500</v>
      </c>
      <c r="CUA3">
        <v>69975</v>
      </c>
      <c r="CUC3">
        <v>62969</v>
      </c>
      <c r="CUD3">
        <v>50313</v>
      </c>
      <c r="CUE3">
        <v>44167</v>
      </c>
      <c r="CUG3">
        <v>41886</v>
      </c>
      <c r="CUI3">
        <v>71207</v>
      </c>
      <c r="CUJ3">
        <v>57083</v>
      </c>
      <c r="CUK3">
        <v>53883</v>
      </c>
      <c r="CUL3">
        <v>57344</v>
      </c>
      <c r="CUM3">
        <v>85625</v>
      </c>
      <c r="CUN3">
        <v>54143</v>
      </c>
      <c r="CUP3">
        <v>40313</v>
      </c>
      <c r="CUQ3">
        <v>103580</v>
      </c>
      <c r="CUR3">
        <v>126000</v>
      </c>
      <c r="CUS3">
        <v>151500</v>
      </c>
      <c r="CUT3">
        <v>75798</v>
      </c>
      <c r="CUU3">
        <v>107833</v>
      </c>
      <c r="CUV3">
        <v>194531</v>
      </c>
      <c r="CUW3">
        <v>74513</v>
      </c>
      <c r="CUX3">
        <v>91667</v>
      </c>
      <c r="CUY3">
        <v>33405</v>
      </c>
      <c r="CVA3">
        <v>30500</v>
      </c>
      <c r="CVB3">
        <v>97945</v>
      </c>
      <c r="CVC3">
        <v>77327</v>
      </c>
      <c r="CVD3">
        <v>90680</v>
      </c>
      <c r="CVE3">
        <v>97835</v>
      </c>
      <c r="CVF3">
        <v>88223</v>
      </c>
      <c r="CVG3">
        <v>128403</v>
      </c>
      <c r="CVH3">
        <v>109750</v>
      </c>
      <c r="CVL3">
        <v>69680</v>
      </c>
      <c r="CVM3">
        <v>89790</v>
      </c>
      <c r="CVN3">
        <v>42188</v>
      </c>
      <c r="CVP3">
        <v>72517</v>
      </c>
      <c r="CVR3">
        <v>66467</v>
      </c>
      <c r="CVS3">
        <v>62428</v>
      </c>
      <c r="CVT3">
        <v>43156</v>
      </c>
      <c r="CVU3">
        <v>55678</v>
      </c>
      <c r="CVV3">
        <v>107650</v>
      </c>
      <c r="CVW3">
        <v>74524</v>
      </c>
      <c r="CVX3">
        <v>70715</v>
      </c>
      <c r="CVY3">
        <v>75621</v>
      </c>
      <c r="CVZ3">
        <v>70139</v>
      </c>
      <c r="CWA3">
        <v>66875</v>
      </c>
      <c r="CWB3">
        <v>63556</v>
      </c>
      <c r="CWC3">
        <v>73899</v>
      </c>
      <c r="CWD3">
        <v>37189</v>
      </c>
      <c r="CWF3">
        <v>71345</v>
      </c>
      <c r="CWG3">
        <v>72487</v>
      </c>
      <c r="CWH3">
        <v>85762</v>
      </c>
      <c r="CWI3">
        <v>73472</v>
      </c>
      <c r="CWJ3">
        <v>52899</v>
      </c>
      <c r="CWK3">
        <v>69921</v>
      </c>
      <c r="CWL3">
        <v>42904</v>
      </c>
      <c r="CWM3">
        <v>67556</v>
      </c>
      <c r="CWN3">
        <v>102917</v>
      </c>
      <c r="CWO3">
        <v>66760</v>
      </c>
      <c r="CWP3">
        <v>120919</v>
      </c>
      <c r="CWQ3">
        <v>59397</v>
      </c>
      <c r="CWR3">
        <v>81667</v>
      </c>
      <c r="CWS3">
        <v>74974</v>
      </c>
      <c r="CWT3">
        <v>70798</v>
      </c>
      <c r="CWW3">
        <v>66999</v>
      </c>
      <c r="CWY3">
        <v>102417</v>
      </c>
      <c r="CXA3">
        <v>106668</v>
      </c>
      <c r="CXB3">
        <v>116528</v>
      </c>
      <c r="CXC3">
        <v>138409</v>
      </c>
      <c r="CXD3">
        <v>63389</v>
      </c>
      <c r="CXE3">
        <v>48288</v>
      </c>
      <c r="CXF3">
        <v>75804</v>
      </c>
      <c r="CXG3">
        <v>44739</v>
      </c>
      <c r="CXH3">
        <v>51070</v>
      </c>
      <c r="CXK3">
        <v>81105</v>
      </c>
      <c r="CXL3">
        <v>55820</v>
      </c>
      <c r="CXM3">
        <v>65811</v>
      </c>
      <c r="CXN3">
        <v>47639</v>
      </c>
      <c r="CXO3">
        <v>59289</v>
      </c>
      <c r="CXP3">
        <v>42639</v>
      </c>
      <c r="CXQ3">
        <v>57679</v>
      </c>
      <c r="CXR3">
        <v>87478</v>
      </c>
      <c r="CXS3">
        <v>114063</v>
      </c>
      <c r="CXT3">
        <v>92092</v>
      </c>
      <c r="CXU3">
        <v>103742</v>
      </c>
      <c r="CXV3">
        <v>95931</v>
      </c>
      <c r="CXW3">
        <v>82314</v>
      </c>
      <c r="CXX3">
        <v>102114</v>
      </c>
      <c r="CXY3">
        <v>57727</v>
      </c>
      <c r="CXZ3">
        <v>130376</v>
      </c>
      <c r="CYA3">
        <v>55625</v>
      </c>
      <c r="CYB3">
        <v>72061</v>
      </c>
      <c r="CYC3">
        <v>68487</v>
      </c>
      <c r="CYD3">
        <v>100665</v>
      </c>
      <c r="CYE3">
        <v>61042</v>
      </c>
      <c r="CYF3">
        <v>34557</v>
      </c>
      <c r="CYG3">
        <v>137841</v>
      </c>
      <c r="CYH3">
        <v>91169</v>
      </c>
      <c r="CYI3">
        <v>49644</v>
      </c>
      <c r="CYJ3">
        <v>80809</v>
      </c>
      <c r="CYK3">
        <v>73333</v>
      </c>
      <c r="CYL3">
        <v>50074</v>
      </c>
      <c r="CYM3">
        <v>72000</v>
      </c>
      <c r="CYN3">
        <v>55104</v>
      </c>
      <c r="CYO3">
        <v>63355</v>
      </c>
      <c r="CYP3">
        <v>70372</v>
      </c>
      <c r="CYQ3">
        <v>38661</v>
      </c>
      <c r="CYS3">
        <v>75286</v>
      </c>
      <c r="CYT3">
        <v>56891</v>
      </c>
      <c r="CYU3">
        <v>76596</v>
      </c>
      <c r="CYV3">
        <v>39792</v>
      </c>
      <c r="CYW3">
        <v>91092</v>
      </c>
      <c r="CYX3">
        <v>76184</v>
      </c>
      <c r="CYY3">
        <v>99479</v>
      </c>
      <c r="CYZ3">
        <v>60337</v>
      </c>
      <c r="CZA3">
        <v>73125</v>
      </c>
      <c r="CZC3">
        <v>98295</v>
      </c>
      <c r="CZE3">
        <v>69063</v>
      </c>
      <c r="CZF3">
        <v>46895</v>
      </c>
      <c r="CZG3">
        <v>83674</v>
      </c>
      <c r="CZI3">
        <v>83529</v>
      </c>
      <c r="CZJ3">
        <v>81250</v>
      </c>
      <c r="CZK3">
        <v>60938</v>
      </c>
      <c r="CZL3">
        <v>71250</v>
      </c>
      <c r="CZM3">
        <v>53125</v>
      </c>
      <c r="CZN3">
        <v>51992</v>
      </c>
      <c r="CZP3">
        <v>48317</v>
      </c>
      <c r="CZQ3">
        <v>62643</v>
      </c>
      <c r="CZR3">
        <v>65000</v>
      </c>
      <c r="CZS3">
        <v>77243</v>
      </c>
      <c r="CZT3">
        <v>78125</v>
      </c>
      <c r="CZU3">
        <v>97772</v>
      </c>
      <c r="CZV3">
        <v>42667</v>
      </c>
      <c r="CZW3">
        <v>43614</v>
      </c>
      <c r="CZX3">
        <v>62717</v>
      </c>
      <c r="CZY3">
        <v>59693</v>
      </c>
      <c r="CZZ3">
        <v>118333</v>
      </c>
      <c r="DAA3">
        <v>55569</v>
      </c>
      <c r="DAB3">
        <v>37118</v>
      </c>
      <c r="DAC3">
        <v>59635</v>
      </c>
      <c r="DAD3">
        <v>84625</v>
      </c>
      <c r="DAF3">
        <v>55375</v>
      </c>
      <c r="DAG3">
        <v>53750</v>
      </c>
      <c r="DAH3">
        <v>42934</v>
      </c>
      <c r="DAJ3">
        <v>75382</v>
      </c>
      <c r="DAL3">
        <v>50550</v>
      </c>
      <c r="DAM3">
        <v>86042</v>
      </c>
      <c r="DAN3">
        <v>61563</v>
      </c>
      <c r="DAO3">
        <v>53800</v>
      </c>
      <c r="DAP3">
        <v>61406</v>
      </c>
      <c r="DAQ3">
        <v>61394</v>
      </c>
      <c r="DAR3">
        <v>58101</v>
      </c>
      <c r="DAS3">
        <v>56007</v>
      </c>
      <c r="DAT3">
        <v>40625</v>
      </c>
      <c r="DAU3">
        <v>57225</v>
      </c>
      <c r="DAV3">
        <v>48769</v>
      </c>
      <c r="DAX3">
        <v>55882</v>
      </c>
      <c r="DAY3">
        <v>51002</v>
      </c>
      <c r="DAZ3">
        <v>53070</v>
      </c>
      <c r="DBA3">
        <v>65089</v>
      </c>
      <c r="DBB3">
        <v>69840</v>
      </c>
      <c r="DBC3">
        <v>43727</v>
      </c>
      <c r="DBD3">
        <v>45954</v>
      </c>
      <c r="DBE3">
        <v>90383</v>
      </c>
      <c r="DBF3">
        <v>75329</v>
      </c>
      <c r="DBI3">
        <v>52173</v>
      </c>
      <c r="DBJ3">
        <v>57668</v>
      </c>
      <c r="DBK3">
        <v>41733</v>
      </c>
      <c r="DBL3">
        <v>58107</v>
      </c>
      <c r="DBM3">
        <v>63644</v>
      </c>
      <c r="DBN3">
        <v>63496</v>
      </c>
      <c r="DBP3">
        <v>78295</v>
      </c>
      <c r="DBQ3">
        <v>63457</v>
      </c>
      <c r="DBR3">
        <v>62536</v>
      </c>
      <c r="DBS3">
        <v>48147</v>
      </c>
      <c r="DBT3">
        <v>51761</v>
      </c>
      <c r="DBU3">
        <v>82917</v>
      </c>
      <c r="DBV3">
        <v>91563</v>
      </c>
      <c r="DBW3">
        <v>75103</v>
      </c>
      <c r="DBX3">
        <v>55156</v>
      </c>
      <c r="DBY3">
        <v>89926</v>
      </c>
      <c r="DBZ3">
        <v>51579</v>
      </c>
      <c r="DCA3">
        <v>70893</v>
      </c>
      <c r="DCB3">
        <v>54389</v>
      </c>
      <c r="DCC3">
        <v>106960</v>
      </c>
      <c r="DCD3">
        <v>60724</v>
      </c>
      <c r="DCE3">
        <v>54728</v>
      </c>
      <c r="DCF3">
        <v>118707</v>
      </c>
      <c r="DCG3">
        <v>42631</v>
      </c>
      <c r="DCH3">
        <v>39905</v>
      </c>
      <c r="DCI3">
        <v>42900</v>
      </c>
      <c r="DCJ3">
        <v>88125</v>
      </c>
      <c r="DCK3">
        <v>60147</v>
      </c>
      <c r="DCL3">
        <v>65227</v>
      </c>
      <c r="DCN3">
        <v>83881</v>
      </c>
      <c r="DCO3">
        <v>82331</v>
      </c>
      <c r="DCP3">
        <v>93750</v>
      </c>
      <c r="DCQ3">
        <v>70707</v>
      </c>
      <c r="DCR3">
        <v>74891</v>
      </c>
      <c r="DCS3">
        <v>47059</v>
      </c>
      <c r="DCT3">
        <v>48322</v>
      </c>
      <c r="DCU3">
        <v>88024</v>
      </c>
      <c r="DCV3">
        <v>65238</v>
      </c>
      <c r="DCW3">
        <v>60960</v>
      </c>
      <c r="DCX3">
        <v>59115</v>
      </c>
      <c r="DCY3">
        <v>72396</v>
      </c>
      <c r="DDC3">
        <v>55321</v>
      </c>
      <c r="DDD3">
        <v>63550</v>
      </c>
      <c r="DDE3">
        <v>67889</v>
      </c>
      <c r="DDF3">
        <v>66250</v>
      </c>
      <c r="DDG3">
        <v>65795</v>
      </c>
      <c r="DDH3">
        <v>29050</v>
      </c>
      <c r="DDI3">
        <v>60503</v>
      </c>
      <c r="DDK3">
        <v>49167</v>
      </c>
      <c r="DDL3">
        <v>54155</v>
      </c>
      <c r="DDM3">
        <v>65259</v>
      </c>
      <c r="DDN3">
        <v>74167</v>
      </c>
      <c r="DDO3">
        <v>65267</v>
      </c>
      <c r="DDP3">
        <v>72691</v>
      </c>
      <c r="DDQ3">
        <v>98482</v>
      </c>
      <c r="DDR3">
        <v>71317</v>
      </c>
      <c r="DDS3">
        <v>62206</v>
      </c>
      <c r="DDU3">
        <v>56625</v>
      </c>
      <c r="DDV3">
        <v>49764</v>
      </c>
      <c r="DDW3">
        <v>55344</v>
      </c>
      <c r="DDX3">
        <v>81931</v>
      </c>
      <c r="DDY3">
        <v>95197</v>
      </c>
      <c r="DDZ3">
        <v>69461</v>
      </c>
      <c r="DEA3">
        <v>65774</v>
      </c>
      <c r="DEB3">
        <v>52100</v>
      </c>
      <c r="DEC3">
        <v>43591</v>
      </c>
      <c r="DED3">
        <v>58333</v>
      </c>
      <c r="DEE3">
        <v>63512</v>
      </c>
      <c r="DEF3">
        <v>84559</v>
      </c>
      <c r="DEG3">
        <v>32400</v>
      </c>
      <c r="DEH3">
        <v>47589</v>
      </c>
      <c r="DEI3">
        <v>52303</v>
      </c>
      <c r="DEJ3">
        <v>51425</v>
      </c>
      <c r="DEK3">
        <v>51719</v>
      </c>
      <c r="DEL3">
        <v>47967</v>
      </c>
      <c r="DEM3">
        <v>26438</v>
      </c>
      <c r="DEN3">
        <v>43125</v>
      </c>
      <c r="DEO3">
        <v>44269</v>
      </c>
      <c r="DEP3">
        <v>56040</v>
      </c>
      <c r="DEQ3">
        <v>33846</v>
      </c>
      <c r="DER3">
        <v>27028</v>
      </c>
      <c r="DET3">
        <v>54435</v>
      </c>
      <c r="DEU3">
        <v>37224</v>
      </c>
      <c r="DEV3">
        <v>32500</v>
      </c>
      <c r="DEX3">
        <v>60250</v>
      </c>
      <c r="DEY3">
        <v>42522</v>
      </c>
      <c r="DEZ3">
        <v>44990</v>
      </c>
      <c r="DFA3">
        <v>47601</v>
      </c>
      <c r="DFB3">
        <v>38147</v>
      </c>
      <c r="DFC3">
        <v>39678</v>
      </c>
      <c r="DFD3">
        <v>40694</v>
      </c>
      <c r="DFE3">
        <v>85181</v>
      </c>
      <c r="DFF3">
        <v>54806</v>
      </c>
      <c r="DFI3">
        <v>54077</v>
      </c>
      <c r="DFJ3">
        <v>30212</v>
      </c>
      <c r="DFK3">
        <v>39797</v>
      </c>
      <c r="DFL3">
        <v>33102</v>
      </c>
      <c r="DFM3">
        <v>42344</v>
      </c>
      <c r="DFN3">
        <v>69844</v>
      </c>
      <c r="DFO3">
        <v>52734</v>
      </c>
      <c r="DFQ3">
        <v>34674</v>
      </c>
      <c r="DFR3">
        <v>60529</v>
      </c>
      <c r="DFS3">
        <v>33864</v>
      </c>
      <c r="DFT3">
        <v>53970</v>
      </c>
      <c r="DFU3">
        <v>58790</v>
      </c>
      <c r="DFV3">
        <v>45574</v>
      </c>
      <c r="DFW3">
        <v>38993</v>
      </c>
      <c r="DFX3">
        <v>46458</v>
      </c>
      <c r="DFY3">
        <v>62250</v>
      </c>
      <c r="DFZ3">
        <v>63982</v>
      </c>
      <c r="DGB3">
        <v>40000</v>
      </c>
      <c r="DGC3">
        <v>61190</v>
      </c>
      <c r="DGD3">
        <v>49140</v>
      </c>
      <c r="DGF3">
        <v>71094</v>
      </c>
      <c r="DGG3">
        <v>79615</v>
      </c>
      <c r="DGH3">
        <v>80102</v>
      </c>
      <c r="DGI3">
        <v>36375</v>
      </c>
      <c r="DGK3">
        <v>54286</v>
      </c>
      <c r="DGL3">
        <v>41517</v>
      </c>
      <c r="DGM3">
        <v>47539</v>
      </c>
      <c r="DGN3">
        <v>64050</v>
      </c>
      <c r="DGO3">
        <v>53933</v>
      </c>
      <c r="DGP3">
        <v>58625</v>
      </c>
      <c r="DGQ3">
        <v>42408</v>
      </c>
      <c r="DGR3">
        <v>51619</v>
      </c>
      <c r="DGT3">
        <v>47750</v>
      </c>
      <c r="DGU3">
        <v>42076</v>
      </c>
      <c r="DGV3">
        <v>61483</v>
      </c>
      <c r="DGW3">
        <v>68883</v>
      </c>
      <c r="DGX3">
        <v>50938</v>
      </c>
      <c r="DGY3">
        <v>34205</v>
      </c>
      <c r="DGZ3">
        <v>66234</v>
      </c>
      <c r="DHA3">
        <v>49309</v>
      </c>
      <c r="DHB3">
        <v>42938</v>
      </c>
      <c r="DHC3">
        <v>53750</v>
      </c>
      <c r="DHE3">
        <v>43875</v>
      </c>
      <c r="DHF3">
        <v>50246</v>
      </c>
      <c r="DHG3">
        <v>65179</v>
      </c>
      <c r="DHH3">
        <v>52234</v>
      </c>
      <c r="DHI3">
        <v>63746</v>
      </c>
      <c r="DHL3">
        <v>52381</v>
      </c>
      <c r="DHN3">
        <v>53672</v>
      </c>
      <c r="DHO3">
        <v>91324</v>
      </c>
      <c r="DHP3">
        <v>48235</v>
      </c>
      <c r="DHQ3">
        <v>51841</v>
      </c>
      <c r="DHR3">
        <v>42367</v>
      </c>
      <c r="DHS3">
        <v>76380</v>
      </c>
      <c r="DHT3">
        <v>86576</v>
      </c>
      <c r="DHU3">
        <v>76364</v>
      </c>
      <c r="DHV3">
        <v>66620</v>
      </c>
      <c r="DHW3">
        <v>88397</v>
      </c>
      <c r="DHX3">
        <v>44111</v>
      </c>
      <c r="DHY3">
        <v>44132</v>
      </c>
      <c r="DHZ3">
        <v>80288</v>
      </c>
      <c r="DIA3">
        <v>70625</v>
      </c>
      <c r="DIB3">
        <v>61953</v>
      </c>
      <c r="DIC3">
        <v>61875</v>
      </c>
      <c r="DID3">
        <v>77839</v>
      </c>
      <c r="DIF3">
        <v>52738</v>
      </c>
      <c r="DIG3">
        <v>91042</v>
      </c>
      <c r="DIH3">
        <v>44453</v>
      </c>
      <c r="DII3">
        <v>34549</v>
      </c>
      <c r="DIJ3">
        <v>65500</v>
      </c>
      <c r="DIK3">
        <v>92165</v>
      </c>
      <c r="DIM3">
        <v>103100</v>
      </c>
      <c r="DIN3">
        <v>50559</v>
      </c>
      <c r="DIO3">
        <v>79079</v>
      </c>
      <c r="DIP3">
        <v>58603</v>
      </c>
      <c r="DIR3">
        <v>81188</v>
      </c>
      <c r="DIS3">
        <v>88830</v>
      </c>
      <c r="DIT3">
        <v>72693</v>
      </c>
      <c r="DIU3">
        <v>84211</v>
      </c>
      <c r="DIV3">
        <v>46875</v>
      </c>
      <c r="DIW3">
        <v>86250</v>
      </c>
      <c r="DIX3">
        <v>67250</v>
      </c>
      <c r="DIY3">
        <v>80625</v>
      </c>
      <c r="DIZ3">
        <v>45305</v>
      </c>
      <c r="DJA3">
        <v>66027</v>
      </c>
      <c r="DJB3">
        <v>92025</v>
      </c>
      <c r="DJC3">
        <v>50739</v>
      </c>
      <c r="DJE3">
        <v>51141</v>
      </c>
      <c r="DJF3">
        <v>39773</v>
      </c>
      <c r="DJG3">
        <v>69077</v>
      </c>
      <c r="DJH3">
        <v>60813</v>
      </c>
      <c r="DJI3">
        <v>70074</v>
      </c>
      <c r="DJJ3">
        <v>71475</v>
      </c>
      <c r="DJK3">
        <v>62807</v>
      </c>
      <c r="DJL3">
        <v>56014</v>
      </c>
      <c r="DJM3">
        <v>34375</v>
      </c>
      <c r="DJO3">
        <v>46706</v>
      </c>
      <c r="DJP3">
        <v>43125</v>
      </c>
      <c r="DJQ3">
        <v>114167</v>
      </c>
      <c r="DJR3">
        <v>67712</v>
      </c>
      <c r="DJS3">
        <v>54531</v>
      </c>
      <c r="DJT3">
        <v>47207</v>
      </c>
      <c r="DJU3">
        <v>49292</v>
      </c>
      <c r="DJV3">
        <v>54819</v>
      </c>
      <c r="DJW3">
        <v>68026</v>
      </c>
      <c r="DJX3">
        <v>91119</v>
      </c>
      <c r="DJY3">
        <v>59583</v>
      </c>
      <c r="DJZ3">
        <v>54795</v>
      </c>
      <c r="DKA3">
        <v>53816</v>
      </c>
      <c r="DKB3">
        <v>84773</v>
      </c>
      <c r="DKC3">
        <v>44948</v>
      </c>
      <c r="DKD3">
        <v>56641</v>
      </c>
      <c r="DKE3">
        <v>60125</v>
      </c>
      <c r="DKF3">
        <v>44296</v>
      </c>
      <c r="DKG3">
        <v>43462</v>
      </c>
      <c r="DKH3">
        <v>63617</v>
      </c>
      <c r="DKI3">
        <v>50208</v>
      </c>
      <c r="DKK3">
        <v>41250</v>
      </c>
      <c r="DKL3">
        <v>64158</v>
      </c>
      <c r="DKM3">
        <v>65898</v>
      </c>
      <c r="DKN3">
        <v>47574</v>
      </c>
      <c r="DKO3">
        <v>57344</v>
      </c>
      <c r="DKP3">
        <v>43026</v>
      </c>
      <c r="DKQ3">
        <v>54904</v>
      </c>
      <c r="DKS3">
        <v>54318</v>
      </c>
      <c r="DKT3">
        <v>68869</v>
      </c>
      <c r="DKU3">
        <v>52393</v>
      </c>
      <c r="DKV3">
        <v>88068</v>
      </c>
      <c r="DKW3">
        <v>48655</v>
      </c>
      <c r="DKX3">
        <v>75147</v>
      </c>
      <c r="DKY3">
        <v>41462</v>
      </c>
      <c r="DLA3">
        <v>42308</v>
      </c>
      <c r="DLB3">
        <v>55938</v>
      </c>
      <c r="DLC3">
        <v>40020</v>
      </c>
      <c r="DLE3">
        <v>45272</v>
      </c>
      <c r="DLF3">
        <v>45929</v>
      </c>
      <c r="DLG3">
        <v>26615</v>
      </c>
      <c r="DLH3">
        <v>51411</v>
      </c>
      <c r="DLI3">
        <v>24375</v>
      </c>
      <c r="DLJ3">
        <v>102875</v>
      </c>
      <c r="DLK3">
        <v>50145</v>
      </c>
      <c r="DLL3">
        <v>19395</v>
      </c>
      <c r="DLM3">
        <v>33207</v>
      </c>
      <c r="DLN3">
        <v>40000</v>
      </c>
      <c r="DLO3">
        <v>40323</v>
      </c>
      <c r="DLP3">
        <v>41042</v>
      </c>
      <c r="DLQ3">
        <v>56750</v>
      </c>
      <c r="DLR3">
        <v>45109</v>
      </c>
      <c r="DLS3">
        <v>31875</v>
      </c>
      <c r="DLT3">
        <v>40556</v>
      </c>
      <c r="DLU3">
        <v>53900</v>
      </c>
      <c r="DLV3">
        <v>43380</v>
      </c>
      <c r="DLW3">
        <v>37044</v>
      </c>
      <c r="DLX3">
        <v>47096</v>
      </c>
      <c r="DLY3">
        <v>38940</v>
      </c>
      <c r="DLZ3">
        <v>45964</v>
      </c>
      <c r="DMA3">
        <v>39174</v>
      </c>
      <c r="DMB3">
        <v>18601</v>
      </c>
      <c r="DMC3">
        <v>63963</v>
      </c>
      <c r="DMD3">
        <v>54618</v>
      </c>
      <c r="DME3">
        <v>44188</v>
      </c>
      <c r="DMF3">
        <v>64565</v>
      </c>
      <c r="DMG3">
        <v>71161</v>
      </c>
      <c r="DMH3">
        <v>61250</v>
      </c>
      <c r="DMK3">
        <v>25781</v>
      </c>
      <c r="DMM3">
        <v>43000</v>
      </c>
      <c r="DMP3">
        <v>42803</v>
      </c>
      <c r="DMQ3">
        <v>28927</v>
      </c>
      <c r="DMS3">
        <v>54096</v>
      </c>
      <c r="DMT3">
        <v>46272</v>
      </c>
      <c r="DMU3">
        <v>45421</v>
      </c>
      <c r="DMV3">
        <v>29492</v>
      </c>
      <c r="DMW3">
        <v>40000</v>
      </c>
      <c r="DMX3">
        <v>61895</v>
      </c>
      <c r="DNB3">
        <v>26295</v>
      </c>
      <c r="DNC3">
        <v>45603</v>
      </c>
      <c r="DND3">
        <v>128018</v>
      </c>
      <c r="DNE3">
        <v>53209</v>
      </c>
      <c r="DNG3">
        <v>54320</v>
      </c>
      <c r="DNH3">
        <v>21840</v>
      </c>
      <c r="DNI3">
        <v>39038</v>
      </c>
      <c r="DNJ3">
        <v>60074</v>
      </c>
      <c r="DNK3">
        <v>64602</v>
      </c>
      <c r="DNL3">
        <v>42361</v>
      </c>
      <c r="DNM3">
        <v>31477</v>
      </c>
      <c r="DNO3">
        <v>25344</v>
      </c>
      <c r="DNS3">
        <v>24444</v>
      </c>
      <c r="DNV3">
        <v>42596</v>
      </c>
      <c r="DNW3">
        <v>14722</v>
      </c>
      <c r="DNX3">
        <v>22500</v>
      </c>
      <c r="DNZ3">
        <v>39472</v>
      </c>
      <c r="DOB3">
        <v>33690</v>
      </c>
      <c r="DOC3">
        <v>30520</v>
      </c>
      <c r="DOD3">
        <v>39263</v>
      </c>
      <c r="DOF3">
        <v>22060</v>
      </c>
      <c r="DOG3">
        <v>40833</v>
      </c>
      <c r="DOH3">
        <v>44660</v>
      </c>
      <c r="DOI3">
        <v>57688</v>
      </c>
      <c r="DOJ3">
        <v>33285</v>
      </c>
      <c r="DOL3">
        <v>49284</v>
      </c>
      <c r="DOQ3">
        <v>83531</v>
      </c>
      <c r="DOT3">
        <v>34408</v>
      </c>
      <c r="DOU3">
        <v>21349</v>
      </c>
      <c r="DOV3">
        <v>21964</v>
      </c>
      <c r="DOY3">
        <v>52539</v>
      </c>
      <c r="DOZ3">
        <v>41071</v>
      </c>
      <c r="DPA3">
        <v>43813</v>
      </c>
      <c r="DPB3">
        <v>73828</v>
      </c>
      <c r="DPC3">
        <v>72589</v>
      </c>
      <c r="DPE3">
        <v>45192</v>
      </c>
      <c r="DPF3">
        <v>62917</v>
      </c>
      <c r="DPG3">
        <v>21422</v>
      </c>
      <c r="DPH3">
        <v>36630</v>
      </c>
      <c r="DPI3">
        <v>40313</v>
      </c>
      <c r="DPK3">
        <v>78216</v>
      </c>
      <c r="DPL3">
        <v>57209</v>
      </c>
      <c r="DPM3">
        <v>82115</v>
      </c>
      <c r="DPN3">
        <v>59712</v>
      </c>
      <c r="DPP3">
        <v>63583</v>
      </c>
      <c r="DPQ3">
        <v>67691</v>
      </c>
      <c r="DPR3">
        <v>38203</v>
      </c>
      <c r="DPU3">
        <v>47428</v>
      </c>
      <c r="DPV3">
        <v>66178</v>
      </c>
      <c r="DPW3">
        <v>46688</v>
      </c>
      <c r="DPX3">
        <v>21994</v>
      </c>
      <c r="DPY3">
        <v>42420</v>
      </c>
      <c r="DPZ3">
        <v>54697</v>
      </c>
      <c r="DQB3">
        <v>46513</v>
      </c>
      <c r="DQE3">
        <v>49688</v>
      </c>
      <c r="DQF3">
        <v>52782</v>
      </c>
      <c r="DQI3">
        <v>61031</v>
      </c>
      <c r="DQK3">
        <v>37872</v>
      </c>
      <c r="DQM3">
        <v>48750</v>
      </c>
      <c r="DQN3">
        <v>75938</v>
      </c>
      <c r="DQO3">
        <v>50472</v>
      </c>
      <c r="DQP3">
        <v>31296</v>
      </c>
      <c r="DQS3">
        <v>24097</v>
      </c>
      <c r="DQT3">
        <v>91250</v>
      </c>
      <c r="DQU3">
        <v>47938</v>
      </c>
      <c r="DQV3">
        <v>70341</v>
      </c>
      <c r="DQW3">
        <v>38032</v>
      </c>
      <c r="DQX3">
        <v>57500</v>
      </c>
      <c r="DQY3">
        <v>72083</v>
      </c>
      <c r="DQZ3">
        <v>56410</v>
      </c>
      <c r="DRA3">
        <v>57455</v>
      </c>
      <c r="DRB3">
        <v>93061</v>
      </c>
      <c r="DRD3">
        <v>48750</v>
      </c>
      <c r="DRE3">
        <v>47500</v>
      </c>
      <c r="DRF3">
        <v>35000</v>
      </c>
      <c r="DRH3">
        <v>55833</v>
      </c>
      <c r="DRI3">
        <v>63491</v>
      </c>
      <c r="DRJ3">
        <v>59892</v>
      </c>
      <c r="DRK3">
        <v>77399</v>
      </c>
      <c r="DRM3">
        <v>92500</v>
      </c>
      <c r="DRO3">
        <v>94091</v>
      </c>
      <c r="DRQ3">
        <v>44471</v>
      </c>
      <c r="DRR3">
        <v>52708</v>
      </c>
      <c r="DRS3">
        <v>70917</v>
      </c>
      <c r="DRT3">
        <v>75978</v>
      </c>
      <c r="DRU3">
        <v>65397</v>
      </c>
      <c r="DRX3">
        <v>93868</v>
      </c>
      <c r="DRY3">
        <v>66792</v>
      </c>
      <c r="DRZ3">
        <v>30660</v>
      </c>
      <c r="DSA3">
        <v>29207</v>
      </c>
      <c r="DSB3">
        <v>51196</v>
      </c>
      <c r="DSD3">
        <v>29659</v>
      </c>
      <c r="DSF3">
        <v>72750</v>
      </c>
      <c r="DSG3">
        <v>40875</v>
      </c>
      <c r="DSI3">
        <v>64023</v>
      </c>
      <c r="DSJ3">
        <v>58611</v>
      </c>
      <c r="DSK3">
        <v>40500</v>
      </c>
      <c r="DSL3">
        <v>53679</v>
      </c>
      <c r="DSO3">
        <v>33889</v>
      </c>
      <c r="DSR3">
        <v>12632</v>
      </c>
      <c r="DST3">
        <v>56346</v>
      </c>
      <c r="DSU3">
        <v>62955</v>
      </c>
      <c r="DSV3">
        <v>46250</v>
      </c>
      <c r="DSW3">
        <v>70313</v>
      </c>
      <c r="DSY3">
        <v>51316</v>
      </c>
      <c r="DSZ3">
        <v>43904</v>
      </c>
      <c r="DTA3">
        <v>24795</v>
      </c>
      <c r="DTC3">
        <v>32575</v>
      </c>
      <c r="DTE3">
        <v>25147</v>
      </c>
      <c r="DTF3">
        <v>69231</v>
      </c>
      <c r="DTG3">
        <v>79621</v>
      </c>
      <c r="DTH3">
        <v>55088</v>
      </c>
      <c r="DTI3">
        <v>88661</v>
      </c>
      <c r="DTK3">
        <v>55362</v>
      </c>
      <c r="DTL3">
        <v>65302</v>
      </c>
      <c r="DTN3">
        <v>56366</v>
      </c>
      <c r="DTO3">
        <v>42311</v>
      </c>
      <c r="DTQ3">
        <v>61042</v>
      </c>
      <c r="DTR3">
        <v>52670</v>
      </c>
      <c r="DTT3">
        <v>102757</v>
      </c>
      <c r="DTU3">
        <v>36406</v>
      </c>
      <c r="DTX3">
        <v>54789</v>
      </c>
      <c r="DUC3">
        <v>33650</v>
      </c>
      <c r="DUD3">
        <v>43447</v>
      </c>
      <c r="DUE3">
        <v>77841</v>
      </c>
      <c r="DUG3">
        <v>96071</v>
      </c>
      <c r="DUJ3">
        <v>76635</v>
      </c>
      <c r="DUL3">
        <v>40260</v>
      </c>
      <c r="DUM3">
        <v>49926</v>
      </c>
      <c r="DUN3">
        <v>22228</v>
      </c>
      <c r="DUO3">
        <v>89750</v>
      </c>
      <c r="DUR3">
        <v>56321</v>
      </c>
      <c r="DUS3">
        <v>49125</v>
      </c>
      <c r="DUT3">
        <v>87813</v>
      </c>
      <c r="DUU3">
        <v>56087</v>
      </c>
      <c r="DUV3">
        <v>39219</v>
      </c>
      <c r="DUW3">
        <v>64750</v>
      </c>
      <c r="DUX3">
        <v>96563</v>
      </c>
      <c r="DUY3">
        <v>57529</v>
      </c>
      <c r="DUZ3">
        <v>57563</v>
      </c>
      <c r="DVA3">
        <v>51939</v>
      </c>
      <c r="DVB3">
        <v>43843</v>
      </c>
      <c r="DVC3">
        <v>61439</v>
      </c>
      <c r="DVD3">
        <v>36700</v>
      </c>
      <c r="DVE3">
        <v>49096</v>
      </c>
      <c r="DVG3">
        <v>71282</v>
      </c>
      <c r="DVH3">
        <v>62865</v>
      </c>
      <c r="DVI3">
        <v>63333</v>
      </c>
      <c r="DVJ3">
        <v>80444</v>
      </c>
      <c r="DVK3">
        <v>46250</v>
      </c>
      <c r="DVL3">
        <v>41250</v>
      </c>
      <c r="DVM3">
        <v>45455</v>
      </c>
      <c r="DVN3">
        <v>48101</v>
      </c>
      <c r="DVO3">
        <v>42431</v>
      </c>
      <c r="DVP3">
        <v>38750</v>
      </c>
      <c r="DVQ3">
        <v>53125</v>
      </c>
      <c r="DVR3">
        <v>52368</v>
      </c>
      <c r="DVS3">
        <v>54333</v>
      </c>
      <c r="DVT3">
        <v>21063</v>
      </c>
      <c r="DVU3">
        <v>55525</v>
      </c>
      <c r="DVV3">
        <v>73975</v>
      </c>
      <c r="DVW3">
        <v>80200</v>
      </c>
      <c r="DVY3">
        <v>62454</v>
      </c>
      <c r="DVZ3">
        <v>52920</v>
      </c>
      <c r="DWA3">
        <v>58046</v>
      </c>
      <c r="DWB3">
        <v>58220</v>
      </c>
      <c r="DWC3">
        <v>63945</v>
      </c>
      <c r="DWD3">
        <v>86462</v>
      </c>
      <c r="DWE3">
        <v>50110</v>
      </c>
      <c r="DWF3">
        <v>50162</v>
      </c>
      <c r="DWG3">
        <v>41635</v>
      </c>
      <c r="DWH3">
        <v>49157</v>
      </c>
      <c r="DWI3">
        <v>82190</v>
      </c>
      <c r="DWJ3">
        <v>68897</v>
      </c>
      <c r="DWK3">
        <v>90962</v>
      </c>
      <c r="DWL3">
        <v>64070</v>
      </c>
      <c r="DWM3">
        <v>95000</v>
      </c>
      <c r="DWN3">
        <v>101020</v>
      </c>
      <c r="DWO3">
        <v>86316</v>
      </c>
      <c r="DWP3">
        <v>96020</v>
      </c>
      <c r="DWR3">
        <v>45729</v>
      </c>
      <c r="DWS3">
        <v>90059</v>
      </c>
      <c r="DWT3">
        <v>86985</v>
      </c>
      <c r="DWU3">
        <v>80329</v>
      </c>
      <c r="DWV3">
        <v>86808</v>
      </c>
      <c r="DWW3">
        <v>68289</v>
      </c>
      <c r="DWX3">
        <v>47750</v>
      </c>
      <c r="DWY3">
        <v>61415</v>
      </c>
      <c r="DXA3">
        <v>82825</v>
      </c>
      <c r="DXB3">
        <v>120217</v>
      </c>
      <c r="DXC3">
        <v>103933</v>
      </c>
      <c r="DXE3">
        <v>130278</v>
      </c>
      <c r="DXF3">
        <v>50024</v>
      </c>
      <c r="DXG3">
        <v>75821</v>
      </c>
      <c r="DXI3">
        <v>59577</v>
      </c>
      <c r="DXK3">
        <v>45080</v>
      </c>
      <c r="DXL3">
        <v>48379</v>
      </c>
      <c r="DXM3">
        <v>48866</v>
      </c>
      <c r="DXN3">
        <v>78382</v>
      </c>
      <c r="DXO3">
        <v>40000</v>
      </c>
      <c r="DXP3">
        <v>37672</v>
      </c>
      <c r="DXQ3">
        <v>53179</v>
      </c>
      <c r="DXR3">
        <v>46237</v>
      </c>
      <c r="DXS3">
        <v>40781</v>
      </c>
      <c r="DXT3">
        <v>65881</v>
      </c>
      <c r="DXU3">
        <v>57375</v>
      </c>
      <c r="DXV3">
        <v>58056</v>
      </c>
      <c r="DXW3">
        <v>39976</v>
      </c>
      <c r="DXX3">
        <v>81187</v>
      </c>
      <c r="DXY3">
        <v>61583</v>
      </c>
      <c r="DXZ3">
        <v>68048</v>
      </c>
      <c r="DYA3">
        <v>21029</v>
      </c>
      <c r="DYB3">
        <v>67941</v>
      </c>
      <c r="DYC3">
        <v>62292</v>
      </c>
      <c r="DYE3">
        <v>61818</v>
      </c>
      <c r="DYG3">
        <v>89712</v>
      </c>
      <c r="DYI3">
        <v>49940</v>
      </c>
      <c r="DYJ3">
        <v>67313</v>
      </c>
      <c r="DYK3">
        <v>43293</v>
      </c>
      <c r="DYL3">
        <v>33438</v>
      </c>
      <c r="DYM3">
        <v>104432</v>
      </c>
      <c r="DYO3">
        <v>32628</v>
      </c>
      <c r="DYQ3">
        <v>45631</v>
      </c>
      <c r="DYR3">
        <v>53512</v>
      </c>
      <c r="DYT3">
        <v>47010</v>
      </c>
      <c r="DYU3">
        <v>50107</v>
      </c>
      <c r="DYV3">
        <v>25588</v>
      </c>
      <c r="DYZ3">
        <v>23914</v>
      </c>
      <c r="DZA3">
        <v>54750</v>
      </c>
      <c r="DZB3">
        <v>13879</v>
      </c>
      <c r="DZC3">
        <v>65924</v>
      </c>
      <c r="DZD3">
        <v>53162</v>
      </c>
      <c r="DZH3">
        <v>68125</v>
      </c>
      <c r="DZI3">
        <v>51667</v>
      </c>
      <c r="DZJ3">
        <v>89276</v>
      </c>
      <c r="DZK3">
        <v>39573</v>
      </c>
      <c r="DZL3">
        <v>85107</v>
      </c>
      <c r="DZM3">
        <v>35444</v>
      </c>
      <c r="DZN3">
        <v>40900</v>
      </c>
      <c r="DZO3">
        <v>53776</v>
      </c>
      <c r="DZQ3">
        <v>25333</v>
      </c>
      <c r="DZR3">
        <v>42295</v>
      </c>
      <c r="DZU3">
        <v>29355</v>
      </c>
      <c r="DZW3">
        <v>23321</v>
      </c>
      <c r="DZY3">
        <v>36125</v>
      </c>
      <c r="EAA3">
        <v>21964</v>
      </c>
      <c r="EAB3">
        <v>31129</v>
      </c>
      <c r="EAC3">
        <v>39929</v>
      </c>
      <c r="EAD3">
        <v>40000</v>
      </c>
      <c r="EAG3">
        <v>67500</v>
      </c>
      <c r="EAH3">
        <v>22846</v>
      </c>
      <c r="EAI3">
        <v>54250</v>
      </c>
      <c r="EAK3">
        <v>51671</v>
      </c>
      <c r="EAL3">
        <v>39225</v>
      </c>
      <c r="EAM3">
        <v>25457</v>
      </c>
      <c r="EAN3">
        <v>51646</v>
      </c>
      <c r="EAO3">
        <v>60608</v>
      </c>
      <c r="EAQ3">
        <v>49370</v>
      </c>
      <c r="EAT3">
        <v>50417</v>
      </c>
      <c r="EAU3">
        <v>57500</v>
      </c>
      <c r="EAW3">
        <v>90516</v>
      </c>
      <c r="EAX3">
        <v>93289</v>
      </c>
      <c r="EAZ3">
        <v>58785</v>
      </c>
      <c r="EBB3">
        <v>61146</v>
      </c>
      <c r="EBC3">
        <v>58629</v>
      </c>
      <c r="EBD3">
        <v>84020</v>
      </c>
      <c r="EBF3">
        <v>76625</v>
      </c>
      <c r="EBH3">
        <v>59825</v>
      </c>
      <c r="EBI3">
        <v>59750</v>
      </c>
      <c r="EBJ3">
        <v>84619</v>
      </c>
      <c r="EBK3">
        <v>92708</v>
      </c>
      <c r="EBS3">
        <v>28491</v>
      </c>
      <c r="EBU3">
        <v>77742</v>
      </c>
      <c r="EBV3">
        <v>73224</v>
      </c>
      <c r="EBW3">
        <v>39509</v>
      </c>
      <c r="EBX3">
        <v>66042</v>
      </c>
      <c r="EBY3">
        <v>52035</v>
      </c>
      <c r="ECA3">
        <v>52841</v>
      </c>
      <c r="ECB3">
        <v>26492</v>
      </c>
      <c r="ECC3">
        <v>81477</v>
      </c>
      <c r="ECE3">
        <v>23899</v>
      </c>
      <c r="ECF3">
        <v>60396</v>
      </c>
      <c r="ECG3">
        <v>47695</v>
      </c>
      <c r="ECH3">
        <v>72727</v>
      </c>
      <c r="ECI3">
        <v>51402</v>
      </c>
      <c r="ECK3">
        <v>36750</v>
      </c>
      <c r="ECN3">
        <v>83516</v>
      </c>
      <c r="ECO3">
        <v>39100</v>
      </c>
      <c r="ECQ3">
        <v>44464</v>
      </c>
      <c r="ECS3">
        <v>60399</v>
      </c>
      <c r="ECT3">
        <v>76845</v>
      </c>
      <c r="ECV3">
        <v>34184</v>
      </c>
      <c r="EDA3">
        <v>56650</v>
      </c>
      <c r="EDD3">
        <v>36679</v>
      </c>
      <c r="EDF3">
        <v>42631</v>
      </c>
      <c r="EDG3">
        <v>58906</v>
      </c>
      <c r="EDH3">
        <v>57500</v>
      </c>
      <c r="EDI3">
        <v>74167</v>
      </c>
      <c r="EDJ3">
        <v>37212</v>
      </c>
      <c r="EDK3">
        <v>41452</v>
      </c>
      <c r="EDM3">
        <v>72500</v>
      </c>
      <c r="EDN3">
        <v>40212</v>
      </c>
      <c r="EDO3">
        <v>28500</v>
      </c>
      <c r="EDP3">
        <v>27825</v>
      </c>
      <c r="EDQ3">
        <v>47500</v>
      </c>
      <c r="EDR3">
        <v>74306</v>
      </c>
      <c r="EDT3">
        <v>58625</v>
      </c>
      <c r="EDU3">
        <v>30000</v>
      </c>
      <c r="EDV3">
        <v>50474</v>
      </c>
      <c r="EDW3">
        <v>39583</v>
      </c>
      <c r="EDX3">
        <v>59500</v>
      </c>
      <c r="EDY3">
        <v>57382</v>
      </c>
      <c r="EDZ3">
        <v>53649</v>
      </c>
      <c r="EEA3">
        <v>119219</v>
      </c>
      <c r="EEB3">
        <v>56713</v>
      </c>
      <c r="EEC3">
        <v>88409</v>
      </c>
      <c r="EED3">
        <v>42000</v>
      </c>
      <c r="EEE3">
        <v>43235</v>
      </c>
      <c r="EEF3">
        <v>55545</v>
      </c>
      <c r="EEG3">
        <v>63403</v>
      </c>
      <c r="EEH3">
        <v>31250</v>
      </c>
      <c r="EEI3">
        <v>63424</v>
      </c>
      <c r="EEJ3">
        <v>95673</v>
      </c>
      <c r="EEL3">
        <v>69922</v>
      </c>
      <c r="EEM3">
        <v>78712</v>
      </c>
      <c r="EEN3">
        <v>59027</v>
      </c>
      <c r="EEO3">
        <v>55729</v>
      </c>
      <c r="EEP3">
        <v>51875</v>
      </c>
      <c r="EEQ3">
        <v>60938</v>
      </c>
      <c r="EER3">
        <v>45556</v>
      </c>
      <c r="EES3">
        <v>51695</v>
      </c>
      <c r="EET3">
        <v>65549</v>
      </c>
      <c r="EEU3">
        <v>71131</v>
      </c>
      <c r="EEV3">
        <v>57692</v>
      </c>
      <c r="EEW3">
        <v>42500</v>
      </c>
      <c r="EEX3">
        <v>31550</v>
      </c>
      <c r="EEZ3">
        <v>40814</v>
      </c>
      <c r="EFA3">
        <v>67245</v>
      </c>
      <c r="EFB3">
        <v>56588</v>
      </c>
      <c r="EFC3">
        <v>50893</v>
      </c>
      <c r="EFD3">
        <v>41929</v>
      </c>
      <c r="EFE3">
        <v>41622</v>
      </c>
      <c r="EFF3">
        <v>60750</v>
      </c>
      <c r="EFG3">
        <v>67004</v>
      </c>
      <c r="EFJ3">
        <v>54747</v>
      </c>
      <c r="EFK3">
        <v>54113</v>
      </c>
      <c r="EFL3">
        <v>61146</v>
      </c>
      <c r="EFM3">
        <v>50568</v>
      </c>
      <c r="EFO3">
        <v>48250</v>
      </c>
      <c r="EFP3">
        <v>54677</v>
      </c>
      <c r="EFQ3">
        <v>49193</v>
      </c>
      <c r="EFR3">
        <v>61992</v>
      </c>
      <c r="EFS3">
        <v>59036</v>
      </c>
      <c r="EFT3">
        <v>35203</v>
      </c>
      <c r="EFU3">
        <v>70918</v>
      </c>
      <c r="EFV3">
        <v>79314</v>
      </c>
      <c r="EFW3">
        <v>65793</v>
      </c>
      <c r="EFX3">
        <v>80714</v>
      </c>
      <c r="EFY3">
        <v>51597</v>
      </c>
      <c r="EGA3">
        <v>35288</v>
      </c>
      <c r="EGB3">
        <v>30757</v>
      </c>
      <c r="EGC3">
        <v>39955</v>
      </c>
      <c r="EGD3">
        <v>44519</v>
      </c>
      <c r="EGE3">
        <v>33309</v>
      </c>
      <c r="EGG3">
        <v>85833</v>
      </c>
      <c r="EGI3">
        <v>58270</v>
      </c>
      <c r="EGJ3">
        <v>51058</v>
      </c>
      <c r="EGK3">
        <v>34306</v>
      </c>
      <c r="EGN3">
        <v>49886</v>
      </c>
      <c r="EGP3">
        <v>77935</v>
      </c>
      <c r="EGQ3">
        <v>41250</v>
      </c>
      <c r="EGR3">
        <v>53102</v>
      </c>
      <c r="EGS3">
        <v>46132</v>
      </c>
      <c r="EGT3">
        <v>63194</v>
      </c>
      <c r="EGU3">
        <v>83393</v>
      </c>
      <c r="EGV3">
        <v>57396</v>
      </c>
      <c r="EGW3">
        <v>63512</v>
      </c>
      <c r="EGX3">
        <v>72426</v>
      </c>
      <c r="EGY3">
        <v>34255</v>
      </c>
      <c r="EGZ3">
        <v>57574</v>
      </c>
      <c r="EHA3">
        <v>43000</v>
      </c>
      <c r="EHC3">
        <v>58828</v>
      </c>
      <c r="EHE3">
        <v>62917</v>
      </c>
      <c r="EHF3">
        <v>60188</v>
      </c>
      <c r="EHG3">
        <v>36354</v>
      </c>
      <c r="EHH3">
        <v>38382</v>
      </c>
      <c r="EHI3">
        <v>48889</v>
      </c>
      <c r="EHJ3">
        <v>60800</v>
      </c>
      <c r="EHK3">
        <v>60379</v>
      </c>
      <c r="EHL3">
        <v>47386</v>
      </c>
      <c r="EHN3">
        <v>65500</v>
      </c>
      <c r="EHO3">
        <v>29861</v>
      </c>
      <c r="EHP3">
        <v>52660</v>
      </c>
      <c r="EHQ3">
        <v>37348</v>
      </c>
      <c r="EHT3">
        <v>55333</v>
      </c>
      <c r="EHU3">
        <v>93352</v>
      </c>
      <c r="EHV3">
        <v>31016</v>
      </c>
      <c r="EHY3">
        <v>49773</v>
      </c>
      <c r="EHZ3">
        <v>65813</v>
      </c>
      <c r="EIA3">
        <v>83125</v>
      </c>
      <c r="EIB3">
        <v>27685</v>
      </c>
      <c r="EIC3">
        <v>35139</v>
      </c>
      <c r="EIE3">
        <v>86843</v>
      </c>
      <c r="EIF3">
        <v>63854</v>
      </c>
      <c r="EIG3">
        <v>50556</v>
      </c>
      <c r="EIH3">
        <v>83265</v>
      </c>
      <c r="EII3">
        <v>90208</v>
      </c>
      <c r="EIJ3">
        <v>46563</v>
      </c>
      <c r="EIK3">
        <v>39922</v>
      </c>
      <c r="EIL3">
        <v>71875</v>
      </c>
      <c r="EIM3">
        <v>49622</v>
      </c>
      <c r="EIO3">
        <v>60486</v>
      </c>
      <c r="EIP3">
        <v>50865</v>
      </c>
      <c r="EIQ3">
        <v>55250</v>
      </c>
      <c r="EIS3">
        <v>47180</v>
      </c>
      <c r="EIV3">
        <v>109299</v>
      </c>
      <c r="EIW3">
        <v>52049</v>
      </c>
      <c r="EIX3">
        <v>42944</v>
      </c>
      <c r="EIY3">
        <v>50779</v>
      </c>
      <c r="EIZ3">
        <v>66000</v>
      </c>
      <c r="EJB3">
        <v>73026</v>
      </c>
      <c r="EJC3">
        <v>64073</v>
      </c>
      <c r="EJD3">
        <v>13878</v>
      </c>
      <c r="EJE3">
        <v>87857</v>
      </c>
      <c r="EJF3">
        <v>71157</v>
      </c>
      <c r="EJG3">
        <v>49583</v>
      </c>
      <c r="EJH3">
        <v>49226</v>
      </c>
      <c r="EJI3">
        <v>27794</v>
      </c>
      <c r="EJJ3">
        <v>61761</v>
      </c>
      <c r="EJK3">
        <v>48740</v>
      </c>
      <c r="EJL3">
        <v>63125</v>
      </c>
      <c r="EJM3">
        <v>34844</v>
      </c>
      <c r="EJN3">
        <v>70595</v>
      </c>
      <c r="EJP3">
        <v>38068</v>
      </c>
      <c r="EJQ3">
        <v>52009</v>
      </c>
      <c r="EJS3">
        <v>53803</v>
      </c>
      <c r="EJU3">
        <v>26779</v>
      </c>
      <c r="EJV3">
        <v>68750</v>
      </c>
      <c r="EJX3">
        <v>63063</v>
      </c>
      <c r="EJY3">
        <v>97546</v>
      </c>
      <c r="EJZ3">
        <v>46667</v>
      </c>
      <c r="EKA3">
        <v>52500</v>
      </c>
      <c r="EKB3">
        <v>51042</v>
      </c>
      <c r="EKC3">
        <v>69000</v>
      </c>
      <c r="EKD3">
        <v>48019</v>
      </c>
      <c r="EKE3">
        <v>66071</v>
      </c>
      <c r="EKF3">
        <v>45000</v>
      </c>
      <c r="EKG3">
        <v>62173</v>
      </c>
      <c r="EKH3">
        <v>42275</v>
      </c>
      <c r="EKJ3">
        <v>83247</v>
      </c>
      <c r="EKK3">
        <v>52440</v>
      </c>
      <c r="EKM3">
        <v>78750</v>
      </c>
      <c r="EKN3">
        <v>11438</v>
      </c>
      <c r="EKO3">
        <v>80938</v>
      </c>
      <c r="EKP3">
        <v>31658</v>
      </c>
      <c r="EKQ3">
        <v>57788</v>
      </c>
      <c r="EKR3">
        <v>86445</v>
      </c>
      <c r="EKS3">
        <v>59063</v>
      </c>
      <c r="EKV3">
        <v>49149</v>
      </c>
      <c r="EKW3">
        <v>67284</v>
      </c>
      <c r="EKX3">
        <v>69271</v>
      </c>
      <c r="EKY3">
        <v>78182</v>
      </c>
      <c r="EKZ3">
        <v>7198</v>
      </c>
      <c r="ELB3">
        <v>19188</v>
      </c>
      <c r="ELC3">
        <v>58333</v>
      </c>
      <c r="ELD3">
        <v>62885</v>
      </c>
      <c r="ELE3">
        <v>71944</v>
      </c>
      <c r="ELF3">
        <v>45750</v>
      </c>
      <c r="ELG3">
        <v>53393</v>
      </c>
      <c r="ELH3">
        <v>39280</v>
      </c>
      <c r="ELI3">
        <v>97180</v>
      </c>
      <c r="ELJ3">
        <v>57960</v>
      </c>
      <c r="ELK3">
        <v>48462</v>
      </c>
      <c r="ELL3">
        <v>71250</v>
      </c>
      <c r="ELM3">
        <v>56528</v>
      </c>
      <c r="ELN3">
        <v>88125</v>
      </c>
      <c r="ELO3">
        <v>67566</v>
      </c>
      <c r="ELP3">
        <v>97928</v>
      </c>
      <c r="ELQ3">
        <v>76000</v>
      </c>
      <c r="ELR3">
        <v>48353</v>
      </c>
      <c r="ELS3">
        <v>43750</v>
      </c>
      <c r="ELT3">
        <v>63170</v>
      </c>
      <c r="ELU3">
        <v>16304</v>
      </c>
      <c r="ELV3">
        <v>55938</v>
      </c>
      <c r="ELW3">
        <v>33750</v>
      </c>
      <c r="ELX3">
        <v>40398</v>
      </c>
      <c r="ELY3">
        <v>57431</v>
      </c>
      <c r="ELZ3">
        <v>38770</v>
      </c>
      <c r="EMA3">
        <v>62656</v>
      </c>
      <c r="EMB3">
        <v>39531</v>
      </c>
      <c r="EME3">
        <v>92083</v>
      </c>
      <c r="EMF3">
        <v>59067</v>
      </c>
      <c r="EMG3">
        <v>71500</v>
      </c>
      <c r="EMH3">
        <v>118194</v>
      </c>
      <c r="EMJ3">
        <v>105909</v>
      </c>
      <c r="EMK3">
        <v>46908</v>
      </c>
      <c r="EMM3">
        <v>78253</v>
      </c>
      <c r="EMN3">
        <v>55187</v>
      </c>
      <c r="EMO3">
        <v>80341</v>
      </c>
      <c r="EMP3">
        <v>30030</v>
      </c>
      <c r="EMQ3">
        <v>83472</v>
      </c>
      <c r="EMT3">
        <v>76299</v>
      </c>
      <c r="EMU3">
        <v>55230</v>
      </c>
      <c r="EMV3">
        <v>30179</v>
      </c>
      <c r="EMW3">
        <v>75852</v>
      </c>
      <c r="EMX3">
        <v>87917</v>
      </c>
      <c r="EMY3">
        <v>131042</v>
      </c>
      <c r="EMZ3">
        <v>77368</v>
      </c>
      <c r="ENA3">
        <v>65833</v>
      </c>
      <c r="ENB3">
        <v>47011</v>
      </c>
      <c r="END3">
        <v>39167</v>
      </c>
      <c r="ENE3">
        <v>68189</v>
      </c>
      <c r="ENG3">
        <v>40726</v>
      </c>
      <c r="ENH3">
        <v>65814</v>
      </c>
      <c r="ENI3">
        <v>44688</v>
      </c>
      <c r="ENJ3">
        <v>76445</v>
      </c>
      <c r="ENK3">
        <v>55893</v>
      </c>
      <c r="ENL3">
        <v>51066</v>
      </c>
      <c r="ENM3">
        <v>25362</v>
      </c>
      <c r="ENN3">
        <v>62938</v>
      </c>
      <c r="ENO3">
        <v>54604</v>
      </c>
      <c r="ENP3">
        <v>101477</v>
      </c>
      <c r="ENQ3">
        <v>49971</v>
      </c>
      <c r="ENR3">
        <v>39177</v>
      </c>
      <c r="ENS3">
        <v>38875</v>
      </c>
      <c r="ENT3">
        <v>65096</v>
      </c>
      <c r="ENW3">
        <v>53594</v>
      </c>
      <c r="ENX3">
        <v>74125</v>
      </c>
      <c r="ENY3">
        <v>53125</v>
      </c>
      <c r="EOA3">
        <v>39306</v>
      </c>
      <c r="EOC3">
        <v>68188</v>
      </c>
      <c r="EOD3">
        <v>48073</v>
      </c>
      <c r="EOF3">
        <v>89050</v>
      </c>
      <c r="EOG3">
        <v>54611</v>
      </c>
      <c r="EOH3">
        <v>50179</v>
      </c>
      <c r="EOI3">
        <v>61250</v>
      </c>
      <c r="EOJ3">
        <v>63375</v>
      </c>
      <c r="EOL3">
        <v>81806</v>
      </c>
      <c r="EOM3">
        <v>71154</v>
      </c>
    </row>
    <row r="4" spans="1:3784" x14ac:dyDescent="0.35">
      <c r="A4" t="s">
        <v>113</v>
      </c>
      <c r="B4">
        <v>138059</v>
      </c>
      <c r="C4">
        <v>120337</v>
      </c>
      <c r="D4">
        <v>159846</v>
      </c>
      <c r="E4">
        <v>184792</v>
      </c>
      <c r="F4">
        <v>116724</v>
      </c>
      <c r="G4">
        <v>35011</v>
      </c>
      <c r="H4">
        <v>140996</v>
      </c>
      <c r="I4">
        <v>125212</v>
      </c>
      <c r="J4">
        <v>146664</v>
      </c>
      <c r="K4">
        <v>114126</v>
      </c>
      <c r="L4">
        <v>110309</v>
      </c>
      <c r="M4">
        <v>121418</v>
      </c>
      <c r="N4">
        <v>250001</v>
      </c>
      <c r="O4">
        <v>178920</v>
      </c>
      <c r="P4">
        <v>106300</v>
      </c>
      <c r="Q4">
        <v>90639</v>
      </c>
      <c r="R4">
        <v>58296</v>
      </c>
      <c r="S4">
        <v>54032</v>
      </c>
      <c r="T4">
        <v>107411</v>
      </c>
      <c r="U4">
        <v>49139</v>
      </c>
      <c r="V4">
        <v>99832</v>
      </c>
      <c r="W4">
        <v>111153</v>
      </c>
      <c r="BG4">
        <v>89750</v>
      </c>
      <c r="BH4">
        <v>156100</v>
      </c>
      <c r="BI4">
        <v>176957</v>
      </c>
      <c r="BJ4">
        <v>74877</v>
      </c>
      <c r="BK4">
        <v>126510</v>
      </c>
      <c r="BL4">
        <v>86402</v>
      </c>
      <c r="BM4">
        <v>66153</v>
      </c>
      <c r="BN4">
        <v>74691</v>
      </c>
      <c r="BO4">
        <v>72254</v>
      </c>
      <c r="BP4">
        <v>79527</v>
      </c>
      <c r="BQ4">
        <v>99917</v>
      </c>
      <c r="BS4">
        <v>116583</v>
      </c>
      <c r="BT4">
        <v>52278</v>
      </c>
      <c r="BU4">
        <v>153294</v>
      </c>
      <c r="BV4">
        <v>143879</v>
      </c>
      <c r="BW4">
        <v>95757</v>
      </c>
      <c r="BX4">
        <v>138011</v>
      </c>
      <c r="BY4">
        <v>126830</v>
      </c>
      <c r="BZ4">
        <v>62765</v>
      </c>
      <c r="CA4">
        <v>111616</v>
      </c>
      <c r="CB4">
        <v>63517</v>
      </c>
      <c r="CC4">
        <v>66799</v>
      </c>
      <c r="CD4">
        <v>73694</v>
      </c>
      <c r="CE4">
        <v>93701</v>
      </c>
      <c r="CF4">
        <v>137211</v>
      </c>
      <c r="CG4">
        <v>152564</v>
      </c>
      <c r="CH4">
        <v>94096</v>
      </c>
      <c r="CI4">
        <v>77321</v>
      </c>
      <c r="CJ4">
        <v>104350</v>
      </c>
      <c r="CK4">
        <v>67268</v>
      </c>
      <c r="CL4">
        <v>88652</v>
      </c>
      <c r="CM4">
        <v>93764</v>
      </c>
      <c r="CN4">
        <v>76427</v>
      </c>
      <c r="CO4">
        <v>84760</v>
      </c>
      <c r="CP4">
        <v>68494</v>
      </c>
      <c r="CQ4">
        <v>61684</v>
      </c>
      <c r="CR4">
        <v>67510</v>
      </c>
      <c r="CS4">
        <v>132631</v>
      </c>
      <c r="CT4">
        <v>122195</v>
      </c>
      <c r="CU4">
        <v>116074</v>
      </c>
      <c r="CV4">
        <v>83568</v>
      </c>
      <c r="CW4">
        <v>150101</v>
      </c>
      <c r="CX4">
        <v>59583</v>
      </c>
      <c r="CY4">
        <v>64515</v>
      </c>
      <c r="CZ4">
        <v>78750</v>
      </c>
      <c r="DA4">
        <v>157335</v>
      </c>
      <c r="DB4">
        <v>118170</v>
      </c>
      <c r="DC4">
        <v>98257</v>
      </c>
      <c r="DD4">
        <v>82500</v>
      </c>
      <c r="DE4">
        <v>91957</v>
      </c>
      <c r="DF4">
        <v>120372</v>
      </c>
      <c r="DG4">
        <v>55307</v>
      </c>
      <c r="DH4">
        <v>81304</v>
      </c>
      <c r="DI4">
        <v>96491</v>
      </c>
      <c r="DJ4">
        <v>70325</v>
      </c>
      <c r="DL4">
        <v>79309</v>
      </c>
      <c r="DM4">
        <v>48404</v>
      </c>
      <c r="DN4">
        <v>88530</v>
      </c>
      <c r="DO4">
        <v>74656</v>
      </c>
      <c r="DP4">
        <v>124890</v>
      </c>
      <c r="DQ4">
        <v>110774</v>
      </c>
      <c r="DR4">
        <v>97676</v>
      </c>
      <c r="DS4">
        <v>78071</v>
      </c>
      <c r="DT4">
        <v>70559</v>
      </c>
      <c r="DU4">
        <v>99375</v>
      </c>
      <c r="DV4">
        <v>68881</v>
      </c>
      <c r="DW4">
        <v>110811</v>
      </c>
      <c r="DX4">
        <v>70035</v>
      </c>
      <c r="DY4">
        <v>85036</v>
      </c>
      <c r="EA4">
        <v>72417</v>
      </c>
      <c r="EB4">
        <v>98902</v>
      </c>
      <c r="EC4">
        <v>113089</v>
      </c>
      <c r="ED4">
        <v>77030</v>
      </c>
      <c r="EE4">
        <v>61842</v>
      </c>
      <c r="EG4">
        <v>86581</v>
      </c>
      <c r="EH4">
        <v>78366</v>
      </c>
      <c r="EI4">
        <v>69257</v>
      </c>
      <c r="EJ4">
        <v>65078</v>
      </c>
      <c r="EK4">
        <v>58192</v>
      </c>
      <c r="EL4">
        <v>101891</v>
      </c>
      <c r="EM4">
        <v>110904</v>
      </c>
      <c r="EN4">
        <v>109914</v>
      </c>
      <c r="EO4">
        <v>76574</v>
      </c>
      <c r="EP4">
        <v>94526</v>
      </c>
      <c r="EQ4">
        <v>78629</v>
      </c>
      <c r="ER4">
        <v>69096</v>
      </c>
      <c r="ES4">
        <v>86824</v>
      </c>
      <c r="ET4">
        <v>82193</v>
      </c>
      <c r="EU4">
        <v>88560</v>
      </c>
      <c r="EV4">
        <v>80352</v>
      </c>
      <c r="EW4">
        <v>61351</v>
      </c>
      <c r="EX4">
        <v>90357</v>
      </c>
      <c r="EZ4">
        <v>126578</v>
      </c>
      <c r="FA4">
        <v>57377</v>
      </c>
      <c r="FB4">
        <v>93625</v>
      </c>
      <c r="FC4">
        <v>61667</v>
      </c>
      <c r="FD4">
        <v>68089</v>
      </c>
      <c r="FE4">
        <v>64059</v>
      </c>
      <c r="FF4">
        <v>90962</v>
      </c>
      <c r="FG4">
        <v>73409</v>
      </c>
      <c r="FH4">
        <v>63932</v>
      </c>
      <c r="FI4">
        <v>69737</v>
      </c>
      <c r="FJ4">
        <v>64705</v>
      </c>
      <c r="FL4">
        <v>68916</v>
      </c>
      <c r="FM4">
        <v>76571</v>
      </c>
      <c r="FN4">
        <v>88514</v>
      </c>
      <c r="FO4">
        <v>60184</v>
      </c>
      <c r="FP4">
        <v>94567</v>
      </c>
      <c r="FQ4">
        <v>110694</v>
      </c>
      <c r="FR4">
        <v>72304</v>
      </c>
      <c r="FS4">
        <v>101702</v>
      </c>
      <c r="FT4">
        <v>106844</v>
      </c>
      <c r="FU4">
        <v>114130</v>
      </c>
      <c r="FV4">
        <v>62805</v>
      </c>
      <c r="FW4">
        <v>105700</v>
      </c>
      <c r="FX4">
        <v>88205</v>
      </c>
      <c r="FY4">
        <v>94125</v>
      </c>
      <c r="FZ4">
        <v>89912</v>
      </c>
      <c r="GA4">
        <v>118436</v>
      </c>
      <c r="GB4">
        <v>73295</v>
      </c>
      <c r="GC4">
        <v>55938</v>
      </c>
      <c r="GD4">
        <v>68250</v>
      </c>
      <c r="GE4">
        <v>72091</v>
      </c>
      <c r="GF4">
        <v>64151</v>
      </c>
      <c r="GG4">
        <v>59054</v>
      </c>
      <c r="GH4">
        <v>70216</v>
      </c>
      <c r="GI4">
        <v>82619</v>
      </c>
      <c r="GJ4">
        <v>25859</v>
      </c>
      <c r="GK4">
        <v>65732</v>
      </c>
      <c r="GL4">
        <v>74222</v>
      </c>
      <c r="GM4">
        <v>56905</v>
      </c>
      <c r="GN4">
        <v>66973</v>
      </c>
      <c r="GO4">
        <v>62185</v>
      </c>
      <c r="GP4">
        <v>61584</v>
      </c>
      <c r="GQ4">
        <v>49053</v>
      </c>
      <c r="GR4">
        <v>83823</v>
      </c>
      <c r="GT4">
        <v>67866</v>
      </c>
      <c r="GU4">
        <v>100770</v>
      </c>
      <c r="GV4">
        <v>81892</v>
      </c>
      <c r="GW4">
        <v>73571</v>
      </c>
      <c r="GX4">
        <v>67941</v>
      </c>
      <c r="GY4">
        <v>58777</v>
      </c>
      <c r="GZ4">
        <v>104375</v>
      </c>
      <c r="HA4">
        <v>52666</v>
      </c>
      <c r="HB4">
        <v>78992</v>
      </c>
      <c r="HC4">
        <v>108144</v>
      </c>
      <c r="HD4">
        <v>91349</v>
      </c>
      <c r="HE4">
        <v>113807</v>
      </c>
      <c r="HG4">
        <v>73502</v>
      </c>
      <c r="HH4">
        <v>52209</v>
      </c>
      <c r="HJ4">
        <v>107525</v>
      </c>
      <c r="HK4">
        <v>120379</v>
      </c>
      <c r="HL4">
        <v>71213</v>
      </c>
      <c r="HN4">
        <v>84732</v>
      </c>
      <c r="HO4">
        <v>55087</v>
      </c>
      <c r="HP4">
        <v>51511</v>
      </c>
      <c r="HQ4">
        <v>250001</v>
      </c>
      <c r="HR4">
        <v>121380</v>
      </c>
      <c r="HS4">
        <v>48184</v>
      </c>
      <c r="HT4">
        <v>87394</v>
      </c>
      <c r="HU4">
        <v>59365</v>
      </c>
      <c r="HV4">
        <v>79762</v>
      </c>
      <c r="HW4">
        <v>81667</v>
      </c>
      <c r="HX4">
        <v>63292</v>
      </c>
      <c r="HY4">
        <v>45124</v>
      </c>
      <c r="IA4">
        <v>106907</v>
      </c>
      <c r="IB4">
        <v>123077</v>
      </c>
      <c r="IC4">
        <v>140677</v>
      </c>
      <c r="ID4">
        <v>85693</v>
      </c>
      <c r="IE4">
        <v>114072</v>
      </c>
      <c r="IF4">
        <v>53037</v>
      </c>
      <c r="IG4">
        <v>50649</v>
      </c>
      <c r="IH4">
        <v>82779</v>
      </c>
      <c r="II4">
        <v>84960</v>
      </c>
      <c r="IJ4">
        <v>42089</v>
      </c>
      <c r="IK4">
        <v>50822</v>
      </c>
      <c r="IL4">
        <v>102891</v>
      </c>
      <c r="IM4">
        <v>107955</v>
      </c>
      <c r="IN4">
        <v>83116</v>
      </c>
      <c r="IO4">
        <v>130648</v>
      </c>
      <c r="IQ4">
        <v>92122</v>
      </c>
      <c r="IR4">
        <v>121984</v>
      </c>
      <c r="IS4">
        <v>189250</v>
      </c>
      <c r="IT4">
        <v>112111</v>
      </c>
      <c r="IU4">
        <v>76579</v>
      </c>
      <c r="IV4">
        <v>62623</v>
      </c>
      <c r="IY4">
        <v>53900</v>
      </c>
      <c r="IZ4">
        <v>51388</v>
      </c>
      <c r="JA4">
        <v>135148</v>
      </c>
      <c r="JB4">
        <v>103277</v>
      </c>
      <c r="JC4">
        <v>62748</v>
      </c>
      <c r="JD4">
        <v>86313</v>
      </c>
      <c r="JE4">
        <v>124111</v>
      </c>
      <c r="JF4">
        <v>68380</v>
      </c>
      <c r="JG4">
        <v>112054</v>
      </c>
      <c r="JH4">
        <v>95000</v>
      </c>
      <c r="JI4">
        <v>67023</v>
      </c>
      <c r="JJ4">
        <v>88118</v>
      </c>
      <c r="JK4">
        <v>63189</v>
      </c>
      <c r="JL4">
        <v>97543</v>
      </c>
      <c r="JM4">
        <v>123667</v>
      </c>
      <c r="JN4">
        <v>53071</v>
      </c>
      <c r="JO4">
        <v>68036</v>
      </c>
      <c r="JP4">
        <v>30238</v>
      </c>
      <c r="JQ4">
        <v>72708</v>
      </c>
      <c r="JR4">
        <v>68558</v>
      </c>
      <c r="JT4">
        <v>76895</v>
      </c>
      <c r="JU4">
        <v>53958</v>
      </c>
      <c r="JV4">
        <v>40563</v>
      </c>
      <c r="JW4">
        <v>57338</v>
      </c>
      <c r="JY4">
        <v>73889</v>
      </c>
      <c r="JZ4">
        <v>83908</v>
      </c>
      <c r="KA4">
        <v>52958</v>
      </c>
      <c r="KB4">
        <v>49441</v>
      </c>
      <c r="KC4">
        <v>93214</v>
      </c>
      <c r="KD4">
        <v>51323</v>
      </c>
      <c r="KE4">
        <v>55827</v>
      </c>
      <c r="KF4">
        <v>52071</v>
      </c>
      <c r="KG4">
        <v>41220</v>
      </c>
      <c r="KH4">
        <v>43624</v>
      </c>
      <c r="KI4">
        <v>32392</v>
      </c>
      <c r="KJ4">
        <v>75521</v>
      </c>
      <c r="KK4">
        <v>29167</v>
      </c>
      <c r="KM4">
        <v>60900</v>
      </c>
      <c r="KN4">
        <v>49063</v>
      </c>
      <c r="KO4">
        <v>61389</v>
      </c>
      <c r="KP4">
        <v>42013</v>
      </c>
      <c r="KQ4">
        <v>53229</v>
      </c>
      <c r="KR4">
        <v>39076</v>
      </c>
      <c r="KS4">
        <v>53014</v>
      </c>
      <c r="KT4">
        <v>43664</v>
      </c>
      <c r="KU4">
        <v>52038</v>
      </c>
      <c r="KW4">
        <v>80224</v>
      </c>
      <c r="KY4">
        <v>46909</v>
      </c>
      <c r="KZ4">
        <v>76800</v>
      </c>
      <c r="LA4">
        <v>42236</v>
      </c>
      <c r="LB4">
        <v>49565</v>
      </c>
      <c r="LC4">
        <v>55295</v>
      </c>
      <c r="LD4">
        <v>46161</v>
      </c>
      <c r="LE4">
        <v>64175</v>
      </c>
      <c r="LF4">
        <v>75885</v>
      </c>
      <c r="LG4">
        <v>97413</v>
      </c>
      <c r="LH4">
        <v>71703</v>
      </c>
      <c r="LI4">
        <v>52019</v>
      </c>
      <c r="LJ4">
        <v>88432</v>
      </c>
      <c r="LK4">
        <v>66642</v>
      </c>
      <c r="LL4">
        <v>56331</v>
      </c>
      <c r="LM4">
        <v>77818</v>
      </c>
      <c r="LN4">
        <v>118034</v>
      </c>
      <c r="LO4">
        <v>96936</v>
      </c>
      <c r="LP4">
        <v>102553</v>
      </c>
      <c r="LQ4">
        <v>56532</v>
      </c>
      <c r="LR4">
        <v>54121</v>
      </c>
      <c r="LS4">
        <v>73533</v>
      </c>
      <c r="LT4">
        <v>80185</v>
      </c>
      <c r="LU4">
        <v>65150</v>
      </c>
      <c r="LV4">
        <v>103281</v>
      </c>
      <c r="LW4">
        <v>70873</v>
      </c>
      <c r="LX4">
        <v>62168</v>
      </c>
      <c r="LY4">
        <v>55392</v>
      </c>
      <c r="LZ4">
        <v>53762</v>
      </c>
      <c r="MA4">
        <v>74035</v>
      </c>
      <c r="MB4">
        <v>95341</v>
      </c>
      <c r="MC4">
        <v>58510</v>
      </c>
      <c r="MD4">
        <v>80000</v>
      </c>
      <c r="ME4">
        <v>50000</v>
      </c>
      <c r="MF4">
        <v>51055</v>
      </c>
      <c r="MG4">
        <v>26950</v>
      </c>
      <c r="MH4">
        <v>72578</v>
      </c>
      <c r="MI4">
        <v>66579</v>
      </c>
      <c r="MJ4">
        <v>99648</v>
      </c>
      <c r="MK4">
        <v>67407</v>
      </c>
      <c r="ML4">
        <v>86591</v>
      </c>
      <c r="MM4">
        <v>59234</v>
      </c>
      <c r="MN4">
        <v>94936</v>
      </c>
      <c r="MO4">
        <v>111257</v>
      </c>
      <c r="MP4">
        <v>96195</v>
      </c>
      <c r="MQ4">
        <v>66316</v>
      </c>
      <c r="MR4">
        <v>52833</v>
      </c>
      <c r="MS4">
        <v>91619</v>
      </c>
      <c r="MT4">
        <v>49375</v>
      </c>
      <c r="MU4">
        <v>64722</v>
      </c>
      <c r="MV4">
        <v>62417</v>
      </c>
      <c r="MW4">
        <v>57389</v>
      </c>
      <c r="MX4">
        <v>66016</v>
      </c>
      <c r="MY4">
        <v>48529</v>
      </c>
      <c r="MZ4">
        <v>84561</v>
      </c>
      <c r="NA4">
        <v>76188</v>
      </c>
      <c r="NB4">
        <v>75179</v>
      </c>
      <c r="NC4">
        <v>66456</v>
      </c>
      <c r="ND4">
        <v>97181</v>
      </c>
      <c r="NE4">
        <v>75948</v>
      </c>
      <c r="NF4">
        <v>62917</v>
      </c>
      <c r="NG4">
        <v>65281</v>
      </c>
      <c r="NI4">
        <v>84750</v>
      </c>
      <c r="NJ4">
        <v>81417</v>
      </c>
      <c r="NK4">
        <v>53818</v>
      </c>
      <c r="NM4">
        <v>59360</v>
      </c>
      <c r="NP4">
        <v>39219</v>
      </c>
      <c r="NR4">
        <v>50062</v>
      </c>
      <c r="NS4">
        <v>63328</v>
      </c>
      <c r="NT4">
        <v>65361</v>
      </c>
      <c r="NV4">
        <v>78250</v>
      </c>
      <c r="NW4">
        <v>84098</v>
      </c>
      <c r="NX4">
        <v>117917</v>
      </c>
      <c r="NY4">
        <v>133563</v>
      </c>
      <c r="NZ4">
        <v>61786</v>
      </c>
      <c r="OA4">
        <v>51988</v>
      </c>
      <c r="OB4">
        <v>88534</v>
      </c>
      <c r="OC4">
        <v>75000</v>
      </c>
      <c r="OD4">
        <v>70139</v>
      </c>
      <c r="OE4">
        <v>55259</v>
      </c>
      <c r="OF4">
        <v>57813</v>
      </c>
      <c r="OG4">
        <v>52232</v>
      </c>
      <c r="OH4">
        <v>61901</v>
      </c>
      <c r="OI4">
        <v>53333</v>
      </c>
      <c r="OJ4">
        <v>57487</v>
      </c>
      <c r="OL4">
        <v>70491</v>
      </c>
      <c r="OM4">
        <v>95527</v>
      </c>
      <c r="ON4">
        <v>61596</v>
      </c>
      <c r="OO4">
        <v>67308</v>
      </c>
      <c r="OP4">
        <v>73464</v>
      </c>
      <c r="OQ4">
        <v>71599</v>
      </c>
      <c r="OR4">
        <v>69148</v>
      </c>
      <c r="OS4">
        <v>93428</v>
      </c>
      <c r="OT4">
        <v>54234</v>
      </c>
      <c r="OU4">
        <v>53487</v>
      </c>
      <c r="OV4">
        <v>69417</v>
      </c>
      <c r="OY4">
        <v>95000</v>
      </c>
      <c r="OZ4">
        <v>49063</v>
      </c>
      <c r="PA4">
        <v>49107</v>
      </c>
      <c r="PB4">
        <v>65852</v>
      </c>
      <c r="PC4">
        <v>51748</v>
      </c>
      <c r="PD4">
        <v>110250</v>
      </c>
      <c r="PE4">
        <v>48529</v>
      </c>
      <c r="PF4">
        <v>80956</v>
      </c>
      <c r="PG4">
        <v>88198</v>
      </c>
      <c r="PH4">
        <v>63921</v>
      </c>
      <c r="PI4">
        <v>69036</v>
      </c>
      <c r="PJ4">
        <v>74360</v>
      </c>
      <c r="PK4">
        <v>88600</v>
      </c>
      <c r="PL4">
        <v>78819</v>
      </c>
      <c r="PM4">
        <v>70462</v>
      </c>
      <c r="PN4">
        <v>69369</v>
      </c>
      <c r="PO4">
        <v>62094</v>
      </c>
      <c r="PQ4">
        <v>49699</v>
      </c>
      <c r="PS4">
        <v>55455</v>
      </c>
      <c r="PT4">
        <v>47760</v>
      </c>
      <c r="PU4">
        <v>51473</v>
      </c>
      <c r="PV4">
        <v>57569</v>
      </c>
      <c r="PW4">
        <v>66917</v>
      </c>
      <c r="PX4">
        <v>64095</v>
      </c>
      <c r="PY4">
        <v>83821</v>
      </c>
      <c r="PZ4">
        <v>66080</v>
      </c>
      <c r="QA4">
        <v>76600</v>
      </c>
      <c r="QB4">
        <v>79671</v>
      </c>
      <c r="QC4">
        <v>58834</v>
      </c>
      <c r="QD4">
        <v>49323</v>
      </c>
      <c r="QE4">
        <v>81696</v>
      </c>
      <c r="QF4">
        <v>51356</v>
      </c>
      <c r="QG4">
        <v>107917</v>
      </c>
      <c r="QI4">
        <v>59391</v>
      </c>
      <c r="QJ4">
        <v>51204</v>
      </c>
      <c r="QK4">
        <v>74167</v>
      </c>
      <c r="QM4">
        <v>60947</v>
      </c>
      <c r="QN4">
        <v>85625</v>
      </c>
      <c r="QO4">
        <v>58854</v>
      </c>
      <c r="QP4">
        <v>52676</v>
      </c>
      <c r="QQ4">
        <v>65405</v>
      </c>
      <c r="QR4">
        <v>39375</v>
      </c>
      <c r="QS4">
        <v>125272</v>
      </c>
      <c r="QT4">
        <v>54429</v>
      </c>
      <c r="QV4">
        <v>86923</v>
      </c>
      <c r="QW4">
        <v>74129</v>
      </c>
      <c r="QX4">
        <v>70202</v>
      </c>
      <c r="QY4">
        <v>44559</v>
      </c>
      <c r="QZ4">
        <v>57089</v>
      </c>
      <c r="RA4">
        <v>54784</v>
      </c>
      <c r="RB4">
        <v>51146</v>
      </c>
      <c r="RC4">
        <v>53545</v>
      </c>
      <c r="RE4">
        <v>61607</v>
      </c>
      <c r="RF4">
        <v>60234</v>
      </c>
      <c r="RG4">
        <v>36444</v>
      </c>
      <c r="RH4">
        <v>53385</v>
      </c>
      <c r="RI4">
        <v>44139</v>
      </c>
      <c r="RJ4">
        <v>25163</v>
      </c>
      <c r="RK4">
        <v>46696</v>
      </c>
      <c r="RL4">
        <v>74688</v>
      </c>
      <c r="RM4">
        <v>45999</v>
      </c>
      <c r="RN4">
        <v>81912</v>
      </c>
      <c r="RO4">
        <v>71364</v>
      </c>
      <c r="RQ4">
        <v>52917</v>
      </c>
      <c r="RR4">
        <v>60149</v>
      </c>
      <c r="RU4">
        <v>110461</v>
      </c>
      <c r="RV4">
        <v>42750</v>
      </c>
      <c r="RW4">
        <v>52132</v>
      </c>
      <c r="RX4">
        <v>83992</v>
      </c>
      <c r="RY4">
        <v>65250</v>
      </c>
      <c r="RZ4">
        <v>46875</v>
      </c>
      <c r="SA4">
        <v>70391</v>
      </c>
      <c r="SB4">
        <v>54362</v>
      </c>
      <c r="SC4">
        <v>44452</v>
      </c>
      <c r="SE4">
        <v>59167</v>
      </c>
      <c r="SF4">
        <v>48024</v>
      </c>
      <c r="SG4">
        <v>47944</v>
      </c>
      <c r="SH4">
        <v>69720</v>
      </c>
      <c r="SI4">
        <v>55697</v>
      </c>
      <c r="SJ4">
        <v>63875</v>
      </c>
      <c r="SK4">
        <v>52021</v>
      </c>
      <c r="SL4">
        <v>65971</v>
      </c>
      <c r="SM4">
        <v>133839</v>
      </c>
      <c r="SN4">
        <v>53048</v>
      </c>
      <c r="SO4">
        <v>76342</v>
      </c>
      <c r="SP4">
        <v>76334</v>
      </c>
      <c r="SQ4">
        <v>59313</v>
      </c>
      <c r="SR4">
        <v>54542</v>
      </c>
      <c r="SS4">
        <v>82934</v>
      </c>
      <c r="ST4">
        <v>68942</v>
      </c>
      <c r="SV4">
        <v>41563</v>
      </c>
      <c r="SW4">
        <v>50482</v>
      </c>
      <c r="SX4">
        <v>55794</v>
      </c>
      <c r="SY4">
        <v>49826</v>
      </c>
      <c r="TA4">
        <v>27436</v>
      </c>
      <c r="TB4">
        <v>36569</v>
      </c>
      <c r="TC4">
        <v>35152</v>
      </c>
      <c r="TE4">
        <v>95644</v>
      </c>
      <c r="TF4">
        <v>117332</v>
      </c>
      <c r="TG4">
        <v>76429</v>
      </c>
      <c r="TH4">
        <v>49340</v>
      </c>
      <c r="TI4">
        <v>30208</v>
      </c>
      <c r="TJ4">
        <v>84846</v>
      </c>
      <c r="TK4">
        <v>53929</v>
      </c>
      <c r="TL4">
        <v>45885</v>
      </c>
      <c r="TM4">
        <v>23601</v>
      </c>
      <c r="TN4">
        <v>40655</v>
      </c>
      <c r="TO4">
        <v>49643</v>
      </c>
      <c r="TP4">
        <v>54263</v>
      </c>
      <c r="TR4">
        <v>52381</v>
      </c>
      <c r="TS4">
        <v>60217</v>
      </c>
      <c r="TU4">
        <v>61875</v>
      </c>
      <c r="TV4">
        <v>58942</v>
      </c>
      <c r="TW4">
        <v>30352</v>
      </c>
      <c r="TX4">
        <v>74501</v>
      </c>
      <c r="TY4">
        <v>54743</v>
      </c>
      <c r="TZ4">
        <v>44609</v>
      </c>
      <c r="UA4">
        <v>62794</v>
      </c>
      <c r="UB4">
        <v>52350</v>
      </c>
      <c r="UC4">
        <v>44706</v>
      </c>
      <c r="UD4">
        <v>54688</v>
      </c>
      <c r="UE4">
        <v>54688</v>
      </c>
      <c r="UF4">
        <v>69083</v>
      </c>
      <c r="UG4">
        <v>133083</v>
      </c>
      <c r="UH4">
        <v>57308</v>
      </c>
      <c r="UK4">
        <v>46375</v>
      </c>
      <c r="UL4">
        <v>37679</v>
      </c>
      <c r="UM4">
        <v>83082</v>
      </c>
      <c r="UN4">
        <v>36094</v>
      </c>
      <c r="UO4">
        <v>77625</v>
      </c>
      <c r="UP4">
        <v>72386</v>
      </c>
      <c r="UQ4">
        <v>61197</v>
      </c>
      <c r="UR4">
        <v>45991</v>
      </c>
      <c r="US4">
        <v>51688</v>
      </c>
      <c r="UT4">
        <v>46282</v>
      </c>
      <c r="UU4">
        <v>64214</v>
      </c>
      <c r="UV4">
        <v>87720</v>
      </c>
      <c r="UW4">
        <v>29420</v>
      </c>
      <c r="UX4">
        <v>38784</v>
      </c>
      <c r="UY4">
        <v>30042</v>
      </c>
      <c r="VA4">
        <v>78447</v>
      </c>
      <c r="VB4">
        <v>49202</v>
      </c>
      <c r="VD4">
        <v>72452</v>
      </c>
      <c r="VE4">
        <v>44809</v>
      </c>
      <c r="VF4">
        <v>88434</v>
      </c>
      <c r="VG4">
        <v>65417</v>
      </c>
      <c r="VH4">
        <v>68998</v>
      </c>
      <c r="VI4">
        <v>75968</v>
      </c>
      <c r="VJ4">
        <v>43138</v>
      </c>
      <c r="VK4">
        <v>105679</v>
      </c>
      <c r="VL4">
        <v>73061</v>
      </c>
      <c r="VM4">
        <v>100450</v>
      </c>
      <c r="VN4">
        <v>101750</v>
      </c>
      <c r="VO4">
        <v>60233</v>
      </c>
      <c r="VQ4">
        <v>53500</v>
      </c>
      <c r="VR4">
        <v>74766</v>
      </c>
      <c r="VS4">
        <v>78036</v>
      </c>
      <c r="VT4">
        <v>77195</v>
      </c>
      <c r="VU4">
        <v>68472</v>
      </c>
      <c r="VV4">
        <v>91344</v>
      </c>
      <c r="VW4">
        <v>47782</v>
      </c>
      <c r="VX4">
        <v>122378</v>
      </c>
      <c r="VY4">
        <v>83145</v>
      </c>
      <c r="WA4">
        <v>109631</v>
      </c>
      <c r="WB4">
        <v>78483</v>
      </c>
      <c r="WC4">
        <v>61336</v>
      </c>
      <c r="WD4">
        <v>30962</v>
      </c>
      <c r="WE4">
        <v>52509</v>
      </c>
      <c r="WF4">
        <v>53303</v>
      </c>
      <c r="WG4">
        <v>65710</v>
      </c>
      <c r="WH4">
        <v>67120</v>
      </c>
      <c r="WI4">
        <v>81124</v>
      </c>
      <c r="WJ4">
        <v>45839</v>
      </c>
      <c r="WL4">
        <v>97807</v>
      </c>
      <c r="WM4">
        <v>137375</v>
      </c>
      <c r="WN4">
        <v>37109</v>
      </c>
      <c r="WO4">
        <v>69635</v>
      </c>
      <c r="WQ4">
        <v>37314</v>
      </c>
      <c r="WR4">
        <v>55895</v>
      </c>
      <c r="WS4">
        <v>45958</v>
      </c>
      <c r="WT4">
        <v>49547</v>
      </c>
      <c r="WU4">
        <v>46203</v>
      </c>
      <c r="WV4">
        <v>63203</v>
      </c>
      <c r="WW4">
        <v>92563</v>
      </c>
      <c r="WX4">
        <v>36834</v>
      </c>
      <c r="WY4">
        <v>40071</v>
      </c>
      <c r="WZ4">
        <v>108632</v>
      </c>
      <c r="XA4">
        <v>88988</v>
      </c>
      <c r="XC4">
        <v>69493</v>
      </c>
      <c r="XE4">
        <v>48520</v>
      </c>
      <c r="XF4">
        <v>42802</v>
      </c>
      <c r="XG4">
        <v>65629</v>
      </c>
      <c r="XH4">
        <v>64461</v>
      </c>
      <c r="XI4">
        <v>38737</v>
      </c>
      <c r="XJ4">
        <v>50938</v>
      </c>
      <c r="XK4">
        <v>50181</v>
      </c>
      <c r="XL4">
        <v>60682</v>
      </c>
      <c r="XM4">
        <v>48302</v>
      </c>
      <c r="XN4">
        <v>66912</v>
      </c>
      <c r="XP4">
        <v>75804</v>
      </c>
      <c r="XQ4">
        <v>51402</v>
      </c>
      <c r="XS4">
        <v>45565</v>
      </c>
      <c r="XT4">
        <v>58032</v>
      </c>
      <c r="XU4">
        <v>52665</v>
      </c>
      <c r="XV4">
        <v>53504</v>
      </c>
      <c r="XW4">
        <v>70516</v>
      </c>
      <c r="XY4">
        <v>47083</v>
      </c>
      <c r="XZ4">
        <v>74268</v>
      </c>
      <c r="YA4">
        <v>42540</v>
      </c>
      <c r="YB4">
        <v>250001</v>
      </c>
      <c r="YC4">
        <v>35694</v>
      </c>
      <c r="YD4">
        <v>62917</v>
      </c>
      <c r="YF4">
        <v>61778</v>
      </c>
      <c r="YG4">
        <v>60703</v>
      </c>
      <c r="YH4">
        <v>52558</v>
      </c>
      <c r="YI4">
        <v>84028</v>
      </c>
      <c r="YJ4">
        <v>65915</v>
      </c>
      <c r="YL4">
        <v>36111</v>
      </c>
      <c r="YM4">
        <v>56939</v>
      </c>
      <c r="YN4">
        <v>79156</v>
      </c>
      <c r="YO4">
        <v>50303</v>
      </c>
      <c r="YP4">
        <v>51597</v>
      </c>
      <c r="YQ4">
        <v>51522</v>
      </c>
      <c r="YS4">
        <v>50903</v>
      </c>
      <c r="YT4">
        <v>84526</v>
      </c>
      <c r="YU4">
        <v>52026</v>
      </c>
      <c r="YV4">
        <v>29500</v>
      </c>
      <c r="YW4">
        <v>63702</v>
      </c>
      <c r="YX4">
        <v>27411</v>
      </c>
      <c r="YY4">
        <v>72990</v>
      </c>
      <c r="YZ4">
        <v>83946</v>
      </c>
      <c r="ZA4">
        <v>46332</v>
      </c>
      <c r="ZB4">
        <v>45414</v>
      </c>
      <c r="ZC4">
        <v>63672</v>
      </c>
      <c r="ZD4">
        <v>65391</v>
      </c>
      <c r="ZE4">
        <v>93516</v>
      </c>
      <c r="ZF4">
        <v>54159</v>
      </c>
      <c r="ZG4">
        <v>59783</v>
      </c>
      <c r="ZH4">
        <v>41574</v>
      </c>
      <c r="ZI4">
        <v>37043</v>
      </c>
      <c r="ZJ4">
        <v>70833</v>
      </c>
      <c r="ZK4">
        <v>52396</v>
      </c>
      <c r="ZL4">
        <v>43750</v>
      </c>
      <c r="ZM4">
        <v>93980</v>
      </c>
      <c r="ZN4">
        <v>45106</v>
      </c>
      <c r="ZQ4">
        <v>35025</v>
      </c>
      <c r="ZS4">
        <v>42972</v>
      </c>
      <c r="ZT4">
        <v>50862</v>
      </c>
      <c r="ZU4">
        <v>41531</v>
      </c>
      <c r="ZV4">
        <v>57031</v>
      </c>
      <c r="ZW4">
        <v>85162</v>
      </c>
      <c r="ZX4">
        <v>33287</v>
      </c>
      <c r="ZY4">
        <v>60953</v>
      </c>
      <c r="ZZ4">
        <v>42905</v>
      </c>
      <c r="AAA4">
        <v>29821</v>
      </c>
      <c r="AAB4">
        <v>77177</v>
      </c>
      <c r="AAC4">
        <v>54167</v>
      </c>
      <c r="AAE4">
        <v>58500</v>
      </c>
      <c r="AAF4">
        <v>48903</v>
      </c>
      <c r="AAG4">
        <v>60000</v>
      </c>
      <c r="AAH4">
        <v>69950</v>
      </c>
      <c r="AAI4">
        <v>41667</v>
      </c>
      <c r="AAJ4">
        <v>60000</v>
      </c>
      <c r="AAK4">
        <v>56364</v>
      </c>
      <c r="AAL4">
        <v>38487</v>
      </c>
      <c r="AAM4">
        <v>42249</v>
      </c>
      <c r="AAO4">
        <v>77375</v>
      </c>
      <c r="AAP4">
        <v>79593</v>
      </c>
      <c r="AAQ4">
        <v>88312</v>
      </c>
      <c r="AAR4">
        <v>86573</v>
      </c>
      <c r="AAS4">
        <v>42083</v>
      </c>
      <c r="AAT4">
        <v>46858</v>
      </c>
      <c r="AAU4">
        <v>62978</v>
      </c>
      <c r="AAV4">
        <v>42115</v>
      </c>
      <c r="AAW4">
        <v>80125</v>
      </c>
      <c r="AAX4">
        <v>50833</v>
      </c>
      <c r="AAY4">
        <v>57128</v>
      </c>
      <c r="AAZ4">
        <v>74593</v>
      </c>
      <c r="ABA4">
        <v>47530</v>
      </c>
      <c r="ABB4">
        <v>39290</v>
      </c>
      <c r="ABC4">
        <v>52991</v>
      </c>
      <c r="ABD4">
        <v>53571</v>
      </c>
      <c r="ABE4">
        <v>56607</v>
      </c>
      <c r="ABF4">
        <v>92554</v>
      </c>
      <c r="ABG4">
        <v>47325</v>
      </c>
      <c r="ABH4">
        <v>55720</v>
      </c>
      <c r="ABI4">
        <v>63365</v>
      </c>
      <c r="ABJ4">
        <v>61530</v>
      </c>
      <c r="ABK4">
        <v>50460</v>
      </c>
      <c r="ABL4">
        <v>83693</v>
      </c>
      <c r="ABM4">
        <v>46056</v>
      </c>
      <c r="ABN4">
        <v>40962</v>
      </c>
      <c r="ABO4">
        <v>45833</v>
      </c>
      <c r="ABP4">
        <v>58480</v>
      </c>
      <c r="ABQ4">
        <v>53799</v>
      </c>
      <c r="ABR4">
        <v>45189</v>
      </c>
      <c r="ABS4">
        <v>103095</v>
      </c>
      <c r="ABT4">
        <v>56544</v>
      </c>
      <c r="ABU4">
        <v>58875</v>
      </c>
      <c r="ABV4">
        <v>109345</v>
      </c>
      <c r="ABW4">
        <v>109294</v>
      </c>
      <c r="ABY4">
        <v>90385</v>
      </c>
      <c r="ABZ4">
        <v>47500</v>
      </c>
      <c r="ACB4">
        <v>45417</v>
      </c>
      <c r="ACC4">
        <v>50663</v>
      </c>
      <c r="ACD4">
        <v>114468</v>
      </c>
      <c r="ACF4">
        <v>66302</v>
      </c>
      <c r="ACG4">
        <v>71420</v>
      </c>
      <c r="ACH4">
        <v>31742</v>
      </c>
      <c r="ACI4">
        <v>28698</v>
      </c>
      <c r="ACJ4">
        <v>85376</v>
      </c>
      <c r="ACK4">
        <v>34946</v>
      </c>
      <c r="ACL4">
        <v>109764</v>
      </c>
      <c r="ACM4">
        <v>61250</v>
      </c>
      <c r="ACN4">
        <v>98214</v>
      </c>
      <c r="ACO4">
        <v>65809</v>
      </c>
      <c r="ACP4">
        <v>61348</v>
      </c>
      <c r="ACQ4">
        <v>46771</v>
      </c>
      <c r="ACR4">
        <v>51424</v>
      </c>
      <c r="ACS4">
        <v>32401</v>
      </c>
      <c r="ACT4">
        <v>66291</v>
      </c>
      <c r="ACU4">
        <v>75236</v>
      </c>
      <c r="ACV4">
        <v>44965</v>
      </c>
      <c r="ACW4">
        <v>54453</v>
      </c>
      <c r="ACX4">
        <v>69166</v>
      </c>
      <c r="ACY4">
        <v>46765</v>
      </c>
      <c r="ACZ4">
        <v>47634</v>
      </c>
      <c r="ADA4">
        <v>45800</v>
      </c>
      <c r="ADB4">
        <v>53065</v>
      </c>
      <c r="ADC4">
        <v>55426</v>
      </c>
      <c r="ADD4">
        <v>55441</v>
      </c>
      <c r="ADE4">
        <v>49353</v>
      </c>
      <c r="ADF4">
        <v>65254</v>
      </c>
      <c r="ADG4">
        <v>46875</v>
      </c>
      <c r="ADH4">
        <v>61172</v>
      </c>
      <c r="ADI4">
        <v>53901</v>
      </c>
      <c r="ADK4">
        <v>47708</v>
      </c>
      <c r="ADM4">
        <v>52596</v>
      </c>
      <c r="ADN4">
        <v>22540</v>
      </c>
      <c r="ADO4">
        <v>66500</v>
      </c>
      <c r="ADP4">
        <v>43871</v>
      </c>
      <c r="ADQ4">
        <v>50130</v>
      </c>
      <c r="ADR4">
        <v>36661</v>
      </c>
      <c r="ADS4">
        <v>48382</v>
      </c>
      <c r="ADT4">
        <v>41536</v>
      </c>
      <c r="ADV4">
        <v>39965</v>
      </c>
      <c r="ADW4">
        <v>46458</v>
      </c>
      <c r="ADX4">
        <v>31023</v>
      </c>
      <c r="ADY4">
        <v>48077</v>
      </c>
      <c r="ADZ4">
        <v>50938</v>
      </c>
      <c r="AEA4">
        <v>51250</v>
      </c>
      <c r="AEC4">
        <v>35395</v>
      </c>
      <c r="AED4">
        <v>54639</v>
      </c>
      <c r="AEE4">
        <v>64387</v>
      </c>
      <c r="AEF4">
        <v>117480</v>
      </c>
      <c r="AEG4">
        <v>107360</v>
      </c>
      <c r="AEH4">
        <v>137946</v>
      </c>
      <c r="AEI4">
        <v>88262</v>
      </c>
      <c r="AEJ4">
        <v>151427</v>
      </c>
      <c r="AEK4">
        <v>82083</v>
      </c>
      <c r="AEL4">
        <v>118102</v>
      </c>
      <c r="AEM4">
        <v>151607</v>
      </c>
      <c r="AEN4">
        <v>41118</v>
      </c>
      <c r="AEO4">
        <v>151422</v>
      </c>
      <c r="AEQ4">
        <v>128177</v>
      </c>
      <c r="AER4">
        <v>104036</v>
      </c>
      <c r="AES4">
        <v>105508</v>
      </c>
      <c r="AET4">
        <v>119432</v>
      </c>
      <c r="AEU4">
        <v>165972</v>
      </c>
      <c r="AEW4">
        <v>124063</v>
      </c>
      <c r="AEX4">
        <v>146058</v>
      </c>
      <c r="AEY4">
        <v>104545</v>
      </c>
      <c r="AFC4">
        <v>87389</v>
      </c>
      <c r="AFD4">
        <v>233411</v>
      </c>
      <c r="AFF4">
        <v>139375</v>
      </c>
      <c r="AFG4">
        <v>163690</v>
      </c>
      <c r="AFH4">
        <v>160121</v>
      </c>
      <c r="AFI4">
        <v>161422</v>
      </c>
      <c r="AFJ4">
        <v>100593</v>
      </c>
      <c r="AFK4">
        <v>191429</v>
      </c>
      <c r="AFL4">
        <v>131974</v>
      </c>
      <c r="AFM4">
        <v>143116</v>
      </c>
      <c r="AFN4">
        <v>103048</v>
      </c>
      <c r="AFP4">
        <v>115748</v>
      </c>
      <c r="AFQ4">
        <v>104375</v>
      </c>
      <c r="AFR4">
        <v>121654</v>
      </c>
      <c r="AFU4">
        <v>86699</v>
      </c>
      <c r="AFV4">
        <v>88438</v>
      </c>
      <c r="AFX4">
        <v>70371</v>
      </c>
      <c r="AFY4">
        <v>171985</v>
      </c>
      <c r="AFZ4">
        <v>127269</v>
      </c>
      <c r="AGA4">
        <v>156657</v>
      </c>
      <c r="AGB4">
        <v>165764</v>
      </c>
      <c r="AGC4">
        <v>125732</v>
      </c>
      <c r="AGE4">
        <v>180060</v>
      </c>
      <c r="AGF4">
        <v>119135</v>
      </c>
      <c r="AGI4">
        <v>102950</v>
      </c>
      <c r="AGJ4">
        <v>161833</v>
      </c>
      <c r="AGK4">
        <v>122750</v>
      </c>
      <c r="AGL4">
        <v>201250</v>
      </c>
      <c r="AGM4">
        <v>126033</v>
      </c>
      <c r="AGN4">
        <v>141959</v>
      </c>
      <c r="AGO4">
        <v>85594</v>
      </c>
      <c r="AGP4">
        <v>110351</v>
      </c>
      <c r="AGQ4">
        <v>104523</v>
      </c>
      <c r="AGR4">
        <v>107706</v>
      </c>
      <c r="AGS4">
        <v>83367</v>
      </c>
      <c r="AGT4">
        <v>63810</v>
      </c>
      <c r="AGU4">
        <v>113576</v>
      </c>
      <c r="AGV4">
        <v>68846</v>
      </c>
      <c r="AGW4">
        <v>91099</v>
      </c>
      <c r="AGX4">
        <v>143732</v>
      </c>
      <c r="AGY4">
        <v>125034</v>
      </c>
      <c r="AGZ4">
        <v>158997</v>
      </c>
      <c r="AHA4">
        <v>163105</v>
      </c>
      <c r="AHB4">
        <v>91875</v>
      </c>
      <c r="AHC4">
        <v>138113</v>
      </c>
      <c r="AHD4">
        <v>118115</v>
      </c>
      <c r="AHE4">
        <v>140304</v>
      </c>
      <c r="AHF4">
        <v>126797</v>
      </c>
      <c r="AHG4">
        <v>126196</v>
      </c>
      <c r="AHH4">
        <v>159851</v>
      </c>
      <c r="AHI4">
        <v>86951</v>
      </c>
      <c r="AHJ4">
        <v>77317</v>
      </c>
      <c r="AHL4">
        <v>76466</v>
      </c>
      <c r="AHM4">
        <v>124190</v>
      </c>
      <c r="AHN4">
        <v>75236</v>
      </c>
      <c r="AHO4">
        <v>79330</v>
      </c>
      <c r="AHP4">
        <v>76298</v>
      </c>
      <c r="AHQ4">
        <v>83162</v>
      </c>
      <c r="AHR4">
        <v>123951</v>
      </c>
      <c r="AHS4">
        <v>167371</v>
      </c>
      <c r="AHT4">
        <v>103261</v>
      </c>
      <c r="AHU4">
        <v>240847</v>
      </c>
      <c r="AHV4">
        <v>250001</v>
      </c>
      <c r="AHW4">
        <v>87407</v>
      </c>
      <c r="AHX4">
        <v>76842</v>
      </c>
      <c r="AHY4">
        <v>118857</v>
      </c>
      <c r="AHZ4">
        <v>149545</v>
      </c>
      <c r="AIA4">
        <v>139773</v>
      </c>
      <c r="AIB4">
        <v>84096</v>
      </c>
      <c r="AID4">
        <v>139403</v>
      </c>
      <c r="AIE4">
        <v>128259</v>
      </c>
      <c r="AIF4">
        <v>149300</v>
      </c>
      <c r="AIG4">
        <v>226146</v>
      </c>
      <c r="AIH4">
        <v>205974</v>
      </c>
      <c r="AII4">
        <v>178452</v>
      </c>
      <c r="AIJ4">
        <v>86018</v>
      </c>
      <c r="AIK4">
        <v>90205</v>
      </c>
      <c r="AIL4">
        <v>86737</v>
      </c>
      <c r="AIM4">
        <v>86509</v>
      </c>
      <c r="AIN4">
        <v>85994</v>
      </c>
      <c r="AIO4">
        <v>116406</v>
      </c>
      <c r="AIP4">
        <v>213750</v>
      </c>
      <c r="AIQ4">
        <v>150996</v>
      </c>
      <c r="AIR4">
        <v>194971</v>
      </c>
      <c r="AIS4">
        <v>232656</v>
      </c>
      <c r="AIT4">
        <v>249332</v>
      </c>
      <c r="AIU4">
        <v>245982</v>
      </c>
      <c r="AIV4">
        <v>168524</v>
      </c>
      <c r="AIW4">
        <v>204375</v>
      </c>
      <c r="AIX4">
        <v>174063</v>
      </c>
      <c r="AIY4">
        <v>250001</v>
      </c>
      <c r="AIZ4">
        <v>160329</v>
      </c>
      <c r="AJA4">
        <v>184688</v>
      </c>
      <c r="AJB4">
        <v>204013</v>
      </c>
      <c r="AJC4">
        <v>125950</v>
      </c>
      <c r="AJD4">
        <v>126411</v>
      </c>
      <c r="AJE4">
        <v>122472</v>
      </c>
      <c r="AJF4">
        <v>159080</v>
      </c>
      <c r="AJG4">
        <v>250001</v>
      </c>
      <c r="AJH4">
        <v>149110</v>
      </c>
      <c r="AJJ4">
        <v>163438</v>
      </c>
      <c r="AJK4">
        <v>189667</v>
      </c>
      <c r="AJL4">
        <v>140308</v>
      </c>
      <c r="AJM4">
        <v>143333</v>
      </c>
      <c r="AJN4">
        <v>177523</v>
      </c>
      <c r="AJO4">
        <v>141050</v>
      </c>
      <c r="AJP4">
        <v>115022</v>
      </c>
      <c r="AJQ4">
        <v>119731</v>
      </c>
      <c r="AJR4">
        <v>92800</v>
      </c>
      <c r="AJS4">
        <v>144313</v>
      </c>
      <c r="AJT4">
        <v>112104</v>
      </c>
      <c r="AJU4">
        <v>134583</v>
      </c>
      <c r="AJV4">
        <v>184136</v>
      </c>
      <c r="AJW4">
        <v>98542</v>
      </c>
      <c r="AKA4">
        <v>173625</v>
      </c>
      <c r="AKB4">
        <v>250001</v>
      </c>
      <c r="AKC4">
        <v>24417</v>
      </c>
      <c r="AKD4">
        <v>131386</v>
      </c>
      <c r="AKE4">
        <v>114486</v>
      </c>
      <c r="AKF4">
        <v>80768</v>
      </c>
      <c r="AKG4">
        <v>96025</v>
      </c>
      <c r="AKH4">
        <v>159740</v>
      </c>
      <c r="AKI4">
        <v>97521</v>
      </c>
      <c r="AKJ4">
        <v>112134</v>
      </c>
      <c r="AKK4">
        <v>83870</v>
      </c>
      <c r="AKL4">
        <v>83238</v>
      </c>
      <c r="AKM4">
        <v>125208</v>
      </c>
      <c r="AKN4">
        <v>121660</v>
      </c>
      <c r="AKO4">
        <v>99410</v>
      </c>
      <c r="AKP4">
        <v>139432</v>
      </c>
      <c r="AKQ4">
        <v>171354</v>
      </c>
      <c r="AKR4">
        <v>116970</v>
      </c>
      <c r="AKS4">
        <v>137281</v>
      </c>
      <c r="AKT4">
        <v>106831</v>
      </c>
      <c r="AKU4">
        <v>84474</v>
      </c>
      <c r="AKV4">
        <v>137586</v>
      </c>
      <c r="AKW4">
        <v>243542</v>
      </c>
      <c r="AKX4">
        <v>89015</v>
      </c>
      <c r="AKZ4">
        <v>168653</v>
      </c>
      <c r="ALA4">
        <v>78047</v>
      </c>
      <c r="ALB4">
        <v>188347</v>
      </c>
      <c r="ALC4">
        <v>218036</v>
      </c>
      <c r="ALD4">
        <v>145787</v>
      </c>
      <c r="ALE4">
        <v>81704</v>
      </c>
      <c r="ALF4">
        <v>190061</v>
      </c>
      <c r="ALG4">
        <v>148125</v>
      </c>
      <c r="ALH4">
        <v>135057</v>
      </c>
      <c r="ALI4">
        <v>118563</v>
      </c>
      <c r="ALJ4">
        <v>127813</v>
      </c>
      <c r="ALK4">
        <v>157500</v>
      </c>
      <c r="ALL4">
        <v>131921</v>
      </c>
      <c r="ALM4">
        <v>125208</v>
      </c>
      <c r="ALN4">
        <v>232721</v>
      </c>
      <c r="ALO4">
        <v>77300</v>
      </c>
      <c r="ALP4">
        <v>89497</v>
      </c>
      <c r="ALQ4">
        <v>163825</v>
      </c>
      <c r="ALR4">
        <v>250001</v>
      </c>
      <c r="ALS4">
        <v>145924</v>
      </c>
      <c r="ALT4">
        <v>104715</v>
      </c>
      <c r="ALU4">
        <v>87751</v>
      </c>
      <c r="ALV4">
        <v>213500</v>
      </c>
      <c r="ALW4">
        <v>108536</v>
      </c>
      <c r="ALX4">
        <v>135303</v>
      </c>
      <c r="ALY4">
        <v>146869</v>
      </c>
      <c r="AMA4">
        <v>106667</v>
      </c>
      <c r="AMB4">
        <v>145571</v>
      </c>
      <c r="AMC4">
        <v>121509</v>
      </c>
      <c r="AMD4">
        <v>113714</v>
      </c>
      <c r="AME4">
        <v>129188</v>
      </c>
      <c r="AMF4">
        <v>138119</v>
      </c>
      <c r="AMG4">
        <v>125528</v>
      </c>
      <c r="AMH4">
        <v>135069</v>
      </c>
      <c r="AMI4">
        <v>191804</v>
      </c>
      <c r="AMK4">
        <v>151324</v>
      </c>
      <c r="AML4">
        <v>136304</v>
      </c>
      <c r="AMM4">
        <v>125639</v>
      </c>
      <c r="AMN4">
        <v>141344</v>
      </c>
      <c r="AMO4">
        <v>101831</v>
      </c>
      <c r="AMP4">
        <v>162052</v>
      </c>
      <c r="AMQ4">
        <v>127587</v>
      </c>
      <c r="AMR4">
        <v>128069</v>
      </c>
      <c r="AMS4">
        <v>17336</v>
      </c>
      <c r="AMT4">
        <v>197619</v>
      </c>
      <c r="AMU4">
        <v>132288</v>
      </c>
      <c r="AMV4">
        <v>80480</v>
      </c>
      <c r="AMW4">
        <v>118500</v>
      </c>
      <c r="AMX4">
        <v>170156</v>
      </c>
      <c r="AMY4">
        <v>136684</v>
      </c>
      <c r="AMZ4">
        <v>172122</v>
      </c>
      <c r="ANA4">
        <v>121350</v>
      </c>
      <c r="ANB4">
        <v>220179</v>
      </c>
      <c r="ANC4">
        <v>97658</v>
      </c>
      <c r="AND4">
        <v>123158</v>
      </c>
      <c r="ANF4">
        <v>104966</v>
      </c>
      <c r="ANG4">
        <v>109827</v>
      </c>
      <c r="ANH4">
        <v>106181</v>
      </c>
      <c r="ANI4">
        <v>108094</v>
      </c>
      <c r="ANJ4">
        <v>157813</v>
      </c>
      <c r="ANK4">
        <v>134672</v>
      </c>
      <c r="ANL4">
        <v>45640</v>
      </c>
      <c r="ANM4">
        <v>59377</v>
      </c>
      <c r="ANN4">
        <v>99606</v>
      </c>
      <c r="ANO4">
        <v>43176</v>
      </c>
      <c r="ANP4">
        <v>64531</v>
      </c>
      <c r="ANQ4">
        <v>67060</v>
      </c>
      <c r="ANR4">
        <v>90131</v>
      </c>
      <c r="ANS4">
        <v>91437</v>
      </c>
      <c r="ANT4">
        <v>112428</v>
      </c>
      <c r="ANU4">
        <v>82828</v>
      </c>
      <c r="ANV4">
        <v>96685</v>
      </c>
      <c r="ANW4">
        <v>51344</v>
      </c>
      <c r="ANX4">
        <v>86366</v>
      </c>
      <c r="ANY4">
        <v>51587</v>
      </c>
      <c r="ANZ4">
        <v>42031</v>
      </c>
      <c r="AOA4">
        <v>38409</v>
      </c>
      <c r="AOB4">
        <v>62488</v>
      </c>
      <c r="AOC4">
        <v>110438</v>
      </c>
      <c r="AOD4">
        <v>81817</v>
      </c>
      <c r="AOE4">
        <v>67340</v>
      </c>
      <c r="AOF4">
        <v>64141</v>
      </c>
      <c r="AOG4">
        <v>45840</v>
      </c>
      <c r="AOH4">
        <v>89017</v>
      </c>
      <c r="AOI4">
        <v>54020</v>
      </c>
      <c r="AOJ4">
        <v>82635</v>
      </c>
      <c r="AOK4">
        <v>85986</v>
      </c>
      <c r="AOL4">
        <v>112656</v>
      </c>
      <c r="AOM4">
        <v>60047</v>
      </c>
      <c r="AON4">
        <v>91842</v>
      </c>
      <c r="AOO4">
        <v>85254</v>
      </c>
      <c r="AOQ4">
        <v>83517</v>
      </c>
      <c r="AOR4">
        <v>95149</v>
      </c>
      <c r="AOS4">
        <v>91693</v>
      </c>
      <c r="AOT4">
        <v>62650</v>
      </c>
      <c r="AOV4">
        <v>85114</v>
      </c>
      <c r="APA4">
        <v>93808</v>
      </c>
      <c r="APC4">
        <v>123381</v>
      </c>
      <c r="APD4">
        <v>80893</v>
      </c>
      <c r="APE4">
        <v>123329</v>
      </c>
      <c r="APF4">
        <v>160703</v>
      </c>
      <c r="APG4">
        <v>147151</v>
      </c>
      <c r="APH4">
        <v>60725</v>
      </c>
      <c r="API4">
        <v>59852</v>
      </c>
      <c r="APJ4">
        <v>64194</v>
      </c>
      <c r="APK4">
        <v>59063</v>
      </c>
      <c r="APL4">
        <v>76417</v>
      </c>
      <c r="APM4">
        <v>37240</v>
      </c>
      <c r="APN4">
        <v>63542</v>
      </c>
      <c r="APO4">
        <v>63750</v>
      </c>
      <c r="APP4">
        <v>63690</v>
      </c>
      <c r="APQ4">
        <v>64205</v>
      </c>
      <c r="APR4">
        <v>61250</v>
      </c>
      <c r="APS4">
        <v>57708</v>
      </c>
      <c r="APT4">
        <v>81250</v>
      </c>
      <c r="APU4">
        <v>82955</v>
      </c>
      <c r="APX4">
        <v>60264</v>
      </c>
      <c r="APY4">
        <v>64921</v>
      </c>
      <c r="APZ4">
        <v>53266</v>
      </c>
      <c r="AQA4">
        <v>34936</v>
      </c>
      <c r="AQC4">
        <v>73858</v>
      </c>
      <c r="AQD4">
        <v>47500</v>
      </c>
      <c r="AQE4">
        <v>83680</v>
      </c>
      <c r="AQF4">
        <v>91250</v>
      </c>
      <c r="AQG4">
        <v>86250</v>
      </c>
      <c r="AQH4">
        <v>117794</v>
      </c>
      <c r="AQI4">
        <v>53890</v>
      </c>
      <c r="AQJ4">
        <v>116898</v>
      </c>
      <c r="AQK4">
        <v>107639</v>
      </c>
      <c r="AQL4">
        <v>80530</v>
      </c>
      <c r="AQM4">
        <v>68750</v>
      </c>
      <c r="AQN4">
        <v>78345</v>
      </c>
      <c r="AQO4">
        <v>89375</v>
      </c>
      <c r="AQP4">
        <v>83250</v>
      </c>
      <c r="AQR4">
        <v>96250</v>
      </c>
      <c r="AQS4">
        <v>115417</v>
      </c>
      <c r="AQT4">
        <v>73956</v>
      </c>
      <c r="AQU4">
        <v>73864</v>
      </c>
      <c r="AQV4">
        <v>61316</v>
      </c>
      <c r="AQW4">
        <v>83250</v>
      </c>
      <c r="AQX4">
        <v>101618</v>
      </c>
      <c r="AQY4">
        <v>73426</v>
      </c>
      <c r="AQZ4">
        <v>140086</v>
      </c>
      <c r="ARA4">
        <v>62772</v>
      </c>
      <c r="ARB4">
        <v>53558</v>
      </c>
      <c r="ARC4">
        <v>66875</v>
      </c>
      <c r="ARD4">
        <v>67219</v>
      </c>
      <c r="ARF4">
        <v>86118</v>
      </c>
      <c r="ARG4">
        <v>113472</v>
      </c>
      <c r="ARI4">
        <v>68542</v>
      </c>
      <c r="ARK4">
        <v>74063</v>
      </c>
      <c r="ARL4">
        <v>127930</v>
      </c>
      <c r="ARN4">
        <v>82772</v>
      </c>
      <c r="ARO4">
        <v>90385</v>
      </c>
      <c r="ARP4">
        <v>104940</v>
      </c>
      <c r="ARQ4">
        <v>128274</v>
      </c>
      <c r="ARR4">
        <v>73750</v>
      </c>
      <c r="ARS4">
        <v>80469</v>
      </c>
      <c r="ART4">
        <v>90492</v>
      </c>
      <c r="ARU4">
        <v>137404</v>
      </c>
      <c r="ARV4">
        <v>89775</v>
      </c>
      <c r="ARW4">
        <v>82721</v>
      </c>
      <c r="ARY4">
        <v>123645</v>
      </c>
      <c r="ARZ4">
        <v>64122</v>
      </c>
      <c r="ASA4">
        <v>78672</v>
      </c>
      <c r="ASB4">
        <v>116500</v>
      </c>
      <c r="ASC4">
        <v>45125</v>
      </c>
      <c r="ASD4">
        <v>83269</v>
      </c>
      <c r="ASE4">
        <v>68194</v>
      </c>
      <c r="ASI4">
        <v>71023</v>
      </c>
      <c r="ASJ4">
        <v>119821</v>
      </c>
      <c r="ASK4">
        <v>106577</v>
      </c>
      <c r="ASL4">
        <v>106983</v>
      </c>
      <c r="ASM4">
        <v>106334</v>
      </c>
      <c r="ASN4">
        <v>161063</v>
      </c>
      <c r="ASP4">
        <v>163864</v>
      </c>
      <c r="ASQ4">
        <v>91250</v>
      </c>
      <c r="ASR4">
        <v>96199</v>
      </c>
      <c r="ASS4">
        <v>161806</v>
      </c>
      <c r="ASU4">
        <v>109382</v>
      </c>
      <c r="ASV4">
        <v>158413</v>
      </c>
      <c r="ASW4">
        <v>93500</v>
      </c>
      <c r="ASX4">
        <v>65809</v>
      </c>
      <c r="ASY4">
        <v>88232</v>
      </c>
      <c r="ASZ4">
        <v>241250</v>
      </c>
      <c r="ATA4">
        <v>95236</v>
      </c>
      <c r="ATB4">
        <v>109896</v>
      </c>
      <c r="ATC4">
        <v>61392</v>
      </c>
      <c r="ATD4">
        <v>250001</v>
      </c>
      <c r="ATE4">
        <v>250001</v>
      </c>
      <c r="ATF4">
        <v>62873</v>
      </c>
      <c r="ATG4">
        <v>86288</v>
      </c>
      <c r="ATI4">
        <v>60625</v>
      </c>
      <c r="ATJ4">
        <v>182188</v>
      </c>
      <c r="ATK4">
        <v>137417</v>
      </c>
      <c r="ATL4">
        <v>101786</v>
      </c>
      <c r="ATM4">
        <v>100500</v>
      </c>
      <c r="ATN4">
        <v>111528</v>
      </c>
      <c r="ATP4">
        <v>62054</v>
      </c>
      <c r="ATQ4">
        <v>57940</v>
      </c>
      <c r="ATR4">
        <v>151563</v>
      </c>
      <c r="ATS4">
        <v>183571</v>
      </c>
      <c r="ATT4">
        <v>157302</v>
      </c>
      <c r="ATU4">
        <v>161908</v>
      </c>
      <c r="ATV4">
        <v>171103</v>
      </c>
      <c r="ATW4">
        <v>133409</v>
      </c>
      <c r="ATX4">
        <v>159708</v>
      </c>
      <c r="ATY4">
        <v>76458</v>
      </c>
      <c r="AUA4">
        <v>83785</v>
      </c>
      <c r="AUC4">
        <v>94130</v>
      </c>
      <c r="AUD4">
        <v>100750</v>
      </c>
      <c r="AUE4">
        <v>139395</v>
      </c>
      <c r="AUF4">
        <v>91682</v>
      </c>
      <c r="AUG4">
        <v>98856</v>
      </c>
      <c r="AUH4">
        <v>77656</v>
      </c>
      <c r="AUI4">
        <v>93015</v>
      </c>
      <c r="AUJ4">
        <v>121971</v>
      </c>
      <c r="AUK4">
        <v>231466</v>
      </c>
      <c r="AUL4">
        <v>87864</v>
      </c>
      <c r="AUM4">
        <v>189241</v>
      </c>
      <c r="AUN4">
        <v>116607</v>
      </c>
      <c r="AUO4">
        <v>71313</v>
      </c>
      <c r="AUP4">
        <v>73156</v>
      </c>
      <c r="AUR4">
        <v>90082</v>
      </c>
      <c r="AUS4">
        <v>121472</v>
      </c>
      <c r="AUU4">
        <v>55720</v>
      </c>
      <c r="AUV4">
        <v>60341</v>
      </c>
      <c r="AUW4">
        <v>84479</v>
      </c>
      <c r="AUX4">
        <v>90288</v>
      </c>
      <c r="AUY4">
        <v>64946</v>
      </c>
      <c r="AUZ4">
        <v>71359</v>
      </c>
      <c r="AVA4">
        <v>112991</v>
      </c>
      <c r="AVB4">
        <v>47083</v>
      </c>
      <c r="AVC4">
        <v>62880</v>
      </c>
      <c r="AVD4">
        <v>88438</v>
      </c>
      <c r="AVG4">
        <v>79876</v>
      </c>
      <c r="AVH4">
        <v>71211</v>
      </c>
      <c r="AVI4">
        <v>79665</v>
      </c>
      <c r="AVJ4">
        <v>53162</v>
      </c>
      <c r="AVK4">
        <v>69697</v>
      </c>
      <c r="AVL4">
        <v>88045</v>
      </c>
      <c r="AVM4">
        <v>86027</v>
      </c>
      <c r="AVO4">
        <v>61975</v>
      </c>
      <c r="AVP4">
        <v>82917</v>
      </c>
      <c r="AVQ4">
        <v>83155</v>
      </c>
      <c r="AVR4">
        <v>95250</v>
      </c>
      <c r="AVT4">
        <v>62045</v>
      </c>
      <c r="AVU4">
        <v>50524</v>
      </c>
      <c r="AVV4">
        <v>117888</v>
      </c>
      <c r="AVW4">
        <v>78393</v>
      </c>
      <c r="AVX4">
        <v>83665</v>
      </c>
      <c r="AVZ4">
        <v>113719</v>
      </c>
      <c r="AWB4">
        <v>78962</v>
      </c>
      <c r="AWC4">
        <v>88136</v>
      </c>
      <c r="AWD4">
        <v>104673</v>
      </c>
      <c r="AWE4">
        <v>69868</v>
      </c>
      <c r="AWF4">
        <v>87813</v>
      </c>
      <c r="AWG4">
        <v>66806</v>
      </c>
      <c r="AWH4">
        <v>95875</v>
      </c>
      <c r="AWI4">
        <v>96750</v>
      </c>
      <c r="AWJ4">
        <v>84587</v>
      </c>
      <c r="AWK4">
        <v>106500</v>
      </c>
      <c r="AWL4">
        <v>124146</v>
      </c>
      <c r="AWM4">
        <v>85775</v>
      </c>
      <c r="AWO4">
        <v>96580</v>
      </c>
      <c r="AWP4">
        <v>77163</v>
      </c>
      <c r="AWQ4">
        <v>76469</v>
      </c>
      <c r="AWR4">
        <v>65698</v>
      </c>
      <c r="AWS4">
        <v>96250</v>
      </c>
      <c r="AWT4">
        <v>66301</v>
      </c>
      <c r="AWU4">
        <v>44625</v>
      </c>
      <c r="AWV4">
        <v>57273</v>
      </c>
      <c r="AWW4">
        <v>59329</v>
      </c>
      <c r="AWX4">
        <v>73438</v>
      </c>
      <c r="AWY4">
        <v>59176</v>
      </c>
      <c r="AWZ4">
        <v>50489</v>
      </c>
      <c r="AXA4">
        <v>63552</v>
      </c>
      <c r="AXB4">
        <v>43281</v>
      </c>
      <c r="AXC4">
        <v>107924</v>
      </c>
      <c r="AXD4">
        <v>62813</v>
      </c>
      <c r="AXE4">
        <v>56682</v>
      </c>
      <c r="AXF4">
        <v>45469</v>
      </c>
      <c r="AXG4">
        <v>69137</v>
      </c>
      <c r="AXH4">
        <v>46377</v>
      </c>
      <c r="AXI4">
        <v>92601</v>
      </c>
      <c r="AXJ4">
        <v>78700</v>
      </c>
      <c r="AXK4">
        <v>46510</v>
      </c>
      <c r="AXL4">
        <v>74783</v>
      </c>
      <c r="AXM4">
        <v>71086</v>
      </c>
      <c r="AXN4">
        <v>64464</v>
      </c>
      <c r="AXO4">
        <v>71146</v>
      </c>
      <c r="AXP4">
        <v>60015</v>
      </c>
      <c r="AXQ4">
        <v>88750</v>
      </c>
      <c r="AXR4">
        <v>74804</v>
      </c>
      <c r="AXS4">
        <v>59024</v>
      </c>
      <c r="AXT4">
        <v>67974</v>
      </c>
      <c r="AXU4">
        <v>92560</v>
      </c>
      <c r="AXV4">
        <v>65970</v>
      </c>
      <c r="AXW4">
        <v>44198</v>
      </c>
      <c r="AXX4">
        <v>67012</v>
      </c>
      <c r="AXY4">
        <v>81529</v>
      </c>
      <c r="AXZ4">
        <v>44080</v>
      </c>
      <c r="AYA4">
        <v>68568</v>
      </c>
      <c r="AYB4">
        <v>60729</v>
      </c>
      <c r="AYE4">
        <v>61926</v>
      </c>
      <c r="AYF4">
        <v>55250</v>
      </c>
      <c r="AYH4">
        <v>46336</v>
      </c>
      <c r="AYI4">
        <v>65167</v>
      </c>
      <c r="AYJ4">
        <v>70211</v>
      </c>
      <c r="AYK4">
        <v>58947</v>
      </c>
      <c r="AYL4">
        <v>45861</v>
      </c>
      <c r="AYM4">
        <v>57108</v>
      </c>
      <c r="AYO4">
        <v>82655</v>
      </c>
      <c r="AYP4">
        <v>68825</v>
      </c>
      <c r="AYQ4">
        <v>51950</v>
      </c>
      <c r="AYR4">
        <v>51436</v>
      </c>
      <c r="AYS4">
        <v>64471</v>
      </c>
      <c r="AYT4">
        <v>83819</v>
      </c>
      <c r="AYU4">
        <v>101173</v>
      </c>
      <c r="AYV4">
        <v>63630</v>
      </c>
      <c r="AYX4">
        <v>84348</v>
      </c>
      <c r="AYY4">
        <v>75323</v>
      </c>
      <c r="AZA4">
        <v>72219</v>
      </c>
      <c r="AZB4">
        <v>80880</v>
      </c>
      <c r="AZC4">
        <v>50435</v>
      </c>
      <c r="AZD4">
        <v>62774</v>
      </c>
      <c r="AZF4">
        <v>78079</v>
      </c>
      <c r="AZH4">
        <v>42308</v>
      </c>
      <c r="AZI4">
        <v>65006</v>
      </c>
      <c r="AZJ4">
        <v>55801</v>
      </c>
      <c r="AZK4">
        <v>73981</v>
      </c>
      <c r="AZM4">
        <v>105887</v>
      </c>
      <c r="AZN4">
        <v>74547</v>
      </c>
      <c r="AZO4">
        <v>91512</v>
      </c>
      <c r="AZP4">
        <v>90402</v>
      </c>
      <c r="AZQ4">
        <v>82461</v>
      </c>
      <c r="AZR4">
        <v>52594</v>
      </c>
      <c r="AZS4">
        <v>89610</v>
      </c>
      <c r="AZT4">
        <v>57264</v>
      </c>
      <c r="AZU4">
        <v>63961</v>
      </c>
      <c r="AZV4">
        <v>69421</v>
      </c>
      <c r="AZW4">
        <v>65621</v>
      </c>
      <c r="AZX4">
        <v>83824</v>
      </c>
      <c r="AZY4">
        <v>79819</v>
      </c>
      <c r="AZZ4">
        <v>59541</v>
      </c>
      <c r="BAA4">
        <v>57934</v>
      </c>
      <c r="BAB4">
        <v>165898</v>
      </c>
      <c r="BAC4">
        <v>39044</v>
      </c>
      <c r="BAD4">
        <v>103104</v>
      </c>
      <c r="BAE4">
        <v>80875</v>
      </c>
      <c r="BAG4">
        <v>65272</v>
      </c>
      <c r="BAH4">
        <v>56727</v>
      </c>
      <c r="BAI4">
        <v>65988</v>
      </c>
      <c r="BAJ4">
        <v>56647</v>
      </c>
      <c r="BAK4">
        <v>54898</v>
      </c>
      <c r="BAL4">
        <v>79375</v>
      </c>
      <c r="BAM4">
        <v>61300</v>
      </c>
      <c r="BAN4">
        <v>78447</v>
      </c>
      <c r="BAP4">
        <v>58159</v>
      </c>
      <c r="BAQ4">
        <v>116731</v>
      </c>
      <c r="BAR4">
        <v>79931</v>
      </c>
      <c r="BAS4">
        <v>57320</v>
      </c>
      <c r="BAT4">
        <v>68807</v>
      </c>
      <c r="BAU4">
        <v>69306</v>
      </c>
      <c r="BAW4">
        <v>65911</v>
      </c>
      <c r="BAX4">
        <v>55347</v>
      </c>
      <c r="BAY4">
        <v>75287</v>
      </c>
      <c r="BAZ4">
        <v>138717</v>
      </c>
      <c r="BBA4">
        <v>61983</v>
      </c>
      <c r="BBB4">
        <v>69039</v>
      </c>
      <c r="BBC4">
        <v>63516</v>
      </c>
      <c r="BBE4">
        <v>74598</v>
      </c>
      <c r="BBF4">
        <v>90181</v>
      </c>
      <c r="BBG4">
        <v>38472</v>
      </c>
      <c r="BBH4">
        <v>47972</v>
      </c>
      <c r="BBI4">
        <v>57917</v>
      </c>
      <c r="BBJ4">
        <v>47431</v>
      </c>
      <c r="BBK4">
        <v>59563</v>
      </c>
      <c r="BBL4">
        <v>59427</v>
      </c>
      <c r="BBM4">
        <v>83862</v>
      </c>
      <c r="BBN4">
        <v>60281</v>
      </c>
      <c r="BBO4">
        <v>85291</v>
      </c>
      <c r="BBR4">
        <v>94349</v>
      </c>
      <c r="BBS4">
        <v>73336</v>
      </c>
      <c r="BBT4">
        <v>143922</v>
      </c>
      <c r="BBU4">
        <v>114425</v>
      </c>
      <c r="BBV4">
        <v>66724</v>
      </c>
      <c r="BBW4">
        <v>79462</v>
      </c>
      <c r="BBY4">
        <v>120849</v>
      </c>
      <c r="BBZ4">
        <v>50368</v>
      </c>
      <c r="BCA4">
        <v>73136</v>
      </c>
      <c r="BCB4">
        <v>61837</v>
      </c>
      <c r="BCC4">
        <v>107860</v>
      </c>
      <c r="BCD4">
        <v>121989</v>
      </c>
      <c r="BCE4">
        <v>92875</v>
      </c>
      <c r="BCF4">
        <v>106353</v>
      </c>
      <c r="BCG4">
        <v>128683</v>
      </c>
      <c r="BCH4">
        <v>123488</v>
      </c>
      <c r="BCI4">
        <v>165586</v>
      </c>
      <c r="BCJ4">
        <v>86322</v>
      </c>
      <c r="BCK4">
        <v>61590</v>
      </c>
      <c r="BCL4">
        <v>77094</v>
      </c>
      <c r="BCM4">
        <v>135625</v>
      </c>
      <c r="BCN4">
        <v>75827</v>
      </c>
      <c r="BCO4">
        <v>73036</v>
      </c>
      <c r="BCP4">
        <v>110017</v>
      </c>
      <c r="BCQ4">
        <v>115035</v>
      </c>
      <c r="BCR4">
        <v>85716</v>
      </c>
      <c r="BCS4">
        <v>54504</v>
      </c>
      <c r="BCV4">
        <v>62574</v>
      </c>
      <c r="BCW4">
        <v>39985</v>
      </c>
      <c r="BCX4">
        <v>57834</v>
      </c>
      <c r="BCY4">
        <v>145947</v>
      </c>
      <c r="BCZ4">
        <v>128989</v>
      </c>
      <c r="BDA4">
        <v>75305</v>
      </c>
      <c r="BDB4">
        <v>66038</v>
      </c>
      <c r="BDC4">
        <v>66304</v>
      </c>
      <c r="BDD4">
        <v>91527</v>
      </c>
      <c r="BDE4">
        <v>66746</v>
      </c>
      <c r="BDF4">
        <v>67879</v>
      </c>
      <c r="BDG4">
        <v>59375</v>
      </c>
      <c r="BDH4">
        <v>43952</v>
      </c>
      <c r="BDI4">
        <v>44531</v>
      </c>
      <c r="BDK4">
        <v>71541</v>
      </c>
      <c r="BDL4">
        <v>74490</v>
      </c>
      <c r="BDM4">
        <v>118417</v>
      </c>
      <c r="BDN4">
        <v>172955</v>
      </c>
      <c r="BDO4">
        <v>36287</v>
      </c>
      <c r="BDP4">
        <v>56432</v>
      </c>
      <c r="BDQ4">
        <v>66071</v>
      </c>
      <c r="BDR4">
        <v>78850</v>
      </c>
      <c r="BDT4">
        <v>131139</v>
      </c>
      <c r="BDU4">
        <v>90724</v>
      </c>
      <c r="BDV4">
        <v>45736</v>
      </c>
      <c r="BDW4">
        <v>66206</v>
      </c>
      <c r="BDX4">
        <v>66831</v>
      </c>
      <c r="BDY4">
        <v>62758</v>
      </c>
      <c r="BDZ4">
        <v>59492</v>
      </c>
      <c r="BEA4">
        <v>54375</v>
      </c>
      <c r="BEB4">
        <v>71484</v>
      </c>
      <c r="BEC4">
        <v>2499</v>
      </c>
      <c r="BED4">
        <v>133743</v>
      </c>
      <c r="BEE4">
        <v>46730</v>
      </c>
      <c r="BEF4">
        <v>85224</v>
      </c>
      <c r="BEG4">
        <v>104252</v>
      </c>
      <c r="BEJ4">
        <v>95940</v>
      </c>
      <c r="BEK4">
        <v>84625</v>
      </c>
      <c r="BEM4">
        <v>71350</v>
      </c>
      <c r="BEN4">
        <v>90484</v>
      </c>
      <c r="BEO4">
        <v>70375</v>
      </c>
      <c r="BEP4">
        <v>71096</v>
      </c>
      <c r="BEQ4">
        <v>78371</v>
      </c>
      <c r="BER4">
        <v>96775</v>
      </c>
      <c r="BES4">
        <v>162188</v>
      </c>
      <c r="BET4">
        <v>83065</v>
      </c>
      <c r="BEU4">
        <v>67932</v>
      </c>
      <c r="BEV4">
        <v>95988</v>
      </c>
      <c r="BEW4">
        <v>123966</v>
      </c>
      <c r="BEX4">
        <v>128834</v>
      </c>
      <c r="BEY4">
        <v>112754</v>
      </c>
      <c r="BEZ4">
        <v>83565</v>
      </c>
      <c r="BFA4">
        <v>110034</v>
      </c>
      <c r="BFD4">
        <v>69740</v>
      </c>
      <c r="BFE4">
        <v>89317</v>
      </c>
      <c r="BFF4">
        <v>69668</v>
      </c>
      <c r="BFG4">
        <v>73066</v>
      </c>
      <c r="BFH4">
        <v>74406</v>
      </c>
      <c r="BFK4">
        <v>91331</v>
      </c>
      <c r="BFL4">
        <v>100676</v>
      </c>
      <c r="BFM4">
        <v>44884</v>
      </c>
      <c r="BFN4">
        <v>60124</v>
      </c>
      <c r="BFO4">
        <v>61359</v>
      </c>
      <c r="BFP4">
        <v>52679</v>
      </c>
      <c r="BFQ4">
        <v>45809</v>
      </c>
      <c r="BFR4">
        <v>80382</v>
      </c>
      <c r="BFS4">
        <v>90472</v>
      </c>
      <c r="BFT4">
        <v>88750</v>
      </c>
      <c r="BFU4">
        <v>51277</v>
      </c>
      <c r="BFV4">
        <v>53268</v>
      </c>
      <c r="BFW4">
        <v>49267</v>
      </c>
      <c r="BFX4">
        <v>77368</v>
      </c>
      <c r="BFZ4">
        <v>33718</v>
      </c>
      <c r="BGA4">
        <v>77017</v>
      </c>
      <c r="BGB4">
        <v>58478</v>
      </c>
      <c r="BGC4">
        <v>38776</v>
      </c>
      <c r="BGD4">
        <v>50909</v>
      </c>
      <c r="BGF4">
        <v>63703</v>
      </c>
      <c r="BGG4">
        <v>34940</v>
      </c>
      <c r="BGH4">
        <v>42589</v>
      </c>
      <c r="BGI4">
        <v>43750</v>
      </c>
      <c r="BGK4">
        <v>96144</v>
      </c>
      <c r="BGL4">
        <v>49940</v>
      </c>
      <c r="BGM4">
        <v>58277</v>
      </c>
      <c r="BGN4">
        <v>54129</v>
      </c>
      <c r="BGO4">
        <v>36136</v>
      </c>
      <c r="BGP4">
        <v>52194</v>
      </c>
      <c r="BGQ4">
        <v>48935</v>
      </c>
      <c r="BGR4">
        <v>69830</v>
      </c>
      <c r="BGS4">
        <v>48094</v>
      </c>
      <c r="BGT4">
        <v>37857</v>
      </c>
      <c r="BGU4">
        <v>21667</v>
      </c>
      <c r="BGV4">
        <v>91202</v>
      </c>
      <c r="BGW4">
        <v>69306</v>
      </c>
      <c r="BGX4">
        <v>39076</v>
      </c>
      <c r="BGY4">
        <v>48707</v>
      </c>
      <c r="BGZ4">
        <v>55147</v>
      </c>
      <c r="BHA4">
        <v>62205</v>
      </c>
      <c r="BHB4">
        <v>46594</v>
      </c>
      <c r="BHC4">
        <v>65672</v>
      </c>
      <c r="BHD4">
        <v>66750</v>
      </c>
      <c r="BHE4">
        <v>55921</v>
      </c>
      <c r="BHG4">
        <v>42938</v>
      </c>
      <c r="BHH4">
        <v>66510</v>
      </c>
      <c r="BHI4">
        <v>61389</v>
      </c>
      <c r="BHJ4">
        <v>59713</v>
      </c>
      <c r="BHK4">
        <v>62083</v>
      </c>
      <c r="BHL4">
        <v>28681</v>
      </c>
      <c r="BHM4">
        <v>53333</v>
      </c>
      <c r="BHN4">
        <v>77933</v>
      </c>
      <c r="BHO4">
        <v>64201</v>
      </c>
      <c r="BHP4">
        <v>72708</v>
      </c>
      <c r="BHQ4">
        <v>63036</v>
      </c>
      <c r="BHR4">
        <v>43301</v>
      </c>
      <c r="BHS4">
        <v>49502</v>
      </c>
      <c r="BHT4">
        <v>46172</v>
      </c>
      <c r="BHU4">
        <v>39167</v>
      </c>
      <c r="BHV4">
        <v>25625</v>
      </c>
      <c r="BHW4">
        <v>33250</v>
      </c>
      <c r="BHX4">
        <v>21991</v>
      </c>
      <c r="BHY4">
        <v>51040</v>
      </c>
      <c r="BIA4">
        <v>53382</v>
      </c>
      <c r="BIB4">
        <v>32500</v>
      </c>
      <c r="BIC4">
        <v>79375</v>
      </c>
      <c r="BIE4">
        <v>52691</v>
      </c>
      <c r="BIF4">
        <v>61185</v>
      </c>
      <c r="BIG4">
        <v>64306</v>
      </c>
      <c r="BIH4">
        <v>59784</v>
      </c>
      <c r="BII4">
        <v>52850</v>
      </c>
      <c r="BIJ4">
        <v>55167</v>
      </c>
      <c r="BIK4">
        <v>53179</v>
      </c>
      <c r="BIL4">
        <v>36875</v>
      </c>
      <c r="BIM4">
        <v>67942</v>
      </c>
      <c r="BIN4">
        <v>48223</v>
      </c>
      <c r="BIO4">
        <v>42810</v>
      </c>
      <c r="BIP4">
        <v>75696</v>
      </c>
      <c r="BIQ4">
        <v>56694</v>
      </c>
      <c r="BIR4">
        <v>66732</v>
      </c>
      <c r="BIS4">
        <v>43144</v>
      </c>
      <c r="BIT4">
        <v>35365</v>
      </c>
      <c r="BIU4">
        <v>79329</v>
      </c>
      <c r="BIW4">
        <v>102883</v>
      </c>
      <c r="BIY4">
        <v>94473</v>
      </c>
      <c r="BIZ4">
        <v>49250</v>
      </c>
      <c r="BJA4">
        <v>69289</v>
      </c>
      <c r="BJB4">
        <v>72469</v>
      </c>
      <c r="BJC4">
        <v>41522</v>
      </c>
      <c r="BJD4">
        <v>57333</v>
      </c>
      <c r="BJE4">
        <v>120568</v>
      </c>
      <c r="BJF4">
        <v>65625</v>
      </c>
      <c r="BJG4">
        <v>132713</v>
      </c>
      <c r="BJH4">
        <v>53490</v>
      </c>
      <c r="BJI4">
        <v>82115</v>
      </c>
      <c r="BJJ4">
        <v>43846</v>
      </c>
      <c r="BJK4">
        <v>70086</v>
      </c>
      <c r="BJL4">
        <v>65217</v>
      </c>
      <c r="BJM4">
        <v>62463</v>
      </c>
      <c r="BJN4">
        <v>50893</v>
      </c>
      <c r="BJO4">
        <v>44271</v>
      </c>
      <c r="BJP4">
        <v>57188</v>
      </c>
      <c r="BJQ4">
        <v>67938</v>
      </c>
      <c r="BJR4">
        <v>74421</v>
      </c>
      <c r="BJS4">
        <v>78125</v>
      </c>
      <c r="BJT4">
        <v>86193</v>
      </c>
      <c r="BJU4">
        <v>120662</v>
      </c>
      <c r="BJV4">
        <v>88250</v>
      </c>
      <c r="BJW4">
        <v>53250</v>
      </c>
      <c r="BJX4">
        <v>80587</v>
      </c>
      <c r="BJZ4">
        <v>36875</v>
      </c>
      <c r="BKA4">
        <v>112177</v>
      </c>
      <c r="BKB4">
        <v>91264</v>
      </c>
      <c r="BKC4">
        <v>77583</v>
      </c>
      <c r="BKD4">
        <v>41774</v>
      </c>
      <c r="BKF4">
        <v>63542</v>
      </c>
      <c r="BKG4">
        <v>78507</v>
      </c>
      <c r="BKK4">
        <v>37578</v>
      </c>
      <c r="BKM4">
        <v>86375</v>
      </c>
      <c r="BKN4">
        <v>80395</v>
      </c>
      <c r="BKO4">
        <v>91314</v>
      </c>
      <c r="BKP4">
        <v>60192</v>
      </c>
      <c r="BKQ4">
        <v>63170</v>
      </c>
      <c r="BKR4">
        <v>66111</v>
      </c>
      <c r="BKS4">
        <v>88750</v>
      </c>
      <c r="BKU4">
        <v>44441</v>
      </c>
      <c r="BKV4">
        <v>63233</v>
      </c>
      <c r="BKW4">
        <v>49784</v>
      </c>
      <c r="BKX4">
        <v>54804</v>
      </c>
      <c r="BKY4">
        <v>51932</v>
      </c>
      <c r="BKZ4">
        <v>60648</v>
      </c>
      <c r="BLA4">
        <v>53145</v>
      </c>
      <c r="BLB4">
        <v>83391</v>
      </c>
      <c r="BLC4">
        <v>57147</v>
      </c>
      <c r="BLE4">
        <v>50727</v>
      </c>
      <c r="BLG4">
        <v>59978</v>
      </c>
      <c r="BLH4">
        <v>63429</v>
      </c>
      <c r="BLI4">
        <v>62257</v>
      </c>
      <c r="BLK4">
        <v>79545</v>
      </c>
      <c r="BLL4">
        <v>92219</v>
      </c>
      <c r="BLM4">
        <v>113368</v>
      </c>
      <c r="BLN4">
        <v>60924</v>
      </c>
      <c r="BLO4">
        <v>78458</v>
      </c>
      <c r="BLP4">
        <v>62083</v>
      </c>
      <c r="BLQ4">
        <v>156496</v>
      </c>
      <c r="BLR4">
        <v>111703</v>
      </c>
      <c r="BLT4">
        <v>58816</v>
      </c>
      <c r="BLV4">
        <v>20833</v>
      </c>
      <c r="BLW4">
        <v>42276</v>
      </c>
      <c r="BLX4">
        <v>49643</v>
      </c>
      <c r="BLY4">
        <v>61035</v>
      </c>
      <c r="BLZ4">
        <v>90427</v>
      </c>
      <c r="BMA4">
        <v>93354</v>
      </c>
      <c r="BMB4">
        <v>93125</v>
      </c>
      <c r="BMC4">
        <v>52557</v>
      </c>
      <c r="BME4">
        <v>144288</v>
      </c>
      <c r="BMG4">
        <v>31366</v>
      </c>
      <c r="BMH4">
        <v>120831</v>
      </c>
      <c r="BMI4">
        <v>100516</v>
      </c>
      <c r="BMJ4">
        <v>71997</v>
      </c>
      <c r="BMK4">
        <v>71665</v>
      </c>
      <c r="BML4">
        <v>66257</v>
      </c>
      <c r="BMM4">
        <v>62414</v>
      </c>
      <c r="BMN4">
        <v>59872</v>
      </c>
      <c r="BMO4">
        <v>75000</v>
      </c>
      <c r="BMP4">
        <v>57714</v>
      </c>
      <c r="BMQ4">
        <v>52917</v>
      </c>
      <c r="BMR4">
        <v>60984</v>
      </c>
      <c r="BMS4">
        <v>76594</v>
      </c>
      <c r="BMT4">
        <v>53000</v>
      </c>
      <c r="BMU4">
        <v>111042</v>
      </c>
      <c r="BMW4">
        <v>76924</v>
      </c>
      <c r="BMX4">
        <v>138017</v>
      </c>
      <c r="BMY4">
        <v>108190</v>
      </c>
      <c r="BMZ4">
        <v>105122</v>
      </c>
      <c r="BNB4">
        <v>31208</v>
      </c>
      <c r="BNC4">
        <v>83480</v>
      </c>
      <c r="BND4">
        <v>80495</v>
      </c>
      <c r="BNE4">
        <v>60500</v>
      </c>
      <c r="BNF4">
        <v>87787</v>
      </c>
      <c r="BNG4">
        <v>112976</v>
      </c>
      <c r="BNH4">
        <v>50194</v>
      </c>
      <c r="BNI4">
        <v>78231</v>
      </c>
      <c r="BNJ4">
        <v>80778</v>
      </c>
      <c r="BNK4">
        <v>85739</v>
      </c>
      <c r="BNL4">
        <v>69125</v>
      </c>
      <c r="BNM4">
        <v>53818</v>
      </c>
      <c r="BNN4">
        <v>69906</v>
      </c>
      <c r="BNO4">
        <v>46549</v>
      </c>
      <c r="BNP4">
        <v>85681</v>
      </c>
      <c r="BNQ4">
        <v>66920</v>
      </c>
      <c r="BNR4">
        <v>83304</v>
      </c>
      <c r="BNS4">
        <v>67163</v>
      </c>
      <c r="BNT4">
        <v>66896</v>
      </c>
      <c r="BNU4">
        <v>56558</v>
      </c>
      <c r="BNV4">
        <v>52568</v>
      </c>
      <c r="BNW4">
        <v>69279</v>
      </c>
      <c r="BNX4">
        <v>65060</v>
      </c>
      <c r="BNY4">
        <v>55832</v>
      </c>
      <c r="BNZ4">
        <v>57806</v>
      </c>
      <c r="BOA4">
        <v>63036</v>
      </c>
      <c r="BOB4">
        <v>40868</v>
      </c>
      <c r="BOC4">
        <v>72386</v>
      </c>
      <c r="BOD4">
        <v>79728</v>
      </c>
      <c r="BOE4">
        <v>93511</v>
      </c>
      <c r="BOF4">
        <v>59732</v>
      </c>
      <c r="BOG4">
        <v>61220</v>
      </c>
      <c r="BOI4">
        <v>39548</v>
      </c>
      <c r="BOJ4">
        <v>150597</v>
      </c>
      <c r="BOK4">
        <v>71136</v>
      </c>
      <c r="BOL4">
        <v>105889</v>
      </c>
      <c r="BOM4">
        <v>104696</v>
      </c>
      <c r="BON4">
        <v>92054</v>
      </c>
      <c r="BOO4">
        <v>75622</v>
      </c>
      <c r="BOP4">
        <v>61818</v>
      </c>
      <c r="BOQ4">
        <v>217204</v>
      </c>
      <c r="BOR4">
        <v>55431</v>
      </c>
      <c r="BOS4">
        <v>101873</v>
      </c>
      <c r="BOT4">
        <v>100824</v>
      </c>
      <c r="BOU4">
        <v>132917</v>
      </c>
      <c r="BOV4">
        <v>52723</v>
      </c>
      <c r="BOW4">
        <v>58146</v>
      </c>
      <c r="BOX4">
        <v>86447</v>
      </c>
      <c r="BOY4">
        <v>71162</v>
      </c>
      <c r="BOZ4">
        <v>65795</v>
      </c>
      <c r="BPA4">
        <v>64028</v>
      </c>
      <c r="BPC4">
        <v>118606</v>
      </c>
      <c r="BPD4">
        <v>77115</v>
      </c>
      <c r="BPF4">
        <v>69231</v>
      </c>
      <c r="BPG4">
        <v>81517</v>
      </c>
      <c r="BPH4">
        <v>131667</v>
      </c>
      <c r="BPI4">
        <v>87350</v>
      </c>
      <c r="BPK4">
        <v>128627</v>
      </c>
      <c r="BPL4">
        <v>125470</v>
      </c>
      <c r="BPO4">
        <v>39198</v>
      </c>
      <c r="BPP4">
        <v>58223</v>
      </c>
      <c r="BPQ4">
        <v>58563</v>
      </c>
      <c r="BPR4">
        <v>78148</v>
      </c>
      <c r="BPS4">
        <v>67544</v>
      </c>
      <c r="BPT4">
        <v>51420</v>
      </c>
      <c r="BPW4">
        <v>62170</v>
      </c>
      <c r="BPX4">
        <v>67754</v>
      </c>
      <c r="BPY4">
        <v>62249</v>
      </c>
      <c r="BPZ4">
        <v>77418</v>
      </c>
      <c r="BQA4">
        <v>56439</v>
      </c>
      <c r="BQB4">
        <v>57500</v>
      </c>
      <c r="BQC4">
        <v>69095</v>
      </c>
      <c r="BQD4">
        <v>54375</v>
      </c>
      <c r="BQE4">
        <v>75431</v>
      </c>
      <c r="BQF4">
        <v>87434</v>
      </c>
      <c r="BQG4">
        <v>52942</v>
      </c>
      <c r="BQJ4">
        <v>77250</v>
      </c>
      <c r="BQK4">
        <v>50188</v>
      </c>
      <c r="BQL4">
        <v>53036</v>
      </c>
      <c r="BQM4">
        <v>36227</v>
      </c>
      <c r="BQN4">
        <v>58532</v>
      </c>
      <c r="BQO4">
        <v>50313</v>
      </c>
      <c r="BQP4">
        <v>39746</v>
      </c>
      <c r="BQQ4">
        <v>57431</v>
      </c>
      <c r="BQR4">
        <v>138125</v>
      </c>
      <c r="BQS4">
        <v>29306</v>
      </c>
      <c r="BQT4">
        <v>48737</v>
      </c>
      <c r="BQU4">
        <v>40957</v>
      </c>
      <c r="BQV4">
        <v>39110</v>
      </c>
      <c r="BQW4">
        <v>66129</v>
      </c>
      <c r="BQX4">
        <v>54139</v>
      </c>
      <c r="BQZ4">
        <v>50156</v>
      </c>
      <c r="BRA4">
        <v>43728</v>
      </c>
      <c r="BRC4">
        <v>72150</v>
      </c>
      <c r="BRD4">
        <v>49116</v>
      </c>
      <c r="BRE4">
        <v>48467</v>
      </c>
      <c r="BRG4">
        <v>46598</v>
      </c>
      <c r="BRH4">
        <v>36667</v>
      </c>
      <c r="BRI4">
        <v>53269</v>
      </c>
      <c r="BRJ4">
        <v>34178</v>
      </c>
      <c r="BRK4">
        <v>52174</v>
      </c>
      <c r="BRL4">
        <v>53310</v>
      </c>
      <c r="BRO4">
        <v>40000</v>
      </c>
      <c r="BRP4">
        <v>67257</v>
      </c>
      <c r="BRQ4">
        <v>36552</v>
      </c>
      <c r="BRR4">
        <v>81538</v>
      </c>
      <c r="BRS4">
        <v>111311</v>
      </c>
      <c r="BRT4">
        <v>74327</v>
      </c>
      <c r="BRU4">
        <v>66471</v>
      </c>
      <c r="BRV4">
        <v>37326</v>
      </c>
      <c r="BRX4">
        <v>49149</v>
      </c>
      <c r="BRY4">
        <v>68854</v>
      </c>
      <c r="BRZ4">
        <v>39214</v>
      </c>
      <c r="BSA4">
        <v>51167</v>
      </c>
      <c r="BSB4">
        <v>66860</v>
      </c>
      <c r="BSC4">
        <v>31777</v>
      </c>
      <c r="BSD4">
        <v>74830</v>
      </c>
      <c r="BSE4">
        <v>62972</v>
      </c>
      <c r="BSF4">
        <v>72955</v>
      </c>
      <c r="BSH4">
        <v>37544</v>
      </c>
      <c r="BSI4">
        <v>79643</v>
      </c>
      <c r="BSJ4">
        <v>84375</v>
      </c>
      <c r="BSK4">
        <v>63250</v>
      </c>
      <c r="BSL4">
        <v>47458</v>
      </c>
      <c r="BSM4">
        <v>33512</v>
      </c>
      <c r="BSN4">
        <v>57968</v>
      </c>
      <c r="BSO4">
        <v>54547</v>
      </c>
      <c r="BSP4">
        <v>70274</v>
      </c>
      <c r="BSQ4">
        <v>111048</v>
      </c>
      <c r="BSR4">
        <v>97387</v>
      </c>
      <c r="BSS4">
        <v>71636</v>
      </c>
      <c r="BST4">
        <v>53935</v>
      </c>
      <c r="BSU4">
        <v>60025</v>
      </c>
      <c r="BSV4">
        <v>69412</v>
      </c>
      <c r="BSW4">
        <v>52250</v>
      </c>
      <c r="BSX4">
        <v>48875</v>
      </c>
      <c r="BSY4">
        <v>66478</v>
      </c>
      <c r="BSZ4">
        <v>93241</v>
      </c>
      <c r="BTA4">
        <v>72337</v>
      </c>
      <c r="BTB4">
        <v>68356</v>
      </c>
      <c r="BTC4">
        <v>40888</v>
      </c>
      <c r="BTD4">
        <v>90815</v>
      </c>
      <c r="BTE4">
        <v>36944</v>
      </c>
      <c r="BTF4">
        <v>49643</v>
      </c>
      <c r="BTG4">
        <v>46429</v>
      </c>
      <c r="BTH4">
        <v>64297</v>
      </c>
      <c r="BTI4">
        <v>59199</v>
      </c>
      <c r="BTJ4">
        <v>32361</v>
      </c>
      <c r="BTK4">
        <v>51250</v>
      </c>
      <c r="BTL4">
        <v>60964</v>
      </c>
      <c r="BTM4">
        <v>90477</v>
      </c>
      <c r="BTN4">
        <v>44330</v>
      </c>
      <c r="BTO4">
        <v>84016</v>
      </c>
      <c r="BTP4">
        <v>77134</v>
      </c>
      <c r="BTQ4">
        <v>53378</v>
      </c>
      <c r="BTR4">
        <v>107563</v>
      </c>
      <c r="BTS4">
        <v>69554</v>
      </c>
      <c r="BTT4">
        <v>81481</v>
      </c>
      <c r="BTV4">
        <v>61165</v>
      </c>
      <c r="BTW4">
        <v>73015</v>
      </c>
      <c r="BTX4">
        <v>37760</v>
      </c>
      <c r="BTY4">
        <v>49670</v>
      </c>
      <c r="BTZ4">
        <v>78178</v>
      </c>
      <c r="BUA4">
        <v>40338</v>
      </c>
      <c r="BUB4">
        <v>88908</v>
      </c>
      <c r="BUC4">
        <v>82692</v>
      </c>
      <c r="BUD4">
        <v>60349</v>
      </c>
      <c r="BUE4">
        <v>45239</v>
      </c>
      <c r="BUF4">
        <v>60130</v>
      </c>
      <c r="BUG4">
        <v>86194</v>
      </c>
      <c r="BUH4">
        <v>65558</v>
      </c>
      <c r="BUI4">
        <v>75341</v>
      </c>
      <c r="BUJ4">
        <v>83358</v>
      </c>
      <c r="BUK4">
        <v>90684</v>
      </c>
      <c r="BUL4">
        <v>65030</v>
      </c>
      <c r="BUM4">
        <v>42003</v>
      </c>
      <c r="BUN4">
        <v>73388</v>
      </c>
      <c r="BUO4">
        <v>80391</v>
      </c>
      <c r="BUP4">
        <v>172500</v>
      </c>
      <c r="BUQ4">
        <v>35118</v>
      </c>
      <c r="BUR4">
        <v>53583</v>
      </c>
      <c r="BUS4">
        <v>34567</v>
      </c>
      <c r="BUU4">
        <v>58839</v>
      </c>
      <c r="BUV4">
        <v>55978</v>
      </c>
      <c r="BUW4">
        <v>91488</v>
      </c>
      <c r="BUX4">
        <v>57285</v>
      </c>
      <c r="BUY4">
        <v>31715</v>
      </c>
      <c r="BUZ4">
        <v>66057</v>
      </c>
      <c r="BVA4">
        <v>54127</v>
      </c>
      <c r="BVB4">
        <v>38988</v>
      </c>
      <c r="BVC4">
        <v>80859</v>
      </c>
      <c r="BVD4">
        <v>47813</v>
      </c>
      <c r="BVE4">
        <v>45452</v>
      </c>
      <c r="BVF4">
        <v>74219</v>
      </c>
      <c r="BVG4">
        <v>59191</v>
      </c>
      <c r="BVH4">
        <v>39110</v>
      </c>
      <c r="BVI4">
        <v>74190</v>
      </c>
      <c r="BVJ4">
        <v>64000</v>
      </c>
      <c r="BVK4">
        <v>65060</v>
      </c>
      <c r="BVL4">
        <v>37361</v>
      </c>
      <c r="BVM4">
        <v>60000</v>
      </c>
      <c r="BVN4">
        <v>60605</v>
      </c>
      <c r="BVQ4">
        <v>56953</v>
      </c>
      <c r="BVR4">
        <v>66976</v>
      </c>
      <c r="BVS4">
        <v>65625</v>
      </c>
      <c r="BVT4">
        <v>125491</v>
      </c>
      <c r="BVU4">
        <v>50649</v>
      </c>
      <c r="BVV4">
        <v>52354</v>
      </c>
      <c r="BVW4">
        <v>63561</v>
      </c>
      <c r="BVX4">
        <v>67588</v>
      </c>
      <c r="BVY4">
        <v>49092</v>
      </c>
      <c r="BVZ4">
        <v>63841</v>
      </c>
      <c r="BWA4">
        <v>88984</v>
      </c>
      <c r="BWC4">
        <v>69236</v>
      </c>
      <c r="BWE4">
        <v>68528</v>
      </c>
      <c r="BWF4">
        <v>65411</v>
      </c>
      <c r="BWG4">
        <v>75012</v>
      </c>
      <c r="BWH4">
        <v>70229</v>
      </c>
      <c r="BWI4">
        <v>63393</v>
      </c>
      <c r="BWJ4">
        <v>55660</v>
      </c>
      <c r="BWK4">
        <v>63554</v>
      </c>
      <c r="BWL4">
        <v>67416</v>
      </c>
      <c r="BWN4">
        <v>96563</v>
      </c>
      <c r="BWO4">
        <v>69900</v>
      </c>
      <c r="BWP4">
        <v>64519</v>
      </c>
      <c r="BWQ4">
        <v>50028</v>
      </c>
      <c r="BWS4">
        <v>89348</v>
      </c>
      <c r="BWT4">
        <v>87414</v>
      </c>
      <c r="BWU4">
        <v>60855</v>
      </c>
      <c r="BWV4">
        <v>57041</v>
      </c>
      <c r="BWW4">
        <v>35833</v>
      </c>
      <c r="BWY4">
        <v>83880</v>
      </c>
      <c r="BWZ4">
        <v>89773</v>
      </c>
      <c r="BXA4">
        <v>67817</v>
      </c>
      <c r="BXB4">
        <v>62048</v>
      </c>
      <c r="BXC4">
        <v>76319</v>
      </c>
      <c r="BXD4">
        <v>76477</v>
      </c>
      <c r="BXE4">
        <v>56600</v>
      </c>
      <c r="BXF4">
        <v>46639</v>
      </c>
      <c r="BXG4">
        <v>77679</v>
      </c>
      <c r="BXH4">
        <v>65722</v>
      </c>
      <c r="BXJ4">
        <v>54934</v>
      </c>
      <c r="BXK4">
        <v>58707</v>
      </c>
      <c r="BXL4">
        <v>51653</v>
      </c>
      <c r="BXN4">
        <v>62204</v>
      </c>
      <c r="BXO4">
        <v>59653</v>
      </c>
      <c r="BXP4">
        <v>34881</v>
      </c>
      <c r="BXQ4">
        <v>53616</v>
      </c>
      <c r="BXR4">
        <v>44028</v>
      </c>
      <c r="BXS4">
        <v>53384</v>
      </c>
      <c r="BXT4">
        <v>51836</v>
      </c>
      <c r="BXU4">
        <v>64060</v>
      </c>
      <c r="BXV4">
        <v>73675</v>
      </c>
      <c r="BXW4">
        <v>46474</v>
      </c>
      <c r="BXX4">
        <v>74375</v>
      </c>
      <c r="BXZ4">
        <v>63835</v>
      </c>
      <c r="BYB4">
        <v>60426</v>
      </c>
      <c r="BYC4">
        <v>44901</v>
      </c>
      <c r="BYD4">
        <v>65435</v>
      </c>
      <c r="BYE4">
        <v>67500</v>
      </c>
      <c r="BYF4">
        <v>67135</v>
      </c>
      <c r="BYG4">
        <v>53155</v>
      </c>
      <c r="BYI4">
        <v>44543</v>
      </c>
      <c r="BYJ4">
        <v>44509</v>
      </c>
      <c r="BYK4">
        <v>52798</v>
      </c>
      <c r="BYL4">
        <v>51650</v>
      </c>
      <c r="BYM4">
        <v>76736</v>
      </c>
      <c r="BYN4">
        <v>47016</v>
      </c>
      <c r="BYO4">
        <v>74922</v>
      </c>
      <c r="BYP4">
        <v>61623</v>
      </c>
      <c r="BYS4">
        <v>57438</v>
      </c>
      <c r="BYT4">
        <v>57713</v>
      </c>
      <c r="BYU4">
        <v>59702</v>
      </c>
      <c r="BYV4">
        <v>72042</v>
      </c>
      <c r="BYW4">
        <v>50280</v>
      </c>
      <c r="BYX4">
        <v>77278</v>
      </c>
      <c r="BYZ4">
        <v>80457</v>
      </c>
      <c r="BZB4">
        <v>45685</v>
      </c>
      <c r="BZD4">
        <v>26354</v>
      </c>
      <c r="BZF4">
        <v>47358</v>
      </c>
      <c r="BZG4">
        <v>49567</v>
      </c>
      <c r="BZH4">
        <v>73929</v>
      </c>
      <c r="BZI4">
        <v>163210</v>
      </c>
      <c r="BZJ4">
        <v>99688</v>
      </c>
      <c r="BZK4">
        <v>44560</v>
      </c>
      <c r="BZL4">
        <v>60833</v>
      </c>
      <c r="BZM4">
        <v>62406</v>
      </c>
      <c r="BZN4">
        <v>74845</v>
      </c>
      <c r="BZO4">
        <v>65246</v>
      </c>
      <c r="BZP4">
        <v>60977</v>
      </c>
      <c r="BZQ4">
        <v>129390</v>
      </c>
      <c r="BZR4">
        <v>45423</v>
      </c>
      <c r="BZS4">
        <v>69307</v>
      </c>
      <c r="BZT4">
        <v>46406</v>
      </c>
      <c r="BZU4">
        <v>70565</v>
      </c>
      <c r="BZV4">
        <v>67000</v>
      </c>
      <c r="BZW4">
        <v>43103</v>
      </c>
      <c r="BZX4">
        <v>62596</v>
      </c>
      <c r="BZY4">
        <v>58486</v>
      </c>
      <c r="BZZ4">
        <v>52988</v>
      </c>
      <c r="CAA4">
        <v>54402</v>
      </c>
      <c r="CAB4">
        <v>108125</v>
      </c>
      <c r="CAC4">
        <v>37275</v>
      </c>
      <c r="CAD4">
        <v>81096</v>
      </c>
      <c r="CAE4">
        <v>54858</v>
      </c>
      <c r="CAG4">
        <v>70435</v>
      </c>
      <c r="CAJ4">
        <v>74761</v>
      </c>
      <c r="CAK4">
        <v>63045</v>
      </c>
      <c r="CAL4">
        <v>50882</v>
      </c>
      <c r="CAM4">
        <v>58998</v>
      </c>
      <c r="CAN4">
        <v>71716</v>
      </c>
      <c r="CAO4">
        <v>63141</v>
      </c>
      <c r="CAP4">
        <v>76085</v>
      </c>
      <c r="CAQ4">
        <v>74031</v>
      </c>
      <c r="CAR4">
        <v>60658</v>
      </c>
      <c r="CAS4">
        <v>63438</v>
      </c>
      <c r="CAT4">
        <v>62279</v>
      </c>
      <c r="CAU4">
        <v>67760</v>
      </c>
      <c r="CAV4">
        <v>45568</v>
      </c>
      <c r="CAW4">
        <v>57750</v>
      </c>
      <c r="CAX4">
        <v>54152</v>
      </c>
      <c r="CAY4">
        <v>84413</v>
      </c>
      <c r="CAZ4">
        <v>102900</v>
      </c>
      <c r="CBA4">
        <v>66309</v>
      </c>
      <c r="CBB4">
        <v>81852</v>
      </c>
      <c r="CBC4">
        <v>150300</v>
      </c>
      <c r="CBD4">
        <v>54021</v>
      </c>
      <c r="CBF4">
        <v>70855</v>
      </c>
      <c r="CBG4">
        <v>73582</v>
      </c>
      <c r="CBH4">
        <v>48214</v>
      </c>
      <c r="CBI4">
        <v>70392</v>
      </c>
      <c r="CBJ4">
        <v>99007</v>
      </c>
      <c r="CBK4">
        <v>58011</v>
      </c>
      <c r="CBL4">
        <v>117824</v>
      </c>
      <c r="CBM4">
        <v>70469</v>
      </c>
      <c r="CBN4">
        <v>66000</v>
      </c>
      <c r="CBO4">
        <v>59013</v>
      </c>
      <c r="CBQ4">
        <v>69057</v>
      </c>
      <c r="CBR4">
        <v>55783</v>
      </c>
      <c r="CBS4">
        <v>52304</v>
      </c>
      <c r="CBT4">
        <v>68750</v>
      </c>
      <c r="CBV4">
        <v>63663</v>
      </c>
      <c r="CBW4">
        <v>115568</v>
      </c>
      <c r="CBY4">
        <v>107609</v>
      </c>
      <c r="CBZ4">
        <v>54869</v>
      </c>
      <c r="CCA4">
        <v>66410</v>
      </c>
      <c r="CCB4">
        <v>72269</v>
      </c>
      <c r="CCC4">
        <v>57708</v>
      </c>
      <c r="CCD4">
        <v>71383</v>
      </c>
      <c r="CCF4">
        <v>49407</v>
      </c>
      <c r="CCG4">
        <v>74583</v>
      </c>
      <c r="CCH4">
        <v>70703</v>
      </c>
      <c r="CCI4">
        <v>154635</v>
      </c>
      <c r="CCK4">
        <v>63378</v>
      </c>
      <c r="CCL4">
        <v>73408</v>
      </c>
      <c r="CCM4">
        <v>57727</v>
      </c>
      <c r="CCN4">
        <v>62045</v>
      </c>
      <c r="CCO4">
        <v>72946</v>
      </c>
      <c r="CCP4">
        <v>51350</v>
      </c>
      <c r="CCQ4">
        <v>61769</v>
      </c>
      <c r="CCR4">
        <v>59371</v>
      </c>
      <c r="CCS4">
        <v>78604</v>
      </c>
      <c r="CCT4">
        <v>80938</v>
      </c>
      <c r="CCU4">
        <v>51713</v>
      </c>
      <c r="CCV4">
        <v>97042</v>
      </c>
      <c r="CCW4">
        <v>78827</v>
      </c>
      <c r="CCX4">
        <v>55522</v>
      </c>
      <c r="CCY4">
        <v>58438</v>
      </c>
      <c r="CCZ4">
        <v>76662</v>
      </c>
      <c r="CDA4">
        <v>88312</v>
      </c>
      <c r="CDB4">
        <v>75151</v>
      </c>
      <c r="CDC4">
        <v>63273</v>
      </c>
      <c r="CDD4">
        <v>44792</v>
      </c>
      <c r="CDE4">
        <v>88456</v>
      </c>
      <c r="CDF4">
        <v>56480</v>
      </c>
      <c r="CDG4">
        <v>57708</v>
      </c>
      <c r="CDH4">
        <v>55759</v>
      </c>
      <c r="CDI4">
        <v>80875</v>
      </c>
      <c r="CDJ4">
        <v>219123</v>
      </c>
      <c r="CDK4">
        <v>108469</v>
      </c>
      <c r="CDL4">
        <v>89962</v>
      </c>
      <c r="CDM4">
        <v>118486</v>
      </c>
      <c r="CDN4">
        <v>113879</v>
      </c>
      <c r="CDO4">
        <v>195467</v>
      </c>
      <c r="CDP4">
        <v>142981</v>
      </c>
      <c r="CDQ4">
        <v>146120</v>
      </c>
      <c r="CDR4">
        <v>115757</v>
      </c>
      <c r="CDS4">
        <v>152563</v>
      </c>
      <c r="CDT4">
        <v>129947</v>
      </c>
      <c r="CDU4">
        <v>221060</v>
      </c>
      <c r="CDV4">
        <v>250001</v>
      </c>
      <c r="CDW4">
        <v>92560</v>
      </c>
      <c r="CDX4">
        <v>181875</v>
      </c>
      <c r="CDY4">
        <v>114219</v>
      </c>
      <c r="CDZ4">
        <v>183750</v>
      </c>
      <c r="CEA4">
        <v>191974</v>
      </c>
      <c r="CEB4">
        <v>210563</v>
      </c>
      <c r="CEC4">
        <v>176250</v>
      </c>
      <c r="CED4">
        <v>192614</v>
      </c>
      <c r="CEE4">
        <v>163904</v>
      </c>
      <c r="CEF4">
        <v>233494</v>
      </c>
      <c r="CEG4">
        <v>158271</v>
      </c>
      <c r="CEH4">
        <v>197156</v>
      </c>
      <c r="CEI4">
        <v>164279</v>
      </c>
      <c r="CEJ4">
        <v>211522</v>
      </c>
      <c r="CEK4">
        <v>135660</v>
      </c>
      <c r="CEL4">
        <v>183076</v>
      </c>
      <c r="CEM4">
        <v>133401</v>
      </c>
      <c r="CEN4">
        <v>203051</v>
      </c>
      <c r="CEO4">
        <v>159466</v>
      </c>
      <c r="CEP4">
        <v>171372</v>
      </c>
      <c r="CEQ4">
        <v>174854</v>
      </c>
      <c r="CER4">
        <v>168299</v>
      </c>
      <c r="CES4">
        <v>151483</v>
      </c>
      <c r="CET4">
        <v>164167</v>
      </c>
      <c r="CEU4">
        <v>50278</v>
      </c>
      <c r="CEV4">
        <v>97801</v>
      </c>
      <c r="CEW4">
        <v>176435</v>
      </c>
      <c r="CEX4">
        <v>134746</v>
      </c>
      <c r="CEY4">
        <v>151185</v>
      </c>
      <c r="CEZ4">
        <v>170988</v>
      </c>
      <c r="CFA4">
        <v>190703</v>
      </c>
      <c r="CFB4">
        <v>106518</v>
      </c>
      <c r="CFC4">
        <v>138794</v>
      </c>
      <c r="CFD4">
        <v>172563</v>
      </c>
      <c r="CFE4">
        <v>150306</v>
      </c>
      <c r="CFF4">
        <v>124318</v>
      </c>
      <c r="CFG4">
        <v>250001</v>
      </c>
      <c r="CFH4">
        <v>139831</v>
      </c>
      <c r="CFI4">
        <v>134577</v>
      </c>
      <c r="CFJ4">
        <v>178394</v>
      </c>
      <c r="CFK4">
        <v>143454</v>
      </c>
      <c r="CFM4">
        <v>250001</v>
      </c>
      <c r="CFN4">
        <v>92636</v>
      </c>
      <c r="CFO4">
        <v>138255</v>
      </c>
      <c r="CFP4">
        <v>145881</v>
      </c>
      <c r="CFQ4">
        <v>101034</v>
      </c>
      <c r="CFR4">
        <v>168882</v>
      </c>
      <c r="CFS4">
        <v>105605</v>
      </c>
      <c r="CFT4">
        <v>250001</v>
      </c>
      <c r="CFU4">
        <v>148134</v>
      </c>
      <c r="CFV4">
        <v>250001</v>
      </c>
      <c r="CFW4">
        <v>153949</v>
      </c>
      <c r="CFX4">
        <v>218380</v>
      </c>
      <c r="CFY4">
        <v>161364</v>
      </c>
      <c r="CFZ4">
        <v>70268</v>
      </c>
      <c r="CGA4">
        <v>123114</v>
      </c>
      <c r="CGB4">
        <v>156015</v>
      </c>
      <c r="CGC4">
        <v>165906</v>
      </c>
      <c r="CGD4">
        <v>174228</v>
      </c>
      <c r="CGE4">
        <v>109956</v>
      </c>
      <c r="CGF4">
        <v>177111</v>
      </c>
      <c r="CGG4">
        <v>211911</v>
      </c>
      <c r="CGH4">
        <v>205108</v>
      </c>
      <c r="CGI4">
        <v>109316</v>
      </c>
      <c r="CGJ4">
        <v>127177</v>
      </c>
      <c r="CGK4">
        <v>117337</v>
      </c>
      <c r="CGL4">
        <v>145000</v>
      </c>
      <c r="CGM4">
        <v>133762</v>
      </c>
      <c r="CGN4">
        <v>140135</v>
      </c>
      <c r="CGO4">
        <v>107941</v>
      </c>
      <c r="CGP4">
        <v>201094</v>
      </c>
      <c r="CGQ4">
        <v>140877</v>
      </c>
      <c r="CGR4">
        <v>245745</v>
      </c>
      <c r="CGS4">
        <v>120515</v>
      </c>
      <c r="CGT4">
        <v>238750</v>
      </c>
      <c r="CGU4">
        <v>199306</v>
      </c>
      <c r="CGW4">
        <v>194819</v>
      </c>
      <c r="CGX4">
        <v>123539</v>
      </c>
      <c r="CGY4">
        <v>103656</v>
      </c>
      <c r="CGZ4">
        <v>101600</v>
      </c>
      <c r="CHA4">
        <v>113537</v>
      </c>
      <c r="CHB4">
        <v>97132</v>
      </c>
      <c r="CHC4">
        <v>141667</v>
      </c>
      <c r="CHD4">
        <v>212545</v>
      </c>
      <c r="CHE4">
        <v>107376</v>
      </c>
      <c r="CHF4">
        <v>166061</v>
      </c>
      <c r="CHG4">
        <v>87626</v>
      </c>
      <c r="CHH4">
        <v>109272</v>
      </c>
      <c r="CHI4">
        <v>148451</v>
      </c>
      <c r="CHJ4">
        <v>159805</v>
      </c>
      <c r="CHK4">
        <v>86230</v>
      </c>
      <c r="CHL4">
        <v>128259</v>
      </c>
      <c r="CHM4">
        <v>129167</v>
      </c>
      <c r="CHN4">
        <v>111129</v>
      </c>
      <c r="CHO4">
        <v>110112</v>
      </c>
      <c r="CHP4">
        <v>81488</v>
      </c>
      <c r="CHQ4">
        <v>56250</v>
      </c>
      <c r="CHR4">
        <v>79563</v>
      </c>
      <c r="CHS4">
        <v>50809</v>
      </c>
      <c r="CHU4">
        <v>130139</v>
      </c>
      <c r="CHV4">
        <v>87188</v>
      </c>
      <c r="CHW4">
        <v>64810</v>
      </c>
      <c r="CHX4">
        <v>96000</v>
      </c>
      <c r="CHY4">
        <v>49480</v>
      </c>
      <c r="CHZ4">
        <v>65685</v>
      </c>
      <c r="CIA4">
        <v>58500</v>
      </c>
      <c r="CIC4">
        <v>68021</v>
      </c>
      <c r="CID4">
        <v>53100</v>
      </c>
      <c r="CIE4">
        <v>88438</v>
      </c>
      <c r="CIF4">
        <v>47308</v>
      </c>
      <c r="CIG4">
        <v>117560</v>
      </c>
      <c r="CIH4">
        <v>45313</v>
      </c>
      <c r="CII4">
        <v>74051</v>
      </c>
      <c r="CIJ4">
        <v>93421</v>
      </c>
      <c r="CIK4">
        <v>111357</v>
      </c>
      <c r="CIL4">
        <v>19449</v>
      </c>
      <c r="CIM4">
        <v>48988</v>
      </c>
      <c r="CIN4">
        <v>78792</v>
      </c>
      <c r="CIO4">
        <v>71487</v>
      </c>
      <c r="CIQ4">
        <v>105469</v>
      </c>
      <c r="CIR4">
        <v>160259</v>
      </c>
      <c r="CIT4">
        <v>89200</v>
      </c>
      <c r="CIU4">
        <v>108031</v>
      </c>
      <c r="CIV4">
        <v>89247</v>
      </c>
      <c r="CIX4">
        <v>110370</v>
      </c>
      <c r="CIY4">
        <v>135856</v>
      </c>
      <c r="CIZ4">
        <v>151480</v>
      </c>
      <c r="CJA4">
        <v>137287</v>
      </c>
      <c r="CJB4">
        <v>61082</v>
      </c>
      <c r="CJC4">
        <v>112813</v>
      </c>
      <c r="CJD4">
        <v>67542</v>
      </c>
      <c r="CJE4">
        <v>104948</v>
      </c>
      <c r="CJF4">
        <v>80783</v>
      </c>
      <c r="CJG4">
        <v>93603</v>
      </c>
      <c r="CJH4">
        <v>64258</v>
      </c>
      <c r="CJI4">
        <v>101398</v>
      </c>
      <c r="CJJ4">
        <v>75104</v>
      </c>
      <c r="CJK4">
        <v>81500</v>
      </c>
      <c r="CJL4">
        <v>120381</v>
      </c>
      <c r="CJM4">
        <v>99896</v>
      </c>
      <c r="CJN4">
        <v>67813</v>
      </c>
      <c r="CJO4">
        <v>104375</v>
      </c>
      <c r="CJP4">
        <v>95515</v>
      </c>
      <c r="CJQ4">
        <v>97054</v>
      </c>
      <c r="CJR4">
        <v>84631</v>
      </c>
      <c r="CJS4">
        <v>81132</v>
      </c>
      <c r="CJT4">
        <v>87344</v>
      </c>
      <c r="CJU4">
        <v>115673</v>
      </c>
      <c r="CJV4">
        <v>136167</v>
      </c>
      <c r="CJW4">
        <v>114282</v>
      </c>
      <c r="CJY4">
        <v>75606</v>
      </c>
      <c r="CJZ4">
        <v>90875</v>
      </c>
      <c r="CKB4">
        <v>72226</v>
      </c>
      <c r="CKC4">
        <v>81722</v>
      </c>
      <c r="CKD4">
        <v>74721</v>
      </c>
      <c r="CKE4">
        <v>109169</v>
      </c>
      <c r="CKF4">
        <v>107135</v>
      </c>
      <c r="CKG4">
        <v>63975</v>
      </c>
      <c r="CKH4">
        <v>67917</v>
      </c>
      <c r="CKI4">
        <v>135046</v>
      </c>
      <c r="CKJ4">
        <v>73530</v>
      </c>
      <c r="CKK4">
        <v>97892</v>
      </c>
      <c r="CKL4">
        <v>81912</v>
      </c>
      <c r="CKM4">
        <v>69625</v>
      </c>
      <c r="CKN4">
        <v>103618</v>
      </c>
      <c r="CKO4">
        <v>90795</v>
      </c>
      <c r="CKP4">
        <v>122105</v>
      </c>
      <c r="CKQ4">
        <v>87353</v>
      </c>
      <c r="CKR4">
        <v>141458</v>
      </c>
      <c r="CKS4">
        <v>83438</v>
      </c>
      <c r="CKT4">
        <v>81603</v>
      </c>
      <c r="CKU4">
        <v>139500</v>
      </c>
      <c r="CKV4">
        <v>205250</v>
      </c>
      <c r="CKX4">
        <v>143182</v>
      </c>
      <c r="CKZ4">
        <v>80703</v>
      </c>
      <c r="CLA4">
        <v>84857</v>
      </c>
      <c r="CLB4">
        <v>120789</v>
      </c>
      <c r="CLE4">
        <v>80208</v>
      </c>
      <c r="CLG4">
        <v>74180</v>
      </c>
      <c r="CLH4">
        <v>80389</v>
      </c>
      <c r="CLI4">
        <v>67536</v>
      </c>
      <c r="CLJ4">
        <v>100156</v>
      </c>
      <c r="CLK4">
        <v>99177</v>
      </c>
      <c r="CLL4">
        <v>85139</v>
      </c>
      <c r="CLM4">
        <v>65938</v>
      </c>
      <c r="CLN4">
        <v>142823</v>
      </c>
      <c r="CLO4">
        <v>103447</v>
      </c>
      <c r="CLP4">
        <v>46500</v>
      </c>
      <c r="CLR4">
        <v>90625</v>
      </c>
      <c r="CLT4">
        <v>72067</v>
      </c>
      <c r="CLU4">
        <v>66423</v>
      </c>
      <c r="CLW4">
        <v>72679</v>
      </c>
      <c r="CLX4">
        <v>51477</v>
      </c>
      <c r="CLY4">
        <v>85941</v>
      </c>
      <c r="CLZ4">
        <v>74899</v>
      </c>
      <c r="CMB4">
        <v>84603</v>
      </c>
      <c r="CMC4">
        <v>63594</v>
      </c>
      <c r="CMD4">
        <v>70519</v>
      </c>
      <c r="CME4">
        <v>61038</v>
      </c>
      <c r="CMF4">
        <v>44559</v>
      </c>
      <c r="CMG4">
        <v>64766</v>
      </c>
      <c r="CMH4">
        <v>99926</v>
      </c>
      <c r="CMI4">
        <v>52939</v>
      </c>
      <c r="CMJ4">
        <v>95667</v>
      </c>
      <c r="CMK4">
        <v>92862</v>
      </c>
      <c r="CML4">
        <v>60134</v>
      </c>
      <c r="CMM4">
        <v>89141</v>
      </c>
      <c r="CMN4">
        <v>65974</v>
      </c>
      <c r="CMP4">
        <v>115491</v>
      </c>
      <c r="CMQ4">
        <v>88906</v>
      </c>
      <c r="CMR4">
        <v>67261</v>
      </c>
      <c r="CMS4">
        <v>91583</v>
      </c>
      <c r="CMT4">
        <v>53329</v>
      </c>
      <c r="CMU4">
        <v>67083</v>
      </c>
      <c r="CMV4">
        <v>92145</v>
      </c>
      <c r="CMW4">
        <v>93463</v>
      </c>
      <c r="CMX4">
        <v>69340</v>
      </c>
      <c r="CMY4">
        <v>250001</v>
      </c>
      <c r="CNA4">
        <v>128235</v>
      </c>
      <c r="CNB4">
        <v>88028</v>
      </c>
      <c r="CNC4">
        <v>60125</v>
      </c>
      <c r="CND4">
        <v>118125</v>
      </c>
      <c r="CNE4">
        <v>108438</v>
      </c>
      <c r="CNF4">
        <v>115545</v>
      </c>
      <c r="CNG4">
        <v>118073</v>
      </c>
      <c r="CNH4">
        <v>142338</v>
      </c>
      <c r="CNI4">
        <v>86979</v>
      </c>
      <c r="CNJ4">
        <v>108571</v>
      </c>
      <c r="CNK4">
        <v>84209</v>
      </c>
      <c r="CNL4">
        <v>204706</v>
      </c>
      <c r="CNM4">
        <v>87826</v>
      </c>
      <c r="CNN4">
        <v>80875</v>
      </c>
      <c r="CNO4">
        <v>115655</v>
      </c>
      <c r="CNP4">
        <v>136250</v>
      </c>
      <c r="CNQ4">
        <v>53007</v>
      </c>
      <c r="CNR4">
        <v>52679</v>
      </c>
      <c r="CNS4">
        <v>75333</v>
      </c>
      <c r="CNU4">
        <v>98284</v>
      </c>
      <c r="CNV4">
        <v>95461</v>
      </c>
      <c r="CNW4">
        <v>85391</v>
      </c>
      <c r="CNX4">
        <v>104259</v>
      </c>
      <c r="CNZ4">
        <v>87337</v>
      </c>
      <c r="COA4">
        <v>88929</v>
      </c>
      <c r="COB4">
        <v>94659</v>
      </c>
      <c r="COC4">
        <v>79135</v>
      </c>
      <c r="COE4">
        <v>76964</v>
      </c>
      <c r="COF4">
        <v>112344</v>
      </c>
      <c r="COG4">
        <v>42622</v>
      </c>
      <c r="COH4">
        <v>63943</v>
      </c>
      <c r="COJ4">
        <v>71813</v>
      </c>
      <c r="COK4">
        <v>66131</v>
      </c>
      <c r="COL4">
        <v>89335</v>
      </c>
      <c r="COM4">
        <v>98581</v>
      </c>
      <c r="CON4">
        <v>128606</v>
      </c>
      <c r="COO4">
        <v>113771</v>
      </c>
      <c r="COS4">
        <v>100962</v>
      </c>
      <c r="COT4">
        <v>71563</v>
      </c>
      <c r="COU4">
        <v>95407</v>
      </c>
      <c r="COV4">
        <v>81250</v>
      </c>
      <c r="COW4">
        <v>108646</v>
      </c>
      <c r="COX4">
        <v>68438</v>
      </c>
      <c r="COY4">
        <v>87083</v>
      </c>
      <c r="COZ4">
        <v>156250</v>
      </c>
      <c r="CPA4">
        <v>52819</v>
      </c>
      <c r="CPB4">
        <v>70625</v>
      </c>
      <c r="CPD4">
        <v>81136</v>
      </c>
      <c r="CPE4">
        <v>39439</v>
      </c>
      <c r="CPF4">
        <v>54082</v>
      </c>
      <c r="CPG4">
        <v>79205</v>
      </c>
      <c r="CPH4">
        <v>157897</v>
      </c>
      <c r="CPI4">
        <v>104468</v>
      </c>
      <c r="CPJ4">
        <v>91626</v>
      </c>
      <c r="CPK4">
        <v>58750</v>
      </c>
      <c r="CPL4">
        <v>81553</v>
      </c>
      <c r="CPM4">
        <v>92577</v>
      </c>
      <c r="CPN4">
        <v>84375</v>
      </c>
      <c r="CPO4">
        <v>115733</v>
      </c>
      <c r="CPP4">
        <v>83453</v>
      </c>
      <c r="CPQ4">
        <v>122813</v>
      </c>
      <c r="CPR4">
        <v>86500</v>
      </c>
      <c r="CPS4">
        <v>74559</v>
      </c>
      <c r="CPT4">
        <v>55567</v>
      </c>
      <c r="CPU4">
        <v>106367</v>
      </c>
      <c r="CPV4">
        <v>63750</v>
      </c>
      <c r="CPX4">
        <v>82096</v>
      </c>
      <c r="CPY4">
        <v>40833</v>
      </c>
      <c r="CPZ4">
        <v>98802</v>
      </c>
      <c r="CQA4">
        <v>89583</v>
      </c>
      <c r="CQB4">
        <v>108802</v>
      </c>
      <c r="CQC4">
        <v>80481</v>
      </c>
      <c r="CQD4">
        <v>98625</v>
      </c>
      <c r="CQE4">
        <v>72798</v>
      </c>
      <c r="CQF4">
        <v>126635</v>
      </c>
      <c r="CQG4">
        <v>145234</v>
      </c>
      <c r="CQH4">
        <v>59028</v>
      </c>
      <c r="CQJ4">
        <v>79196</v>
      </c>
      <c r="CQK4">
        <v>69911</v>
      </c>
      <c r="CQL4">
        <v>98969</v>
      </c>
      <c r="CQM4">
        <v>116465</v>
      </c>
      <c r="CQN4">
        <v>142344</v>
      </c>
      <c r="CQO4">
        <v>112738</v>
      </c>
      <c r="CQP4">
        <v>141711</v>
      </c>
      <c r="CQQ4">
        <v>89241</v>
      </c>
      <c r="CQR4">
        <v>67083</v>
      </c>
      <c r="CQS4">
        <v>158667</v>
      </c>
      <c r="CQT4">
        <v>50203</v>
      </c>
      <c r="CQU4">
        <v>132060</v>
      </c>
      <c r="CQV4">
        <v>61875</v>
      </c>
      <c r="CQX4">
        <v>142708</v>
      </c>
      <c r="CQZ4">
        <v>78475</v>
      </c>
      <c r="CRA4">
        <v>110349</v>
      </c>
      <c r="CRB4">
        <v>97500</v>
      </c>
      <c r="CRC4">
        <v>119535</v>
      </c>
      <c r="CRD4">
        <v>119583</v>
      </c>
      <c r="CRF4">
        <v>67266</v>
      </c>
      <c r="CRG4">
        <v>70743</v>
      </c>
      <c r="CRH4">
        <v>79050</v>
      </c>
      <c r="CRI4">
        <v>122096</v>
      </c>
      <c r="CRJ4">
        <v>36179</v>
      </c>
      <c r="CRM4">
        <v>51818</v>
      </c>
      <c r="CRN4">
        <v>137481</v>
      </c>
      <c r="CRO4">
        <v>71964</v>
      </c>
      <c r="CRQ4">
        <v>66858</v>
      </c>
      <c r="CRR4">
        <v>76467</v>
      </c>
      <c r="CRS4">
        <v>95255</v>
      </c>
      <c r="CRT4">
        <v>73542</v>
      </c>
      <c r="CRU4">
        <v>95699</v>
      </c>
      <c r="CRV4">
        <v>105431</v>
      </c>
      <c r="CRW4">
        <v>103160</v>
      </c>
      <c r="CRX4">
        <v>110642</v>
      </c>
      <c r="CRY4">
        <v>57507</v>
      </c>
      <c r="CRZ4">
        <v>61381</v>
      </c>
      <c r="CSA4">
        <v>99816</v>
      </c>
      <c r="CSB4">
        <v>61345</v>
      </c>
      <c r="CSC4">
        <v>55731</v>
      </c>
      <c r="CSD4">
        <v>50475</v>
      </c>
      <c r="CSE4">
        <v>62949</v>
      </c>
      <c r="CSF4">
        <v>126655</v>
      </c>
      <c r="CSG4">
        <v>69187</v>
      </c>
      <c r="CSH4">
        <v>70260</v>
      </c>
      <c r="CSI4">
        <v>107854</v>
      </c>
      <c r="CSJ4">
        <v>74763</v>
      </c>
      <c r="CSK4">
        <v>76505</v>
      </c>
      <c r="CSL4">
        <v>125665</v>
      </c>
      <c r="CSM4">
        <v>66619</v>
      </c>
      <c r="CSN4">
        <v>96083</v>
      </c>
      <c r="CSO4">
        <v>110499</v>
      </c>
      <c r="CSP4">
        <v>79606</v>
      </c>
      <c r="CSQ4">
        <v>101523</v>
      </c>
      <c r="CSS4">
        <v>28500</v>
      </c>
      <c r="CST4">
        <v>64164</v>
      </c>
      <c r="CSV4">
        <v>46680</v>
      </c>
      <c r="CSX4">
        <v>107143</v>
      </c>
      <c r="CSY4">
        <v>118393</v>
      </c>
      <c r="CSZ4">
        <v>108438</v>
      </c>
      <c r="CTB4">
        <v>73750</v>
      </c>
      <c r="CTC4">
        <v>62500</v>
      </c>
      <c r="CTD4">
        <v>104029</v>
      </c>
      <c r="CTE4">
        <v>71523</v>
      </c>
      <c r="CTF4">
        <v>74167</v>
      </c>
      <c r="CTG4">
        <v>84305</v>
      </c>
      <c r="CTH4">
        <v>101568</v>
      </c>
      <c r="CTI4">
        <v>134880</v>
      </c>
      <c r="CTJ4">
        <v>108730</v>
      </c>
      <c r="CTK4">
        <v>57045</v>
      </c>
      <c r="CTL4">
        <v>69909</v>
      </c>
      <c r="CTM4">
        <v>63464</v>
      </c>
      <c r="CTN4">
        <v>64762</v>
      </c>
      <c r="CTO4">
        <v>146648</v>
      </c>
      <c r="CTP4">
        <v>48712</v>
      </c>
      <c r="CTQ4">
        <v>206375</v>
      </c>
      <c r="CTR4">
        <v>101855</v>
      </c>
      <c r="CTT4">
        <v>66250</v>
      </c>
      <c r="CTU4">
        <v>71329</v>
      </c>
      <c r="CTY4">
        <v>36705</v>
      </c>
      <c r="CTZ4">
        <v>59663</v>
      </c>
      <c r="CUA4">
        <v>70975</v>
      </c>
      <c r="CUC4">
        <v>66500</v>
      </c>
      <c r="CUD4">
        <v>54050</v>
      </c>
      <c r="CUE4">
        <v>56250</v>
      </c>
      <c r="CUG4">
        <v>46836</v>
      </c>
      <c r="CUH4">
        <v>16688</v>
      </c>
      <c r="CUI4">
        <v>66450</v>
      </c>
      <c r="CUJ4">
        <v>54375</v>
      </c>
      <c r="CUK4">
        <v>52831</v>
      </c>
      <c r="CUL4">
        <v>52759</v>
      </c>
      <c r="CUN4">
        <v>55662</v>
      </c>
      <c r="CUQ4">
        <v>104065</v>
      </c>
      <c r="CUR4">
        <v>94306</v>
      </c>
      <c r="CUS4">
        <v>140114</v>
      </c>
      <c r="CUT4">
        <v>79877</v>
      </c>
      <c r="CUU4">
        <v>111700</v>
      </c>
      <c r="CUV4">
        <v>202708</v>
      </c>
      <c r="CUW4">
        <v>80833</v>
      </c>
      <c r="CUX4">
        <v>93750</v>
      </c>
      <c r="CUY4">
        <v>35991</v>
      </c>
      <c r="CVA4">
        <v>29583</v>
      </c>
      <c r="CVB4">
        <v>100697</v>
      </c>
      <c r="CVC4">
        <v>79085</v>
      </c>
      <c r="CVD4">
        <v>93838</v>
      </c>
      <c r="CVE4">
        <v>102796</v>
      </c>
      <c r="CVF4">
        <v>94069</v>
      </c>
      <c r="CVG4">
        <v>130533</v>
      </c>
      <c r="CVH4">
        <v>116250</v>
      </c>
      <c r="CVL4">
        <v>69040</v>
      </c>
      <c r="CVM4">
        <v>92468</v>
      </c>
      <c r="CVN4">
        <v>57868</v>
      </c>
      <c r="CVO4">
        <v>92543</v>
      </c>
      <c r="CVP4">
        <v>74243</v>
      </c>
      <c r="CVQ4">
        <v>76731</v>
      </c>
      <c r="CVR4">
        <v>63208</v>
      </c>
      <c r="CVS4">
        <v>67649</v>
      </c>
      <c r="CVT4">
        <v>44659</v>
      </c>
      <c r="CVU4">
        <v>58579</v>
      </c>
      <c r="CVV4">
        <v>104295</v>
      </c>
      <c r="CVW4">
        <v>74885</v>
      </c>
      <c r="CVX4">
        <v>72816</v>
      </c>
      <c r="CVY4">
        <v>73524</v>
      </c>
      <c r="CVZ4">
        <v>62946</v>
      </c>
      <c r="CWA4">
        <v>68380</v>
      </c>
      <c r="CWB4">
        <v>67375</v>
      </c>
      <c r="CWC4">
        <v>77594</v>
      </c>
      <c r="CWD4">
        <v>35533</v>
      </c>
      <c r="CWF4">
        <v>71279</v>
      </c>
      <c r="CWG4">
        <v>79475</v>
      </c>
      <c r="CWH4">
        <v>88246</v>
      </c>
      <c r="CWI4">
        <v>80047</v>
      </c>
      <c r="CWJ4">
        <v>53815</v>
      </c>
      <c r="CWK4">
        <v>72874</v>
      </c>
      <c r="CWL4">
        <v>42334</v>
      </c>
      <c r="CWM4">
        <v>71126</v>
      </c>
      <c r="CWN4">
        <v>97500</v>
      </c>
      <c r="CWO4">
        <v>65446</v>
      </c>
      <c r="CWP4">
        <v>120972</v>
      </c>
      <c r="CWQ4">
        <v>54336</v>
      </c>
      <c r="CWR4">
        <v>87412</v>
      </c>
      <c r="CWS4">
        <v>80000</v>
      </c>
      <c r="CWT4">
        <v>72568</v>
      </c>
      <c r="CWW4">
        <v>71222</v>
      </c>
      <c r="CWY4">
        <v>80644</v>
      </c>
      <c r="CXA4">
        <v>109066</v>
      </c>
      <c r="CXB4">
        <v>124433</v>
      </c>
      <c r="CXC4">
        <v>142788</v>
      </c>
      <c r="CXD4">
        <v>62349</v>
      </c>
      <c r="CXE4">
        <v>48835</v>
      </c>
      <c r="CXF4">
        <v>78707</v>
      </c>
      <c r="CXG4">
        <v>49583</v>
      </c>
      <c r="CXH4">
        <v>48926</v>
      </c>
      <c r="CXK4">
        <v>82563</v>
      </c>
      <c r="CXL4">
        <v>57813</v>
      </c>
      <c r="CXM4">
        <v>60807</v>
      </c>
      <c r="CXN4">
        <v>46336</v>
      </c>
      <c r="CXO4">
        <v>55599</v>
      </c>
      <c r="CXP4">
        <v>62727</v>
      </c>
      <c r="CXQ4">
        <v>63684</v>
      </c>
      <c r="CXR4">
        <v>88800</v>
      </c>
      <c r="CXS4">
        <v>118030</v>
      </c>
      <c r="CXT4">
        <v>95750</v>
      </c>
      <c r="CXU4">
        <v>111684</v>
      </c>
      <c r="CXV4">
        <v>99495</v>
      </c>
      <c r="CXW4">
        <v>84338</v>
      </c>
      <c r="CXX4">
        <v>100921</v>
      </c>
      <c r="CXY4">
        <v>66645</v>
      </c>
      <c r="CXZ4">
        <v>134651</v>
      </c>
      <c r="CYA4">
        <v>59405</v>
      </c>
      <c r="CYB4">
        <v>82153</v>
      </c>
      <c r="CYC4">
        <v>70670</v>
      </c>
      <c r="CYD4">
        <v>103364</v>
      </c>
      <c r="CYE4">
        <v>70481</v>
      </c>
      <c r="CYG4">
        <v>73393</v>
      </c>
      <c r="CYH4">
        <v>94441</v>
      </c>
      <c r="CYI4">
        <v>51168</v>
      </c>
      <c r="CYJ4">
        <v>87986</v>
      </c>
      <c r="CYK4">
        <v>70122</v>
      </c>
      <c r="CYL4">
        <v>46932</v>
      </c>
      <c r="CYM4">
        <v>79583</v>
      </c>
      <c r="CYN4">
        <v>62141</v>
      </c>
      <c r="CYO4">
        <v>62000</v>
      </c>
      <c r="CYP4">
        <v>61155</v>
      </c>
      <c r="CYQ4">
        <v>45458</v>
      </c>
      <c r="CYS4">
        <v>75913</v>
      </c>
      <c r="CYT4">
        <v>58628</v>
      </c>
      <c r="CYU4">
        <v>74543</v>
      </c>
      <c r="CYV4">
        <v>55469</v>
      </c>
      <c r="CYW4">
        <v>87077</v>
      </c>
      <c r="CYX4">
        <v>51250</v>
      </c>
      <c r="CYY4">
        <v>109531</v>
      </c>
      <c r="CYZ4">
        <v>63030</v>
      </c>
      <c r="CZA4">
        <v>76719</v>
      </c>
      <c r="CZC4">
        <v>103849</v>
      </c>
      <c r="CZD4">
        <v>77614</v>
      </c>
      <c r="CZE4">
        <v>66558</v>
      </c>
      <c r="CZF4">
        <v>49730</v>
      </c>
      <c r="CZG4">
        <v>64063</v>
      </c>
      <c r="CZI4">
        <v>56444</v>
      </c>
      <c r="CZJ4">
        <v>41071</v>
      </c>
      <c r="CZK4">
        <v>83942</v>
      </c>
      <c r="CZL4">
        <v>80282</v>
      </c>
      <c r="CZM4">
        <v>59792</v>
      </c>
      <c r="CZN4">
        <v>55886</v>
      </c>
      <c r="CZP4">
        <v>50815</v>
      </c>
      <c r="CZQ4">
        <v>73965</v>
      </c>
      <c r="CZR4">
        <v>66750</v>
      </c>
      <c r="CZS4">
        <v>64135</v>
      </c>
      <c r="CZT4">
        <v>67955</v>
      </c>
      <c r="CZU4">
        <v>62425</v>
      </c>
      <c r="CZV4">
        <v>65536</v>
      </c>
      <c r="CZW4">
        <v>44291</v>
      </c>
      <c r="CZX4">
        <v>70938</v>
      </c>
      <c r="CZY4">
        <v>68255</v>
      </c>
      <c r="CZZ4">
        <v>99922</v>
      </c>
      <c r="DAA4">
        <v>57880</v>
      </c>
      <c r="DAB4">
        <v>42818</v>
      </c>
      <c r="DAC4">
        <v>48167</v>
      </c>
      <c r="DAD4">
        <v>51505</v>
      </c>
      <c r="DAF4">
        <v>59321</v>
      </c>
      <c r="DAG4">
        <v>51800</v>
      </c>
      <c r="DAH4">
        <v>41010</v>
      </c>
      <c r="DAJ4">
        <v>77756</v>
      </c>
      <c r="DAL4">
        <v>53650</v>
      </c>
      <c r="DAM4">
        <v>78750</v>
      </c>
      <c r="DAN4">
        <v>63533</v>
      </c>
      <c r="DAO4">
        <v>76806</v>
      </c>
      <c r="DAP4">
        <v>68250</v>
      </c>
      <c r="DAQ4">
        <v>45833</v>
      </c>
      <c r="DAR4">
        <v>57177</v>
      </c>
      <c r="DAS4">
        <v>73264</v>
      </c>
      <c r="DAT4">
        <v>43571</v>
      </c>
      <c r="DAU4">
        <v>65170</v>
      </c>
      <c r="DAV4">
        <v>51409</v>
      </c>
      <c r="DAX4">
        <v>54986</v>
      </c>
      <c r="DAY4">
        <v>52973</v>
      </c>
      <c r="DAZ4">
        <v>51290</v>
      </c>
      <c r="DBA4">
        <v>70381</v>
      </c>
      <c r="DBB4">
        <v>69831</v>
      </c>
      <c r="DBC4">
        <v>46512</v>
      </c>
      <c r="DBD4">
        <v>47360</v>
      </c>
      <c r="DBE4">
        <v>90885</v>
      </c>
      <c r="DBF4">
        <v>77870</v>
      </c>
      <c r="DBI4">
        <v>63646</v>
      </c>
      <c r="DBJ4">
        <v>53910</v>
      </c>
      <c r="DBK4">
        <v>45227</v>
      </c>
      <c r="DBL4">
        <v>60625</v>
      </c>
      <c r="DBM4">
        <v>73237</v>
      </c>
      <c r="DBN4">
        <v>67675</v>
      </c>
      <c r="DBP4">
        <v>73583</v>
      </c>
      <c r="DBQ4">
        <v>63240</v>
      </c>
      <c r="DBR4">
        <v>63333</v>
      </c>
      <c r="DBS4">
        <v>49353</v>
      </c>
      <c r="DBT4">
        <v>51575</v>
      </c>
      <c r="DBU4">
        <v>66188</v>
      </c>
      <c r="DBV4">
        <v>109500</v>
      </c>
      <c r="DBW4">
        <v>76800</v>
      </c>
      <c r="DBX4">
        <v>43776</v>
      </c>
      <c r="DBY4">
        <v>88194</v>
      </c>
      <c r="DBZ4">
        <v>53665</v>
      </c>
      <c r="DCA4">
        <v>72292</v>
      </c>
      <c r="DCB4">
        <v>56319</v>
      </c>
      <c r="DCC4">
        <v>109207</v>
      </c>
      <c r="DCD4">
        <v>63146</v>
      </c>
      <c r="DCE4">
        <v>53633</v>
      </c>
      <c r="DCF4">
        <v>126354</v>
      </c>
      <c r="DCG4">
        <v>41204</v>
      </c>
      <c r="DCH4">
        <v>41769</v>
      </c>
      <c r="DCI4">
        <v>51458</v>
      </c>
      <c r="DCJ4">
        <v>90521</v>
      </c>
      <c r="DCK4">
        <v>51319</v>
      </c>
      <c r="DCL4">
        <v>64388</v>
      </c>
      <c r="DCN4">
        <v>80246</v>
      </c>
      <c r="DCO4">
        <v>87112</v>
      </c>
      <c r="DCP4">
        <v>76250</v>
      </c>
      <c r="DCQ4">
        <v>65738</v>
      </c>
      <c r="DCR4">
        <v>90114</v>
      </c>
      <c r="DCS4">
        <v>48770</v>
      </c>
      <c r="DCT4">
        <v>46901</v>
      </c>
      <c r="DCU4">
        <v>81006</v>
      </c>
      <c r="DCV4">
        <v>66563</v>
      </c>
      <c r="DCW4">
        <v>62854</v>
      </c>
      <c r="DCX4">
        <v>67620</v>
      </c>
      <c r="DCY4">
        <v>78512</v>
      </c>
      <c r="DDC4">
        <v>61964</v>
      </c>
      <c r="DDD4">
        <v>65401</v>
      </c>
      <c r="DDE4">
        <v>70854</v>
      </c>
      <c r="DDF4">
        <v>65361</v>
      </c>
      <c r="DDG4">
        <v>62400</v>
      </c>
      <c r="DDH4">
        <v>35077</v>
      </c>
      <c r="DDI4">
        <v>62969</v>
      </c>
      <c r="DDK4">
        <v>61667</v>
      </c>
      <c r="DDL4">
        <v>59428</v>
      </c>
      <c r="DDM4">
        <v>69753</v>
      </c>
      <c r="DDN4">
        <v>62031</v>
      </c>
      <c r="DDO4">
        <v>65223</v>
      </c>
      <c r="DDP4">
        <v>74260</v>
      </c>
      <c r="DDQ4">
        <v>46579</v>
      </c>
      <c r="DDR4">
        <v>73348</v>
      </c>
      <c r="DDS4">
        <v>49250</v>
      </c>
      <c r="DDU4">
        <v>78229</v>
      </c>
      <c r="DDV4">
        <v>57778</v>
      </c>
      <c r="DDW4">
        <v>54052</v>
      </c>
      <c r="DDX4">
        <v>82314</v>
      </c>
      <c r="DDY4">
        <v>98250</v>
      </c>
      <c r="DDZ4">
        <v>67565</v>
      </c>
      <c r="DEA4">
        <v>68909</v>
      </c>
      <c r="DEB4">
        <v>50156</v>
      </c>
      <c r="DEC4">
        <v>48764</v>
      </c>
      <c r="DED4">
        <v>60905</v>
      </c>
      <c r="DEE4">
        <v>62734</v>
      </c>
      <c r="DEF4">
        <v>85747</v>
      </c>
      <c r="DEG4">
        <v>37795</v>
      </c>
      <c r="DEH4">
        <v>44663</v>
      </c>
      <c r="DEI4">
        <v>55252</v>
      </c>
      <c r="DEJ4">
        <v>50560</v>
      </c>
      <c r="DEK4">
        <v>47788</v>
      </c>
      <c r="DEL4">
        <v>49894</v>
      </c>
      <c r="DEM4">
        <v>27826</v>
      </c>
      <c r="DEN4">
        <v>54191</v>
      </c>
      <c r="DEO4">
        <v>49116</v>
      </c>
      <c r="DEP4">
        <v>48573</v>
      </c>
      <c r="DEQ4">
        <v>28983</v>
      </c>
      <c r="DER4">
        <v>33095</v>
      </c>
      <c r="DET4">
        <v>52308</v>
      </c>
      <c r="DEU4">
        <v>40423</v>
      </c>
      <c r="DEV4">
        <v>36008</v>
      </c>
      <c r="DEX4">
        <v>78281</v>
      </c>
      <c r="DEY4">
        <v>43465</v>
      </c>
      <c r="DEZ4">
        <v>44505</v>
      </c>
      <c r="DFA4">
        <v>48788</v>
      </c>
      <c r="DFB4">
        <v>44659</v>
      </c>
      <c r="DFC4">
        <v>46250</v>
      </c>
      <c r="DFD4">
        <v>39364</v>
      </c>
      <c r="DFE4">
        <v>42727</v>
      </c>
      <c r="DFF4">
        <v>59875</v>
      </c>
      <c r="DFH4">
        <v>45417</v>
      </c>
      <c r="DFI4">
        <v>58625</v>
      </c>
      <c r="DFJ4">
        <v>31313</v>
      </c>
      <c r="DFK4">
        <v>41978</v>
      </c>
      <c r="DFL4">
        <v>31737</v>
      </c>
      <c r="DFM4">
        <v>43602</v>
      </c>
      <c r="DFN4">
        <v>72647</v>
      </c>
      <c r="DFO4">
        <v>46806</v>
      </c>
      <c r="DFP4">
        <v>31369</v>
      </c>
      <c r="DFQ4">
        <v>40402</v>
      </c>
      <c r="DFR4">
        <v>60923</v>
      </c>
      <c r="DFS4">
        <v>36134</v>
      </c>
      <c r="DFT4">
        <v>63413</v>
      </c>
      <c r="DFU4">
        <v>57718</v>
      </c>
      <c r="DFV4">
        <v>48516</v>
      </c>
      <c r="DFW4">
        <v>48235</v>
      </c>
      <c r="DFX4">
        <v>43672</v>
      </c>
      <c r="DFY4">
        <v>85417</v>
      </c>
      <c r="DFZ4">
        <v>62708</v>
      </c>
      <c r="DGB4">
        <v>38412</v>
      </c>
      <c r="DGC4">
        <v>60815</v>
      </c>
      <c r="DGD4">
        <v>52721</v>
      </c>
      <c r="DGE4">
        <v>48482</v>
      </c>
      <c r="DGF4">
        <v>52167</v>
      </c>
      <c r="DGG4">
        <v>80066</v>
      </c>
      <c r="DGH4">
        <v>70938</v>
      </c>
      <c r="DGI4">
        <v>42400</v>
      </c>
      <c r="DGK4">
        <v>56659</v>
      </c>
      <c r="DGL4">
        <v>47478</v>
      </c>
      <c r="DGM4">
        <v>47730</v>
      </c>
      <c r="DGN4">
        <v>70950</v>
      </c>
      <c r="DGO4">
        <v>58252</v>
      </c>
      <c r="DGP4">
        <v>55156</v>
      </c>
      <c r="DGQ4">
        <v>44829</v>
      </c>
      <c r="DGR4">
        <v>54219</v>
      </c>
      <c r="DGT4">
        <v>50321</v>
      </c>
      <c r="DGU4">
        <v>44502</v>
      </c>
      <c r="DGV4">
        <v>54792</v>
      </c>
      <c r="DGW4">
        <v>70556</v>
      </c>
      <c r="DGX4">
        <v>47708</v>
      </c>
      <c r="DGY4">
        <v>33148</v>
      </c>
      <c r="DGZ4">
        <v>73614</v>
      </c>
      <c r="DHA4">
        <v>48787</v>
      </c>
      <c r="DHC4">
        <v>53571</v>
      </c>
      <c r="DHD4">
        <v>57115</v>
      </c>
      <c r="DHE4">
        <v>49157</v>
      </c>
      <c r="DHF4">
        <v>57778</v>
      </c>
      <c r="DHG4">
        <v>65109</v>
      </c>
      <c r="DHH4">
        <v>57509</v>
      </c>
      <c r="DHI4">
        <v>66300</v>
      </c>
      <c r="DHK4">
        <v>250001</v>
      </c>
      <c r="DHL4">
        <v>65893</v>
      </c>
      <c r="DHN4">
        <v>54882</v>
      </c>
      <c r="DHO4">
        <v>98125</v>
      </c>
      <c r="DHP4">
        <v>48750</v>
      </c>
      <c r="DHQ4">
        <v>55138</v>
      </c>
      <c r="DHR4">
        <v>45000</v>
      </c>
      <c r="DHS4">
        <v>78856</v>
      </c>
      <c r="DHT4">
        <v>89259</v>
      </c>
      <c r="DHU4">
        <v>79444</v>
      </c>
      <c r="DHV4">
        <v>70114</v>
      </c>
      <c r="DHW4">
        <v>87200</v>
      </c>
      <c r="DHX4">
        <v>47219</v>
      </c>
      <c r="DHY4">
        <v>46178</v>
      </c>
      <c r="DHZ4">
        <v>82083</v>
      </c>
      <c r="DIA4">
        <v>69750</v>
      </c>
      <c r="DIB4">
        <v>51500</v>
      </c>
      <c r="DIC4">
        <v>70833</v>
      </c>
      <c r="DID4">
        <v>76587</v>
      </c>
      <c r="DIE4">
        <v>47634</v>
      </c>
      <c r="DIF4">
        <v>54145</v>
      </c>
      <c r="DIG4">
        <v>94500</v>
      </c>
      <c r="DIH4">
        <v>46711</v>
      </c>
      <c r="DII4">
        <v>33879</v>
      </c>
      <c r="DIJ4">
        <v>61379</v>
      </c>
      <c r="DIK4">
        <v>93851</v>
      </c>
      <c r="DIM4">
        <v>97396</v>
      </c>
      <c r="DIN4">
        <v>51429</v>
      </c>
      <c r="DIO4">
        <v>67813</v>
      </c>
      <c r="DIR4">
        <v>84260</v>
      </c>
      <c r="DIS4">
        <v>80583</v>
      </c>
      <c r="DIT4">
        <v>75866</v>
      </c>
      <c r="DIU4">
        <v>77500</v>
      </c>
      <c r="DIV4">
        <v>55000</v>
      </c>
      <c r="DIW4">
        <v>60250</v>
      </c>
      <c r="DIX4">
        <v>80990</v>
      </c>
      <c r="DIY4">
        <v>54803</v>
      </c>
      <c r="DIZ4">
        <v>42222</v>
      </c>
      <c r="DJA4">
        <v>68872</v>
      </c>
      <c r="DJB4">
        <v>89137</v>
      </c>
      <c r="DJC4">
        <v>52571</v>
      </c>
      <c r="DJE4">
        <v>53201</v>
      </c>
      <c r="DJF4">
        <v>42841</v>
      </c>
      <c r="DJG4">
        <v>73571</v>
      </c>
      <c r="DJH4">
        <v>60503</v>
      </c>
      <c r="DJI4">
        <v>73957</v>
      </c>
      <c r="DJJ4">
        <v>85729</v>
      </c>
      <c r="DJK4">
        <v>73715</v>
      </c>
      <c r="DJL4">
        <v>58343</v>
      </c>
      <c r="DJM4">
        <v>27243</v>
      </c>
      <c r="DJN4">
        <v>36165</v>
      </c>
      <c r="DJO4">
        <v>43333</v>
      </c>
      <c r="DJP4">
        <v>41038</v>
      </c>
      <c r="DJR4">
        <v>71224</v>
      </c>
      <c r="DJS4">
        <v>57686</v>
      </c>
      <c r="DJT4">
        <v>47924</v>
      </c>
      <c r="DJU4">
        <v>51427</v>
      </c>
      <c r="DJV4">
        <v>55186</v>
      </c>
      <c r="DJW4">
        <v>69025</v>
      </c>
      <c r="DJX4">
        <v>91067</v>
      </c>
      <c r="DJY4">
        <v>50385</v>
      </c>
      <c r="DJZ4">
        <v>56667</v>
      </c>
      <c r="DKA4">
        <v>56080</v>
      </c>
      <c r="DKB4">
        <v>87250</v>
      </c>
      <c r="DKC4">
        <v>44755</v>
      </c>
      <c r="DKD4">
        <v>61019</v>
      </c>
      <c r="DKE4">
        <v>58884</v>
      </c>
      <c r="DKF4">
        <v>47247</v>
      </c>
      <c r="DKG4">
        <v>41683</v>
      </c>
      <c r="DKH4">
        <v>65508</v>
      </c>
      <c r="DKI4">
        <v>50179</v>
      </c>
      <c r="DKK4">
        <v>32218</v>
      </c>
      <c r="DKL4">
        <v>62030</v>
      </c>
      <c r="DKM4">
        <v>69133</v>
      </c>
      <c r="DKN4">
        <v>50362</v>
      </c>
      <c r="DKO4">
        <v>68355</v>
      </c>
      <c r="DKP4">
        <v>45944</v>
      </c>
      <c r="DKQ4">
        <v>54853</v>
      </c>
      <c r="DKS4">
        <v>53962</v>
      </c>
      <c r="DKT4">
        <v>73231</v>
      </c>
      <c r="DKU4">
        <v>77593</v>
      </c>
      <c r="DKV4">
        <v>105911</v>
      </c>
      <c r="DKW4">
        <v>51547</v>
      </c>
      <c r="DKX4">
        <v>79018</v>
      </c>
      <c r="DKY4">
        <v>43819</v>
      </c>
      <c r="DKZ4">
        <v>92850</v>
      </c>
      <c r="DLA4">
        <v>62917</v>
      </c>
      <c r="DLB4">
        <v>61985</v>
      </c>
      <c r="DLC4">
        <v>62648</v>
      </c>
      <c r="DLE4">
        <v>45150</v>
      </c>
      <c r="DLF4">
        <v>56204</v>
      </c>
      <c r="DLG4">
        <v>26733</v>
      </c>
      <c r="DLH4">
        <v>52653</v>
      </c>
      <c r="DLJ4">
        <v>92361</v>
      </c>
      <c r="DLK4">
        <v>53958</v>
      </c>
      <c r="DLL4">
        <v>19083</v>
      </c>
      <c r="DLN4">
        <v>41328</v>
      </c>
      <c r="DLO4">
        <v>30129</v>
      </c>
      <c r="DLP4">
        <v>32049</v>
      </c>
      <c r="DLQ4">
        <v>57254</v>
      </c>
      <c r="DLR4">
        <v>43980</v>
      </c>
      <c r="DLS4">
        <v>31453</v>
      </c>
      <c r="DLT4">
        <v>49231</v>
      </c>
      <c r="DLU4">
        <v>57112</v>
      </c>
      <c r="DLV4">
        <v>55591</v>
      </c>
      <c r="DLW4">
        <v>35531</v>
      </c>
      <c r="DLX4">
        <v>47330</v>
      </c>
      <c r="DLY4">
        <v>39345</v>
      </c>
      <c r="DLZ4">
        <v>44072</v>
      </c>
      <c r="DMA4">
        <v>43646</v>
      </c>
      <c r="DMC4">
        <v>59484</v>
      </c>
      <c r="DMD4">
        <v>60028</v>
      </c>
      <c r="DME4">
        <v>50455</v>
      </c>
      <c r="DMF4">
        <v>80625</v>
      </c>
      <c r="DMH4">
        <v>76875</v>
      </c>
      <c r="DMI4">
        <v>25461</v>
      </c>
      <c r="DMM4">
        <v>2499</v>
      </c>
      <c r="DMQ4">
        <v>31330</v>
      </c>
      <c r="DMS4">
        <v>61436</v>
      </c>
      <c r="DMT4">
        <v>44793</v>
      </c>
      <c r="DMU4">
        <v>48203</v>
      </c>
      <c r="DMV4">
        <v>29330</v>
      </c>
      <c r="DNB4">
        <v>25363</v>
      </c>
      <c r="DNC4">
        <v>47718</v>
      </c>
      <c r="DNE4">
        <v>130020</v>
      </c>
      <c r="DNG4">
        <v>55059</v>
      </c>
      <c r="DNH4">
        <v>17424</v>
      </c>
      <c r="DNI4">
        <v>42037</v>
      </c>
      <c r="DNJ4">
        <v>57652</v>
      </c>
      <c r="DNK4">
        <v>59397</v>
      </c>
      <c r="DNL4">
        <v>36250</v>
      </c>
      <c r="DNM4">
        <v>39355</v>
      </c>
      <c r="DNO4">
        <v>25756</v>
      </c>
      <c r="DNQ4">
        <v>2499</v>
      </c>
      <c r="DNR4">
        <v>61875</v>
      </c>
      <c r="DNS4">
        <v>27065</v>
      </c>
      <c r="DNV4">
        <v>44234</v>
      </c>
      <c r="DNW4">
        <v>13092</v>
      </c>
      <c r="DNX4">
        <v>28385</v>
      </c>
      <c r="DNZ4">
        <v>41011</v>
      </c>
      <c r="DOC4">
        <v>30389</v>
      </c>
      <c r="DOD4">
        <v>38852</v>
      </c>
      <c r="DOF4">
        <v>30259</v>
      </c>
      <c r="DOG4">
        <v>42188</v>
      </c>
      <c r="DOH4">
        <v>45011</v>
      </c>
      <c r="DOI4">
        <v>64167</v>
      </c>
      <c r="DOJ4">
        <v>40293</v>
      </c>
      <c r="DOL4">
        <v>54596</v>
      </c>
      <c r="DOM4">
        <v>33113</v>
      </c>
      <c r="DOO4">
        <v>67921</v>
      </c>
      <c r="DOQ4">
        <v>86733</v>
      </c>
      <c r="DOT4">
        <v>36813</v>
      </c>
      <c r="DOU4">
        <v>36707</v>
      </c>
      <c r="DOV4">
        <v>24423</v>
      </c>
      <c r="DOY4">
        <v>53403</v>
      </c>
      <c r="DOZ4">
        <v>38502</v>
      </c>
      <c r="DPA4">
        <v>44000</v>
      </c>
      <c r="DPB4">
        <v>76404</v>
      </c>
      <c r="DPC4">
        <v>63594</v>
      </c>
      <c r="DPE4">
        <v>53056</v>
      </c>
      <c r="DPF4">
        <v>67550</v>
      </c>
      <c r="DPH4">
        <v>43333</v>
      </c>
      <c r="DPI4">
        <v>40301</v>
      </c>
      <c r="DPJ4">
        <v>37135</v>
      </c>
      <c r="DPK4">
        <v>77946</v>
      </c>
      <c r="DPL4">
        <v>62600</v>
      </c>
      <c r="DPM4">
        <v>91250</v>
      </c>
      <c r="DPN4">
        <v>61989</v>
      </c>
      <c r="DPO4">
        <v>51848</v>
      </c>
      <c r="DPP4">
        <v>60625</v>
      </c>
      <c r="DPQ4">
        <v>70559</v>
      </c>
      <c r="DPR4">
        <v>37899</v>
      </c>
      <c r="DPU4">
        <v>55179</v>
      </c>
      <c r="DPV4">
        <v>52396</v>
      </c>
      <c r="DPW4">
        <v>44118</v>
      </c>
      <c r="DPX4">
        <v>21446</v>
      </c>
      <c r="DPY4">
        <v>46383</v>
      </c>
      <c r="DPZ4">
        <v>73750</v>
      </c>
      <c r="DQB4">
        <v>51667</v>
      </c>
      <c r="DQC4">
        <v>38889</v>
      </c>
      <c r="DQD4">
        <v>75104</v>
      </c>
      <c r="DQE4">
        <v>50610</v>
      </c>
      <c r="DQF4">
        <v>55088</v>
      </c>
      <c r="DQI4">
        <v>64631</v>
      </c>
      <c r="DQJ4">
        <v>43750</v>
      </c>
      <c r="DQK4">
        <v>38177</v>
      </c>
      <c r="DQM4">
        <v>66042</v>
      </c>
      <c r="DQN4">
        <v>94375</v>
      </c>
      <c r="DQO4">
        <v>56681</v>
      </c>
      <c r="DQP4">
        <v>32102</v>
      </c>
      <c r="DQU4">
        <v>52944</v>
      </c>
      <c r="DQV4">
        <v>72614</v>
      </c>
      <c r="DQW4">
        <v>40048</v>
      </c>
      <c r="DQX4">
        <v>81761</v>
      </c>
      <c r="DQY4">
        <v>33995</v>
      </c>
      <c r="DQZ4">
        <v>59167</v>
      </c>
      <c r="DRA4">
        <v>45417</v>
      </c>
      <c r="DRD4">
        <v>57750</v>
      </c>
      <c r="DRE4">
        <v>52025</v>
      </c>
      <c r="DRF4">
        <v>39250</v>
      </c>
      <c r="DRG4">
        <v>41179</v>
      </c>
      <c r="DRH4">
        <v>62450</v>
      </c>
      <c r="DRI4">
        <v>48672</v>
      </c>
      <c r="DRJ4">
        <v>58667</v>
      </c>
      <c r="DRK4">
        <v>95952</v>
      </c>
      <c r="DRM4">
        <v>105920</v>
      </c>
      <c r="DRO4">
        <v>55962</v>
      </c>
      <c r="DRQ4">
        <v>61731</v>
      </c>
      <c r="DRR4">
        <v>57263</v>
      </c>
      <c r="DRS4">
        <v>72875</v>
      </c>
      <c r="DRT4">
        <v>78578</v>
      </c>
      <c r="DRU4">
        <v>59710</v>
      </c>
      <c r="DRV4">
        <v>68083</v>
      </c>
      <c r="DRX4">
        <v>108125</v>
      </c>
      <c r="DRY4">
        <v>53582</v>
      </c>
      <c r="DRZ4">
        <v>32792</v>
      </c>
      <c r="DSA4">
        <v>30945</v>
      </c>
      <c r="DSB4">
        <v>54032</v>
      </c>
      <c r="DSC4">
        <v>41042</v>
      </c>
      <c r="DSD4">
        <v>37569</v>
      </c>
      <c r="DSF4">
        <v>105150</v>
      </c>
      <c r="DSG4">
        <v>23264</v>
      </c>
      <c r="DSJ4">
        <v>85388</v>
      </c>
      <c r="DSK4">
        <v>28876</v>
      </c>
      <c r="DSL4">
        <v>56037</v>
      </c>
      <c r="DSM4">
        <v>56591</v>
      </c>
      <c r="DST4">
        <v>58422</v>
      </c>
      <c r="DSU4">
        <v>55000</v>
      </c>
      <c r="DSV4">
        <v>50597</v>
      </c>
      <c r="DSW4">
        <v>59875</v>
      </c>
      <c r="DSY4">
        <v>53294</v>
      </c>
      <c r="DSZ4">
        <v>47250</v>
      </c>
      <c r="DTA4">
        <v>35114</v>
      </c>
      <c r="DTB4">
        <v>150366</v>
      </c>
      <c r="DTC4">
        <v>28173</v>
      </c>
      <c r="DTF4">
        <v>57321</v>
      </c>
      <c r="DTG4">
        <v>86146</v>
      </c>
      <c r="DTH4">
        <v>53205</v>
      </c>
      <c r="DTI4">
        <v>69115</v>
      </c>
      <c r="DTL4">
        <v>67243</v>
      </c>
      <c r="DTN4">
        <v>56517</v>
      </c>
      <c r="DTO4">
        <v>44066</v>
      </c>
      <c r="DTP4">
        <v>51397</v>
      </c>
      <c r="DTQ4">
        <v>63558</v>
      </c>
      <c r="DTR4">
        <v>58375</v>
      </c>
      <c r="DTS4">
        <v>48102</v>
      </c>
      <c r="DTT4">
        <v>101660</v>
      </c>
      <c r="DTU4">
        <v>40417</v>
      </c>
      <c r="DTX4">
        <v>55046</v>
      </c>
      <c r="DTZ4">
        <v>46705</v>
      </c>
      <c r="DUC4">
        <v>47563</v>
      </c>
      <c r="DUD4">
        <v>41944</v>
      </c>
      <c r="DUE4">
        <v>74286</v>
      </c>
      <c r="DUG4">
        <v>96328</v>
      </c>
      <c r="DUI4">
        <v>13684</v>
      </c>
      <c r="DUJ4">
        <v>78516</v>
      </c>
      <c r="DUK4">
        <v>54250</v>
      </c>
      <c r="DUL4">
        <v>41406</v>
      </c>
      <c r="DUM4">
        <v>48674</v>
      </c>
      <c r="DUN4">
        <v>19659</v>
      </c>
      <c r="DUO4">
        <v>100711</v>
      </c>
      <c r="DUP4">
        <v>70956</v>
      </c>
      <c r="DUR4">
        <v>42813</v>
      </c>
      <c r="DUS4">
        <v>52070</v>
      </c>
      <c r="DUT4">
        <v>80446</v>
      </c>
      <c r="DUU4">
        <v>57336</v>
      </c>
      <c r="DUV4">
        <v>48977</v>
      </c>
      <c r="DUW4">
        <v>65667</v>
      </c>
      <c r="DUX4">
        <v>82232</v>
      </c>
      <c r="DUY4">
        <v>52969</v>
      </c>
      <c r="DUZ4">
        <v>67652</v>
      </c>
      <c r="DVA4">
        <v>54741</v>
      </c>
      <c r="DVB4">
        <v>44763</v>
      </c>
      <c r="DVC4">
        <v>62756</v>
      </c>
      <c r="DVD4">
        <v>35417</v>
      </c>
      <c r="DVE4">
        <v>49167</v>
      </c>
      <c r="DVG4">
        <v>73914</v>
      </c>
      <c r="DVH4">
        <v>66150</v>
      </c>
      <c r="DVI4">
        <v>51827</v>
      </c>
      <c r="DVJ4">
        <v>71250</v>
      </c>
      <c r="DVL4">
        <v>50993</v>
      </c>
      <c r="DVM4">
        <v>44129</v>
      </c>
      <c r="DVN4">
        <v>52150</v>
      </c>
      <c r="DVO4">
        <v>64632</v>
      </c>
      <c r="DVP4">
        <v>44805</v>
      </c>
      <c r="DVQ4">
        <v>53125</v>
      </c>
      <c r="DVR4">
        <v>45250</v>
      </c>
      <c r="DVS4">
        <v>99458</v>
      </c>
      <c r="DVT4">
        <v>25417</v>
      </c>
      <c r="DVU4">
        <v>55210</v>
      </c>
      <c r="DVV4">
        <v>75872</v>
      </c>
      <c r="DVW4">
        <v>80931</v>
      </c>
      <c r="DVY4">
        <v>71654</v>
      </c>
      <c r="DVZ4">
        <v>57937</v>
      </c>
      <c r="DWA4">
        <v>62800</v>
      </c>
      <c r="DWB4">
        <v>57246</v>
      </c>
      <c r="DWC4">
        <v>64385</v>
      </c>
      <c r="DWD4">
        <v>94556</v>
      </c>
      <c r="DWE4">
        <v>55083</v>
      </c>
      <c r="DWF4">
        <v>58629</v>
      </c>
      <c r="DWG4">
        <v>43063</v>
      </c>
      <c r="DWH4">
        <v>51909</v>
      </c>
      <c r="DWI4">
        <v>87512</v>
      </c>
      <c r="DWJ4">
        <v>70633</v>
      </c>
      <c r="DWK4">
        <v>92536</v>
      </c>
      <c r="DWL4">
        <v>71349</v>
      </c>
      <c r="DWM4">
        <v>100556</v>
      </c>
      <c r="DWN4">
        <v>105500</v>
      </c>
      <c r="DWO4">
        <v>89284</v>
      </c>
      <c r="DWP4">
        <v>98785</v>
      </c>
      <c r="DWR4">
        <v>52047</v>
      </c>
      <c r="DWS4">
        <v>94048</v>
      </c>
      <c r="DWT4">
        <v>87184</v>
      </c>
      <c r="DWU4">
        <v>82885</v>
      </c>
      <c r="DWV4">
        <v>86806</v>
      </c>
      <c r="DWW4">
        <v>68917</v>
      </c>
      <c r="DWX4">
        <v>46397</v>
      </c>
      <c r="DWY4">
        <v>64487</v>
      </c>
      <c r="DXA4">
        <v>81875</v>
      </c>
      <c r="DXB4">
        <v>111419</v>
      </c>
      <c r="DXC4">
        <v>111593</v>
      </c>
      <c r="DXD4">
        <v>132614</v>
      </c>
      <c r="DXE4">
        <v>119853</v>
      </c>
      <c r="DXF4">
        <v>42188</v>
      </c>
      <c r="DXG4">
        <v>78079</v>
      </c>
      <c r="DXI4">
        <v>62530</v>
      </c>
      <c r="DXK4">
        <v>44013</v>
      </c>
      <c r="DXL4">
        <v>49245</v>
      </c>
      <c r="DXM4">
        <v>48144</v>
      </c>
      <c r="DXN4">
        <v>72894</v>
      </c>
      <c r="DXO4">
        <v>43846</v>
      </c>
      <c r="DXP4">
        <v>36964</v>
      </c>
      <c r="DXQ4">
        <v>53929</v>
      </c>
      <c r="DXR4">
        <v>46904</v>
      </c>
      <c r="DXS4">
        <v>44696</v>
      </c>
      <c r="DXT4">
        <v>51875</v>
      </c>
      <c r="DXU4">
        <v>61375</v>
      </c>
      <c r="DXV4">
        <v>66563</v>
      </c>
      <c r="DXW4">
        <v>40194</v>
      </c>
      <c r="DXX4">
        <v>85176</v>
      </c>
      <c r="DXY4">
        <v>55769</v>
      </c>
      <c r="DXZ4">
        <v>70508</v>
      </c>
      <c r="DYB4">
        <v>72446</v>
      </c>
      <c r="DYC4">
        <v>68385</v>
      </c>
      <c r="DYD4">
        <v>2499</v>
      </c>
      <c r="DYE4">
        <v>62782</v>
      </c>
      <c r="DYG4">
        <v>92813</v>
      </c>
      <c r="DYI4">
        <v>49497</v>
      </c>
      <c r="DYJ4">
        <v>66853</v>
      </c>
      <c r="DYK4">
        <v>30804</v>
      </c>
      <c r="DYL4">
        <v>34727</v>
      </c>
      <c r="DYM4">
        <v>103160</v>
      </c>
      <c r="DYO4">
        <v>34966</v>
      </c>
      <c r="DYP4">
        <v>51797</v>
      </c>
      <c r="DYQ4">
        <v>48947</v>
      </c>
      <c r="DYR4">
        <v>49201</v>
      </c>
      <c r="DYT4">
        <v>47333</v>
      </c>
      <c r="DYU4">
        <v>63056</v>
      </c>
      <c r="DYV4">
        <v>26857</v>
      </c>
      <c r="DYW4">
        <v>82961</v>
      </c>
      <c r="DZA4">
        <v>51563</v>
      </c>
      <c r="DZB4">
        <v>14339</v>
      </c>
      <c r="DZC4">
        <v>90417</v>
      </c>
      <c r="DZG4">
        <v>102303</v>
      </c>
      <c r="DZH4">
        <v>52583</v>
      </c>
      <c r="DZI4">
        <v>51926</v>
      </c>
      <c r="DZJ4">
        <v>90333</v>
      </c>
      <c r="DZK4">
        <v>24902</v>
      </c>
      <c r="DZL4">
        <v>88493</v>
      </c>
      <c r="DZM4">
        <v>37500</v>
      </c>
      <c r="DZO4">
        <v>53262</v>
      </c>
      <c r="DZR4">
        <v>48026</v>
      </c>
      <c r="DZU4">
        <v>25014</v>
      </c>
      <c r="DZV4">
        <v>14519</v>
      </c>
      <c r="DZX4">
        <v>43333</v>
      </c>
      <c r="DZY4">
        <v>32961</v>
      </c>
      <c r="DZZ4">
        <v>42679</v>
      </c>
      <c r="EAB4">
        <v>38495</v>
      </c>
      <c r="EAC4">
        <v>47639</v>
      </c>
      <c r="EAD4">
        <v>36486</v>
      </c>
      <c r="EAE4">
        <v>63947</v>
      </c>
      <c r="EAG4">
        <v>63533</v>
      </c>
      <c r="EAH4">
        <v>23234</v>
      </c>
      <c r="EAI4">
        <v>48077</v>
      </c>
      <c r="EAK4">
        <v>56292</v>
      </c>
      <c r="EAL4">
        <v>40708</v>
      </c>
      <c r="EAM4">
        <v>24139</v>
      </c>
      <c r="EAN4">
        <v>53189</v>
      </c>
      <c r="EAO4">
        <v>61329</v>
      </c>
      <c r="EAQ4">
        <v>56836</v>
      </c>
      <c r="EAT4">
        <v>43646</v>
      </c>
      <c r="EAU4">
        <v>54364</v>
      </c>
      <c r="EAW4">
        <v>85938</v>
      </c>
      <c r="EAX4">
        <v>135568</v>
      </c>
      <c r="EAZ4">
        <v>57795</v>
      </c>
      <c r="EBB4">
        <v>41198</v>
      </c>
      <c r="EBC4">
        <v>46800</v>
      </c>
      <c r="EBD4">
        <v>74184</v>
      </c>
      <c r="EBF4">
        <v>79286</v>
      </c>
      <c r="EBH4">
        <v>67628</v>
      </c>
      <c r="EBJ4">
        <v>86767</v>
      </c>
      <c r="EBK4">
        <v>30526</v>
      </c>
      <c r="EBR4">
        <v>52143</v>
      </c>
      <c r="EBS4">
        <v>30335</v>
      </c>
      <c r="EBU4">
        <v>107763</v>
      </c>
      <c r="EBV4">
        <v>76250</v>
      </c>
      <c r="EBW4">
        <v>38173</v>
      </c>
      <c r="EBX4">
        <v>69050</v>
      </c>
      <c r="ECA4">
        <v>31250</v>
      </c>
      <c r="ECB4">
        <v>26788</v>
      </c>
      <c r="ECC4">
        <v>83849</v>
      </c>
      <c r="ECD4">
        <v>73894</v>
      </c>
      <c r="ECE4">
        <v>25878</v>
      </c>
      <c r="ECF4">
        <v>60800</v>
      </c>
      <c r="ECG4">
        <v>36264</v>
      </c>
      <c r="ECH4">
        <v>57500</v>
      </c>
      <c r="ECI4">
        <v>51735</v>
      </c>
      <c r="ECK4">
        <v>39455</v>
      </c>
      <c r="ECL4">
        <v>70714</v>
      </c>
      <c r="ECN4">
        <v>86484</v>
      </c>
      <c r="ECO4">
        <v>41706</v>
      </c>
      <c r="ECQ4">
        <v>39292</v>
      </c>
      <c r="ECS4">
        <v>60407</v>
      </c>
      <c r="ECT4">
        <v>79323</v>
      </c>
      <c r="ECV4">
        <v>35451</v>
      </c>
      <c r="ECW4">
        <v>2499</v>
      </c>
      <c r="EDA4">
        <v>59833</v>
      </c>
      <c r="EDD4">
        <v>35918</v>
      </c>
      <c r="EDE4">
        <v>26667</v>
      </c>
      <c r="EDF4">
        <v>44004</v>
      </c>
      <c r="EDG4">
        <v>60550</v>
      </c>
      <c r="EDH4">
        <v>60250</v>
      </c>
      <c r="EDI4">
        <v>74439</v>
      </c>
      <c r="EDK4">
        <v>41169</v>
      </c>
      <c r="EDM4">
        <v>73913</v>
      </c>
      <c r="EDN4">
        <v>50132</v>
      </c>
      <c r="EDO4">
        <v>37639</v>
      </c>
      <c r="EDP4">
        <v>27183</v>
      </c>
      <c r="EDQ4">
        <v>55491</v>
      </c>
      <c r="EDR4">
        <v>100128</v>
      </c>
      <c r="EDT4">
        <v>57703</v>
      </c>
      <c r="EDU4">
        <v>33125</v>
      </c>
      <c r="EDV4">
        <v>46797</v>
      </c>
      <c r="EDW4">
        <v>58750</v>
      </c>
      <c r="EDX4">
        <v>55972</v>
      </c>
      <c r="EDY4">
        <v>56556</v>
      </c>
      <c r="EDZ4">
        <v>60000</v>
      </c>
      <c r="EEB4">
        <v>59508</v>
      </c>
      <c r="EEC4">
        <v>76875</v>
      </c>
      <c r="EED4">
        <v>57800</v>
      </c>
      <c r="EEE4">
        <v>39444</v>
      </c>
      <c r="EEF4">
        <v>54419</v>
      </c>
      <c r="EEG4">
        <v>58641</v>
      </c>
      <c r="EEH4">
        <v>50139</v>
      </c>
      <c r="EEI4">
        <v>49821</v>
      </c>
      <c r="EEJ4">
        <v>54286</v>
      </c>
      <c r="EEL4">
        <v>67094</v>
      </c>
      <c r="EEM4">
        <v>69716</v>
      </c>
      <c r="EEN4">
        <v>60702</v>
      </c>
      <c r="EEO4">
        <v>52359</v>
      </c>
      <c r="EEP4">
        <v>50000</v>
      </c>
      <c r="EEQ4">
        <v>53750</v>
      </c>
      <c r="EER4">
        <v>48710</v>
      </c>
      <c r="EES4">
        <v>54331</v>
      </c>
      <c r="EET4">
        <v>61674</v>
      </c>
      <c r="EEU4">
        <v>74917</v>
      </c>
      <c r="EEV4">
        <v>48406</v>
      </c>
      <c r="EEW4">
        <v>42788</v>
      </c>
      <c r="EEX4">
        <v>26098</v>
      </c>
      <c r="EEY4">
        <v>115729</v>
      </c>
      <c r="EEZ4">
        <v>43500</v>
      </c>
      <c r="EFA4">
        <v>62941</v>
      </c>
      <c r="EFB4">
        <v>55402</v>
      </c>
      <c r="EFC4">
        <v>37147</v>
      </c>
      <c r="EFD4">
        <v>43082</v>
      </c>
      <c r="EFE4">
        <v>44177</v>
      </c>
      <c r="EFF4">
        <v>71786</v>
      </c>
      <c r="EFG4">
        <v>61786</v>
      </c>
      <c r="EFH4">
        <v>40781</v>
      </c>
      <c r="EFJ4">
        <v>64485</v>
      </c>
      <c r="EFK4">
        <v>66190</v>
      </c>
      <c r="EFL4">
        <v>48992</v>
      </c>
      <c r="EFO4">
        <v>45104</v>
      </c>
      <c r="EFP4">
        <v>57470</v>
      </c>
      <c r="EFQ4">
        <v>57813</v>
      </c>
      <c r="EFR4">
        <v>68125</v>
      </c>
      <c r="EFS4">
        <v>56875</v>
      </c>
      <c r="EFT4">
        <v>35139</v>
      </c>
      <c r="EFU4">
        <v>70625</v>
      </c>
      <c r="EFV4">
        <v>73977</v>
      </c>
      <c r="EFW4">
        <v>62550</v>
      </c>
      <c r="EFX4">
        <v>83226</v>
      </c>
      <c r="EFY4">
        <v>53832</v>
      </c>
      <c r="EFZ4">
        <v>75801</v>
      </c>
      <c r="EGA4">
        <v>26343</v>
      </c>
      <c r="EGB4">
        <v>37378</v>
      </c>
      <c r="EGC4">
        <v>44042</v>
      </c>
      <c r="EGD4">
        <v>49922</v>
      </c>
      <c r="EGE4">
        <v>36250</v>
      </c>
      <c r="EGG4">
        <v>83750</v>
      </c>
      <c r="EGI4">
        <v>58646</v>
      </c>
      <c r="EGJ4">
        <v>48438</v>
      </c>
      <c r="EGK4">
        <v>23000</v>
      </c>
      <c r="EGN4">
        <v>61250</v>
      </c>
      <c r="EGP4">
        <v>81313</v>
      </c>
      <c r="EGQ4">
        <v>47951</v>
      </c>
      <c r="EGR4">
        <v>50538</v>
      </c>
      <c r="EGS4">
        <v>47682</v>
      </c>
      <c r="EGT4">
        <v>65843</v>
      </c>
      <c r="EGU4">
        <v>74444</v>
      </c>
      <c r="EGV4">
        <v>79375</v>
      </c>
      <c r="EGW4">
        <v>65658</v>
      </c>
      <c r="EGX4">
        <v>95690</v>
      </c>
      <c r="EGY4">
        <v>33750</v>
      </c>
      <c r="EHA4">
        <v>57868</v>
      </c>
      <c r="EHC4">
        <v>96406</v>
      </c>
      <c r="EHE4">
        <v>66042</v>
      </c>
      <c r="EHF4">
        <v>60304</v>
      </c>
      <c r="EHG4">
        <v>41111</v>
      </c>
      <c r="EHH4">
        <v>39688</v>
      </c>
      <c r="EHJ4">
        <v>63257</v>
      </c>
      <c r="EHK4">
        <v>54604</v>
      </c>
      <c r="EHL4">
        <v>46335</v>
      </c>
      <c r="EHN4">
        <v>75556</v>
      </c>
      <c r="EHP4">
        <v>51855</v>
      </c>
      <c r="EHQ4">
        <v>34801</v>
      </c>
      <c r="EHT4">
        <v>53250</v>
      </c>
      <c r="EHV4">
        <v>48542</v>
      </c>
      <c r="EHY4">
        <v>49816</v>
      </c>
      <c r="EHZ4">
        <v>70476</v>
      </c>
      <c r="EIA4">
        <v>103967</v>
      </c>
      <c r="EIE4">
        <v>88962</v>
      </c>
      <c r="EIF4">
        <v>51513</v>
      </c>
      <c r="EIG4">
        <v>49306</v>
      </c>
      <c r="EIH4">
        <v>87301</v>
      </c>
      <c r="EII4">
        <v>80208</v>
      </c>
      <c r="EIJ4">
        <v>31192</v>
      </c>
      <c r="EIK4">
        <v>45560</v>
      </c>
      <c r="EIL4">
        <v>73641</v>
      </c>
      <c r="EIM4">
        <v>61250</v>
      </c>
      <c r="EIO4">
        <v>53942</v>
      </c>
      <c r="EIP4">
        <v>55742</v>
      </c>
      <c r="EIQ4">
        <v>52742</v>
      </c>
      <c r="EIR4">
        <v>82697</v>
      </c>
      <c r="EIS4">
        <v>53125</v>
      </c>
      <c r="EIV4">
        <v>194286</v>
      </c>
      <c r="EIW4">
        <v>57321</v>
      </c>
      <c r="EIX4">
        <v>34811</v>
      </c>
      <c r="EIY4">
        <v>51198</v>
      </c>
      <c r="EIZ4">
        <v>71546</v>
      </c>
      <c r="EJB4">
        <v>82625</v>
      </c>
      <c r="EJC4">
        <v>75720</v>
      </c>
      <c r="EJD4">
        <v>16472</v>
      </c>
      <c r="EJE4">
        <v>68798</v>
      </c>
      <c r="EJF4">
        <v>72819</v>
      </c>
      <c r="EJG4">
        <v>50607</v>
      </c>
      <c r="EJH4">
        <v>50000</v>
      </c>
      <c r="EJJ4">
        <v>56848</v>
      </c>
      <c r="EJK4">
        <v>54741</v>
      </c>
      <c r="EJL4">
        <v>47443</v>
      </c>
      <c r="EJM4">
        <v>41250</v>
      </c>
      <c r="EJP4">
        <v>47667</v>
      </c>
      <c r="EJQ4">
        <v>56163</v>
      </c>
      <c r="EJR4">
        <v>47903</v>
      </c>
      <c r="EJS4">
        <v>61023</v>
      </c>
      <c r="EJW4">
        <v>78669</v>
      </c>
      <c r="EJX4">
        <v>92824</v>
      </c>
      <c r="EJY4">
        <v>61953</v>
      </c>
      <c r="EJZ4">
        <v>44004</v>
      </c>
      <c r="EKA4">
        <v>64688</v>
      </c>
      <c r="EKB4">
        <v>32955</v>
      </c>
      <c r="EKC4">
        <v>73846</v>
      </c>
      <c r="EKD4">
        <v>51695</v>
      </c>
      <c r="EKE4">
        <v>58000</v>
      </c>
      <c r="EKF4">
        <v>75000</v>
      </c>
      <c r="EKG4">
        <v>63529</v>
      </c>
      <c r="EKH4">
        <v>45536</v>
      </c>
      <c r="EKJ4">
        <v>90041</v>
      </c>
      <c r="EKK4">
        <v>54328</v>
      </c>
      <c r="EKM4">
        <v>80625</v>
      </c>
      <c r="EKN4">
        <v>110855</v>
      </c>
      <c r="EKO4">
        <v>82114</v>
      </c>
      <c r="EKP4">
        <v>31413</v>
      </c>
      <c r="EKQ4">
        <v>59844</v>
      </c>
      <c r="EKR4">
        <v>73444</v>
      </c>
      <c r="EKS4">
        <v>54375</v>
      </c>
      <c r="EKV4">
        <v>49656</v>
      </c>
      <c r="EKW4">
        <v>76084</v>
      </c>
      <c r="EKX4">
        <v>69712</v>
      </c>
      <c r="EKY4">
        <v>73229</v>
      </c>
      <c r="EKZ4">
        <v>6875</v>
      </c>
      <c r="ELA4">
        <v>55603</v>
      </c>
      <c r="ELC4">
        <v>61914</v>
      </c>
      <c r="ELD4">
        <v>71048</v>
      </c>
      <c r="ELE4">
        <v>84167</v>
      </c>
      <c r="ELF4">
        <v>86136</v>
      </c>
      <c r="ELG4">
        <v>64688</v>
      </c>
      <c r="ELH4">
        <v>39676</v>
      </c>
      <c r="ELI4">
        <v>98953</v>
      </c>
      <c r="ELK4">
        <v>52083</v>
      </c>
      <c r="ELL4">
        <v>62333</v>
      </c>
      <c r="ELO4">
        <v>60990</v>
      </c>
      <c r="ELP4">
        <v>101513</v>
      </c>
      <c r="ELQ4">
        <v>61071</v>
      </c>
      <c r="ELR4">
        <v>50469</v>
      </c>
      <c r="ELS4">
        <v>37165</v>
      </c>
      <c r="ELU4">
        <v>16181</v>
      </c>
      <c r="ELV4">
        <v>56250</v>
      </c>
      <c r="ELW4">
        <v>36366</v>
      </c>
      <c r="ELX4">
        <v>43092</v>
      </c>
      <c r="ELY4">
        <v>60761</v>
      </c>
      <c r="ELZ4">
        <v>47083</v>
      </c>
      <c r="EMA4">
        <v>63750</v>
      </c>
      <c r="EMD4">
        <v>40938</v>
      </c>
      <c r="EME4">
        <v>106875</v>
      </c>
      <c r="EMF4">
        <v>62955</v>
      </c>
      <c r="EMG4">
        <v>78068</v>
      </c>
      <c r="EMK4">
        <v>51050</v>
      </c>
      <c r="EML4">
        <v>21100</v>
      </c>
      <c r="EMM4">
        <v>64375</v>
      </c>
      <c r="EMN4">
        <v>53459</v>
      </c>
      <c r="EMP4">
        <v>50786</v>
      </c>
      <c r="EMS4">
        <v>85420</v>
      </c>
      <c r="EMT4">
        <v>74314</v>
      </c>
      <c r="EMU4">
        <v>40500</v>
      </c>
      <c r="EMV4">
        <v>33462</v>
      </c>
      <c r="EMW4">
        <v>78516</v>
      </c>
      <c r="EMX4">
        <v>71212</v>
      </c>
      <c r="EMY4">
        <v>72159</v>
      </c>
      <c r="EMZ4">
        <v>80375</v>
      </c>
      <c r="ENA4">
        <v>74712</v>
      </c>
      <c r="ENB4">
        <v>54167</v>
      </c>
      <c r="ENC4">
        <v>51771</v>
      </c>
      <c r="END4">
        <v>75625</v>
      </c>
      <c r="ENE4">
        <v>70944</v>
      </c>
      <c r="ENG4">
        <v>42000</v>
      </c>
      <c r="ENH4">
        <v>61331</v>
      </c>
      <c r="ENI4">
        <v>42500</v>
      </c>
      <c r="ENJ4">
        <v>73694</v>
      </c>
      <c r="ENL4">
        <v>57212</v>
      </c>
      <c r="ENM4">
        <v>25139</v>
      </c>
      <c r="ENN4">
        <v>68384</v>
      </c>
      <c r="ENO4">
        <v>61010</v>
      </c>
      <c r="ENP4">
        <v>92073</v>
      </c>
      <c r="ENQ4">
        <v>56429</v>
      </c>
      <c r="ENR4">
        <v>43750</v>
      </c>
      <c r="ENS4">
        <v>31000</v>
      </c>
      <c r="ENT4">
        <v>66750</v>
      </c>
      <c r="ENU4">
        <v>70313</v>
      </c>
      <c r="ENW4">
        <v>64375</v>
      </c>
      <c r="ENX4">
        <v>77050</v>
      </c>
      <c r="ENY4">
        <v>60104</v>
      </c>
      <c r="ENZ4">
        <v>68750</v>
      </c>
      <c r="EOA4">
        <v>42173</v>
      </c>
      <c r="EOC4">
        <v>72012</v>
      </c>
      <c r="EOD4">
        <v>47770</v>
      </c>
      <c r="EOF4">
        <v>64583</v>
      </c>
      <c r="EOG4">
        <v>52139</v>
      </c>
      <c r="EOH4">
        <v>49776</v>
      </c>
      <c r="EOI4">
        <v>63221</v>
      </c>
      <c r="EOJ4">
        <v>67500</v>
      </c>
      <c r="EOK4">
        <v>50833</v>
      </c>
      <c r="EOL4">
        <v>92378</v>
      </c>
      <c r="EOM4">
        <v>71615</v>
      </c>
      <c r="EON4">
        <v>56563</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6A949-ED17-4FF2-B743-5176E5CB124E}">
  <sheetPr codeName="Sheet9">
    <tabColor theme="6" tint="0.59999389629810485"/>
  </sheetPr>
  <dimension ref="A1:EON10"/>
  <sheetViews>
    <sheetView workbookViewId="0">
      <selection activeCell="R48" sqref="R48"/>
    </sheetView>
  </sheetViews>
  <sheetFormatPr defaultRowHeight="14.5" x14ac:dyDescent="0.35"/>
  <cols>
    <col min="1" max="1" width="15.1796875" customWidth="1"/>
  </cols>
  <sheetData>
    <row r="1" spans="1:3784" x14ac:dyDescent="0.35">
      <c r="A1" t="s">
        <v>110</v>
      </c>
      <c r="B1" t="s">
        <v>114</v>
      </c>
      <c r="C1" t="s">
        <v>115</v>
      </c>
      <c r="D1" t="s">
        <v>116</v>
      </c>
      <c r="E1" t="s">
        <v>117</v>
      </c>
      <c r="F1" t="s">
        <v>118</v>
      </c>
      <c r="G1" t="s">
        <v>119</v>
      </c>
      <c r="H1" t="s">
        <v>120</v>
      </c>
      <c r="I1" t="s">
        <v>121</v>
      </c>
      <c r="J1" t="s">
        <v>122</v>
      </c>
      <c r="K1" t="s">
        <v>123</v>
      </c>
      <c r="L1" t="s">
        <v>124</v>
      </c>
      <c r="M1" t="s">
        <v>125</v>
      </c>
      <c r="N1" t="s">
        <v>126</v>
      </c>
      <c r="O1" t="s">
        <v>127</v>
      </c>
      <c r="P1" t="s">
        <v>128</v>
      </c>
      <c r="Q1" t="s">
        <v>129</v>
      </c>
      <c r="R1" t="s">
        <v>130</v>
      </c>
      <c r="S1" t="s">
        <v>131</v>
      </c>
      <c r="T1" t="s">
        <v>132</v>
      </c>
      <c r="U1" t="s">
        <v>133</v>
      </c>
      <c r="V1" t="s">
        <v>134</v>
      </c>
      <c r="W1" t="s">
        <v>135</v>
      </c>
      <c r="X1" t="s">
        <v>136</v>
      </c>
      <c r="Y1" t="s">
        <v>137</v>
      </c>
      <c r="Z1" t="s">
        <v>138</v>
      </c>
      <c r="AA1" t="s">
        <v>139</v>
      </c>
      <c r="AB1" t="s">
        <v>140</v>
      </c>
      <c r="AC1" t="s">
        <v>141</v>
      </c>
      <c r="AD1" t="s">
        <v>142</v>
      </c>
      <c r="AE1" t="s">
        <v>143</v>
      </c>
      <c r="AF1" t="s">
        <v>144</v>
      </c>
      <c r="AG1" t="s">
        <v>145</v>
      </c>
      <c r="AH1" t="s">
        <v>146</v>
      </c>
      <c r="AI1" t="s">
        <v>147</v>
      </c>
      <c r="AJ1" t="s">
        <v>148</v>
      </c>
      <c r="AK1" t="s">
        <v>149</v>
      </c>
      <c r="AL1" t="s">
        <v>150</v>
      </c>
      <c r="AM1" t="s">
        <v>151</v>
      </c>
      <c r="AN1" t="s">
        <v>152</v>
      </c>
      <c r="AO1" t="s">
        <v>153</v>
      </c>
      <c r="AP1" t="s">
        <v>154</v>
      </c>
      <c r="AQ1" t="s">
        <v>155</v>
      </c>
      <c r="AR1" t="s">
        <v>156</v>
      </c>
      <c r="AS1" t="s">
        <v>157</v>
      </c>
      <c r="AT1" t="s">
        <v>158</v>
      </c>
      <c r="AU1" t="s">
        <v>159</v>
      </c>
      <c r="AV1" t="s">
        <v>160</v>
      </c>
      <c r="AW1" t="s">
        <v>161</v>
      </c>
      <c r="AX1" t="s">
        <v>162</v>
      </c>
      <c r="AY1" t="s">
        <v>163</v>
      </c>
      <c r="AZ1" t="s">
        <v>164</v>
      </c>
      <c r="BA1" t="s">
        <v>165</v>
      </c>
      <c r="BB1" t="s">
        <v>166</v>
      </c>
      <c r="BC1" t="s">
        <v>167</v>
      </c>
      <c r="BD1" t="s">
        <v>168</v>
      </c>
      <c r="BE1" t="s">
        <v>169</v>
      </c>
      <c r="BF1" t="s">
        <v>170</v>
      </c>
      <c r="BG1" t="s">
        <v>171</v>
      </c>
      <c r="BH1" t="s">
        <v>172</v>
      </c>
      <c r="BI1" t="s">
        <v>173</v>
      </c>
      <c r="BJ1" t="s">
        <v>174</v>
      </c>
      <c r="BK1" t="s">
        <v>175</v>
      </c>
      <c r="BL1" t="s">
        <v>176</v>
      </c>
      <c r="BM1" t="s">
        <v>177</v>
      </c>
      <c r="BN1" t="s">
        <v>178</v>
      </c>
      <c r="BO1" t="s">
        <v>179</v>
      </c>
      <c r="BP1" t="s">
        <v>180</v>
      </c>
      <c r="BQ1" t="s">
        <v>181</v>
      </c>
      <c r="BR1" t="s">
        <v>182</v>
      </c>
      <c r="BS1" t="s">
        <v>183</v>
      </c>
      <c r="BT1" t="s">
        <v>184</v>
      </c>
      <c r="BU1" t="s">
        <v>185</v>
      </c>
      <c r="BV1" t="s">
        <v>186</v>
      </c>
      <c r="BW1" t="s">
        <v>187</v>
      </c>
      <c r="BX1" t="s">
        <v>188</v>
      </c>
      <c r="BY1" t="s">
        <v>189</v>
      </c>
      <c r="BZ1" t="s">
        <v>190</v>
      </c>
      <c r="CA1" t="s">
        <v>191</v>
      </c>
      <c r="CB1" t="s">
        <v>192</v>
      </c>
      <c r="CC1" t="s">
        <v>193</v>
      </c>
      <c r="CD1" t="s">
        <v>194</v>
      </c>
      <c r="CE1" t="s">
        <v>195</v>
      </c>
      <c r="CF1" t="s">
        <v>196</v>
      </c>
      <c r="CG1" t="s">
        <v>197</v>
      </c>
      <c r="CH1" t="s">
        <v>198</v>
      </c>
      <c r="CI1" t="s">
        <v>199</v>
      </c>
      <c r="CJ1" t="s">
        <v>200</v>
      </c>
      <c r="CK1" t="s">
        <v>201</v>
      </c>
      <c r="CL1" t="s">
        <v>202</v>
      </c>
      <c r="CM1" t="s">
        <v>203</v>
      </c>
      <c r="CN1" t="s">
        <v>204</v>
      </c>
      <c r="CO1" t="s">
        <v>205</v>
      </c>
      <c r="CP1" t="s">
        <v>206</v>
      </c>
      <c r="CQ1" t="s">
        <v>207</v>
      </c>
      <c r="CR1" t="s">
        <v>208</v>
      </c>
      <c r="CS1" t="s">
        <v>209</v>
      </c>
      <c r="CT1" t="s">
        <v>210</v>
      </c>
      <c r="CU1" t="s">
        <v>211</v>
      </c>
      <c r="CV1" t="s">
        <v>212</v>
      </c>
      <c r="CW1" t="s">
        <v>213</v>
      </c>
      <c r="CX1" t="s">
        <v>214</v>
      </c>
      <c r="CY1" t="s">
        <v>215</v>
      </c>
      <c r="CZ1" t="s">
        <v>216</v>
      </c>
      <c r="DA1" t="s">
        <v>217</v>
      </c>
      <c r="DB1" t="s">
        <v>218</v>
      </c>
      <c r="DC1" t="s">
        <v>219</v>
      </c>
      <c r="DD1" t="s">
        <v>220</v>
      </c>
      <c r="DE1" t="s">
        <v>221</v>
      </c>
      <c r="DF1" t="s">
        <v>222</v>
      </c>
      <c r="DG1" t="s">
        <v>223</v>
      </c>
      <c r="DH1" t="s">
        <v>224</v>
      </c>
      <c r="DI1" t="s">
        <v>225</v>
      </c>
      <c r="DJ1" t="s">
        <v>226</v>
      </c>
      <c r="DK1" t="s">
        <v>227</v>
      </c>
      <c r="DL1" t="s">
        <v>228</v>
      </c>
      <c r="DM1" t="s">
        <v>229</v>
      </c>
      <c r="DN1" t="s">
        <v>230</v>
      </c>
      <c r="DO1" t="s">
        <v>231</v>
      </c>
      <c r="DP1" t="s">
        <v>232</v>
      </c>
      <c r="DQ1" t="s">
        <v>233</v>
      </c>
      <c r="DR1" t="s">
        <v>234</v>
      </c>
      <c r="DS1" t="s">
        <v>235</v>
      </c>
      <c r="DT1" t="s">
        <v>236</v>
      </c>
      <c r="DU1" t="s">
        <v>237</v>
      </c>
      <c r="DV1" t="s">
        <v>238</v>
      </c>
      <c r="DW1" t="s">
        <v>239</v>
      </c>
      <c r="DX1" t="s">
        <v>240</v>
      </c>
      <c r="DY1" t="s">
        <v>241</v>
      </c>
      <c r="DZ1" t="s">
        <v>242</v>
      </c>
      <c r="EA1" t="s">
        <v>243</v>
      </c>
      <c r="EB1" t="s">
        <v>244</v>
      </c>
      <c r="EC1" t="s">
        <v>245</v>
      </c>
      <c r="ED1" t="s">
        <v>246</v>
      </c>
      <c r="EE1" t="s">
        <v>247</v>
      </c>
      <c r="EF1" t="s">
        <v>248</v>
      </c>
      <c r="EG1" t="s">
        <v>249</v>
      </c>
      <c r="EH1" t="s">
        <v>250</v>
      </c>
      <c r="EI1" t="s">
        <v>251</v>
      </c>
      <c r="EJ1" t="s">
        <v>252</v>
      </c>
      <c r="EK1" t="s">
        <v>253</v>
      </c>
      <c r="EL1" t="s">
        <v>254</v>
      </c>
      <c r="EM1" t="s">
        <v>255</v>
      </c>
      <c r="EN1" t="s">
        <v>256</v>
      </c>
      <c r="EO1" t="s">
        <v>257</v>
      </c>
      <c r="EP1" t="s">
        <v>258</v>
      </c>
      <c r="EQ1" t="s">
        <v>259</v>
      </c>
      <c r="ER1" t="s">
        <v>260</v>
      </c>
      <c r="ES1" t="s">
        <v>261</v>
      </c>
      <c r="ET1" t="s">
        <v>262</v>
      </c>
      <c r="EU1" t="s">
        <v>263</v>
      </c>
      <c r="EV1" t="s">
        <v>264</v>
      </c>
      <c r="EW1" t="s">
        <v>265</v>
      </c>
      <c r="EX1" t="s">
        <v>266</v>
      </c>
      <c r="EY1" t="s">
        <v>267</v>
      </c>
      <c r="EZ1" t="s">
        <v>268</v>
      </c>
      <c r="FA1" t="s">
        <v>269</v>
      </c>
      <c r="FB1" t="s">
        <v>270</v>
      </c>
      <c r="FC1" t="s">
        <v>271</v>
      </c>
      <c r="FD1" t="s">
        <v>272</v>
      </c>
      <c r="FE1" t="s">
        <v>273</v>
      </c>
      <c r="FF1" t="s">
        <v>274</v>
      </c>
      <c r="FG1" t="s">
        <v>275</v>
      </c>
      <c r="FH1" t="s">
        <v>276</v>
      </c>
      <c r="FI1" t="s">
        <v>277</v>
      </c>
      <c r="FJ1" t="s">
        <v>278</v>
      </c>
      <c r="FK1" t="s">
        <v>279</v>
      </c>
      <c r="FL1" t="s">
        <v>280</v>
      </c>
      <c r="FM1" t="s">
        <v>281</v>
      </c>
      <c r="FN1" t="s">
        <v>282</v>
      </c>
      <c r="FO1" t="s">
        <v>283</v>
      </c>
      <c r="FP1" t="s">
        <v>284</v>
      </c>
      <c r="FQ1" t="s">
        <v>285</v>
      </c>
      <c r="FR1" t="s">
        <v>286</v>
      </c>
      <c r="FS1" t="s">
        <v>287</v>
      </c>
      <c r="FT1" t="s">
        <v>288</v>
      </c>
      <c r="FU1" t="s">
        <v>289</v>
      </c>
      <c r="FV1" t="s">
        <v>290</v>
      </c>
      <c r="FW1" t="s">
        <v>291</v>
      </c>
      <c r="FX1" t="s">
        <v>292</v>
      </c>
      <c r="FY1" t="s">
        <v>293</v>
      </c>
      <c r="FZ1" t="s">
        <v>294</v>
      </c>
      <c r="GA1" t="s">
        <v>295</v>
      </c>
      <c r="GB1" t="s">
        <v>296</v>
      </c>
      <c r="GC1" t="s">
        <v>297</v>
      </c>
      <c r="GD1" t="s">
        <v>298</v>
      </c>
      <c r="GE1" t="s">
        <v>299</v>
      </c>
      <c r="GF1" t="s">
        <v>300</v>
      </c>
      <c r="GG1" t="s">
        <v>301</v>
      </c>
      <c r="GH1" t="s">
        <v>302</v>
      </c>
      <c r="GI1" t="s">
        <v>303</v>
      </c>
      <c r="GJ1" t="s">
        <v>304</v>
      </c>
      <c r="GK1" t="s">
        <v>305</v>
      </c>
      <c r="GL1" t="s">
        <v>306</v>
      </c>
      <c r="GM1" t="s">
        <v>307</v>
      </c>
      <c r="GN1" t="s">
        <v>308</v>
      </c>
      <c r="GO1" t="s">
        <v>309</v>
      </c>
      <c r="GP1" t="s">
        <v>310</v>
      </c>
      <c r="GQ1" t="s">
        <v>311</v>
      </c>
      <c r="GR1" t="s">
        <v>312</v>
      </c>
      <c r="GS1" t="s">
        <v>313</v>
      </c>
      <c r="GT1" t="s">
        <v>314</v>
      </c>
      <c r="GU1" t="s">
        <v>315</v>
      </c>
      <c r="GV1" t="s">
        <v>316</v>
      </c>
      <c r="GW1" t="s">
        <v>317</v>
      </c>
      <c r="GX1" t="s">
        <v>318</v>
      </c>
      <c r="GY1" t="s">
        <v>319</v>
      </c>
      <c r="GZ1" t="s">
        <v>320</v>
      </c>
      <c r="HA1" t="s">
        <v>321</v>
      </c>
      <c r="HB1" t="s">
        <v>322</v>
      </c>
      <c r="HC1" t="s">
        <v>323</v>
      </c>
      <c r="HD1" t="s">
        <v>324</v>
      </c>
      <c r="HE1" t="s">
        <v>325</v>
      </c>
      <c r="HF1" t="s">
        <v>326</v>
      </c>
      <c r="HG1" t="s">
        <v>327</v>
      </c>
      <c r="HH1" t="s">
        <v>328</v>
      </c>
      <c r="HI1" t="s">
        <v>329</v>
      </c>
      <c r="HJ1" t="s">
        <v>330</v>
      </c>
      <c r="HK1" t="s">
        <v>331</v>
      </c>
      <c r="HL1" t="s">
        <v>332</v>
      </c>
      <c r="HM1" t="s">
        <v>333</v>
      </c>
      <c r="HN1" t="s">
        <v>334</v>
      </c>
      <c r="HO1" t="s">
        <v>335</v>
      </c>
      <c r="HP1" t="s">
        <v>336</v>
      </c>
      <c r="HQ1" t="s">
        <v>337</v>
      </c>
      <c r="HR1" t="s">
        <v>338</v>
      </c>
      <c r="HS1" t="s">
        <v>339</v>
      </c>
      <c r="HT1" t="s">
        <v>340</v>
      </c>
      <c r="HU1" t="s">
        <v>341</v>
      </c>
      <c r="HV1" t="s">
        <v>342</v>
      </c>
      <c r="HW1" t="s">
        <v>343</v>
      </c>
      <c r="HX1" t="s">
        <v>344</v>
      </c>
      <c r="HY1" t="s">
        <v>345</v>
      </c>
      <c r="HZ1" t="s">
        <v>346</v>
      </c>
      <c r="IA1" t="s">
        <v>347</v>
      </c>
      <c r="IB1" t="s">
        <v>348</v>
      </c>
      <c r="IC1" t="s">
        <v>349</v>
      </c>
      <c r="ID1" t="s">
        <v>350</v>
      </c>
      <c r="IE1" t="s">
        <v>351</v>
      </c>
      <c r="IF1" t="s">
        <v>352</v>
      </c>
      <c r="IG1" t="s">
        <v>353</v>
      </c>
      <c r="IH1" t="s">
        <v>354</v>
      </c>
      <c r="II1" t="s">
        <v>355</v>
      </c>
      <c r="IJ1" t="s">
        <v>356</v>
      </c>
      <c r="IK1" t="s">
        <v>357</v>
      </c>
      <c r="IL1" t="s">
        <v>358</v>
      </c>
      <c r="IM1" t="s">
        <v>359</v>
      </c>
      <c r="IN1" t="s">
        <v>360</v>
      </c>
      <c r="IO1" t="s">
        <v>361</v>
      </c>
      <c r="IP1" t="s">
        <v>362</v>
      </c>
      <c r="IQ1" t="s">
        <v>363</v>
      </c>
      <c r="IR1" t="s">
        <v>364</v>
      </c>
      <c r="IS1" t="s">
        <v>365</v>
      </c>
      <c r="IT1" t="s">
        <v>366</v>
      </c>
      <c r="IU1" t="s">
        <v>367</v>
      </c>
      <c r="IV1" t="s">
        <v>368</v>
      </c>
      <c r="IW1" t="s">
        <v>369</v>
      </c>
      <c r="IX1" t="s">
        <v>370</v>
      </c>
      <c r="IY1" t="s">
        <v>371</v>
      </c>
      <c r="IZ1" t="s">
        <v>372</v>
      </c>
      <c r="JA1" t="s">
        <v>373</v>
      </c>
      <c r="JB1" t="s">
        <v>374</v>
      </c>
      <c r="JC1" t="s">
        <v>375</v>
      </c>
      <c r="JD1" t="s">
        <v>376</v>
      </c>
      <c r="JE1" t="s">
        <v>377</v>
      </c>
      <c r="JF1" t="s">
        <v>378</v>
      </c>
      <c r="JG1" t="s">
        <v>379</v>
      </c>
      <c r="JH1" t="s">
        <v>380</v>
      </c>
      <c r="JI1" t="s">
        <v>381</v>
      </c>
      <c r="JJ1" t="s">
        <v>382</v>
      </c>
      <c r="JK1" t="s">
        <v>383</v>
      </c>
      <c r="JL1" t="s">
        <v>384</v>
      </c>
      <c r="JM1" t="s">
        <v>385</v>
      </c>
      <c r="JN1" t="s">
        <v>386</v>
      </c>
      <c r="JO1" t="s">
        <v>387</v>
      </c>
      <c r="JP1" t="s">
        <v>388</v>
      </c>
      <c r="JQ1" t="s">
        <v>389</v>
      </c>
      <c r="JR1" t="s">
        <v>390</v>
      </c>
      <c r="JS1" t="s">
        <v>391</v>
      </c>
      <c r="JT1" t="s">
        <v>392</v>
      </c>
      <c r="JU1" t="s">
        <v>393</v>
      </c>
      <c r="JV1" t="s">
        <v>394</v>
      </c>
      <c r="JW1" t="s">
        <v>395</v>
      </c>
      <c r="JX1" t="s">
        <v>396</v>
      </c>
      <c r="JY1" t="s">
        <v>397</v>
      </c>
      <c r="JZ1" t="s">
        <v>398</v>
      </c>
      <c r="KA1" t="s">
        <v>399</v>
      </c>
      <c r="KB1" t="s">
        <v>400</v>
      </c>
      <c r="KC1" t="s">
        <v>401</v>
      </c>
      <c r="KD1" t="s">
        <v>402</v>
      </c>
      <c r="KE1" t="s">
        <v>403</v>
      </c>
      <c r="KF1" t="s">
        <v>404</v>
      </c>
      <c r="KG1" t="s">
        <v>405</v>
      </c>
      <c r="KH1" t="s">
        <v>406</v>
      </c>
      <c r="KI1" t="s">
        <v>407</v>
      </c>
      <c r="KJ1" t="s">
        <v>408</v>
      </c>
      <c r="KK1" t="s">
        <v>409</v>
      </c>
      <c r="KL1" t="s">
        <v>410</v>
      </c>
      <c r="KM1" t="s">
        <v>411</v>
      </c>
      <c r="KN1" t="s">
        <v>412</v>
      </c>
      <c r="KO1" t="s">
        <v>413</v>
      </c>
      <c r="KP1" t="s">
        <v>414</v>
      </c>
      <c r="KQ1" t="s">
        <v>415</v>
      </c>
      <c r="KR1" t="s">
        <v>416</v>
      </c>
      <c r="KS1" t="s">
        <v>417</v>
      </c>
      <c r="KT1" t="s">
        <v>418</v>
      </c>
      <c r="KU1" t="s">
        <v>419</v>
      </c>
      <c r="KV1" t="s">
        <v>420</v>
      </c>
      <c r="KW1" t="s">
        <v>421</v>
      </c>
      <c r="KX1" t="s">
        <v>422</v>
      </c>
      <c r="KY1" t="s">
        <v>423</v>
      </c>
      <c r="KZ1" t="s">
        <v>424</v>
      </c>
      <c r="LA1" t="s">
        <v>425</v>
      </c>
      <c r="LB1" t="s">
        <v>426</v>
      </c>
      <c r="LC1" t="s">
        <v>427</v>
      </c>
      <c r="LD1" t="s">
        <v>428</v>
      </c>
      <c r="LE1" t="s">
        <v>429</v>
      </c>
      <c r="LF1" t="s">
        <v>430</v>
      </c>
      <c r="LG1" t="s">
        <v>431</v>
      </c>
      <c r="LH1" t="s">
        <v>432</v>
      </c>
      <c r="LI1" t="s">
        <v>433</v>
      </c>
      <c r="LJ1" t="s">
        <v>434</v>
      </c>
      <c r="LK1" t="s">
        <v>435</v>
      </c>
      <c r="LL1" t="s">
        <v>436</v>
      </c>
      <c r="LM1" t="s">
        <v>437</v>
      </c>
      <c r="LN1" t="s">
        <v>438</v>
      </c>
      <c r="LO1" t="s">
        <v>439</v>
      </c>
      <c r="LP1" t="s">
        <v>440</v>
      </c>
      <c r="LQ1" t="s">
        <v>441</v>
      </c>
      <c r="LR1" t="s">
        <v>442</v>
      </c>
      <c r="LS1" t="s">
        <v>443</v>
      </c>
      <c r="LT1" t="s">
        <v>444</v>
      </c>
      <c r="LU1" t="s">
        <v>445</v>
      </c>
      <c r="LV1" t="s">
        <v>446</v>
      </c>
      <c r="LW1" t="s">
        <v>447</v>
      </c>
      <c r="LX1" t="s">
        <v>448</v>
      </c>
      <c r="LY1" t="s">
        <v>449</v>
      </c>
      <c r="LZ1" t="s">
        <v>450</v>
      </c>
      <c r="MA1" t="s">
        <v>451</v>
      </c>
      <c r="MB1" t="s">
        <v>452</v>
      </c>
      <c r="MC1" t="s">
        <v>453</v>
      </c>
      <c r="MD1" t="s">
        <v>454</v>
      </c>
      <c r="ME1" t="s">
        <v>455</v>
      </c>
      <c r="MF1" t="s">
        <v>456</v>
      </c>
      <c r="MG1" t="s">
        <v>457</v>
      </c>
      <c r="MH1" t="s">
        <v>458</v>
      </c>
      <c r="MI1" t="s">
        <v>459</v>
      </c>
      <c r="MJ1" t="s">
        <v>460</v>
      </c>
      <c r="MK1" t="s">
        <v>461</v>
      </c>
      <c r="ML1" t="s">
        <v>462</v>
      </c>
      <c r="MM1" t="s">
        <v>463</v>
      </c>
      <c r="MN1" t="s">
        <v>464</v>
      </c>
      <c r="MO1" t="s">
        <v>465</v>
      </c>
      <c r="MP1" t="s">
        <v>466</v>
      </c>
      <c r="MQ1" t="s">
        <v>467</v>
      </c>
      <c r="MR1" t="s">
        <v>468</v>
      </c>
      <c r="MS1" t="s">
        <v>469</v>
      </c>
      <c r="MT1" t="s">
        <v>470</v>
      </c>
      <c r="MU1" t="s">
        <v>471</v>
      </c>
      <c r="MV1" t="s">
        <v>472</v>
      </c>
      <c r="MW1" t="s">
        <v>473</v>
      </c>
      <c r="MX1" t="s">
        <v>474</v>
      </c>
      <c r="MY1" t="s">
        <v>475</v>
      </c>
      <c r="MZ1" t="s">
        <v>476</v>
      </c>
      <c r="NA1" t="s">
        <v>477</v>
      </c>
      <c r="NB1" t="s">
        <v>478</v>
      </c>
      <c r="NC1" t="s">
        <v>479</v>
      </c>
      <c r="ND1" t="s">
        <v>480</v>
      </c>
      <c r="NE1" t="s">
        <v>481</v>
      </c>
      <c r="NF1" t="s">
        <v>482</v>
      </c>
      <c r="NG1" t="s">
        <v>483</v>
      </c>
      <c r="NH1" t="s">
        <v>484</v>
      </c>
      <c r="NI1" t="s">
        <v>485</v>
      </c>
      <c r="NJ1" t="s">
        <v>486</v>
      </c>
      <c r="NK1" t="s">
        <v>487</v>
      </c>
      <c r="NL1" t="s">
        <v>488</v>
      </c>
      <c r="NM1" t="s">
        <v>489</v>
      </c>
      <c r="NN1" t="s">
        <v>490</v>
      </c>
      <c r="NO1" t="s">
        <v>491</v>
      </c>
      <c r="NP1" t="s">
        <v>492</v>
      </c>
      <c r="NQ1" t="s">
        <v>493</v>
      </c>
      <c r="NR1" t="s">
        <v>494</v>
      </c>
      <c r="NS1" t="s">
        <v>495</v>
      </c>
      <c r="NT1" t="s">
        <v>496</v>
      </c>
      <c r="NU1" t="s">
        <v>497</v>
      </c>
      <c r="NV1" t="s">
        <v>498</v>
      </c>
      <c r="NW1" t="s">
        <v>499</v>
      </c>
      <c r="NX1" t="s">
        <v>500</v>
      </c>
      <c r="NY1" t="s">
        <v>501</v>
      </c>
      <c r="NZ1" t="s">
        <v>502</v>
      </c>
      <c r="OA1" t="s">
        <v>503</v>
      </c>
      <c r="OB1" t="s">
        <v>504</v>
      </c>
      <c r="OC1" t="s">
        <v>505</v>
      </c>
      <c r="OD1" t="s">
        <v>506</v>
      </c>
      <c r="OE1" t="s">
        <v>507</v>
      </c>
      <c r="OF1" t="s">
        <v>508</v>
      </c>
      <c r="OG1" t="s">
        <v>509</v>
      </c>
      <c r="OH1" t="s">
        <v>510</v>
      </c>
      <c r="OI1" t="s">
        <v>511</v>
      </c>
      <c r="OJ1" t="s">
        <v>512</v>
      </c>
      <c r="OK1" t="s">
        <v>513</v>
      </c>
      <c r="OL1" t="s">
        <v>514</v>
      </c>
      <c r="OM1" t="s">
        <v>515</v>
      </c>
      <c r="ON1" t="s">
        <v>516</v>
      </c>
      <c r="OO1" t="s">
        <v>517</v>
      </c>
      <c r="OP1" t="s">
        <v>518</v>
      </c>
      <c r="OQ1" t="s">
        <v>519</v>
      </c>
      <c r="OR1" t="s">
        <v>520</v>
      </c>
      <c r="OS1" t="s">
        <v>521</v>
      </c>
      <c r="OT1" t="s">
        <v>522</v>
      </c>
      <c r="OU1" t="s">
        <v>523</v>
      </c>
      <c r="OV1" t="s">
        <v>524</v>
      </c>
      <c r="OW1" t="s">
        <v>525</v>
      </c>
      <c r="OX1" t="s">
        <v>526</v>
      </c>
      <c r="OY1" t="s">
        <v>527</v>
      </c>
      <c r="OZ1" t="s">
        <v>528</v>
      </c>
      <c r="PA1" t="s">
        <v>529</v>
      </c>
      <c r="PB1" t="s">
        <v>530</v>
      </c>
      <c r="PC1" t="s">
        <v>531</v>
      </c>
      <c r="PD1" t="s">
        <v>532</v>
      </c>
      <c r="PE1" t="s">
        <v>533</v>
      </c>
      <c r="PF1" t="s">
        <v>534</v>
      </c>
      <c r="PG1" t="s">
        <v>535</v>
      </c>
      <c r="PH1" t="s">
        <v>536</v>
      </c>
      <c r="PI1" t="s">
        <v>537</v>
      </c>
      <c r="PJ1" t="s">
        <v>538</v>
      </c>
      <c r="PK1" t="s">
        <v>539</v>
      </c>
      <c r="PL1" t="s">
        <v>540</v>
      </c>
      <c r="PM1" t="s">
        <v>541</v>
      </c>
      <c r="PN1" t="s">
        <v>542</v>
      </c>
      <c r="PO1" t="s">
        <v>543</v>
      </c>
      <c r="PP1" t="s">
        <v>544</v>
      </c>
      <c r="PQ1" t="s">
        <v>545</v>
      </c>
      <c r="PR1" t="s">
        <v>546</v>
      </c>
      <c r="PS1" t="s">
        <v>547</v>
      </c>
      <c r="PT1" t="s">
        <v>548</v>
      </c>
      <c r="PU1" t="s">
        <v>549</v>
      </c>
      <c r="PV1" t="s">
        <v>550</v>
      </c>
      <c r="PW1" t="s">
        <v>551</v>
      </c>
      <c r="PX1" t="s">
        <v>552</v>
      </c>
      <c r="PY1" t="s">
        <v>553</v>
      </c>
      <c r="PZ1" t="s">
        <v>554</v>
      </c>
      <c r="QA1" t="s">
        <v>555</v>
      </c>
      <c r="QB1" t="s">
        <v>556</v>
      </c>
      <c r="QC1" t="s">
        <v>557</v>
      </c>
      <c r="QD1" t="s">
        <v>558</v>
      </c>
      <c r="QE1" t="s">
        <v>559</v>
      </c>
      <c r="QF1" t="s">
        <v>560</v>
      </c>
      <c r="QG1" t="s">
        <v>561</v>
      </c>
      <c r="QH1" t="s">
        <v>562</v>
      </c>
      <c r="QI1" t="s">
        <v>563</v>
      </c>
      <c r="QJ1" t="s">
        <v>564</v>
      </c>
      <c r="QK1" t="s">
        <v>565</v>
      </c>
      <c r="QL1" t="s">
        <v>566</v>
      </c>
      <c r="QM1" t="s">
        <v>567</v>
      </c>
      <c r="QN1" t="s">
        <v>568</v>
      </c>
      <c r="QO1" t="s">
        <v>569</v>
      </c>
      <c r="QP1" t="s">
        <v>570</v>
      </c>
      <c r="QQ1" t="s">
        <v>571</v>
      </c>
      <c r="QR1" t="s">
        <v>572</v>
      </c>
      <c r="QS1" t="s">
        <v>573</v>
      </c>
      <c r="QT1" t="s">
        <v>574</v>
      </c>
      <c r="QU1" t="s">
        <v>575</v>
      </c>
      <c r="QV1" t="s">
        <v>576</v>
      </c>
      <c r="QW1" t="s">
        <v>577</v>
      </c>
      <c r="QX1" t="s">
        <v>578</v>
      </c>
      <c r="QY1" t="s">
        <v>579</v>
      </c>
      <c r="QZ1" t="s">
        <v>580</v>
      </c>
      <c r="RA1" t="s">
        <v>581</v>
      </c>
      <c r="RB1" t="s">
        <v>582</v>
      </c>
      <c r="RC1" t="s">
        <v>583</v>
      </c>
      <c r="RD1" t="s">
        <v>584</v>
      </c>
      <c r="RE1" t="s">
        <v>585</v>
      </c>
      <c r="RF1" t="s">
        <v>586</v>
      </c>
      <c r="RG1" t="s">
        <v>587</v>
      </c>
      <c r="RH1" t="s">
        <v>588</v>
      </c>
      <c r="RI1" t="s">
        <v>589</v>
      </c>
      <c r="RJ1" t="s">
        <v>590</v>
      </c>
      <c r="RK1" t="s">
        <v>591</v>
      </c>
      <c r="RL1" t="s">
        <v>592</v>
      </c>
      <c r="RM1" t="s">
        <v>593</v>
      </c>
      <c r="RN1" t="s">
        <v>594</v>
      </c>
      <c r="RO1" t="s">
        <v>595</v>
      </c>
      <c r="RP1" t="s">
        <v>596</v>
      </c>
      <c r="RQ1" t="s">
        <v>597</v>
      </c>
      <c r="RR1" t="s">
        <v>598</v>
      </c>
      <c r="RS1" t="s">
        <v>599</v>
      </c>
      <c r="RT1" t="s">
        <v>600</v>
      </c>
      <c r="RU1" t="s">
        <v>601</v>
      </c>
      <c r="RV1" t="s">
        <v>602</v>
      </c>
      <c r="RW1" t="s">
        <v>603</v>
      </c>
      <c r="RX1" t="s">
        <v>604</v>
      </c>
      <c r="RY1" t="s">
        <v>605</v>
      </c>
      <c r="RZ1" t="s">
        <v>606</v>
      </c>
      <c r="SA1" t="s">
        <v>607</v>
      </c>
      <c r="SB1" t="s">
        <v>608</v>
      </c>
      <c r="SC1" t="s">
        <v>609</v>
      </c>
      <c r="SD1" t="s">
        <v>610</v>
      </c>
      <c r="SE1" t="s">
        <v>611</v>
      </c>
      <c r="SF1" t="s">
        <v>612</v>
      </c>
      <c r="SG1" t="s">
        <v>613</v>
      </c>
      <c r="SH1" t="s">
        <v>614</v>
      </c>
      <c r="SI1" t="s">
        <v>615</v>
      </c>
      <c r="SJ1" t="s">
        <v>616</v>
      </c>
      <c r="SK1" t="s">
        <v>617</v>
      </c>
      <c r="SL1" t="s">
        <v>618</v>
      </c>
      <c r="SM1" t="s">
        <v>619</v>
      </c>
      <c r="SN1" t="s">
        <v>620</v>
      </c>
      <c r="SO1" t="s">
        <v>621</v>
      </c>
      <c r="SP1" t="s">
        <v>622</v>
      </c>
      <c r="SQ1" t="s">
        <v>623</v>
      </c>
      <c r="SR1" t="s">
        <v>624</v>
      </c>
      <c r="SS1" t="s">
        <v>625</v>
      </c>
      <c r="ST1" t="s">
        <v>626</v>
      </c>
      <c r="SU1" t="s">
        <v>627</v>
      </c>
      <c r="SV1" t="s">
        <v>628</v>
      </c>
      <c r="SW1" t="s">
        <v>629</v>
      </c>
      <c r="SX1" t="s">
        <v>630</v>
      </c>
      <c r="SY1" t="s">
        <v>631</v>
      </c>
      <c r="SZ1" t="s">
        <v>632</v>
      </c>
      <c r="TA1" t="s">
        <v>633</v>
      </c>
      <c r="TB1" t="s">
        <v>634</v>
      </c>
      <c r="TC1" t="s">
        <v>635</v>
      </c>
      <c r="TD1" t="s">
        <v>636</v>
      </c>
      <c r="TE1" t="s">
        <v>637</v>
      </c>
      <c r="TF1" t="s">
        <v>638</v>
      </c>
      <c r="TG1" t="s">
        <v>639</v>
      </c>
      <c r="TH1" t="s">
        <v>640</v>
      </c>
      <c r="TI1" t="s">
        <v>641</v>
      </c>
      <c r="TJ1" t="s">
        <v>642</v>
      </c>
      <c r="TK1" t="s">
        <v>643</v>
      </c>
      <c r="TL1" t="s">
        <v>644</v>
      </c>
      <c r="TM1" t="s">
        <v>645</v>
      </c>
      <c r="TN1" t="s">
        <v>646</v>
      </c>
      <c r="TO1" t="s">
        <v>647</v>
      </c>
      <c r="TP1" t="s">
        <v>648</v>
      </c>
      <c r="TQ1" t="s">
        <v>649</v>
      </c>
      <c r="TR1" t="s">
        <v>650</v>
      </c>
      <c r="TS1" t="s">
        <v>651</v>
      </c>
      <c r="TT1" t="s">
        <v>652</v>
      </c>
      <c r="TU1" t="s">
        <v>653</v>
      </c>
      <c r="TV1" t="s">
        <v>654</v>
      </c>
      <c r="TW1" t="s">
        <v>655</v>
      </c>
      <c r="TX1" t="s">
        <v>656</v>
      </c>
      <c r="TY1" t="s">
        <v>657</v>
      </c>
      <c r="TZ1" t="s">
        <v>658</v>
      </c>
      <c r="UA1" t="s">
        <v>659</v>
      </c>
      <c r="UB1" t="s">
        <v>660</v>
      </c>
      <c r="UC1" t="s">
        <v>661</v>
      </c>
      <c r="UD1" t="s">
        <v>662</v>
      </c>
      <c r="UE1" t="s">
        <v>663</v>
      </c>
      <c r="UF1" t="s">
        <v>664</v>
      </c>
      <c r="UG1" t="s">
        <v>665</v>
      </c>
      <c r="UH1" t="s">
        <v>666</v>
      </c>
      <c r="UI1" t="s">
        <v>667</v>
      </c>
      <c r="UJ1" t="s">
        <v>668</v>
      </c>
      <c r="UK1" t="s">
        <v>669</v>
      </c>
      <c r="UL1" t="s">
        <v>670</v>
      </c>
      <c r="UM1" t="s">
        <v>671</v>
      </c>
      <c r="UN1" t="s">
        <v>672</v>
      </c>
      <c r="UO1" t="s">
        <v>673</v>
      </c>
      <c r="UP1" t="s">
        <v>674</v>
      </c>
      <c r="UQ1" t="s">
        <v>675</v>
      </c>
      <c r="UR1" t="s">
        <v>676</v>
      </c>
      <c r="US1" t="s">
        <v>677</v>
      </c>
      <c r="UT1" t="s">
        <v>678</v>
      </c>
      <c r="UU1" t="s">
        <v>679</v>
      </c>
      <c r="UV1" t="s">
        <v>680</v>
      </c>
      <c r="UW1" t="s">
        <v>681</v>
      </c>
      <c r="UX1" t="s">
        <v>682</v>
      </c>
      <c r="UY1" t="s">
        <v>683</v>
      </c>
      <c r="UZ1" t="s">
        <v>684</v>
      </c>
      <c r="VA1" t="s">
        <v>685</v>
      </c>
      <c r="VB1" t="s">
        <v>686</v>
      </c>
      <c r="VC1" t="s">
        <v>687</v>
      </c>
      <c r="VD1" t="s">
        <v>688</v>
      </c>
      <c r="VE1" t="s">
        <v>689</v>
      </c>
      <c r="VF1" t="s">
        <v>690</v>
      </c>
      <c r="VG1" t="s">
        <v>691</v>
      </c>
      <c r="VH1" t="s">
        <v>692</v>
      </c>
      <c r="VI1" t="s">
        <v>693</v>
      </c>
      <c r="VJ1" t="s">
        <v>694</v>
      </c>
      <c r="VK1" t="s">
        <v>695</v>
      </c>
      <c r="VL1" t="s">
        <v>696</v>
      </c>
      <c r="VM1" t="s">
        <v>697</v>
      </c>
      <c r="VN1" t="s">
        <v>698</v>
      </c>
      <c r="VO1" t="s">
        <v>699</v>
      </c>
      <c r="VP1" t="s">
        <v>700</v>
      </c>
      <c r="VQ1" t="s">
        <v>701</v>
      </c>
      <c r="VR1" t="s">
        <v>702</v>
      </c>
      <c r="VS1" t="s">
        <v>703</v>
      </c>
      <c r="VT1" t="s">
        <v>704</v>
      </c>
      <c r="VU1" t="s">
        <v>705</v>
      </c>
      <c r="VV1" t="s">
        <v>706</v>
      </c>
      <c r="VW1" t="s">
        <v>707</v>
      </c>
      <c r="VX1" t="s">
        <v>708</v>
      </c>
      <c r="VY1" t="s">
        <v>709</v>
      </c>
      <c r="VZ1" t="s">
        <v>710</v>
      </c>
      <c r="WA1" t="s">
        <v>711</v>
      </c>
      <c r="WB1" t="s">
        <v>712</v>
      </c>
      <c r="WC1" t="s">
        <v>713</v>
      </c>
      <c r="WD1" t="s">
        <v>714</v>
      </c>
      <c r="WE1" t="s">
        <v>715</v>
      </c>
      <c r="WF1" t="s">
        <v>716</v>
      </c>
      <c r="WG1" t="s">
        <v>717</v>
      </c>
      <c r="WH1" t="s">
        <v>718</v>
      </c>
      <c r="WI1" t="s">
        <v>719</v>
      </c>
      <c r="WJ1" t="s">
        <v>720</v>
      </c>
      <c r="WK1" t="s">
        <v>721</v>
      </c>
      <c r="WL1" t="s">
        <v>722</v>
      </c>
      <c r="WM1" t="s">
        <v>723</v>
      </c>
      <c r="WN1" t="s">
        <v>724</v>
      </c>
      <c r="WO1" t="s">
        <v>725</v>
      </c>
      <c r="WP1" t="s">
        <v>726</v>
      </c>
      <c r="WQ1" t="s">
        <v>727</v>
      </c>
      <c r="WR1" t="s">
        <v>728</v>
      </c>
      <c r="WS1" t="s">
        <v>729</v>
      </c>
      <c r="WT1" t="s">
        <v>730</v>
      </c>
      <c r="WU1" t="s">
        <v>731</v>
      </c>
      <c r="WV1" t="s">
        <v>732</v>
      </c>
      <c r="WW1" t="s">
        <v>733</v>
      </c>
      <c r="WX1" t="s">
        <v>734</v>
      </c>
      <c r="WY1" t="s">
        <v>735</v>
      </c>
      <c r="WZ1" t="s">
        <v>736</v>
      </c>
      <c r="XA1" t="s">
        <v>737</v>
      </c>
      <c r="XB1" t="s">
        <v>738</v>
      </c>
      <c r="XC1" t="s">
        <v>739</v>
      </c>
      <c r="XD1" t="s">
        <v>740</v>
      </c>
      <c r="XE1" t="s">
        <v>741</v>
      </c>
      <c r="XF1" t="s">
        <v>742</v>
      </c>
      <c r="XG1" t="s">
        <v>743</v>
      </c>
      <c r="XH1" t="s">
        <v>744</v>
      </c>
      <c r="XI1" t="s">
        <v>745</v>
      </c>
      <c r="XJ1" t="s">
        <v>746</v>
      </c>
      <c r="XK1" t="s">
        <v>747</v>
      </c>
      <c r="XL1" t="s">
        <v>748</v>
      </c>
      <c r="XM1" t="s">
        <v>749</v>
      </c>
      <c r="XN1" t="s">
        <v>750</v>
      </c>
      <c r="XO1" t="s">
        <v>751</v>
      </c>
      <c r="XP1" t="s">
        <v>752</v>
      </c>
      <c r="XQ1" t="s">
        <v>753</v>
      </c>
      <c r="XR1" t="s">
        <v>754</v>
      </c>
      <c r="XS1" t="s">
        <v>755</v>
      </c>
      <c r="XT1" t="s">
        <v>756</v>
      </c>
      <c r="XU1" t="s">
        <v>757</v>
      </c>
      <c r="XV1" t="s">
        <v>758</v>
      </c>
      <c r="XW1" t="s">
        <v>759</v>
      </c>
      <c r="XX1" t="s">
        <v>760</v>
      </c>
      <c r="XY1" t="s">
        <v>761</v>
      </c>
      <c r="XZ1" t="s">
        <v>762</v>
      </c>
      <c r="YA1" t="s">
        <v>763</v>
      </c>
      <c r="YB1" t="s">
        <v>764</v>
      </c>
      <c r="YC1" t="s">
        <v>765</v>
      </c>
      <c r="YD1" t="s">
        <v>766</v>
      </c>
      <c r="YE1" t="s">
        <v>767</v>
      </c>
      <c r="YF1" t="s">
        <v>768</v>
      </c>
      <c r="YG1" t="s">
        <v>769</v>
      </c>
      <c r="YH1" t="s">
        <v>770</v>
      </c>
      <c r="YI1" t="s">
        <v>771</v>
      </c>
      <c r="YJ1" t="s">
        <v>772</v>
      </c>
      <c r="YK1" t="s">
        <v>773</v>
      </c>
      <c r="YL1" t="s">
        <v>774</v>
      </c>
      <c r="YM1" t="s">
        <v>775</v>
      </c>
      <c r="YN1" t="s">
        <v>776</v>
      </c>
      <c r="YO1" t="s">
        <v>777</v>
      </c>
      <c r="YP1" t="s">
        <v>778</v>
      </c>
      <c r="YQ1" t="s">
        <v>779</v>
      </c>
      <c r="YR1" t="s">
        <v>780</v>
      </c>
      <c r="YS1" t="s">
        <v>781</v>
      </c>
      <c r="YT1" t="s">
        <v>782</v>
      </c>
      <c r="YU1" t="s">
        <v>783</v>
      </c>
      <c r="YV1" t="s">
        <v>784</v>
      </c>
      <c r="YW1" t="s">
        <v>785</v>
      </c>
      <c r="YX1" t="s">
        <v>786</v>
      </c>
      <c r="YY1" t="s">
        <v>787</v>
      </c>
      <c r="YZ1" t="s">
        <v>788</v>
      </c>
      <c r="ZA1" t="s">
        <v>789</v>
      </c>
      <c r="ZB1" t="s">
        <v>790</v>
      </c>
      <c r="ZC1" t="s">
        <v>791</v>
      </c>
      <c r="ZD1" t="s">
        <v>792</v>
      </c>
      <c r="ZE1" t="s">
        <v>793</v>
      </c>
      <c r="ZF1" t="s">
        <v>794</v>
      </c>
      <c r="ZG1" t="s">
        <v>795</v>
      </c>
      <c r="ZH1" t="s">
        <v>796</v>
      </c>
      <c r="ZI1" t="s">
        <v>797</v>
      </c>
      <c r="ZJ1" t="s">
        <v>798</v>
      </c>
      <c r="ZK1" t="s">
        <v>799</v>
      </c>
      <c r="ZL1" t="s">
        <v>800</v>
      </c>
      <c r="ZM1" t="s">
        <v>801</v>
      </c>
      <c r="ZN1" t="s">
        <v>802</v>
      </c>
      <c r="ZO1" t="s">
        <v>803</v>
      </c>
      <c r="ZP1" t="s">
        <v>804</v>
      </c>
      <c r="ZQ1" t="s">
        <v>805</v>
      </c>
      <c r="ZR1" t="s">
        <v>806</v>
      </c>
      <c r="ZS1" t="s">
        <v>807</v>
      </c>
      <c r="ZT1" t="s">
        <v>808</v>
      </c>
      <c r="ZU1" t="s">
        <v>809</v>
      </c>
      <c r="ZV1" t="s">
        <v>810</v>
      </c>
      <c r="ZW1" t="s">
        <v>811</v>
      </c>
      <c r="ZX1" t="s">
        <v>812</v>
      </c>
      <c r="ZY1" t="s">
        <v>813</v>
      </c>
      <c r="ZZ1" t="s">
        <v>814</v>
      </c>
      <c r="AAA1" t="s">
        <v>815</v>
      </c>
      <c r="AAB1" t="s">
        <v>816</v>
      </c>
      <c r="AAC1" t="s">
        <v>817</v>
      </c>
      <c r="AAD1" t="s">
        <v>818</v>
      </c>
      <c r="AAE1" t="s">
        <v>819</v>
      </c>
      <c r="AAF1" t="s">
        <v>820</v>
      </c>
      <c r="AAG1" t="s">
        <v>821</v>
      </c>
      <c r="AAH1" t="s">
        <v>822</v>
      </c>
      <c r="AAI1" t="s">
        <v>823</v>
      </c>
      <c r="AAJ1" t="s">
        <v>824</v>
      </c>
      <c r="AAK1" t="s">
        <v>825</v>
      </c>
      <c r="AAL1" t="s">
        <v>826</v>
      </c>
      <c r="AAM1" t="s">
        <v>827</v>
      </c>
      <c r="AAN1" t="s">
        <v>828</v>
      </c>
      <c r="AAO1" t="s">
        <v>829</v>
      </c>
      <c r="AAP1" t="s">
        <v>830</v>
      </c>
      <c r="AAQ1" t="s">
        <v>831</v>
      </c>
      <c r="AAR1" t="s">
        <v>832</v>
      </c>
      <c r="AAS1" t="s">
        <v>833</v>
      </c>
      <c r="AAT1" t="s">
        <v>834</v>
      </c>
      <c r="AAU1" t="s">
        <v>835</v>
      </c>
      <c r="AAV1" t="s">
        <v>836</v>
      </c>
      <c r="AAW1" t="s">
        <v>837</v>
      </c>
      <c r="AAX1" t="s">
        <v>838</v>
      </c>
      <c r="AAY1" t="s">
        <v>839</v>
      </c>
      <c r="AAZ1" t="s">
        <v>840</v>
      </c>
      <c r="ABA1" t="s">
        <v>841</v>
      </c>
      <c r="ABB1" t="s">
        <v>842</v>
      </c>
      <c r="ABC1" t="s">
        <v>843</v>
      </c>
      <c r="ABD1" t="s">
        <v>844</v>
      </c>
      <c r="ABE1" t="s">
        <v>845</v>
      </c>
      <c r="ABF1" t="s">
        <v>846</v>
      </c>
      <c r="ABG1" t="s">
        <v>847</v>
      </c>
      <c r="ABH1" t="s">
        <v>848</v>
      </c>
      <c r="ABI1" t="s">
        <v>849</v>
      </c>
      <c r="ABJ1" t="s">
        <v>850</v>
      </c>
      <c r="ABK1" t="s">
        <v>851</v>
      </c>
      <c r="ABL1" t="s">
        <v>852</v>
      </c>
      <c r="ABM1" t="s">
        <v>853</v>
      </c>
      <c r="ABN1" t="s">
        <v>854</v>
      </c>
      <c r="ABO1" t="s">
        <v>855</v>
      </c>
      <c r="ABP1" t="s">
        <v>856</v>
      </c>
      <c r="ABQ1" t="s">
        <v>857</v>
      </c>
      <c r="ABR1" t="s">
        <v>858</v>
      </c>
      <c r="ABS1" t="s">
        <v>859</v>
      </c>
      <c r="ABT1" t="s">
        <v>860</v>
      </c>
      <c r="ABU1" t="s">
        <v>861</v>
      </c>
      <c r="ABV1" t="s">
        <v>862</v>
      </c>
      <c r="ABW1" t="s">
        <v>863</v>
      </c>
      <c r="ABX1" t="s">
        <v>864</v>
      </c>
      <c r="ABY1" t="s">
        <v>865</v>
      </c>
      <c r="ABZ1" t="s">
        <v>866</v>
      </c>
      <c r="ACA1" t="s">
        <v>867</v>
      </c>
      <c r="ACB1" t="s">
        <v>868</v>
      </c>
      <c r="ACC1" t="s">
        <v>869</v>
      </c>
      <c r="ACD1" t="s">
        <v>870</v>
      </c>
      <c r="ACE1" t="s">
        <v>871</v>
      </c>
      <c r="ACF1" t="s">
        <v>872</v>
      </c>
      <c r="ACG1" t="s">
        <v>873</v>
      </c>
      <c r="ACH1" t="s">
        <v>874</v>
      </c>
      <c r="ACI1" t="s">
        <v>875</v>
      </c>
      <c r="ACJ1" t="s">
        <v>876</v>
      </c>
      <c r="ACK1" t="s">
        <v>877</v>
      </c>
      <c r="ACL1" t="s">
        <v>878</v>
      </c>
      <c r="ACM1" t="s">
        <v>879</v>
      </c>
      <c r="ACN1" t="s">
        <v>880</v>
      </c>
      <c r="ACO1" t="s">
        <v>881</v>
      </c>
      <c r="ACP1" t="s">
        <v>882</v>
      </c>
      <c r="ACQ1" t="s">
        <v>883</v>
      </c>
      <c r="ACR1" t="s">
        <v>884</v>
      </c>
      <c r="ACS1" t="s">
        <v>885</v>
      </c>
      <c r="ACT1" t="s">
        <v>886</v>
      </c>
      <c r="ACU1" t="s">
        <v>887</v>
      </c>
      <c r="ACV1" t="s">
        <v>888</v>
      </c>
      <c r="ACW1" t="s">
        <v>889</v>
      </c>
      <c r="ACX1" t="s">
        <v>890</v>
      </c>
      <c r="ACY1" t="s">
        <v>891</v>
      </c>
      <c r="ACZ1" t="s">
        <v>892</v>
      </c>
      <c r="ADA1" t="s">
        <v>893</v>
      </c>
      <c r="ADB1" t="s">
        <v>894</v>
      </c>
      <c r="ADC1" t="s">
        <v>895</v>
      </c>
      <c r="ADD1" t="s">
        <v>896</v>
      </c>
      <c r="ADE1" t="s">
        <v>897</v>
      </c>
      <c r="ADF1" t="s">
        <v>898</v>
      </c>
      <c r="ADG1" t="s">
        <v>899</v>
      </c>
      <c r="ADH1" t="s">
        <v>900</v>
      </c>
      <c r="ADI1" t="s">
        <v>901</v>
      </c>
      <c r="ADJ1" t="s">
        <v>902</v>
      </c>
      <c r="ADK1" t="s">
        <v>903</v>
      </c>
      <c r="ADL1" t="s">
        <v>904</v>
      </c>
      <c r="ADM1" t="s">
        <v>905</v>
      </c>
      <c r="ADN1" t="s">
        <v>906</v>
      </c>
      <c r="ADO1" t="s">
        <v>907</v>
      </c>
      <c r="ADP1" t="s">
        <v>908</v>
      </c>
      <c r="ADQ1" t="s">
        <v>909</v>
      </c>
      <c r="ADR1" t="s">
        <v>910</v>
      </c>
      <c r="ADS1" t="s">
        <v>911</v>
      </c>
      <c r="ADT1" t="s">
        <v>912</v>
      </c>
      <c r="ADU1" t="s">
        <v>913</v>
      </c>
      <c r="ADV1" t="s">
        <v>914</v>
      </c>
      <c r="ADW1" t="s">
        <v>915</v>
      </c>
      <c r="ADX1" t="s">
        <v>916</v>
      </c>
      <c r="ADY1" t="s">
        <v>917</v>
      </c>
      <c r="ADZ1" t="s">
        <v>918</v>
      </c>
      <c r="AEA1" t="s">
        <v>919</v>
      </c>
      <c r="AEB1" t="s">
        <v>920</v>
      </c>
      <c r="AEC1" t="s">
        <v>921</v>
      </c>
      <c r="AED1" t="s">
        <v>922</v>
      </c>
      <c r="AEE1" t="s">
        <v>923</v>
      </c>
      <c r="AEF1" t="s">
        <v>924</v>
      </c>
      <c r="AEG1" t="s">
        <v>925</v>
      </c>
      <c r="AEH1" t="s">
        <v>926</v>
      </c>
      <c r="AEI1" t="s">
        <v>927</v>
      </c>
      <c r="AEJ1" t="s">
        <v>928</v>
      </c>
      <c r="AEK1" t="s">
        <v>929</v>
      </c>
      <c r="AEL1" t="s">
        <v>930</v>
      </c>
      <c r="AEM1" t="s">
        <v>931</v>
      </c>
      <c r="AEN1" t="s">
        <v>932</v>
      </c>
      <c r="AEO1" t="s">
        <v>933</v>
      </c>
      <c r="AEP1" t="s">
        <v>934</v>
      </c>
      <c r="AEQ1" t="s">
        <v>935</v>
      </c>
      <c r="AER1" t="s">
        <v>936</v>
      </c>
      <c r="AES1" t="s">
        <v>937</v>
      </c>
      <c r="AET1" t="s">
        <v>938</v>
      </c>
      <c r="AEU1" t="s">
        <v>939</v>
      </c>
      <c r="AEV1" t="s">
        <v>940</v>
      </c>
      <c r="AEW1" t="s">
        <v>941</v>
      </c>
      <c r="AEX1" t="s">
        <v>942</v>
      </c>
      <c r="AEY1" t="s">
        <v>943</v>
      </c>
      <c r="AEZ1" t="s">
        <v>944</v>
      </c>
      <c r="AFA1" t="s">
        <v>945</v>
      </c>
      <c r="AFB1" t="s">
        <v>946</v>
      </c>
      <c r="AFC1" t="s">
        <v>947</v>
      </c>
      <c r="AFD1" t="s">
        <v>948</v>
      </c>
      <c r="AFE1" t="s">
        <v>949</v>
      </c>
      <c r="AFF1" t="s">
        <v>950</v>
      </c>
      <c r="AFG1" t="s">
        <v>951</v>
      </c>
      <c r="AFH1" t="s">
        <v>952</v>
      </c>
      <c r="AFI1" t="s">
        <v>953</v>
      </c>
      <c r="AFJ1" t="s">
        <v>954</v>
      </c>
      <c r="AFK1" t="s">
        <v>955</v>
      </c>
      <c r="AFL1" t="s">
        <v>956</v>
      </c>
      <c r="AFM1" t="s">
        <v>957</v>
      </c>
      <c r="AFN1" t="s">
        <v>958</v>
      </c>
      <c r="AFO1" t="s">
        <v>959</v>
      </c>
      <c r="AFP1" t="s">
        <v>960</v>
      </c>
      <c r="AFQ1" t="s">
        <v>961</v>
      </c>
      <c r="AFR1" t="s">
        <v>962</v>
      </c>
      <c r="AFS1" t="s">
        <v>963</v>
      </c>
      <c r="AFT1" t="s">
        <v>964</v>
      </c>
      <c r="AFU1" t="s">
        <v>965</v>
      </c>
      <c r="AFV1" t="s">
        <v>966</v>
      </c>
      <c r="AFW1" t="s">
        <v>967</v>
      </c>
      <c r="AFX1" t="s">
        <v>968</v>
      </c>
      <c r="AFY1" t="s">
        <v>969</v>
      </c>
      <c r="AFZ1" t="s">
        <v>970</v>
      </c>
      <c r="AGA1" t="s">
        <v>971</v>
      </c>
      <c r="AGB1" t="s">
        <v>972</v>
      </c>
      <c r="AGC1" t="s">
        <v>973</v>
      </c>
      <c r="AGD1" t="s">
        <v>974</v>
      </c>
      <c r="AGE1" t="s">
        <v>975</v>
      </c>
      <c r="AGF1" t="s">
        <v>976</v>
      </c>
      <c r="AGG1" t="s">
        <v>977</v>
      </c>
      <c r="AGH1" t="s">
        <v>978</v>
      </c>
      <c r="AGI1" t="s">
        <v>979</v>
      </c>
      <c r="AGJ1" t="s">
        <v>980</v>
      </c>
      <c r="AGK1" t="s">
        <v>981</v>
      </c>
      <c r="AGL1" t="s">
        <v>982</v>
      </c>
      <c r="AGM1" t="s">
        <v>983</v>
      </c>
      <c r="AGN1" t="s">
        <v>984</v>
      </c>
      <c r="AGO1" t="s">
        <v>985</v>
      </c>
      <c r="AGP1" t="s">
        <v>986</v>
      </c>
      <c r="AGQ1" t="s">
        <v>987</v>
      </c>
      <c r="AGR1" t="s">
        <v>988</v>
      </c>
      <c r="AGS1" t="s">
        <v>989</v>
      </c>
      <c r="AGT1" t="s">
        <v>990</v>
      </c>
      <c r="AGU1" t="s">
        <v>991</v>
      </c>
      <c r="AGV1" t="s">
        <v>992</v>
      </c>
      <c r="AGW1" t="s">
        <v>993</v>
      </c>
      <c r="AGX1" t="s">
        <v>994</v>
      </c>
      <c r="AGY1" t="s">
        <v>995</v>
      </c>
      <c r="AGZ1" t="s">
        <v>996</v>
      </c>
      <c r="AHA1" t="s">
        <v>997</v>
      </c>
      <c r="AHB1" t="s">
        <v>998</v>
      </c>
      <c r="AHC1" t="s">
        <v>999</v>
      </c>
      <c r="AHD1" t="s">
        <v>1000</v>
      </c>
      <c r="AHE1" t="s">
        <v>1001</v>
      </c>
      <c r="AHF1" t="s">
        <v>1002</v>
      </c>
      <c r="AHG1" t="s">
        <v>1003</v>
      </c>
      <c r="AHH1" t="s">
        <v>1004</v>
      </c>
      <c r="AHI1" t="s">
        <v>1005</v>
      </c>
      <c r="AHJ1" t="s">
        <v>1006</v>
      </c>
      <c r="AHK1" t="s">
        <v>1007</v>
      </c>
      <c r="AHL1" t="s">
        <v>1008</v>
      </c>
      <c r="AHM1" t="s">
        <v>1009</v>
      </c>
      <c r="AHN1" t="s">
        <v>1010</v>
      </c>
      <c r="AHO1" t="s">
        <v>1011</v>
      </c>
      <c r="AHP1" t="s">
        <v>1012</v>
      </c>
      <c r="AHQ1" t="s">
        <v>1013</v>
      </c>
      <c r="AHR1" t="s">
        <v>1014</v>
      </c>
      <c r="AHS1" t="s">
        <v>1015</v>
      </c>
      <c r="AHT1" t="s">
        <v>1016</v>
      </c>
      <c r="AHU1" t="s">
        <v>1017</v>
      </c>
      <c r="AHV1" t="s">
        <v>1018</v>
      </c>
      <c r="AHW1" t="s">
        <v>1019</v>
      </c>
      <c r="AHX1" t="s">
        <v>1020</v>
      </c>
      <c r="AHY1" t="s">
        <v>1021</v>
      </c>
      <c r="AHZ1" t="s">
        <v>1022</v>
      </c>
      <c r="AIA1" t="s">
        <v>1023</v>
      </c>
      <c r="AIB1" t="s">
        <v>1024</v>
      </c>
      <c r="AIC1" t="s">
        <v>1025</v>
      </c>
      <c r="AID1" t="s">
        <v>1026</v>
      </c>
      <c r="AIE1" t="s">
        <v>1027</v>
      </c>
      <c r="AIF1" t="s">
        <v>1028</v>
      </c>
      <c r="AIG1" t="s">
        <v>1029</v>
      </c>
      <c r="AIH1" t="s">
        <v>1030</v>
      </c>
      <c r="AII1" t="s">
        <v>1031</v>
      </c>
      <c r="AIJ1" t="s">
        <v>1032</v>
      </c>
      <c r="AIK1" t="s">
        <v>1033</v>
      </c>
      <c r="AIL1" t="s">
        <v>1034</v>
      </c>
      <c r="AIM1" t="s">
        <v>1035</v>
      </c>
      <c r="AIN1" t="s">
        <v>1036</v>
      </c>
      <c r="AIO1" t="s">
        <v>1037</v>
      </c>
      <c r="AIP1" t="s">
        <v>1038</v>
      </c>
      <c r="AIQ1" t="s">
        <v>1039</v>
      </c>
      <c r="AIR1" t="s">
        <v>1040</v>
      </c>
      <c r="AIS1" t="s">
        <v>1041</v>
      </c>
      <c r="AIT1" t="s">
        <v>1042</v>
      </c>
      <c r="AIU1" t="s">
        <v>1043</v>
      </c>
      <c r="AIV1" t="s">
        <v>1044</v>
      </c>
      <c r="AIW1" t="s">
        <v>1045</v>
      </c>
      <c r="AIX1" t="s">
        <v>1046</v>
      </c>
      <c r="AIY1" t="s">
        <v>1047</v>
      </c>
      <c r="AIZ1" t="s">
        <v>1048</v>
      </c>
      <c r="AJA1" t="s">
        <v>1049</v>
      </c>
      <c r="AJB1" t="s">
        <v>1050</v>
      </c>
      <c r="AJC1" t="s">
        <v>1051</v>
      </c>
      <c r="AJD1" t="s">
        <v>1052</v>
      </c>
      <c r="AJE1" t="s">
        <v>1053</v>
      </c>
      <c r="AJF1" t="s">
        <v>1054</v>
      </c>
      <c r="AJG1" t="s">
        <v>1055</v>
      </c>
      <c r="AJH1" t="s">
        <v>1056</v>
      </c>
      <c r="AJI1" t="s">
        <v>1057</v>
      </c>
      <c r="AJJ1" t="s">
        <v>1058</v>
      </c>
      <c r="AJK1" t="s">
        <v>1059</v>
      </c>
      <c r="AJL1" t="s">
        <v>1060</v>
      </c>
      <c r="AJM1" t="s">
        <v>1061</v>
      </c>
      <c r="AJN1" t="s">
        <v>1062</v>
      </c>
      <c r="AJO1" t="s">
        <v>1063</v>
      </c>
      <c r="AJP1" t="s">
        <v>1064</v>
      </c>
      <c r="AJQ1" t="s">
        <v>1065</v>
      </c>
      <c r="AJR1" t="s">
        <v>1066</v>
      </c>
      <c r="AJS1" t="s">
        <v>1067</v>
      </c>
      <c r="AJT1" t="s">
        <v>1068</v>
      </c>
      <c r="AJU1" t="s">
        <v>1069</v>
      </c>
      <c r="AJV1" t="s">
        <v>1070</v>
      </c>
      <c r="AJW1" t="s">
        <v>1071</v>
      </c>
      <c r="AJX1" t="s">
        <v>1072</v>
      </c>
      <c r="AJY1" t="s">
        <v>1073</v>
      </c>
      <c r="AJZ1" t="s">
        <v>1074</v>
      </c>
      <c r="AKA1" t="s">
        <v>1075</v>
      </c>
      <c r="AKB1" t="s">
        <v>1076</v>
      </c>
      <c r="AKC1" t="s">
        <v>1077</v>
      </c>
      <c r="AKD1" t="s">
        <v>1078</v>
      </c>
      <c r="AKE1" t="s">
        <v>1079</v>
      </c>
      <c r="AKF1" t="s">
        <v>1080</v>
      </c>
      <c r="AKG1" t="s">
        <v>1081</v>
      </c>
      <c r="AKH1" t="s">
        <v>1082</v>
      </c>
      <c r="AKI1" t="s">
        <v>1083</v>
      </c>
      <c r="AKJ1" t="s">
        <v>1084</v>
      </c>
      <c r="AKK1" t="s">
        <v>1085</v>
      </c>
      <c r="AKL1" t="s">
        <v>1086</v>
      </c>
      <c r="AKM1" t="s">
        <v>1087</v>
      </c>
      <c r="AKN1" t="s">
        <v>1088</v>
      </c>
      <c r="AKO1" t="s">
        <v>1089</v>
      </c>
      <c r="AKP1" t="s">
        <v>1090</v>
      </c>
      <c r="AKQ1" t="s">
        <v>1091</v>
      </c>
      <c r="AKR1" t="s">
        <v>1092</v>
      </c>
      <c r="AKS1" t="s">
        <v>1093</v>
      </c>
      <c r="AKT1" t="s">
        <v>1094</v>
      </c>
      <c r="AKU1" t="s">
        <v>1095</v>
      </c>
      <c r="AKV1" t="s">
        <v>1096</v>
      </c>
      <c r="AKW1" t="s">
        <v>1097</v>
      </c>
      <c r="AKX1" t="s">
        <v>1098</v>
      </c>
      <c r="AKY1" t="s">
        <v>1099</v>
      </c>
      <c r="AKZ1" t="s">
        <v>1100</v>
      </c>
      <c r="ALA1" t="s">
        <v>1101</v>
      </c>
      <c r="ALB1" t="s">
        <v>1102</v>
      </c>
      <c r="ALC1" t="s">
        <v>1103</v>
      </c>
      <c r="ALD1" t="s">
        <v>1104</v>
      </c>
      <c r="ALE1" t="s">
        <v>1105</v>
      </c>
      <c r="ALF1" t="s">
        <v>1106</v>
      </c>
      <c r="ALG1" t="s">
        <v>1107</v>
      </c>
      <c r="ALH1" t="s">
        <v>1108</v>
      </c>
      <c r="ALI1" t="s">
        <v>1109</v>
      </c>
      <c r="ALJ1" t="s">
        <v>1110</v>
      </c>
      <c r="ALK1" t="s">
        <v>1111</v>
      </c>
      <c r="ALL1" t="s">
        <v>1112</v>
      </c>
      <c r="ALM1" t="s">
        <v>1113</v>
      </c>
      <c r="ALN1" t="s">
        <v>1114</v>
      </c>
      <c r="ALO1" t="s">
        <v>1115</v>
      </c>
      <c r="ALP1" t="s">
        <v>1116</v>
      </c>
      <c r="ALQ1" t="s">
        <v>1117</v>
      </c>
      <c r="ALR1" t="s">
        <v>1118</v>
      </c>
      <c r="ALS1" t="s">
        <v>1119</v>
      </c>
      <c r="ALT1" t="s">
        <v>1120</v>
      </c>
      <c r="ALU1" t="s">
        <v>1121</v>
      </c>
      <c r="ALV1" t="s">
        <v>1122</v>
      </c>
      <c r="ALW1" t="s">
        <v>1123</v>
      </c>
      <c r="ALX1" t="s">
        <v>1124</v>
      </c>
      <c r="ALY1" t="s">
        <v>1125</v>
      </c>
      <c r="ALZ1" t="s">
        <v>1126</v>
      </c>
      <c r="AMA1" t="s">
        <v>1127</v>
      </c>
      <c r="AMB1" t="s">
        <v>1128</v>
      </c>
      <c r="AMC1" t="s">
        <v>1129</v>
      </c>
      <c r="AMD1" t="s">
        <v>1130</v>
      </c>
      <c r="AME1" t="s">
        <v>1131</v>
      </c>
      <c r="AMF1" t="s">
        <v>1132</v>
      </c>
      <c r="AMG1" t="s">
        <v>1133</v>
      </c>
      <c r="AMH1" t="s">
        <v>1134</v>
      </c>
      <c r="AMI1" t="s">
        <v>1135</v>
      </c>
      <c r="AMJ1" t="s">
        <v>1136</v>
      </c>
      <c r="AMK1" t="s">
        <v>1137</v>
      </c>
      <c r="AML1" t="s">
        <v>1138</v>
      </c>
      <c r="AMM1" t="s">
        <v>1139</v>
      </c>
      <c r="AMN1" t="s">
        <v>1140</v>
      </c>
      <c r="AMO1" t="s">
        <v>1141</v>
      </c>
      <c r="AMP1" t="s">
        <v>1142</v>
      </c>
      <c r="AMQ1" t="s">
        <v>1143</v>
      </c>
      <c r="AMR1" t="s">
        <v>1144</v>
      </c>
      <c r="AMS1" t="s">
        <v>1145</v>
      </c>
      <c r="AMT1" t="s">
        <v>1146</v>
      </c>
      <c r="AMU1" t="s">
        <v>1147</v>
      </c>
      <c r="AMV1" t="s">
        <v>1148</v>
      </c>
      <c r="AMW1" t="s">
        <v>1149</v>
      </c>
      <c r="AMX1" t="s">
        <v>1150</v>
      </c>
      <c r="AMY1" t="s">
        <v>1151</v>
      </c>
      <c r="AMZ1" t="s">
        <v>1152</v>
      </c>
      <c r="ANA1" t="s">
        <v>1153</v>
      </c>
      <c r="ANB1" t="s">
        <v>1154</v>
      </c>
      <c r="ANC1" t="s">
        <v>1155</v>
      </c>
      <c r="AND1" t="s">
        <v>1156</v>
      </c>
      <c r="ANE1" t="s">
        <v>1157</v>
      </c>
      <c r="ANF1" t="s">
        <v>1158</v>
      </c>
      <c r="ANG1" t="s">
        <v>1159</v>
      </c>
      <c r="ANH1" t="s">
        <v>1160</v>
      </c>
      <c r="ANI1" t="s">
        <v>1161</v>
      </c>
      <c r="ANJ1" t="s">
        <v>1162</v>
      </c>
      <c r="ANK1" t="s">
        <v>1163</v>
      </c>
      <c r="ANL1" t="s">
        <v>1164</v>
      </c>
      <c r="ANM1" t="s">
        <v>1165</v>
      </c>
      <c r="ANN1" t="s">
        <v>1166</v>
      </c>
      <c r="ANO1" t="s">
        <v>1167</v>
      </c>
      <c r="ANP1" t="s">
        <v>1168</v>
      </c>
      <c r="ANQ1" t="s">
        <v>1169</v>
      </c>
      <c r="ANR1" t="s">
        <v>1170</v>
      </c>
      <c r="ANS1" t="s">
        <v>1171</v>
      </c>
      <c r="ANT1" t="s">
        <v>1172</v>
      </c>
      <c r="ANU1" t="s">
        <v>1173</v>
      </c>
      <c r="ANV1" t="s">
        <v>1174</v>
      </c>
      <c r="ANW1" t="s">
        <v>1175</v>
      </c>
      <c r="ANX1" t="s">
        <v>1176</v>
      </c>
      <c r="ANY1" t="s">
        <v>1177</v>
      </c>
      <c r="ANZ1" t="s">
        <v>1178</v>
      </c>
      <c r="AOA1" t="s">
        <v>1179</v>
      </c>
      <c r="AOB1" t="s">
        <v>1180</v>
      </c>
      <c r="AOC1" t="s">
        <v>1181</v>
      </c>
      <c r="AOD1" t="s">
        <v>1182</v>
      </c>
      <c r="AOE1" t="s">
        <v>1183</v>
      </c>
      <c r="AOF1" t="s">
        <v>1184</v>
      </c>
      <c r="AOG1" t="s">
        <v>1185</v>
      </c>
      <c r="AOH1" t="s">
        <v>1186</v>
      </c>
      <c r="AOI1" t="s">
        <v>1187</v>
      </c>
      <c r="AOJ1" t="s">
        <v>1188</v>
      </c>
      <c r="AOK1" t="s">
        <v>1189</v>
      </c>
      <c r="AOL1" t="s">
        <v>1190</v>
      </c>
      <c r="AOM1" t="s">
        <v>1191</v>
      </c>
      <c r="AON1" t="s">
        <v>1192</v>
      </c>
      <c r="AOO1" t="s">
        <v>1193</v>
      </c>
      <c r="AOP1" t="s">
        <v>1194</v>
      </c>
      <c r="AOQ1" t="s">
        <v>1195</v>
      </c>
      <c r="AOR1" t="s">
        <v>1196</v>
      </c>
      <c r="AOS1" t="s">
        <v>1197</v>
      </c>
      <c r="AOT1" t="s">
        <v>1198</v>
      </c>
      <c r="AOU1" t="s">
        <v>1199</v>
      </c>
      <c r="AOV1" t="s">
        <v>1200</v>
      </c>
      <c r="AOW1" t="s">
        <v>1201</v>
      </c>
      <c r="AOX1" t="s">
        <v>1202</v>
      </c>
      <c r="AOY1" t="s">
        <v>1203</v>
      </c>
      <c r="AOZ1" t="s">
        <v>1204</v>
      </c>
      <c r="APA1" t="s">
        <v>1205</v>
      </c>
      <c r="APB1" t="s">
        <v>1206</v>
      </c>
      <c r="APC1" t="s">
        <v>1207</v>
      </c>
      <c r="APD1" t="s">
        <v>1208</v>
      </c>
      <c r="APE1" t="s">
        <v>1209</v>
      </c>
      <c r="APF1" t="s">
        <v>1210</v>
      </c>
      <c r="APG1" t="s">
        <v>1211</v>
      </c>
      <c r="APH1" t="s">
        <v>1212</v>
      </c>
      <c r="API1" t="s">
        <v>1213</v>
      </c>
      <c r="APJ1" t="s">
        <v>1214</v>
      </c>
      <c r="APK1" t="s">
        <v>1215</v>
      </c>
      <c r="APL1" t="s">
        <v>1216</v>
      </c>
      <c r="APM1" t="s">
        <v>1217</v>
      </c>
      <c r="APN1" t="s">
        <v>1218</v>
      </c>
      <c r="APO1" t="s">
        <v>1219</v>
      </c>
      <c r="APP1" t="s">
        <v>1220</v>
      </c>
      <c r="APQ1" t="s">
        <v>1221</v>
      </c>
      <c r="APR1" t="s">
        <v>1222</v>
      </c>
      <c r="APS1" t="s">
        <v>1223</v>
      </c>
      <c r="APT1" t="s">
        <v>1224</v>
      </c>
      <c r="APU1" t="s">
        <v>1225</v>
      </c>
      <c r="APV1" t="s">
        <v>1226</v>
      </c>
      <c r="APW1" t="s">
        <v>1227</v>
      </c>
      <c r="APX1" t="s">
        <v>1228</v>
      </c>
      <c r="APY1" t="s">
        <v>1229</v>
      </c>
      <c r="APZ1" t="s">
        <v>1230</v>
      </c>
      <c r="AQA1" t="s">
        <v>1231</v>
      </c>
      <c r="AQB1" t="s">
        <v>1232</v>
      </c>
      <c r="AQC1" t="s">
        <v>1233</v>
      </c>
      <c r="AQD1" t="s">
        <v>1234</v>
      </c>
      <c r="AQE1" t="s">
        <v>1235</v>
      </c>
      <c r="AQF1" t="s">
        <v>1236</v>
      </c>
      <c r="AQG1" t="s">
        <v>1237</v>
      </c>
      <c r="AQH1" t="s">
        <v>1238</v>
      </c>
      <c r="AQI1" t="s">
        <v>1239</v>
      </c>
      <c r="AQJ1" t="s">
        <v>1240</v>
      </c>
      <c r="AQK1" t="s">
        <v>1241</v>
      </c>
      <c r="AQL1" t="s">
        <v>1242</v>
      </c>
      <c r="AQM1" t="s">
        <v>1243</v>
      </c>
      <c r="AQN1" t="s">
        <v>1244</v>
      </c>
      <c r="AQO1" t="s">
        <v>1245</v>
      </c>
      <c r="AQP1" t="s">
        <v>1246</v>
      </c>
      <c r="AQQ1" t="s">
        <v>1247</v>
      </c>
      <c r="AQR1" t="s">
        <v>1248</v>
      </c>
      <c r="AQS1" t="s">
        <v>1249</v>
      </c>
      <c r="AQT1" t="s">
        <v>1250</v>
      </c>
      <c r="AQU1" t="s">
        <v>1251</v>
      </c>
      <c r="AQV1" t="s">
        <v>1252</v>
      </c>
      <c r="AQW1" t="s">
        <v>1253</v>
      </c>
      <c r="AQX1" t="s">
        <v>1254</v>
      </c>
      <c r="AQY1" t="s">
        <v>1255</v>
      </c>
      <c r="AQZ1" t="s">
        <v>1256</v>
      </c>
      <c r="ARA1" t="s">
        <v>1257</v>
      </c>
      <c r="ARB1" t="s">
        <v>1258</v>
      </c>
      <c r="ARC1" t="s">
        <v>1259</v>
      </c>
      <c r="ARD1" t="s">
        <v>1260</v>
      </c>
      <c r="ARE1" t="s">
        <v>1261</v>
      </c>
      <c r="ARF1" t="s">
        <v>1262</v>
      </c>
      <c r="ARG1" t="s">
        <v>1263</v>
      </c>
      <c r="ARH1" t="s">
        <v>1264</v>
      </c>
      <c r="ARI1" t="s">
        <v>1265</v>
      </c>
      <c r="ARJ1" t="s">
        <v>1266</v>
      </c>
      <c r="ARK1" t="s">
        <v>1267</v>
      </c>
      <c r="ARL1" t="s">
        <v>1268</v>
      </c>
      <c r="ARM1" t="s">
        <v>1269</v>
      </c>
      <c r="ARN1" t="s">
        <v>1270</v>
      </c>
      <c r="ARO1" t="s">
        <v>1271</v>
      </c>
      <c r="ARP1" t="s">
        <v>1272</v>
      </c>
      <c r="ARQ1" t="s">
        <v>1273</v>
      </c>
      <c r="ARR1" t="s">
        <v>1274</v>
      </c>
      <c r="ARS1" t="s">
        <v>1275</v>
      </c>
      <c r="ART1" t="s">
        <v>1276</v>
      </c>
      <c r="ARU1" t="s">
        <v>1277</v>
      </c>
      <c r="ARV1" t="s">
        <v>1278</v>
      </c>
      <c r="ARW1" t="s">
        <v>1279</v>
      </c>
      <c r="ARX1" t="s">
        <v>1280</v>
      </c>
      <c r="ARY1" t="s">
        <v>1281</v>
      </c>
      <c r="ARZ1" t="s">
        <v>1282</v>
      </c>
      <c r="ASA1" t="s">
        <v>1283</v>
      </c>
      <c r="ASB1" t="s">
        <v>1284</v>
      </c>
      <c r="ASC1" t="s">
        <v>1285</v>
      </c>
      <c r="ASD1" t="s">
        <v>1286</v>
      </c>
      <c r="ASE1" t="s">
        <v>1287</v>
      </c>
      <c r="ASF1" t="s">
        <v>1288</v>
      </c>
      <c r="ASG1" t="s">
        <v>1289</v>
      </c>
      <c r="ASH1" t="s">
        <v>1290</v>
      </c>
      <c r="ASI1" t="s">
        <v>1291</v>
      </c>
      <c r="ASJ1" t="s">
        <v>1292</v>
      </c>
      <c r="ASK1" t="s">
        <v>1293</v>
      </c>
      <c r="ASL1" t="s">
        <v>1294</v>
      </c>
      <c r="ASM1" t="s">
        <v>1295</v>
      </c>
      <c r="ASN1" t="s">
        <v>1296</v>
      </c>
      <c r="ASO1" t="s">
        <v>1297</v>
      </c>
      <c r="ASP1" t="s">
        <v>1298</v>
      </c>
      <c r="ASQ1" t="s">
        <v>1299</v>
      </c>
      <c r="ASR1" t="s">
        <v>1300</v>
      </c>
      <c r="ASS1" t="s">
        <v>1301</v>
      </c>
      <c r="AST1" t="s">
        <v>1302</v>
      </c>
      <c r="ASU1" t="s">
        <v>1303</v>
      </c>
      <c r="ASV1" t="s">
        <v>1304</v>
      </c>
      <c r="ASW1" t="s">
        <v>1305</v>
      </c>
      <c r="ASX1" t="s">
        <v>1306</v>
      </c>
      <c r="ASY1" t="s">
        <v>1307</v>
      </c>
      <c r="ASZ1" t="s">
        <v>1308</v>
      </c>
      <c r="ATA1" t="s">
        <v>1309</v>
      </c>
      <c r="ATB1" t="s">
        <v>1310</v>
      </c>
      <c r="ATC1" t="s">
        <v>1311</v>
      </c>
      <c r="ATD1" t="s">
        <v>1312</v>
      </c>
      <c r="ATE1" t="s">
        <v>1313</v>
      </c>
      <c r="ATF1" t="s">
        <v>1314</v>
      </c>
      <c r="ATG1" t="s">
        <v>1315</v>
      </c>
      <c r="ATH1" t="s">
        <v>1316</v>
      </c>
      <c r="ATI1" t="s">
        <v>1317</v>
      </c>
      <c r="ATJ1" t="s">
        <v>1318</v>
      </c>
      <c r="ATK1" t="s">
        <v>1319</v>
      </c>
      <c r="ATL1" t="s">
        <v>1320</v>
      </c>
      <c r="ATM1" t="s">
        <v>1321</v>
      </c>
      <c r="ATN1" t="s">
        <v>1322</v>
      </c>
      <c r="ATO1" t="s">
        <v>1323</v>
      </c>
      <c r="ATP1" t="s">
        <v>1324</v>
      </c>
      <c r="ATQ1" t="s">
        <v>1325</v>
      </c>
      <c r="ATR1" t="s">
        <v>1326</v>
      </c>
      <c r="ATS1" t="s">
        <v>1327</v>
      </c>
      <c r="ATT1" t="s">
        <v>1328</v>
      </c>
      <c r="ATU1" t="s">
        <v>1329</v>
      </c>
      <c r="ATV1" t="s">
        <v>1330</v>
      </c>
      <c r="ATW1" t="s">
        <v>1331</v>
      </c>
      <c r="ATX1" t="s">
        <v>1332</v>
      </c>
      <c r="ATY1" t="s">
        <v>1333</v>
      </c>
      <c r="ATZ1" t="s">
        <v>1334</v>
      </c>
      <c r="AUA1" t="s">
        <v>1335</v>
      </c>
      <c r="AUB1" t="s">
        <v>1336</v>
      </c>
      <c r="AUC1" t="s">
        <v>1337</v>
      </c>
      <c r="AUD1" t="s">
        <v>1338</v>
      </c>
      <c r="AUE1" t="s">
        <v>1339</v>
      </c>
      <c r="AUF1" t="s">
        <v>1340</v>
      </c>
      <c r="AUG1" t="s">
        <v>1341</v>
      </c>
      <c r="AUH1" t="s">
        <v>1342</v>
      </c>
      <c r="AUI1" t="s">
        <v>1343</v>
      </c>
      <c r="AUJ1" t="s">
        <v>1344</v>
      </c>
      <c r="AUK1" t="s">
        <v>1345</v>
      </c>
      <c r="AUL1" t="s">
        <v>1346</v>
      </c>
      <c r="AUM1" t="s">
        <v>1347</v>
      </c>
      <c r="AUN1" t="s">
        <v>1348</v>
      </c>
      <c r="AUO1" t="s">
        <v>1349</v>
      </c>
      <c r="AUP1" t="s">
        <v>1350</v>
      </c>
      <c r="AUQ1" t="s">
        <v>1351</v>
      </c>
      <c r="AUR1" t="s">
        <v>1352</v>
      </c>
      <c r="AUS1" t="s">
        <v>1353</v>
      </c>
      <c r="AUT1" t="s">
        <v>1354</v>
      </c>
      <c r="AUU1" t="s">
        <v>1355</v>
      </c>
      <c r="AUV1" t="s">
        <v>1356</v>
      </c>
      <c r="AUW1" t="s">
        <v>1357</v>
      </c>
      <c r="AUX1" t="s">
        <v>1358</v>
      </c>
      <c r="AUY1" t="s">
        <v>1359</v>
      </c>
      <c r="AUZ1" t="s">
        <v>1360</v>
      </c>
      <c r="AVA1" t="s">
        <v>1361</v>
      </c>
      <c r="AVB1" t="s">
        <v>1362</v>
      </c>
      <c r="AVC1" t="s">
        <v>1363</v>
      </c>
      <c r="AVD1" t="s">
        <v>1364</v>
      </c>
      <c r="AVE1" t="s">
        <v>1365</v>
      </c>
      <c r="AVF1" t="s">
        <v>1366</v>
      </c>
      <c r="AVG1" t="s">
        <v>1367</v>
      </c>
      <c r="AVH1" t="s">
        <v>1368</v>
      </c>
      <c r="AVI1" t="s">
        <v>1369</v>
      </c>
      <c r="AVJ1" t="s">
        <v>1370</v>
      </c>
      <c r="AVK1" t="s">
        <v>1371</v>
      </c>
      <c r="AVL1" t="s">
        <v>1372</v>
      </c>
      <c r="AVM1" t="s">
        <v>1373</v>
      </c>
      <c r="AVN1" t="s">
        <v>1374</v>
      </c>
      <c r="AVO1" t="s">
        <v>1375</v>
      </c>
      <c r="AVP1" t="s">
        <v>1376</v>
      </c>
      <c r="AVQ1" t="s">
        <v>1377</v>
      </c>
      <c r="AVR1" t="s">
        <v>1378</v>
      </c>
      <c r="AVS1" t="s">
        <v>1379</v>
      </c>
      <c r="AVT1" t="s">
        <v>1380</v>
      </c>
      <c r="AVU1" t="s">
        <v>1381</v>
      </c>
      <c r="AVV1" t="s">
        <v>1382</v>
      </c>
      <c r="AVW1" t="s">
        <v>1383</v>
      </c>
      <c r="AVX1" t="s">
        <v>1384</v>
      </c>
      <c r="AVY1" t="s">
        <v>1385</v>
      </c>
      <c r="AVZ1" t="s">
        <v>1386</v>
      </c>
      <c r="AWA1" t="s">
        <v>1387</v>
      </c>
      <c r="AWB1" t="s">
        <v>1388</v>
      </c>
      <c r="AWC1" t="s">
        <v>1389</v>
      </c>
      <c r="AWD1" t="s">
        <v>1390</v>
      </c>
      <c r="AWE1" t="s">
        <v>1391</v>
      </c>
      <c r="AWF1" t="s">
        <v>1392</v>
      </c>
      <c r="AWG1" t="s">
        <v>1393</v>
      </c>
      <c r="AWH1" t="s">
        <v>1394</v>
      </c>
      <c r="AWI1" t="s">
        <v>1395</v>
      </c>
      <c r="AWJ1" t="s">
        <v>1396</v>
      </c>
      <c r="AWK1" t="s">
        <v>1397</v>
      </c>
      <c r="AWL1" t="s">
        <v>1398</v>
      </c>
      <c r="AWM1" t="s">
        <v>1399</v>
      </c>
      <c r="AWN1" t="s">
        <v>1400</v>
      </c>
      <c r="AWO1" t="s">
        <v>1401</v>
      </c>
      <c r="AWP1" t="s">
        <v>1402</v>
      </c>
      <c r="AWQ1" t="s">
        <v>1403</v>
      </c>
      <c r="AWR1" t="s">
        <v>1404</v>
      </c>
      <c r="AWS1" t="s">
        <v>1405</v>
      </c>
      <c r="AWT1" t="s">
        <v>1406</v>
      </c>
      <c r="AWU1" t="s">
        <v>1407</v>
      </c>
      <c r="AWV1" t="s">
        <v>1408</v>
      </c>
      <c r="AWW1" t="s">
        <v>1409</v>
      </c>
      <c r="AWX1" t="s">
        <v>1410</v>
      </c>
      <c r="AWY1" t="s">
        <v>1411</v>
      </c>
      <c r="AWZ1" t="s">
        <v>1412</v>
      </c>
      <c r="AXA1" t="s">
        <v>1413</v>
      </c>
      <c r="AXB1" t="s">
        <v>1414</v>
      </c>
      <c r="AXC1" t="s">
        <v>1415</v>
      </c>
      <c r="AXD1" t="s">
        <v>1416</v>
      </c>
      <c r="AXE1" t="s">
        <v>1417</v>
      </c>
      <c r="AXF1" t="s">
        <v>1418</v>
      </c>
      <c r="AXG1" t="s">
        <v>1419</v>
      </c>
      <c r="AXH1" t="s">
        <v>1420</v>
      </c>
      <c r="AXI1" t="s">
        <v>1421</v>
      </c>
      <c r="AXJ1" t="s">
        <v>1422</v>
      </c>
      <c r="AXK1" t="s">
        <v>1423</v>
      </c>
      <c r="AXL1" t="s">
        <v>1424</v>
      </c>
      <c r="AXM1" t="s">
        <v>1425</v>
      </c>
      <c r="AXN1" t="s">
        <v>1426</v>
      </c>
      <c r="AXO1" t="s">
        <v>1427</v>
      </c>
      <c r="AXP1" t="s">
        <v>1428</v>
      </c>
      <c r="AXQ1" t="s">
        <v>1429</v>
      </c>
      <c r="AXR1" t="s">
        <v>1430</v>
      </c>
      <c r="AXS1" t="s">
        <v>1431</v>
      </c>
      <c r="AXT1" t="s">
        <v>1432</v>
      </c>
      <c r="AXU1" t="s">
        <v>1433</v>
      </c>
      <c r="AXV1" t="s">
        <v>1434</v>
      </c>
      <c r="AXW1" t="s">
        <v>1435</v>
      </c>
      <c r="AXX1" t="s">
        <v>1436</v>
      </c>
      <c r="AXY1" t="s">
        <v>1437</v>
      </c>
      <c r="AXZ1" t="s">
        <v>1438</v>
      </c>
      <c r="AYA1" t="s">
        <v>1439</v>
      </c>
      <c r="AYB1" t="s">
        <v>1440</v>
      </c>
      <c r="AYC1" t="s">
        <v>1441</v>
      </c>
      <c r="AYD1" t="s">
        <v>1442</v>
      </c>
      <c r="AYE1" t="s">
        <v>1443</v>
      </c>
      <c r="AYF1" t="s">
        <v>1444</v>
      </c>
      <c r="AYG1" t="s">
        <v>1445</v>
      </c>
      <c r="AYH1" t="s">
        <v>1446</v>
      </c>
      <c r="AYI1" t="s">
        <v>1447</v>
      </c>
      <c r="AYJ1" t="s">
        <v>1448</v>
      </c>
      <c r="AYK1" t="s">
        <v>1449</v>
      </c>
      <c r="AYL1" t="s">
        <v>1450</v>
      </c>
      <c r="AYM1" t="s">
        <v>1451</v>
      </c>
      <c r="AYN1" t="s">
        <v>1452</v>
      </c>
      <c r="AYO1" t="s">
        <v>1453</v>
      </c>
      <c r="AYP1" t="s">
        <v>1454</v>
      </c>
      <c r="AYQ1" t="s">
        <v>1455</v>
      </c>
      <c r="AYR1" t="s">
        <v>1456</v>
      </c>
      <c r="AYS1" t="s">
        <v>1457</v>
      </c>
      <c r="AYT1" t="s">
        <v>1458</v>
      </c>
      <c r="AYU1" t="s">
        <v>1459</v>
      </c>
      <c r="AYV1" t="s">
        <v>1460</v>
      </c>
      <c r="AYW1" t="s">
        <v>1461</v>
      </c>
      <c r="AYX1" t="s">
        <v>1462</v>
      </c>
      <c r="AYY1" t="s">
        <v>1463</v>
      </c>
      <c r="AYZ1" t="s">
        <v>1464</v>
      </c>
      <c r="AZA1" t="s">
        <v>1465</v>
      </c>
      <c r="AZB1" t="s">
        <v>1466</v>
      </c>
      <c r="AZC1" t="s">
        <v>1467</v>
      </c>
      <c r="AZD1" t="s">
        <v>1468</v>
      </c>
      <c r="AZE1" t="s">
        <v>1469</v>
      </c>
      <c r="AZF1" t="s">
        <v>1470</v>
      </c>
      <c r="AZG1" t="s">
        <v>1471</v>
      </c>
      <c r="AZH1" t="s">
        <v>1472</v>
      </c>
      <c r="AZI1" t="s">
        <v>1473</v>
      </c>
      <c r="AZJ1" t="s">
        <v>1474</v>
      </c>
      <c r="AZK1" t="s">
        <v>1475</v>
      </c>
      <c r="AZL1" t="s">
        <v>1476</v>
      </c>
      <c r="AZM1" t="s">
        <v>1477</v>
      </c>
      <c r="AZN1" t="s">
        <v>1478</v>
      </c>
      <c r="AZO1" t="s">
        <v>1479</v>
      </c>
      <c r="AZP1" t="s">
        <v>1480</v>
      </c>
      <c r="AZQ1" t="s">
        <v>1481</v>
      </c>
      <c r="AZR1" t="s">
        <v>1482</v>
      </c>
      <c r="AZS1" t="s">
        <v>1483</v>
      </c>
      <c r="AZT1" t="s">
        <v>1484</v>
      </c>
      <c r="AZU1" t="s">
        <v>1485</v>
      </c>
      <c r="AZV1" t="s">
        <v>1486</v>
      </c>
      <c r="AZW1" t="s">
        <v>1487</v>
      </c>
      <c r="AZX1" t="s">
        <v>1488</v>
      </c>
      <c r="AZY1" t="s">
        <v>1489</v>
      </c>
      <c r="AZZ1" t="s">
        <v>1490</v>
      </c>
      <c r="BAA1" t="s">
        <v>1491</v>
      </c>
      <c r="BAB1" t="s">
        <v>1492</v>
      </c>
      <c r="BAC1" t="s">
        <v>1493</v>
      </c>
      <c r="BAD1" t="s">
        <v>1494</v>
      </c>
      <c r="BAE1" t="s">
        <v>1495</v>
      </c>
      <c r="BAF1" t="s">
        <v>1496</v>
      </c>
      <c r="BAG1" t="s">
        <v>1497</v>
      </c>
      <c r="BAH1" t="s">
        <v>1498</v>
      </c>
      <c r="BAI1" t="s">
        <v>1499</v>
      </c>
      <c r="BAJ1" t="s">
        <v>1500</v>
      </c>
      <c r="BAK1" t="s">
        <v>1501</v>
      </c>
      <c r="BAL1" t="s">
        <v>1502</v>
      </c>
      <c r="BAM1" t="s">
        <v>1503</v>
      </c>
      <c r="BAN1" t="s">
        <v>1504</v>
      </c>
      <c r="BAO1" t="s">
        <v>1505</v>
      </c>
      <c r="BAP1" t="s">
        <v>1506</v>
      </c>
      <c r="BAQ1" t="s">
        <v>1507</v>
      </c>
      <c r="BAR1" t="s">
        <v>1508</v>
      </c>
      <c r="BAS1" t="s">
        <v>1509</v>
      </c>
      <c r="BAT1" t="s">
        <v>1510</v>
      </c>
      <c r="BAU1" t="s">
        <v>1511</v>
      </c>
      <c r="BAV1" t="s">
        <v>1512</v>
      </c>
      <c r="BAW1" t="s">
        <v>1513</v>
      </c>
      <c r="BAX1" t="s">
        <v>1514</v>
      </c>
      <c r="BAY1" t="s">
        <v>1515</v>
      </c>
      <c r="BAZ1" t="s">
        <v>1516</v>
      </c>
      <c r="BBA1" t="s">
        <v>1517</v>
      </c>
      <c r="BBB1" t="s">
        <v>1518</v>
      </c>
      <c r="BBC1" t="s">
        <v>1519</v>
      </c>
      <c r="BBD1" t="s">
        <v>1520</v>
      </c>
      <c r="BBE1" t="s">
        <v>1521</v>
      </c>
      <c r="BBF1" t="s">
        <v>1522</v>
      </c>
      <c r="BBG1" t="s">
        <v>1523</v>
      </c>
      <c r="BBH1" t="s">
        <v>1524</v>
      </c>
      <c r="BBI1" t="s">
        <v>1525</v>
      </c>
      <c r="BBJ1" t="s">
        <v>1526</v>
      </c>
      <c r="BBK1" t="s">
        <v>1527</v>
      </c>
      <c r="BBL1" t="s">
        <v>1528</v>
      </c>
      <c r="BBM1" t="s">
        <v>1529</v>
      </c>
      <c r="BBN1" t="s">
        <v>1530</v>
      </c>
      <c r="BBO1" t="s">
        <v>1531</v>
      </c>
      <c r="BBP1" t="s">
        <v>1532</v>
      </c>
      <c r="BBQ1" t="s">
        <v>1533</v>
      </c>
      <c r="BBR1" t="s">
        <v>1534</v>
      </c>
      <c r="BBS1" t="s">
        <v>1535</v>
      </c>
      <c r="BBT1" t="s">
        <v>1536</v>
      </c>
      <c r="BBU1" t="s">
        <v>1537</v>
      </c>
      <c r="BBV1" t="s">
        <v>1538</v>
      </c>
      <c r="BBW1" t="s">
        <v>1539</v>
      </c>
      <c r="BBX1" t="s">
        <v>1540</v>
      </c>
      <c r="BBY1" t="s">
        <v>1541</v>
      </c>
      <c r="BBZ1" t="s">
        <v>1542</v>
      </c>
      <c r="BCA1" t="s">
        <v>1543</v>
      </c>
      <c r="BCB1" t="s">
        <v>1544</v>
      </c>
      <c r="BCC1" t="s">
        <v>1545</v>
      </c>
      <c r="BCD1" t="s">
        <v>1546</v>
      </c>
      <c r="BCE1" t="s">
        <v>1547</v>
      </c>
      <c r="BCF1" t="s">
        <v>1548</v>
      </c>
      <c r="BCG1" t="s">
        <v>1549</v>
      </c>
      <c r="BCH1" t="s">
        <v>1550</v>
      </c>
      <c r="BCI1" t="s">
        <v>1551</v>
      </c>
      <c r="BCJ1" t="s">
        <v>1552</v>
      </c>
      <c r="BCK1" t="s">
        <v>1553</v>
      </c>
      <c r="BCL1" t="s">
        <v>1554</v>
      </c>
      <c r="BCM1" t="s">
        <v>1555</v>
      </c>
      <c r="BCN1" t="s">
        <v>1556</v>
      </c>
      <c r="BCO1" t="s">
        <v>1557</v>
      </c>
      <c r="BCP1" t="s">
        <v>1558</v>
      </c>
      <c r="BCQ1" t="s">
        <v>1559</v>
      </c>
      <c r="BCR1" t="s">
        <v>1560</v>
      </c>
      <c r="BCS1" t="s">
        <v>1561</v>
      </c>
      <c r="BCT1" t="s">
        <v>1562</v>
      </c>
      <c r="BCU1" t="s">
        <v>1563</v>
      </c>
      <c r="BCV1" t="s">
        <v>1564</v>
      </c>
      <c r="BCW1" t="s">
        <v>1565</v>
      </c>
      <c r="BCX1" t="s">
        <v>1566</v>
      </c>
      <c r="BCY1" t="s">
        <v>1567</v>
      </c>
      <c r="BCZ1" t="s">
        <v>1568</v>
      </c>
      <c r="BDA1" t="s">
        <v>1569</v>
      </c>
      <c r="BDB1" t="s">
        <v>1570</v>
      </c>
      <c r="BDC1" t="s">
        <v>1571</v>
      </c>
      <c r="BDD1" t="s">
        <v>1572</v>
      </c>
      <c r="BDE1" t="s">
        <v>1573</v>
      </c>
      <c r="BDF1" t="s">
        <v>1574</v>
      </c>
      <c r="BDG1" t="s">
        <v>1575</v>
      </c>
      <c r="BDH1" t="s">
        <v>1576</v>
      </c>
      <c r="BDI1" t="s">
        <v>1577</v>
      </c>
      <c r="BDJ1" t="s">
        <v>1578</v>
      </c>
      <c r="BDK1" t="s">
        <v>1579</v>
      </c>
      <c r="BDL1" t="s">
        <v>1580</v>
      </c>
      <c r="BDM1" t="s">
        <v>1581</v>
      </c>
      <c r="BDN1" t="s">
        <v>1582</v>
      </c>
      <c r="BDO1" t="s">
        <v>1583</v>
      </c>
      <c r="BDP1" t="s">
        <v>1584</v>
      </c>
      <c r="BDQ1" t="s">
        <v>1585</v>
      </c>
      <c r="BDR1" t="s">
        <v>1586</v>
      </c>
      <c r="BDS1" t="s">
        <v>1587</v>
      </c>
      <c r="BDT1" t="s">
        <v>1588</v>
      </c>
      <c r="BDU1" t="s">
        <v>1589</v>
      </c>
      <c r="BDV1" t="s">
        <v>1590</v>
      </c>
      <c r="BDW1" t="s">
        <v>1591</v>
      </c>
      <c r="BDX1" t="s">
        <v>1592</v>
      </c>
      <c r="BDY1" t="s">
        <v>1593</v>
      </c>
      <c r="BDZ1" t="s">
        <v>1594</v>
      </c>
      <c r="BEA1" t="s">
        <v>1595</v>
      </c>
      <c r="BEB1" t="s">
        <v>1596</v>
      </c>
      <c r="BEC1" t="s">
        <v>1597</v>
      </c>
      <c r="BED1" t="s">
        <v>1598</v>
      </c>
      <c r="BEE1" t="s">
        <v>1599</v>
      </c>
      <c r="BEF1" t="s">
        <v>1600</v>
      </c>
      <c r="BEG1" t="s">
        <v>1601</v>
      </c>
      <c r="BEH1" t="s">
        <v>1602</v>
      </c>
      <c r="BEI1" t="s">
        <v>1603</v>
      </c>
      <c r="BEJ1" t="s">
        <v>1604</v>
      </c>
      <c r="BEK1" t="s">
        <v>1605</v>
      </c>
      <c r="BEL1" t="s">
        <v>1606</v>
      </c>
      <c r="BEM1" t="s">
        <v>1607</v>
      </c>
      <c r="BEN1" t="s">
        <v>1608</v>
      </c>
      <c r="BEO1" t="s">
        <v>1609</v>
      </c>
      <c r="BEP1" t="s">
        <v>1610</v>
      </c>
      <c r="BEQ1" t="s">
        <v>1611</v>
      </c>
      <c r="BER1" t="s">
        <v>1612</v>
      </c>
      <c r="BES1" t="s">
        <v>1613</v>
      </c>
      <c r="BET1" t="s">
        <v>1614</v>
      </c>
      <c r="BEU1" t="s">
        <v>1615</v>
      </c>
      <c r="BEV1" t="s">
        <v>1616</v>
      </c>
      <c r="BEW1" t="s">
        <v>1617</v>
      </c>
      <c r="BEX1" t="s">
        <v>1618</v>
      </c>
      <c r="BEY1" t="s">
        <v>1619</v>
      </c>
      <c r="BEZ1" t="s">
        <v>1620</v>
      </c>
      <c r="BFA1" t="s">
        <v>1621</v>
      </c>
      <c r="BFB1" t="s">
        <v>1622</v>
      </c>
      <c r="BFC1" t="s">
        <v>1623</v>
      </c>
      <c r="BFD1" t="s">
        <v>1624</v>
      </c>
      <c r="BFE1" t="s">
        <v>1625</v>
      </c>
      <c r="BFF1" t="s">
        <v>1626</v>
      </c>
      <c r="BFG1" t="s">
        <v>1627</v>
      </c>
      <c r="BFH1" t="s">
        <v>1628</v>
      </c>
      <c r="BFI1" t="s">
        <v>1629</v>
      </c>
      <c r="BFJ1" t="s">
        <v>1630</v>
      </c>
      <c r="BFK1" t="s">
        <v>1631</v>
      </c>
      <c r="BFL1" t="s">
        <v>1632</v>
      </c>
      <c r="BFM1" t="s">
        <v>1633</v>
      </c>
      <c r="BFN1" t="s">
        <v>1634</v>
      </c>
      <c r="BFO1" t="s">
        <v>1635</v>
      </c>
      <c r="BFP1" t="s">
        <v>1636</v>
      </c>
      <c r="BFQ1" t="s">
        <v>1637</v>
      </c>
      <c r="BFR1" t="s">
        <v>1638</v>
      </c>
      <c r="BFS1" t="s">
        <v>1639</v>
      </c>
      <c r="BFT1" t="s">
        <v>1640</v>
      </c>
      <c r="BFU1" t="s">
        <v>1641</v>
      </c>
      <c r="BFV1" t="s">
        <v>1642</v>
      </c>
      <c r="BFW1" t="s">
        <v>1643</v>
      </c>
      <c r="BFX1" t="s">
        <v>1644</v>
      </c>
      <c r="BFY1" t="s">
        <v>1645</v>
      </c>
      <c r="BFZ1" t="s">
        <v>1646</v>
      </c>
      <c r="BGA1" t="s">
        <v>1647</v>
      </c>
      <c r="BGB1" t="s">
        <v>1648</v>
      </c>
      <c r="BGC1" t="s">
        <v>1649</v>
      </c>
      <c r="BGD1" t="s">
        <v>1650</v>
      </c>
      <c r="BGE1" t="s">
        <v>1651</v>
      </c>
      <c r="BGF1" t="s">
        <v>1652</v>
      </c>
      <c r="BGG1" t="s">
        <v>1653</v>
      </c>
      <c r="BGH1" t="s">
        <v>1654</v>
      </c>
      <c r="BGI1" t="s">
        <v>1655</v>
      </c>
      <c r="BGJ1" t="s">
        <v>1656</v>
      </c>
      <c r="BGK1" t="s">
        <v>1657</v>
      </c>
      <c r="BGL1" t="s">
        <v>1658</v>
      </c>
      <c r="BGM1" t="s">
        <v>1659</v>
      </c>
      <c r="BGN1" t="s">
        <v>1660</v>
      </c>
      <c r="BGO1" t="s">
        <v>1661</v>
      </c>
      <c r="BGP1" t="s">
        <v>1662</v>
      </c>
      <c r="BGQ1" t="s">
        <v>1663</v>
      </c>
      <c r="BGR1" t="s">
        <v>1664</v>
      </c>
      <c r="BGS1" t="s">
        <v>1665</v>
      </c>
      <c r="BGT1" t="s">
        <v>1666</v>
      </c>
      <c r="BGU1" t="s">
        <v>1667</v>
      </c>
      <c r="BGV1" t="s">
        <v>1668</v>
      </c>
      <c r="BGW1" t="s">
        <v>1669</v>
      </c>
      <c r="BGX1" t="s">
        <v>1670</v>
      </c>
      <c r="BGY1" t="s">
        <v>1671</v>
      </c>
      <c r="BGZ1" t="s">
        <v>1672</v>
      </c>
      <c r="BHA1" t="s">
        <v>1673</v>
      </c>
      <c r="BHB1" t="s">
        <v>1674</v>
      </c>
      <c r="BHC1" t="s">
        <v>1675</v>
      </c>
      <c r="BHD1" t="s">
        <v>1676</v>
      </c>
      <c r="BHE1" t="s">
        <v>1677</v>
      </c>
      <c r="BHF1" t="s">
        <v>1678</v>
      </c>
      <c r="BHG1" t="s">
        <v>1679</v>
      </c>
      <c r="BHH1" t="s">
        <v>1680</v>
      </c>
      <c r="BHI1" t="s">
        <v>1681</v>
      </c>
      <c r="BHJ1" t="s">
        <v>1682</v>
      </c>
      <c r="BHK1" t="s">
        <v>1683</v>
      </c>
      <c r="BHL1" t="s">
        <v>1684</v>
      </c>
      <c r="BHM1" t="s">
        <v>1685</v>
      </c>
      <c r="BHN1" t="s">
        <v>1686</v>
      </c>
      <c r="BHO1" t="s">
        <v>1687</v>
      </c>
      <c r="BHP1" t="s">
        <v>1688</v>
      </c>
      <c r="BHQ1" t="s">
        <v>1689</v>
      </c>
      <c r="BHR1" t="s">
        <v>1690</v>
      </c>
      <c r="BHS1" t="s">
        <v>1691</v>
      </c>
      <c r="BHT1" t="s">
        <v>1692</v>
      </c>
      <c r="BHU1" t="s">
        <v>1693</v>
      </c>
      <c r="BHV1" t="s">
        <v>1694</v>
      </c>
      <c r="BHW1" t="s">
        <v>1695</v>
      </c>
      <c r="BHX1" t="s">
        <v>1696</v>
      </c>
      <c r="BHY1" t="s">
        <v>1697</v>
      </c>
      <c r="BHZ1" t="s">
        <v>1698</v>
      </c>
      <c r="BIA1" t="s">
        <v>1699</v>
      </c>
      <c r="BIB1" t="s">
        <v>1700</v>
      </c>
      <c r="BIC1" t="s">
        <v>1701</v>
      </c>
      <c r="BID1" t="s">
        <v>1702</v>
      </c>
      <c r="BIE1" t="s">
        <v>1703</v>
      </c>
      <c r="BIF1" t="s">
        <v>1704</v>
      </c>
      <c r="BIG1" t="s">
        <v>1705</v>
      </c>
      <c r="BIH1" t="s">
        <v>1706</v>
      </c>
      <c r="BII1" t="s">
        <v>1707</v>
      </c>
      <c r="BIJ1" t="s">
        <v>1708</v>
      </c>
      <c r="BIK1" t="s">
        <v>1709</v>
      </c>
      <c r="BIL1" t="s">
        <v>1710</v>
      </c>
      <c r="BIM1" t="s">
        <v>1711</v>
      </c>
      <c r="BIN1" t="s">
        <v>1712</v>
      </c>
      <c r="BIO1" t="s">
        <v>1713</v>
      </c>
      <c r="BIP1" t="s">
        <v>1714</v>
      </c>
      <c r="BIQ1" t="s">
        <v>1715</v>
      </c>
      <c r="BIR1" t="s">
        <v>1716</v>
      </c>
      <c r="BIS1" t="s">
        <v>1717</v>
      </c>
      <c r="BIT1" t="s">
        <v>1718</v>
      </c>
      <c r="BIU1" t="s">
        <v>1719</v>
      </c>
      <c r="BIV1" t="s">
        <v>1720</v>
      </c>
      <c r="BIW1" t="s">
        <v>1721</v>
      </c>
      <c r="BIX1" t="s">
        <v>1722</v>
      </c>
      <c r="BIY1" t="s">
        <v>1723</v>
      </c>
      <c r="BIZ1" t="s">
        <v>1724</v>
      </c>
      <c r="BJA1" t="s">
        <v>1725</v>
      </c>
      <c r="BJB1" t="s">
        <v>1726</v>
      </c>
      <c r="BJC1" t="s">
        <v>1727</v>
      </c>
      <c r="BJD1" t="s">
        <v>1728</v>
      </c>
      <c r="BJE1" t="s">
        <v>1729</v>
      </c>
      <c r="BJF1" t="s">
        <v>1730</v>
      </c>
      <c r="BJG1" t="s">
        <v>1731</v>
      </c>
      <c r="BJH1" t="s">
        <v>1732</v>
      </c>
      <c r="BJI1" t="s">
        <v>1733</v>
      </c>
      <c r="BJJ1" t="s">
        <v>1734</v>
      </c>
      <c r="BJK1" t="s">
        <v>1735</v>
      </c>
      <c r="BJL1" t="s">
        <v>1736</v>
      </c>
      <c r="BJM1" t="s">
        <v>1737</v>
      </c>
      <c r="BJN1" t="s">
        <v>1738</v>
      </c>
      <c r="BJO1" t="s">
        <v>1739</v>
      </c>
      <c r="BJP1" t="s">
        <v>1740</v>
      </c>
      <c r="BJQ1" t="s">
        <v>1741</v>
      </c>
      <c r="BJR1" t="s">
        <v>1742</v>
      </c>
      <c r="BJS1" t="s">
        <v>1743</v>
      </c>
      <c r="BJT1" t="s">
        <v>1744</v>
      </c>
      <c r="BJU1" t="s">
        <v>1745</v>
      </c>
      <c r="BJV1" t="s">
        <v>1746</v>
      </c>
      <c r="BJW1" t="s">
        <v>1747</v>
      </c>
      <c r="BJX1" t="s">
        <v>1748</v>
      </c>
      <c r="BJY1" t="s">
        <v>1749</v>
      </c>
      <c r="BJZ1" t="s">
        <v>1750</v>
      </c>
      <c r="BKA1" t="s">
        <v>1751</v>
      </c>
      <c r="BKB1" t="s">
        <v>1752</v>
      </c>
      <c r="BKC1" t="s">
        <v>1753</v>
      </c>
      <c r="BKD1" t="s">
        <v>1754</v>
      </c>
      <c r="BKE1" t="s">
        <v>1755</v>
      </c>
      <c r="BKF1" t="s">
        <v>1756</v>
      </c>
      <c r="BKG1" t="s">
        <v>1757</v>
      </c>
      <c r="BKH1" t="s">
        <v>1758</v>
      </c>
      <c r="BKI1" t="s">
        <v>1759</v>
      </c>
      <c r="BKJ1" t="s">
        <v>1760</v>
      </c>
      <c r="BKK1" t="s">
        <v>1761</v>
      </c>
      <c r="BKL1" t="s">
        <v>1762</v>
      </c>
      <c r="BKM1" t="s">
        <v>1763</v>
      </c>
      <c r="BKN1" t="s">
        <v>1764</v>
      </c>
      <c r="BKO1" t="s">
        <v>1765</v>
      </c>
      <c r="BKP1" t="s">
        <v>1766</v>
      </c>
      <c r="BKQ1" t="s">
        <v>1767</v>
      </c>
      <c r="BKR1" t="s">
        <v>1768</v>
      </c>
      <c r="BKS1" t="s">
        <v>1769</v>
      </c>
      <c r="BKT1" t="s">
        <v>1770</v>
      </c>
      <c r="BKU1" t="s">
        <v>1771</v>
      </c>
      <c r="BKV1" t="s">
        <v>1772</v>
      </c>
      <c r="BKW1" t="s">
        <v>1773</v>
      </c>
      <c r="BKX1" t="s">
        <v>1774</v>
      </c>
      <c r="BKY1" t="s">
        <v>1775</v>
      </c>
      <c r="BKZ1" t="s">
        <v>1776</v>
      </c>
      <c r="BLA1" t="s">
        <v>1777</v>
      </c>
      <c r="BLB1" t="s">
        <v>1778</v>
      </c>
      <c r="BLC1" t="s">
        <v>1779</v>
      </c>
      <c r="BLD1" t="s">
        <v>1780</v>
      </c>
      <c r="BLE1" t="s">
        <v>1781</v>
      </c>
      <c r="BLF1" t="s">
        <v>1782</v>
      </c>
      <c r="BLG1" t="s">
        <v>1783</v>
      </c>
      <c r="BLH1" t="s">
        <v>1784</v>
      </c>
      <c r="BLI1" t="s">
        <v>1785</v>
      </c>
      <c r="BLJ1" t="s">
        <v>1786</v>
      </c>
      <c r="BLK1" t="s">
        <v>1787</v>
      </c>
      <c r="BLL1" t="s">
        <v>1788</v>
      </c>
      <c r="BLM1" t="s">
        <v>1789</v>
      </c>
      <c r="BLN1" t="s">
        <v>1790</v>
      </c>
      <c r="BLO1" t="s">
        <v>1791</v>
      </c>
      <c r="BLP1" t="s">
        <v>1792</v>
      </c>
      <c r="BLQ1" t="s">
        <v>1793</v>
      </c>
      <c r="BLR1" t="s">
        <v>1794</v>
      </c>
      <c r="BLS1" t="s">
        <v>1795</v>
      </c>
      <c r="BLT1" t="s">
        <v>1796</v>
      </c>
      <c r="BLU1" t="s">
        <v>1797</v>
      </c>
      <c r="BLV1" t="s">
        <v>1798</v>
      </c>
      <c r="BLW1" t="s">
        <v>1799</v>
      </c>
      <c r="BLX1" t="s">
        <v>1800</v>
      </c>
      <c r="BLY1" t="s">
        <v>1801</v>
      </c>
      <c r="BLZ1" t="s">
        <v>1802</v>
      </c>
      <c r="BMA1" t="s">
        <v>1803</v>
      </c>
      <c r="BMB1" t="s">
        <v>1804</v>
      </c>
      <c r="BMC1" t="s">
        <v>1805</v>
      </c>
      <c r="BMD1" t="s">
        <v>1806</v>
      </c>
      <c r="BME1" t="s">
        <v>1807</v>
      </c>
      <c r="BMF1" t="s">
        <v>1808</v>
      </c>
      <c r="BMG1" t="s">
        <v>1809</v>
      </c>
      <c r="BMH1" t="s">
        <v>1810</v>
      </c>
      <c r="BMI1" t="s">
        <v>1811</v>
      </c>
      <c r="BMJ1" t="s">
        <v>1812</v>
      </c>
      <c r="BMK1" t="s">
        <v>1813</v>
      </c>
      <c r="BML1" t="s">
        <v>1814</v>
      </c>
      <c r="BMM1" t="s">
        <v>1815</v>
      </c>
      <c r="BMN1" t="s">
        <v>1816</v>
      </c>
      <c r="BMO1" t="s">
        <v>1817</v>
      </c>
      <c r="BMP1" t="s">
        <v>1818</v>
      </c>
      <c r="BMQ1" t="s">
        <v>1819</v>
      </c>
      <c r="BMR1" t="s">
        <v>1820</v>
      </c>
      <c r="BMS1" t="s">
        <v>1821</v>
      </c>
      <c r="BMT1" t="s">
        <v>1822</v>
      </c>
      <c r="BMU1" t="s">
        <v>1823</v>
      </c>
      <c r="BMV1" t="s">
        <v>1824</v>
      </c>
      <c r="BMW1" t="s">
        <v>1825</v>
      </c>
      <c r="BMX1" t="s">
        <v>1826</v>
      </c>
      <c r="BMY1" t="s">
        <v>1827</v>
      </c>
      <c r="BMZ1" t="s">
        <v>1828</v>
      </c>
      <c r="BNA1" t="s">
        <v>1829</v>
      </c>
      <c r="BNB1" t="s">
        <v>1830</v>
      </c>
      <c r="BNC1" t="s">
        <v>1831</v>
      </c>
      <c r="BND1" t="s">
        <v>1832</v>
      </c>
      <c r="BNE1" t="s">
        <v>1833</v>
      </c>
      <c r="BNF1" t="s">
        <v>1834</v>
      </c>
      <c r="BNG1" t="s">
        <v>1835</v>
      </c>
      <c r="BNH1" t="s">
        <v>1836</v>
      </c>
      <c r="BNI1" t="s">
        <v>1837</v>
      </c>
      <c r="BNJ1" t="s">
        <v>1838</v>
      </c>
      <c r="BNK1" t="s">
        <v>1839</v>
      </c>
      <c r="BNL1" t="s">
        <v>1840</v>
      </c>
      <c r="BNM1" t="s">
        <v>1841</v>
      </c>
      <c r="BNN1" t="s">
        <v>1842</v>
      </c>
      <c r="BNO1" t="s">
        <v>1843</v>
      </c>
      <c r="BNP1" t="s">
        <v>1844</v>
      </c>
      <c r="BNQ1" t="s">
        <v>1845</v>
      </c>
      <c r="BNR1" t="s">
        <v>1846</v>
      </c>
      <c r="BNS1" t="s">
        <v>1847</v>
      </c>
      <c r="BNT1" t="s">
        <v>1848</v>
      </c>
      <c r="BNU1" t="s">
        <v>1849</v>
      </c>
      <c r="BNV1" t="s">
        <v>1850</v>
      </c>
      <c r="BNW1" t="s">
        <v>1851</v>
      </c>
      <c r="BNX1" t="s">
        <v>1852</v>
      </c>
      <c r="BNY1" t="s">
        <v>1853</v>
      </c>
      <c r="BNZ1" t="s">
        <v>1854</v>
      </c>
      <c r="BOA1" t="s">
        <v>1855</v>
      </c>
      <c r="BOB1" t="s">
        <v>1856</v>
      </c>
      <c r="BOC1" t="s">
        <v>1857</v>
      </c>
      <c r="BOD1" t="s">
        <v>1858</v>
      </c>
      <c r="BOE1" t="s">
        <v>1859</v>
      </c>
      <c r="BOF1" t="s">
        <v>1860</v>
      </c>
      <c r="BOG1" t="s">
        <v>1861</v>
      </c>
      <c r="BOH1" t="s">
        <v>1862</v>
      </c>
      <c r="BOI1" t="s">
        <v>1863</v>
      </c>
      <c r="BOJ1" t="s">
        <v>1864</v>
      </c>
      <c r="BOK1" t="s">
        <v>1865</v>
      </c>
      <c r="BOL1" t="s">
        <v>1866</v>
      </c>
      <c r="BOM1" t="s">
        <v>1867</v>
      </c>
      <c r="BON1" t="s">
        <v>1868</v>
      </c>
      <c r="BOO1" t="s">
        <v>1869</v>
      </c>
      <c r="BOP1" t="s">
        <v>1870</v>
      </c>
      <c r="BOQ1" t="s">
        <v>1871</v>
      </c>
      <c r="BOR1" t="s">
        <v>1872</v>
      </c>
      <c r="BOS1" t="s">
        <v>1873</v>
      </c>
      <c r="BOT1" t="s">
        <v>1874</v>
      </c>
      <c r="BOU1" t="s">
        <v>1875</v>
      </c>
      <c r="BOV1" t="s">
        <v>1876</v>
      </c>
      <c r="BOW1" t="s">
        <v>1877</v>
      </c>
      <c r="BOX1" t="s">
        <v>1878</v>
      </c>
      <c r="BOY1" t="s">
        <v>1879</v>
      </c>
      <c r="BOZ1" t="s">
        <v>1880</v>
      </c>
      <c r="BPA1" t="s">
        <v>1881</v>
      </c>
      <c r="BPB1" t="s">
        <v>1882</v>
      </c>
      <c r="BPC1" t="s">
        <v>1883</v>
      </c>
      <c r="BPD1" t="s">
        <v>1884</v>
      </c>
      <c r="BPE1" t="s">
        <v>1885</v>
      </c>
      <c r="BPF1" t="s">
        <v>1886</v>
      </c>
      <c r="BPG1" t="s">
        <v>1887</v>
      </c>
      <c r="BPH1" t="s">
        <v>1888</v>
      </c>
      <c r="BPI1" t="s">
        <v>1889</v>
      </c>
      <c r="BPJ1" t="s">
        <v>1890</v>
      </c>
      <c r="BPK1" t="s">
        <v>1891</v>
      </c>
      <c r="BPL1" t="s">
        <v>1892</v>
      </c>
      <c r="BPM1" t="s">
        <v>1893</v>
      </c>
      <c r="BPN1" t="s">
        <v>1894</v>
      </c>
      <c r="BPO1" t="s">
        <v>1895</v>
      </c>
      <c r="BPP1" t="s">
        <v>1896</v>
      </c>
      <c r="BPQ1" t="s">
        <v>1897</v>
      </c>
      <c r="BPR1" t="s">
        <v>1898</v>
      </c>
      <c r="BPS1" t="s">
        <v>1899</v>
      </c>
      <c r="BPT1" t="s">
        <v>1900</v>
      </c>
      <c r="BPU1" t="s">
        <v>1901</v>
      </c>
      <c r="BPV1" t="s">
        <v>1902</v>
      </c>
      <c r="BPW1" t="s">
        <v>1903</v>
      </c>
      <c r="BPX1" t="s">
        <v>1904</v>
      </c>
      <c r="BPY1" t="s">
        <v>1905</v>
      </c>
      <c r="BPZ1" t="s">
        <v>1906</v>
      </c>
      <c r="BQA1" t="s">
        <v>1907</v>
      </c>
      <c r="BQB1" t="s">
        <v>1908</v>
      </c>
      <c r="BQC1" t="s">
        <v>1909</v>
      </c>
      <c r="BQD1" t="s">
        <v>1910</v>
      </c>
      <c r="BQE1" t="s">
        <v>1911</v>
      </c>
      <c r="BQF1" t="s">
        <v>1912</v>
      </c>
      <c r="BQG1" t="s">
        <v>1913</v>
      </c>
      <c r="BQH1" t="s">
        <v>1914</v>
      </c>
      <c r="BQI1" t="s">
        <v>1915</v>
      </c>
      <c r="BQJ1" t="s">
        <v>1916</v>
      </c>
      <c r="BQK1" t="s">
        <v>1917</v>
      </c>
      <c r="BQL1" t="s">
        <v>1918</v>
      </c>
      <c r="BQM1" t="s">
        <v>1919</v>
      </c>
      <c r="BQN1" t="s">
        <v>1920</v>
      </c>
      <c r="BQO1" t="s">
        <v>1921</v>
      </c>
      <c r="BQP1" t="s">
        <v>1922</v>
      </c>
      <c r="BQQ1" t="s">
        <v>1923</v>
      </c>
      <c r="BQR1" t="s">
        <v>1924</v>
      </c>
      <c r="BQS1" t="s">
        <v>1925</v>
      </c>
      <c r="BQT1" t="s">
        <v>1926</v>
      </c>
      <c r="BQU1" t="s">
        <v>1927</v>
      </c>
      <c r="BQV1" t="s">
        <v>1928</v>
      </c>
      <c r="BQW1" t="s">
        <v>1929</v>
      </c>
      <c r="BQX1" t="s">
        <v>1930</v>
      </c>
      <c r="BQY1" t="s">
        <v>1931</v>
      </c>
      <c r="BQZ1" t="s">
        <v>1932</v>
      </c>
      <c r="BRA1" t="s">
        <v>1933</v>
      </c>
      <c r="BRB1" t="s">
        <v>1934</v>
      </c>
      <c r="BRC1" t="s">
        <v>1935</v>
      </c>
      <c r="BRD1" t="s">
        <v>1936</v>
      </c>
      <c r="BRE1" t="s">
        <v>1937</v>
      </c>
      <c r="BRF1" t="s">
        <v>1938</v>
      </c>
      <c r="BRG1" t="s">
        <v>1939</v>
      </c>
      <c r="BRH1" t="s">
        <v>1940</v>
      </c>
      <c r="BRI1" t="s">
        <v>1941</v>
      </c>
      <c r="BRJ1" t="s">
        <v>1942</v>
      </c>
      <c r="BRK1" t="s">
        <v>1943</v>
      </c>
      <c r="BRL1" t="s">
        <v>1944</v>
      </c>
      <c r="BRM1" t="s">
        <v>1945</v>
      </c>
      <c r="BRN1" t="s">
        <v>1946</v>
      </c>
      <c r="BRO1" t="s">
        <v>1947</v>
      </c>
      <c r="BRP1" t="s">
        <v>1948</v>
      </c>
      <c r="BRQ1" t="s">
        <v>1949</v>
      </c>
      <c r="BRR1" t="s">
        <v>1950</v>
      </c>
      <c r="BRS1" t="s">
        <v>1951</v>
      </c>
      <c r="BRT1" t="s">
        <v>1952</v>
      </c>
      <c r="BRU1" t="s">
        <v>1953</v>
      </c>
      <c r="BRV1" t="s">
        <v>1954</v>
      </c>
      <c r="BRW1" t="s">
        <v>1955</v>
      </c>
      <c r="BRX1" t="s">
        <v>1956</v>
      </c>
      <c r="BRY1" t="s">
        <v>1957</v>
      </c>
      <c r="BRZ1" t="s">
        <v>1958</v>
      </c>
      <c r="BSA1" t="s">
        <v>1959</v>
      </c>
      <c r="BSB1" t="s">
        <v>1960</v>
      </c>
      <c r="BSC1" t="s">
        <v>1961</v>
      </c>
      <c r="BSD1" t="s">
        <v>1962</v>
      </c>
      <c r="BSE1" t="s">
        <v>1963</v>
      </c>
      <c r="BSF1" t="s">
        <v>1964</v>
      </c>
      <c r="BSG1" t="s">
        <v>1965</v>
      </c>
      <c r="BSH1" t="s">
        <v>1966</v>
      </c>
      <c r="BSI1" t="s">
        <v>1967</v>
      </c>
      <c r="BSJ1" t="s">
        <v>1968</v>
      </c>
      <c r="BSK1" t="s">
        <v>1969</v>
      </c>
      <c r="BSL1" t="s">
        <v>1970</v>
      </c>
      <c r="BSM1" t="s">
        <v>1971</v>
      </c>
      <c r="BSN1" t="s">
        <v>1972</v>
      </c>
      <c r="BSO1" t="s">
        <v>1973</v>
      </c>
      <c r="BSP1" t="s">
        <v>1974</v>
      </c>
      <c r="BSQ1" t="s">
        <v>1975</v>
      </c>
      <c r="BSR1" t="s">
        <v>1976</v>
      </c>
      <c r="BSS1" t="s">
        <v>1977</v>
      </c>
      <c r="BST1" t="s">
        <v>1978</v>
      </c>
      <c r="BSU1" t="s">
        <v>1979</v>
      </c>
      <c r="BSV1" t="s">
        <v>1980</v>
      </c>
      <c r="BSW1" t="s">
        <v>1981</v>
      </c>
      <c r="BSX1" t="s">
        <v>1982</v>
      </c>
      <c r="BSY1" t="s">
        <v>1983</v>
      </c>
      <c r="BSZ1" t="s">
        <v>1984</v>
      </c>
      <c r="BTA1" t="s">
        <v>1985</v>
      </c>
      <c r="BTB1" t="s">
        <v>1986</v>
      </c>
      <c r="BTC1" t="s">
        <v>1987</v>
      </c>
      <c r="BTD1" t="s">
        <v>1988</v>
      </c>
      <c r="BTE1" t="s">
        <v>1989</v>
      </c>
      <c r="BTF1" t="s">
        <v>1990</v>
      </c>
      <c r="BTG1" t="s">
        <v>1991</v>
      </c>
      <c r="BTH1" t="s">
        <v>1992</v>
      </c>
      <c r="BTI1" t="s">
        <v>1993</v>
      </c>
      <c r="BTJ1" t="s">
        <v>1994</v>
      </c>
      <c r="BTK1" t="s">
        <v>1995</v>
      </c>
      <c r="BTL1" t="s">
        <v>1996</v>
      </c>
      <c r="BTM1" t="s">
        <v>1997</v>
      </c>
      <c r="BTN1" t="s">
        <v>1998</v>
      </c>
      <c r="BTO1" t="s">
        <v>1999</v>
      </c>
      <c r="BTP1" t="s">
        <v>2000</v>
      </c>
      <c r="BTQ1" t="s">
        <v>2001</v>
      </c>
      <c r="BTR1" t="s">
        <v>2002</v>
      </c>
      <c r="BTS1" t="s">
        <v>2003</v>
      </c>
      <c r="BTT1" t="s">
        <v>2004</v>
      </c>
      <c r="BTU1" t="s">
        <v>2005</v>
      </c>
      <c r="BTV1" t="s">
        <v>2006</v>
      </c>
      <c r="BTW1" t="s">
        <v>2007</v>
      </c>
      <c r="BTX1" t="s">
        <v>2008</v>
      </c>
      <c r="BTY1" t="s">
        <v>2009</v>
      </c>
      <c r="BTZ1" t="s">
        <v>2010</v>
      </c>
      <c r="BUA1" t="s">
        <v>2011</v>
      </c>
      <c r="BUB1" t="s">
        <v>2012</v>
      </c>
      <c r="BUC1" t="s">
        <v>2013</v>
      </c>
      <c r="BUD1" t="s">
        <v>2014</v>
      </c>
      <c r="BUE1" t="s">
        <v>2015</v>
      </c>
      <c r="BUF1" t="s">
        <v>2016</v>
      </c>
      <c r="BUG1" t="s">
        <v>2017</v>
      </c>
      <c r="BUH1" t="s">
        <v>2018</v>
      </c>
      <c r="BUI1" t="s">
        <v>2019</v>
      </c>
      <c r="BUJ1" t="s">
        <v>2020</v>
      </c>
      <c r="BUK1" t="s">
        <v>2021</v>
      </c>
      <c r="BUL1" t="s">
        <v>2022</v>
      </c>
      <c r="BUM1" t="s">
        <v>2023</v>
      </c>
      <c r="BUN1" t="s">
        <v>2024</v>
      </c>
      <c r="BUO1" t="s">
        <v>2025</v>
      </c>
      <c r="BUP1" t="s">
        <v>2026</v>
      </c>
      <c r="BUQ1" t="s">
        <v>2027</v>
      </c>
      <c r="BUR1" t="s">
        <v>2028</v>
      </c>
      <c r="BUS1" t="s">
        <v>2029</v>
      </c>
      <c r="BUT1" t="s">
        <v>2030</v>
      </c>
      <c r="BUU1" t="s">
        <v>2031</v>
      </c>
      <c r="BUV1" t="s">
        <v>2032</v>
      </c>
      <c r="BUW1" t="s">
        <v>2033</v>
      </c>
      <c r="BUX1" t="s">
        <v>2034</v>
      </c>
      <c r="BUY1" t="s">
        <v>2035</v>
      </c>
      <c r="BUZ1" t="s">
        <v>2036</v>
      </c>
      <c r="BVA1" t="s">
        <v>2037</v>
      </c>
      <c r="BVB1" t="s">
        <v>2038</v>
      </c>
      <c r="BVC1" t="s">
        <v>2039</v>
      </c>
      <c r="BVD1" t="s">
        <v>2040</v>
      </c>
      <c r="BVE1" t="s">
        <v>2041</v>
      </c>
      <c r="BVF1" t="s">
        <v>2042</v>
      </c>
      <c r="BVG1" t="s">
        <v>2043</v>
      </c>
      <c r="BVH1" t="s">
        <v>2044</v>
      </c>
      <c r="BVI1" t="s">
        <v>2045</v>
      </c>
      <c r="BVJ1" t="s">
        <v>2046</v>
      </c>
      <c r="BVK1" t="s">
        <v>2047</v>
      </c>
      <c r="BVL1" t="s">
        <v>2048</v>
      </c>
      <c r="BVM1" t="s">
        <v>2049</v>
      </c>
      <c r="BVN1" t="s">
        <v>2050</v>
      </c>
      <c r="BVO1" t="s">
        <v>2051</v>
      </c>
      <c r="BVP1" t="s">
        <v>2052</v>
      </c>
      <c r="BVQ1" t="s">
        <v>2053</v>
      </c>
      <c r="BVR1" t="s">
        <v>2054</v>
      </c>
      <c r="BVS1" t="s">
        <v>2055</v>
      </c>
      <c r="BVT1" t="s">
        <v>2056</v>
      </c>
      <c r="BVU1" t="s">
        <v>2057</v>
      </c>
      <c r="BVV1" t="s">
        <v>2058</v>
      </c>
      <c r="BVW1" t="s">
        <v>2059</v>
      </c>
      <c r="BVX1" t="s">
        <v>2060</v>
      </c>
      <c r="BVY1" t="s">
        <v>2061</v>
      </c>
      <c r="BVZ1" t="s">
        <v>2062</v>
      </c>
      <c r="BWA1" t="s">
        <v>2063</v>
      </c>
      <c r="BWB1" t="s">
        <v>2064</v>
      </c>
      <c r="BWC1" t="s">
        <v>2065</v>
      </c>
      <c r="BWD1" t="s">
        <v>2066</v>
      </c>
      <c r="BWE1" t="s">
        <v>2067</v>
      </c>
      <c r="BWF1" t="s">
        <v>2068</v>
      </c>
      <c r="BWG1" t="s">
        <v>2069</v>
      </c>
      <c r="BWH1" t="s">
        <v>2070</v>
      </c>
      <c r="BWI1" t="s">
        <v>2071</v>
      </c>
      <c r="BWJ1" t="s">
        <v>2072</v>
      </c>
      <c r="BWK1" t="s">
        <v>2073</v>
      </c>
      <c r="BWL1" t="s">
        <v>2074</v>
      </c>
      <c r="BWM1" t="s">
        <v>2075</v>
      </c>
      <c r="BWN1" t="s">
        <v>2076</v>
      </c>
      <c r="BWO1" t="s">
        <v>2077</v>
      </c>
      <c r="BWP1" t="s">
        <v>2078</v>
      </c>
      <c r="BWQ1" t="s">
        <v>2079</v>
      </c>
      <c r="BWR1" t="s">
        <v>2080</v>
      </c>
      <c r="BWS1" t="s">
        <v>2081</v>
      </c>
      <c r="BWT1" t="s">
        <v>2082</v>
      </c>
      <c r="BWU1" t="s">
        <v>2083</v>
      </c>
      <c r="BWV1" t="s">
        <v>2084</v>
      </c>
      <c r="BWW1" t="s">
        <v>2085</v>
      </c>
      <c r="BWX1" t="s">
        <v>2086</v>
      </c>
      <c r="BWY1" t="s">
        <v>2087</v>
      </c>
      <c r="BWZ1" t="s">
        <v>2088</v>
      </c>
      <c r="BXA1" t="s">
        <v>2089</v>
      </c>
      <c r="BXB1" t="s">
        <v>2090</v>
      </c>
      <c r="BXC1" t="s">
        <v>2091</v>
      </c>
      <c r="BXD1" t="s">
        <v>2092</v>
      </c>
      <c r="BXE1" t="s">
        <v>2093</v>
      </c>
      <c r="BXF1" t="s">
        <v>2094</v>
      </c>
      <c r="BXG1" t="s">
        <v>2095</v>
      </c>
      <c r="BXH1" t="s">
        <v>2096</v>
      </c>
      <c r="BXI1" t="s">
        <v>2097</v>
      </c>
      <c r="BXJ1" t="s">
        <v>2098</v>
      </c>
      <c r="BXK1" t="s">
        <v>2099</v>
      </c>
      <c r="BXL1" t="s">
        <v>2100</v>
      </c>
      <c r="BXM1" t="s">
        <v>2101</v>
      </c>
      <c r="BXN1" t="s">
        <v>2102</v>
      </c>
      <c r="BXO1" t="s">
        <v>2103</v>
      </c>
      <c r="BXP1" t="s">
        <v>2104</v>
      </c>
      <c r="BXQ1" t="s">
        <v>2105</v>
      </c>
      <c r="BXR1" t="s">
        <v>2106</v>
      </c>
      <c r="BXS1" t="s">
        <v>2107</v>
      </c>
      <c r="BXT1" t="s">
        <v>2108</v>
      </c>
      <c r="BXU1" t="s">
        <v>2109</v>
      </c>
      <c r="BXV1" t="s">
        <v>2110</v>
      </c>
      <c r="BXW1" t="s">
        <v>2111</v>
      </c>
      <c r="BXX1" t="s">
        <v>2112</v>
      </c>
      <c r="BXY1" t="s">
        <v>2113</v>
      </c>
      <c r="BXZ1" t="s">
        <v>2114</v>
      </c>
      <c r="BYA1" t="s">
        <v>2115</v>
      </c>
      <c r="BYB1" t="s">
        <v>2116</v>
      </c>
      <c r="BYC1" t="s">
        <v>2117</v>
      </c>
      <c r="BYD1" t="s">
        <v>2118</v>
      </c>
      <c r="BYE1" t="s">
        <v>2119</v>
      </c>
      <c r="BYF1" t="s">
        <v>2120</v>
      </c>
      <c r="BYG1" t="s">
        <v>2121</v>
      </c>
      <c r="BYH1" t="s">
        <v>2122</v>
      </c>
      <c r="BYI1" t="s">
        <v>2123</v>
      </c>
      <c r="BYJ1" t="s">
        <v>2124</v>
      </c>
      <c r="BYK1" t="s">
        <v>2125</v>
      </c>
      <c r="BYL1" t="s">
        <v>2126</v>
      </c>
      <c r="BYM1" t="s">
        <v>2127</v>
      </c>
      <c r="BYN1" t="s">
        <v>2128</v>
      </c>
      <c r="BYO1" t="s">
        <v>2129</v>
      </c>
      <c r="BYP1" t="s">
        <v>2130</v>
      </c>
      <c r="BYQ1" t="s">
        <v>2131</v>
      </c>
      <c r="BYR1" t="s">
        <v>2132</v>
      </c>
      <c r="BYS1" t="s">
        <v>2133</v>
      </c>
      <c r="BYT1" t="s">
        <v>2134</v>
      </c>
      <c r="BYU1" t="s">
        <v>2135</v>
      </c>
      <c r="BYV1" t="s">
        <v>2136</v>
      </c>
      <c r="BYW1" t="s">
        <v>2137</v>
      </c>
      <c r="BYX1" t="s">
        <v>2138</v>
      </c>
      <c r="BYY1" t="s">
        <v>2139</v>
      </c>
      <c r="BYZ1" t="s">
        <v>2140</v>
      </c>
      <c r="BZA1" t="s">
        <v>2141</v>
      </c>
      <c r="BZB1" t="s">
        <v>2142</v>
      </c>
      <c r="BZC1" t="s">
        <v>2143</v>
      </c>
      <c r="BZD1" t="s">
        <v>2144</v>
      </c>
      <c r="BZE1" t="s">
        <v>2145</v>
      </c>
      <c r="BZF1" t="s">
        <v>2146</v>
      </c>
      <c r="BZG1" t="s">
        <v>2147</v>
      </c>
      <c r="BZH1" t="s">
        <v>2148</v>
      </c>
      <c r="BZI1" t="s">
        <v>2149</v>
      </c>
      <c r="BZJ1" t="s">
        <v>2150</v>
      </c>
      <c r="BZK1" t="s">
        <v>2151</v>
      </c>
      <c r="BZL1" t="s">
        <v>2152</v>
      </c>
      <c r="BZM1" t="s">
        <v>2153</v>
      </c>
      <c r="BZN1" t="s">
        <v>2154</v>
      </c>
      <c r="BZO1" t="s">
        <v>2155</v>
      </c>
      <c r="BZP1" t="s">
        <v>2156</v>
      </c>
      <c r="BZQ1" t="s">
        <v>2157</v>
      </c>
      <c r="BZR1" t="s">
        <v>2158</v>
      </c>
      <c r="BZS1" t="s">
        <v>2159</v>
      </c>
      <c r="BZT1" t="s">
        <v>2160</v>
      </c>
      <c r="BZU1" t="s">
        <v>2161</v>
      </c>
      <c r="BZV1" t="s">
        <v>2162</v>
      </c>
      <c r="BZW1" t="s">
        <v>2163</v>
      </c>
      <c r="BZX1" t="s">
        <v>2164</v>
      </c>
      <c r="BZY1" t="s">
        <v>2165</v>
      </c>
      <c r="BZZ1" t="s">
        <v>2166</v>
      </c>
      <c r="CAA1" t="s">
        <v>2167</v>
      </c>
      <c r="CAB1" t="s">
        <v>2168</v>
      </c>
      <c r="CAC1" t="s">
        <v>2169</v>
      </c>
      <c r="CAD1" t="s">
        <v>2170</v>
      </c>
      <c r="CAE1" t="s">
        <v>2171</v>
      </c>
      <c r="CAF1" t="s">
        <v>2172</v>
      </c>
      <c r="CAG1" t="s">
        <v>2173</v>
      </c>
      <c r="CAH1" t="s">
        <v>2174</v>
      </c>
      <c r="CAI1" t="s">
        <v>2175</v>
      </c>
      <c r="CAJ1" t="s">
        <v>2176</v>
      </c>
      <c r="CAK1" t="s">
        <v>2177</v>
      </c>
      <c r="CAL1" t="s">
        <v>2178</v>
      </c>
      <c r="CAM1" t="s">
        <v>2179</v>
      </c>
      <c r="CAN1" t="s">
        <v>2180</v>
      </c>
      <c r="CAO1" t="s">
        <v>2181</v>
      </c>
      <c r="CAP1" t="s">
        <v>2182</v>
      </c>
      <c r="CAQ1" t="s">
        <v>2183</v>
      </c>
      <c r="CAR1" t="s">
        <v>2184</v>
      </c>
      <c r="CAS1" t="s">
        <v>2185</v>
      </c>
      <c r="CAT1" t="s">
        <v>2186</v>
      </c>
      <c r="CAU1" t="s">
        <v>2187</v>
      </c>
      <c r="CAV1" t="s">
        <v>2188</v>
      </c>
      <c r="CAW1" t="s">
        <v>2189</v>
      </c>
      <c r="CAX1" t="s">
        <v>2190</v>
      </c>
      <c r="CAY1" t="s">
        <v>2191</v>
      </c>
      <c r="CAZ1" t="s">
        <v>2192</v>
      </c>
      <c r="CBA1" t="s">
        <v>2193</v>
      </c>
      <c r="CBB1" t="s">
        <v>2194</v>
      </c>
      <c r="CBC1" t="s">
        <v>2195</v>
      </c>
      <c r="CBD1" t="s">
        <v>2196</v>
      </c>
      <c r="CBE1" t="s">
        <v>2197</v>
      </c>
      <c r="CBF1" t="s">
        <v>2198</v>
      </c>
      <c r="CBG1" t="s">
        <v>2199</v>
      </c>
      <c r="CBH1" t="s">
        <v>2200</v>
      </c>
      <c r="CBI1" t="s">
        <v>2201</v>
      </c>
      <c r="CBJ1" t="s">
        <v>2202</v>
      </c>
      <c r="CBK1" t="s">
        <v>2203</v>
      </c>
      <c r="CBL1" t="s">
        <v>2204</v>
      </c>
      <c r="CBM1" t="s">
        <v>2205</v>
      </c>
      <c r="CBN1" t="s">
        <v>2206</v>
      </c>
      <c r="CBO1" t="s">
        <v>2207</v>
      </c>
      <c r="CBP1" t="s">
        <v>2208</v>
      </c>
      <c r="CBQ1" t="s">
        <v>2209</v>
      </c>
      <c r="CBR1" t="s">
        <v>2210</v>
      </c>
      <c r="CBS1" t="s">
        <v>2211</v>
      </c>
      <c r="CBT1" t="s">
        <v>2212</v>
      </c>
      <c r="CBU1" t="s">
        <v>2213</v>
      </c>
      <c r="CBV1" t="s">
        <v>2214</v>
      </c>
      <c r="CBW1" t="s">
        <v>2215</v>
      </c>
      <c r="CBX1" t="s">
        <v>2216</v>
      </c>
      <c r="CBY1" t="s">
        <v>2217</v>
      </c>
      <c r="CBZ1" t="s">
        <v>2218</v>
      </c>
      <c r="CCA1" t="s">
        <v>2219</v>
      </c>
      <c r="CCB1" t="s">
        <v>2220</v>
      </c>
      <c r="CCC1" t="s">
        <v>2221</v>
      </c>
      <c r="CCD1" t="s">
        <v>2222</v>
      </c>
      <c r="CCE1" t="s">
        <v>2223</v>
      </c>
      <c r="CCF1" t="s">
        <v>2224</v>
      </c>
      <c r="CCG1" t="s">
        <v>2225</v>
      </c>
      <c r="CCH1" t="s">
        <v>2226</v>
      </c>
      <c r="CCI1" t="s">
        <v>2227</v>
      </c>
      <c r="CCJ1" t="s">
        <v>2228</v>
      </c>
      <c r="CCK1" t="s">
        <v>2229</v>
      </c>
      <c r="CCL1" t="s">
        <v>2230</v>
      </c>
      <c r="CCM1" t="s">
        <v>2231</v>
      </c>
      <c r="CCN1" t="s">
        <v>2232</v>
      </c>
      <c r="CCO1" t="s">
        <v>2233</v>
      </c>
      <c r="CCP1" t="s">
        <v>2234</v>
      </c>
      <c r="CCQ1" t="s">
        <v>2235</v>
      </c>
      <c r="CCR1" t="s">
        <v>2236</v>
      </c>
      <c r="CCS1" t="s">
        <v>2237</v>
      </c>
      <c r="CCT1" t="s">
        <v>2238</v>
      </c>
      <c r="CCU1" t="s">
        <v>2239</v>
      </c>
      <c r="CCV1" t="s">
        <v>2240</v>
      </c>
      <c r="CCW1" t="s">
        <v>2241</v>
      </c>
      <c r="CCX1" t="s">
        <v>2242</v>
      </c>
      <c r="CCY1" t="s">
        <v>2243</v>
      </c>
      <c r="CCZ1" t="s">
        <v>2244</v>
      </c>
      <c r="CDA1" t="s">
        <v>2245</v>
      </c>
      <c r="CDB1" t="s">
        <v>2246</v>
      </c>
      <c r="CDC1" t="s">
        <v>2247</v>
      </c>
      <c r="CDD1" t="s">
        <v>2248</v>
      </c>
      <c r="CDE1" t="s">
        <v>2249</v>
      </c>
      <c r="CDF1" t="s">
        <v>2250</v>
      </c>
      <c r="CDG1" t="s">
        <v>2251</v>
      </c>
      <c r="CDH1" t="s">
        <v>2252</v>
      </c>
      <c r="CDI1" t="s">
        <v>2253</v>
      </c>
      <c r="CDJ1" t="s">
        <v>2254</v>
      </c>
      <c r="CDK1" t="s">
        <v>2255</v>
      </c>
      <c r="CDL1" t="s">
        <v>2256</v>
      </c>
      <c r="CDM1" t="s">
        <v>2257</v>
      </c>
      <c r="CDN1" t="s">
        <v>2258</v>
      </c>
      <c r="CDO1" t="s">
        <v>2259</v>
      </c>
      <c r="CDP1" t="s">
        <v>2260</v>
      </c>
      <c r="CDQ1" t="s">
        <v>2261</v>
      </c>
      <c r="CDR1" t="s">
        <v>2262</v>
      </c>
      <c r="CDS1" t="s">
        <v>2263</v>
      </c>
      <c r="CDT1" t="s">
        <v>2264</v>
      </c>
      <c r="CDU1" t="s">
        <v>2265</v>
      </c>
      <c r="CDV1" t="s">
        <v>2266</v>
      </c>
      <c r="CDW1" t="s">
        <v>2267</v>
      </c>
      <c r="CDX1" t="s">
        <v>2268</v>
      </c>
      <c r="CDY1" t="s">
        <v>2269</v>
      </c>
      <c r="CDZ1" t="s">
        <v>2270</v>
      </c>
      <c r="CEA1" t="s">
        <v>2271</v>
      </c>
      <c r="CEB1" t="s">
        <v>2272</v>
      </c>
      <c r="CEC1" t="s">
        <v>2273</v>
      </c>
      <c r="CED1" t="s">
        <v>2274</v>
      </c>
      <c r="CEE1" t="s">
        <v>2275</v>
      </c>
      <c r="CEF1" t="s">
        <v>2276</v>
      </c>
      <c r="CEG1" t="s">
        <v>2277</v>
      </c>
      <c r="CEH1" t="s">
        <v>2278</v>
      </c>
      <c r="CEI1" t="s">
        <v>2279</v>
      </c>
      <c r="CEJ1" t="s">
        <v>2280</v>
      </c>
      <c r="CEK1" t="s">
        <v>2281</v>
      </c>
      <c r="CEL1" t="s">
        <v>2282</v>
      </c>
      <c r="CEM1" t="s">
        <v>2283</v>
      </c>
      <c r="CEN1" t="s">
        <v>2284</v>
      </c>
      <c r="CEO1" t="s">
        <v>2285</v>
      </c>
      <c r="CEP1" t="s">
        <v>2286</v>
      </c>
      <c r="CEQ1" t="s">
        <v>2287</v>
      </c>
      <c r="CER1" t="s">
        <v>2288</v>
      </c>
      <c r="CES1" t="s">
        <v>2289</v>
      </c>
      <c r="CET1" t="s">
        <v>2290</v>
      </c>
      <c r="CEU1" t="s">
        <v>2291</v>
      </c>
      <c r="CEV1" t="s">
        <v>2292</v>
      </c>
      <c r="CEW1" t="s">
        <v>2293</v>
      </c>
      <c r="CEX1" t="s">
        <v>2294</v>
      </c>
      <c r="CEY1" t="s">
        <v>2295</v>
      </c>
      <c r="CEZ1" t="s">
        <v>2296</v>
      </c>
      <c r="CFA1" t="s">
        <v>2297</v>
      </c>
      <c r="CFB1" t="s">
        <v>2298</v>
      </c>
      <c r="CFC1" t="s">
        <v>2299</v>
      </c>
      <c r="CFD1" t="s">
        <v>2300</v>
      </c>
      <c r="CFE1" t="s">
        <v>2301</v>
      </c>
      <c r="CFF1" t="s">
        <v>2302</v>
      </c>
      <c r="CFG1" t="s">
        <v>2303</v>
      </c>
      <c r="CFH1" t="s">
        <v>2304</v>
      </c>
      <c r="CFI1" t="s">
        <v>2305</v>
      </c>
      <c r="CFJ1" t="s">
        <v>2306</v>
      </c>
      <c r="CFK1" t="s">
        <v>2307</v>
      </c>
      <c r="CFL1" t="s">
        <v>2308</v>
      </c>
      <c r="CFM1" t="s">
        <v>2309</v>
      </c>
      <c r="CFN1" t="s">
        <v>2310</v>
      </c>
      <c r="CFO1" t="s">
        <v>2311</v>
      </c>
      <c r="CFP1" t="s">
        <v>2312</v>
      </c>
      <c r="CFQ1" t="s">
        <v>2313</v>
      </c>
      <c r="CFR1" t="s">
        <v>2314</v>
      </c>
      <c r="CFS1" t="s">
        <v>2315</v>
      </c>
      <c r="CFT1" t="s">
        <v>2316</v>
      </c>
      <c r="CFU1" t="s">
        <v>2317</v>
      </c>
      <c r="CFV1" t="s">
        <v>2318</v>
      </c>
      <c r="CFW1" t="s">
        <v>2319</v>
      </c>
      <c r="CFX1" t="s">
        <v>2320</v>
      </c>
      <c r="CFY1" t="s">
        <v>2321</v>
      </c>
      <c r="CFZ1" t="s">
        <v>2322</v>
      </c>
      <c r="CGA1" t="s">
        <v>2323</v>
      </c>
      <c r="CGB1" t="s">
        <v>2324</v>
      </c>
      <c r="CGC1" t="s">
        <v>2325</v>
      </c>
      <c r="CGD1" t="s">
        <v>2326</v>
      </c>
      <c r="CGE1" t="s">
        <v>2327</v>
      </c>
      <c r="CGF1" t="s">
        <v>2328</v>
      </c>
      <c r="CGG1" t="s">
        <v>2329</v>
      </c>
      <c r="CGH1" t="s">
        <v>2330</v>
      </c>
      <c r="CGI1" t="s">
        <v>2331</v>
      </c>
      <c r="CGJ1" t="s">
        <v>2332</v>
      </c>
      <c r="CGK1" t="s">
        <v>2333</v>
      </c>
      <c r="CGL1" t="s">
        <v>2334</v>
      </c>
      <c r="CGM1" t="s">
        <v>2335</v>
      </c>
      <c r="CGN1" t="s">
        <v>2336</v>
      </c>
      <c r="CGO1" t="s">
        <v>2337</v>
      </c>
      <c r="CGP1" t="s">
        <v>2338</v>
      </c>
      <c r="CGQ1" t="s">
        <v>2339</v>
      </c>
      <c r="CGR1" t="s">
        <v>2340</v>
      </c>
      <c r="CGS1" t="s">
        <v>2341</v>
      </c>
      <c r="CGT1" t="s">
        <v>2342</v>
      </c>
      <c r="CGU1" t="s">
        <v>2343</v>
      </c>
      <c r="CGV1" t="s">
        <v>2344</v>
      </c>
      <c r="CGW1" t="s">
        <v>2345</v>
      </c>
      <c r="CGX1" t="s">
        <v>2346</v>
      </c>
      <c r="CGY1" t="s">
        <v>2347</v>
      </c>
      <c r="CGZ1" t="s">
        <v>2348</v>
      </c>
      <c r="CHA1" t="s">
        <v>2349</v>
      </c>
      <c r="CHB1" t="s">
        <v>2350</v>
      </c>
      <c r="CHC1" t="s">
        <v>2351</v>
      </c>
      <c r="CHD1" t="s">
        <v>2352</v>
      </c>
      <c r="CHE1" t="s">
        <v>2353</v>
      </c>
      <c r="CHF1" t="s">
        <v>2354</v>
      </c>
      <c r="CHG1" t="s">
        <v>2355</v>
      </c>
      <c r="CHH1" t="s">
        <v>2356</v>
      </c>
      <c r="CHI1" t="s">
        <v>2357</v>
      </c>
      <c r="CHJ1" t="s">
        <v>2358</v>
      </c>
      <c r="CHK1" t="s">
        <v>2359</v>
      </c>
      <c r="CHL1" t="s">
        <v>2360</v>
      </c>
      <c r="CHM1" t="s">
        <v>2361</v>
      </c>
      <c r="CHN1" t="s">
        <v>2362</v>
      </c>
      <c r="CHO1" t="s">
        <v>2363</v>
      </c>
      <c r="CHP1" t="s">
        <v>2364</v>
      </c>
      <c r="CHQ1" t="s">
        <v>2365</v>
      </c>
      <c r="CHR1" t="s">
        <v>2366</v>
      </c>
      <c r="CHS1" t="s">
        <v>2367</v>
      </c>
      <c r="CHT1" t="s">
        <v>2368</v>
      </c>
      <c r="CHU1" t="s">
        <v>2369</v>
      </c>
      <c r="CHV1" t="s">
        <v>2370</v>
      </c>
      <c r="CHW1" t="s">
        <v>2371</v>
      </c>
      <c r="CHX1" t="s">
        <v>2372</v>
      </c>
      <c r="CHY1" t="s">
        <v>2373</v>
      </c>
      <c r="CHZ1" t="s">
        <v>2374</v>
      </c>
      <c r="CIA1" t="s">
        <v>2375</v>
      </c>
      <c r="CIB1" t="s">
        <v>2376</v>
      </c>
      <c r="CIC1" t="s">
        <v>2377</v>
      </c>
      <c r="CID1" t="s">
        <v>2378</v>
      </c>
      <c r="CIE1" t="s">
        <v>2379</v>
      </c>
      <c r="CIF1" t="s">
        <v>2380</v>
      </c>
      <c r="CIG1" t="s">
        <v>2381</v>
      </c>
      <c r="CIH1" t="s">
        <v>2382</v>
      </c>
      <c r="CII1" t="s">
        <v>2383</v>
      </c>
      <c r="CIJ1" t="s">
        <v>2384</v>
      </c>
      <c r="CIK1" t="s">
        <v>2385</v>
      </c>
      <c r="CIL1" t="s">
        <v>2386</v>
      </c>
      <c r="CIM1" t="s">
        <v>2387</v>
      </c>
      <c r="CIN1" t="s">
        <v>2388</v>
      </c>
      <c r="CIO1" t="s">
        <v>2389</v>
      </c>
      <c r="CIP1" t="s">
        <v>2390</v>
      </c>
      <c r="CIQ1" t="s">
        <v>2391</v>
      </c>
      <c r="CIR1" t="s">
        <v>2392</v>
      </c>
      <c r="CIS1" t="s">
        <v>2393</v>
      </c>
      <c r="CIT1" t="s">
        <v>2394</v>
      </c>
      <c r="CIU1" t="s">
        <v>2395</v>
      </c>
      <c r="CIV1" t="s">
        <v>2396</v>
      </c>
      <c r="CIW1" t="s">
        <v>2397</v>
      </c>
      <c r="CIX1" t="s">
        <v>2398</v>
      </c>
      <c r="CIY1" t="s">
        <v>2399</v>
      </c>
      <c r="CIZ1" t="s">
        <v>2400</v>
      </c>
      <c r="CJA1" t="s">
        <v>2401</v>
      </c>
      <c r="CJB1" t="s">
        <v>2402</v>
      </c>
      <c r="CJC1" t="s">
        <v>2403</v>
      </c>
      <c r="CJD1" t="s">
        <v>2404</v>
      </c>
      <c r="CJE1" t="s">
        <v>2405</v>
      </c>
      <c r="CJF1" t="s">
        <v>2406</v>
      </c>
      <c r="CJG1" t="s">
        <v>2407</v>
      </c>
      <c r="CJH1" t="s">
        <v>2408</v>
      </c>
      <c r="CJI1" t="s">
        <v>2409</v>
      </c>
      <c r="CJJ1" t="s">
        <v>2410</v>
      </c>
      <c r="CJK1" t="s">
        <v>2411</v>
      </c>
      <c r="CJL1" t="s">
        <v>2412</v>
      </c>
      <c r="CJM1" t="s">
        <v>2413</v>
      </c>
      <c r="CJN1" t="s">
        <v>2414</v>
      </c>
      <c r="CJO1" t="s">
        <v>2415</v>
      </c>
      <c r="CJP1" t="s">
        <v>2416</v>
      </c>
      <c r="CJQ1" t="s">
        <v>2417</v>
      </c>
      <c r="CJR1" t="s">
        <v>2418</v>
      </c>
      <c r="CJS1" t="s">
        <v>2419</v>
      </c>
      <c r="CJT1" t="s">
        <v>2420</v>
      </c>
      <c r="CJU1" t="s">
        <v>2421</v>
      </c>
      <c r="CJV1" t="s">
        <v>2422</v>
      </c>
      <c r="CJW1" t="s">
        <v>2423</v>
      </c>
      <c r="CJX1" t="s">
        <v>2424</v>
      </c>
      <c r="CJY1" t="s">
        <v>2425</v>
      </c>
      <c r="CJZ1" t="s">
        <v>2426</v>
      </c>
      <c r="CKA1" t="s">
        <v>2427</v>
      </c>
      <c r="CKB1" t="s">
        <v>2428</v>
      </c>
      <c r="CKC1" t="s">
        <v>2429</v>
      </c>
      <c r="CKD1" t="s">
        <v>2430</v>
      </c>
      <c r="CKE1" t="s">
        <v>2431</v>
      </c>
      <c r="CKF1" t="s">
        <v>2432</v>
      </c>
      <c r="CKG1" t="s">
        <v>2433</v>
      </c>
      <c r="CKH1" t="s">
        <v>2434</v>
      </c>
      <c r="CKI1" t="s">
        <v>2435</v>
      </c>
      <c r="CKJ1" t="s">
        <v>2436</v>
      </c>
      <c r="CKK1" t="s">
        <v>2437</v>
      </c>
      <c r="CKL1" t="s">
        <v>2438</v>
      </c>
      <c r="CKM1" t="s">
        <v>2439</v>
      </c>
      <c r="CKN1" t="s">
        <v>2440</v>
      </c>
      <c r="CKO1" t="s">
        <v>2441</v>
      </c>
      <c r="CKP1" t="s">
        <v>2442</v>
      </c>
      <c r="CKQ1" t="s">
        <v>2443</v>
      </c>
      <c r="CKR1" t="s">
        <v>2444</v>
      </c>
      <c r="CKS1" t="s">
        <v>2445</v>
      </c>
      <c r="CKT1" t="s">
        <v>2446</v>
      </c>
      <c r="CKU1" t="s">
        <v>2447</v>
      </c>
      <c r="CKV1" t="s">
        <v>2448</v>
      </c>
      <c r="CKW1" t="s">
        <v>2449</v>
      </c>
      <c r="CKX1" t="s">
        <v>2450</v>
      </c>
      <c r="CKY1" t="s">
        <v>2451</v>
      </c>
      <c r="CKZ1" t="s">
        <v>2452</v>
      </c>
      <c r="CLA1" t="s">
        <v>2453</v>
      </c>
      <c r="CLB1" t="s">
        <v>2454</v>
      </c>
      <c r="CLC1" t="s">
        <v>2455</v>
      </c>
      <c r="CLD1" t="s">
        <v>2456</v>
      </c>
      <c r="CLE1" t="s">
        <v>2457</v>
      </c>
      <c r="CLF1" t="s">
        <v>2458</v>
      </c>
      <c r="CLG1" t="s">
        <v>2459</v>
      </c>
      <c r="CLH1" t="s">
        <v>2460</v>
      </c>
      <c r="CLI1" t="s">
        <v>2461</v>
      </c>
      <c r="CLJ1" t="s">
        <v>2462</v>
      </c>
      <c r="CLK1" t="s">
        <v>2463</v>
      </c>
      <c r="CLL1" t="s">
        <v>2464</v>
      </c>
      <c r="CLM1" t="s">
        <v>2465</v>
      </c>
      <c r="CLN1" t="s">
        <v>2466</v>
      </c>
      <c r="CLO1" t="s">
        <v>2467</v>
      </c>
      <c r="CLP1" t="s">
        <v>2468</v>
      </c>
      <c r="CLQ1" t="s">
        <v>2469</v>
      </c>
      <c r="CLR1" t="s">
        <v>2470</v>
      </c>
      <c r="CLS1" t="s">
        <v>2471</v>
      </c>
      <c r="CLT1" t="s">
        <v>2472</v>
      </c>
      <c r="CLU1" t="s">
        <v>2473</v>
      </c>
      <c r="CLV1" t="s">
        <v>2474</v>
      </c>
      <c r="CLW1" t="s">
        <v>2475</v>
      </c>
      <c r="CLX1" t="s">
        <v>2476</v>
      </c>
      <c r="CLY1" t="s">
        <v>2477</v>
      </c>
      <c r="CLZ1" t="s">
        <v>2478</v>
      </c>
      <c r="CMA1" t="s">
        <v>2479</v>
      </c>
      <c r="CMB1" t="s">
        <v>2480</v>
      </c>
      <c r="CMC1" t="s">
        <v>2481</v>
      </c>
      <c r="CMD1" t="s">
        <v>2482</v>
      </c>
      <c r="CME1" t="s">
        <v>2483</v>
      </c>
      <c r="CMF1" t="s">
        <v>2484</v>
      </c>
      <c r="CMG1" t="s">
        <v>2485</v>
      </c>
      <c r="CMH1" t="s">
        <v>2486</v>
      </c>
      <c r="CMI1" t="s">
        <v>2487</v>
      </c>
      <c r="CMJ1" t="s">
        <v>2488</v>
      </c>
      <c r="CMK1" t="s">
        <v>2489</v>
      </c>
      <c r="CML1" t="s">
        <v>2490</v>
      </c>
      <c r="CMM1" t="s">
        <v>2491</v>
      </c>
      <c r="CMN1" t="s">
        <v>2492</v>
      </c>
      <c r="CMO1" t="s">
        <v>2493</v>
      </c>
      <c r="CMP1" t="s">
        <v>2494</v>
      </c>
      <c r="CMQ1" t="s">
        <v>2495</v>
      </c>
      <c r="CMR1" t="s">
        <v>2496</v>
      </c>
      <c r="CMS1" t="s">
        <v>2497</v>
      </c>
      <c r="CMT1" t="s">
        <v>2498</v>
      </c>
      <c r="CMU1" t="s">
        <v>2499</v>
      </c>
      <c r="CMV1" t="s">
        <v>2500</v>
      </c>
      <c r="CMW1" t="s">
        <v>2501</v>
      </c>
      <c r="CMX1" t="s">
        <v>2502</v>
      </c>
      <c r="CMY1" t="s">
        <v>2503</v>
      </c>
      <c r="CMZ1" t="s">
        <v>2504</v>
      </c>
      <c r="CNA1" t="s">
        <v>2505</v>
      </c>
      <c r="CNB1" t="s">
        <v>2506</v>
      </c>
      <c r="CNC1" t="s">
        <v>2507</v>
      </c>
      <c r="CND1" t="s">
        <v>2508</v>
      </c>
      <c r="CNE1" t="s">
        <v>2509</v>
      </c>
      <c r="CNF1" t="s">
        <v>2510</v>
      </c>
      <c r="CNG1" t="s">
        <v>2511</v>
      </c>
      <c r="CNH1" t="s">
        <v>2512</v>
      </c>
      <c r="CNI1" t="s">
        <v>2513</v>
      </c>
      <c r="CNJ1" t="s">
        <v>2514</v>
      </c>
      <c r="CNK1" t="s">
        <v>2515</v>
      </c>
      <c r="CNL1" t="s">
        <v>2516</v>
      </c>
      <c r="CNM1" t="s">
        <v>2517</v>
      </c>
      <c r="CNN1" t="s">
        <v>2518</v>
      </c>
      <c r="CNO1" t="s">
        <v>2519</v>
      </c>
      <c r="CNP1" t="s">
        <v>2520</v>
      </c>
      <c r="CNQ1" t="s">
        <v>2521</v>
      </c>
      <c r="CNR1" t="s">
        <v>2522</v>
      </c>
      <c r="CNS1" t="s">
        <v>2523</v>
      </c>
      <c r="CNT1" t="s">
        <v>2524</v>
      </c>
      <c r="CNU1" t="s">
        <v>2525</v>
      </c>
      <c r="CNV1" t="s">
        <v>2526</v>
      </c>
      <c r="CNW1" t="s">
        <v>2527</v>
      </c>
      <c r="CNX1" t="s">
        <v>2528</v>
      </c>
      <c r="CNY1" t="s">
        <v>2529</v>
      </c>
      <c r="CNZ1" t="s">
        <v>2530</v>
      </c>
      <c r="COA1" t="s">
        <v>2531</v>
      </c>
      <c r="COB1" t="s">
        <v>2532</v>
      </c>
      <c r="COC1" t="s">
        <v>2533</v>
      </c>
      <c r="COD1" t="s">
        <v>2534</v>
      </c>
      <c r="COE1" t="s">
        <v>2535</v>
      </c>
      <c r="COF1" t="s">
        <v>2536</v>
      </c>
      <c r="COG1" t="s">
        <v>2537</v>
      </c>
      <c r="COH1" t="s">
        <v>2538</v>
      </c>
      <c r="COI1" t="s">
        <v>2539</v>
      </c>
      <c r="COJ1" t="s">
        <v>2540</v>
      </c>
      <c r="COK1" t="s">
        <v>2541</v>
      </c>
      <c r="COL1" t="s">
        <v>2542</v>
      </c>
      <c r="COM1" t="s">
        <v>2543</v>
      </c>
      <c r="CON1" t="s">
        <v>2544</v>
      </c>
      <c r="COO1" t="s">
        <v>2545</v>
      </c>
      <c r="COP1" t="s">
        <v>2546</v>
      </c>
      <c r="COQ1" t="s">
        <v>2547</v>
      </c>
      <c r="COR1" t="s">
        <v>2548</v>
      </c>
      <c r="COS1" t="s">
        <v>2549</v>
      </c>
      <c r="COT1" t="s">
        <v>2550</v>
      </c>
      <c r="COU1" t="s">
        <v>2551</v>
      </c>
      <c r="COV1" t="s">
        <v>2552</v>
      </c>
      <c r="COW1" t="s">
        <v>2553</v>
      </c>
      <c r="COX1" t="s">
        <v>2554</v>
      </c>
      <c r="COY1" t="s">
        <v>2555</v>
      </c>
      <c r="COZ1" t="s">
        <v>2556</v>
      </c>
      <c r="CPA1" t="s">
        <v>2557</v>
      </c>
      <c r="CPB1" t="s">
        <v>2558</v>
      </c>
      <c r="CPC1" t="s">
        <v>2559</v>
      </c>
      <c r="CPD1" t="s">
        <v>2560</v>
      </c>
      <c r="CPE1" t="s">
        <v>2561</v>
      </c>
      <c r="CPF1" t="s">
        <v>2562</v>
      </c>
      <c r="CPG1" t="s">
        <v>2563</v>
      </c>
      <c r="CPH1" t="s">
        <v>2564</v>
      </c>
      <c r="CPI1" t="s">
        <v>2565</v>
      </c>
      <c r="CPJ1" t="s">
        <v>2566</v>
      </c>
      <c r="CPK1" t="s">
        <v>2567</v>
      </c>
      <c r="CPL1" t="s">
        <v>2568</v>
      </c>
      <c r="CPM1" t="s">
        <v>2569</v>
      </c>
      <c r="CPN1" t="s">
        <v>2570</v>
      </c>
      <c r="CPO1" t="s">
        <v>2571</v>
      </c>
      <c r="CPP1" t="s">
        <v>2572</v>
      </c>
      <c r="CPQ1" t="s">
        <v>2573</v>
      </c>
      <c r="CPR1" t="s">
        <v>2574</v>
      </c>
      <c r="CPS1" t="s">
        <v>2575</v>
      </c>
      <c r="CPT1" t="s">
        <v>2576</v>
      </c>
      <c r="CPU1" t="s">
        <v>2577</v>
      </c>
      <c r="CPV1" t="s">
        <v>2578</v>
      </c>
      <c r="CPW1" t="s">
        <v>2579</v>
      </c>
      <c r="CPX1" t="s">
        <v>2580</v>
      </c>
      <c r="CPY1" t="s">
        <v>2581</v>
      </c>
      <c r="CPZ1" t="s">
        <v>2582</v>
      </c>
      <c r="CQA1" t="s">
        <v>2583</v>
      </c>
      <c r="CQB1" t="s">
        <v>2584</v>
      </c>
      <c r="CQC1" t="s">
        <v>2585</v>
      </c>
      <c r="CQD1" t="s">
        <v>2586</v>
      </c>
      <c r="CQE1" t="s">
        <v>2587</v>
      </c>
      <c r="CQF1" t="s">
        <v>2588</v>
      </c>
      <c r="CQG1" t="s">
        <v>2589</v>
      </c>
      <c r="CQH1" t="s">
        <v>2590</v>
      </c>
      <c r="CQI1" t="s">
        <v>2591</v>
      </c>
      <c r="CQJ1" t="s">
        <v>2592</v>
      </c>
      <c r="CQK1" t="s">
        <v>2593</v>
      </c>
      <c r="CQL1" t="s">
        <v>2594</v>
      </c>
      <c r="CQM1" t="s">
        <v>2595</v>
      </c>
      <c r="CQN1" t="s">
        <v>2596</v>
      </c>
      <c r="CQO1" t="s">
        <v>2597</v>
      </c>
      <c r="CQP1" t="s">
        <v>2598</v>
      </c>
      <c r="CQQ1" t="s">
        <v>2599</v>
      </c>
      <c r="CQR1" t="s">
        <v>2600</v>
      </c>
      <c r="CQS1" t="s">
        <v>2601</v>
      </c>
      <c r="CQT1" t="s">
        <v>2602</v>
      </c>
      <c r="CQU1" t="s">
        <v>2603</v>
      </c>
      <c r="CQV1" t="s">
        <v>2604</v>
      </c>
      <c r="CQW1" t="s">
        <v>2605</v>
      </c>
      <c r="CQX1" t="s">
        <v>2606</v>
      </c>
      <c r="CQY1" t="s">
        <v>2607</v>
      </c>
      <c r="CQZ1" t="s">
        <v>2608</v>
      </c>
      <c r="CRA1" t="s">
        <v>2609</v>
      </c>
      <c r="CRB1" t="s">
        <v>2610</v>
      </c>
      <c r="CRC1" t="s">
        <v>2611</v>
      </c>
      <c r="CRD1" t="s">
        <v>2612</v>
      </c>
      <c r="CRE1" t="s">
        <v>2613</v>
      </c>
      <c r="CRF1" t="s">
        <v>2614</v>
      </c>
      <c r="CRG1" t="s">
        <v>2615</v>
      </c>
      <c r="CRH1" t="s">
        <v>2616</v>
      </c>
      <c r="CRI1" t="s">
        <v>2617</v>
      </c>
      <c r="CRJ1" t="s">
        <v>2618</v>
      </c>
      <c r="CRK1" t="s">
        <v>2619</v>
      </c>
      <c r="CRL1" t="s">
        <v>2620</v>
      </c>
      <c r="CRM1" t="s">
        <v>2621</v>
      </c>
      <c r="CRN1" t="s">
        <v>2622</v>
      </c>
      <c r="CRO1" t="s">
        <v>2623</v>
      </c>
      <c r="CRP1" t="s">
        <v>2624</v>
      </c>
      <c r="CRQ1" t="s">
        <v>2625</v>
      </c>
      <c r="CRR1" t="s">
        <v>2626</v>
      </c>
      <c r="CRS1" t="s">
        <v>2627</v>
      </c>
      <c r="CRT1" t="s">
        <v>2628</v>
      </c>
      <c r="CRU1" t="s">
        <v>2629</v>
      </c>
      <c r="CRV1" t="s">
        <v>2630</v>
      </c>
      <c r="CRW1" t="s">
        <v>2631</v>
      </c>
      <c r="CRX1" t="s">
        <v>2632</v>
      </c>
      <c r="CRY1" t="s">
        <v>2633</v>
      </c>
      <c r="CRZ1" t="s">
        <v>2634</v>
      </c>
      <c r="CSA1" t="s">
        <v>2635</v>
      </c>
      <c r="CSB1" t="s">
        <v>2636</v>
      </c>
      <c r="CSC1" t="s">
        <v>2637</v>
      </c>
      <c r="CSD1" t="s">
        <v>2638</v>
      </c>
      <c r="CSE1" t="s">
        <v>2639</v>
      </c>
      <c r="CSF1" t="s">
        <v>2640</v>
      </c>
      <c r="CSG1" t="s">
        <v>2641</v>
      </c>
      <c r="CSH1" t="s">
        <v>2642</v>
      </c>
      <c r="CSI1" t="s">
        <v>2643</v>
      </c>
      <c r="CSJ1" t="s">
        <v>2644</v>
      </c>
      <c r="CSK1" t="s">
        <v>2645</v>
      </c>
      <c r="CSL1" t="s">
        <v>2646</v>
      </c>
      <c r="CSM1" t="s">
        <v>2647</v>
      </c>
      <c r="CSN1" t="s">
        <v>2648</v>
      </c>
      <c r="CSO1" t="s">
        <v>2649</v>
      </c>
      <c r="CSP1" t="s">
        <v>2650</v>
      </c>
      <c r="CSQ1" t="s">
        <v>2651</v>
      </c>
      <c r="CSR1" t="s">
        <v>2652</v>
      </c>
      <c r="CSS1" t="s">
        <v>2653</v>
      </c>
      <c r="CST1" t="s">
        <v>2654</v>
      </c>
      <c r="CSU1" t="s">
        <v>2655</v>
      </c>
      <c r="CSV1" t="s">
        <v>2656</v>
      </c>
      <c r="CSW1" t="s">
        <v>2657</v>
      </c>
      <c r="CSX1" t="s">
        <v>2658</v>
      </c>
      <c r="CSY1" t="s">
        <v>2659</v>
      </c>
      <c r="CSZ1" t="s">
        <v>2660</v>
      </c>
      <c r="CTA1" t="s">
        <v>2661</v>
      </c>
      <c r="CTB1" t="s">
        <v>2662</v>
      </c>
      <c r="CTC1" t="s">
        <v>2663</v>
      </c>
      <c r="CTD1" t="s">
        <v>2664</v>
      </c>
      <c r="CTE1" t="s">
        <v>2665</v>
      </c>
      <c r="CTF1" t="s">
        <v>2666</v>
      </c>
      <c r="CTG1" t="s">
        <v>2667</v>
      </c>
      <c r="CTH1" t="s">
        <v>2668</v>
      </c>
      <c r="CTI1" t="s">
        <v>2669</v>
      </c>
      <c r="CTJ1" t="s">
        <v>2670</v>
      </c>
      <c r="CTK1" t="s">
        <v>2671</v>
      </c>
      <c r="CTL1" t="s">
        <v>2672</v>
      </c>
      <c r="CTM1" t="s">
        <v>2673</v>
      </c>
      <c r="CTN1" t="s">
        <v>2674</v>
      </c>
      <c r="CTO1" t="s">
        <v>2675</v>
      </c>
      <c r="CTP1" t="s">
        <v>2676</v>
      </c>
      <c r="CTQ1" t="s">
        <v>2677</v>
      </c>
      <c r="CTR1" t="s">
        <v>2678</v>
      </c>
      <c r="CTS1" t="s">
        <v>2679</v>
      </c>
      <c r="CTT1" t="s">
        <v>2680</v>
      </c>
      <c r="CTU1" t="s">
        <v>2681</v>
      </c>
      <c r="CTV1" t="s">
        <v>2682</v>
      </c>
      <c r="CTW1" t="s">
        <v>2683</v>
      </c>
      <c r="CTX1" t="s">
        <v>2684</v>
      </c>
      <c r="CTY1" t="s">
        <v>2685</v>
      </c>
      <c r="CTZ1" t="s">
        <v>2686</v>
      </c>
      <c r="CUA1" t="s">
        <v>2687</v>
      </c>
      <c r="CUB1" t="s">
        <v>2688</v>
      </c>
      <c r="CUC1" t="s">
        <v>2689</v>
      </c>
      <c r="CUD1" t="s">
        <v>2690</v>
      </c>
      <c r="CUE1" t="s">
        <v>2691</v>
      </c>
      <c r="CUF1" t="s">
        <v>2692</v>
      </c>
      <c r="CUG1" t="s">
        <v>2693</v>
      </c>
      <c r="CUH1" t="s">
        <v>2694</v>
      </c>
      <c r="CUI1" t="s">
        <v>2695</v>
      </c>
      <c r="CUJ1" t="s">
        <v>2696</v>
      </c>
      <c r="CUK1" t="s">
        <v>2697</v>
      </c>
      <c r="CUL1" t="s">
        <v>2698</v>
      </c>
      <c r="CUM1" t="s">
        <v>2699</v>
      </c>
      <c r="CUN1" t="s">
        <v>2700</v>
      </c>
      <c r="CUO1" t="s">
        <v>2701</v>
      </c>
      <c r="CUP1" t="s">
        <v>2702</v>
      </c>
      <c r="CUQ1" t="s">
        <v>2703</v>
      </c>
      <c r="CUR1" t="s">
        <v>2704</v>
      </c>
      <c r="CUS1" t="s">
        <v>2705</v>
      </c>
      <c r="CUT1" t="s">
        <v>2706</v>
      </c>
      <c r="CUU1" t="s">
        <v>2707</v>
      </c>
      <c r="CUV1" t="s">
        <v>2708</v>
      </c>
      <c r="CUW1" t="s">
        <v>2709</v>
      </c>
      <c r="CUX1" t="s">
        <v>2710</v>
      </c>
      <c r="CUY1" t="s">
        <v>2711</v>
      </c>
      <c r="CUZ1" t="s">
        <v>2712</v>
      </c>
      <c r="CVA1" t="s">
        <v>2713</v>
      </c>
      <c r="CVB1" t="s">
        <v>2714</v>
      </c>
      <c r="CVC1" t="s">
        <v>2715</v>
      </c>
      <c r="CVD1" t="s">
        <v>2716</v>
      </c>
      <c r="CVE1" t="s">
        <v>2717</v>
      </c>
      <c r="CVF1" t="s">
        <v>2718</v>
      </c>
      <c r="CVG1" t="s">
        <v>2719</v>
      </c>
      <c r="CVH1" t="s">
        <v>2720</v>
      </c>
      <c r="CVI1" t="s">
        <v>2721</v>
      </c>
      <c r="CVJ1" t="s">
        <v>2722</v>
      </c>
      <c r="CVK1" t="s">
        <v>2723</v>
      </c>
      <c r="CVL1" t="s">
        <v>2724</v>
      </c>
      <c r="CVM1" t="s">
        <v>2725</v>
      </c>
      <c r="CVN1" t="s">
        <v>2726</v>
      </c>
      <c r="CVO1" t="s">
        <v>2727</v>
      </c>
      <c r="CVP1" t="s">
        <v>2728</v>
      </c>
      <c r="CVQ1" t="s">
        <v>2729</v>
      </c>
      <c r="CVR1" t="s">
        <v>2730</v>
      </c>
      <c r="CVS1" t="s">
        <v>2731</v>
      </c>
      <c r="CVT1" t="s">
        <v>2732</v>
      </c>
      <c r="CVU1" t="s">
        <v>2733</v>
      </c>
      <c r="CVV1" t="s">
        <v>2734</v>
      </c>
      <c r="CVW1" t="s">
        <v>2735</v>
      </c>
      <c r="CVX1" t="s">
        <v>2736</v>
      </c>
      <c r="CVY1" t="s">
        <v>2737</v>
      </c>
      <c r="CVZ1" t="s">
        <v>2738</v>
      </c>
      <c r="CWA1" t="s">
        <v>2739</v>
      </c>
      <c r="CWB1" t="s">
        <v>2740</v>
      </c>
      <c r="CWC1" t="s">
        <v>2741</v>
      </c>
      <c r="CWD1" t="s">
        <v>2742</v>
      </c>
      <c r="CWE1" t="s">
        <v>2743</v>
      </c>
      <c r="CWF1" t="s">
        <v>2744</v>
      </c>
      <c r="CWG1" t="s">
        <v>2745</v>
      </c>
      <c r="CWH1" t="s">
        <v>2746</v>
      </c>
      <c r="CWI1" t="s">
        <v>2747</v>
      </c>
      <c r="CWJ1" t="s">
        <v>2748</v>
      </c>
      <c r="CWK1" t="s">
        <v>2749</v>
      </c>
      <c r="CWL1" t="s">
        <v>2750</v>
      </c>
      <c r="CWM1" t="s">
        <v>2751</v>
      </c>
      <c r="CWN1" t="s">
        <v>2752</v>
      </c>
      <c r="CWO1" t="s">
        <v>2753</v>
      </c>
      <c r="CWP1" t="s">
        <v>2754</v>
      </c>
      <c r="CWQ1" t="s">
        <v>2755</v>
      </c>
      <c r="CWR1" t="s">
        <v>2756</v>
      </c>
      <c r="CWS1" t="s">
        <v>2757</v>
      </c>
      <c r="CWT1" t="s">
        <v>2758</v>
      </c>
      <c r="CWU1" t="s">
        <v>2759</v>
      </c>
      <c r="CWV1" t="s">
        <v>2760</v>
      </c>
      <c r="CWW1" t="s">
        <v>2761</v>
      </c>
      <c r="CWX1" t="s">
        <v>2762</v>
      </c>
      <c r="CWY1" t="s">
        <v>2763</v>
      </c>
      <c r="CWZ1" t="s">
        <v>2764</v>
      </c>
      <c r="CXA1" t="s">
        <v>2765</v>
      </c>
      <c r="CXB1" t="s">
        <v>2766</v>
      </c>
      <c r="CXC1" t="s">
        <v>2767</v>
      </c>
      <c r="CXD1" t="s">
        <v>2768</v>
      </c>
      <c r="CXE1" t="s">
        <v>2769</v>
      </c>
      <c r="CXF1" t="s">
        <v>2770</v>
      </c>
      <c r="CXG1" t="s">
        <v>2771</v>
      </c>
      <c r="CXH1" t="s">
        <v>2772</v>
      </c>
      <c r="CXI1" t="s">
        <v>2773</v>
      </c>
      <c r="CXJ1" t="s">
        <v>2774</v>
      </c>
      <c r="CXK1" t="s">
        <v>2775</v>
      </c>
      <c r="CXL1" t="s">
        <v>2776</v>
      </c>
      <c r="CXM1" t="s">
        <v>2777</v>
      </c>
      <c r="CXN1" t="s">
        <v>2778</v>
      </c>
      <c r="CXO1" t="s">
        <v>2779</v>
      </c>
      <c r="CXP1" t="s">
        <v>2780</v>
      </c>
      <c r="CXQ1" t="s">
        <v>2781</v>
      </c>
      <c r="CXR1" t="s">
        <v>2782</v>
      </c>
      <c r="CXS1" t="s">
        <v>2783</v>
      </c>
      <c r="CXT1" t="s">
        <v>2784</v>
      </c>
      <c r="CXU1" t="s">
        <v>2785</v>
      </c>
      <c r="CXV1" t="s">
        <v>2786</v>
      </c>
      <c r="CXW1" t="s">
        <v>2787</v>
      </c>
      <c r="CXX1" t="s">
        <v>2788</v>
      </c>
      <c r="CXY1" t="s">
        <v>2789</v>
      </c>
      <c r="CXZ1" t="s">
        <v>2790</v>
      </c>
      <c r="CYA1" t="s">
        <v>2791</v>
      </c>
      <c r="CYB1" t="s">
        <v>2792</v>
      </c>
      <c r="CYC1" t="s">
        <v>2793</v>
      </c>
      <c r="CYD1" t="s">
        <v>2794</v>
      </c>
      <c r="CYE1" t="s">
        <v>2795</v>
      </c>
      <c r="CYF1" t="s">
        <v>2796</v>
      </c>
      <c r="CYG1" t="s">
        <v>2797</v>
      </c>
      <c r="CYH1" t="s">
        <v>2798</v>
      </c>
      <c r="CYI1" t="s">
        <v>2799</v>
      </c>
      <c r="CYJ1" t="s">
        <v>2800</v>
      </c>
      <c r="CYK1" t="s">
        <v>2801</v>
      </c>
      <c r="CYL1" t="s">
        <v>2802</v>
      </c>
      <c r="CYM1" t="s">
        <v>2803</v>
      </c>
      <c r="CYN1" t="s">
        <v>2804</v>
      </c>
      <c r="CYO1" t="s">
        <v>2805</v>
      </c>
      <c r="CYP1" t="s">
        <v>2806</v>
      </c>
      <c r="CYQ1" t="s">
        <v>2807</v>
      </c>
      <c r="CYR1" t="s">
        <v>2808</v>
      </c>
      <c r="CYS1" t="s">
        <v>2809</v>
      </c>
      <c r="CYT1" t="s">
        <v>2810</v>
      </c>
      <c r="CYU1" t="s">
        <v>2811</v>
      </c>
      <c r="CYV1" t="s">
        <v>2812</v>
      </c>
      <c r="CYW1" t="s">
        <v>2813</v>
      </c>
      <c r="CYX1" t="s">
        <v>2814</v>
      </c>
      <c r="CYY1" t="s">
        <v>2815</v>
      </c>
      <c r="CYZ1" t="s">
        <v>2816</v>
      </c>
      <c r="CZA1" t="s">
        <v>2817</v>
      </c>
      <c r="CZB1" t="s">
        <v>2818</v>
      </c>
      <c r="CZC1" t="s">
        <v>2819</v>
      </c>
      <c r="CZD1" t="s">
        <v>2820</v>
      </c>
      <c r="CZE1" t="s">
        <v>2821</v>
      </c>
      <c r="CZF1" t="s">
        <v>2822</v>
      </c>
      <c r="CZG1" t="s">
        <v>2823</v>
      </c>
      <c r="CZH1" t="s">
        <v>2824</v>
      </c>
      <c r="CZI1" t="s">
        <v>2825</v>
      </c>
      <c r="CZJ1" t="s">
        <v>2826</v>
      </c>
      <c r="CZK1" t="s">
        <v>2827</v>
      </c>
      <c r="CZL1" t="s">
        <v>2828</v>
      </c>
      <c r="CZM1" t="s">
        <v>2829</v>
      </c>
      <c r="CZN1" t="s">
        <v>2830</v>
      </c>
      <c r="CZO1" t="s">
        <v>2831</v>
      </c>
      <c r="CZP1" t="s">
        <v>2832</v>
      </c>
      <c r="CZQ1" t="s">
        <v>2833</v>
      </c>
      <c r="CZR1" t="s">
        <v>2834</v>
      </c>
      <c r="CZS1" t="s">
        <v>2835</v>
      </c>
      <c r="CZT1" t="s">
        <v>2836</v>
      </c>
      <c r="CZU1" t="s">
        <v>2837</v>
      </c>
      <c r="CZV1" t="s">
        <v>2838</v>
      </c>
      <c r="CZW1" t="s">
        <v>2839</v>
      </c>
      <c r="CZX1" t="s">
        <v>2840</v>
      </c>
      <c r="CZY1" t="s">
        <v>2841</v>
      </c>
      <c r="CZZ1" t="s">
        <v>2842</v>
      </c>
      <c r="DAA1" t="s">
        <v>2843</v>
      </c>
      <c r="DAB1" t="s">
        <v>2844</v>
      </c>
      <c r="DAC1" t="s">
        <v>2845</v>
      </c>
      <c r="DAD1" t="s">
        <v>2846</v>
      </c>
      <c r="DAE1" t="s">
        <v>2847</v>
      </c>
      <c r="DAF1" t="s">
        <v>2848</v>
      </c>
      <c r="DAG1" t="s">
        <v>2849</v>
      </c>
      <c r="DAH1" t="s">
        <v>2850</v>
      </c>
      <c r="DAI1" t="s">
        <v>2851</v>
      </c>
      <c r="DAJ1" t="s">
        <v>2852</v>
      </c>
      <c r="DAK1" t="s">
        <v>2853</v>
      </c>
      <c r="DAL1" t="s">
        <v>2854</v>
      </c>
      <c r="DAM1" t="s">
        <v>2855</v>
      </c>
      <c r="DAN1" t="s">
        <v>2856</v>
      </c>
      <c r="DAO1" t="s">
        <v>2857</v>
      </c>
      <c r="DAP1" t="s">
        <v>2858</v>
      </c>
      <c r="DAQ1" t="s">
        <v>2859</v>
      </c>
      <c r="DAR1" t="s">
        <v>2860</v>
      </c>
      <c r="DAS1" t="s">
        <v>2861</v>
      </c>
      <c r="DAT1" t="s">
        <v>2862</v>
      </c>
      <c r="DAU1" t="s">
        <v>2863</v>
      </c>
      <c r="DAV1" t="s">
        <v>2864</v>
      </c>
      <c r="DAW1" t="s">
        <v>2865</v>
      </c>
      <c r="DAX1" t="s">
        <v>2866</v>
      </c>
      <c r="DAY1" t="s">
        <v>2867</v>
      </c>
      <c r="DAZ1" t="s">
        <v>2868</v>
      </c>
      <c r="DBA1" t="s">
        <v>2869</v>
      </c>
      <c r="DBB1" t="s">
        <v>2870</v>
      </c>
      <c r="DBC1" t="s">
        <v>2871</v>
      </c>
      <c r="DBD1" t="s">
        <v>2872</v>
      </c>
      <c r="DBE1" t="s">
        <v>2873</v>
      </c>
      <c r="DBF1" t="s">
        <v>2874</v>
      </c>
      <c r="DBG1" t="s">
        <v>2875</v>
      </c>
      <c r="DBH1" t="s">
        <v>2876</v>
      </c>
      <c r="DBI1" t="s">
        <v>2877</v>
      </c>
      <c r="DBJ1" t="s">
        <v>2878</v>
      </c>
      <c r="DBK1" t="s">
        <v>2879</v>
      </c>
      <c r="DBL1" t="s">
        <v>2880</v>
      </c>
      <c r="DBM1" t="s">
        <v>2881</v>
      </c>
      <c r="DBN1" t="s">
        <v>2882</v>
      </c>
      <c r="DBO1" t="s">
        <v>2883</v>
      </c>
      <c r="DBP1" t="s">
        <v>2884</v>
      </c>
      <c r="DBQ1" t="s">
        <v>2885</v>
      </c>
      <c r="DBR1" t="s">
        <v>2886</v>
      </c>
      <c r="DBS1" t="s">
        <v>2887</v>
      </c>
      <c r="DBT1" t="s">
        <v>2888</v>
      </c>
      <c r="DBU1" t="s">
        <v>2889</v>
      </c>
      <c r="DBV1" t="s">
        <v>2890</v>
      </c>
      <c r="DBW1" t="s">
        <v>2891</v>
      </c>
      <c r="DBX1" t="s">
        <v>2892</v>
      </c>
      <c r="DBY1" t="s">
        <v>2893</v>
      </c>
      <c r="DBZ1" t="s">
        <v>2894</v>
      </c>
      <c r="DCA1" t="s">
        <v>2895</v>
      </c>
      <c r="DCB1" t="s">
        <v>2896</v>
      </c>
      <c r="DCC1" t="s">
        <v>2897</v>
      </c>
      <c r="DCD1" t="s">
        <v>2898</v>
      </c>
      <c r="DCE1" t="s">
        <v>2899</v>
      </c>
      <c r="DCF1" t="s">
        <v>2900</v>
      </c>
      <c r="DCG1" t="s">
        <v>2901</v>
      </c>
      <c r="DCH1" t="s">
        <v>2902</v>
      </c>
      <c r="DCI1" t="s">
        <v>2903</v>
      </c>
      <c r="DCJ1" t="s">
        <v>2904</v>
      </c>
      <c r="DCK1" t="s">
        <v>2905</v>
      </c>
      <c r="DCL1" t="s">
        <v>2906</v>
      </c>
      <c r="DCM1" t="s">
        <v>2907</v>
      </c>
      <c r="DCN1" t="s">
        <v>2908</v>
      </c>
      <c r="DCO1" t="s">
        <v>2909</v>
      </c>
      <c r="DCP1" t="s">
        <v>2910</v>
      </c>
      <c r="DCQ1" t="s">
        <v>2911</v>
      </c>
      <c r="DCR1" t="s">
        <v>2912</v>
      </c>
      <c r="DCS1" t="s">
        <v>2913</v>
      </c>
      <c r="DCT1" t="s">
        <v>2914</v>
      </c>
      <c r="DCU1" t="s">
        <v>2915</v>
      </c>
      <c r="DCV1" t="s">
        <v>2916</v>
      </c>
      <c r="DCW1" t="s">
        <v>2917</v>
      </c>
      <c r="DCX1" t="s">
        <v>2918</v>
      </c>
      <c r="DCY1" t="s">
        <v>2919</v>
      </c>
      <c r="DCZ1" t="s">
        <v>2920</v>
      </c>
      <c r="DDA1" t="s">
        <v>2921</v>
      </c>
      <c r="DDB1" t="s">
        <v>2922</v>
      </c>
      <c r="DDC1" t="s">
        <v>2923</v>
      </c>
      <c r="DDD1" t="s">
        <v>2924</v>
      </c>
      <c r="DDE1" t="s">
        <v>2925</v>
      </c>
      <c r="DDF1" t="s">
        <v>2926</v>
      </c>
      <c r="DDG1" t="s">
        <v>2927</v>
      </c>
      <c r="DDH1" t="s">
        <v>2928</v>
      </c>
      <c r="DDI1" t="s">
        <v>2929</v>
      </c>
      <c r="DDJ1" t="s">
        <v>2930</v>
      </c>
      <c r="DDK1" t="s">
        <v>2931</v>
      </c>
      <c r="DDL1" t="s">
        <v>2932</v>
      </c>
      <c r="DDM1" t="s">
        <v>2933</v>
      </c>
      <c r="DDN1" t="s">
        <v>2934</v>
      </c>
      <c r="DDO1" t="s">
        <v>2935</v>
      </c>
      <c r="DDP1" t="s">
        <v>2936</v>
      </c>
      <c r="DDQ1" t="s">
        <v>2937</v>
      </c>
      <c r="DDR1" t="s">
        <v>2938</v>
      </c>
      <c r="DDS1" t="s">
        <v>2939</v>
      </c>
      <c r="DDT1" t="s">
        <v>2940</v>
      </c>
      <c r="DDU1" t="s">
        <v>2941</v>
      </c>
      <c r="DDV1" t="s">
        <v>2942</v>
      </c>
      <c r="DDW1" t="s">
        <v>2943</v>
      </c>
      <c r="DDX1" t="s">
        <v>2944</v>
      </c>
      <c r="DDY1" t="s">
        <v>2945</v>
      </c>
      <c r="DDZ1" t="s">
        <v>2946</v>
      </c>
      <c r="DEA1" t="s">
        <v>2947</v>
      </c>
      <c r="DEB1" t="s">
        <v>2948</v>
      </c>
      <c r="DEC1" t="s">
        <v>2949</v>
      </c>
      <c r="DED1" t="s">
        <v>2950</v>
      </c>
      <c r="DEE1" t="s">
        <v>2951</v>
      </c>
      <c r="DEF1" t="s">
        <v>2952</v>
      </c>
      <c r="DEG1" t="s">
        <v>2953</v>
      </c>
      <c r="DEH1" t="s">
        <v>2954</v>
      </c>
      <c r="DEI1" t="s">
        <v>2955</v>
      </c>
      <c r="DEJ1" t="s">
        <v>2956</v>
      </c>
      <c r="DEK1" t="s">
        <v>2957</v>
      </c>
      <c r="DEL1" t="s">
        <v>2958</v>
      </c>
      <c r="DEM1" t="s">
        <v>2959</v>
      </c>
      <c r="DEN1" t="s">
        <v>2960</v>
      </c>
      <c r="DEO1" t="s">
        <v>2961</v>
      </c>
      <c r="DEP1" t="s">
        <v>2962</v>
      </c>
      <c r="DEQ1" t="s">
        <v>2963</v>
      </c>
      <c r="DER1" t="s">
        <v>2964</v>
      </c>
      <c r="DES1" t="s">
        <v>2965</v>
      </c>
      <c r="DET1" t="s">
        <v>2966</v>
      </c>
      <c r="DEU1" t="s">
        <v>2967</v>
      </c>
      <c r="DEV1" t="s">
        <v>2968</v>
      </c>
      <c r="DEW1" t="s">
        <v>2969</v>
      </c>
      <c r="DEX1" t="s">
        <v>2970</v>
      </c>
      <c r="DEY1" t="s">
        <v>2971</v>
      </c>
      <c r="DEZ1" t="s">
        <v>2972</v>
      </c>
      <c r="DFA1" t="s">
        <v>2973</v>
      </c>
      <c r="DFB1" t="s">
        <v>2974</v>
      </c>
      <c r="DFC1" t="s">
        <v>2975</v>
      </c>
      <c r="DFD1" t="s">
        <v>2976</v>
      </c>
      <c r="DFE1" t="s">
        <v>2977</v>
      </c>
      <c r="DFF1" t="s">
        <v>2978</v>
      </c>
      <c r="DFG1" t="s">
        <v>2979</v>
      </c>
      <c r="DFH1" t="s">
        <v>2980</v>
      </c>
      <c r="DFI1" t="s">
        <v>2981</v>
      </c>
      <c r="DFJ1" t="s">
        <v>2982</v>
      </c>
      <c r="DFK1" t="s">
        <v>2983</v>
      </c>
      <c r="DFL1" t="s">
        <v>2984</v>
      </c>
      <c r="DFM1" t="s">
        <v>2985</v>
      </c>
      <c r="DFN1" t="s">
        <v>2986</v>
      </c>
      <c r="DFO1" t="s">
        <v>2987</v>
      </c>
      <c r="DFP1" t="s">
        <v>2988</v>
      </c>
      <c r="DFQ1" t="s">
        <v>2989</v>
      </c>
      <c r="DFR1" t="s">
        <v>2990</v>
      </c>
      <c r="DFS1" t="s">
        <v>2991</v>
      </c>
      <c r="DFT1" t="s">
        <v>2992</v>
      </c>
      <c r="DFU1" t="s">
        <v>2993</v>
      </c>
      <c r="DFV1" t="s">
        <v>2994</v>
      </c>
      <c r="DFW1" t="s">
        <v>2995</v>
      </c>
      <c r="DFX1" t="s">
        <v>2996</v>
      </c>
      <c r="DFY1" t="s">
        <v>2997</v>
      </c>
      <c r="DFZ1" t="s">
        <v>2998</v>
      </c>
      <c r="DGA1" t="s">
        <v>2999</v>
      </c>
      <c r="DGB1" t="s">
        <v>3000</v>
      </c>
      <c r="DGC1" t="s">
        <v>3001</v>
      </c>
      <c r="DGD1" t="s">
        <v>3002</v>
      </c>
      <c r="DGE1" t="s">
        <v>3003</v>
      </c>
      <c r="DGF1" t="s">
        <v>3004</v>
      </c>
      <c r="DGG1" t="s">
        <v>3005</v>
      </c>
      <c r="DGH1" t="s">
        <v>3006</v>
      </c>
      <c r="DGI1" t="s">
        <v>3007</v>
      </c>
      <c r="DGJ1" t="s">
        <v>3008</v>
      </c>
      <c r="DGK1" t="s">
        <v>3009</v>
      </c>
      <c r="DGL1" t="s">
        <v>3010</v>
      </c>
      <c r="DGM1" t="s">
        <v>3011</v>
      </c>
      <c r="DGN1" t="s">
        <v>3012</v>
      </c>
      <c r="DGO1" t="s">
        <v>3013</v>
      </c>
      <c r="DGP1" t="s">
        <v>3014</v>
      </c>
      <c r="DGQ1" t="s">
        <v>3015</v>
      </c>
      <c r="DGR1" t="s">
        <v>3016</v>
      </c>
      <c r="DGS1" t="s">
        <v>3017</v>
      </c>
      <c r="DGT1" t="s">
        <v>3018</v>
      </c>
      <c r="DGU1" t="s">
        <v>3019</v>
      </c>
      <c r="DGV1" t="s">
        <v>3020</v>
      </c>
      <c r="DGW1" t="s">
        <v>3021</v>
      </c>
      <c r="DGX1" t="s">
        <v>3022</v>
      </c>
      <c r="DGY1" t="s">
        <v>3023</v>
      </c>
      <c r="DGZ1" t="s">
        <v>3024</v>
      </c>
      <c r="DHA1" t="s">
        <v>3025</v>
      </c>
      <c r="DHB1" t="s">
        <v>3026</v>
      </c>
      <c r="DHC1" t="s">
        <v>3027</v>
      </c>
      <c r="DHD1" t="s">
        <v>3028</v>
      </c>
      <c r="DHE1" t="s">
        <v>3029</v>
      </c>
      <c r="DHF1" t="s">
        <v>3030</v>
      </c>
      <c r="DHG1" t="s">
        <v>3031</v>
      </c>
      <c r="DHH1" t="s">
        <v>3032</v>
      </c>
      <c r="DHI1" t="s">
        <v>3033</v>
      </c>
      <c r="DHJ1" t="s">
        <v>3034</v>
      </c>
      <c r="DHK1" t="s">
        <v>3035</v>
      </c>
      <c r="DHL1" t="s">
        <v>3036</v>
      </c>
      <c r="DHM1" t="s">
        <v>3037</v>
      </c>
      <c r="DHN1" t="s">
        <v>3038</v>
      </c>
      <c r="DHO1" t="s">
        <v>3039</v>
      </c>
      <c r="DHP1" t="s">
        <v>3040</v>
      </c>
      <c r="DHQ1" t="s">
        <v>3041</v>
      </c>
      <c r="DHR1" t="s">
        <v>3042</v>
      </c>
      <c r="DHS1" t="s">
        <v>3043</v>
      </c>
      <c r="DHT1" t="s">
        <v>3044</v>
      </c>
      <c r="DHU1" t="s">
        <v>3045</v>
      </c>
      <c r="DHV1" t="s">
        <v>3046</v>
      </c>
      <c r="DHW1" t="s">
        <v>3047</v>
      </c>
      <c r="DHX1" t="s">
        <v>3048</v>
      </c>
      <c r="DHY1" t="s">
        <v>3049</v>
      </c>
      <c r="DHZ1" t="s">
        <v>3050</v>
      </c>
      <c r="DIA1" t="s">
        <v>3051</v>
      </c>
      <c r="DIB1" t="s">
        <v>3052</v>
      </c>
      <c r="DIC1" t="s">
        <v>3053</v>
      </c>
      <c r="DID1" t="s">
        <v>3054</v>
      </c>
      <c r="DIE1" t="s">
        <v>3055</v>
      </c>
      <c r="DIF1" t="s">
        <v>3056</v>
      </c>
      <c r="DIG1" t="s">
        <v>3057</v>
      </c>
      <c r="DIH1" t="s">
        <v>3058</v>
      </c>
      <c r="DII1" t="s">
        <v>3059</v>
      </c>
      <c r="DIJ1" t="s">
        <v>3060</v>
      </c>
      <c r="DIK1" t="s">
        <v>3061</v>
      </c>
      <c r="DIL1" t="s">
        <v>3062</v>
      </c>
      <c r="DIM1" t="s">
        <v>3063</v>
      </c>
      <c r="DIN1" t="s">
        <v>3064</v>
      </c>
      <c r="DIO1" t="s">
        <v>3065</v>
      </c>
      <c r="DIP1" t="s">
        <v>3066</v>
      </c>
      <c r="DIQ1" t="s">
        <v>3067</v>
      </c>
      <c r="DIR1" t="s">
        <v>3068</v>
      </c>
      <c r="DIS1" t="s">
        <v>3069</v>
      </c>
      <c r="DIT1" t="s">
        <v>3070</v>
      </c>
      <c r="DIU1" t="s">
        <v>3071</v>
      </c>
      <c r="DIV1" t="s">
        <v>3072</v>
      </c>
      <c r="DIW1" t="s">
        <v>3073</v>
      </c>
      <c r="DIX1" t="s">
        <v>3074</v>
      </c>
      <c r="DIY1" t="s">
        <v>3075</v>
      </c>
      <c r="DIZ1" t="s">
        <v>3076</v>
      </c>
      <c r="DJA1" t="s">
        <v>3077</v>
      </c>
      <c r="DJB1" t="s">
        <v>3078</v>
      </c>
      <c r="DJC1" t="s">
        <v>3079</v>
      </c>
      <c r="DJD1" t="s">
        <v>3080</v>
      </c>
      <c r="DJE1" t="s">
        <v>3081</v>
      </c>
      <c r="DJF1" t="s">
        <v>3082</v>
      </c>
      <c r="DJG1" t="s">
        <v>3083</v>
      </c>
      <c r="DJH1" t="s">
        <v>3084</v>
      </c>
      <c r="DJI1" t="s">
        <v>3085</v>
      </c>
      <c r="DJJ1" t="s">
        <v>3086</v>
      </c>
      <c r="DJK1" t="s">
        <v>3087</v>
      </c>
      <c r="DJL1" t="s">
        <v>3088</v>
      </c>
      <c r="DJM1" t="s">
        <v>3089</v>
      </c>
      <c r="DJN1" t="s">
        <v>3090</v>
      </c>
      <c r="DJO1" t="s">
        <v>3091</v>
      </c>
      <c r="DJP1" t="s">
        <v>3092</v>
      </c>
      <c r="DJQ1" t="s">
        <v>3093</v>
      </c>
      <c r="DJR1" t="s">
        <v>3094</v>
      </c>
      <c r="DJS1" t="s">
        <v>3095</v>
      </c>
      <c r="DJT1" t="s">
        <v>3096</v>
      </c>
      <c r="DJU1" t="s">
        <v>3097</v>
      </c>
      <c r="DJV1" t="s">
        <v>3098</v>
      </c>
      <c r="DJW1" t="s">
        <v>3099</v>
      </c>
      <c r="DJX1" t="s">
        <v>3100</v>
      </c>
      <c r="DJY1" t="s">
        <v>3101</v>
      </c>
      <c r="DJZ1" t="s">
        <v>3102</v>
      </c>
      <c r="DKA1" t="s">
        <v>3103</v>
      </c>
      <c r="DKB1" t="s">
        <v>3104</v>
      </c>
      <c r="DKC1" t="s">
        <v>3105</v>
      </c>
      <c r="DKD1" t="s">
        <v>3106</v>
      </c>
      <c r="DKE1" t="s">
        <v>3107</v>
      </c>
      <c r="DKF1" t="s">
        <v>3108</v>
      </c>
      <c r="DKG1" t="s">
        <v>3109</v>
      </c>
      <c r="DKH1" t="s">
        <v>3110</v>
      </c>
      <c r="DKI1" t="s">
        <v>3111</v>
      </c>
      <c r="DKJ1" t="s">
        <v>3112</v>
      </c>
      <c r="DKK1" t="s">
        <v>3113</v>
      </c>
      <c r="DKL1" t="s">
        <v>3114</v>
      </c>
      <c r="DKM1" t="s">
        <v>3115</v>
      </c>
      <c r="DKN1" t="s">
        <v>3116</v>
      </c>
      <c r="DKO1" t="s">
        <v>3117</v>
      </c>
      <c r="DKP1" t="s">
        <v>3118</v>
      </c>
      <c r="DKQ1" t="s">
        <v>3119</v>
      </c>
      <c r="DKR1" t="s">
        <v>3120</v>
      </c>
      <c r="DKS1" t="s">
        <v>3121</v>
      </c>
      <c r="DKT1" t="s">
        <v>3122</v>
      </c>
      <c r="DKU1" t="s">
        <v>3123</v>
      </c>
      <c r="DKV1" t="s">
        <v>3124</v>
      </c>
      <c r="DKW1" t="s">
        <v>3125</v>
      </c>
      <c r="DKX1" t="s">
        <v>3126</v>
      </c>
      <c r="DKY1" t="s">
        <v>3127</v>
      </c>
      <c r="DKZ1" t="s">
        <v>3128</v>
      </c>
      <c r="DLA1" t="s">
        <v>3129</v>
      </c>
      <c r="DLB1" t="s">
        <v>3130</v>
      </c>
      <c r="DLC1" t="s">
        <v>3131</v>
      </c>
      <c r="DLD1" t="s">
        <v>3132</v>
      </c>
      <c r="DLE1" t="s">
        <v>3133</v>
      </c>
      <c r="DLF1" t="s">
        <v>3134</v>
      </c>
      <c r="DLG1" t="s">
        <v>3135</v>
      </c>
      <c r="DLH1" t="s">
        <v>3136</v>
      </c>
      <c r="DLI1" t="s">
        <v>3137</v>
      </c>
      <c r="DLJ1" t="s">
        <v>3138</v>
      </c>
      <c r="DLK1" t="s">
        <v>3139</v>
      </c>
      <c r="DLL1" t="s">
        <v>3140</v>
      </c>
      <c r="DLM1" t="s">
        <v>3141</v>
      </c>
      <c r="DLN1" t="s">
        <v>3142</v>
      </c>
      <c r="DLO1" t="s">
        <v>3143</v>
      </c>
      <c r="DLP1" t="s">
        <v>3144</v>
      </c>
      <c r="DLQ1" t="s">
        <v>3145</v>
      </c>
      <c r="DLR1" t="s">
        <v>3146</v>
      </c>
      <c r="DLS1" t="s">
        <v>3147</v>
      </c>
      <c r="DLT1" t="s">
        <v>3148</v>
      </c>
      <c r="DLU1" t="s">
        <v>3149</v>
      </c>
      <c r="DLV1" t="s">
        <v>3150</v>
      </c>
      <c r="DLW1" t="s">
        <v>3151</v>
      </c>
      <c r="DLX1" t="s">
        <v>3152</v>
      </c>
      <c r="DLY1" t="s">
        <v>3153</v>
      </c>
      <c r="DLZ1" t="s">
        <v>3154</v>
      </c>
      <c r="DMA1" t="s">
        <v>3155</v>
      </c>
      <c r="DMB1" t="s">
        <v>3156</v>
      </c>
      <c r="DMC1" t="s">
        <v>3157</v>
      </c>
      <c r="DMD1" t="s">
        <v>3158</v>
      </c>
      <c r="DME1" t="s">
        <v>3159</v>
      </c>
      <c r="DMF1" t="s">
        <v>3160</v>
      </c>
      <c r="DMG1" t="s">
        <v>3161</v>
      </c>
      <c r="DMH1" t="s">
        <v>3162</v>
      </c>
      <c r="DMI1" t="s">
        <v>3163</v>
      </c>
      <c r="DMJ1" t="s">
        <v>3164</v>
      </c>
      <c r="DMK1" t="s">
        <v>3165</v>
      </c>
      <c r="DML1" t="s">
        <v>3166</v>
      </c>
      <c r="DMM1" t="s">
        <v>3167</v>
      </c>
      <c r="DMN1" t="s">
        <v>3168</v>
      </c>
      <c r="DMO1" t="s">
        <v>3169</v>
      </c>
      <c r="DMP1" t="s">
        <v>3170</v>
      </c>
      <c r="DMQ1" t="s">
        <v>3171</v>
      </c>
      <c r="DMR1" t="s">
        <v>3172</v>
      </c>
      <c r="DMS1" t="s">
        <v>3173</v>
      </c>
      <c r="DMT1" t="s">
        <v>3174</v>
      </c>
      <c r="DMU1" t="s">
        <v>3175</v>
      </c>
      <c r="DMV1" t="s">
        <v>3176</v>
      </c>
      <c r="DMW1" t="s">
        <v>3177</v>
      </c>
      <c r="DMX1" t="s">
        <v>3178</v>
      </c>
      <c r="DMY1" t="s">
        <v>3179</v>
      </c>
      <c r="DMZ1" t="s">
        <v>3180</v>
      </c>
      <c r="DNA1" t="s">
        <v>3181</v>
      </c>
      <c r="DNB1" t="s">
        <v>3182</v>
      </c>
      <c r="DNC1" t="s">
        <v>3183</v>
      </c>
      <c r="DND1" t="s">
        <v>3184</v>
      </c>
      <c r="DNE1" t="s">
        <v>3185</v>
      </c>
      <c r="DNF1" t="s">
        <v>3186</v>
      </c>
      <c r="DNG1" t="s">
        <v>3187</v>
      </c>
      <c r="DNH1" t="s">
        <v>3188</v>
      </c>
      <c r="DNI1" t="s">
        <v>3189</v>
      </c>
      <c r="DNJ1" t="s">
        <v>3190</v>
      </c>
      <c r="DNK1" t="s">
        <v>3191</v>
      </c>
      <c r="DNL1" t="s">
        <v>3192</v>
      </c>
      <c r="DNM1" t="s">
        <v>3193</v>
      </c>
      <c r="DNN1" t="s">
        <v>3194</v>
      </c>
      <c r="DNO1" t="s">
        <v>3195</v>
      </c>
      <c r="DNP1" t="s">
        <v>3196</v>
      </c>
      <c r="DNQ1" t="s">
        <v>3197</v>
      </c>
      <c r="DNR1" t="s">
        <v>3198</v>
      </c>
      <c r="DNS1" t="s">
        <v>3199</v>
      </c>
      <c r="DNT1" t="s">
        <v>3200</v>
      </c>
      <c r="DNU1" t="s">
        <v>3201</v>
      </c>
      <c r="DNV1" t="s">
        <v>3202</v>
      </c>
      <c r="DNW1" t="s">
        <v>3203</v>
      </c>
      <c r="DNX1" t="s">
        <v>3204</v>
      </c>
      <c r="DNY1" t="s">
        <v>3205</v>
      </c>
      <c r="DNZ1" t="s">
        <v>3206</v>
      </c>
      <c r="DOA1" t="s">
        <v>3207</v>
      </c>
      <c r="DOB1" t="s">
        <v>3208</v>
      </c>
      <c r="DOC1" t="s">
        <v>3209</v>
      </c>
      <c r="DOD1" t="s">
        <v>3210</v>
      </c>
      <c r="DOE1" t="s">
        <v>3211</v>
      </c>
      <c r="DOF1" t="s">
        <v>3212</v>
      </c>
      <c r="DOG1" t="s">
        <v>3213</v>
      </c>
      <c r="DOH1" t="s">
        <v>3214</v>
      </c>
      <c r="DOI1" t="s">
        <v>3215</v>
      </c>
      <c r="DOJ1" t="s">
        <v>3216</v>
      </c>
      <c r="DOK1" t="s">
        <v>3217</v>
      </c>
      <c r="DOL1" t="s">
        <v>3218</v>
      </c>
      <c r="DOM1" t="s">
        <v>3219</v>
      </c>
      <c r="DON1" t="s">
        <v>3220</v>
      </c>
      <c r="DOO1" t="s">
        <v>3221</v>
      </c>
      <c r="DOP1" t="s">
        <v>3222</v>
      </c>
      <c r="DOQ1" t="s">
        <v>3223</v>
      </c>
      <c r="DOR1" t="s">
        <v>3224</v>
      </c>
      <c r="DOS1" t="s">
        <v>3225</v>
      </c>
      <c r="DOT1" t="s">
        <v>3226</v>
      </c>
      <c r="DOU1" t="s">
        <v>3227</v>
      </c>
      <c r="DOV1" t="s">
        <v>3228</v>
      </c>
      <c r="DOW1" t="s">
        <v>3229</v>
      </c>
      <c r="DOX1" t="s">
        <v>3230</v>
      </c>
      <c r="DOY1" t="s">
        <v>3231</v>
      </c>
      <c r="DOZ1" t="s">
        <v>3232</v>
      </c>
      <c r="DPA1" t="s">
        <v>3233</v>
      </c>
      <c r="DPB1" t="s">
        <v>3234</v>
      </c>
      <c r="DPC1" t="s">
        <v>3235</v>
      </c>
      <c r="DPD1" t="s">
        <v>3236</v>
      </c>
      <c r="DPE1" t="s">
        <v>3237</v>
      </c>
      <c r="DPF1" t="s">
        <v>3238</v>
      </c>
      <c r="DPG1" t="s">
        <v>3239</v>
      </c>
      <c r="DPH1" t="s">
        <v>3240</v>
      </c>
      <c r="DPI1" t="s">
        <v>3241</v>
      </c>
      <c r="DPJ1" t="s">
        <v>3242</v>
      </c>
      <c r="DPK1" t="s">
        <v>3243</v>
      </c>
      <c r="DPL1" t="s">
        <v>3244</v>
      </c>
      <c r="DPM1" t="s">
        <v>3245</v>
      </c>
      <c r="DPN1" t="s">
        <v>3246</v>
      </c>
      <c r="DPO1" t="s">
        <v>3247</v>
      </c>
      <c r="DPP1" t="s">
        <v>3248</v>
      </c>
      <c r="DPQ1" t="s">
        <v>3249</v>
      </c>
      <c r="DPR1" t="s">
        <v>3250</v>
      </c>
      <c r="DPS1" t="s">
        <v>3251</v>
      </c>
      <c r="DPT1" t="s">
        <v>3252</v>
      </c>
      <c r="DPU1" t="s">
        <v>3253</v>
      </c>
      <c r="DPV1" t="s">
        <v>3254</v>
      </c>
      <c r="DPW1" t="s">
        <v>3255</v>
      </c>
      <c r="DPX1" t="s">
        <v>3256</v>
      </c>
      <c r="DPY1" t="s">
        <v>3257</v>
      </c>
      <c r="DPZ1" t="s">
        <v>3258</v>
      </c>
      <c r="DQA1" t="s">
        <v>3259</v>
      </c>
      <c r="DQB1" t="s">
        <v>3260</v>
      </c>
      <c r="DQC1" t="s">
        <v>3261</v>
      </c>
      <c r="DQD1" t="s">
        <v>3262</v>
      </c>
      <c r="DQE1" t="s">
        <v>3263</v>
      </c>
      <c r="DQF1" t="s">
        <v>3264</v>
      </c>
      <c r="DQG1" t="s">
        <v>3265</v>
      </c>
      <c r="DQH1" t="s">
        <v>3266</v>
      </c>
      <c r="DQI1" t="s">
        <v>3267</v>
      </c>
      <c r="DQJ1" t="s">
        <v>3268</v>
      </c>
      <c r="DQK1" t="s">
        <v>3269</v>
      </c>
      <c r="DQL1" t="s">
        <v>3270</v>
      </c>
      <c r="DQM1" t="s">
        <v>3271</v>
      </c>
      <c r="DQN1" t="s">
        <v>3272</v>
      </c>
      <c r="DQO1" t="s">
        <v>3273</v>
      </c>
      <c r="DQP1" t="s">
        <v>3274</v>
      </c>
      <c r="DQQ1" t="s">
        <v>3275</v>
      </c>
      <c r="DQR1" t="s">
        <v>3276</v>
      </c>
      <c r="DQS1" t="s">
        <v>3277</v>
      </c>
      <c r="DQT1" t="s">
        <v>3278</v>
      </c>
      <c r="DQU1" t="s">
        <v>3279</v>
      </c>
      <c r="DQV1" t="s">
        <v>3280</v>
      </c>
      <c r="DQW1" t="s">
        <v>3281</v>
      </c>
      <c r="DQX1" t="s">
        <v>3282</v>
      </c>
      <c r="DQY1" t="s">
        <v>3283</v>
      </c>
      <c r="DQZ1" t="s">
        <v>3284</v>
      </c>
      <c r="DRA1" t="s">
        <v>3285</v>
      </c>
      <c r="DRB1" t="s">
        <v>3286</v>
      </c>
      <c r="DRC1" t="s">
        <v>3287</v>
      </c>
      <c r="DRD1" t="s">
        <v>3288</v>
      </c>
      <c r="DRE1" t="s">
        <v>3289</v>
      </c>
      <c r="DRF1" t="s">
        <v>3290</v>
      </c>
      <c r="DRG1" t="s">
        <v>3291</v>
      </c>
      <c r="DRH1" t="s">
        <v>3292</v>
      </c>
      <c r="DRI1" t="s">
        <v>3293</v>
      </c>
      <c r="DRJ1" t="s">
        <v>3294</v>
      </c>
      <c r="DRK1" t="s">
        <v>3295</v>
      </c>
      <c r="DRL1" t="s">
        <v>3296</v>
      </c>
      <c r="DRM1" t="s">
        <v>3297</v>
      </c>
      <c r="DRN1" t="s">
        <v>3298</v>
      </c>
      <c r="DRO1" t="s">
        <v>3299</v>
      </c>
      <c r="DRP1" t="s">
        <v>3300</v>
      </c>
      <c r="DRQ1" t="s">
        <v>3301</v>
      </c>
      <c r="DRR1" t="s">
        <v>3302</v>
      </c>
      <c r="DRS1" t="s">
        <v>3303</v>
      </c>
      <c r="DRT1" t="s">
        <v>3304</v>
      </c>
      <c r="DRU1" t="s">
        <v>3305</v>
      </c>
      <c r="DRV1" t="s">
        <v>3306</v>
      </c>
      <c r="DRW1" t="s">
        <v>3307</v>
      </c>
      <c r="DRX1" t="s">
        <v>3308</v>
      </c>
      <c r="DRY1" t="s">
        <v>3309</v>
      </c>
      <c r="DRZ1" t="s">
        <v>3310</v>
      </c>
      <c r="DSA1" t="s">
        <v>3311</v>
      </c>
      <c r="DSB1" t="s">
        <v>3312</v>
      </c>
      <c r="DSC1" t="s">
        <v>3313</v>
      </c>
      <c r="DSD1" t="s">
        <v>3314</v>
      </c>
      <c r="DSE1" t="s">
        <v>3315</v>
      </c>
      <c r="DSF1" t="s">
        <v>3316</v>
      </c>
      <c r="DSG1" t="s">
        <v>3317</v>
      </c>
      <c r="DSH1" t="s">
        <v>3318</v>
      </c>
      <c r="DSI1" t="s">
        <v>3319</v>
      </c>
      <c r="DSJ1" t="s">
        <v>3320</v>
      </c>
      <c r="DSK1" t="s">
        <v>3321</v>
      </c>
      <c r="DSL1" t="s">
        <v>3322</v>
      </c>
      <c r="DSM1" t="s">
        <v>3323</v>
      </c>
      <c r="DSN1" t="s">
        <v>3324</v>
      </c>
      <c r="DSO1" t="s">
        <v>3325</v>
      </c>
      <c r="DSP1" t="s">
        <v>3326</v>
      </c>
      <c r="DSQ1" t="s">
        <v>3327</v>
      </c>
      <c r="DSR1" t="s">
        <v>3328</v>
      </c>
      <c r="DSS1" t="s">
        <v>3329</v>
      </c>
      <c r="DST1" t="s">
        <v>3330</v>
      </c>
      <c r="DSU1" t="s">
        <v>3331</v>
      </c>
      <c r="DSV1" t="s">
        <v>3332</v>
      </c>
      <c r="DSW1" t="s">
        <v>3333</v>
      </c>
      <c r="DSX1" t="s">
        <v>3334</v>
      </c>
      <c r="DSY1" t="s">
        <v>3335</v>
      </c>
      <c r="DSZ1" t="s">
        <v>3336</v>
      </c>
      <c r="DTA1" t="s">
        <v>3337</v>
      </c>
      <c r="DTB1" t="s">
        <v>3338</v>
      </c>
      <c r="DTC1" t="s">
        <v>3339</v>
      </c>
      <c r="DTD1" t="s">
        <v>3340</v>
      </c>
      <c r="DTE1" t="s">
        <v>3341</v>
      </c>
      <c r="DTF1" t="s">
        <v>3342</v>
      </c>
      <c r="DTG1" t="s">
        <v>3343</v>
      </c>
      <c r="DTH1" t="s">
        <v>3344</v>
      </c>
      <c r="DTI1" t="s">
        <v>3345</v>
      </c>
      <c r="DTJ1" t="s">
        <v>3346</v>
      </c>
      <c r="DTK1" t="s">
        <v>3347</v>
      </c>
      <c r="DTL1" t="s">
        <v>3348</v>
      </c>
      <c r="DTM1" t="s">
        <v>3349</v>
      </c>
      <c r="DTN1" t="s">
        <v>3350</v>
      </c>
      <c r="DTO1" t="s">
        <v>3351</v>
      </c>
      <c r="DTP1" t="s">
        <v>3352</v>
      </c>
      <c r="DTQ1" t="s">
        <v>3353</v>
      </c>
      <c r="DTR1" t="s">
        <v>3354</v>
      </c>
      <c r="DTS1" t="s">
        <v>3355</v>
      </c>
      <c r="DTT1" t="s">
        <v>3356</v>
      </c>
      <c r="DTU1" t="s">
        <v>3357</v>
      </c>
      <c r="DTV1" t="s">
        <v>3358</v>
      </c>
      <c r="DTW1" t="s">
        <v>3359</v>
      </c>
      <c r="DTX1" t="s">
        <v>3360</v>
      </c>
      <c r="DTY1" t="s">
        <v>3361</v>
      </c>
      <c r="DTZ1" t="s">
        <v>3362</v>
      </c>
      <c r="DUA1" t="s">
        <v>3363</v>
      </c>
      <c r="DUB1" t="s">
        <v>3364</v>
      </c>
      <c r="DUC1" t="s">
        <v>3365</v>
      </c>
      <c r="DUD1" t="s">
        <v>3366</v>
      </c>
      <c r="DUE1" t="s">
        <v>3367</v>
      </c>
      <c r="DUF1" t="s">
        <v>3368</v>
      </c>
      <c r="DUG1" t="s">
        <v>3369</v>
      </c>
      <c r="DUH1" t="s">
        <v>3370</v>
      </c>
      <c r="DUI1" t="s">
        <v>3371</v>
      </c>
      <c r="DUJ1" t="s">
        <v>3372</v>
      </c>
      <c r="DUK1" t="s">
        <v>3373</v>
      </c>
      <c r="DUL1" t="s">
        <v>3374</v>
      </c>
      <c r="DUM1" t="s">
        <v>3375</v>
      </c>
      <c r="DUN1" t="s">
        <v>3376</v>
      </c>
      <c r="DUO1" t="s">
        <v>3377</v>
      </c>
      <c r="DUP1" t="s">
        <v>3378</v>
      </c>
      <c r="DUQ1" t="s">
        <v>3379</v>
      </c>
      <c r="DUR1" t="s">
        <v>3380</v>
      </c>
      <c r="DUS1" t="s">
        <v>3381</v>
      </c>
      <c r="DUT1" t="s">
        <v>3382</v>
      </c>
      <c r="DUU1" t="s">
        <v>3383</v>
      </c>
      <c r="DUV1" t="s">
        <v>3384</v>
      </c>
      <c r="DUW1" t="s">
        <v>3385</v>
      </c>
      <c r="DUX1" t="s">
        <v>3386</v>
      </c>
      <c r="DUY1" t="s">
        <v>3387</v>
      </c>
      <c r="DUZ1" t="s">
        <v>3388</v>
      </c>
      <c r="DVA1" t="s">
        <v>3389</v>
      </c>
      <c r="DVB1" t="s">
        <v>3390</v>
      </c>
      <c r="DVC1" t="s">
        <v>3391</v>
      </c>
      <c r="DVD1" t="s">
        <v>3392</v>
      </c>
      <c r="DVE1" t="s">
        <v>3393</v>
      </c>
      <c r="DVF1" t="s">
        <v>3394</v>
      </c>
      <c r="DVG1" t="s">
        <v>3395</v>
      </c>
      <c r="DVH1" t="s">
        <v>3396</v>
      </c>
      <c r="DVI1" t="s">
        <v>3397</v>
      </c>
      <c r="DVJ1" t="s">
        <v>3398</v>
      </c>
      <c r="DVK1" t="s">
        <v>3399</v>
      </c>
      <c r="DVL1" t="s">
        <v>3400</v>
      </c>
      <c r="DVM1" t="s">
        <v>3401</v>
      </c>
      <c r="DVN1" t="s">
        <v>3402</v>
      </c>
      <c r="DVO1" t="s">
        <v>3403</v>
      </c>
      <c r="DVP1" t="s">
        <v>3404</v>
      </c>
      <c r="DVQ1" t="s">
        <v>3405</v>
      </c>
      <c r="DVR1" t="s">
        <v>3406</v>
      </c>
      <c r="DVS1" t="s">
        <v>3407</v>
      </c>
      <c r="DVT1" t="s">
        <v>3408</v>
      </c>
      <c r="DVU1" t="s">
        <v>3409</v>
      </c>
      <c r="DVV1" t="s">
        <v>3410</v>
      </c>
      <c r="DVW1" t="s">
        <v>3411</v>
      </c>
      <c r="DVX1" t="s">
        <v>3412</v>
      </c>
      <c r="DVY1" t="s">
        <v>3413</v>
      </c>
      <c r="DVZ1" t="s">
        <v>3414</v>
      </c>
      <c r="DWA1" t="s">
        <v>3415</v>
      </c>
      <c r="DWB1" t="s">
        <v>3416</v>
      </c>
      <c r="DWC1" t="s">
        <v>3417</v>
      </c>
      <c r="DWD1" t="s">
        <v>3418</v>
      </c>
      <c r="DWE1" t="s">
        <v>3419</v>
      </c>
      <c r="DWF1" t="s">
        <v>3420</v>
      </c>
      <c r="DWG1" t="s">
        <v>3421</v>
      </c>
      <c r="DWH1" t="s">
        <v>3422</v>
      </c>
      <c r="DWI1" t="s">
        <v>3423</v>
      </c>
      <c r="DWJ1" t="s">
        <v>3424</v>
      </c>
      <c r="DWK1" t="s">
        <v>3425</v>
      </c>
      <c r="DWL1" t="s">
        <v>3426</v>
      </c>
      <c r="DWM1" t="s">
        <v>3427</v>
      </c>
      <c r="DWN1" t="s">
        <v>3428</v>
      </c>
      <c r="DWO1" t="s">
        <v>3429</v>
      </c>
      <c r="DWP1" t="s">
        <v>3430</v>
      </c>
      <c r="DWQ1" t="s">
        <v>3431</v>
      </c>
      <c r="DWR1" t="s">
        <v>3432</v>
      </c>
      <c r="DWS1" t="s">
        <v>3433</v>
      </c>
      <c r="DWT1" t="s">
        <v>3434</v>
      </c>
      <c r="DWU1" t="s">
        <v>3435</v>
      </c>
      <c r="DWV1" t="s">
        <v>3436</v>
      </c>
      <c r="DWW1" t="s">
        <v>3437</v>
      </c>
      <c r="DWX1" t="s">
        <v>3438</v>
      </c>
      <c r="DWY1" t="s">
        <v>3439</v>
      </c>
      <c r="DWZ1" t="s">
        <v>3440</v>
      </c>
      <c r="DXA1" t="s">
        <v>3441</v>
      </c>
      <c r="DXB1" t="s">
        <v>3442</v>
      </c>
      <c r="DXC1" t="s">
        <v>3443</v>
      </c>
      <c r="DXD1" t="s">
        <v>3444</v>
      </c>
      <c r="DXE1" t="s">
        <v>3445</v>
      </c>
      <c r="DXF1" t="s">
        <v>3446</v>
      </c>
      <c r="DXG1" t="s">
        <v>3447</v>
      </c>
      <c r="DXH1" t="s">
        <v>3448</v>
      </c>
      <c r="DXI1" t="s">
        <v>3449</v>
      </c>
      <c r="DXJ1" t="s">
        <v>3450</v>
      </c>
      <c r="DXK1" t="s">
        <v>3451</v>
      </c>
      <c r="DXL1" t="s">
        <v>3452</v>
      </c>
      <c r="DXM1" t="s">
        <v>3453</v>
      </c>
      <c r="DXN1" t="s">
        <v>3454</v>
      </c>
      <c r="DXO1" t="s">
        <v>3455</v>
      </c>
      <c r="DXP1" t="s">
        <v>3456</v>
      </c>
      <c r="DXQ1" t="s">
        <v>3457</v>
      </c>
      <c r="DXR1" t="s">
        <v>3458</v>
      </c>
      <c r="DXS1" t="s">
        <v>3459</v>
      </c>
      <c r="DXT1" t="s">
        <v>3460</v>
      </c>
      <c r="DXU1" t="s">
        <v>3461</v>
      </c>
      <c r="DXV1" t="s">
        <v>3462</v>
      </c>
      <c r="DXW1" t="s">
        <v>3463</v>
      </c>
      <c r="DXX1" t="s">
        <v>3464</v>
      </c>
      <c r="DXY1" t="s">
        <v>3465</v>
      </c>
      <c r="DXZ1" t="s">
        <v>3466</v>
      </c>
      <c r="DYA1" t="s">
        <v>3467</v>
      </c>
      <c r="DYB1" t="s">
        <v>3468</v>
      </c>
      <c r="DYC1" t="s">
        <v>3469</v>
      </c>
      <c r="DYD1" t="s">
        <v>3470</v>
      </c>
      <c r="DYE1" t="s">
        <v>3471</v>
      </c>
      <c r="DYF1" t="s">
        <v>3472</v>
      </c>
      <c r="DYG1" t="s">
        <v>3473</v>
      </c>
      <c r="DYH1" t="s">
        <v>3474</v>
      </c>
      <c r="DYI1" t="s">
        <v>3475</v>
      </c>
      <c r="DYJ1" t="s">
        <v>3476</v>
      </c>
      <c r="DYK1" t="s">
        <v>3477</v>
      </c>
      <c r="DYL1" t="s">
        <v>3478</v>
      </c>
      <c r="DYM1" t="s">
        <v>3479</v>
      </c>
      <c r="DYN1" t="s">
        <v>3480</v>
      </c>
      <c r="DYO1" t="s">
        <v>3481</v>
      </c>
      <c r="DYP1" t="s">
        <v>3482</v>
      </c>
      <c r="DYQ1" t="s">
        <v>3483</v>
      </c>
      <c r="DYR1" t="s">
        <v>3484</v>
      </c>
      <c r="DYS1" t="s">
        <v>3485</v>
      </c>
      <c r="DYT1" t="s">
        <v>3486</v>
      </c>
      <c r="DYU1" t="s">
        <v>3487</v>
      </c>
      <c r="DYV1" t="s">
        <v>3488</v>
      </c>
      <c r="DYW1" t="s">
        <v>3489</v>
      </c>
      <c r="DYX1" t="s">
        <v>3490</v>
      </c>
      <c r="DYY1" t="s">
        <v>3491</v>
      </c>
      <c r="DYZ1" t="s">
        <v>3492</v>
      </c>
      <c r="DZA1" t="s">
        <v>3493</v>
      </c>
      <c r="DZB1" t="s">
        <v>3494</v>
      </c>
      <c r="DZC1" t="s">
        <v>3495</v>
      </c>
      <c r="DZD1" t="s">
        <v>3496</v>
      </c>
      <c r="DZE1" t="s">
        <v>3497</v>
      </c>
      <c r="DZF1" t="s">
        <v>3498</v>
      </c>
      <c r="DZG1" t="s">
        <v>3499</v>
      </c>
      <c r="DZH1" t="s">
        <v>3500</v>
      </c>
      <c r="DZI1" t="s">
        <v>3501</v>
      </c>
      <c r="DZJ1" t="s">
        <v>3502</v>
      </c>
      <c r="DZK1" t="s">
        <v>3503</v>
      </c>
      <c r="DZL1" t="s">
        <v>3504</v>
      </c>
      <c r="DZM1" t="s">
        <v>3505</v>
      </c>
      <c r="DZN1" t="s">
        <v>3506</v>
      </c>
      <c r="DZO1" t="s">
        <v>3507</v>
      </c>
      <c r="DZP1" t="s">
        <v>3508</v>
      </c>
      <c r="DZQ1" t="s">
        <v>3509</v>
      </c>
      <c r="DZR1" t="s">
        <v>3510</v>
      </c>
      <c r="DZS1" t="s">
        <v>3511</v>
      </c>
      <c r="DZT1" t="s">
        <v>3512</v>
      </c>
      <c r="DZU1" t="s">
        <v>3513</v>
      </c>
      <c r="DZV1" t="s">
        <v>3514</v>
      </c>
      <c r="DZW1" t="s">
        <v>3515</v>
      </c>
      <c r="DZX1" t="s">
        <v>3516</v>
      </c>
      <c r="DZY1" t="s">
        <v>3517</v>
      </c>
      <c r="DZZ1" t="s">
        <v>3518</v>
      </c>
      <c r="EAA1" t="s">
        <v>3519</v>
      </c>
      <c r="EAB1" t="s">
        <v>3520</v>
      </c>
      <c r="EAC1" t="s">
        <v>3521</v>
      </c>
      <c r="EAD1" t="s">
        <v>3522</v>
      </c>
      <c r="EAE1" t="s">
        <v>3523</v>
      </c>
      <c r="EAF1" t="s">
        <v>3524</v>
      </c>
      <c r="EAG1" t="s">
        <v>3525</v>
      </c>
      <c r="EAH1" t="s">
        <v>3526</v>
      </c>
      <c r="EAI1" t="s">
        <v>3527</v>
      </c>
      <c r="EAJ1" t="s">
        <v>3528</v>
      </c>
      <c r="EAK1" t="s">
        <v>3529</v>
      </c>
      <c r="EAL1" t="s">
        <v>3530</v>
      </c>
      <c r="EAM1" t="s">
        <v>3531</v>
      </c>
      <c r="EAN1" t="s">
        <v>3532</v>
      </c>
      <c r="EAO1" t="s">
        <v>3533</v>
      </c>
      <c r="EAP1" t="s">
        <v>3534</v>
      </c>
      <c r="EAQ1" t="s">
        <v>3535</v>
      </c>
      <c r="EAR1" t="s">
        <v>3536</v>
      </c>
      <c r="EAS1" t="s">
        <v>3537</v>
      </c>
      <c r="EAT1" t="s">
        <v>3538</v>
      </c>
      <c r="EAU1" t="s">
        <v>3539</v>
      </c>
      <c r="EAV1" t="s">
        <v>3540</v>
      </c>
      <c r="EAW1" t="s">
        <v>3541</v>
      </c>
      <c r="EAX1" t="s">
        <v>3542</v>
      </c>
      <c r="EAY1" t="s">
        <v>3543</v>
      </c>
      <c r="EAZ1" t="s">
        <v>3544</v>
      </c>
      <c r="EBA1" t="s">
        <v>3545</v>
      </c>
      <c r="EBB1" t="s">
        <v>3546</v>
      </c>
      <c r="EBC1" t="s">
        <v>3547</v>
      </c>
      <c r="EBD1" t="s">
        <v>3548</v>
      </c>
      <c r="EBE1" t="s">
        <v>3549</v>
      </c>
      <c r="EBF1" t="s">
        <v>3550</v>
      </c>
      <c r="EBG1" t="s">
        <v>3551</v>
      </c>
      <c r="EBH1" t="s">
        <v>3552</v>
      </c>
      <c r="EBI1" t="s">
        <v>3553</v>
      </c>
      <c r="EBJ1" t="s">
        <v>3554</v>
      </c>
      <c r="EBK1" t="s">
        <v>3555</v>
      </c>
      <c r="EBL1" t="s">
        <v>3556</v>
      </c>
      <c r="EBM1" t="s">
        <v>3557</v>
      </c>
      <c r="EBN1" t="s">
        <v>3558</v>
      </c>
      <c r="EBO1" t="s">
        <v>3559</v>
      </c>
      <c r="EBP1" t="s">
        <v>3560</v>
      </c>
      <c r="EBQ1" t="s">
        <v>3561</v>
      </c>
      <c r="EBR1" t="s">
        <v>3562</v>
      </c>
      <c r="EBS1" t="s">
        <v>3563</v>
      </c>
      <c r="EBT1" t="s">
        <v>3564</v>
      </c>
      <c r="EBU1" t="s">
        <v>3565</v>
      </c>
      <c r="EBV1" t="s">
        <v>3566</v>
      </c>
      <c r="EBW1" t="s">
        <v>3567</v>
      </c>
      <c r="EBX1" t="s">
        <v>3568</v>
      </c>
      <c r="EBY1" t="s">
        <v>3569</v>
      </c>
      <c r="EBZ1" t="s">
        <v>3570</v>
      </c>
      <c r="ECA1" t="s">
        <v>3571</v>
      </c>
      <c r="ECB1" t="s">
        <v>3572</v>
      </c>
      <c r="ECC1" t="s">
        <v>3573</v>
      </c>
      <c r="ECD1" t="s">
        <v>3574</v>
      </c>
      <c r="ECE1" t="s">
        <v>3575</v>
      </c>
      <c r="ECF1" t="s">
        <v>3576</v>
      </c>
      <c r="ECG1" t="s">
        <v>3577</v>
      </c>
      <c r="ECH1" t="s">
        <v>3578</v>
      </c>
      <c r="ECI1" t="s">
        <v>3579</v>
      </c>
      <c r="ECJ1" t="s">
        <v>3580</v>
      </c>
      <c r="ECK1" t="s">
        <v>3581</v>
      </c>
      <c r="ECL1" t="s">
        <v>3582</v>
      </c>
      <c r="ECM1" t="s">
        <v>3583</v>
      </c>
      <c r="ECN1" t="s">
        <v>3584</v>
      </c>
      <c r="ECO1" t="s">
        <v>3585</v>
      </c>
      <c r="ECP1" t="s">
        <v>3586</v>
      </c>
      <c r="ECQ1" t="s">
        <v>3587</v>
      </c>
      <c r="ECR1" t="s">
        <v>3588</v>
      </c>
      <c r="ECS1" t="s">
        <v>3589</v>
      </c>
      <c r="ECT1" t="s">
        <v>3590</v>
      </c>
      <c r="ECU1" t="s">
        <v>3591</v>
      </c>
      <c r="ECV1" t="s">
        <v>3592</v>
      </c>
      <c r="ECW1" t="s">
        <v>3593</v>
      </c>
      <c r="ECX1" t="s">
        <v>3594</v>
      </c>
      <c r="ECY1" t="s">
        <v>3595</v>
      </c>
      <c r="ECZ1" t="s">
        <v>3596</v>
      </c>
      <c r="EDA1" t="s">
        <v>3597</v>
      </c>
      <c r="EDB1" t="s">
        <v>3598</v>
      </c>
      <c r="EDC1" t="s">
        <v>3599</v>
      </c>
      <c r="EDD1" t="s">
        <v>3600</v>
      </c>
      <c r="EDE1" t="s">
        <v>3601</v>
      </c>
      <c r="EDF1" t="s">
        <v>3602</v>
      </c>
      <c r="EDG1" t="s">
        <v>3603</v>
      </c>
      <c r="EDH1" t="s">
        <v>3604</v>
      </c>
      <c r="EDI1" t="s">
        <v>3605</v>
      </c>
      <c r="EDJ1" t="s">
        <v>3606</v>
      </c>
      <c r="EDK1" t="s">
        <v>3607</v>
      </c>
      <c r="EDL1" t="s">
        <v>3608</v>
      </c>
      <c r="EDM1" t="s">
        <v>3609</v>
      </c>
      <c r="EDN1" t="s">
        <v>3610</v>
      </c>
      <c r="EDO1" t="s">
        <v>3611</v>
      </c>
      <c r="EDP1" t="s">
        <v>3612</v>
      </c>
      <c r="EDQ1" t="s">
        <v>3613</v>
      </c>
      <c r="EDR1" t="s">
        <v>3614</v>
      </c>
      <c r="EDS1" t="s">
        <v>3615</v>
      </c>
      <c r="EDT1" t="s">
        <v>3616</v>
      </c>
      <c r="EDU1" t="s">
        <v>3617</v>
      </c>
      <c r="EDV1" t="s">
        <v>3618</v>
      </c>
      <c r="EDW1" t="s">
        <v>3619</v>
      </c>
      <c r="EDX1" t="s">
        <v>3620</v>
      </c>
      <c r="EDY1" t="s">
        <v>3621</v>
      </c>
      <c r="EDZ1" t="s">
        <v>3622</v>
      </c>
      <c r="EEA1" t="s">
        <v>3623</v>
      </c>
      <c r="EEB1" t="s">
        <v>3624</v>
      </c>
      <c r="EEC1" t="s">
        <v>3625</v>
      </c>
      <c r="EED1" t="s">
        <v>3626</v>
      </c>
      <c r="EEE1" t="s">
        <v>3627</v>
      </c>
      <c r="EEF1" t="s">
        <v>3628</v>
      </c>
      <c r="EEG1" t="s">
        <v>3629</v>
      </c>
      <c r="EEH1" t="s">
        <v>3630</v>
      </c>
      <c r="EEI1" t="s">
        <v>3631</v>
      </c>
      <c r="EEJ1" t="s">
        <v>3632</v>
      </c>
      <c r="EEK1" t="s">
        <v>3633</v>
      </c>
      <c r="EEL1" t="s">
        <v>3634</v>
      </c>
      <c r="EEM1" t="s">
        <v>3635</v>
      </c>
      <c r="EEN1" t="s">
        <v>3636</v>
      </c>
      <c r="EEO1" t="s">
        <v>3637</v>
      </c>
      <c r="EEP1" t="s">
        <v>3638</v>
      </c>
      <c r="EEQ1" t="s">
        <v>3639</v>
      </c>
      <c r="EER1" t="s">
        <v>3640</v>
      </c>
      <c r="EES1" t="s">
        <v>3641</v>
      </c>
      <c r="EET1" t="s">
        <v>3642</v>
      </c>
      <c r="EEU1" t="s">
        <v>3643</v>
      </c>
      <c r="EEV1" t="s">
        <v>3644</v>
      </c>
      <c r="EEW1" t="s">
        <v>3645</v>
      </c>
      <c r="EEX1" t="s">
        <v>3646</v>
      </c>
      <c r="EEY1" t="s">
        <v>3647</v>
      </c>
      <c r="EEZ1" t="s">
        <v>3648</v>
      </c>
      <c r="EFA1" t="s">
        <v>3649</v>
      </c>
      <c r="EFB1" t="s">
        <v>3650</v>
      </c>
      <c r="EFC1" t="s">
        <v>3651</v>
      </c>
      <c r="EFD1" t="s">
        <v>3652</v>
      </c>
      <c r="EFE1" t="s">
        <v>3653</v>
      </c>
      <c r="EFF1" t="s">
        <v>3654</v>
      </c>
      <c r="EFG1" t="s">
        <v>3655</v>
      </c>
      <c r="EFH1" t="s">
        <v>3656</v>
      </c>
      <c r="EFI1" t="s">
        <v>3657</v>
      </c>
      <c r="EFJ1" t="s">
        <v>3658</v>
      </c>
      <c r="EFK1" t="s">
        <v>3659</v>
      </c>
      <c r="EFL1" t="s">
        <v>3660</v>
      </c>
      <c r="EFM1" t="s">
        <v>3661</v>
      </c>
      <c r="EFN1" t="s">
        <v>3662</v>
      </c>
      <c r="EFO1" t="s">
        <v>3663</v>
      </c>
      <c r="EFP1" t="s">
        <v>3664</v>
      </c>
      <c r="EFQ1" t="s">
        <v>3665</v>
      </c>
      <c r="EFR1" t="s">
        <v>3666</v>
      </c>
      <c r="EFS1" t="s">
        <v>3667</v>
      </c>
      <c r="EFT1" t="s">
        <v>3668</v>
      </c>
      <c r="EFU1" t="s">
        <v>3669</v>
      </c>
      <c r="EFV1" t="s">
        <v>3670</v>
      </c>
      <c r="EFW1" t="s">
        <v>3671</v>
      </c>
      <c r="EFX1" t="s">
        <v>3672</v>
      </c>
      <c r="EFY1" t="s">
        <v>3673</v>
      </c>
      <c r="EFZ1" t="s">
        <v>3674</v>
      </c>
      <c r="EGA1" t="s">
        <v>3675</v>
      </c>
      <c r="EGB1" t="s">
        <v>3676</v>
      </c>
      <c r="EGC1" t="s">
        <v>3677</v>
      </c>
      <c r="EGD1" t="s">
        <v>3678</v>
      </c>
      <c r="EGE1" t="s">
        <v>3679</v>
      </c>
      <c r="EGF1" t="s">
        <v>3680</v>
      </c>
      <c r="EGG1" t="s">
        <v>3681</v>
      </c>
      <c r="EGH1" t="s">
        <v>3682</v>
      </c>
      <c r="EGI1" t="s">
        <v>3683</v>
      </c>
      <c r="EGJ1" t="s">
        <v>3684</v>
      </c>
      <c r="EGK1" t="s">
        <v>3685</v>
      </c>
      <c r="EGL1" t="s">
        <v>3686</v>
      </c>
      <c r="EGM1" t="s">
        <v>3687</v>
      </c>
      <c r="EGN1" t="s">
        <v>3688</v>
      </c>
      <c r="EGO1" t="s">
        <v>3689</v>
      </c>
      <c r="EGP1" t="s">
        <v>3690</v>
      </c>
      <c r="EGQ1" t="s">
        <v>3691</v>
      </c>
      <c r="EGR1" t="s">
        <v>3692</v>
      </c>
      <c r="EGS1" t="s">
        <v>3693</v>
      </c>
      <c r="EGT1" t="s">
        <v>3694</v>
      </c>
      <c r="EGU1" t="s">
        <v>3695</v>
      </c>
      <c r="EGV1" t="s">
        <v>3696</v>
      </c>
      <c r="EGW1" t="s">
        <v>3697</v>
      </c>
      <c r="EGX1" t="s">
        <v>3698</v>
      </c>
      <c r="EGY1" t="s">
        <v>3699</v>
      </c>
      <c r="EGZ1" t="s">
        <v>3700</v>
      </c>
      <c r="EHA1" t="s">
        <v>3701</v>
      </c>
      <c r="EHB1" t="s">
        <v>3702</v>
      </c>
      <c r="EHC1" t="s">
        <v>3703</v>
      </c>
      <c r="EHD1" t="s">
        <v>3704</v>
      </c>
      <c r="EHE1" t="s">
        <v>3705</v>
      </c>
      <c r="EHF1" t="s">
        <v>3706</v>
      </c>
      <c r="EHG1" t="s">
        <v>3707</v>
      </c>
      <c r="EHH1" t="s">
        <v>3708</v>
      </c>
      <c r="EHI1" t="s">
        <v>3709</v>
      </c>
      <c r="EHJ1" t="s">
        <v>3710</v>
      </c>
      <c r="EHK1" t="s">
        <v>3711</v>
      </c>
      <c r="EHL1" t="s">
        <v>3712</v>
      </c>
      <c r="EHM1" t="s">
        <v>3713</v>
      </c>
      <c r="EHN1" t="s">
        <v>3714</v>
      </c>
      <c r="EHO1" t="s">
        <v>3715</v>
      </c>
      <c r="EHP1" t="s">
        <v>3716</v>
      </c>
      <c r="EHQ1" t="s">
        <v>3717</v>
      </c>
      <c r="EHR1" t="s">
        <v>3718</v>
      </c>
      <c r="EHS1" t="s">
        <v>3719</v>
      </c>
      <c r="EHT1" t="s">
        <v>3720</v>
      </c>
      <c r="EHU1" t="s">
        <v>3721</v>
      </c>
      <c r="EHV1" t="s">
        <v>3722</v>
      </c>
      <c r="EHW1" t="s">
        <v>3723</v>
      </c>
      <c r="EHX1" t="s">
        <v>3724</v>
      </c>
      <c r="EHY1" t="s">
        <v>3725</v>
      </c>
      <c r="EHZ1" t="s">
        <v>3726</v>
      </c>
      <c r="EIA1" t="s">
        <v>3727</v>
      </c>
      <c r="EIB1" t="s">
        <v>3728</v>
      </c>
      <c r="EIC1" t="s">
        <v>3729</v>
      </c>
      <c r="EID1" t="s">
        <v>3730</v>
      </c>
      <c r="EIE1" t="s">
        <v>3731</v>
      </c>
      <c r="EIF1" t="s">
        <v>3732</v>
      </c>
      <c r="EIG1" t="s">
        <v>3733</v>
      </c>
      <c r="EIH1" t="s">
        <v>3734</v>
      </c>
      <c r="EII1" t="s">
        <v>3735</v>
      </c>
      <c r="EIJ1" t="s">
        <v>3736</v>
      </c>
      <c r="EIK1" t="s">
        <v>3737</v>
      </c>
      <c r="EIL1" t="s">
        <v>3738</v>
      </c>
      <c r="EIM1" t="s">
        <v>3739</v>
      </c>
      <c r="EIN1" t="s">
        <v>3740</v>
      </c>
      <c r="EIO1" t="s">
        <v>3741</v>
      </c>
      <c r="EIP1" t="s">
        <v>3742</v>
      </c>
      <c r="EIQ1" t="s">
        <v>3743</v>
      </c>
      <c r="EIR1" t="s">
        <v>3744</v>
      </c>
      <c r="EIS1" t="s">
        <v>3745</v>
      </c>
      <c r="EIT1" t="s">
        <v>3746</v>
      </c>
      <c r="EIU1" t="s">
        <v>3747</v>
      </c>
      <c r="EIV1" t="s">
        <v>3748</v>
      </c>
      <c r="EIW1" t="s">
        <v>3749</v>
      </c>
      <c r="EIX1" t="s">
        <v>3750</v>
      </c>
      <c r="EIY1" t="s">
        <v>3751</v>
      </c>
      <c r="EIZ1" t="s">
        <v>3752</v>
      </c>
      <c r="EJA1" t="s">
        <v>3753</v>
      </c>
      <c r="EJB1" t="s">
        <v>3754</v>
      </c>
      <c r="EJC1" t="s">
        <v>3755</v>
      </c>
      <c r="EJD1" t="s">
        <v>3756</v>
      </c>
      <c r="EJE1" t="s">
        <v>3757</v>
      </c>
      <c r="EJF1" t="s">
        <v>3758</v>
      </c>
      <c r="EJG1" t="s">
        <v>3759</v>
      </c>
      <c r="EJH1" t="s">
        <v>3760</v>
      </c>
      <c r="EJI1" t="s">
        <v>3761</v>
      </c>
      <c r="EJJ1" t="s">
        <v>3762</v>
      </c>
      <c r="EJK1" t="s">
        <v>3763</v>
      </c>
      <c r="EJL1" t="s">
        <v>3764</v>
      </c>
      <c r="EJM1" t="s">
        <v>3765</v>
      </c>
      <c r="EJN1" t="s">
        <v>3766</v>
      </c>
      <c r="EJO1" t="s">
        <v>3767</v>
      </c>
      <c r="EJP1" t="s">
        <v>3768</v>
      </c>
      <c r="EJQ1" t="s">
        <v>3769</v>
      </c>
      <c r="EJR1" t="s">
        <v>3770</v>
      </c>
      <c r="EJS1" t="s">
        <v>3771</v>
      </c>
      <c r="EJT1" t="s">
        <v>3772</v>
      </c>
      <c r="EJU1" t="s">
        <v>3773</v>
      </c>
      <c r="EJV1" t="s">
        <v>3774</v>
      </c>
      <c r="EJW1" t="s">
        <v>3775</v>
      </c>
      <c r="EJX1" t="s">
        <v>3776</v>
      </c>
      <c r="EJY1" t="s">
        <v>3777</v>
      </c>
      <c r="EJZ1" t="s">
        <v>3778</v>
      </c>
      <c r="EKA1" t="s">
        <v>3779</v>
      </c>
      <c r="EKB1" t="s">
        <v>3780</v>
      </c>
      <c r="EKC1" t="s">
        <v>3781</v>
      </c>
      <c r="EKD1" t="s">
        <v>3782</v>
      </c>
      <c r="EKE1" t="s">
        <v>3783</v>
      </c>
      <c r="EKF1" t="s">
        <v>3784</v>
      </c>
      <c r="EKG1" t="s">
        <v>3785</v>
      </c>
      <c r="EKH1" t="s">
        <v>3786</v>
      </c>
      <c r="EKI1" t="s">
        <v>3787</v>
      </c>
      <c r="EKJ1" t="s">
        <v>3788</v>
      </c>
      <c r="EKK1" t="s">
        <v>3789</v>
      </c>
      <c r="EKL1" t="s">
        <v>3790</v>
      </c>
      <c r="EKM1" t="s">
        <v>3791</v>
      </c>
      <c r="EKN1" t="s">
        <v>3792</v>
      </c>
      <c r="EKO1" t="s">
        <v>3793</v>
      </c>
      <c r="EKP1" t="s">
        <v>3794</v>
      </c>
      <c r="EKQ1" t="s">
        <v>3795</v>
      </c>
      <c r="EKR1" t="s">
        <v>3796</v>
      </c>
      <c r="EKS1" t="s">
        <v>3797</v>
      </c>
      <c r="EKT1" t="s">
        <v>3798</v>
      </c>
      <c r="EKU1" t="s">
        <v>3799</v>
      </c>
      <c r="EKV1" t="s">
        <v>3800</v>
      </c>
      <c r="EKW1" t="s">
        <v>3801</v>
      </c>
      <c r="EKX1" t="s">
        <v>3802</v>
      </c>
      <c r="EKY1" t="s">
        <v>3803</v>
      </c>
      <c r="EKZ1" t="s">
        <v>3804</v>
      </c>
      <c r="ELA1" t="s">
        <v>3805</v>
      </c>
      <c r="ELB1" t="s">
        <v>3806</v>
      </c>
      <c r="ELC1" t="s">
        <v>3807</v>
      </c>
      <c r="ELD1" t="s">
        <v>3808</v>
      </c>
      <c r="ELE1" t="s">
        <v>3809</v>
      </c>
      <c r="ELF1" t="s">
        <v>3810</v>
      </c>
      <c r="ELG1" t="s">
        <v>3811</v>
      </c>
      <c r="ELH1" t="s">
        <v>3812</v>
      </c>
      <c r="ELI1" t="s">
        <v>3813</v>
      </c>
      <c r="ELJ1" t="s">
        <v>3814</v>
      </c>
      <c r="ELK1" t="s">
        <v>3815</v>
      </c>
      <c r="ELL1" t="s">
        <v>3816</v>
      </c>
      <c r="ELM1" t="s">
        <v>3817</v>
      </c>
      <c r="ELN1" t="s">
        <v>3818</v>
      </c>
      <c r="ELO1" t="s">
        <v>3819</v>
      </c>
      <c r="ELP1" t="s">
        <v>3820</v>
      </c>
      <c r="ELQ1" t="s">
        <v>3821</v>
      </c>
      <c r="ELR1" t="s">
        <v>3822</v>
      </c>
      <c r="ELS1" t="s">
        <v>3823</v>
      </c>
      <c r="ELT1" t="s">
        <v>3824</v>
      </c>
      <c r="ELU1" t="s">
        <v>3825</v>
      </c>
      <c r="ELV1" t="s">
        <v>3826</v>
      </c>
      <c r="ELW1" t="s">
        <v>3827</v>
      </c>
      <c r="ELX1" t="s">
        <v>3828</v>
      </c>
      <c r="ELY1" t="s">
        <v>3829</v>
      </c>
      <c r="ELZ1" t="s">
        <v>3830</v>
      </c>
      <c r="EMA1" t="s">
        <v>3831</v>
      </c>
      <c r="EMB1" t="s">
        <v>3832</v>
      </c>
      <c r="EMC1" t="s">
        <v>3833</v>
      </c>
      <c r="EMD1" t="s">
        <v>3834</v>
      </c>
      <c r="EME1" t="s">
        <v>3835</v>
      </c>
      <c r="EMF1" t="s">
        <v>3836</v>
      </c>
      <c r="EMG1" t="s">
        <v>3837</v>
      </c>
      <c r="EMH1" t="s">
        <v>3838</v>
      </c>
      <c r="EMI1" t="s">
        <v>3839</v>
      </c>
      <c r="EMJ1" t="s">
        <v>3840</v>
      </c>
      <c r="EMK1" t="s">
        <v>3841</v>
      </c>
      <c r="EML1" t="s">
        <v>3842</v>
      </c>
      <c r="EMM1" t="s">
        <v>3843</v>
      </c>
      <c r="EMN1" t="s">
        <v>3844</v>
      </c>
      <c r="EMO1" t="s">
        <v>3845</v>
      </c>
      <c r="EMP1" t="s">
        <v>3846</v>
      </c>
      <c r="EMQ1" t="s">
        <v>3847</v>
      </c>
      <c r="EMR1" t="s">
        <v>3848</v>
      </c>
      <c r="EMS1" t="s">
        <v>3849</v>
      </c>
      <c r="EMT1" t="s">
        <v>3850</v>
      </c>
      <c r="EMU1" t="s">
        <v>3851</v>
      </c>
      <c r="EMV1" t="s">
        <v>3852</v>
      </c>
      <c r="EMW1" t="s">
        <v>3853</v>
      </c>
      <c r="EMX1" t="s">
        <v>3854</v>
      </c>
      <c r="EMY1" t="s">
        <v>3855</v>
      </c>
      <c r="EMZ1" t="s">
        <v>3856</v>
      </c>
      <c r="ENA1" t="s">
        <v>3857</v>
      </c>
      <c r="ENB1" t="s">
        <v>3858</v>
      </c>
      <c r="ENC1" t="s">
        <v>3859</v>
      </c>
      <c r="END1" t="s">
        <v>3860</v>
      </c>
      <c r="ENE1" t="s">
        <v>3861</v>
      </c>
      <c r="ENF1" t="s">
        <v>3862</v>
      </c>
      <c r="ENG1" t="s">
        <v>3863</v>
      </c>
      <c r="ENH1" t="s">
        <v>3864</v>
      </c>
      <c r="ENI1" t="s">
        <v>3865</v>
      </c>
      <c r="ENJ1" t="s">
        <v>3866</v>
      </c>
      <c r="ENK1" t="s">
        <v>3867</v>
      </c>
      <c r="ENL1" t="s">
        <v>3868</v>
      </c>
      <c r="ENM1" t="s">
        <v>3869</v>
      </c>
      <c r="ENN1" t="s">
        <v>3870</v>
      </c>
      <c r="ENO1" t="s">
        <v>3871</v>
      </c>
      <c r="ENP1" t="s">
        <v>3872</v>
      </c>
      <c r="ENQ1" t="s">
        <v>3873</v>
      </c>
      <c r="ENR1" t="s">
        <v>3874</v>
      </c>
      <c r="ENS1" t="s">
        <v>3875</v>
      </c>
      <c r="ENT1" t="s">
        <v>3876</v>
      </c>
      <c r="ENU1" t="s">
        <v>3877</v>
      </c>
      <c r="ENV1" t="s">
        <v>3878</v>
      </c>
      <c r="ENW1" t="s">
        <v>3879</v>
      </c>
      <c r="ENX1" t="s">
        <v>3880</v>
      </c>
      <c r="ENY1" t="s">
        <v>3881</v>
      </c>
      <c r="ENZ1" t="s">
        <v>3882</v>
      </c>
      <c r="EOA1" t="s">
        <v>3883</v>
      </c>
      <c r="EOB1" t="s">
        <v>3884</v>
      </c>
      <c r="EOC1" t="s">
        <v>3885</v>
      </c>
      <c r="EOD1" t="s">
        <v>3886</v>
      </c>
      <c r="EOE1" t="s">
        <v>3887</v>
      </c>
      <c r="EOF1" t="s">
        <v>3888</v>
      </c>
      <c r="EOG1" t="s">
        <v>3889</v>
      </c>
      <c r="EOH1" t="s">
        <v>3890</v>
      </c>
      <c r="EOI1" t="s">
        <v>3891</v>
      </c>
      <c r="EOJ1" t="s">
        <v>3892</v>
      </c>
      <c r="EOK1" t="s">
        <v>3893</v>
      </c>
      <c r="EOL1" t="s">
        <v>3894</v>
      </c>
      <c r="EOM1" t="s">
        <v>3895</v>
      </c>
      <c r="EON1" t="s">
        <v>3896</v>
      </c>
    </row>
    <row r="2" spans="1:3784" x14ac:dyDescent="0.35">
      <c r="A2" t="s">
        <v>3897</v>
      </c>
      <c r="B2">
        <f>IF(COUNT(zip_med_inc_updated!B$2:B$4)=0,"",AVERAGE(zip_med_inc_updated!B$2:B$4))</f>
        <v>136666.66666666666</v>
      </c>
      <c r="C2">
        <f>IF(COUNT(zip_med_inc_updated!C$2:C$4)=0,"",AVERAGE(zip_med_inc_updated!C$2:C$4))</f>
        <v>113983</v>
      </c>
      <c r="D2">
        <f>IF(COUNT(zip_med_inc_updated!D$2:D$4)=0,"",AVERAGE(zip_med_inc_updated!D$2:D$4))</f>
        <v>158168</v>
      </c>
      <c r="E2">
        <f>IF(COUNT(zip_med_inc_updated!E$2:E$4)=0,"",AVERAGE(zip_med_inc_updated!E$2:E$4))</f>
        <v>166368.66666666666</v>
      </c>
      <c r="F2">
        <f>IF(COUNT(zip_med_inc_updated!F$2:F$4)=0,"",AVERAGE(zip_med_inc_updated!F$2:F$4))</f>
        <v>112610.33333333333</v>
      </c>
      <c r="G2">
        <f>IF(COUNT(zip_med_inc_updated!G$2:G$4)=0,"",AVERAGE(zip_med_inc_updated!G$2:G$4))</f>
        <v>35127.333333333336</v>
      </c>
      <c r="H2">
        <f>IF(COUNT(zip_med_inc_updated!H$2:H$4)=0,"",AVERAGE(zip_med_inc_updated!H$2:H$4))</f>
        <v>142942.33333333334</v>
      </c>
      <c r="I2">
        <f>IF(COUNT(zip_med_inc_updated!I$2:I$4)=0,"",AVERAGE(zip_med_inc_updated!I$2:I$4))</f>
        <v>123999.66666666667</v>
      </c>
      <c r="J2">
        <f>IF(COUNT(zip_med_inc_updated!J$2:J$4)=0,"",AVERAGE(zip_med_inc_updated!J$2:J$4))</f>
        <v>139864.33333333334</v>
      </c>
      <c r="K2">
        <f>IF(COUNT(zip_med_inc_updated!K$2:K$4)=0,"",AVERAGE(zip_med_inc_updated!K$2:K$4))</f>
        <v>110315.33333333333</v>
      </c>
      <c r="L2">
        <f>IF(COUNT(zip_med_inc_updated!L$2:L$4)=0,"",AVERAGE(zip_med_inc_updated!L$2:L$4))</f>
        <v>105337.66666666667</v>
      </c>
      <c r="M2">
        <f>IF(COUNT(zip_med_inc_updated!M$2:M$4)=0,"",AVERAGE(zip_med_inc_updated!M$2:M$4))</f>
        <v>120009</v>
      </c>
      <c r="N2">
        <f>IF(COUNT(zip_med_inc_updated!N$2:N$4)=0,"",AVERAGE(zip_med_inc_updated!N$2:N$4))</f>
        <v>242756</v>
      </c>
      <c r="O2">
        <f>IF(COUNT(zip_med_inc_updated!O$2:O$4)=0,"",AVERAGE(zip_med_inc_updated!O$2:O$4))</f>
        <v>175838.66666666666</v>
      </c>
      <c r="P2">
        <f>IF(COUNT(zip_med_inc_updated!P$2:P$4)=0,"",AVERAGE(zip_med_inc_updated!P$2:P$4))</f>
        <v>101783.33333333333</v>
      </c>
      <c r="Q2">
        <f>IF(COUNT(zip_med_inc_updated!Q$2:Q$4)=0,"",AVERAGE(zip_med_inc_updated!Q$2:Q$4))</f>
        <v>90253.333333333328</v>
      </c>
      <c r="R2">
        <f>IF(COUNT(zip_med_inc_updated!R$2:R$4)=0,"",AVERAGE(zip_med_inc_updated!R$2:R$4))</f>
        <v>56240.333333333336</v>
      </c>
      <c r="S2">
        <f>IF(COUNT(zip_med_inc_updated!S$2:S$4)=0,"",AVERAGE(zip_med_inc_updated!S$2:S$4))</f>
        <v>51717.666666666664</v>
      </c>
      <c r="T2">
        <f>IF(COUNT(zip_med_inc_updated!T$2:T$4)=0,"",AVERAGE(zip_med_inc_updated!T$2:T$4))</f>
        <v>102576</v>
      </c>
      <c r="U2">
        <f>IF(COUNT(zip_med_inc_updated!U$2:U$4)=0,"",AVERAGE(zip_med_inc_updated!U$2:U$4))</f>
        <v>48385.333333333336</v>
      </c>
      <c r="V2">
        <f>IF(COUNT(zip_med_inc_updated!V$2:V$4)=0,"",AVERAGE(zip_med_inc_updated!V$2:V$4))</f>
        <v>104187.33333333333</v>
      </c>
      <c r="W2">
        <f>IF(COUNT(zip_med_inc_updated!W$2:W$4)=0,"",AVERAGE(zip_med_inc_updated!W$2:W$4))</f>
        <v>101630</v>
      </c>
      <c r="X2" t="str">
        <f>IF(COUNT(zip_med_inc_updated!X$2:X$4)=0,"",AVERAGE(zip_med_inc_updated!X$2:X$4))</f>
        <v/>
      </c>
      <c r="Y2" t="str">
        <f>IF(COUNT(zip_med_inc_updated!Y$2:Y$4)=0,"",AVERAGE(zip_med_inc_updated!Y$2:Y$4))</f>
        <v/>
      </c>
      <c r="Z2" t="str">
        <f>IF(COUNT(zip_med_inc_updated!Z$2:Z$4)=0,"",AVERAGE(zip_med_inc_updated!Z$2:Z$4))</f>
        <v/>
      </c>
      <c r="AA2" t="str">
        <f>IF(COUNT(zip_med_inc_updated!AA$2:AA$4)=0,"",AVERAGE(zip_med_inc_updated!AA$2:AA$4))</f>
        <v/>
      </c>
      <c r="AB2" t="str">
        <f>IF(COUNT(zip_med_inc_updated!AB$2:AB$4)=0,"",AVERAGE(zip_med_inc_updated!AB$2:AB$4))</f>
        <v/>
      </c>
      <c r="AC2" t="str">
        <f>IF(COUNT(zip_med_inc_updated!AC$2:AC$4)=0,"",AVERAGE(zip_med_inc_updated!AC$2:AC$4))</f>
        <v/>
      </c>
      <c r="AD2" t="str">
        <f>IF(COUNT(zip_med_inc_updated!AD$2:AD$4)=0,"",AVERAGE(zip_med_inc_updated!AD$2:AD$4))</f>
        <v/>
      </c>
      <c r="AE2" t="str">
        <f>IF(COUNT(zip_med_inc_updated!AE$2:AE$4)=0,"",AVERAGE(zip_med_inc_updated!AE$2:AE$4))</f>
        <v/>
      </c>
      <c r="AF2" t="str">
        <f>IF(COUNT(zip_med_inc_updated!AF$2:AF$4)=0,"",AVERAGE(zip_med_inc_updated!AF$2:AF$4))</f>
        <v/>
      </c>
      <c r="AG2" t="str">
        <f>IF(COUNT(zip_med_inc_updated!AG$2:AG$4)=0,"",AVERAGE(zip_med_inc_updated!AG$2:AG$4))</f>
        <v/>
      </c>
      <c r="AH2" t="str">
        <f>IF(COUNT(zip_med_inc_updated!AH$2:AH$4)=0,"",AVERAGE(zip_med_inc_updated!AH$2:AH$4))</f>
        <v/>
      </c>
      <c r="AI2" t="str">
        <f>IF(COUNT(zip_med_inc_updated!AI$2:AI$4)=0,"",AVERAGE(zip_med_inc_updated!AI$2:AI$4))</f>
        <v/>
      </c>
      <c r="AJ2" t="str">
        <f>IF(COUNT(zip_med_inc_updated!AJ$2:AJ$4)=0,"",AVERAGE(zip_med_inc_updated!AJ$2:AJ$4))</f>
        <v/>
      </c>
      <c r="AK2" t="str">
        <f>IF(COUNT(zip_med_inc_updated!AK$2:AK$4)=0,"",AVERAGE(zip_med_inc_updated!AK$2:AK$4))</f>
        <v/>
      </c>
      <c r="AL2" t="str">
        <f>IF(COUNT(zip_med_inc_updated!AL$2:AL$4)=0,"",AVERAGE(zip_med_inc_updated!AL$2:AL$4))</f>
        <v/>
      </c>
      <c r="AM2" t="str">
        <f>IF(COUNT(zip_med_inc_updated!AM$2:AM$4)=0,"",AVERAGE(zip_med_inc_updated!AM$2:AM$4))</f>
        <v/>
      </c>
      <c r="AN2" t="str">
        <f>IF(COUNT(zip_med_inc_updated!AN$2:AN$4)=0,"",AVERAGE(zip_med_inc_updated!AN$2:AN$4))</f>
        <v/>
      </c>
      <c r="AO2" t="str">
        <f>IF(COUNT(zip_med_inc_updated!AO$2:AO$4)=0,"",AVERAGE(zip_med_inc_updated!AO$2:AO$4))</f>
        <v/>
      </c>
      <c r="AP2" t="str">
        <f>IF(COUNT(zip_med_inc_updated!AP$2:AP$4)=0,"",AVERAGE(zip_med_inc_updated!AP$2:AP$4))</f>
        <v/>
      </c>
      <c r="AQ2" t="str">
        <f>IF(COUNT(zip_med_inc_updated!AQ$2:AQ$4)=0,"",AVERAGE(zip_med_inc_updated!AQ$2:AQ$4))</f>
        <v/>
      </c>
      <c r="AR2" t="str">
        <f>IF(COUNT(zip_med_inc_updated!AR$2:AR$4)=0,"",AVERAGE(zip_med_inc_updated!AR$2:AR$4))</f>
        <v/>
      </c>
      <c r="AS2" t="str">
        <f>IF(COUNT(zip_med_inc_updated!AS$2:AS$4)=0,"",AVERAGE(zip_med_inc_updated!AS$2:AS$4))</f>
        <v/>
      </c>
      <c r="AT2" t="str">
        <f>IF(COUNT(zip_med_inc_updated!AT$2:AT$4)=0,"",AVERAGE(zip_med_inc_updated!AT$2:AT$4))</f>
        <v/>
      </c>
      <c r="AU2" t="str">
        <f>IF(COUNT(zip_med_inc_updated!AU$2:AU$4)=0,"",AVERAGE(zip_med_inc_updated!AU$2:AU$4))</f>
        <v/>
      </c>
      <c r="AV2" t="str">
        <f>IF(COUNT(zip_med_inc_updated!AV$2:AV$4)=0,"",AVERAGE(zip_med_inc_updated!AV$2:AV$4))</f>
        <v/>
      </c>
      <c r="AW2" t="str">
        <f>IF(COUNT(zip_med_inc_updated!AW$2:AW$4)=0,"",AVERAGE(zip_med_inc_updated!AW$2:AW$4))</f>
        <v/>
      </c>
      <c r="AX2" t="str">
        <f>IF(COUNT(zip_med_inc_updated!AX$2:AX$4)=0,"",AVERAGE(zip_med_inc_updated!AX$2:AX$4))</f>
        <v/>
      </c>
      <c r="AY2" t="str">
        <f>IF(COUNT(zip_med_inc_updated!AY$2:AY$4)=0,"",AVERAGE(zip_med_inc_updated!AY$2:AY$4))</f>
        <v/>
      </c>
      <c r="AZ2" t="str">
        <f>IF(COUNT(zip_med_inc_updated!AZ$2:AZ$4)=0,"",AVERAGE(zip_med_inc_updated!AZ$2:AZ$4))</f>
        <v/>
      </c>
      <c r="BA2" t="str">
        <f>IF(COUNT(zip_med_inc_updated!BA$2:BA$4)=0,"",AVERAGE(zip_med_inc_updated!BA$2:BA$4))</f>
        <v/>
      </c>
      <c r="BB2" t="str">
        <f>IF(COUNT(zip_med_inc_updated!BB$2:BB$4)=0,"",AVERAGE(zip_med_inc_updated!BB$2:BB$4))</f>
        <v/>
      </c>
      <c r="BC2" t="str">
        <f>IF(COUNT(zip_med_inc_updated!BC$2:BC$4)=0,"",AVERAGE(zip_med_inc_updated!BC$2:BC$4))</f>
        <v/>
      </c>
      <c r="BD2" t="str">
        <f>IF(COUNT(zip_med_inc_updated!BD$2:BD$4)=0,"",AVERAGE(zip_med_inc_updated!BD$2:BD$4))</f>
        <v/>
      </c>
      <c r="BE2" t="str">
        <f>IF(COUNT(zip_med_inc_updated!BE$2:BE$4)=0,"",AVERAGE(zip_med_inc_updated!BE$2:BE$4))</f>
        <v/>
      </c>
      <c r="BF2" t="str">
        <f>IF(COUNT(zip_med_inc_updated!BF$2:BF$4)=0,"",AVERAGE(zip_med_inc_updated!BF$2:BF$4))</f>
        <v/>
      </c>
      <c r="BG2">
        <f>IF(COUNT(zip_med_inc_updated!BG$2:BG$4)=0,"",AVERAGE(zip_med_inc_updated!BG$2:BG$4))</f>
        <v>88133</v>
      </c>
      <c r="BH2">
        <f>IF(COUNT(zip_med_inc_updated!BH$2:BH$4)=0,"",AVERAGE(zip_med_inc_updated!BH$2:BH$4))</f>
        <v>146740</v>
      </c>
      <c r="BI2">
        <f>IF(COUNT(zip_med_inc_updated!BI$2:BI$4)=0,"",AVERAGE(zip_med_inc_updated!BI$2:BI$4))</f>
        <v>170238.66666666666</v>
      </c>
      <c r="BJ2">
        <f>IF(COUNT(zip_med_inc_updated!BJ$2:BJ$4)=0,"",AVERAGE(zip_med_inc_updated!BJ$2:BJ$4))</f>
        <v>72075</v>
      </c>
      <c r="BK2">
        <f>IF(COUNT(zip_med_inc_updated!BK$2:BK$4)=0,"",AVERAGE(zip_med_inc_updated!BK$2:BK$4))</f>
        <v>132470</v>
      </c>
      <c r="BL2">
        <f>IF(COUNT(zip_med_inc_updated!BL$2:BL$4)=0,"",AVERAGE(zip_med_inc_updated!BL$2:BL$4))</f>
        <v>85484</v>
      </c>
      <c r="BM2">
        <f>IF(COUNT(zip_med_inc_updated!BM$2:BM$4)=0,"",AVERAGE(zip_med_inc_updated!BM$2:BM$4))</f>
        <v>61049</v>
      </c>
      <c r="BN2">
        <f>IF(COUNT(zip_med_inc_updated!BN$2:BN$4)=0,"",AVERAGE(zip_med_inc_updated!BN$2:BN$4))</f>
        <v>72254.666666666672</v>
      </c>
      <c r="BO2">
        <f>IF(COUNT(zip_med_inc_updated!BO$2:BO$4)=0,"",AVERAGE(zip_med_inc_updated!BO$2:BO$4))</f>
        <v>70490.666666666672</v>
      </c>
      <c r="BP2">
        <f>IF(COUNT(zip_med_inc_updated!BP$2:BP$4)=0,"",AVERAGE(zip_med_inc_updated!BP$2:BP$4))</f>
        <v>74912</v>
      </c>
      <c r="BQ2">
        <f>IF(COUNT(zip_med_inc_updated!BQ$2:BQ$4)=0,"",AVERAGE(zip_med_inc_updated!BQ$2:BQ$4))</f>
        <v>101820.33333333333</v>
      </c>
      <c r="BR2">
        <f>IF(COUNT(zip_med_inc_updated!BR$2:BR$4)=0,"",AVERAGE(zip_med_inc_updated!BR$2:BR$4))</f>
        <v>69375</v>
      </c>
      <c r="BS2">
        <f>IF(COUNT(zip_med_inc_updated!BS$2:BS$4)=0,"",AVERAGE(zip_med_inc_updated!BS$2:BS$4))</f>
        <v>114297</v>
      </c>
      <c r="BT2">
        <f>IF(COUNT(zip_med_inc_updated!BT$2:BT$4)=0,"",AVERAGE(zip_med_inc_updated!BT$2:BT$4))</f>
        <v>50152</v>
      </c>
      <c r="BU2">
        <f>IF(COUNT(zip_med_inc_updated!BU$2:BU$4)=0,"",AVERAGE(zip_med_inc_updated!BU$2:BU$4))</f>
        <v>150555.66666666666</v>
      </c>
      <c r="BV2">
        <f>IF(COUNT(zip_med_inc_updated!BV$2:BV$4)=0,"",AVERAGE(zip_med_inc_updated!BV$2:BV$4))</f>
        <v>139825.33333333334</v>
      </c>
      <c r="BW2">
        <f>IF(COUNT(zip_med_inc_updated!BW$2:BW$4)=0,"",AVERAGE(zip_med_inc_updated!BW$2:BW$4))</f>
        <v>91871.333333333328</v>
      </c>
      <c r="BX2">
        <f>IF(COUNT(zip_med_inc_updated!BX$2:BX$4)=0,"",AVERAGE(zip_med_inc_updated!BX$2:BX$4))</f>
        <v>132355</v>
      </c>
      <c r="BY2">
        <f>IF(COUNT(zip_med_inc_updated!BY$2:BY$4)=0,"",AVERAGE(zip_med_inc_updated!BY$2:BY$4))</f>
        <v>123974</v>
      </c>
      <c r="BZ2">
        <f>IF(COUNT(zip_med_inc_updated!BZ$2:BZ$4)=0,"",AVERAGE(zip_med_inc_updated!BZ$2:BZ$4))</f>
        <v>59614.666666666664</v>
      </c>
      <c r="CA2">
        <f>IF(COUNT(zip_med_inc_updated!CA$2:CA$4)=0,"",AVERAGE(zip_med_inc_updated!CA$2:CA$4))</f>
        <v>108174.33333333333</v>
      </c>
      <c r="CB2">
        <f>IF(COUNT(zip_med_inc_updated!CB$2:CB$4)=0,"",AVERAGE(zip_med_inc_updated!CB$2:CB$4))</f>
        <v>61045</v>
      </c>
      <c r="CC2">
        <f>IF(COUNT(zip_med_inc_updated!CC$2:CC$4)=0,"",AVERAGE(zip_med_inc_updated!CC$2:CC$4))</f>
        <v>62104</v>
      </c>
      <c r="CD2">
        <f>IF(COUNT(zip_med_inc_updated!CD$2:CD$4)=0,"",AVERAGE(zip_med_inc_updated!CD$2:CD$4))</f>
        <v>71068</v>
      </c>
      <c r="CE2">
        <f>IF(COUNT(zip_med_inc_updated!CE$2:CE$4)=0,"",AVERAGE(zip_med_inc_updated!CE$2:CE$4))</f>
        <v>90664.333333333328</v>
      </c>
      <c r="CF2">
        <f>IF(COUNT(zip_med_inc_updated!CF$2:CF$4)=0,"",AVERAGE(zip_med_inc_updated!CF$2:CF$4))</f>
        <v>132763.66666666666</v>
      </c>
      <c r="CG2">
        <f>IF(COUNT(zip_med_inc_updated!CG$2:CG$4)=0,"",AVERAGE(zip_med_inc_updated!CG$2:CG$4))</f>
        <v>143326.66666666666</v>
      </c>
      <c r="CH2">
        <f>IF(COUNT(zip_med_inc_updated!CH$2:CH$4)=0,"",AVERAGE(zip_med_inc_updated!CH$2:CH$4))</f>
        <v>92044.333333333328</v>
      </c>
      <c r="CI2">
        <f>IF(COUNT(zip_med_inc_updated!CI$2:CI$4)=0,"",AVERAGE(zip_med_inc_updated!CI$2:CI$4))</f>
        <v>75899.333333333328</v>
      </c>
      <c r="CJ2">
        <f>IF(COUNT(zip_med_inc_updated!CJ$2:CJ$4)=0,"",AVERAGE(zip_med_inc_updated!CJ$2:CJ$4))</f>
        <v>99535.333333333328</v>
      </c>
      <c r="CK2">
        <f>IF(COUNT(zip_med_inc_updated!CK$2:CK$4)=0,"",AVERAGE(zip_med_inc_updated!CK$2:CK$4))</f>
        <v>63290.666666666664</v>
      </c>
      <c r="CL2">
        <f>IF(COUNT(zip_med_inc_updated!CL$2:CL$4)=0,"",AVERAGE(zip_med_inc_updated!CL$2:CL$4))</f>
        <v>86848.666666666672</v>
      </c>
      <c r="CM2">
        <f>IF(COUNT(zip_med_inc_updated!CM$2:CM$4)=0,"",AVERAGE(zip_med_inc_updated!CM$2:CM$4))</f>
        <v>90281</v>
      </c>
      <c r="CN2">
        <f>IF(COUNT(zip_med_inc_updated!CN$2:CN$4)=0,"",AVERAGE(zip_med_inc_updated!CN$2:CN$4))</f>
        <v>73849</v>
      </c>
      <c r="CO2">
        <f>IF(COUNT(zip_med_inc_updated!CO$2:CO$4)=0,"",AVERAGE(zip_med_inc_updated!CO$2:CO$4))</f>
        <v>84949.666666666672</v>
      </c>
      <c r="CP2">
        <f>IF(COUNT(zip_med_inc_updated!CP$2:CP$4)=0,"",AVERAGE(zip_med_inc_updated!CP$2:CP$4))</f>
        <v>72285</v>
      </c>
      <c r="CQ2">
        <f>IF(COUNT(zip_med_inc_updated!CQ$2:CQ$4)=0,"",AVERAGE(zip_med_inc_updated!CQ$2:CQ$4))</f>
        <v>62544.333333333336</v>
      </c>
      <c r="CR2">
        <f>IF(COUNT(zip_med_inc_updated!CR$2:CR$4)=0,"",AVERAGE(zip_med_inc_updated!CR$2:CR$4))</f>
        <v>62824</v>
      </c>
      <c r="CS2">
        <f>IF(COUNT(zip_med_inc_updated!CS$2:CS$4)=0,"",AVERAGE(zip_med_inc_updated!CS$2:CS$4))</f>
        <v>128759</v>
      </c>
      <c r="CT2">
        <f>IF(COUNT(zip_med_inc_updated!CT$2:CT$4)=0,"",AVERAGE(zip_med_inc_updated!CT$2:CT$4))</f>
        <v>118400.66666666667</v>
      </c>
      <c r="CU2">
        <f>IF(COUNT(zip_med_inc_updated!CU$2:CU$4)=0,"",AVERAGE(zip_med_inc_updated!CU$2:CU$4))</f>
        <v>112150</v>
      </c>
      <c r="CV2">
        <f>IF(COUNT(zip_med_inc_updated!CV$2:CV$4)=0,"",AVERAGE(zip_med_inc_updated!CV$2:CV$4))</f>
        <v>77396</v>
      </c>
      <c r="CW2">
        <f>IF(COUNT(zip_med_inc_updated!CW$2:CW$4)=0,"",AVERAGE(zip_med_inc_updated!CW$2:CW$4))</f>
        <v>145363</v>
      </c>
      <c r="CX2">
        <f>IF(COUNT(zip_med_inc_updated!CX$2:CX$4)=0,"",AVERAGE(zip_med_inc_updated!CX$2:CX$4))</f>
        <v>54712</v>
      </c>
      <c r="CY2">
        <f>IF(COUNT(zip_med_inc_updated!CY$2:CY$4)=0,"",AVERAGE(zip_med_inc_updated!CY$2:CY$4))</f>
        <v>62709.333333333336</v>
      </c>
      <c r="CZ2">
        <f>IF(COUNT(zip_med_inc_updated!CZ$2:CZ$4)=0,"",AVERAGE(zip_med_inc_updated!CZ$2:CZ$4))</f>
        <v>69486.666666666672</v>
      </c>
      <c r="DA2">
        <f>IF(COUNT(zip_med_inc_updated!DA$2:DA$4)=0,"",AVERAGE(zip_med_inc_updated!DA$2:DA$4))</f>
        <v>153272.66666666666</v>
      </c>
      <c r="DB2">
        <f>IF(COUNT(zip_med_inc_updated!DB$2:DB$4)=0,"",AVERAGE(zip_med_inc_updated!DB$2:DB$4))</f>
        <v>111998</v>
      </c>
      <c r="DC2">
        <f>IF(COUNT(zip_med_inc_updated!DC$2:DC$4)=0,"",AVERAGE(zip_med_inc_updated!DC$2:DC$4))</f>
        <v>91946.666666666672</v>
      </c>
      <c r="DD2">
        <f>IF(COUNT(zip_med_inc_updated!DD$2:DD$4)=0,"",AVERAGE(zip_med_inc_updated!DD$2:DD$4))</f>
        <v>71397.333333333328</v>
      </c>
      <c r="DE2">
        <f>IF(COUNT(zip_med_inc_updated!DE$2:DE$4)=0,"",AVERAGE(zip_med_inc_updated!DE$2:DE$4))</f>
        <v>88322.333333333328</v>
      </c>
      <c r="DF2">
        <f>IF(COUNT(zip_med_inc_updated!DF$2:DF$4)=0,"",AVERAGE(zip_med_inc_updated!DF$2:DF$4))</f>
        <v>111861</v>
      </c>
      <c r="DG2">
        <f>IF(COUNT(zip_med_inc_updated!DG$2:DG$4)=0,"",AVERAGE(zip_med_inc_updated!DG$2:DG$4))</f>
        <v>53495.333333333336</v>
      </c>
      <c r="DH2">
        <f>IF(COUNT(zip_med_inc_updated!DH$2:DH$4)=0,"",AVERAGE(zip_med_inc_updated!DH$2:DH$4))</f>
        <v>81248</v>
      </c>
      <c r="DI2">
        <f>IF(COUNT(zip_med_inc_updated!DI$2:DI$4)=0,"",AVERAGE(zip_med_inc_updated!DI$2:DI$4))</f>
        <v>92909.333333333328</v>
      </c>
      <c r="DJ2">
        <f>IF(COUNT(zip_med_inc_updated!DJ$2:DJ$4)=0,"",AVERAGE(zip_med_inc_updated!DJ$2:DJ$4))</f>
        <v>64831.333333333336</v>
      </c>
      <c r="DK2" t="str">
        <f>IF(COUNT(zip_med_inc_updated!DK$2:DK$4)=0,"",AVERAGE(zip_med_inc_updated!DK$2:DK$4))</f>
        <v/>
      </c>
      <c r="DL2">
        <f>IF(COUNT(zip_med_inc_updated!DL$2:DL$4)=0,"",AVERAGE(zip_med_inc_updated!DL$2:DL$4))</f>
        <v>76451.666666666672</v>
      </c>
      <c r="DM2">
        <f>IF(COUNT(zip_med_inc_updated!DM$2:DM$4)=0,"",AVERAGE(zip_med_inc_updated!DM$2:DM$4))</f>
        <v>49194.333333333336</v>
      </c>
      <c r="DN2">
        <f>IF(COUNT(zip_med_inc_updated!DN$2:DN$4)=0,"",AVERAGE(zip_med_inc_updated!DN$2:DN$4))</f>
        <v>84660.666666666672</v>
      </c>
      <c r="DO2">
        <f>IF(COUNT(zip_med_inc_updated!DO$2:DO$4)=0,"",AVERAGE(zip_med_inc_updated!DO$2:DO$4))</f>
        <v>73279.666666666672</v>
      </c>
      <c r="DP2">
        <f>IF(COUNT(zip_med_inc_updated!DP$2:DP$4)=0,"",AVERAGE(zip_med_inc_updated!DP$2:DP$4))</f>
        <v>124879.66666666667</v>
      </c>
      <c r="DQ2">
        <f>IF(COUNT(zip_med_inc_updated!DQ$2:DQ$4)=0,"",AVERAGE(zip_med_inc_updated!DQ$2:DQ$4))</f>
        <v>106994.33333333333</v>
      </c>
      <c r="DR2">
        <f>IF(COUNT(zip_med_inc_updated!DR$2:DR$4)=0,"",AVERAGE(zip_med_inc_updated!DR$2:DR$4))</f>
        <v>91739.333333333328</v>
      </c>
      <c r="DS2">
        <f>IF(COUNT(zip_med_inc_updated!DS$2:DS$4)=0,"",AVERAGE(zip_med_inc_updated!DS$2:DS$4))</f>
        <v>75712.666666666672</v>
      </c>
      <c r="DT2">
        <f>IF(COUNT(zip_med_inc_updated!DT$2:DT$4)=0,"",AVERAGE(zip_med_inc_updated!DT$2:DT$4))</f>
        <v>67820.333333333328</v>
      </c>
      <c r="DU2">
        <f>IF(COUNT(zip_med_inc_updated!DU$2:DU$4)=0,"",AVERAGE(zip_med_inc_updated!DU$2:DU$4))</f>
        <v>85796</v>
      </c>
      <c r="DV2">
        <f>IF(COUNT(zip_med_inc_updated!DV$2:DV$4)=0,"",AVERAGE(zip_med_inc_updated!DV$2:DV$4))</f>
        <v>66681</v>
      </c>
      <c r="DW2">
        <f>IF(COUNT(zip_med_inc_updated!DW$2:DW$4)=0,"",AVERAGE(zip_med_inc_updated!DW$2:DW$4))</f>
        <v>105366</v>
      </c>
      <c r="DX2">
        <f>IF(COUNT(zip_med_inc_updated!DX$2:DX$4)=0,"",AVERAGE(zip_med_inc_updated!DX$2:DX$4))</f>
        <v>61104.333333333336</v>
      </c>
      <c r="DY2">
        <f>IF(COUNT(zip_med_inc_updated!DY$2:DY$4)=0,"",AVERAGE(zip_med_inc_updated!DY$2:DY$4))</f>
        <v>75112.666666666672</v>
      </c>
      <c r="DZ2" t="str">
        <f>IF(COUNT(zip_med_inc_updated!DZ$2:DZ$4)=0,"",AVERAGE(zip_med_inc_updated!DZ$2:DZ$4))</f>
        <v/>
      </c>
      <c r="EA2">
        <f>IF(COUNT(zip_med_inc_updated!EA$2:EA$4)=0,"",AVERAGE(zip_med_inc_updated!EA$2:EA$4))</f>
        <v>68662.333333333328</v>
      </c>
      <c r="EB2">
        <f>IF(COUNT(zip_med_inc_updated!EB$2:EB$4)=0,"",AVERAGE(zip_med_inc_updated!EB$2:EB$4))</f>
        <v>96795.333333333328</v>
      </c>
      <c r="EC2">
        <f>IF(COUNT(zip_med_inc_updated!EC$2:EC$4)=0,"",AVERAGE(zip_med_inc_updated!EC$2:EC$4))</f>
        <v>111959.33333333333</v>
      </c>
      <c r="ED2">
        <f>IF(COUNT(zip_med_inc_updated!ED$2:ED$4)=0,"",AVERAGE(zip_med_inc_updated!ED$2:ED$4))</f>
        <v>72866.666666666672</v>
      </c>
      <c r="EE2">
        <f>IF(COUNT(zip_med_inc_updated!EE$2:EE$4)=0,"",AVERAGE(zip_med_inc_updated!EE$2:EE$4))</f>
        <v>58193.666666666664</v>
      </c>
      <c r="EF2" t="str">
        <f>IF(COUNT(zip_med_inc_updated!EF$2:EF$4)=0,"",AVERAGE(zip_med_inc_updated!EF$2:EF$4))</f>
        <v/>
      </c>
      <c r="EG2">
        <f>IF(COUNT(zip_med_inc_updated!EG$2:EG$4)=0,"",AVERAGE(zip_med_inc_updated!EG$2:EG$4))</f>
        <v>83614.333333333328</v>
      </c>
      <c r="EH2">
        <f>IF(COUNT(zip_med_inc_updated!EH$2:EH$4)=0,"",AVERAGE(zip_med_inc_updated!EH$2:EH$4))</f>
        <v>76354</v>
      </c>
      <c r="EI2">
        <f>IF(COUNT(zip_med_inc_updated!EI$2:EI$4)=0,"",AVERAGE(zip_med_inc_updated!EI$2:EI$4))</f>
        <v>63175</v>
      </c>
      <c r="EJ2">
        <f>IF(COUNT(zip_med_inc_updated!EJ$2:EJ$4)=0,"",AVERAGE(zip_med_inc_updated!EJ$2:EJ$4))</f>
        <v>71949.666666666672</v>
      </c>
      <c r="EK2">
        <f>IF(COUNT(zip_med_inc_updated!EK$2:EK$4)=0,"",AVERAGE(zip_med_inc_updated!EK$2:EK$4))</f>
        <v>54472.666666666664</v>
      </c>
      <c r="EL2">
        <f>IF(COUNT(zip_med_inc_updated!EL$2:EL$4)=0,"",AVERAGE(zip_med_inc_updated!EL$2:EL$4))</f>
        <v>98755</v>
      </c>
      <c r="EM2">
        <f>IF(COUNT(zip_med_inc_updated!EM$2:EM$4)=0,"",AVERAGE(zip_med_inc_updated!EM$2:EM$4))</f>
        <v>104578.33333333333</v>
      </c>
      <c r="EN2">
        <f>IF(COUNT(zip_med_inc_updated!EN$2:EN$4)=0,"",AVERAGE(zip_med_inc_updated!EN$2:EN$4))</f>
        <v>103375</v>
      </c>
      <c r="EO2">
        <f>IF(COUNT(zip_med_inc_updated!EO$2:EO$4)=0,"",AVERAGE(zip_med_inc_updated!EO$2:EO$4))</f>
        <v>72822</v>
      </c>
      <c r="EP2">
        <f>IF(COUNT(zip_med_inc_updated!EP$2:EP$4)=0,"",AVERAGE(zip_med_inc_updated!EP$2:EP$4))</f>
        <v>92284.333333333328</v>
      </c>
      <c r="EQ2">
        <f>IF(COUNT(zip_med_inc_updated!EQ$2:EQ$4)=0,"",AVERAGE(zip_med_inc_updated!EQ$2:EQ$4))</f>
        <v>77066</v>
      </c>
      <c r="ER2">
        <f>IF(COUNT(zip_med_inc_updated!ER$2:ER$4)=0,"",AVERAGE(zip_med_inc_updated!ER$2:ER$4))</f>
        <v>64852.666666666664</v>
      </c>
      <c r="ES2">
        <f>IF(COUNT(zip_med_inc_updated!ES$2:ES$4)=0,"",AVERAGE(zip_med_inc_updated!ES$2:ES$4))</f>
        <v>84779.666666666672</v>
      </c>
      <c r="ET2">
        <f>IF(COUNT(zip_med_inc_updated!ET$2:ET$4)=0,"",AVERAGE(zip_med_inc_updated!ET$2:ET$4))</f>
        <v>79213</v>
      </c>
      <c r="EU2">
        <f>IF(COUNT(zip_med_inc_updated!EU$2:EU$4)=0,"",AVERAGE(zip_med_inc_updated!EU$2:EU$4))</f>
        <v>85284.333333333328</v>
      </c>
      <c r="EV2">
        <f>IF(COUNT(zip_med_inc_updated!EV$2:EV$4)=0,"",AVERAGE(zip_med_inc_updated!EV$2:EV$4))</f>
        <v>77045.333333333328</v>
      </c>
      <c r="EW2">
        <f>IF(COUNT(zip_med_inc_updated!EW$2:EW$4)=0,"",AVERAGE(zip_med_inc_updated!EW$2:EW$4))</f>
        <v>59446.333333333336</v>
      </c>
      <c r="EX2">
        <f>IF(COUNT(zip_med_inc_updated!EX$2:EX$4)=0,"",AVERAGE(zip_med_inc_updated!EX$2:EX$4))</f>
        <v>94835</v>
      </c>
      <c r="EY2" t="str">
        <f>IF(COUNT(zip_med_inc_updated!EY$2:EY$4)=0,"",AVERAGE(zip_med_inc_updated!EY$2:EY$4))</f>
        <v/>
      </c>
      <c r="EZ2">
        <f>IF(COUNT(zip_med_inc_updated!EZ$2:EZ$4)=0,"",AVERAGE(zip_med_inc_updated!EZ$2:EZ$4))</f>
        <v>122245.66666666667</v>
      </c>
      <c r="FA2">
        <f>IF(COUNT(zip_med_inc_updated!FA$2:FA$4)=0,"",AVERAGE(zip_med_inc_updated!FA$2:FA$4))</f>
        <v>55391.666666666664</v>
      </c>
      <c r="FB2">
        <f>IF(COUNT(zip_med_inc_updated!FB$2:FB$4)=0,"",AVERAGE(zip_med_inc_updated!FB$2:FB$4))</f>
        <v>90720</v>
      </c>
      <c r="FC2">
        <f>IF(COUNT(zip_med_inc_updated!FC$2:FC$4)=0,"",AVERAGE(zip_med_inc_updated!FC$2:FC$4))</f>
        <v>59113</v>
      </c>
      <c r="FD2">
        <f>IF(COUNT(zip_med_inc_updated!FD$2:FD$4)=0,"",AVERAGE(zip_med_inc_updated!FD$2:FD$4))</f>
        <v>63519</v>
      </c>
      <c r="FE2">
        <f>IF(COUNT(zip_med_inc_updated!FE$2:FE$4)=0,"",AVERAGE(zip_med_inc_updated!FE$2:FE$4))</f>
        <v>64553.666666666664</v>
      </c>
      <c r="FF2">
        <f>IF(COUNT(zip_med_inc_updated!FF$2:FF$4)=0,"",AVERAGE(zip_med_inc_updated!FF$2:FF$4))</f>
        <v>84140</v>
      </c>
      <c r="FG2">
        <f>IF(COUNT(zip_med_inc_updated!FG$2:FG$4)=0,"",AVERAGE(zip_med_inc_updated!FG$2:FG$4))</f>
        <v>80495.333333333328</v>
      </c>
      <c r="FH2">
        <f>IF(COUNT(zip_med_inc_updated!FH$2:FH$4)=0,"",AVERAGE(zip_med_inc_updated!FH$2:FH$4))</f>
        <v>56528</v>
      </c>
      <c r="FI2">
        <f>IF(COUNT(zip_med_inc_updated!FI$2:FI$4)=0,"",AVERAGE(zip_med_inc_updated!FI$2:FI$4))</f>
        <v>66619</v>
      </c>
      <c r="FJ2">
        <f>IF(COUNT(zip_med_inc_updated!FJ$2:FJ$4)=0,"",AVERAGE(zip_med_inc_updated!FJ$2:FJ$4))</f>
        <v>60551.666666666664</v>
      </c>
      <c r="FK2" t="str">
        <f>IF(COUNT(zip_med_inc_updated!FK$2:FK$4)=0,"",AVERAGE(zip_med_inc_updated!FK$2:FK$4))</f>
        <v/>
      </c>
      <c r="FL2">
        <f>IF(COUNT(zip_med_inc_updated!FL$2:FL$4)=0,"",AVERAGE(zip_med_inc_updated!FL$2:FL$4))</f>
        <v>66252</v>
      </c>
      <c r="FM2">
        <f>IF(COUNT(zip_med_inc_updated!FM$2:FM$4)=0,"",AVERAGE(zip_med_inc_updated!FM$2:FM$4))</f>
        <v>76885</v>
      </c>
      <c r="FN2">
        <f>IF(COUNT(zip_med_inc_updated!FN$2:FN$4)=0,"",AVERAGE(zip_med_inc_updated!FN$2:FN$4))</f>
        <v>88121.666666666672</v>
      </c>
      <c r="FO2">
        <f>IF(COUNT(zip_med_inc_updated!FO$2:FO$4)=0,"",AVERAGE(zip_med_inc_updated!FO$2:FO$4))</f>
        <v>54594.666666666664</v>
      </c>
      <c r="FP2">
        <f>IF(COUNT(zip_med_inc_updated!FP$2:FP$4)=0,"",AVERAGE(zip_med_inc_updated!FP$2:FP$4))</f>
        <v>93300</v>
      </c>
      <c r="FQ2">
        <f>IF(COUNT(zip_med_inc_updated!FQ$2:FQ$4)=0,"",AVERAGE(zip_med_inc_updated!FQ$2:FQ$4))</f>
        <v>106154.33333333333</v>
      </c>
      <c r="FR2">
        <f>IF(COUNT(zip_med_inc_updated!FR$2:FR$4)=0,"",AVERAGE(zip_med_inc_updated!FR$2:FR$4))</f>
        <v>65035.333333333336</v>
      </c>
      <c r="FS2">
        <f>IF(COUNT(zip_med_inc_updated!FS$2:FS$4)=0,"",AVERAGE(zip_med_inc_updated!FS$2:FS$4))</f>
        <v>98957.666666666672</v>
      </c>
      <c r="FT2">
        <f>IF(COUNT(zip_med_inc_updated!FT$2:FT$4)=0,"",AVERAGE(zip_med_inc_updated!FT$2:FT$4))</f>
        <v>104235.33333333333</v>
      </c>
      <c r="FU2">
        <f>IF(COUNT(zip_med_inc_updated!FU$2:FU$4)=0,"",AVERAGE(zip_med_inc_updated!FU$2:FU$4))</f>
        <v>109249.66666666667</v>
      </c>
      <c r="FV2">
        <f>IF(COUNT(zip_med_inc_updated!FV$2:FV$4)=0,"",AVERAGE(zip_med_inc_updated!FV$2:FV$4))</f>
        <v>61174.666666666664</v>
      </c>
      <c r="FW2">
        <f>IF(COUNT(zip_med_inc_updated!FW$2:FW$4)=0,"",AVERAGE(zip_med_inc_updated!FW$2:FW$4))</f>
        <v>114851.33333333333</v>
      </c>
      <c r="FX2">
        <f>IF(COUNT(zip_med_inc_updated!FX$2:FX$4)=0,"",AVERAGE(zip_med_inc_updated!FX$2:FX$4))</f>
        <v>82402.666666666672</v>
      </c>
      <c r="FY2">
        <f>IF(COUNT(zip_med_inc_updated!FY$2:FY$4)=0,"",AVERAGE(zip_med_inc_updated!FY$2:FY$4))</f>
        <v>90187.333333333328</v>
      </c>
      <c r="FZ2">
        <f>IF(COUNT(zip_med_inc_updated!FZ$2:FZ$4)=0,"",AVERAGE(zip_med_inc_updated!FZ$2:FZ$4))</f>
        <v>87023.333333333328</v>
      </c>
      <c r="GA2">
        <f>IF(COUNT(zip_med_inc_updated!GA$2:GA$4)=0,"",AVERAGE(zip_med_inc_updated!GA$2:GA$4))</f>
        <v>116084</v>
      </c>
      <c r="GB2">
        <f>IF(COUNT(zip_med_inc_updated!GB$2:GB$4)=0,"",AVERAGE(zip_med_inc_updated!GB$2:GB$4))</f>
        <v>69669.666666666672</v>
      </c>
      <c r="GC2">
        <f>IF(COUNT(zip_med_inc_updated!GC$2:GC$4)=0,"",AVERAGE(zip_med_inc_updated!GC$2:GC$4))</f>
        <v>58178.333333333336</v>
      </c>
      <c r="GD2">
        <f>IF(COUNT(zip_med_inc_updated!GD$2:GD$4)=0,"",AVERAGE(zip_med_inc_updated!GD$2:GD$4))</f>
        <v>64869</v>
      </c>
      <c r="GE2">
        <f>IF(COUNT(zip_med_inc_updated!GE$2:GE$4)=0,"",AVERAGE(zip_med_inc_updated!GE$2:GE$4))</f>
        <v>75206.333333333328</v>
      </c>
      <c r="GF2">
        <f>IF(COUNT(zip_med_inc_updated!GF$2:GF$4)=0,"",AVERAGE(zip_med_inc_updated!GF$2:GF$4))</f>
        <v>62136.333333333336</v>
      </c>
      <c r="GG2">
        <f>IF(COUNT(zip_med_inc_updated!GG$2:GG$4)=0,"",AVERAGE(zip_med_inc_updated!GG$2:GG$4))</f>
        <v>55845.333333333336</v>
      </c>
      <c r="GH2">
        <f>IF(COUNT(zip_med_inc_updated!GH$2:GH$4)=0,"",AVERAGE(zip_med_inc_updated!GH$2:GH$4))</f>
        <v>69728.333333333328</v>
      </c>
      <c r="GI2">
        <f>IF(COUNT(zip_med_inc_updated!GI$2:GI$4)=0,"",AVERAGE(zip_med_inc_updated!GI$2:GI$4))</f>
        <v>80852.333333333328</v>
      </c>
      <c r="GJ2">
        <f>IF(COUNT(zip_med_inc_updated!GJ$2:GJ$4)=0,"",AVERAGE(zip_med_inc_updated!GJ$2:GJ$4))</f>
        <v>25131.333333333332</v>
      </c>
      <c r="GK2">
        <f>IF(COUNT(zip_med_inc_updated!GK$2:GK$4)=0,"",AVERAGE(zip_med_inc_updated!GK$2:GK$4))</f>
        <v>59003.666666666664</v>
      </c>
      <c r="GL2">
        <f>IF(COUNT(zip_med_inc_updated!GL$2:GL$4)=0,"",AVERAGE(zip_med_inc_updated!GL$2:GL$4))</f>
        <v>69958.666666666672</v>
      </c>
      <c r="GM2">
        <f>IF(COUNT(zip_med_inc_updated!GM$2:GM$4)=0,"",AVERAGE(zip_med_inc_updated!GM$2:GM$4))</f>
        <v>49383.666666666664</v>
      </c>
      <c r="GN2">
        <f>IF(COUNT(zip_med_inc_updated!GN$2:GN$4)=0,"",AVERAGE(zip_med_inc_updated!GN$2:GN$4))</f>
        <v>67166.666666666672</v>
      </c>
      <c r="GO2">
        <f>IF(COUNT(zip_med_inc_updated!GO$2:GO$4)=0,"",AVERAGE(zip_med_inc_updated!GO$2:GO$4))</f>
        <v>60706</v>
      </c>
      <c r="GP2">
        <f>IF(COUNT(zip_med_inc_updated!GP$2:GP$4)=0,"",AVERAGE(zip_med_inc_updated!GP$2:GP$4))</f>
        <v>59564.666666666664</v>
      </c>
      <c r="GQ2">
        <f>IF(COUNT(zip_med_inc_updated!GQ$2:GQ$4)=0,"",AVERAGE(zip_med_inc_updated!GQ$2:GQ$4))</f>
        <v>49229.333333333336</v>
      </c>
      <c r="GR2">
        <f>IF(COUNT(zip_med_inc_updated!GR$2:GR$4)=0,"",AVERAGE(zip_med_inc_updated!GR$2:GR$4))</f>
        <v>83144</v>
      </c>
      <c r="GS2" t="str">
        <f>IF(COUNT(zip_med_inc_updated!GS$2:GS$4)=0,"",AVERAGE(zip_med_inc_updated!GS$2:GS$4))</f>
        <v/>
      </c>
      <c r="GT2">
        <f>IF(COUNT(zip_med_inc_updated!GT$2:GT$4)=0,"",AVERAGE(zip_med_inc_updated!GT$2:GT$4))</f>
        <v>62699.666666666664</v>
      </c>
      <c r="GU2">
        <f>IF(COUNT(zip_med_inc_updated!GU$2:GU$4)=0,"",AVERAGE(zip_med_inc_updated!GU$2:GU$4))</f>
        <v>98897</v>
      </c>
      <c r="GV2">
        <f>IF(COUNT(zip_med_inc_updated!GV$2:GV$4)=0,"",AVERAGE(zip_med_inc_updated!GV$2:GV$4))</f>
        <v>81396.666666666672</v>
      </c>
      <c r="GW2">
        <f>IF(COUNT(zip_med_inc_updated!GW$2:GW$4)=0,"",AVERAGE(zip_med_inc_updated!GW$2:GW$4))</f>
        <v>80653</v>
      </c>
      <c r="GX2">
        <f>IF(COUNT(zip_med_inc_updated!GX$2:GX$4)=0,"",AVERAGE(zip_med_inc_updated!GX$2:GX$4))</f>
        <v>69878.666666666672</v>
      </c>
      <c r="GY2">
        <f>IF(COUNT(zip_med_inc_updated!GY$2:GY$4)=0,"",AVERAGE(zip_med_inc_updated!GY$2:GY$4))</f>
        <v>57431.666666666664</v>
      </c>
      <c r="GZ2">
        <f>IF(COUNT(zip_med_inc_updated!GZ$2:GZ$4)=0,"",AVERAGE(zip_med_inc_updated!GZ$2:GZ$4))</f>
        <v>104012</v>
      </c>
      <c r="HA2">
        <f>IF(COUNT(zip_med_inc_updated!HA$2:HA$4)=0,"",AVERAGE(zip_med_inc_updated!HA$2:HA$4))</f>
        <v>53895.666666666664</v>
      </c>
      <c r="HB2">
        <f>IF(COUNT(zip_med_inc_updated!HB$2:HB$4)=0,"",AVERAGE(zip_med_inc_updated!HB$2:HB$4))</f>
        <v>77865.666666666672</v>
      </c>
      <c r="HC2">
        <f>IF(COUNT(zip_med_inc_updated!HC$2:HC$4)=0,"",AVERAGE(zip_med_inc_updated!HC$2:HC$4))</f>
        <v>105081</v>
      </c>
      <c r="HD2">
        <f>IF(COUNT(zip_med_inc_updated!HD$2:HD$4)=0,"",AVERAGE(zip_med_inc_updated!HD$2:HD$4))</f>
        <v>78108.333333333328</v>
      </c>
      <c r="HE2">
        <f>IF(COUNT(zip_med_inc_updated!HE$2:HE$4)=0,"",AVERAGE(zip_med_inc_updated!HE$2:HE$4))</f>
        <v>111907</v>
      </c>
      <c r="HF2" t="str">
        <f>IF(COUNT(zip_med_inc_updated!HF$2:HF$4)=0,"",AVERAGE(zip_med_inc_updated!HF$2:HF$4))</f>
        <v/>
      </c>
      <c r="HG2">
        <f>IF(COUNT(zip_med_inc_updated!HG$2:HG$4)=0,"",AVERAGE(zip_med_inc_updated!HG$2:HG$4))</f>
        <v>68379</v>
      </c>
      <c r="HH2">
        <f>IF(COUNT(zip_med_inc_updated!HH$2:HH$4)=0,"",AVERAGE(zip_med_inc_updated!HH$2:HH$4))</f>
        <v>51000.333333333336</v>
      </c>
      <c r="HI2">
        <f>IF(COUNT(zip_med_inc_updated!HI$2:HI$4)=0,"",AVERAGE(zip_med_inc_updated!HI$2:HI$4))</f>
        <v>77800</v>
      </c>
      <c r="HJ2">
        <f>IF(COUNT(zip_med_inc_updated!HJ$2:HJ$4)=0,"",AVERAGE(zip_med_inc_updated!HJ$2:HJ$4))</f>
        <v>103533.33333333333</v>
      </c>
      <c r="HK2">
        <f>IF(COUNT(zip_med_inc_updated!HK$2:HK$4)=0,"",AVERAGE(zip_med_inc_updated!HK$2:HK$4))</f>
        <v>118620.66666666667</v>
      </c>
      <c r="HL2">
        <f>IF(COUNT(zip_med_inc_updated!HL$2:HL$4)=0,"",AVERAGE(zip_med_inc_updated!HL$2:HL$4))</f>
        <v>69885</v>
      </c>
      <c r="HM2" t="str">
        <f>IF(COUNT(zip_med_inc_updated!HM$2:HM$4)=0,"",AVERAGE(zip_med_inc_updated!HM$2:HM$4))</f>
        <v/>
      </c>
      <c r="HN2">
        <f>IF(COUNT(zip_med_inc_updated!HN$2:HN$4)=0,"",AVERAGE(zip_med_inc_updated!HN$2:HN$4))</f>
        <v>80284.333333333328</v>
      </c>
      <c r="HO2">
        <f>IF(COUNT(zip_med_inc_updated!HO$2:HO$4)=0,"",AVERAGE(zip_med_inc_updated!HO$2:HO$4))</f>
        <v>51319.666666666664</v>
      </c>
      <c r="HP2">
        <f>IF(COUNT(zip_med_inc_updated!HP$2:HP$4)=0,"",AVERAGE(zip_med_inc_updated!HP$2:HP$4))</f>
        <v>50283</v>
      </c>
      <c r="HQ2">
        <f>IF(COUNT(zip_med_inc_updated!HQ$2:HQ$4)=0,"",AVERAGE(zip_med_inc_updated!HQ$2:HQ$4))</f>
        <v>250001</v>
      </c>
      <c r="HR2">
        <f>IF(COUNT(zip_med_inc_updated!HR$2:HR$4)=0,"",AVERAGE(zip_med_inc_updated!HR$2:HR$4))</f>
        <v>118166</v>
      </c>
      <c r="HS2">
        <f>IF(COUNT(zip_med_inc_updated!HS$2:HS$4)=0,"",AVERAGE(zip_med_inc_updated!HS$2:HS$4))</f>
        <v>46560.666666666664</v>
      </c>
      <c r="HT2">
        <f>IF(COUNT(zip_med_inc_updated!HT$2:HT$4)=0,"",AVERAGE(zip_med_inc_updated!HT$2:HT$4))</f>
        <v>83085</v>
      </c>
      <c r="HU2">
        <f>IF(COUNT(zip_med_inc_updated!HU$2:HU$4)=0,"",AVERAGE(zip_med_inc_updated!HU$2:HU$4))</f>
        <v>55885</v>
      </c>
      <c r="HV2">
        <f>IF(COUNT(zip_med_inc_updated!HV$2:HV$4)=0,"",AVERAGE(zip_med_inc_updated!HV$2:HV$4))</f>
        <v>76700.333333333328</v>
      </c>
      <c r="HW2">
        <f>IF(COUNT(zip_med_inc_updated!HW$2:HW$4)=0,"",AVERAGE(zip_med_inc_updated!HW$2:HW$4))</f>
        <v>78485</v>
      </c>
      <c r="HX2">
        <f>IF(COUNT(zip_med_inc_updated!HX$2:HX$4)=0,"",AVERAGE(zip_med_inc_updated!HX$2:HX$4))</f>
        <v>60804.333333333336</v>
      </c>
      <c r="HY2">
        <f>IF(COUNT(zip_med_inc_updated!HY$2:HY$4)=0,"",AVERAGE(zip_med_inc_updated!HY$2:HY$4))</f>
        <v>45122</v>
      </c>
      <c r="HZ2" t="str">
        <f>IF(COUNT(zip_med_inc_updated!HZ$2:HZ$4)=0,"",AVERAGE(zip_med_inc_updated!HZ$2:HZ$4))</f>
        <v/>
      </c>
      <c r="IA2">
        <f>IF(COUNT(zip_med_inc_updated!IA$2:IA$4)=0,"",AVERAGE(zip_med_inc_updated!IA$2:IA$4))</f>
        <v>106241.66666666667</v>
      </c>
      <c r="IB2">
        <f>IF(COUNT(zip_med_inc_updated!IB$2:IB$4)=0,"",AVERAGE(zip_med_inc_updated!IB$2:IB$4))</f>
        <v>125613.66666666667</v>
      </c>
      <c r="IC2">
        <f>IF(COUNT(zip_med_inc_updated!IC$2:IC$4)=0,"",AVERAGE(zip_med_inc_updated!IC$2:IC$4))</f>
        <v>142882.33333333334</v>
      </c>
      <c r="ID2">
        <f>IF(COUNT(zip_med_inc_updated!ID$2:ID$4)=0,"",AVERAGE(zip_med_inc_updated!ID$2:ID$4))</f>
        <v>82180.666666666672</v>
      </c>
      <c r="IE2">
        <f>IF(COUNT(zip_med_inc_updated!IE$2:IE$4)=0,"",AVERAGE(zip_med_inc_updated!IE$2:IE$4))</f>
        <v>112089.66666666667</v>
      </c>
      <c r="IF2">
        <f>IF(COUNT(zip_med_inc_updated!IF$2:IF$4)=0,"",AVERAGE(zip_med_inc_updated!IF$2:IF$4))</f>
        <v>48073.333333333336</v>
      </c>
      <c r="IG2">
        <f>IF(COUNT(zip_med_inc_updated!IG$2:IG$4)=0,"",AVERAGE(zip_med_inc_updated!IG$2:IG$4))</f>
        <v>49626.333333333336</v>
      </c>
      <c r="IH2">
        <f>IF(COUNT(zip_med_inc_updated!IH$2:IH$4)=0,"",AVERAGE(zip_med_inc_updated!IH$2:IH$4))</f>
        <v>76427.333333333328</v>
      </c>
      <c r="II2">
        <f>IF(COUNT(zip_med_inc_updated!II$2:II$4)=0,"",AVERAGE(zip_med_inc_updated!II$2:II$4))</f>
        <v>76180.666666666672</v>
      </c>
      <c r="IJ2">
        <f>IF(COUNT(zip_med_inc_updated!IJ$2:IJ$4)=0,"",AVERAGE(zip_med_inc_updated!IJ$2:IJ$4))</f>
        <v>37111</v>
      </c>
      <c r="IK2">
        <f>IF(COUNT(zip_med_inc_updated!IK$2:IK$4)=0,"",AVERAGE(zip_med_inc_updated!IK$2:IK$4))</f>
        <v>43213.666666666664</v>
      </c>
      <c r="IL2">
        <f>IF(COUNT(zip_med_inc_updated!IL$2:IL$4)=0,"",AVERAGE(zip_med_inc_updated!IL$2:IL$4))</f>
        <v>96839</v>
      </c>
      <c r="IM2">
        <f>IF(COUNT(zip_med_inc_updated!IM$2:IM$4)=0,"",AVERAGE(zip_med_inc_updated!IM$2:IM$4))</f>
        <v>106310</v>
      </c>
      <c r="IN2">
        <f>IF(COUNT(zip_med_inc_updated!IN$2:IN$4)=0,"",AVERAGE(zip_med_inc_updated!IN$2:IN$4))</f>
        <v>77326</v>
      </c>
      <c r="IO2">
        <f>IF(COUNT(zip_med_inc_updated!IO$2:IO$4)=0,"",AVERAGE(zip_med_inc_updated!IO$2:IO$4))</f>
        <v>130423.66666666667</v>
      </c>
      <c r="IP2" t="str">
        <f>IF(COUNT(zip_med_inc_updated!IP$2:IP$4)=0,"",AVERAGE(zip_med_inc_updated!IP$2:IP$4))</f>
        <v/>
      </c>
      <c r="IQ2">
        <f>IF(COUNT(zip_med_inc_updated!IQ$2:IQ$4)=0,"",AVERAGE(zip_med_inc_updated!IQ$2:IQ$4))</f>
        <v>92130.666666666672</v>
      </c>
      <c r="IR2">
        <f>IF(COUNT(zip_med_inc_updated!IR$2:IR$4)=0,"",AVERAGE(zip_med_inc_updated!IR$2:IR$4))</f>
        <v>115267.66666666667</v>
      </c>
      <c r="IS2">
        <f>IF(COUNT(zip_med_inc_updated!IS$2:IS$4)=0,"",AVERAGE(zip_med_inc_updated!IS$2:IS$4))</f>
        <v>181776</v>
      </c>
      <c r="IT2">
        <f>IF(COUNT(zip_med_inc_updated!IT$2:IT$4)=0,"",AVERAGE(zip_med_inc_updated!IT$2:IT$4))</f>
        <v>109011</v>
      </c>
      <c r="IU2">
        <f>IF(COUNT(zip_med_inc_updated!IU$2:IU$4)=0,"",AVERAGE(zip_med_inc_updated!IU$2:IU$4))</f>
        <v>72486.333333333328</v>
      </c>
      <c r="IV2">
        <f>IF(COUNT(zip_med_inc_updated!IV$2:IV$4)=0,"",AVERAGE(zip_med_inc_updated!IV$2:IV$4))</f>
        <v>61639.666666666664</v>
      </c>
      <c r="IW2" t="str">
        <f>IF(COUNT(zip_med_inc_updated!IW$2:IW$4)=0,"",AVERAGE(zip_med_inc_updated!IW$2:IW$4))</f>
        <v/>
      </c>
      <c r="IX2" t="str">
        <f>IF(COUNT(zip_med_inc_updated!IX$2:IX$4)=0,"",AVERAGE(zip_med_inc_updated!IX$2:IX$4))</f>
        <v/>
      </c>
      <c r="IY2">
        <f>IF(COUNT(zip_med_inc_updated!IY$2:IY$4)=0,"",AVERAGE(zip_med_inc_updated!IY$2:IY$4))</f>
        <v>52894</v>
      </c>
      <c r="IZ2">
        <f>IF(COUNT(zip_med_inc_updated!IZ$2:IZ$4)=0,"",AVERAGE(zip_med_inc_updated!IZ$2:IZ$4))</f>
        <v>50139.333333333336</v>
      </c>
      <c r="JA2">
        <f>IF(COUNT(zip_med_inc_updated!JA$2:JA$4)=0,"",AVERAGE(zip_med_inc_updated!JA$2:JA$4))</f>
        <v>127068</v>
      </c>
      <c r="JB2">
        <f>IF(COUNT(zip_med_inc_updated!JB$2:JB$4)=0,"",AVERAGE(zip_med_inc_updated!JB$2:JB$4))</f>
        <v>100477.33333333333</v>
      </c>
      <c r="JC2">
        <f>IF(COUNT(zip_med_inc_updated!JC$2:JC$4)=0,"",AVERAGE(zip_med_inc_updated!JC$2:JC$4))</f>
        <v>59176</v>
      </c>
      <c r="JD2">
        <f>IF(COUNT(zip_med_inc_updated!JD$2:JD$4)=0,"",AVERAGE(zip_med_inc_updated!JD$2:JD$4))</f>
        <v>81063.666666666672</v>
      </c>
      <c r="JE2">
        <f>IF(COUNT(zip_med_inc_updated!JE$2:JE$4)=0,"",AVERAGE(zip_med_inc_updated!JE$2:JE$4))</f>
        <v>119251.66666666667</v>
      </c>
      <c r="JF2">
        <f>IF(COUNT(zip_med_inc_updated!JF$2:JF$4)=0,"",AVERAGE(zip_med_inc_updated!JF$2:JF$4))</f>
        <v>62245.666666666664</v>
      </c>
      <c r="JG2">
        <f>IF(COUNT(zip_med_inc_updated!JG$2:JG$4)=0,"",AVERAGE(zip_med_inc_updated!JG$2:JG$4))</f>
        <v>107026.66666666667</v>
      </c>
      <c r="JH2">
        <f>IF(COUNT(zip_med_inc_updated!JH$2:JH$4)=0,"",AVERAGE(zip_med_inc_updated!JH$2:JH$4))</f>
        <v>77839.333333333328</v>
      </c>
      <c r="JI2">
        <f>IF(COUNT(zip_med_inc_updated!JI$2:JI$4)=0,"",AVERAGE(zip_med_inc_updated!JI$2:JI$4))</f>
        <v>63489.333333333336</v>
      </c>
      <c r="JJ2">
        <f>IF(COUNT(zip_med_inc_updated!JJ$2:JJ$4)=0,"",AVERAGE(zip_med_inc_updated!JJ$2:JJ$4))</f>
        <v>83289</v>
      </c>
      <c r="JK2">
        <f>IF(COUNT(zip_med_inc_updated!JK$2:JK$4)=0,"",AVERAGE(zip_med_inc_updated!JK$2:JK$4))</f>
        <v>56181.666666666664</v>
      </c>
      <c r="JL2">
        <f>IF(COUNT(zip_med_inc_updated!JL$2:JL$4)=0,"",AVERAGE(zip_med_inc_updated!JL$2:JL$4))</f>
        <v>89885.666666666672</v>
      </c>
      <c r="JM2">
        <f>IF(COUNT(zip_med_inc_updated!JM$2:JM$4)=0,"",AVERAGE(zip_med_inc_updated!JM$2:JM$4))</f>
        <v>111716.66666666667</v>
      </c>
      <c r="JN2">
        <f>IF(COUNT(zip_med_inc_updated!JN$2:JN$4)=0,"",AVERAGE(zip_med_inc_updated!JN$2:JN$4))</f>
        <v>51099.333333333336</v>
      </c>
      <c r="JO2">
        <f>IF(COUNT(zip_med_inc_updated!JO$2:JO$4)=0,"",AVERAGE(zip_med_inc_updated!JO$2:JO$4))</f>
        <v>69543</v>
      </c>
      <c r="JP2">
        <f>IF(COUNT(zip_med_inc_updated!JP$2:JP$4)=0,"",AVERAGE(zip_med_inc_updated!JP$2:JP$4))</f>
        <v>39965.333333333336</v>
      </c>
      <c r="JQ2">
        <f>IF(COUNT(zip_med_inc_updated!JQ$2:JQ$4)=0,"",AVERAGE(zip_med_inc_updated!JQ$2:JQ$4))</f>
        <v>63923.666666666664</v>
      </c>
      <c r="JR2">
        <f>IF(COUNT(zip_med_inc_updated!JR$2:JR$4)=0,"",AVERAGE(zip_med_inc_updated!JR$2:JR$4))</f>
        <v>55905.666666666664</v>
      </c>
      <c r="JS2" t="str">
        <f>IF(COUNT(zip_med_inc_updated!JS$2:JS$4)=0,"",AVERAGE(zip_med_inc_updated!JS$2:JS$4))</f>
        <v/>
      </c>
      <c r="JT2">
        <f>IF(COUNT(zip_med_inc_updated!JT$2:JT$4)=0,"",AVERAGE(zip_med_inc_updated!JT$2:JT$4))</f>
        <v>68180</v>
      </c>
      <c r="JU2">
        <f>IF(COUNT(zip_med_inc_updated!JU$2:JU$4)=0,"",AVERAGE(zip_med_inc_updated!JU$2:JU$4))</f>
        <v>54811</v>
      </c>
      <c r="JV2">
        <f>IF(COUNT(zip_med_inc_updated!JV$2:JV$4)=0,"",AVERAGE(zip_med_inc_updated!JV$2:JV$4))</f>
        <v>43245</v>
      </c>
      <c r="JW2">
        <f>IF(COUNT(zip_med_inc_updated!JW$2:JW$4)=0,"",AVERAGE(zip_med_inc_updated!JW$2:JW$4))</f>
        <v>54326.666666666664</v>
      </c>
      <c r="JX2">
        <f>IF(COUNT(zip_med_inc_updated!JX$2:JX$4)=0,"",AVERAGE(zip_med_inc_updated!JX$2:JX$4))</f>
        <v>48500</v>
      </c>
      <c r="JY2">
        <f>IF(COUNT(zip_med_inc_updated!JY$2:JY$4)=0,"",AVERAGE(zip_med_inc_updated!JY$2:JY$4))</f>
        <v>64442.333333333336</v>
      </c>
      <c r="JZ2">
        <f>IF(COUNT(zip_med_inc_updated!JZ$2:JZ$4)=0,"",AVERAGE(zip_med_inc_updated!JZ$2:JZ$4))</f>
        <v>81056</v>
      </c>
      <c r="KA2">
        <f>IF(COUNT(zip_med_inc_updated!KA$2:KA$4)=0,"",AVERAGE(zip_med_inc_updated!KA$2:KA$4))</f>
        <v>56799.333333333336</v>
      </c>
      <c r="KB2">
        <f>IF(COUNT(zip_med_inc_updated!KB$2:KB$4)=0,"",AVERAGE(zip_med_inc_updated!KB$2:KB$4))</f>
        <v>52495.333333333336</v>
      </c>
      <c r="KC2">
        <f>IF(COUNT(zip_med_inc_updated!KC$2:KC$4)=0,"",AVERAGE(zip_med_inc_updated!KC$2:KC$4))</f>
        <v>67294.5</v>
      </c>
      <c r="KD2">
        <f>IF(COUNT(zip_med_inc_updated!KD$2:KD$4)=0,"",AVERAGE(zip_med_inc_updated!KD$2:KD$4))</f>
        <v>47246.666666666664</v>
      </c>
      <c r="KE2">
        <f>IF(COUNT(zip_med_inc_updated!KE$2:KE$4)=0,"",AVERAGE(zip_med_inc_updated!KE$2:KE$4))</f>
        <v>51114</v>
      </c>
      <c r="KF2">
        <f>IF(COUNT(zip_med_inc_updated!KF$2:KF$4)=0,"",AVERAGE(zip_med_inc_updated!KF$2:KF$4))</f>
        <v>49880</v>
      </c>
      <c r="KG2">
        <f>IF(COUNT(zip_med_inc_updated!KG$2:KG$4)=0,"",AVERAGE(zip_med_inc_updated!KG$2:KG$4))</f>
        <v>38535.333333333336</v>
      </c>
      <c r="KH2">
        <f>IF(COUNT(zip_med_inc_updated!KH$2:KH$4)=0,"",AVERAGE(zip_med_inc_updated!KH$2:KH$4))</f>
        <v>37196</v>
      </c>
      <c r="KI2">
        <f>IF(COUNT(zip_med_inc_updated!KI$2:KI$4)=0,"",AVERAGE(zip_med_inc_updated!KI$2:KI$4))</f>
        <v>34904.333333333336</v>
      </c>
      <c r="KJ2">
        <f>IF(COUNT(zip_med_inc_updated!KJ$2:KJ$4)=0,"",AVERAGE(zip_med_inc_updated!KJ$2:KJ$4))</f>
        <v>73181.333333333328</v>
      </c>
      <c r="KK2">
        <f>IF(COUNT(zip_med_inc_updated!KK$2:KK$4)=0,"",AVERAGE(zip_med_inc_updated!KK$2:KK$4))</f>
        <v>29167</v>
      </c>
      <c r="KL2" t="str">
        <f>IF(COUNT(zip_med_inc_updated!KL$2:KL$4)=0,"",AVERAGE(zip_med_inc_updated!KL$2:KL$4))</f>
        <v/>
      </c>
      <c r="KM2">
        <f>IF(COUNT(zip_med_inc_updated!KM$2:KM$4)=0,"",AVERAGE(zip_med_inc_updated!KM$2:KM$4))</f>
        <v>57049.333333333336</v>
      </c>
      <c r="KN2">
        <f>IF(COUNT(zip_med_inc_updated!KN$2:KN$4)=0,"",AVERAGE(zip_med_inc_updated!KN$2:KN$4))</f>
        <v>49344</v>
      </c>
      <c r="KO2">
        <f>IF(COUNT(zip_med_inc_updated!KO$2:KO$4)=0,"",AVERAGE(zip_med_inc_updated!KO$2:KO$4))</f>
        <v>55679.666666666664</v>
      </c>
      <c r="KP2">
        <f>IF(COUNT(zip_med_inc_updated!KP$2:KP$4)=0,"",AVERAGE(zip_med_inc_updated!KP$2:KP$4))</f>
        <v>42784.666666666664</v>
      </c>
      <c r="KQ2">
        <f>IF(COUNT(zip_med_inc_updated!KQ$2:KQ$4)=0,"",AVERAGE(zip_med_inc_updated!KQ$2:KQ$4))</f>
        <v>49963</v>
      </c>
      <c r="KR2">
        <f>IF(COUNT(zip_med_inc_updated!KR$2:KR$4)=0,"",AVERAGE(zip_med_inc_updated!KR$2:KR$4))</f>
        <v>42292.666666666664</v>
      </c>
      <c r="KS2">
        <f>IF(COUNT(zip_med_inc_updated!KS$2:KS$4)=0,"",AVERAGE(zip_med_inc_updated!KS$2:KS$4))</f>
        <v>52410</v>
      </c>
      <c r="KT2">
        <f>IF(COUNT(zip_med_inc_updated!KT$2:KT$4)=0,"",AVERAGE(zip_med_inc_updated!KT$2:KT$4))</f>
        <v>38076.333333333336</v>
      </c>
      <c r="KU2">
        <f>IF(COUNT(zip_med_inc_updated!KU$2:KU$4)=0,"",AVERAGE(zip_med_inc_updated!KU$2:KU$4))</f>
        <v>49508.333333333336</v>
      </c>
      <c r="KV2" t="str">
        <f>IF(COUNT(zip_med_inc_updated!KV$2:KV$4)=0,"",AVERAGE(zip_med_inc_updated!KV$2:KV$4))</f>
        <v/>
      </c>
      <c r="KW2">
        <f>IF(COUNT(zip_med_inc_updated!KW$2:KW$4)=0,"",AVERAGE(zip_med_inc_updated!KW$2:KW$4))</f>
        <v>75727</v>
      </c>
      <c r="KX2">
        <f>IF(COUNT(zip_med_inc_updated!KX$2:KX$4)=0,"",AVERAGE(zip_med_inc_updated!KX$2:KX$4))</f>
        <v>80714</v>
      </c>
      <c r="KY2">
        <f>IF(COUNT(zip_med_inc_updated!KY$2:KY$4)=0,"",AVERAGE(zip_med_inc_updated!KY$2:KY$4))</f>
        <v>46779.333333333336</v>
      </c>
      <c r="KZ2">
        <f>IF(COUNT(zip_med_inc_updated!KZ$2:KZ$4)=0,"",AVERAGE(zip_med_inc_updated!KZ$2:KZ$4))</f>
        <v>72844.333333333328</v>
      </c>
      <c r="LA2">
        <f>IF(COUNT(zip_med_inc_updated!LA$2:LA$4)=0,"",AVERAGE(zip_med_inc_updated!LA$2:LA$4))</f>
        <v>40059</v>
      </c>
      <c r="LB2">
        <f>IF(COUNT(zip_med_inc_updated!LB$2:LB$4)=0,"",AVERAGE(zip_med_inc_updated!LB$2:LB$4))</f>
        <v>58271.666666666664</v>
      </c>
      <c r="LC2">
        <f>IF(COUNT(zip_med_inc_updated!LC$2:LC$4)=0,"",AVERAGE(zip_med_inc_updated!LC$2:LC$4))</f>
        <v>53862.666666666664</v>
      </c>
      <c r="LD2">
        <f>IF(COUNT(zip_med_inc_updated!LD$2:LD$4)=0,"",AVERAGE(zip_med_inc_updated!LD$2:LD$4))</f>
        <v>41680</v>
      </c>
      <c r="LE2">
        <f>IF(COUNT(zip_med_inc_updated!LE$2:LE$4)=0,"",AVERAGE(zip_med_inc_updated!LE$2:LE$4))</f>
        <v>60388.666666666664</v>
      </c>
      <c r="LF2">
        <f>IF(COUNT(zip_med_inc_updated!LF$2:LF$4)=0,"",AVERAGE(zip_med_inc_updated!LF$2:LF$4))</f>
        <v>71588</v>
      </c>
      <c r="LG2">
        <f>IF(COUNT(zip_med_inc_updated!LG$2:LG$4)=0,"",AVERAGE(zip_med_inc_updated!LG$2:LG$4))</f>
        <v>93776</v>
      </c>
      <c r="LH2">
        <f>IF(COUNT(zip_med_inc_updated!LH$2:LH$4)=0,"",AVERAGE(zip_med_inc_updated!LH$2:LH$4))</f>
        <v>72868</v>
      </c>
      <c r="LI2">
        <f>IF(COUNT(zip_med_inc_updated!LI$2:LI$4)=0,"",AVERAGE(zip_med_inc_updated!LI$2:LI$4))</f>
        <v>49481.333333333336</v>
      </c>
      <c r="LJ2">
        <f>IF(COUNT(zip_med_inc_updated!LJ$2:LJ$4)=0,"",AVERAGE(zip_med_inc_updated!LJ$2:LJ$4))</f>
        <v>82594.666666666672</v>
      </c>
      <c r="LK2">
        <f>IF(COUNT(zip_med_inc_updated!LK$2:LK$4)=0,"",AVERAGE(zip_med_inc_updated!LK$2:LK$4))</f>
        <v>64542</v>
      </c>
      <c r="LL2">
        <f>IF(COUNT(zip_med_inc_updated!LL$2:LL$4)=0,"",AVERAGE(zip_med_inc_updated!LL$2:LL$4))</f>
        <v>56666.333333333336</v>
      </c>
      <c r="LM2">
        <f>IF(COUNT(zip_med_inc_updated!LM$2:LM$4)=0,"",AVERAGE(zip_med_inc_updated!LM$2:LM$4))</f>
        <v>72864.333333333328</v>
      </c>
      <c r="LN2">
        <f>IF(COUNT(zip_med_inc_updated!LN$2:LN$4)=0,"",AVERAGE(zip_med_inc_updated!LN$2:LN$4))</f>
        <v>110658.33333333333</v>
      </c>
      <c r="LO2">
        <f>IF(COUNT(zip_med_inc_updated!LO$2:LO$4)=0,"",AVERAGE(zip_med_inc_updated!LO$2:LO$4))</f>
        <v>96118</v>
      </c>
      <c r="LP2">
        <f>IF(COUNT(zip_med_inc_updated!LP$2:LP$4)=0,"",AVERAGE(zip_med_inc_updated!LP$2:LP$4))</f>
        <v>99875.666666666672</v>
      </c>
      <c r="LQ2">
        <f>IF(COUNT(zip_med_inc_updated!LQ$2:LQ$4)=0,"",AVERAGE(zip_med_inc_updated!LQ$2:LQ$4))</f>
        <v>56108.666666666664</v>
      </c>
      <c r="LR2">
        <f>IF(COUNT(zip_med_inc_updated!LR$2:LR$4)=0,"",AVERAGE(zip_med_inc_updated!LR$2:LR$4))</f>
        <v>56202.666666666664</v>
      </c>
      <c r="LS2">
        <f>IF(COUNT(zip_med_inc_updated!LS$2:LS$4)=0,"",AVERAGE(zip_med_inc_updated!LS$2:LS$4))</f>
        <v>76966.333333333328</v>
      </c>
      <c r="LT2">
        <f>IF(COUNT(zip_med_inc_updated!LT$2:LT$4)=0,"",AVERAGE(zip_med_inc_updated!LT$2:LT$4))</f>
        <v>76698.666666666672</v>
      </c>
      <c r="LU2">
        <f>IF(COUNT(zip_med_inc_updated!LU$2:LU$4)=0,"",AVERAGE(zip_med_inc_updated!LU$2:LU$4))</f>
        <v>60333</v>
      </c>
      <c r="LV2">
        <f>IF(COUNT(zip_med_inc_updated!LV$2:LV$4)=0,"",AVERAGE(zip_med_inc_updated!LV$2:LV$4))</f>
        <v>101202</v>
      </c>
      <c r="LW2">
        <f>IF(COUNT(zip_med_inc_updated!LW$2:LW$4)=0,"",AVERAGE(zip_med_inc_updated!LW$2:LW$4))</f>
        <v>68955.333333333328</v>
      </c>
      <c r="LX2">
        <f>IF(COUNT(zip_med_inc_updated!LX$2:LX$4)=0,"",AVERAGE(zip_med_inc_updated!LX$2:LX$4))</f>
        <v>62354</v>
      </c>
      <c r="LY2">
        <f>IF(COUNT(zip_med_inc_updated!LY$2:LY$4)=0,"",AVERAGE(zip_med_inc_updated!LY$2:LY$4))</f>
        <v>56096.666666666664</v>
      </c>
      <c r="LZ2">
        <f>IF(COUNT(zip_med_inc_updated!LZ$2:LZ$4)=0,"",AVERAGE(zip_med_inc_updated!LZ$2:LZ$4))</f>
        <v>54617.666666666664</v>
      </c>
      <c r="MA2">
        <f>IF(COUNT(zip_med_inc_updated!MA$2:MA$4)=0,"",AVERAGE(zip_med_inc_updated!MA$2:MA$4))</f>
        <v>70118</v>
      </c>
      <c r="MB2">
        <f>IF(COUNT(zip_med_inc_updated!MB$2:MB$4)=0,"",AVERAGE(zip_med_inc_updated!MB$2:MB$4))</f>
        <v>89631.666666666672</v>
      </c>
      <c r="MC2">
        <f>IF(COUNT(zip_med_inc_updated!MC$2:MC$4)=0,"",AVERAGE(zip_med_inc_updated!MC$2:MC$4))</f>
        <v>54811.666666666664</v>
      </c>
      <c r="MD2">
        <f>IF(COUNT(zip_med_inc_updated!MD$2:MD$4)=0,"",AVERAGE(zip_med_inc_updated!MD$2:MD$4))</f>
        <v>74444</v>
      </c>
      <c r="ME2">
        <f>IF(COUNT(zip_med_inc_updated!ME$2:ME$4)=0,"",AVERAGE(zip_med_inc_updated!ME$2:ME$4))</f>
        <v>48036.666666666664</v>
      </c>
      <c r="MF2">
        <f>IF(COUNT(zip_med_inc_updated!MF$2:MF$4)=0,"",AVERAGE(zip_med_inc_updated!MF$2:MF$4))</f>
        <v>51726.666666666664</v>
      </c>
      <c r="MG2">
        <f>IF(COUNT(zip_med_inc_updated!MG$2:MG$4)=0,"",AVERAGE(zip_med_inc_updated!MG$2:MG$4))</f>
        <v>25463.666666666668</v>
      </c>
      <c r="MH2">
        <f>IF(COUNT(zip_med_inc_updated!MH$2:MH$4)=0,"",AVERAGE(zip_med_inc_updated!MH$2:MH$4))</f>
        <v>72718.333333333328</v>
      </c>
      <c r="MI2">
        <f>IF(COUNT(zip_med_inc_updated!MI$2:MI$4)=0,"",AVERAGE(zip_med_inc_updated!MI$2:MI$4))</f>
        <v>81840.666666666672</v>
      </c>
      <c r="MJ2">
        <f>IF(COUNT(zip_med_inc_updated!MJ$2:MJ$4)=0,"",AVERAGE(zip_med_inc_updated!MJ$2:MJ$4))</f>
        <v>93607.666666666672</v>
      </c>
      <c r="MK2">
        <f>IF(COUNT(zip_med_inc_updated!MK$2:MK$4)=0,"",AVERAGE(zip_med_inc_updated!MK$2:MK$4))</f>
        <v>72721</v>
      </c>
      <c r="ML2">
        <f>IF(COUNT(zip_med_inc_updated!ML$2:ML$4)=0,"",AVERAGE(zip_med_inc_updated!ML$2:ML$4))</f>
        <v>78557.333333333328</v>
      </c>
      <c r="MM2">
        <f>IF(COUNT(zip_med_inc_updated!MM$2:MM$4)=0,"",AVERAGE(zip_med_inc_updated!MM$2:MM$4))</f>
        <v>57496.666666666664</v>
      </c>
      <c r="MN2">
        <f>IF(COUNT(zip_med_inc_updated!MN$2:MN$4)=0,"",AVERAGE(zip_med_inc_updated!MN$2:MN$4))</f>
        <v>92655.666666666672</v>
      </c>
      <c r="MO2">
        <f>IF(COUNT(zip_med_inc_updated!MO$2:MO$4)=0,"",AVERAGE(zip_med_inc_updated!MO$2:MO$4))</f>
        <v>110656.66666666667</v>
      </c>
      <c r="MP2">
        <f>IF(COUNT(zip_med_inc_updated!MP$2:MP$4)=0,"",AVERAGE(zip_med_inc_updated!MP$2:MP$4))</f>
        <v>92007.333333333328</v>
      </c>
      <c r="MQ2">
        <f>IF(COUNT(zip_med_inc_updated!MQ$2:MQ$4)=0,"",AVERAGE(zip_med_inc_updated!MQ$2:MQ$4))</f>
        <v>59286</v>
      </c>
      <c r="MR2">
        <f>IF(COUNT(zip_med_inc_updated!MR$2:MR$4)=0,"",AVERAGE(zip_med_inc_updated!MR$2:MR$4))</f>
        <v>52921.666666666664</v>
      </c>
      <c r="MS2">
        <f>IF(COUNT(zip_med_inc_updated!MS$2:MS$4)=0,"",AVERAGE(zip_med_inc_updated!MS$2:MS$4))</f>
        <v>80900</v>
      </c>
      <c r="MT2">
        <f>IF(COUNT(zip_med_inc_updated!MT$2:MT$4)=0,"",AVERAGE(zip_med_inc_updated!MT$2:MT$4))</f>
        <v>42583.333333333336</v>
      </c>
      <c r="MU2">
        <f>IF(COUNT(zip_med_inc_updated!MU$2:MU$4)=0,"",AVERAGE(zip_med_inc_updated!MU$2:MU$4))</f>
        <v>64929.666666666664</v>
      </c>
      <c r="MV2">
        <f>IF(COUNT(zip_med_inc_updated!MV$2:MV$4)=0,"",AVERAGE(zip_med_inc_updated!MV$2:MV$4))</f>
        <v>58145.666666666664</v>
      </c>
      <c r="MW2">
        <f>IF(COUNT(zip_med_inc_updated!MW$2:MW$4)=0,"",AVERAGE(zip_med_inc_updated!MW$2:MW$4))</f>
        <v>58046.666666666664</v>
      </c>
      <c r="MX2">
        <f>IF(COUNT(zip_med_inc_updated!MX$2:MX$4)=0,"",AVERAGE(zip_med_inc_updated!MX$2:MX$4))</f>
        <v>57820</v>
      </c>
      <c r="MY2">
        <f>IF(COUNT(zip_med_inc_updated!MY$2:MY$4)=0,"",AVERAGE(zip_med_inc_updated!MY$2:MY$4))</f>
        <v>50012.666666666664</v>
      </c>
      <c r="MZ2">
        <f>IF(COUNT(zip_med_inc_updated!MZ$2:MZ$4)=0,"",AVERAGE(zip_med_inc_updated!MZ$2:MZ$4))</f>
        <v>81785.666666666672</v>
      </c>
      <c r="NA2">
        <f>IF(COUNT(zip_med_inc_updated!NA$2:NA$4)=0,"",AVERAGE(zip_med_inc_updated!NA$2:NA$4))</f>
        <v>74627.666666666672</v>
      </c>
      <c r="NB2">
        <f>IF(COUNT(zip_med_inc_updated!NB$2:NB$4)=0,"",AVERAGE(zip_med_inc_updated!NB$2:NB$4))</f>
        <v>62566.333333333336</v>
      </c>
      <c r="NC2">
        <f>IF(COUNT(zip_med_inc_updated!NC$2:NC$4)=0,"",AVERAGE(zip_med_inc_updated!NC$2:NC$4))</f>
        <v>63785</v>
      </c>
      <c r="ND2">
        <f>IF(COUNT(zip_med_inc_updated!ND$2:ND$4)=0,"",AVERAGE(zip_med_inc_updated!ND$2:ND$4))</f>
        <v>84463</v>
      </c>
      <c r="NE2">
        <f>IF(COUNT(zip_med_inc_updated!NE$2:NE$4)=0,"",AVERAGE(zip_med_inc_updated!NE$2:NE$4))</f>
        <v>73737.333333333328</v>
      </c>
      <c r="NF2">
        <f>IF(COUNT(zip_med_inc_updated!NF$2:NF$4)=0,"",AVERAGE(zip_med_inc_updated!NF$2:NF$4))</f>
        <v>66092.666666666672</v>
      </c>
      <c r="NG2">
        <f>IF(COUNT(zip_med_inc_updated!NG$2:NG$4)=0,"",AVERAGE(zip_med_inc_updated!NG$2:NG$4))</f>
        <v>62804.333333333336</v>
      </c>
      <c r="NH2" t="str">
        <f>IF(COUNT(zip_med_inc_updated!NH$2:NH$4)=0,"",AVERAGE(zip_med_inc_updated!NH$2:NH$4))</f>
        <v/>
      </c>
      <c r="NI2">
        <f>IF(COUNT(zip_med_inc_updated!NI$2:NI$4)=0,"",AVERAGE(zip_med_inc_updated!NI$2:NI$4))</f>
        <v>81160.333333333328</v>
      </c>
      <c r="NJ2">
        <f>IF(COUNT(zip_med_inc_updated!NJ$2:NJ$4)=0,"",AVERAGE(zip_med_inc_updated!NJ$2:NJ$4))</f>
        <v>76305.666666666672</v>
      </c>
      <c r="NK2">
        <f>IF(COUNT(zip_med_inc_updated!NK$2:NK$4)=0,"",AVERAGE(zip_med_inc_updated!NK$2:NK$4))</f>
        <v>51967.333333333336</v>
      </c>
      <c r="NL2" t="str">
        <f>IF(COUNT(zip_med_inc_updated!NL$2:NL$4)=0,"",AVERAGE(zip_med_inc_updated!NL$2:NL$4))</f>
        <v/>
      </c>
      <c r="NM2">
        <f>IF(COUNT(zip_med_inc_updated!NM$2:NM$4)=0,"",AVERAGE(zip_med_inc_updated!NM$2:NM$4))</f>
        <v>61235.333333333336</v>
      </c>
      <c r="NN2" t="str">
        <f>IF(COUNT(zip_med_inc_updated!NN$2:NN$4)=0,"",AVERAGE(zip_med_inc_updated!NN$2:NN$4))</f>
        <v/>
      </c>
      <c r="NO2" t="str">
        <f>IF(COUNT(zip_med_inc_updated!NO$2:NO$4)=0,"",AVERAGE(zip_med_inc_updated!NO$2:NO$4))</f>
        <v/>
      </c>
      <c r="NP2">
        <f>IF(COUNT(zip_med_inc_updated!NP$2:NP$4)=0,"",AVERAGE(zip_med_inc_updated!NP$2:NP$4))</f>
        <v>37631.666666666664</v>
      </c>
      <c r="NQ2" t="str">
        <f>IF(COUNT(zip_med_inc_updated!NQ$2:NQ$4)=0,"",AVERAGE(zip_med_inc_updated!NQ$2:NQ$4))</f>
        <v/>
      </c>
      <c r="NR2">
        <f>IF(COUNT(zip_med_inc_updated!NR$2:NR$4)=0,"",AVERAGE(zip_med_inc_updated!NR$2:NR$4))</f>
        <v>48317</v>
      </c>
      <c r="NS2">
        <f>IF(COUNT(zip_med_inc_updated!NS$2:NS$4)=0,"",AVERAGE(zip_med_inc_updated!NS$2:NS$4))</f>
        <v>61150.666666666664</v>
      </c>
      <c r="NT2">
        <f>IF(COUNT(zip_med_inc_updated!NT$2:NT$4)=0,"",AVERAGE(zip_med_inc_updated!NT$2:NT$4))</f>
        <v>62181</v>
      </c>
      <c r="NU2" t="str">
        <f>IF(COUNT(zip_med_inc_updated!NU$2:NU$4)=0,"",AVERAGE(zip_med_inc_updated!NU$2:NU$4))</f>
        <v/>
      </c>
      <c r="NV2">
        <f>IF(COUNT(zip_med_inc_updated!NV$2:NV$4)=0,"",AVERAGE(zip_med_inc_updated!NV$2:NV$4))</f>
        <v>76571</v>
      </c>
      <c r="NW2">
        <f>IF(COUNT(zip_med_inc_updated!NW$2:NW$4)=0,"",AVERAGE(zip_med_inc_updated!NW$2:NW$4))</f>
        <v>80932.666666666672</v>
      </c>
      <c r="NX2">
        <f>IF(COUNT(zip_med_inc_updated!NX$2:NX$4)=0,"",AVERAGE(zip_med_inc_updated!NX$2:NX$4))</f>
        <v>115447.66666666667</v>
      </c>
      <c r="NY2">
        <f>IF(COUNT(zip_med_inc_updated!NY$2:NY$4)=0,"",AVERAGE(zip_med_inc_updated!NY$2:NY$4))</f>
        <v>129888</v>
      </c>
      <c r="NZ2">
        <f>IF(COUNT(zip_med_inc_updated!NZ$2:NZ$4)=0,"",AVERAGE(zip_med_inc_updated!NZ$2:NZ$4))</f>
        <v>77351.5</v>
      </c>
      <c r="OA2">
        <f>IF(COUNT(zip_med_inc_updated!OA$2:OA$4)=0,"",AVERAGE(zip_med_inc_updated!OA$2:OA$4))</f>
        <v>61580.333333333336</v>
      </c>
      <c r="OB2">
        <f>IF(COUNT(zip_med_inc_updated!OB$2:OB$4)=0,"",AVERAGE(zip_med_inc_updated!OB$2:OB$4))</f>
        <v>85334.666666666672</v>
      </c>
      <c r="OC2">
        <f>IF(COUNT(zip_med_inc_updated!OC$2:OC$4)=0,"",AVERAGE(zip_med_inc_updated!OC$2:OC$4))</f>
        <v>76253</v>
      </c>
      <c r="OD2">
        <f>IF(COUNT(zip_med_inc_updated!OD$2:OD$4)=0,"",AVERAGE(zip_med_inc_updated!OD$2:OD$4))</f>
        <v>65685.333333333328</v>
      </c>
      <c r="OE2">
        <f>IF(COUNT(zip_med_inc_updated!OE$2:OE$4)=0,"",AVERAGE(zip_med_inc_updated!OE$2:OE$4))</f>
        <v>54932.666666666664</v>
      </c>
      <c r="OF2">
        <f>IF(COUNT(zip_med_inc_updated!OF$2:OF$4)=0,"",AVERAGE(zip_med_inc_updated!OF$2:OF$4))</f>
        <v>48253.666666666664</v>
      </c>
      <c r="OG2">
        <f>IF(COUNT(zip_med_inc_updated!OG$2:OG$4)=0,"",AVERAGE(zip_med_inc_updated!OG$2:OG$4))</f>
        <v>49773.666666666664</v>
      </c>
      <c r="OH2">
        <f>IF(COUNT(zip_med_inc_updated!OH$2:OH$4)=0,"",AVERAGE(zip_med_inc_updated!OH$2:OH$4))</f>
        <v>55202</v>
      </c>
      <c r="OI2">
        <f>IF(COUNT(zip_med_inc_updated!OI$2:OI$4)=0,"",AVERAGE(zip_med_inc_updated!OI$2:OI$4))</f>
        <v>51980.666666666664</v>
      </c>
      <c r="OJ2">
        <f>IF(COUNT(zip_med_inc_updated!OJ$2:OJ$4)=0,"",AVERAGE(zip_med_inc_updated!OJ$2:OJ$4))</f>
        <v>49262.666666666664</v>
      </c>
      <c r="OK2" t="str">
        <f>IF(COUNT(zip_med_inc_updated!OK$2:OK$4)=0,"",AVERAGE(zip_med_inc_updated!OK$2:OK$4))</f>
        <v/>
      </c>
      <c r="OL2">
        <f>IF(COUNT(zip_med_inc_updated!OL$2:OL$4)=0,"",AVERAGE(zip_med_inc_updated!OL$2:OL$4))</f>
        <v>68296.333333333328</v>
      </c>
      <c r="OM2">
        <f>IF(COUNT(zip_med_inc_updated!OM$2:OM$4)=0,"",AVERAGE(zip_med_inc_updated!OM$2:OM$4))</f>
        <v>89504.333333333328</v>
      </c>
      <c r="ON2">
        <f>IF(COUNT(zip_med_inc_updated!ON$2:ON$4)=0,"",AVERAGE(zip_med_inc_updated!ON$2:ON$4))</f>
        <v>59690.666666666664</v>
      </c>
      <c r="OO2">
        <f>IF(COUNT(zip_med_inc_updated!OO$2:OO$4)=0,"",AVERAGE(zip_med_inc_updated!OO$2:OO$4))</f>
        <v>65155.666666666664</v>
      </c>
      <c r="OP2">
        <f>IF(COUNT(zip_med_inc_updated!OP$2:OP$4)=0,"",AVERAGE(zip_med_inc_updated!OP$2:OP$4))</f>
        <v>71602</v>
      </c>
      <c r="OQ2">
        <f>IF(COUNT(zip_med_inc_updated!OQ$2:OQ$4)=0,"",AVERAGE(zip_med_inc_updated!OQ$2:OQ$4))</f>
        <v>77410.666666666672</v>
      </c>
      <c r="OR2">
        <f>IF(COUNT(zip_med_inc_updated!OR$2:OR$4)=0,"",AVERAGE(zip_med_inc_updated!OR$2:OR$4))</f>
        <v>67687.333333333328</v>
      </c>
      <c r="OS2">
        <f>IF(COUNT(zip_med_inc_updated!OS$2:OS$4)=0,"",AVERAGE(zip_med_inc_updated!OS$2:OS$4))</f>
        <v>89611.666666666672</v>
      </c>
      <c r="OT2">
        <f>IF(COUNT(zip_med_inc_updated!OT$2:OT$4)=0,"",AVERAGE(zip_med_inc_updated!OT$2:OT$4))</f>
        <v>76928</v>
      </c>
      <c r="OU2">
        <f>IF(COUNT(zip_med_inc_updated!OU$2:OU$4)=0,"",AVERAGE(zip_med_inc_updated!OU$2:OU$4))</f>
        <v>54380</v>
      </c>
      <c r="OV2">
        <f>IF(COUNT(zip_med_inc_updated!OV$2:OV$4)=0,"",AVERAGE(zip_med_inc_updated!OV$2:OV$4))</f>
        <v>68410</v>
      </c>
      <c r="OW2">
        <f>IF(COUNT(zip_med_inc_updated!OW$2:OW$4)=0,"",AVERAGE(zip_med_inc_updated!OW$2:OW$4))</f>
        <v>51875</v>
      </c>
      <c r="OX2">
        <f>IF(COUNT(zip_med_inc_updated!OX$2:OX$4)=0,"",AVERAGE(zip_med_inc_updated!OX$2:OX$4))</f>
        <v>19753</v>
      </c>
      <c r="OY2">
        <f>IF(COUNT(zip_med_inc_updated!OY$2:OY$4)=0,"",AVERAGE(zip_med_inc_updated!OY$2:OY$4))</f>
        <v>86731.333333333328</v>
      </c>
      <c r="OZ2">
        <f>IF(COUNT(zip_med_inc_updated!OZ$2:OZ$4)=0,"",AVERAGE(zip_med_inc_updated!OZ$2:OZ$4))</f>
        <v>47890.333333333336</v>
      </c>
      <c r="PA2">
        <f>IF(COUNT(zip_med_inc_updated!PA$2:PA$4)=0,"",AVERAGE(zip_med_inc_updated!PA$2:PA$4))</f>
        <v>52832</v>
      </c>
      <c r="PB2">
        <f>IF(COUNT(zip_med_inc_updated!PB$2:PB$4)=0,"",AVERAGE(zip_med_inc_updated!PB$2:PB$4))</f>
        <v>58890</v>
      </c>
      <c r="PC2">
        <f>IF(COUNT(zip_med_inc_updated!PC$2:PC$4)=0,"",AVERAGE(zip_med_inc_updated!PC$2:PC$4))</f>
        <v>50758.666666666664</v>
      </c>
      <c r="PD2">
        <f>IF(COUNT(zip_med_inc_updated!PD$2:PD$4)=0,"",AVERAGE(zip_med_inc_updated!PD$2:PD$4))</f>
        <v>104879.66666666667</v>
      </c>
      <c r="PE2">
        <f>IF(COUNT(zip_med_inc_updated!PE$2:PE$4)=0,"",AVERAGE(zip_med_inc_updated!PE$2:PE$4))</f>
        <v>48417.666666666664</v>
      </c>
      <c r="PF2">
        <f>IF(COUNT(zip_med_inc_updated!PF$2:PF$4)=0,"",AVERAGE(zip_med_inc_updated!PF$2:PF$4))</f>
        <v>77358.333333333328</v>
      </c>
      <c r="PG2">
        <f>IF(COUNT(zip_med_inc_updated!PG$2:PG$4)=0,"",AVERAGE(zip_med_inc_updated!PG$2:PG$4))</f>
        <v>78391.333333333328</v>
      </c>
      <c r="PH2">
        <f>IF(COUNT(zip_med_inc_updated!PH$2:PH$4)=0,"",AVERAGE(zip_med_inc_updated!PH$2:PH$4))</f>
        <v>61401.666666666664</v>
      </c>
      <c r="PI2">
        <f>IF(COUNT(zip_med_inc_updated!PI$2:PI$4)=0,"",AVERAGE(zip_med_inc_updated!PI$2:PI$4))</f>
        <v>66515</v>
      </c>
      <c r="PJ2">
        <f>IF(COUNT(zip_med_inc_updated!PJ$2:PJ$4)=0,"",AVERAGE(zip_med_inc_updated!PJ$2:PJ$4))</f>
        <v>69716</v>
      </c>
      <c r="PK2">
        <f>IF(COUNT(zip_med_inc_updated!PK$2:PK$4)=0,"",AVERAGE(zip_med_inc_updated!PK$2:PK$4))</f>
        <v>65267</v>
      </c>
      <c r="PL2">
        <f>IF(COUNT(zip_med_inc_updated!PL$2:PL$4)=0,"",AVERAGE(zip_med_inc_updated!PL$2:PL$4))</f>
        <v>72747.666666666672</v>
      </c>
      <c r="PM2">
        <f>IF(COUNT(zip_med_inc_updated!PM$2:PM$4)=0,"",AVERAGE(zip_med_inc_updated!PM$2:PM$4))</f>
        <v>67193.666666666672</v>
      </c>
      <c r="PN2">
        <f>IF(COUNT(zip_med_inc_updated!PN$2:PN$4)=0,"",AVERAGE(zip_med_inc_updated!PN$2:PN$4))</f>
        <v>66341</v>
      </c>
      <c r="PO2">
        <f>IF(COUNT(zip_med_inc_updated!PO$2:PO$4)=0,"",AVERAGE(zip_med_inc_updated!PO$2:PO$4))</f>
        <v>57206</v>
      </c>
      <c r="PP2" t="str">
        <f>IF(COUNT(zip_med_inc_updated!PP$2:PP$4)=0,"",AVERAGE(zip_med_inc_updated!PP$2:PP$4))</f>
        <v/>
      </c>
      <c r="PQ2">
        <f>IF(COUNT(zip_med_inc_updated!PQ$2:PQ$4)=0,"",AVERAGE(zip_med_inc_updated!PQ$2:PQ$4))</f>
        <v>60599.666666666664</v>
      </c>
      <c r="PR2" t="str">
        <f>IF(COUNT(zip_med_inc_updated!PR$2:PR$4)=0,"",AVERAGE(zip_med_inc_updated!PR$2:PR$4))</f>
        <v/>
      </c>
      <c r="PS2">
        <f>IF(COUNT(zip_med_inc_updated!PS$2:PS$4)=0,"",AVERAGE(zip_med_inc_updated!PS$2:PS$4))</f>
        <v>50515</v>
      </c>
      <c r="PT2">
        <f>IF(COUNT(zip_med_inc_updated!PT$2:PT$4)=0,"",AVERAGE(zip_med_inc_updated!PT$2:PT$4))</f>
        <v>47275</v>
      </c>
      <c r="PU2">
        <f>IF(COUNT(zip_med_inc_updated!PU$2:PU$4)=0,"",AVERAGE(zip_med_inc_updated!PU$2:PU$4))</f>
        <v>49097</v>
      </c>
      <c r="PV2">
        <f>IF(COUNT(zip_med_inc_updated!PV$2:PV$4)=0,"",AVERAGE(zip_med_inc_updated!PV$2:PV$4))</f>
        <v>54337.333333333336</v>
      </c>
      <c r="PW2">
        <f>IF(COUNT(zip_med_inc_updated!PW$2:PW$4)=0,"",AVERAGE(zip_med_inc_updated!PW$2:PW$4))</f>
        <v>59512</v>
      </c>
      <c r="PX2">
        <f>IF(COUNT(zip_med_inc_updated!PX$2:PX$4)=0,"",AVERAGE(zip_med_inc_updated!PX$2:PX$4))</f>
        <v>61435</v>
      </c>
      <c r="PY2">
        <f>IF(COUNT(zip_med_inc_updated!PY$2:PY$4)=0,"",AVERAGE(zip_med_inc_updated!PY$2:PY$4))</f>
        <v>83054</v>
      </c>
      <c r="PZ2">
        <f>IF(COUNT(zip_med_inc_updated!PZ$2:PZ$4)=0,"",AVERAGE(zip_med_inc_updated!PZ$2:PZ$4))</f>
        <v>60186</v>
      </c>
      <c r="QA2">
        <f>IF(COUNT(zip_med_inc_updated!QA$2:QA$4)=0,"",AVERAGE(zip_med_inc_updated!QA$2:QA$4))</f>
        <v>73099.333333333328</v>
      </c>
      <c r="QB2">
        <f>IF(COUNT(zip_med_inc_updated!QB$2:QB$4)=0,"",AVERAGE(zip_med_inc_updated!QB$2:QB$4))</f>
        <v>81474.666666666672</v>
      </c>
      <c r="QC2">
        <f>IF(COUNT(zip_med_inc_updated!QC$2:QC$4)=0,"",AVERAGE(zip_med_inc_updated!QC$2:QC$4))</f>
        <v>52933.666666666664</v>
      </c>
      <c r="QD2">
        <f>IF(COUNT(zip_med_inc_updated!QD$2:QD$4)=0,"",AVERAGE(zip_med_inc_updated!QD$2:QD$4))</f>
        <v>46696.666666666664</v>
      </c>
      <c r="QE2">
        <f>IF(COUNT(zip_med_inc_updated!QE$2:QE$4)=0,"",AVERAGE(zip_med_inc_updated!QE$2:QE$4))</f>
        <v>83662.666666666672</v>
      </c>
      <c r="QF2">
        <f>IF(COUNT(zip_med_inc_updated!QF$2:QF$4)=0,"",AVERAGE(zip_med_inc_updated!QF$2:QF$4))</f>
        <v>47650.333333333336</v>
      </c>
      <c r="QG2">
        <f>IF(COUNT(zip_med_inc_updated!QG$2:QG$4)=0,"",AVERAGE(zip_med_inc_updated!QG$2:QG$4))</f>
        <v>103552</v>
      </c>
      <c r="QH2" t="str">
        <f>IF(COUNT(zip_med_inc_updated!QH$2:QH$4)=0,"",AVERAGE(zip_med_inc_updated!QH$2:QH$4))</f>
        <v/>
      </c>
      <c r="QI2">
        <f>IF(COUNT(zip_med_inc_updated!QI$2:QI$4)=0,"",AVERAGE(zip_med_inc_updated!QI$2:QI$4))</f>
        <v>56244</v>
      </c>
      <c r="QJ2">
        <f>IF(COUNT(zip_med_inc_updated!QJ$2:QJ$4)=0,"",AVERAGE(zip_med_inc_updated!QJ$2:QJ$4))</f>
        <v>49110.666666666664</v>
      </c>
      <c r="QK2">
        <f>IF(COUNT(zip_med_inc_updated!QK$2:QK$4)=0,"",AVERAGE(zip_med_inc_updated!QK$2:QK$4))</f>
        <v>71531</v>
      </c>
      <c r="QL2">
        <f>IF(COUNT(zip_med_inc_updated!QL$2:QL$4)=0,"",AVERAGE(zip_med_inc_updated!QL$2:QL$4))</f>
        <v>14306</v>
      </c>
      <c r="QM2">
        <f>IF(COUNT(zip_med_inc_updated!QM$2:QM$4)=0,"",AVERAGE(zip_med_inc_updated!QM$2:QM$4))</f>
        <v>63566</v>
      </c>
      <c r="QN2">
        <f>IF(COUNT(zip_med_inc_updated!QN$2:QN$4)=0,"",AVERAGE(zip_med_inc_updated!QN$2:QN$4))</f>
        <v>85624.333333333328</v>
      </c>
      <c r="QO2">
        <f>IF(COUNT(zip_med_inc_updated!QO$2:QO$4)=0,"",AVERAGE(zip_med_inc_updated!QO$2:QO$4))</f>
        <v>56578</v>
      </c>
      <c r="QP2">
        <f>IF(COUNT(zip_med_inc_updated!QP$2:QP$4)=0,"",AVERAGE(zip_med_inc_updated!QP$2:QP$4))</f>
        <v>51065</v>
      </c>
      <c r="QQ2">
        <f>IF(COUNT(zip_med_inc_updated!QQ$2:QQ$4)=0,"",AVERAGE(zip_med_inc_updated!QQ$2:QQ$4))</f>
        <v>64459.333333333336</v>
      </c>
      <c r="QR2">
        <f>IF(COUNT(zip_med_inc_updated!QR$2:QR$4)=0,"",AVERAGE(zip_med_inc_updated!QR$2:QR$4))</f>
        <v>46645.666666666664</v>
      </c>
      <c r="QS2">
        <f>IF(COUNT(zip_med_inc_updated!QS$2:QS$4)=0,"",AVERAGE(zip_med_inc_updated!QS$2:QS$4))</f>
        <v>126814</v>
      </c>
      <c r="QT2">
        <f>IF(COUNT(zip_med_inc_updated!QT$2:QT$4)=0,"",AVERAGE(zip_med_inc_updated!QT$2:QT$4))</f>
        <v>61614</v>
      </c>
      <c r="QU2" t="str">
        <f>IF(COUNT(zip_med_inc_updated!QU$2:QU$4)=0,"",AVERAGE(zip_med_inc_updated!QU$2:QU$4))</f>
        <v/>
      </c>
      <c r="QV2">
        <f>IF(COUNT(zip_med_inc_updated!QV$2:QV$4)=0,"",AVERAGE(zip_med_inc_updated!QV$2:QV$4))</f>
        <v>83982</v>
      </c>
      <c r="QW2">
        <f>IF(COUNT(zip_med_inc_updated!QW$2:QW$4)=0,"",AVERAGE(zip_med_inc_updated!QW$2:QW$4))</f>
        <v>73915.666666666672</v>
      </c>
      <c r="QX2">
        <f>IF(COUNT(zip_med_inc_updated!QX$2:QX$4)=0,"",AVERAGE(zip_med_inc_updated!QX$2:QX$4))</f>
        <v>65805</v>
      </c>
      <c r="QY2">
        <f>IF(COUNT(zip_med_inc_updated!QY$2:QY$4)=0,"",AVERAGE(zip_med_inc_updated!QY$2:QY$4))</f>
        <v>40725.333333333336</v>
      </c>
      <c r="QZ2">
        <f>IF(COUNT(zip_med_inc_updated!QZ$2:QZ$4)=0,"",AVERAGE(zip_med_inc_updated!QZ$2:QZ$4))</f>
        <v>51810.333333333336</v>
      </c>
      <c r="RA2">
        <f>IF(COUNT(zip_med_inc_updated!RA$2:RA$4)=0,"",AVERAGE(zip_med_inc_updated!RA$2:RA$4))</f>
        <v>53985</v>
      </c>
      <c r="RB2">
        <f>IF(COUNT(zip_med_inc_updated!RB$2:RB$4)=0,"",AVERAGE(zip_med_inc_updated!RB$2:RB$4))</f>
        <v>45742</v>
      </c>
      <c r="RC2">
        <f>IF(COUNT(zip_med_inc_updated!RC$2:RC$4)=0,"",AVERAGE(zip_med_inc_updated!RC$2:RC$4))</f>
        <v>48465.666666666664</v>
      </c>
      <c r="RD2" t="str">
        <f>IF(COUNT(zip_med_inc_updated!RD$2:RD$4)=0,"",AVERAGE(zip_med_inc_updated!RD$2:RD$4))</f>
        <v/>
      </c>
      <c r="RE2">
        <f>IF(COUNT(zip_med_inc_updated!RE$2:RE$4)=0,"",AVERAGE(zip_med_inc_updated!RE$2:RE$4))</f>
        <v>54484.333333333336</v>
      </c>
      <c r="RF2">
        <f>IF(COUNT(zip_med_inc_updated!RF$2:RF$4)=0,"",AVERAGE(zip_med_inc_updated!RF$2:RF$4))</f>
        <v>56662.666666666664</v>
      </c>
      <c r="RG2">
        <f>IF(COUNT(zip_med_inc_updated!RG$2:RG$4)=0,"",AVERAGE(zip_med_inc_updated!RG$2:RG$4))</f>
        <v>40506</v>
      </c>
      <c r="RH2">
        <f>IF(COUNT(zip_med_inc_updated!RH$2:RH$4)=0,"",AVERAGE(zip_med_inc_updated!RH$2:RH$4))</f>
        <v>52181</v>
      </c>
      <c r="RI2">
        <f>IF(COUNT(zip_med_inc_updated!RI$2:RI$4)=0,"",AVERAGE(zip_med_inc_updated!RI$2:RI$4))</f>
        <v>43814</v>
      </c>
      <c r="RJ2">
        <f>IF(COUNT(zip_med_inc_updated!RJ$2:RJ$4)=0,"",AVERAGE(zip_med_inc_updated!RJ$2:RJ$4))</f>
        <v>23488</v>
      </c>
      <c r="RK2">
        <f>IF(COUNT(zip_med_inc_updated!RK$2:RK$4)=0,"",AVERAGE(zip_med_inc_updated!RK$2:RK$4))</f>
        <v>44507</v>
      </c>
      <c r="RL2">
        <f>IF(COUNT(zip_med_inc_updated!RL$2:RL$4)=0,"",AVERAGE(zip_med_inc_updated!RL$2:RL$4))</f>
        <v>69927.333333333328</v>
      </c>
      <c r="RM2">
        <f>IF(COUNT(zip_med_inc_updated!RM$2:RM$4)=0,"",AVERAGE(zip_med_inc_updated!RM$2:RM$4))</f>
        <v>45476.333333333336</v>
      </c>
      <c r="RN2">
        <f>IF(COUNT(zip_med_inc_updated!RN$2:RN$4)=0,"",AVERAGE(zip_med_inc_updated!RN$2:RN$4))</f>
        <v>81030.666666666672</v>
      </c>
      <c r="RO2">
        <f>IF(COUNT(zip_med_inc_updated!RO$2:RO$4)=0,"",AVERAGE(zip_med_inc_updated!RO$2:RO$4))</f>
        <v>67907</v>
      </c>
      <c r="RP2" t="str">
        <f>IF(COUNT(zip_med_inc_updated!RP$2:RP$4)=0,"",AVERAGE(zip_med_inc_updated!RP$2:RP$4))</f>
        <v/>
      </c>
      <c r="RQ2">
        <f>IF(COUNT(zip_med_inc_updated!RQ$2:RQ$4)=0,"",AVERAGE(zip_med_inc_updated!RQ$2:RQ$4))</f>
        <v>45266.666666666664</v>
      </c>
      <c r="RR2">
        <f>IF(COUNT(zip_med_inc_updated!RR$2:RR$4)=0,"",AVERAGE(zip_med_inc_updated!RR$2:RR$4))</f>
        <v>59366</v>
      </c>
      <c r="RS2">
        <f>IF(COUNT(zip_med_inc_updated!RS$2:RS$4)=0,"",AVERAGE(zip_med_inc_updated!RS$2:RS$4))</f>
        <v>37916.5</v>
      </c>
      <c r="RT2" t="str">
        <f>IF(COUNT(zip_med_inc_updated!RT$2:RT$4)=0,"",AVERAGE(zip_med_inc_updated!RT$2:RT$4))</f>
        <v/>
      </c>
      <c r="RU2">
        <f>IF(COUNT(zip_med_inc_updated!RU$2:RU$4)=0,"",AVERAGE(zip_med_inc_updated!RU$2:RU$4))</f>
        <v>105751.33333333333</v>
      </c>
      <c r="RV2">
        <f>IF(COUNT(zip_med_inc_updated!RV$2:RV$4)=0,"",AVERAGE(zip_med_inc_updated!RV$2:RV$4))</f>
        <v>42836</v>
      </c>
      <c r="RW2">
        <f>IF(COUNT(zip_med_inc_updated!RW$2:RW$4)=0,"",AVERAGE(zip_med_inc_updated!RW$2:RW$4))</f>
        <v>48975</v>
      </c>
      <c r="RX2">
        <f>IF(COUNT(zip_med_inc_updated!RX$2:RX$4)=0,"",AVERAGE(zip_med_inc_updated!RX$2:RX$4))</f>
        <v>82268</v>
      </c>
      <c r="RY2">
        <f>IF(COUNT(zip_med_inc_updated!RY$2:RY$4)=0,"",AVERAGE(zip_med_inc_updated!RY$2:RY$4))</f>
        <v>53668.333333333336</v>
      </c>
      <c r="RZ2">
        <f>IF(COUNT(zip_med_inc_updated!RZ$2:RZ$4)=0,"",AVERAGE(zip_med_inc_updated!RZ$2:RZ$4))</f>
        <v>63916.666666666664</v>
      </c>
      <c r="SA2">
        <f>IF(COUNT(zip_med_inc_updated!SA$2:SA$4)=0,"",AVERAGE(zip_med_inc_updated!SA$2:SA$4))</f>
        <v>69351.333333333328</v>
      </c>
      <c r="SB2">
        <f>IF(COUNT(zip_med_inc_updated!SB$2:SB$4)=0,"",AVERAGE(zip_med_inc_updated!SB$2:SB$4))</f>
        <v>53861.666666666664</v>
      </c>
      <c r="SC2">
        <f>IF(COUNT(zip_med_inc_updated!SC$2:SC$4)=0,"",AVERAGE(zip_med_inc_updated!SC$2:SC$4))</f>
        <v>43986.666666666664</v>
      </c>
      <c r="SD2">
        <f>IF(COUNT(zip_med_inc_updated!SD$2:SD$4)=0,"",AVERAGE(zip_med_inc_updated!SD$2:SD$4))</f>
        <v>49798</v>
      </c>
      <c r="SE2">
        <f>IF(COUNT(zip_med_inc_updated!SE$2:SE$4)=0,"",AVERAGE(zip_med_inc_updated!SE$2:SE$4))</f>
        <v>60618.333333333336</v>
      </c>
      <c r="SF2">
        <f>IF(COUNT(zip_med_inc_updated!SF$2:SF$4)=0,"",AVERAGE(zip_med_inc_updated!SF$2:SF$4))</f>
        <v>45424.666666666664</v>
      </c>
      <c r="SG2">
        <f>IF(COUNT(zip_med_inc_updated!SG$2:SG$4)=0,"",AVERAGE(zip_med_inc_updated!SG$2:SG$4))</f>
        <v>49759.666666666664</v>
      </c>
      <c r="SH2">
        <f>IF(COUNT(zip_med_inc_updated!SH$2:SH$4)=0,"",AVERAGE(zip_med_inc_updated!SH$2:SH$4))</f>
        <v>51844.666666666664</v>
      </c>
      <c r="SI2">
        <f>IF(COUNT(zip_med_inc_updated!SI$2:SI$4)=0,"",AVERAGE(zip_med_inc_updated!SI$2:SI$4))</f>
        <v>50970.333333333336</v>
      </c>
      <c r="SJ2">
        <f>IF(COUNT(zip_med_inc_updated!SJ$2:SJ$4)=0,"",AVERAGE(zip_med_inc_updated!SJ$2:SJ$4))</f>
        <v>57338</v>
      </c>
      <c r="SK2">
        <f>IF(COUNT(zip_med_inc_updated!SK$2:SK$4)=0,"",AVERAGE(zip_med_inc_updated!SK$2:SK$4))</f>
        <v>48221</v>
      </c>
      <c r="SL2">
        <f>IF(COUNT(zip_med_inc_updated!SL$2:SL$4)=0,"",AVERAGE(zip_med_inc_updated!SL$2:SL$4))</f>
        <v>62966.333333333336</v>
      </c>
      <c r="SM2">
        <f>IF(COUNT(zip_med_inc_updated!SM$2:SM$4)=0,"",AVERAGE(zip_med_inc_updated!SM$2:SM$4))</f>
        <v>135654.66666666666</v>
      </c>
      <c r="SN2">
        <f>IF(COUNT(zip_med_inc_updated!SN$2:SN$4)=0,"",AVERAGE(zip_med_inc_updated!SN$2:SN$4))</f>
        <v>47868.333333333336</v>
      </c>
      <c r="SO2">
        <f>IF(COUNT(zip_med_inc_updated!SO$2:SO$4)=0,"",AVERAGE(zip_med_inc_updated!SO$2:SO$4))</f>
        <v>77381</v>
      </c>
      <c r="SP2">
        <f>IF(COUNT(zip_med_inc_updated!SP$2:SP$4)=0,"",AVERAGE(zip_med_inc_updated!SP$2:SP$4))</f>
        <v>75346.666666666672</v>
      </c>
      <c r="SQ2">
        <f>IF(COUNT(zip_med_inc_updated!SQ$2:SQ$4)=0,"",AVERAGE(zip_med_inc_updated!SQ$2:SQ$4))</f>
        <v>57258.666666666664</v>
      </c>
      <c r="SR2">
        <f>IF(COUNT(zip_med_inc_updated!SR$2:SR$4)=0,"",AVERAGE(zip_med_inc_updated!SR$2:SR$4))</f>
        <v>52171.333333333336</v>
      </c>
      <c r="SS2">
        <f>IF(COUNT(zip_med_inc_updated!SS$2:SS$4)=0,"",AVERAGE(zip_med_inc_updated!SS$2:SS$4))</f>
        <v>75424.333333333328</v>
      </c>
      <c r="ST2">
        <f>IF(COUNT(zip_med_inc_updated!ST$2:ST$4)=0,"",AVERAGE(zip_med_inc_updated!ST$2:ST$4))</f>
        <v>69908.666666666672</v>
      </c>
      <c r="SU2" t="str">
        <f>IF(COUNT(zip_med_inc_updated!SU$2:SU$4)=0,"",AVERAGE(zip_med_inc_updated!SU$2:SU$4))</f>
        <v/>
      </c>
      <c r="SV2">
        <f>IF(COUNT(zip_med_inc_updated!SV$2:SV$4)=0,"",AVERAGE(zip_med_inc_updated!SV$2:SV$4))</f>
        <v>42636.333333333336</v>
      </c>
      <c r="SW2">
        <f>IF(COUNT(zip_med_inc_updated!SW$2:SW$4)=0,"",AVERAGE(zip_med_inc_updated!SW$2:SW$4))</f>
        <v>47485.666666666664</v>
      </c>
      <c r="SX2">
        <f>IF(COUNT(zip_med_inc_updated!SX$2:SX$4)=0,"",AVERAGE(zip_med_inc_updated!SX$2:SX$4))</f>
        <v>55459</v>
      </c>
      <c r="SY2">
        <f>IF(COUNT(zip_med_inc_updated!SY$2:SY$4)=0,"",AVERAGE(zip_med_inc_updated!SY$2:SY$4))</f>
        <v>61297.666666666664</v>
      </c>
      <c r="SZ2" t="str">
        <f>IF(COUNT(zip_med_inc_updated!SZ$2:SZ$4)=0,"",AVERAGE(zip_med_inc_updated!SZ$2:SZ$4))</f>
        <v/>
      </c>
      <c r="TA2">
        <f>IF(COUNT(zip_med_inc_updated!TA$2:TA$4)=0,"",AVERAGE(zip_med_inc_updated!TA$2:TA$4))</f>
        <v>27340.333333333332</v>
      </c>
      <c r="TB2">
        <f>IF(COUNT(zip_med_inc_updated!TB$2:TB$4)=0,"",AVERAGE(zip_med_inc_updated!TB$2:TB$4))</f>
        <v>35216</v>
      </c>
      <c r="TC2">
        <f>IF(COUNT(zip_med_inc_updated!TC$2:TC$4)=0,"",AVERAGE(zip_med_inc_updated!TC$2:TC$4))</f>
        <v>35924.333333333336</v>
      </c>
      <c r="TD2">
        <f>IF(COUNT(zip_med_inc_updated!TD$2:TD$4)=0,"",AVERAGE(zip_med_inc_updated!TD$2:TD$4))</f>
        <v>46307</v>
      </c>
      <c r="TE2">
        <f>IF(COUNT(zip_med_inc_updated!TE$2:TE$4)=0,"",AVERAGE(zip_med_inc_updated!TE$2:TE$4))</f>
        <v>95495.333333333328</v>
      </c>
      <c r="TF2">
        <f>IF(COUNT(zip_med_inc_updated!TF$2:TF$4)=0,"",AVERAGE(zip_med_inc_updated!TF$2:TF$4))</f>
        <v>115217</v>
      </c>
      <c r="TG2">
        <f>IF(COUNT(zip_med_inc_updated!TG$2:TG$4)=0,"",AVERAGE(zip_med_inc_updated!TG$2:TG$4))</f>
        <v>63293.666666666664</v>
      </c>
      <c r="TH2">
        <f>IF(COUNT(zip_med_inc_updated!TH$2:TH$4)=0,"",AVERAGE(zip_med_inc_updated!TH$2:TH$4))</f>
        <v>48408.333333333336</v>
      </c>
      <c r="TI2">
        <f>IF(COUNT(zip_med_inc_updated!TI$2:TI$4)=0,"",AVERAGE(zip_med_inc_updated!TI$2:TI$4))</f>
        <v>28397.333333333332</v>
      </c>
      <c r="TJ2">
        <f>IF(COUNT(zip_med_inc_updated!TJ$2:TJ$4)=0,"",AVERAGE(zip_med_inc_updated!TJ$2:TJ$4))</f>
        <v>83028.666666666672</v>
      </c>
      <c r="TK2">
        <f>IF(COUNT(zip_med_inc_updated!TK$2:TK$4)=0,"",AVERAGE(zip_med_inc_updated!TK$2:TK$4))</f>
        <v>60034.333333333336</v>
      </c>
      <c r="TL2">
        <f>IF(COUNT(zip_med_inc_updated!TL$2:TL$4)=0,"",AVERAGE(zip_med_inc_updated!TL$2:TL$4))</f>
        <v>44787.333333333336</v>
      </c>
      <c r="TM2">
        <f>IF(COUNT(zip_med_inc_updated!TM$2:TM$4)=0,"",AVERAGE(zip_med_inc_updated!TM$2:TM$4))</f>
        <v>24057</v>
      </c>
      <c r="TN2">
        <f>IF(COUNT(zip_med_inc_updated!TN$2:TN$4)=0,"",AVERAGE(zip_med_inc_updated!TN$2:TN$4))</f>
        <v>38541.333333333336</v>
      </c>
      <c r="TO2">
        <f>IF(COUNT(zip_med_inc_updated!TO$2:TO$4)=0,"",AVERAGE(zip_med_inc_updated!TO$2:TO$4))</f>
        <v>46259.333333333336</v>
      </c>
      <c r="TP2">
        <f>IF(COUNT(zip_med_inc_updated!TP$2:TP$4)=0,"",AVERAGE(zip_med_inc_updated!TP$2:TP$4))</f>
        <v>54675</v>
      </c>
      <c r="TQ2" t="str">
        <f>IF(COUNT(zip_med_inc_updated!TQ$2:TQ$4)=0,"",AVERAGE(zip_med_inc_updated!TQ$2:TQ$4))</f>
        <v/>
      </c>
      <c r="TR2">
        <f>IF(COUNT(zip_med_inc_updated!TR$2:TR$4)=0,"",AVERAGE(zip_med_inc_updated!TR$2:TR$4))</f>
        <v>51273.333333333336</v>
      </c>
      <c r="TS2">
        <f>IF(COUNT(zip_med_inc_updated!TS$2:TS$4)=0,"",AVERAGE(zip_med_inc_updated!TS$2:TS$4))</f>
        <v>56728</v>
      </c>
      <c r="TT2">
        <f>IF(COUNT(zip_med_inc_updated!TT$2:TT$4)=0,"",AVERAGE(zip_med_inc_updated!TT$2:TT$4))</f>
        <v>59821.5</v>
      </c>
      <c r="TU2">
        <f>IF(COUNT(zip_med_inc_updated!TU$2:TU$4)=0,"",AVERAGE(zip_med_inc_updated!TU$2:TU$4))</f>
        <v>74326</v>
      </c>
      <c r="TV2">
        <f>IF(COUNT(zip_med_inc_updated!TV$2:TV$4)=0,"",AVERAGE(zip_med_inc_updated!TV$2:TV$4))</f>
        <v>66036.333333333328</v>
      </c>
      <c r="TW2">
        <f>IF(COUNT(zip_med_inc_updated!TW$2:TW$4)=0,"",AVERAGE(zip_med_inc_updated!TW$2:TW$4))</f>
        <v>26340</v>
      </c>
      <c r="TX2">
        <f>IF(COUNT(zip_med_inc_updated!TX$2:TX$4)=0,"",AVERAGE(zip_med_inc_updated!TX$2:TX$4))</f>
        <v>72170.666666666672</v>
      </c>
      <c r="TY2">
        <f>IF(COUNT(zip_med_inc_updated!TY$2:TY$4)=0,"",AVERAGE(zip_med_inc_updated!TY$2:TY$4))</f>
        <v>61861.666666666664</v>
      </c>
      <c r="TZ2">
        <f>IF(COUNT(zip_med_inc_updated!TZ$2:TZ$4)=0,"",AVERAGE(zip_med_inc_updated!TZ$2:TZ$4))</f>
        <v>41739.666666666664</v>
      </c>
      <c r="UA2">
        <f>IF(COUNT(zip_med_inc_updated!UA$2:UA$4)=0,"",AVERAGE(zip_med_inc_updated!UA$2:UA$4))</f>
        <v>61556</v>
      </c>
      <c r="UB2">
        <f>IF(COUNT(zip_med_inc_updated!UB$2:UB$4)=0,"",AVERAGE(zip_med_inc_updated!UB$2:UB$4))</f>
        <v>47712.666666666664</v>
      </c>
      <c r="UC2">
        <f>IF(COUNT(zip_med_inc_updated!UC$2:UC$4)=0,"",AVERAGE(zip_med_inc_updated!UC$2:UC$4))</f>
        <v>41821</v>
      </c>
      <c r="UD2">
        <f>IF(COUNT(zip_med_inc_updated!UD$2:UD$4)=0,"",AVERAGE(zip_med_inc_updated!UD$2:UD$4))</f>
        <v>42069.333333333336</v>
      </c>
      <c r="UE2">
        <f>IF(COUNT(zip_med_inc_updated!UE$2:UE$4)=0,"",AVERAGE(zip_med_inc_updated!UE$2:UE$4))</f>
        <v>39548</v>
      </c>
      <c r="UF2">
        <f>IF(COUNT(zip_med_inc_updated!UF$2:UF$4)=0,"",AVERAGE(zip_med_inc_updated!UF$2:UF$4))</f>
        <v>57050.333333333336</v>
      </c>
      <c r="UG2">
        <f>IF(COUNT(zip_med_inc_updated!UG$2:UG$4)=0,"",AVERAGE(zip_med_inc_updated!UG$2:UG$4))</f>
        <v>102254.66666666667</v>
      </c>
      <c r="UH2">
        <f>IF(COUNT(zip_med_inc_updated!UH$2:UH$4)=0,"",AVERAGE(zip_med_inc_updated!UH$2:UH$4))</f>
        <v>52229.666666666664</v>
      </c>
      <c r="UI2">
        <f>IF(COUNT(zip_med_inc_updated!UI$2:UI$4)=0,"",AVERAGE(zip_med_inc_updated!UI$2:UI$4))</f>
        <v>49531.5</v>
      </c>
      <c r="UJ2" t="str">
        <f>IF(COUNT(zip_med_inc_updated!UJ$2:UJ$4)=0,"",AVERAGE(zip_med_inc_updated!UJ$2:UJ$4))</f>
        <v/>
      </c>
      <c r="UK2">
        <f>IF(COUNT(zip_med_inc_updated!UK$2:UK$4)=0,"",AVERAGE(zip_med_inc_updated!UK$2:UK$4))</f>
        <v>46014</v>
      </c>
      <c r="UL2">
        <f>IF(COUNT(zip_med_inc_updated!UL$2:UL$4)=0,"",AVERAGE(zip_med_inc_updated!UL$2:UL$4))</f>
        <v>32440.666666666668</v>
      </c>
      <c r="UM2">
        <f>IF(COUNT(zip_med_inc_updated!UM$2:UM$4)=0,"",AVERAGE(zip_med_inc_updated!UM$2:UM$4))</f>
        <v>81768.333333333328</v>
      </c>
      <c r="UN2">
        <f>IF(COUNT(zip_med_inc_updated!UN$2:UN$4)=0,"",AVERAGE(zip_med_inc_updated!UN$2:UN$4))</f>
        <v>37800</v>
      </c>
      <c r="UO2">
        <f>IF(COUNT(zip_med_inc_updated!UO$2:UO$4)=0,"",AVERAGE(zip_med_inc_updated!UO$2:UO$4))</f>
        <v>70601.333333333328</v>
      </c>
      <c r="UP2">
        <f>IF(COUNT(zip_med_inc_updated!UP$2:UP$4)=0,"",AVERAGE(zip_med_inc_updated!UP$2:UP$4))</f>
        <v>65378.666666666664</v>
      </c>
      <c r="UQ2">
        <f>IF(COUNT(zip_med_inc_updated!UQ$2:UQ$4)=0,"",AVERAGE(zip_med_inc_updated!UQ$2:UQ$4))</f>
        <v>58181.333333333336</v>
      </c>
      <c r="UR2">
        <f>IF(COUNT(zip_med_inc_updated!UR$2:UR$4)=0,"",AVERAGE(zip_med_inc_updated!UR$2:UR$4))</f>
        <v>46598.666666666664</v>
      </c>
      <c r="US2">
        <f>IF(COUNT(zip_med_inc_updated!US$2:US$4)=0,"",AVERAGE(zip_med_inc_updated!US$2:US$4))</f>
        <v>41344</v>
      </c>
      <c r="UT2">
        <f>IF(COUNT(zip_med_inc_updated!UT$2:UT$4)=0,"",AVERAGE(zip_med_inc_updated!UT$2:UT$4))</f>
        <v>45936.666666666664</v>
      </c>
      <c r="UU2">
        <f>IF(COUNT(zip_med_inc_updated!UU$2:UU$4)=0,"",AVERAGE(zip_med_inc_updated!UU$2:UU$4))</f>
        <v>64783.333333333336</v>
      </c>
      <c r="UV2">
        <f>IF(COUNT(zip_med_inc_updated!UV$2:UV$4)=0,"",AVERAGE(zip_med_inc_updated!UV$2:UV$4))</f>
        <v>86520.666666666672</v>
      </c>
      <c r="UW2">
        <f>IF(COUNT(zip_med_inc_updated!UW$2:UW$4)=0,"",AVERAGE(zip_med_inc_updated!UW$2:UW$4))</f>
        <v>24666</v>
      </c>
      <c r="UX2">
        <f>IF(COUNT(zip_med_inc_updated!UX$2:UX$4)=0,"",AVERAGE(zip_med_inc_updated!UX$2:UX$4))</f>
        <v>39163.333333333336</v>
      </c>
      <c r="UY2">
        <f>IF(COUNT(zip_med_inc_updated!UY$2:UY$4)=0,"",AVERAGE(zip_med_inc_updated!UY$2:UY$4))</f>
        <v>31321</v>
      </c>
      <c r="UZ2" t="str">
        <f>IF(COUNT(zip_med_inc_updated!UZ$2:UZ$4)=0,"",AVERAGE(zip_med_inc_updated!UZ$2:UZ$4))</f>
        <v/>
      </c>
      <c r="VA2">
        <f>IF(COUNT(zip_med_inc_updated!VA$2:VA$4)=0,"",AVERAGE(zip_med_inc_updated!VA$2:VA$4))</f>
        <v>78939.666666666672</v>
      </c>
      <c r="VB2">
        <f>IF(COUNT(zip_med_inc_updated!VB$2:VB$4)=0,"",AVERAGE(zip_med_inc_updated!VB$2:VB$4))</f>
        <v>49452.333333333336</v>
      </c>
      <c r="VC2" t="str">
        <f>IF(COUNT(zip_med_inc_updated!VC$2:VC$4)=0,"",AVERAGE(zip_med_inc_updated!VC$2:VC$4))</f>
        <v/>
      </c>
      <c r="VD2">
        <f>IF(COUNT(zip_med_inc_updated!VD$2:VD$4)=0,"",AVERAGE(zip_med_inc_updated!VD$2:VD$4))</f>
        <v>69897</v>
      </c>
      <c r="VE2">
        <f>IF(COUNT(zip_med_inc_updated!VE$2:VE$4)=0,"",AVERAGE(zip_med_inc_updated!VE$2:VE$4))</f>
        <v>43258.333333333336</v>
      </c>
      <c r="VF2">
        <f>IF(COUNT(zip_med_inc_updated!VF$2:VF$4)=0,"",AVERAGE(zip_med_inc_updated!VF$2:VF$4))</f>
        <v>85946.666666666672</v>
      </c>
      <c r="VG2">
        <f>IF(COUNT(zip_med_inc_updated!VG$2:VG$4)=0,"",AVERAGE(zip_med_inc_updated!VG$2:VG$4))</f>
        <v>54403.333333333336</v>
      </c>
      <c r="VH2">
        <f>IF(COUNT(zip_med_inc_updated!VH$2:VH$4)=0,"",AVERAGE(zip_med_inc_updated!VH$2:VH$4))</f>
        <v>66342.333333333328</v>
      </c>
      <c r="VI2">
        <f>IF(COUNT(zip_med_inc_updated!VI$2:VI$4)=0,"",AVERAGE(zip_med_inc_updated!VI$2:VI$4))</f>
        <v>75968</v>
      </c>
      <c r="VJ2">
        <f>IF(COUNT(zip_med_inc_updated!VJ$2:VJ$4)=0,"",AVERAGE(zip_med_inc_updated!VJ$2:VJ$4))</f>
        <v>40758.666666666664</v>
      </c>
      <c r="VK2">
        <f>IF(COUNT(zip_med_inc_updated!VK$2:VK$4)=0,"",AVERAGE(zip_med_inc_updated!VK$2:VK$4))</f>
        <v>104703</v>
      </c>
      <c r="VL2">
        <f>IF(COUNT(zip_med_inc_updated!VL$2:VL$4)=0,"",AVERAGE(zip_med_inc_updated!VL$2:VL$4))</f>
        <v>66985.333333333328</v>
      </c>
      <c r="VM2">
        <f>IF(COUNT(zip_med_inc_updated!VM$2:VM$4)=0,"",AVERAGE(zip_med_inc_updated!VM$2:VM$4))</f>
        <v>70931.333333333328</v>
      </c>
      <c r="VN2">
        <f>IF(COUNT(zip_med_inc_updated!VN$2:VN$4)=0,"",AVERAGE(zip_med_inc_updated!VN$2:VN$4))</f>
        <v>97410.333333333328</v>
      </c>
      <c r="VO2">
        <f>IF(COUNT(zip_med_inc_updated!VO$2:VO$4)=0,"",AVERAGE(zip_med_inc_updated!VO$2:VO$4))</f>
        <v>58418.333333333336</v>
      </c>
      <c r="VP2" t="str">
        <f>IF(COUNT(zip_med_inc_updated!VP$2:VP$4)=0,"",AVERAGE(zip_med_inc_updated!VP$2:VP$4))</f>
        <v/>
      </c>
      <c r="VQ2">
        <f>IF(COUNT(zip_med_inc_updated!VQ$2:VQ$4)=0,"",AVERAGE(zip_med_inc_updated!VQ$2:VQ$4))</f>
        <v>51042.666666666664</v>
      </c>
      <c r="VR2">
        <f>IF(COUNT(zip_med_inc_updated!VR$2:VR$4)=0,"",AVERAGE(zip_med_inc_updated!VR$2:VR$4))</f>
        <v>67537.666666666672</v>
      </c>
      <c r="VS2">
        <f>IF(COUNT(zip_med_inc_updated!VS$2:VS$4)=0,"",AVERAGE(zip_med_inc_updated!VS$2:VS$4))</f>
        <v>62798.333333333336</v>
      </c>
      <c r="VT2">
        <f>IF(COUNT(zip_med_inc_updated!VT$2:VT$4)=0,"",AVERAGE(zip_med_inc_updated!VT$2:VT$4))</f>
        <v>70486.333333333328</v>
      </c>
      <c r="VU2">
        <f>IF(COUNT(zip_med_inc_updated!VU$2:VU$4)=0,"",AVERAGE(zip_med_inc_updated!VU$2:VU$4))</f>
        <v>69314</v>
      </c>
      <c r="VV2">
        <f>IF(COUNT(zip_med_inc_updated!VV$2:VV$4)=0,"",AVERAGE(zip_med_inc_updated!VV$2:VV$4))</f>
        <v>90885.333333333328</v>
      </c>
      <c r="VW2">
        <f>IF(COUNT(zip_med_inc_updated!VW$2:VW$4)=0,"",AVERAGE(zip_med_inc_updated!VW$2:VW$4))</f>
        <v>46012.333333333336</v>
      </c>
      <c r="VX2">
        <f>IF(COUNT(zip_med_inc_updated!VX$2:VX$4)=0,"",AVERAGE(zip_med_inc_updated!VX$2:VX$4))</f>
        <v>112518.66666666667</v>
      </c>
      <c r="VY2">
        <f>IF(COUNT(zip_med_inc_updated!VY$2:VY$4)=0,"",AVERAGE(zip_med_inc_updated!VY$2:VY$4))</f>
        <v>80767</v>
      </c>
      <c r="VZ2" t="str">
        <f>IF(COUNT(zip_med_inc_updated!VZ$2:VZ$4)=0,"",AVERAGE(zip_med_inc_updated!VZ$2:VZ$4))</f>
        <v/>
      </c>
      <c r="WA2">
        <f>IF(COUNT(zip_med_inc_updated!WA$2:WA$4)=0,"",AVERAGE(zip_med_inc_updated!WA$2:WA$4))</f>
        <v>105009.66666666667</v>
      </c>
      <c r="WB2">
        <f>IF(COUNT(zip_med_inc_updated!WB$2:WB$4)=0,"",AVERAGE(zip_med_inc_updated!WB$2:WB$4))</f>
        <v>70899</v>
      </c>
      <c r="WC2">
        <f>IF(COUNT(zip_med_inc_updated!WC$2:WC$4)=0,"",AVERAGE(zip_med_inc_updated!WC$2:WC$4))</f>
        <v>58849.333333333336</v>
      </c>
      <c r="WD2">
        <f>IF(COUNT(zip_med_inc_updated!WD$2:WD$4)=0,"",AVERAGE(zip_med_inc_updated!WD$2:WD$4))</f>
        <v>30306</v>
      </c>
      <c r="WE2">
        <f>IF(COUNT(zip_med_inc_updated!WE$2:WE$4)=0,"",AVERAGE(zip_med_inc_updated!WE$2:WE$4))</f>
        <v>50857.333333333336</v>
      </c>
      <c r="WF2">
        <f>IF(COUNT(zip_med_inc_updated!WF$2:WF$4)=0,"",AVERAGE(zip_med_inc_updated!WF$2:WF$4))</f>
        <v>49660</v>
      </c>
      <c r="WG2">
        <f>IF(COUNT(zip_med_inc_updated!WG$2:WG$4)=0,"",AVERAGE(zip_med_inc_updated!WG$2:WG$4))</f>
        <v>60676.666666666664</v>
      </c>
      <c r="WH2">
        <f>IF(COUNT(zip_med_inc_updated!WH$2:WH$4)=0,"",AVERAGE(zip_med_inc_updated!WH$2:WH$4))</f>
        <v>65300.666666666664</v>
      </c>
      <c r="WI2">
        <f>IF(COUNT(zip_med_inc_updated!WI$2:WI$4)=0,"",AVERAGE(zip_med_inc_updated!WI$2:WI$4))</f>
        <v>80782.666666666672</v>
      </c>
      <c r="WJ2">
        <f>IF(COUNT(zip_med_inc_updated!WJ$2:WJ$4)=0,"",AVERAGE(zip_med_inc_updated!WJ$2:WJ$4))</f>
        <v>44194.333333333336</v>
      </c>
      <c r="WK2" t="str">
        <f>IF(COUNT(zip_med_inc_updated!WK$2:WK$4)=0,"",AVERAGE(zip_med_inc_updated!WK$2:WK$4))</f>
        <v/>
      </c>
      <c r="WL2">
        <f>IF(COUNT(zip_med_inc_updated!WL$2:WL$4)=0,"",AVERAGE(zip_med_inc_updated!WL$2:WL$4))</f>
        <v>94782.666666666672</v>
      </c>
      <c r="WM2">
        <f>IF(COUNT(zip_med_inc_updated!WM$2:WM$4)=0,"",AVERAGE(zip_med_inc_updated!WM$2:WM$4))</f>
        <v>126589.33333333333</v>
      </c>
      <c r="WN2">
        <f>IF(COUNT(zip_med_inc_updated!WN$2:WN$4)=0,"",AVERAGE(zip_med_inc_updated!WN$2:WN$4))</f>
        <v>36917.333333333336</v>
      </c>
      <c r="WO2">
        <f>IF(COUNT(zip_med_inc_updated!WO$2:WO$4)=0,"",AVERAGE(zip_med_inc_updated!WO$2:WO$4))</f>
        <v>68815.666666666672</v>
      </c>
      <c r="WP2" t="str">
        <f>IF(COUNT(zip_med_inc_updated!WP$2:WP$4)=0,"",AVERAGE(zip_med_inc_updated!WP$2:WP$4))</f>
        <v/>
      </c>
      <c r="WQ2">
        <f>IF(COUNT(zip_med_inc_updated!WQ$2:WQ$4)=0,"",AVERAGE(zip_med_inc_updated!WQ$2:WQ$4))</f>
        <v>37716.666666666664</v>
      </c>
      <c r="WR2">
        <f>IF(COUNT(zip_med_inc_updated!WR$2:WR$4)=0,"",AVERAGE(zip_med_inc_updated!WR$2:WR$4))</f>
        <v>53832</v>
      </c>
      <c r="WS2">
        <f>IF(COUNT(zip_med_inc_updated!WS$2:WS$4)=0,"",AVERAGE(zip_med_inc_updated!WS$2:WS$4))</f>
        <v>47705.666666666664</v>
      </c>
      <c r="WT2">
        <f>IF(COUNT(zip_med_inc_updated!WT$2:WT$4)=0,"",AVERAGE(zip_med_inc_updated!WT$2:WT$4))</f>
        <v>61023.5</v>
      </c>
      <c r="WU2">
        <f>IF(COUNT(zip_med_inc_updated!WU$2:WU$4)=0,"",AVERAGE(zip_med_inc_updated!WU$2:WU$4))</f>
        <v>43808</v>
      </c>
      <c r="WV2">
        <f>IF(COUNT(zip_med_inc_updated!WV$2:WV$4)=0,"",AVERAGE(zip_med_inc_updated!WV$2:WV$4))</f>
        <v>59140.666666666664</v>
      </c>
      <c r="WW2">
        <f>IF(COUNT(zip_med_inc_updated!WW$2:WW$4)=0,"",AVERAGE(zip_med_inc_updated!WW$2:WW$4))</f>
        <v>76040</v>
      </c>
      <c r="WX2">
        <f>IF(COUNT(zip_med_inc_updated!WX$2:WX$4)=0,"",AVERAGE(zip_med_inc_updated!WX$2:WX$4))</f>
        <v>41445</v>
      </c>
      <c r="WY2">
        <f>IF(COUNT(zip_med_inc_updated!WY$2:WY$4)=0,"",AVERAGE(zip_med_inc_updated!WY$2:WY$4))</f>
        <v>37634.666666666664</v>
      </c>
      <c r="WZ2">
        <f>IF(COUNT(zip_med_inc_updated!WZ$2:WZ$4)=0,"",AVERAGE(zip_med_inc_updated!WZ$2:WZ$4))</f>
        <v>104927.66666666667</v>
      </c>
      <c r="XA2">
        <f>IF(COUNT(zip_med_inc_updated!XA$2:XA$4)=0,"",AVERAGE(zip_med_inc_updated!XA$2:XA$4))</f>
        <v>88438</v>
      </c>
      <c r="XB2" t="str">
        <f>IF(COUNT(zip_med_inc_updated!XB$2:XB$4)=0,"",AVERAGE(zip_med_inc_updated!XB$2:XB$4))</f>
        <v/>
      </c>
      <c r="XC2">
        <f>IF(COUNT(zip_med_inc_updated!XC$2:XC$4)=0,"",AVERAGE(zip_med_inc_updated!XC$2:XC$4))</f>
        <v>66748.333333333328</v>
      </c>
      <c r="XD2">
        <f>IF(COUNT(zip_med_inc_updated!XD$2:XD$4)=0,"",AVERAGE(zip_med_inc_updated!XD$2:XD$4))</f>
        <v>74567</v>
      </c>
      <c r="XE2">
        <f>IF(COUNT(zip_med_inc_updated!XE$2:XE$4)=0,"",AVERAGE(zip_med_inc_updated!XE$2:XE$4))</f>
        <v>43901.666666666664</v>
      </c>
      <c r="XF2">
        <f>IF(COUNT(zip_med_inc_updated!XF$2:XF$4)=0,"",AVERAGE(zip_med_inc_updated!XF$2:XF$4))</f>
        <v>44078.666666666664</v>
      </c>
      <c r="XG2">
        <f>IF(COUNT(zip_med_inc_updated!XG$2:XG$4)=0,"",AVERAGE(zip_med_inc_updated!XG$2:XG$4))</f>
        <v>56405.333333333336</v>
      </c>
      <c r="XH2">
        <f>IF(COUNT(zip_med_inc_updated!XH$2:XH$4)=0,"",AVERAGE(zip_med_inc_updated!XH$2:XH$4))</f>
        <v>53411</v>
      </c>
      <c r="XI2">
        <f>IF(COUNT(zip_med_inc_updated!XI$2:XI$4)=0,"",AVERAGE(zip_med_inc_updated!XI$2:XI$4))</f>
        <v>39425.666666666664</v>
      </c>
      <c r="XJ2">
        <f>IF(COUNT(zip_med_inc_updated!XJ$2:XJ$4)=0,"",AVERAGE(zip_med_inc_updated!XJ$2:XJ$4))</f>
        <v>48103</v>
      </c>
      <c r="XK2">
        <f>IF(COUNT(zip_med_inc_updated!XK$2:XK$4)=0,"",AVERAGE(zip_med_inc_updated!XK$2:XK$4))</f>
        <v>43801.666666666664</v>
      </c>
      <c r="XL2">
        <f>IF(COUNT(zip_med_inc_updated!XL$2:XL$4)=0,"",AVERAGE(zip_med_inc_updated!XL$2:XL$4))</f>
        <v>53391</v>
      </c>
      <c r="XM2">
        <f>IF(COUNT(zip_med_inc_updated!XM$2:XM$4)=0,"",AVERAGE(zip_med_inc_updated!XM$2:XM$4))</f>
        <v>44744</v>
      </c>
      <c r="XN2">
        <f>IF(COUNT(zip_med_inc_updated!XN$2:XN$4)=0,"",AVERAGE(zip_med_inc_updated!XN$2:XN$4))</f>
        <v>65670.666666666672</v>
      </c>
      <c r="XO2" t="str">
        <f>IF(COUNT(zip_med_inc_updated!XO$2:XO$4)=0,"",AVERAGE(zip_med_inc_updated!XO$2:XO$4))</f>
        <v/>
      </c>
      <c r="XP2">
        <f>IF(COUNT(zip_med_inc_updated!XP$2:XP$4)=0,"",AVERAGE(zip_med_inc_updated!XP$2:XP$4))</f>
        <v>75060.333333333328</v>
      </c>
      <c r="XQ2">
        <f>IF(COUNT(zip_med_inc_updated!XQ$2:XQ$4)=0,"",AVERAGE(zip_med_inc_updated!XQ$2:XQ$4))</f>
        <v>40150.666666666664</v>
      </c>
      <c r="XR2">
        <f>IF(COUNT(zip_med_inc_updated!XR$2:XR$4)=0,"",AVERAGE(zip_med_inc_updated!XR$2:XR$4))</f>
        <v>60955</v>
      </c>
      <c r="XS2">
        <f>IF(COUNT(zip_med_inc_updated!XS$2:XS$4)=0,"",AVERAGE(zip_med_inc_updated!XS$2:XS$4))</f>
        <v>45376</v>
      </c>
      <c r="XT2">
        <f>IF(COUNT(zip_med_inc_updated!XT$2:XT$4)=0,"",AVERAGE(zip_med_inc_updated!XT$2:XT$4))</f>
        <v>49363</v>
      </c>
      <c r="XU2">
        <f>IF(COUNT(zip_med_inc_updated!XU$2:XU$4)=0,"",AVERAGE(zip_med_inc_updated!XU$2:XU$4))</f>
        <v>47406</v>
      </c>
      <c r="XV2">
        <f>IF(COUNT(zip_med_inc_updated!XV$2:XV$4)=0,"",AVERAGE(zip_med_inc_updated!XV$2:XV$4))</f>
        <v>52026.333333333336</v>
      </c>
      <c r="XW2">
        <f>IF(COUNT(zip_med_inc_updated!XW$2:XW$4)=0,"",AVERAGE(zip_med_inc_updated!XW$2:XW$4))</f>
        <v>63731.666666666664</v>
      </c>
      <c r="XX2" t="str">
        <f>IF(COUNT(zip_med_inc_updated!XX$2:XX$4)=0,"",AVERAGE(zip_med_inc_updated!XX$2:XX$4))</f>
        <v/>
      </c>
      <c r="XY2">
        <f>IF(COUNT(zip_med_inc_updated!XY$2:XY$4)=0,"",AVERAGE(zip_med_inc_updated!XY$2:XY$4))</f>
        <v>47194</v>
      </c>
      <c r="XZ2">
        <f>IF(COUNT(zip_med_inc_updated!XZ$2:XZ$4)=0,"",AVERAGE(zip_med_inc_updated!XZ$2:XZ$4))</f>
        <v>70129.666666666672</v>
      </c>
      <c r="YA2">
        <f>IF(COUNT(zip_med_inc_updated!YA$2:YA$4)=0,"",AVERAGE(zip_med_inc_updated!YA$2:YA$4))</f>
        <v>43430.333333333336</v>
      </c>
      <c r="YB2">
        <f>IF(COUNT(zip_med_inc_updated!YB$2:YB$4)=0,"",AVERAGE(zip_med_inc_updated!YB$2:YB$4))</f>
        <v>160500.33333333334</v>
      </c>
      <c r="YC2">
        <f>IF(COUNT(zip_med_inc_updated!YC$2:YC$4)=0,"",AVERAGE(zip_med_inc_updated!YC$2:YC$4))</f>
        <v>38993</v>
      </c>
      <c r="YD2">
        <f>IF(COUNT(zip_med_inc_updated!YD$2:YD$4)=0,"",AVERAGE(zip_med_inc_updated!YD$2:YD$4))</f>
        <v>56875</v>
      </c>
      <c r="YE2" t="str">
        <f>IF(COUNT(zip_med_inc_updated!YE$2:YE$4)=0,"",AVERAGE(zip_med_inc_updated!YE$2:YE$4))</f>
        <v/>
      </c>
      <c r="YF2">
        <f>IF(COUNT(zip_med_inc_updated!YF$2:YF$4)=0,"",AVERAGE(zip_med_inc_updated!YF$2:YF$4))</f>
        <v>63465</v>
      </c>
      <c r="YG2">
        <f>IF(COUNT(zip_med_inc_updated!YG$2:YG$4)=0,"",AVERAGE(zip_med_inc_updated!YG$2:YG$4))</f>
        <v>42557.333333333336</v>
      </c>
      <c r="YH2">
        <f>IF(COUNT(zip_med_inc_updated!YH$2:YH$4)=0,"",AVERAGE(zip_med_inc_updated!YH$2:YH$4))</f>
        <v>51630.5</v>
      </c>
      <c r="YI2">
        <f>IF(COUNT(zip_med_inc_updated!YI$2:YI$4)=0,"",AVERAGE(zip_med_inc_updated!YI$2:YI$4))</f>
        <v>66526.666666666672</v>
      </c>
      <c r="YJ2">
        <f>IF(COUNT(zip_med_inc_updated!YJ$2:YJ$4)=0,"",AVERAGE(zip_med_inc_updated!YJ$2:YJ$4))</f>
        <v>67333.333333333328</v>
      </c>
      <c r="YK2" t="str">
        <f>IF(COUNT(zip_med_inc_updated!YK$2:YK$4)=0,"",AVERAGE(zip_med_inc_updated!YK$2:YK$4))</f>
        <v/>
      </c>
      <c r="YL2">
        <f>IF(COUNT(zip_med_inc_updated!YL$2:YL$4)=0,"",AVERAGE(zip_med_inc_updated!YL$2:YL$4))</f>
        <v>34620</v>
      </c>
      <c r="YM2">
        <f>IF(COUNT(zip_med_inc_updated!YM$2:YM$4)=0,"",AVERAGE(zip_med_inc_updated!YM$2:YM$4))</f>
        <v>54473.666666666664</v>
      </c>
      <c r="YN2">
        <f>IF(COUNT(zip_med_inc_updated!YN$2:YN$4)=0,"",AVERAGE(zip_med_inc_updated!YN$2:YN$4))</f>
        <v>74194.666666666672</v>
      </c>
      <c r="YO2">
        <f>IF(COUNT(zip_med_inc_updated!YO$2:YO$4)=0,"",AVERAGE(zip_med_inc_updated!YO$2:YO$4))</f>
        <v>47099.666666666664</v>
      </c>
      <c r="YP2">
        <f>IF(COUNT(zip_med_inc_updated!YP$2:YP$4)=0,"",AVERAGE(zip_med_inc_updated!YP$2:YP$4))</f>
        <v>50383</v>
      </c>
      <c r="YQ2">
        <f>IF(COUNT(zip_med_inc_updated!YQ$2:YQ$4)=0,"",AVERAGE(zip_med_inc_updated!YQ$2:YQ$4))</f>
        <v>51020</v>
      </c>
      <c r="YR2">
        <f>IF(COUNT(zip_med_inc_updated!YR$2:YR$4)=0,"",AVERAGE(zip_med_inc_updated!YR$2:YR$4))</f>
        <v>29208.5</v>
      </c>
      <c r="YS2">
        <f>IF(COUNT(zip_med_inc_updated!YS$2:YS$4)=0,"",AVERAGE(zip_med_inc_updated!YS$2:YS$4))</f>
        <v>45353.666666666664</v>
      </c>
      <c r="YT2">
        <f>IF(COUNT(zip_med_inc_updated!YT$2:YT$4)=0,"",AVERAGE(zip_med_inc_updated!YT$2:YT$4))</f>
        <v>81430.666666666672</v>
      </c>
      <c r="YU2">
        <f>IF(COUNT(zip_med_inc_updated!YU$2:YU$4)=0,"",AVERAGE(zip_med_inc_updated!YU$2:YU$4))</f>
        <v>55000</v>
      </c>
      <c r="YV2">
        <f>IF(COUNT(zip_med_inc_updated!YV$2:YV$4)=0,"",AVERAGE(zip_med_inc_updated!YV$2:YV$4))</f>
        <v>35646</v>
      </c>
      <c r="YW2">
        <f>IF(COUNT(zip_med_inc_updated!YW$2:YW$4)=0,"",AVERAGE(zip_med_inc_updated!YW$2:YW$4))</f>
        <v>64388</v>
      </c>
      <c r="YX2">
        <f>IF(COUNT(zip_med_inc_updated!YX$2:YX$4)=0,"",AVERAGE(zip_med_inc_updated!YX$2:YX$4))</f>
        <v>29773.666666666668</v>
      </c>
      <c r="YY2">
        <f>IF(COUNT(zip_med_inc_updated!YY$2:YY$4)=0,"",AVERAGE(zip_med_inc_updated!YY$2:YY$4))</f>
        <v>70696.333333333328</v>
      </c>
      <c r="YZ2">
        <f>IF(COUNT(zip_med_inc_updated!YZ$2:YZ$4)=0,"",AVERAGE(zip_med_inc_updated!YZ$2:YZ$4))</f>
        <v>81912.333333333328</v>
      </c>
      <c r="ZA2">
        <f>IF(COUNT(zip_med_inc_updated!ZA$2:ZA$4)=0,"",AVERAGE(zip_med_inc_updated!ZA$2:ZA$4))</f>
        <v>49911.666666666664</v>
      </c>
      <c r="ZB2">
        <f>IF(COUNT(zip_med_inc_updated!ZB$2:ZB$4)=0,"",AVERAGE(zip_med_inc_updated!ZB$2:ZB$4))</f>
        <v>43311</v>
      </c>
      <c r="ZC2">
        <f>IF(COUNT(zip_med_inc_updated!ZC$2:ZC$4)=0,"",AVERAGE(zip_med_inc_updated!ZC$2:ZC$4))</f>
        <v>62764</v>
      </c>
      <c r="ZD2">
        <f>IF(COUNT(zip_med_inc_updated!ZD$2:ZD$4)=0,"",AVERAGE(zip_med_inc_updated!ZD$2:ZD$4))</f>
        <v>61208.666666666664</v>
      </c>
      <c r="ZE2">
        <f>IF(COUNT(zip_med_inc_updated!ZE$2:ZE$4)=0,"",AVERAGE(zip_med_inc_updated!ZE$2:ZE$4))</f>
        <v>58562.333333333336</v>
      </c>
      <c r="ZF2">
        <f>IF(COUNT(zip_med_inc_updated!ZF$2:ZF$4)=0,"",AVERAGE(zip_med_inc_updated!ZF$2:ZF$4))</f>
        <v>52021</v>
      </c>
      <c r="ZG2">
        <f>IF(COUNT(zip_med_inc_updated!ZG$2:ZG$4)=0,"",AVERAGE(zip_med_inc_updated!ZG$2:ZG$4))</f>
        <v>48052.666666666664</v>
      </c>
      <c r="ZH2">
        <f>IF(COUNT(zip_med_inc_updated!ZH$2:ZH$4)=0,"",AVERAGE(zip_med_inc_updated!ZH$2:ZH$4))</f>
        <v>39911</v>
      </c>
      <c r="ZI2">
        <f>IF(COUNT(zip_med_inc_updated!ZI$2:ZI$4)=0,"",AVERAGE(zip_med_inc_updated!ZI$2:ZI$4))</f>
        <v>40205.666666666664</v>
      </c>
      <c r="ZJ2">
        <f>IF(COUNT(zip_med_inc_updated!ZJ$2:ZJ$4)=0,"",AVERAGE(zip_med_inc_updated!ZJ$2:ZJ$4))</f>
        <v>68022.666666666672</v>
      </c>
      <c r="ZK2">
        <f>IF(COUNT(zip_med_inc_updated!ZK$2:ZK$4)=0,"",AVERAGE(zip_med_inc_updated!ZK$2:ZK$4))</f>
        <v>45544</v>
      </c>
      <c r="ZL2">
        <f>IF(COUNT(zip_med_inc_updated!ZL$2:ZL$4)=0,"",AVERAGE(zip_med_inc_updated!ZL$2:ZL$4))</f>
        <v>41201.333333333336</v>
      </c>
      <c r="ZM2">
        <f>IF(COUNT(zip_med_inc_updated!ZM$2:ZM$4)=0,"",AVERAGE(zip_med_inc_updated!ZM$2:ZM$4))</f>
        <v>92560.5</v>
      </c>
      <c r="ZN2">
        <f>IF(COUNT(zip_med_inc_updated!ZN$2:ZN$4)=0,"",AVERAGE(zip_med_inc_updated!ZN$2:ZN$4))</f>
        <v>44378.666666666664</v>
      </c>
      <c r="ZO2" t="str">
        <f>IF(COUNT(zip_med_inc_updated!ZO$2:ZO$4)=0,"",AVERAGE(zip_med_inc_updated!ZO$2:ZO$4))</f>
        <v/>
      </c>
      <c r="ZP2" t="str">
        <f>IF(COUNT(zip_med_inc_updated!ZP$2:ZP$4)=0,"",AVERAGE(zip_med_inc_updated!ZP$2:ZP$4))</f>
        <v/>
      </c>
      <c r="ZQ2">
        <f>IF(COUNT(zip_med_inc_updated!ZQ$2:ZQ$4)=0,"",AVERAGE(zip_med_inc_updated!ZQ$2:ZQ$4))</f>
        <v>33512.666666666664</v>
      </c>
      <c r="ZR2" t="str">
        <f>IF(COUNT(zip_med_inc_updated!ZR$2:ZR$4)=0,"",AVERAGE(zip_med_inc_updated!ZR$2:ZR$4))</f>
        <v/>
      </c>
      <c r="ZS2">
        <f>IF(COUNT(zip_med_inc_updated!ZS$2:ZS$4)=0,"",AVERAGE(zip_med_inc_updated!ZS$2:ZS$4))</f>
        <v>38995.666666666664</v>
      </c>
      <c r="ZT2">
        <f>IF(COUNT(zip_med_inc_updated!ZT$2:ZT$4)=0,"",AVERAGE(zip_med_inc_updated!ZT$2:ZT$4))</f>
        <v>49109</v>
      </c>
      <c r="ZU2">
        <f>IF(COUNT(zip_med_inc_updated!ZU$2:ZU$4)=0,"",AVERAGE(zip_med_inc_updated!ZU$2:ZU$4))</f>
        <v>40282</v>
      </c>
      <c r="ZV2">
        <f>IF(COUNT(zip_med_inc_updated!ZV$2:ZV$4)=0,"",AVERAGE(zip_med_inc_updated!ZV$2:ZV$4))</f>
        <v>48018.333333333336</v>
      </c>
      <c r="ZW2">
        <f>IF(COUNT(zip_med_inc_updated!ZW$2:ZW$4)=0,"",AVERAGE(zip_med_inc_updated!ZW$2:ZW$4))</f>
        <v>78281.666666666672</v>
      </c>
      <c r="ZX2">
        <f>IF(COUNT(zip_med_inc_updated!ZX$2:ZX$4)=0,"",AVERAGE(zip_med_inc_updated!ZX$2:ZX$4))</f>
        <v>35808.666666666664</v>
      </c>
      <c r="ZY2">
        <f>IF(COUNT(zip_med_inc_updated!ZY$2:ZY$4)=0,"",AVERAGE(zip_med_inc_updated!ZY$2:ZY$4))</f>
        <v>57850</v>
      </c>
      <c r="ZZ2">
        <f>IF(COUNT(zip_med_inc_updated!ZZ$2:ZZ$4)=0,"",AVERAGE(zip_med_inc_updated!ZZ$2:ZZ$4))</f>
        <v>42333.666666666664</v>
      </c>
      <c r="AAA2">
        <f>IF(COUNT(zip_med_inc_updated!AAA$2:AAA$4)=0,"",AVERAGE(zip_med_inc_updated!AAA$2:AAA$4))</f>
        <v>29813.333333333332</v>
      </c>
      <c r="AAB2">
        <f>IF(COUNT(zip_med_inc_updated!AAB$2:AAB$4)=0,"",AVERAGE(zip_med_inc_updated!AAB$2:AAB$4))</f>
        <v>77244.666666666672</v>
      </c>
      <c r="AAC2">
        <f>IF(COUNT(zip_med_inc_updated!AAC$2:AAC$4)=0,"",AVERAGE(zip_med_inc_updated!AAC$2:AAC$4))</f>
        <v>53509.666666666664</v>
      </c>
      <c r="AAD2" t="str">
        <f>IF(COUNT(zip_med_inc_updated!AAD$2:AAD$4)=0,"",AVERAGE(zip_med_inc_updated!AAD$2:AAD$4))</f>
        <v/>
      </c>
      <c r="AAE2">
        <f>IF(COUNT(zip_med_inc_updated!AAE$2:AAE$4)=0,"",AVERAGE(zip_med_inc_updated!AAE$2:AAE$4))</f>
        <v>51110.333333333336</v>
      </c>
      <c r="AAF2">
        <f>IF(COUNT(zip_med_inc_updated!AAF$2:AAF$4)=0,"",AVERAGE(zip_med_inc_updated!AAF$2:AAF$4))</f>
        <v>46301</v>
      </c>
      <c r="AAG2">
        <f>IF(COUNT(zip_med_inc_updated!AAG$2:AAG$4)=0,"",AVERAGE(zip_med_inc_updated!AAG$2:AAG$4))</f>
        <v>47442.333333333336</v>
      </c>
      <c r="AAH2">
        <f>IF(COUNT(zip_med_inc_updated!AAH$2:AAH$4)=0,"",AVERAGE(zip_med_inc_updated!AAH$2:AAH$4))</f>
        <v>66693.333333333328</v>
      </c>
      <c r="AAI2">
        <f>IF(COUNT(zip_med_inc_updated!AAI$2:AAI$4)=0,"",AVERAGE(zip_med_inc_updated!AAI$2:AAI$4))</f>
        <v>37901</v>
      </c>
      <c r="AAJ2">
        <f>IF(COUNT(zip_med_inc_updated!AAJ$2:AAJ$4)=0,"",AVERAGE(zip_med_inc_updated!AAJ$2:AAJ$4))</f>
        <v>61895.666666666664</v>
      </c>
      <c r="AAK2">
        <f>IF(COUNT(zip_med_inc_updated!AAK$2:AAK$4)=0,"",AVERAGE(zip_med_inc_updated!AAK$2:AAK$4))</f>
        <v>53435.333333333336</v>
      </c>
      <c r="AAL2">
        <f>IF(COUNT(zip_med_inc_updated!AAL$2:AAL$4)=0,"",AVERAGE(zip_med_inc_updated!AAL$2:AAL$4))</f>
        <v>38748.666666666664</v>
      </c>
      <c r="AAM2">
        <f>IF(COUNT(zip_med_inc_updated!AAM$2:AAM$4)=0,"",AVERAGE(zip_med_inc_updated!AAM$2:AAM$4))</f>
        <v>39928.333333333336</v>
      </c>
      <c r="AAN2" t="str">
        <f>IF(COUNT(zip_med_inc_updated!AAN$2:AAN$4)=0,"",AVERAGE(zip_med_inc_updated!AAN$2:AAN$4))</f>
        <v/>
      </c>
      <c r="AAO2">
        <f>IF(COUNT(zip_med_inc_updated!AAO$2:AAO$4)=0,"",AVERAGE(zip_med_inc_updated!AAO$2:AAO$4))</f>
        <v>79028.5</v>
      </c>
      <c r="AAP2">
        <f>IF(COUNT(zip_med_inc_updated!AAP$2:AAP$4)=0,"",AVERAGE(zip_med_inc_updated!AAP$2:AAP$4))</f>
        <v>78955.333333333328</v>
      </c>
      <c r="AAQ2">
        <f>IF(COUNT(zip_med_inc_updated!AAQ$2:AAQ$4)=0,"",AVERAGE(zip_med_inc_updated!AAQ$2:AAQ$4))</f>
        <v>84914.333333333328</v>
      </c>
      <c r="AAR2">
        <f>IF(COUNT(zip_med_inc_updated!AAR$2:AAR$4)=0,"",AVERAGE(zip_med_inc_updated!AAR$2:AAR$4))</f>
        <v>83816</v>
      </c>
      <c r="AAS2">
        <f>IF(COUNT(zip_med_inc_updated!AAS$2:AAS$4)=0,"",AVERAGE(zip_med_inc_updated!AAS$2:AAS$4))</f>
        <v>43655.666666666664</v>
      </c>
      <c r="AAT2">
        <f>IF(COUNT(zip_med_inc_updated!AAT$2:AAT$4)=0,"",AVERAGE(zip_med_inc_updated!AAT$2:AAT$4))</f>
        <v>45288.666666666664</v>
      </c>
      <c r="AAU2">
        <f>IF(COUNT(zip_med_inc_updated!AAU$2:AAU$4)=0,"",AVERAGE(zip_med_inc_updated!AAU$2:AAU$4))</f>
        <v>59997.333333333336</v>
      </c>
      <c r="AAV2">
        <f>IF(COUNT(zip_med_inc_updated!AAV$2:AAV$4)=0,"",AVERAGE(zip_med_inc_updated!AAV$2:AAV$4))</f>
        <v>45341.333333333336</v>
      </c>
      <c r="AAW2">
        <f>IF(COUNT(zip_med_inc_updated!AAW$2:AAW$4)=0,"",AVERAGE(zip_med_inc_updated!AAW$2:AAW$4))</f>
        <v>76732</v>
      </c>
      <c r="AAX2">
        <f>IF(COUNT(zip_med_inc_updated!AAX$2:AAX$4)=0,"",AVERAGE(zip_med_inc_updated!AAX$2:AAX$4))</f>
        <v>48900</v>
      </c>
      <c r="AAY2">
        <f>IF(COUNT(zip_med_inc_updated!AAY$2:AAY$4)=0,"",AVERAGE(zip_med_inc_updated!AAY$2:AAY$4))</f>
        <v>56597.666666666664</v>
      </c>
      <c r="AAZ2">
        <f>IF(COUNT(zip_med_inc_updated!AAZ$2:AAZ$4)=0,"",AVERAGE(zip_med_inc_updated!AAZ$2:AAZ$4))</f>
        <v>69082.666666666672</v>
      </c>
      <c r="ABA2">
        <f>IF(COUNT(zip_med_inc_updated!ABA$2:ABA$4)=0,"",AVERAGE(zip_med_inc_updated!ABA$2:ABA$4))</f>
        <v>45517</v>
      </c>
      <c r="ABB2">
        <f>IF(COUNT(zip_med_inc_updated!ABB$2:ABB$4)=0,"",AVERAGE(zip_med_inc_updated!ABB$2:ABB$4))</f>
        <v>38180.666666666664</v>
      </c>
      <c r="ABC2">
        <f>IF(COUNT(zip_med_inc_updated!ABC$2:ABC$4)=0,"",AVERAGE(zip_med_inc_updated!ABC$2:ABC$4))</f>
        <v>46381</v>
      </c>
      <c r="ABD2">
        <f>IF(COUNT(zip_med_inc_updated!ABD$2:ABD$4)=0,"",AVERAGE(zip_med_inc_updated!ABD$2:ABD$4))</f>
        <v>54942.333333333336</v>
      </c>
      <c r="ABE2">
        <f>IF(COUNT(zip_med_inc_updated!ABE$2:ABE$4)=0,"",AVERAGE(zip_med_inc_updated!ABE$2:ABE$4))</f>
        <v>45774</v>
      </c>
      <c r="ABF2">
        <f>IF(COUNT(zip_med_inc_updated!ABF$2:ABF$4)=0,"",AVERAGE(zip_med_inc_updated!ABF$2:ABF$4))</f>
        <v>80329</v>
      </c>
      <c r="ABG2">
        <f>IF(COUNT(zip_med_inc_updated!ABG$2:ABG$4)=0,"",AVERAGE(zip_med_inc_updated!ABG$2:ABG$4))</f>
        <v>48991.666666666664</v>
      </c>
      <c r="ABH2">
        <f>IF(COUNT(zip_med_inc_updated!ABH$2:ABH$4)=0,"",AVERAGE(zip_med_inc_updated!ABH$2:ABH$4))</f>
        <v>50045.333333333336</v>
      </c>
      <c r="ABI2">
        <f>IF(COUNT(zip_med_inc_updated!ABI$2:ABI$4)=0,"",AVERAGE(zip_med_inc_updated!ABI$2:ABI$4))</f>
        <v>58192.333333333336</v>
      </c>
      <c r="ABJ2">
        <f>IF(COUNT(zip_med_inc_updated!ABJ$2:ABJ$4)=0,"",AVERAGE(zip_med_inc_updated!ABJ$2:ABJ$4))</f>
        <v>60858.333333333336</v>
      </c>
      <c r="ABK2">
        <f>IF(COUNT(zip_med_inc_updated!ABK$2:ABK$4)=0,"",AVERAGE(zip_med_inc_updated!ABK$2:ABK$4))</f>
        <v>48639.666666666664</v>
      </c>
      <c r="ABL2">
        <f>IF(COUNT(zip_med_inc_updated!ABL$2:ABL$4)=0,"",AVERAGE(zip_med_inc_updated!ABL$2:ABL$4))</f>
        <v>78593.666666666672</v>
      </c>
      <c r="ABM2">
        <f>IF(COUNT(zip_med_inc_updated!ABM$2:ABM$4)=0,"",AVERAGE(zip_med_inc_updated!ABM$2:ABM$4))</f>
        <v>45746</v>
      </c>
      <c r="ABN2">
        <f>IF(COUNT(zip_med_inc_updated!ABN$2:ABN$4)=0,"",AVERAGE(zip_med_inc_updated!ABN$2:ABN$4))</f>
        <v>42381.666666666664</v>
      </c>
      <c r="ABO2">
        <f>IF(COUNT(zip_med_inc_updated!ABO$2:ABO$4)=0,"",AVERAGE(zip_med_inc_updated!ABO$2:ABO$4))</f>
        <v>47950.666666666664</v>
      </c>
      <c r="ABP2">
        <f>IF(COUNT(zip_med_inc_updated!ABP$2:ABP$4)=0,"",AVERAGE(zip_med_inc_updated!ABP$2:ABP$4))</f>
        <v>52986</v>
      </c>
      <c r="ABQ2">
        <f>IF(COUNT(zip_med_inc_updated!ABQ$2:ABQ$4)=0,"",AVERAGE(zip_med_inc_updated!ABQ$2:ABQ$4))</f>
        <v>52467.333333333336</v>
      </c>
      <c r="ABR2">
        <f>IF(COUNT(zip_med_inc_updated!ABR$2:ABR$4)=0,"",AVERAGE(zip_med_inc_updated!ABR$2:ABR$4))</f>
        <v>45109.333333333336</v>
      </c>
      <c r="ABS2">
        <f>IF(COUNT(zip_med_inc_updated!ABS$2:ABS$4)=0,"",AVERAGE(zip_med_inc_updated!ABS$2:ABS$4))</f>
        <v>100405.66666666667</v>
      </c>
      <c r="ABT2">
        <f>IF(COUNT(zip_med_inc_updated!ABT$2:ABT$4)=0,"",AVERAGE(zip_med_inc_updated!ABT$2:ABT$4))</f>
        <v>49148.666666666664</v>
      </c>
      <c r="ABU2">
        <f>IF(COUNT(zip_med_inc_updated!ABU$2:ABU$4)=0,"",AVERAGE(zip_med_inc_updated!ABU$2:ABU$4))</f>
        <v>58110</v>
      </c>
      <c r="ABV2">
        <f>IF(COUNT(zip_med_inc_updated!ABV$2:ABV$4)=0,"",AVERAGE(zip_med_inc_updated!ABV$2:ABV$4))</f>
        <v>104120.33333333333</v>
      </c>
      <c r="ABW2">
        <f>IF(COUNT(zip_med_inc_updated!ABW$2:ABW$4)=0,"",AVERAGE(zip_med_inc_updated!ABW$2:ABW$4))</f>
        <v>101167</v>
      </c>
      <c r="ABX2">
        <f>IF(COUNT(zip_med_inc_updated!ABX$2:ABX$4)=0,"",AVERAGE(zip_med_inc_updated!ABX$2:ABX$4))</f>
        <v>31375</v>
      </c>
      <c r="ABY2">
        <f>IF(COUNT(zip_med_inc_updated!ABY$2:ABY$4)=0,"",AVERAGE(zip_med_inc_updated!ABY$2:ABY$4))</f>
        <v>91205.333333333328</v>
      </c>
      <c r="ABZ2">
        <f>IF(COUNT(zip_med_inc_updated!ABZ$2:ABZ$4)=0,"",AVERAGE(zip_med_inc_updated!ABZ$2:ABZ$4))</f>
        <v>48555.666666666664</v>
      </c>
      <c r="ACA2" t="str">
        <f>IF(COUNT(zip_med_inc_updated!ACA$2:ACA$4)=0,"",AVERAGE(zip_med_inc_updated!ACA$2:ACA$4))</f>
        <v/>
      </c>
      <c r="ACB2">
        <f>IF(COUNT(zip_med_inc_updated!ACB$2:ACB$4)=0,"",AVERAGE(zip_med_inc_updated!ACB$2:ACB$4))</f>
        <v>42396</v>
      </c>
      <c r="ACC2">
        <f>IF(COUNT(zip_med_inc_updated!ACC$2:ACC$4)=0,"",AVERAGE(zip_med_inc_updated!ACC$2:ACC$4))</f>
        <v>50147.666666666664</v>
      </c>
      <c r="ACD2">
        <f>IF(COUNT(zip_med_inc_updated!ACD$2:ACD$4)=0,"",AVERAGE(zip_med_inc_updated!ACD$2:ACD$4))</f>
        <v>111681</v>
      </c>
      <c r="ACE2" t="str">
        <f>IF(COUNT(zip_med_inc_updated!ACE$2:ACE$4)=0,"",AVERAGE(zip_med_inc_updated!ACE$2:ACE$4))</f>
        <v/>
      </c>
      <c r="ACF2">
        <f>IF(COUNT(zip_med_inc_updated!ACF$2:ACF$4)=0,"",AVERAGE(zip_med_inc_updated!ACF$2:ACF$4))</f>
        <v>63777.333333333336</v>
      </c>
      <c r="ACG2">
        <f>IF(COUNT(zip_med_inc_updated!ACG$2:ACG$4)=0,"",AVERAGE(zip_med_inc_updated!ACG$2:ACG$4))</f>
        <v>70882.333333333328</v>
      </c>
      <c r="ACH2">
        <f>IF(COUNT(zip_med_inc_updated!ACH$2:ACH$4)=0,"",AVERAGE(zip_med_inc_updated!ACH$2:ACH$4))</f>
        <v>30339</v>
      </c>
      <c r="ACI2">
        <f>IF(COUNT(zip_med_inc_updated!ACI$2:ACI$4)=0,"",AVERAGE(zip_med_inc_updated!ACI$2:ACI$4))</f>
        <v>35455</v>
      </c>
      <c r="ACJ2">
        <f>IF(COUNT(zip_med_inc_updated!ACJ$2:ACJ$4)=0,"",AVERAGE(zip_med_inc_updated!ACJ$2:ACJ$4))</f>
        <v>80195.333333333328</v>
      </c>
      <c r="ACK2">
        <f>IF(COUNT(zip_med_inc_updated!ACK$2:ACK$4)=0,"",AVERAGE(zip_med_inc_updated!ACK$2:ACK$4))</f>
        <v>42249.333333333336</v>
      </c>
      <c r="ACL2">
        <f>IF(COUNT(zip_med_inc_updated!ACL$2:ACL$4)=0,"",AVERAGE(zip_med_inc_updated!ACL$2:ACL$4))</f>
        <v>120633</v>
      </c>
      <c r="ACM2">
        <f>IF(COUNT(zip_med_inc_updated!ACM$2:ACM$4)=0,"",AVERAGE(zip_med_inc_updated!ACM$2:ACM$4))</f>
        <v>59536.333333333336</v>
      </c>
      <c r="ACN2">
        <f>IF(COUNT(zip_med_inc_updated!ACN$2:ACN$4)=0,"",AVERAGE(zip_med_inc_updated!ACN$2:ACN$4))</f>
        <v>79061.333333333328</v>
      </c>
      <c r="ACO2">
        <f>IF(COUNT(zip_med_inc_updated!ACO$2:ACO$4)=0,"",AVERAGE(zip_med_inc_updated!ACO$2:ACO$4))</f>
        <v>65809</v>
      </c>
      <c r="ACP2">
        <f>IF(COUNT(zip_med_inc_updated!ACP$2:ACP$4)=0,"",AVERAGE(zip_med_inc_updated!ACP$2:ACP$4))</f>
        <v>60295.666666666664</v>
      </c>
      <c r="ACQ2">
        <f>IF(COUNT(zip_med_inc_updated!ACQ$2:ACQ$4)=0,"",AVERAGE(zip_med_inc_updated!ACQ$2:ACQ$4))</f>
        <v>47410.666666666664</v>
      </c>
      <c r="ACR2">
        <f>IF(COUNT(zip_med_inc_updated!ACR$2:ACR$4)=0,"",AVERAGE(zip_med_inc_updated!ACR$2:ACR$4))</f>
        <v>46201.666666666664</v>
      </c>
      <c r="ACS2">
        <f>IF(COUNT(zip_med_inc_updated!ACS$2:ACS$4)=0,"",AVERAGE(zip_med_inc_updated!ACS$2:ACS$4))</f>
        <v>29938.333333333332</v>
      </c>
      <c r="ACT2">
        <f>IF(COUNT(zip_med_inc_updated!ACT$2:ACT$4)=0,"",AVERAGE(zip_med_inc_updated!ACT$2:ACT$4))</f>
        <v>64668.333333333336</v>
      </c>
      <c r="ACU2">
        <f>IF(COUNT(zip_med_inc_updated!ACU$2:ACU$4)=0,"",AVERAGE(zip_med_inc_updated!ACU$2:ACU$4))</f>
        <v>71994.333333333328</v>
      </c>
      <c r="ACV2">
        <f>IF(COUNT(zip_med_inc_updated!ACV$2:ACV$4)=0,"",AVERAGE(zip_med_inc_updated!ACV$2:ACV$4))</f>
        <v>41841.666666666664</v>
      </c>
      <c r="ACW2">
        <f>IF(COUNT(zip_med_inc_updated!ACW$2:ACW$4)=0,"",AVERAGE(zip_med_inc_updated!ACW$2:ACW$4))</f>
        <v>53390.666666666664</v>
      </c>
      <c r="ACX2">
        <f>IF(COUNT(zip_med_inc_updated!ACX$2:ACX$4)=0,"",AVERAGE(zip_med_inc_updated!ACX$2:ACX$4))</f>
        <v>68291.666666666672</v>
      </c>
      <c r="ACY2">
        <f>IF(COUNT(zip_med_inc_updated!ACY$2:ACY$4)=0,"",AVERAGE(zip_med_inc_updated!ACY$2:ACY$4))</f>
        <v>53738.333333333336</v>
      </c>
      <c r="ACZ2">
        <f>IF(COUNT(zip_med_inc_updated!ACZ$2:ACZ$4)=0,"",AVERAGE(zip_med_inc_updated!ACZ$2:ACZ$4))</f>
        <v>45830.333333333336</v>
      </c>
      <c r="ADA2">
        <f>IF(COUNT(zip_med_inc_updated!ADA$2:ADA$4)=0,"",AVERAGE(zip_med_inc_updated!ADA$2:ADA$4))</f>
        <v>50317</v>
      </c>
      <c r="ADB2">
        <f>IF(COUNT(zip_med_inc_updated!ADB$2:ADB$4)=0,"",AVERAGE(zip_med_inc_updated!ADB$2:ADB$4))</f>
        <v>50606.666666666664</v>
      </c>
      <c r="ADC2">
        <f>IF(COUNT(zip_med_inc_updated!ADC$2:ADC$4)=0,"",AVERAGE(zip_med_inc_updated!ADC$2:ADC$4))</f>
        <v>47191.333333333336</v>
      </c>
      <c r="ADD2">
        <f>IF(COUNT(zip_med_inc_updated!ADD$2:ADD$4)=0,"",AVERAGE(zip_med_inc_updated!ADD$2:ADD$4))</f>
        <v>54516.666666666664</v>
      </c>
      <c r="ADE2">
        <f>IF(COUNT(zip_med_inc_updated!ADE$2:ADE$4)=0,"",AVERAGE(zip_med_inc_updated!ADE$2:ADE$4))</f>
        <v>47600</v>
      </c>
      <c r="ADF2">
        <f>IF(COUNT(zip_med_inc_updated!ADF$2:ADF$4)=0,"",AVERAGE(zip_med_inc_updated!ADF$2:ADF$4))</f>
        <v>63269.333333333336</v>
      </c>
      <c r="ADG2">
        <f>IF(COUNT(zip_med_inc_updated!ADG$2:ADG$4)=0,"",AVERAGE(zip_med_inc_updated!ADG$2:ADG$4))</f>
        <v>44583.333333333336</v>
      </c>
      <c r="ADH2">
        <f>IF(COUNT(zip_med_inc_updated!ADH$2:ADH$4)=0,"",AVERAGE(zip_med_inc_updated!ADH$2:ADH$4))</f>
        <v>56882.666666666664</v>
      </c>
      <c r="ADI2">
        <f>IF(COUNT(zip_med_inc_updated!ADI$2:ADI$4)=0,"",AVERAGE(zip_med_inc_updated!ADI$2:ADI$4))</f>
        <v>49662.333333333336</v>
      </c>
      <c r="ADJ2" t="str">
        <f>IF(COUNT(zip_med_inc_updated!ADJ$2:ADJ$4)=0,"",AVERAGE(zip_med_inc_updated!ADJ$2:ADJ$4))</f>
        <v/>
      </c>
      <c r="ADK2">
        <f>IF(COUNT(zip_med_inc_updated!ADK$2:ADK$4)=0,"",AVERAGE(zip_med_inc_updated!ADK$2:ADK$4))</f>
        <v>48589</v>
      </c>
      <c r="ADL2">
        <f>IF(COUNT(zip_med_inc_updated!ADL$2:ADL$4)=0,"",AVERAGE(zip_med_inc_updated!ADL$2:ADL$4))</f>
        <v>44547.5</v>
      </c>
      <c r="ADM2">
        <f>IF(COUNT(zip_med_inc_updated!ADM$2:ADM$4)=0,"",AVERAGE(zip_med_inc_updated!ADM$2:ADM$4))</f>
        <v>56035.333333333336</v>
      </c>
      <c r="ADN2">
        <f>IF(COUNT(zip_med_inc_updated!ADN$2:ADN$4)=0,"",AVERAGE(zip_med_inc_updated!ADN$2:ADN$4))</f>
        <v>22284.666666666668</v>
      </c>
      <c r="ADO2">
        <f>IF(COUNT(zip_med_inc_updated!ADO$2:ADO$4)=0,"",AVERAGE(zip_med_inc_updated!ADO$2:ADO$4))</f>
        <v>62483</v>
      </c>
      <c r="ADP2">
        <f>IF(COUNT(zip_med_inc_updated!ADP$2:ADP$4)=0,"",AVERAGE(zip_med_inc_updated!ADP$2:ADP$4))</f>
        <v>41653</v>
      </c>
      <c r="ADQ2">
        <f>IF(COUNT(zip_med_inc_updated!ADQ$2:ADQ$4)=0,"",AVERAGE(zip_med_inc_updated!ADQ$2:ADQ$4))</f>
        <v>47955.666666666664</v>
      </c>
      <c r="ADR2">
        <f>IF(COUNT(zip_med_inc_updated!ADR$2:ADR$4)=0,"",AVERAGE(zip_med_inc_updated!ADR$2:ADR$4))</f>
        <v>40922</v>
      </c>
      <c r="ADS2">
        <f>IF(COUNT(zip_med_inc_updated!ADS$2:ADS$4)=0,"",AVERAGE(zip_med_inc_updated!ADS$2:ADS$4))</f>
        <v>42043.333333333336</v>
      </c>
      <c r="ADT2">
        <f>IF(COUNT(zip_med_inc_updated!ADT$2:ADT$4)=0,"",AVERAGE(zip_med_inc_updated!ADT$2:ADT$4))</f>
        <v>41092.333333333336</v>
      </c>
      <c r="ADU2">
        <f>IF(COUNT(zip_med_inc_updated!ADU$2:ADU$4)=0,"",AVERAGE(zip_med_inc_updated!ADU$2:ADU$4))</f>
        <v>39375</v>
      </c>
      <c r="ADV2">
        <f>IF(COUNT(zip_med_inc_updated!ADV$2:ADV$4)=0,"",AVERAGE(zip_med_inc_updated!ADV$2:ADV$4))</f>
        <v>42159.333333333336</v>
      </c>
      <c r="ADW2">
        <f>IF(COUNT(zip_med_inc_updated!ADW$2:ADW$4)=0,"",AVERAGE(zip_med_inc_updated!ADW$2:ADW$4))</f>
        <v>46430.333333333336</v>
      </c>
      <c r="ADX2">
        <f>IF(COUNT(zip_med_inc_updated!ADX$2:ADX$4)=0,"",AVERAGE(zip_med_inc_updated!ADX$2:ADX$4))</f>
        <v>32646.666666666668</v>
      </c>
      <c r="ADY2">
        <f>IF(COUNT(zip_med_inc_updated!ADY$2:ADY$4)=0,"",AVERAGE(zip_med_inc_updated!ADY$2:ADY$4))</f>
        <v>47504</v>
      </c>
      <c r="ADZ2">
        <f>IF(COUNT(zip_med_inc_updated!ADZ$2:ADZ$4)=0,"",AVERAGE(zip_med_inc_updated!ADZ$2:ADZ$4))</f>
        <v>48775.666666666664</v>
      </c>
      <c r="AEA2">
        <f>IF(COUNT(zip_med_inc_updated!AEA$2:AEA$4)=0,"",AVERAGE(zip_med_inc_updated!AEA$2:AEA$4))</f>
        <v>56882</v>
      </c>
      <c r="AEB2" t="str">
        <f>IF(COUNT(zip_med_inc_updated!AEB$2:AEB$4)=0,"",AVERAGE(zip_med_inc_updated!AEB$2:AEB$4))</f>
        <v/>
      </c>
      <c r="AEC2">
        <f>IF(COUNT(zip_med_inc_updated!AEC$2:AEC$4)=0,"",AVERAGE(zip_med_inc_updated!AEC$2:AEC$4))</f>
        <v>35666.666666666664</v>
      </c>
      <c r="AED2">
        <f>IF(COUNT(zip_med_inc_updated!AED$2:AED$4)=0,"",AVERAGE(zip_med_inc_updated!AED$2:AED$4))</f>
        <v>52221.333333333336</v>
      </c>
      <c r="AEE2">
        <f>IF(COUNT(zip_med_inc_updated!AEE$2:AEE$4)=0,"",AVERAGE(zip_med_inc_updated!AEE$2:AEE$4))</f>
        <v>62968</v>
      </c>
      <c r="AEF2">
        <f>IF(COUNT(zip_med_inc_updated!AEF$2:AEF$4)=0,"",AVERAGE(zip_med_inc_updated!AEF$2:AEF$4))</f>
        <v>117833.33333333333</v>
      </c>
      <c r="AEG2">
        <f>IF(COUNT(zip_med_inc_updated!AEG$2:AEG$4)=0,"",AVERAGE(zip_med_inc_updated!AEG$2:AEG$4))</f>
        <v>106209.66666666667</v>
      </c>
      <c r="AEH2">
        <f>IF(COUNT(zip_med_inc_updated!AEH$2:AEH$4)=0,"",AVERAGE(zip_med_inc_updated!AEH$2:AEH$4))</f>
        <v>135945.66666666666</v>
      </c>
      <c r="AEI2">
        <f>IF(COUNT(zip_med_inc_updated!AEI$2:AEI$4)=0,"",AVERAGE(zip_med_inc_updated!AEI$2:AEI$4))</f>
        <v>116472.66666666667</v>
      </c>
      <c r="AEJ2">
        <f>IF(COUNT(zip_med_inc_updated!AEJ$2:AEJ$4)=0,"",AVERAGE(zip_med_inc_updated!AEJ$2:AEJ$4))</f>
        <v>150183</v>
      </c>
      <c r="AEK2">
        <f>IF(COUNT(zip_med_inc_updated!AEK$2:AEK$4)=0,"",AVERAGE(zip_med_inc_updated!AEK$2:AEK$4))</f>
        <v>88121.666666666672</v>
      </c>
      <c r="AEL2">
        <f>IF(COUNT(zip_med_inc_updated!AEL$2:AEL$4)=0,"",AVERAGE(zip_med_inc_updated!AEL$2:AEL$4))</f>
        <v>114969.33333333333</v>
      </c>
      <c r="AEM2">
        <f>IF(COUNT(zip_med_inc_updated!AEM$2:AEM$4)=0,"",AVERAGE(zip_med_inc_updated!AEM$2:AEM$4))</f>
        <v>138040.66666666666</v>
      </c>
      <c r="AEN2">
        <f>IF(COUNT(zip_med_inc_updated!AEN$2:AEN$4)=0,"",AVERAGE(zip_med_inc_updated!AEN$2:AEN$4))</f>
        <v>41118</v>
      </c>
      <c r="AEO2">
        <f>IF(COUNT(zip_med_inc_updated!AEO$2:AEO$4)=0,"",AVERAGE(zip_med_inc_updated!AEO$2:AEO$4))</f>
        <v>148896</v>
      </c>
      <c r="AEP2">
        <f>IF(COUNT(zip_med_inc_updated!AEP$2:AEP$4)=0,"",AVERAGE(zip_med_inc_updated!AEP$2:AEP$4))</f>
        <v>187668.5</v>
      </c>
      <c r="AEQ2">
        <f>IF(COUNT(zip_med_inc_updated!AEQ$2:AEQ$4)=0,"",AVERAGE(zip_med_inc_updated!AEQ$2:AEQ$4))</f>
        <v>125409.66666666667</v>
      </c>
      <c r="AER2">
        <f>IF(COUNT(zip_med_inc_updated!AER$2:AER$4)=0,"",AVERAGE(zip_med_inc_updated!AER$2:AER$4))</f>
        <v>113514</v>
      </c>
      <c r="AES2">
        <f>IF(COUNT(zip_med_inc_updated!AES$2:AES$4)=0,"",AVERAGE(zip_med_inc_updated!AES$2:AES$4))</f>
        <v>95759</v>
      </c>
      <c r="AET2">
        <f>IF(COUNT(zip_med_inc_updated!AET$2:AET$4)=0,"",AVERAGE(zip_med_inc_updated!AET$2:AET$4))</f>
        <v>115080</v>
      </c>
      <c r="AEU2">
        <f>IF(COUNT(zip_med_inc_updated!AEU$2:AEU$4)=0,"",AVERAGE(zip_med_inc_updated!AEU$2:AEU$4))</f>
        <v>158096</v>
      </c>
      <c r="AEV2" t="str">
        <f>IF(COUNT(zip_med_inc_updated!AEV$2:AEV$4)=0,"",AVERAGE(zip_med_inc_updated!AEV$2:AEV$4))</f>
        <v/>
      </c>
      <c r="AEW2">
        <f>IF(COUNT(zip_med_inc_updated!AEW$2:AEW$4)=0,"",AVERAGE(zip_med_inc_updated!AEW$2:AEW$4))</f>
        <v>121636.33333333333</v>
      </c>
      <c r="AEX2">
        <f>IF(COUNT(zip_med_inc_updated!AEX$2:AEX$4)=0,"",AVERAGE(zip_med_inc_updated!AEX$2:AEX$4))</f>
        <v>131639.66666666666</v>
      </c>
      <c r="AEY2">
        <f>IF(COUNT(zip_med_inc_updated!AEY$2:AEY$4)=0,"",AVERAGE(zip_med_inc_updated!AEY$2:AEY$4))</f>
        <v>111053.33333333333</v>
      </c>
      <c r="AEZ2">
        <f>IF(COUNT(zip_med_inc_updated!AEZ$2:AEZ$4)=0,"",AVERAGE(zip_med_inc_updated!AEZ$2:AEZ$4))</f>
        <v>143828.5</v>
      </c>
      <c r="AFA2">
        <f>IF(COUNT(zip_med_inc_updated!AFA$2:AFA$4)=0,"",AVERAGE(zip_med_inc_updated!AFA$2:AFA$4))</f>
        <v>54974.5</v>
      </c>
      <c r="AFB2">
        <f>IF(COUNT(zip_med_inc_updated!AFB$2:AFB$4)=0,"",AVERAGE(zip_med_inc_updated!AFB$2:AFB$4))</f>
        <v>135796.5</v>
      </c>
      <c r="AFC2">
        <f>IF(COUNT(zip_med_inc_updated!AFC$2:AFC$4)=0,"",AVERAGE(zip_med_inc_updated!AFC$2:AFC$4))</f>
        <v>88216.666666666672</v>
      </c>
      <c r="AFD2">
        <f>IF(COUNT(zip_med_inc_updated!AFD$2:AFD$4)=0,"",AVERAGE(zip_med_inc_updated!AFD$2:AFD$4))</f>
        <v>218088.66666666666</v>
      </c>
      <c r="AFE2">
        <f>IF(COUNT(zip_med_inc_updated!AFE$2:AFE$4)=0,"",AVERAGE(zip_med_inc_updated!AFE$2:AFE$4))</f>
        <v>200160.5</v>
      </c>
      <c r="AFF2">
        <f>IF(COUNT(zip_med_inc_updated!AFF$2:AFF$4)=0,"",AVERAGE(zip_med_inc_updated!AFF$2:AFF$4))</f>
        <v>129282.66666666667</v>
      </c>
      <c r="AFG2">
        <f>IF(COUNT(zip_med_inc_updated!AFG$2:AFG$4)=0,"",AVERAGE(zip_med_inc_updated!AFG$2:AFG$4))</f>
        <v>158227.66666666666</v>
      </c>
      <c r="AFH2">
        <f>IF(COUNT(zip_med_inc_updated!AFH$2:AFH$4)=0,"",AVERAGE(zip_med_inc_updated!AFH$2:AFH$4))</f>
        <v>150441.33333333334</v>
      </c>
      <c r="AFI2">
        <f>IF(COUNT(zip_med_inc_updated!AFI$2:AFI$4)=0,"",AVERAGE(zip_med_inc_updated!AFI$2:AFI$4))</f>
        <v>152944</v>
      </c>
      <c r="AFJ2">
        <f>IF(COUNT(zip_med_inc_updated!AFJ$2:AFJ$4)=0,"",AVERAGE(zip_med_inc_updated!AFJ$2:AFJ$4))</f>
        <v>94967.666666666672</v>
      </c>
      <c r="AFK2">
        <f>IF(COUNT(zip_med_inc_updated!AFK$2:AFK$4)=0,"",AVERAGE(zip_med_inc_updated!AFK$2:AFK$4))</f>
        <v>162395.66666666666</v>
      </c>
      <c r="AFL2">
        <f>IF(COUNT(zip_med_inc_updated!AFL$2:AFL$4)=0,"",AVERAGE(zip_med_inc_updated!AFL$2:AFL$4))</f>
        <v>130716.66666666667</v>
      </c>
      <c r="AFM2">
        <f>IF(COUNT(zip_med_inc_updated!AFM$2:AFM$4)=0,"",AVERAGE(zip_med_inc_updated!AFM$2:AFM$4))</f>
        <v>140219.33333333334</v>
      </c>
      <c r="AFN2">
        <f>IF(COUNT(zip_med_inc_updated!AFN$2:AFN$4)=0,"",AVERAGE(zip_med_inc_updated!AFN$2:AFN$4))</f>
        <v>99207</v>
      </c>
      <c r="AFO2" t="str">
        <f>IF(COUNT(zip_med_inc_updated!AFO$2:AFO$4)=0,"",AVERAGE(zip_med_inc_updated!AFO$2:AFO$4))</f>
        <v/>
      </c>
      <c r="AFP2">
        <f>IF(COUNT(zip_med_inc_updated!AFP$2:AFP$4)=0,"",AVERAGE(zip_med_inc_updated!AFP$2:AFP$4))</f>
        <v>114731</v>
      </c>
      <c r="AFQ2">
        <f>IF(COUNT(zip_med_inc_updated!AFQ$2:AFQ$4)=0,"",AVERAGE(zip_med_inc_updated!AFQ$2:AFQ$4))</f>
        <v>98472</v>
      </c>
      <c r="AFR2">
        <f>IF(COUNT(zip_med_inc_updated!AFR$2:AFR$4)=0,"",AVERAGE(zip_med_inc_updated!AFR$2:AFR$4))</f>
        <v>118318</v>
      </c>
      <c r="AFS2" t="str">
        <f>IF(COUNT(zip_med_inc_updated!AFS$2:AFS$4)=0,"",AVERAGE(zip_med_inc_updated!AFS$2:AFS$4))</f>
        <v/>
      </c>
      <c r="AFT2" t="str">
        <f>IF(COUNT(zip_med_inc_updated!AFT$2:AFT$4)=0,"",AVERAGE(zip_med_inc_updated!AFT$2:AFT$4))</f>
        <v/>
      </c>
      <c r="AFU2">
        <f>IF(COUNT(zip_med_inc_updated!AFU$2:AFU$4)=0,"",AVERAGE(zip_med_inc_updated!AFU$2:AFU$4))</f>
        <v>82411.666666666672</v>
      </c>
      <c r="AFV2">
        <f>IF(COUNT(zip_med_inc_updated!AFV$2:AFV$4)=0,"",AVERAGE(zip_med_inc_updated!AFV$2:AFV$4))</f>
        <v>87944.666666666672</v>
      </c>
      <c r="AFW2" t="str">
        <f>IF(COUNT(zip_med_inc_updated!AFW$2:AFW$4)=0,"",AVERAGE(zip_med_inc_updated!AFW$2:AFW$4))</f>
        <v/>
      </c>
      <c r="AFX2">
        <f>IF(COUNT(zip_med_inc_updated!AFX$2:AFX$4)=0,"",AVERAGE(zip_med_inc_updated!AFX$2:AFX$4))</f>
        <v>64813.666666666664</v>
      </c>
      <c r="AFY2">
        <f>IF(COUNT(zip_med_inc_updated!AFY$2:AFY$4)=0,"",AVERAGE(zip_med_inc_updated!AFY$2:AFY$4))</f>
        <v>154554.66666666666</v>
      </c>
      <c r="AFZ2">
        <f>IF(COUNT(zip_med_inc_updated!AFZ$2:AFZ$4)=0,"",AVERAGE(zip_med_inc_updated!AFZ$2:AFZ$4))</f>
        <v>124011</v>
      </c>
      <c r="AGA2">
        <f>IF(COUNT(zip_med_inc_updated!AGA$2:AGA$4)=0,"",AVERAGE(zip_med_inc_updated!AGA$2:AGA$4))</f>
        <v>156214.66666666666</v>
      </c>
      <c r="AGB2">
        <f>IF(COUNT(zip_med_inc_updated!AGB$2:AGB$4)=0,"",AVERAGE(zip_med_inc_updated!AGB$2:AGB$4))</f>
        <v>157627</v>
      </c>
      <c r="AGC2">
        <f>IF(COUNT(zip_med_inc_updated!AGC$2:AGC$4)=0,"",AVERAGE(zip_med_inc_updated!AGC$2:AGC$4))</f>
        <v>119910</v>
      </c>
      <c r="AGD2">
        <f>IF(COUNT(zip_med_inc_updated!AGD$2:AGD$4)=0,"",AVERAGE(zip_med_inc_updated!AGD$2:AGD$4))</f>
        <v>81125</v>
      </c>
      <c r="AGE2">
        <f>IF(COUNT(zip_med_inc_updated!AGE$2:AGE$4)=0,"",AVERAGE(zip_med_inc_updated!AGE$2:AGE$4))</f>
        <v>164728.66666666666</v>
      </c>
      <c r="AGF2">
        <f>IF(COUNT(zip_med_inc_updated!AGF$2:AGF$4)=0,"",AVERAGE(zip_med_inc_updated!AGF$2:AGF$4))</f>
        <v>120328.66666666667</v>
      </c>
      <c r="AGG2" t="str">
        <f>IF(COUNT(zip_med_inc_updated!AGG$2:AGG$4)=0,"",AVERAGE(zip_med_inc_updated!AGG$2:AGG$4))</f>
        <v/>
      </c>
      <c r="AGH2">
        <f>IF(COUNT(zip_med_inc_updated!AGH$2:AGH$4)=0,"",AVERAGE(zip_med_inc_updated!AGH$2:AGH$4))</f>
        <v>143468</v>
      </c>
      <c r="AGI2">
        <f>IF(COUNT(zip_med_inc_updated!AGI$2:AGI$4)=0,"",AVERAGE(zip_med_inc_updated!AGI$2:AGI$4))</f>
        <v>93715.666666666672</v>
      </c>
      <c r="AGJ2">
        <f>IF(COUNT(zip_med_inc_updated!AGJ$2:AGJ$4)=0,"",AVERAGE(zip_med_inc_updated!AGJ$2:AGJ$4))</f>
        <v>170388.66666666666</v>
      </c>
      <c r="AGK2">
        <f>IF(COUNT(zip_med_inc_updated!AGK$2:AGK$4)=0,"",AVERAGE(zip_med_inc_updated!AGK$2:AGK$4))</f>
        <v>130495.33333333333</v>
      </c>
      <c r="AGL2">
        <f>IF(COUNT(zip_med_inc_updated!AGL$2:AGL$4)=0,"",AVERAGE(zip_med_inc_updated!AGL$2:AGL$4))</f>
        <v>158858</v>
      </c>
      <c r="AGM2">
        <f>IF(COUNT(zip_med_inc_updated!AGM$2:AGM$4)=0,"",AVERAGE(zip_med_inc_updated!AGM$2:AGM$4))</f>
        <v>138886</v>
      </c>
      <c r="AGN2">
        <f>IF(COUNT(zip_med_inc_updated!AGN$2:AGN$4)=0,"",AVERAGE(zip_med_inc_updated!AGN$2:AGN$4))</f>
        <v>127478.66666666667</v>
      </c>
      <c r="AGO2">
        <f>IF(COUNT(zip_med_inc_updated!AGO$2:AGO$4)=0,"",AVERAGE(zip_med_inc_updated!AGO$2:AGO$4))</f>
        <v>82197.666666666672</v>
      </c>
      <c r="AGP2">
        <f>IF(COUNT(zip_med_inc_updated!AGP$2:AGP$4)=0,"",AVERAGE(zip_med_inc_updated!AGP$2:AGP$4))</f>
        <v>106619.33333333333</v>
      </c>
      <c r="AGQ2">
        <f>IF(COUNT(zip_med_inc_updated!AGQ$2:AGQ$4)=0,"",AVERAGE(zip_med_inc_updated!AGQ$2:AGQ$4))</f>
        <v>101379.66666666667</v>
      </c>
      <c r="AGR2">
        <f>IF(COUNT(zip_med_inc_updated!AGR$2:AGR$4)=0,"",AVERAGE(zip_med_inc_updated!AGR$2:AGR$4))</f>
        <v>103173</v>
      </c>
      <c r="AGS2">
        <f>IF(COUNT(zip_med_inc_updated!AGS$2:AGS$4)=0,"",AVERAGE(zip_med_inc_updated!AGS$2:AGS$4))</f>
        <v>82464.333333333328</v>
      </c>
      <c r="AGT2">
        <f>IF(COUNT(zip_med_inc_updated!AGT$2:AGT$4)=0,"",AVERAGE(zip_med_inc_updated!AGT$2:AGT$4))</f>
        <v>62366.666666666664</v>
      </c>
      <c r="AGU2">
        <f>IF(COUNT(zip_med_inc_updated!AGU$2:AGU$4)=0,"",AVERAGE(zip_med_inc_updated!AGU$2:AGU$4))</f>
        <v>99575.333333333328</v>
      </c>
      <c r="AGV2">
        <f>IF(COUNT(zip_med_inc_updated!AGV$2:AGV$4)=0,"",AVERAGE(zip_med_inc_updated!AGV$2:AGV$4))</f>
        <v>67324</v>
      </c>
      <c r="AGW2">
        <f>IF(COUNT(zip_med_inc_updated!AGW$2:AGW$4)=0,"",AVERAGE(zip_med_inc_updated!AGW$2:AGW$4))</f>
        <v>88748.333333333328</v>
      </c>
      <c r="AGX2">
        <f>IF(COUNT(zip_med_inc_updated!AGX$2:AGX$4)=0,"",AVERAGE(zip_med_inc_updated!AGX$2:AGX$4))</f>
        <v>140916.66666666666</v>
      </c>
      <c r="AGY2">
        <f>IF(COUNT(zip_med_inc_updated!AGY$2:AGY$4)=0,"",AVERAGE(zip_med_inc_updated!AGY$2:AGY$4))</f>
        <v>122408</v>
      </c>
      <c r="AGZ2">
        <f>IF(COUNT(zip_med_inc_updated!AGZ$2:AGZ$4)=0,"",AVERAGE(zip_med_inc_updated!AGZ$2:AGZ$4))</f>
        <v>160190.33333333334</v>
      </c>
      <c r="AHA2">
        <f>IF(COUNT(zip_med_inc_updated!AHA$2:AHA$4)=0,"",AVERAGE(zip_med_inc_updated!AHA$2:AHA$4))</f>
        <v>164444</v>
      </c>
      <c r="AHB2">
        <f>IF(COUNT(zip_med_inc_updated!AHB$2:AHB$4)=0,"",AVERAGE(zip_med_inc_updated!AHB$2:AHB$4))</f>
        <v>86622</v>
      </c>
      <c r="AHC2">
        <f>IF(COUNT(zip_med_inc_updated!AHC$2:AHC$4)=0,"",AVERAGE(zip_med_inc_updated!AHC$2:AHC$4))</f>
        <v>132069.66666666666</v>
      </c>
      <c r="AHD2">
        <f>IF(COUNT(zip_med_inc_updated!AHD$2:AHD$4)=0,"",AVERAGE(zip_med_inc_updated!AHD$2:AHD$4))</f>
        <v>111134</v>
      </c>
      <c r="AHE2">
        <f>IF(COUNT(zip_med_inc_updated!AHE$2:AHE$4)=0,"",AVERAGE(zip_med_inc_updated!AHE$2:AHE$4))</f>
        <v>135412.33333333334</v>
      </c>
      <c r="AHF2">
        <f>IF(COUNT(zip_med_inc_updated!AHF$2:AHF$4)=0,"",AVERAGE(zip_med_inc_updated!AHF$2:AHF$4))</f>
        <v>129538.66666666667</v>
      </c>
      <c r="AHG2">
        <f>IF(COUNT(zip_med_inc_updated!AHG$2:AHG$4)=0,"",AVERAGE(zip_med_inc_updated!AHG$2:AHG$4))</f>
        <v>124564</v>
      </c>
      <c r="AHH2">
        <f>IF(COUNT(zip_med_inc_updated!AHH$2:AHH$4)=0,"",AVERAGE(zip_med_inc_updated!AHH$2:AHH$4))</f>
        <v>159532</v>
      </c>
      <c r="AHI2">
        <f>IF(COUNT(zip_med_inc_updated!AHI$2:AHI$4)=0,"",AVERAGE(zip_med_inc_updated!AHI$2:AHI$4))</f>
        <v>85648</v>
      </c>
      <c r="AHJ2">
        <f>IF(COUNT(zip_med_inc_updated!AHJ$2:AHJ$4)=0,"",AVERAGE(zip_med_inc_updated!AHJ$2:AHJ$4))</f>
        <v>79374</v>
      </c>
      <c r="AHK2" t="str">
        <f>IF(COUNT(zip_med_inc_updated!AHK$2:AHK$4)=0,"",AVERAGE(zip_med_inc_updated!AHK$2:AHK$4))</f>
        <v/>
      </c>
      <c r="AHL2">
        <f>IF(COUNT(zip_med_inc_updated!AHL$2:AHL$4)=0,"",AVERAGE(zip_med_inc_updated!AHL$2:AHL$4))</f>
        <v>75273.666666666672</v>
      </c>
      <c r="AHM2">
        <f>IF(COUNT(zip_med_inc_updated!AHM$2:AHM$4)=0,"",AVERAGE(zip_med_inc_updated!AHM$2:AHM$4))</f>
        <v>123365.33333333333</v>
      </c>
      <c r="AHN2">
        <f>IF(COUNT(zip_med_inc_updated!AHN$2:AHN$4)=0,"",AVERAGE(zip_med_inc_updated!AHN$2:AHN$4))</f>
        <v>77918</v>
      </c>
      <c r="AHO2">
        <f>IF(COUNT(zip_med_inc_updated!AHO$2:AHO$4)=0,"",AVERAGE(zip_med_inc_updated!AHO$2:AHO$4))</f>
        <v>78825</v>
      </c>
      <c r="AHP2">
        <f>IF(COUNT(zip_med_inc_updated!AHP$2:AHP$4)=0,"",AVERAGE(zip_med_inc_updated!AHP$2:AHP$4))</f>
        <v>73496</v>
      </c>
      <c r="AHQ2">
        <f>IF(COUNT(zip_med_inc_updated!AHQ$2:AHQ$4)=0,"",AVERAGE(zip_med_inc_updated!AHQ$2:AHQ$4))</f>
        <v>81567.666666666672</v>
      </c>
      <c r="AHR2">
        <f>IF(COUNT(zip_med_inc_updated!AHR$2:AHR$4)=0,"",AVERAGE(zip_med_inc_updated!AHR$2:AHR$4))</f>
        <v>120616.66666666667</v>
      </c>
      <c r="AHS2">
        <f>IF(COUNT(zip_med_inc_updated!AHS$2:AHS$4)=0,"",AVERAGE(zip_med_inc_updated!AHS$2:AHS$4))</f>
        <v>169185</v>
      </c>
      <c r="AHT2">
        <f>IF(COUNT(zip_med_inc_updated!AHT$2:AHT$4)=0,"",AVERAGE(zip_med_inc_updated!AHT$2:AHT$4))</f>
        <v>100085.66666666667</v>
      </c>
      <c r="AHU2">
        <f>IF(COUNT(zip_med_inc_updated!AHU$2:AHU$4)=0,"",AVERAGE(zip_med_inc_updated!AHU$2:AHU$4))</f>
        <v>176456</v>
      </c>
      <c r="AHV2">
        <f>IF(COUNT(zip_med_inc_updated!AHV$2:AHV$4)=0,"",AVERAGE(zip_med_inc_updated!AHV$2:AHV$4))</f>
        <v>248309.5</v>
      </c>
      <c r="AHW2">
        <f>IF(COUNT(zip_med_inc_updated!AHW$2:AHW$4)=0,"",AVERAGE(zip_med_inc_updated!AHW$2:AHW$4))</f>
        <v>87759.333333333328</v>
      </c>
      <c r="AHX2">
        <f>IF(COUNT(zip_med_inc_updated!AHX$2:AHX$4)=0,"",AVERAGE(zip_med_inc_updated!AHX$2:AHX$4))</f>
        <v>98182</v>
      </c>
      <c r="AHY2">
        <f>IF(COUNT(zip_med_inc_updated!AHY$2:AHY$4)=0,"",AVERAGE(zip_med_inc_updated!AHY$2:AHY$4))</f>
        <v>114162</v>
      </c>
      <c r="AHZ2">
        <f>IF(COUNT(zip_med_inc_updated!AHZ$2:AHZ$4)=0,"",AVERAGE(zip_med_inc_updated!AHZ$2:AHZ$4))</f>
        <v>139911.66666666666</v>
      </c>
      <c r="AIA2">
        <f>IF(COUNT(zip_med_inc_updated!AIA$2:AIA$4)=0,"",AVERAGE(zip_med_inc_updated!AIA$2:AIA$4))</f>
        <v>155228</v>
      </c>
      <c r="AIB2">
        <f>IF(COUNT(zip_med_inc_updated!AIB$2:AIB$4)=0,"",AVERAGE(zip_med_inc_updated!AIB$2:AIB$4))</f>
        <v>83032.333333333328</v>
      </c>
      <c r="AIC2" t="str">
        <f>IF(COUNT(zip_med_inc_updated!AIC$2:AIC$4)=0,"",AVERAGE(zip_med_inc_updated!AIC$2:AIC$4))</f>
        <v/>
      </c>
      <c r="AID2">
        <f>IF(COUNT(zip_med_inc_updated!AID$2:AID$4)=0,"",AVERAGE(zip_med_inc_updated!AID$2:AID$4))</f>
        <v>135650.66666666666</v>
      </c>
      <c r="AIE2">
        <f>IF(COUNT(zip_med_inc_updated!AIE$2:AIE$4)=0,"",AVERAGE(zip_med_inc_updated!AIE$2:AIE$4))</f>
        <v>125082</v>
      </c>
      <c r="AIF2">
        <f>IF(COUNT(zip_med_inc_updated!AIF$2:AIF$4)=0,"",AVERAGE(zip_med_inc_updated!AIF$2:AIF$4))</f>
        <v>129944</v>
      </c>
      <c r="AIG2">
        <f>IF(COUNT(zip_med_inc_updated!AIG$2:AIG$4)=0,"",AVERAGE(zip_med_inc_updated!AIG$2:AIG$4))</f>
        <v>220262.33333333334</v>
      </c>
      <c r="AIH2">
        <f>IF(COUNT(zip_med_inc_updated!AIH$2:AIH$4)=0,"",AVERAGE(zip_med_inc_updated!AIH$2:AIH$4))</f>
        <v>187303.66666666666</v>
      </c>
      <c r="AII2">
        <f>IF(COUNT(zip_med_inc_updated!AII$2:AII$4)=0,"",AVERAGE(zip_med_inc_updated!AII$2:AII$4))</f>
        <v>136435.66666666666</v>
      </c>
      <c r="AIJ2">
        <f>IF(COUNT(zip_med_inc_updated!AIJ$2:AIJ$4)=0,"",AVERAGE(zip_med_inc_updated!AIJ$2:AIJ$4))</f>
        <v>88778.666666666672</v>
      </c>
      <c r="AIK2">
        <f>IF(COUNT(zip_med_inc_updated!AIK$2:AIK$4)=0,"",AVERAGE(zip_med_inc_updated!AIK$2:AIK$4))</f>
        <v>86822.666666666672</v>
      </c>
      <c r="AIL2">
        <f>IF(COUNT(zip_med_inc_updated!AIL$2:AIL$4)=0,"",AVERAGE(zip_med_inc_updated!AIL$2:AIL$4))</f>
        <v>84276.333333333328</v>
      </c>
      <c r="AIM2">
        <f>IF(COUNT(zip_med_inc_updated!AIM$2:AIM$4)=0,"",AVERAGE(zip_med_inc_updated!AIM$2:AIM$4))</f>
        <v>83759.333333333328</v>
      </c>
      <c r="AIN2">
        <f>IF(COUNT(zip_med_inc_updated!AIN$2:AIN$4)=0,"",AVERAGE(zip_med_inc_updated!AIN$2:AIN$4))</f>
        <v>84276.666666666672</v>
      </c>
      <c r="AIO2">
        <f>IF(COUNT(zip_med_inc_updated!AIO$2:AIO$4)=0,"",AVERAGE(zip_med_inc_updated!AIO$2:AIO$4))</f>
        <v>111015.66666666667</v>
      </c>
      <c r="AIP2">
        <f>IF(COUNT(zip_med_inc_updated!AIP$2:AIP$4)=0,"",AVERAGE(zip_med_inc_updated!AIP$2:AIP$4))</f>
        <v>201041.66666666666</v>
      </c>
      <c r="AIQ2">
        <f>IF(COUNT(zip_med_inc_updated!AIQ$2:AIQ$4)=0,"",AVERAGE(zip_med_inc_updated!AIQ$2:AIQ$4))</f>
        <v>150351.33333333334</v>
      </c>
      <c r="AIR2">
        <f>IF(COUNT(zip_med_inc_updated!AIR$2:AIR$4)=0,"",AVERAGE(zip_med_inc_updated!AIR$2:AIR$4))</f>
        <v>193029</v>
      </c>
      <c r="AIS2">
        <f>IF(COUNT(zip_med_inc_updated!AIS$2:AIS$4)=0,"",AVERAGE(zip_med_inc_updated!AIS$2:AIS$4))</f>
        <v>230750.33333333334</v>
      </c>
      <c r="AIT2">
        <f>IF(COUNT(zip_med_inc_updated!AIT$2:AIT$4)=0,"",AVERAGE(zip_med_inc_updated!AIT$2:AIT$4))</f>
        <v>240242.66666666666</v>
      </c>
      <c r="AIU2">
        <f>IF(COUNT(zip_med_inc_updated!AIU$2:AIU$4)=0,"",AVERAGE(zip_med_inc_updated!AIU$2:AIU$4))</f>
        <v>226190</v>
      </c>
      <c r="AIV2">
        <f>IF(COUNT(zip_med_inc_updated!AIV$2:AIV$4)=0,"",AVERAGE(zip_med_inc_updated!AIV$2:AIV$4))</f>
        <v>165234.33333333334</v>
      </c>
      <c r="AIW2">
        <f>IF(COUNT(zip_med_inc_updated!AIW$2:AIW$4)=0,"",AVERAGE(zip_med_inc_updated!AIW$2:AIW$4))</f>
        <v>201190</v>
      </c>
      <c r="AIX2">
        <f>IF(COUNT(zip_med_inc_updated!AIX$2:AIX$4)=0,"",AVERAGE(zip_med_inc_updated!AIX$2:AIX$4))</f>
        <v>186418</v>
      </c>
      <c r="AIY2">
        <f>IF(COUNT(zip_med_inc_updated!AIY$2:AIY$4)=0,"",AVERAGE(zip_med_inc_updated!AIY$2:AIY$4))</f>
        <v>223170</v>
      </c>
      <c r="AIZ2">
        <f>IF(COUNT(zip_med_inc_updated!AIZ$2:AIZ$4)=0,"",AVERAGE(zip_med_inc_updated!AIZ$2:AIZ$4))</f>
        <v>130789.5</v>
      </c>
      <c r="AJA2">
        <f>IF(COUNT(zip_med_inc_updated!AJA$2:AJA$4)=0,"",AVERAGE(zip_med_inc_updated!AJA$2:AJA$4))</f>
        <v>182184</v>
      </c>
      <c r="AJB2">
        <f>IF(COUNT(zip_med_inc_updated!AJB$2:AJB$4)=0,"",AVERAGE(zip_med_inc_updated!AJB$2:AJB$4))</f>
        <v>174439.66666666666</v>
      </c>
      <c r="AJC2">
        <f>IF(COUNT(zip_med_inc_updated!AJC$2:AJC$4)=0,"",AVERAGE(zip_med_inc_updated!AJC$2:AJC$4))</f>
        <v>124636.33333333333</v>
      </c>
      <c r="AJD2">
        <f>IF(COUNT(zip_med_inc_updated!AJD$2:AJD$4)=0,"",AVERAGE(zip_med_inc_updated!AJD$2:AJD$4))</f>
        <v>115980</v>
      </c>
      <c r="AJE2">
        <f>IF(COUNT(zip_med_inc_updated!AJE$2:AJE$4)=0,"",AVERAGE(zip_med_inc_updated!AJE$2:AJE$4))</f>
        <v>121839.33333333333</v>
      </c>
      <c r="AJF2">
        <f>IF(COUNT(zip_med_inc_updated!AJF$2:AJF$4)=0,"",AVERAGE(zip_med_inc_updated!AJF$2:AJF$4))</f>
        <v>154107.66666666666</v>
      </c>
      <c r="AJG2">
        <f>IF(COUNT(zip_med_inc_updated!AJG$2:AJG$4)=0,"",AVERAGE(zip_med_inc_updated!AJG$2:AJG$4))</f>
        <v>245849</v>
      </c>
      <c r="AJH2">
        <f>IF(COUNT(zip_med_inc_updated!AJH$2:AJH$4)=0,"",AVERAGE(zip_med_inc_updated!AJH$2:AJH$4))</f>
        <v>147618</v>
      </c>
      <c r="AJI2">
        <f>IF(COUNT(zip_med_inc_updated!AJI$2:AJI$4)=0,"",AVERAGE(zip_med_inc_updated!AJI$2:AJI$4))</f>
        <v>152768</v>
      </c>
      <c r="AJJ2">
        <f>IF(COUNT(zip_med_inc_updated!AJJ$2:AJJ$4)=0,"",AVERAGE(zip_med_inc_updated!AJJ$2:AJJ$4))</f>
        <v>171594</v>
      </c>
      <c r="AJK2">
        <f>IF(COUNT(zip_med_inc_updated!AJK$2:AJK$4)=0,"",AVERAGE(zip_med_inc_updated!AJK$2:AJK$4))</f>
        <v>208157</v>
      </c>
      <c r="AJL2">
        <f>IF(COUNT(zip_med_inc_updated!AJL$2:AJL$4)=0,"",AVERAGE(zip_med_inc_updated!AJL$2:AJL$4))</f>
        <v>137660</v>
      </c>
      <c r="AJM2">
        <f>IF(COUNT(zip_med_inc_updated!AJM$2:AJM$4)=0,"",AVERAGE(zip_med_inc_updated!AJM$2:AJM$4))</f>
        <v>119645.66666666667</v>
      </c>
      <c r="AJN2">
        <f>IF(COUNT(zip_med_inc_updated!AJN$2:AJN$4)=0,"",AVERAGE(zip_med_inc_updated!AJN$2:AJN$4))</f>
        <v>172371.66666666666</v>
      </c>
      <c r="AJO2">
        <f>IF(COUNT(zip_med_inc_updated!AJO$2:AJO$4)=0,"",AVERAGE(zip_med_inc_updated!AJO$2:AJO$4))</f>
        <v>134543</v>
      </c>
      <c r="AJP2">
        <f>IF(COUNT(zip_med_inc_updated!AJP$2:AJP$4)=0,"",AVERAGE(zip_med_inc_updated!AJP$2:AJP$4))</f>
        <v>110960.33333333333</v>
      </c>
      <c r="AJQ2">
        <f>IF(COUNT(zip_med_inc_updated!AJQ$2:AJQ$4)=0,"",AVERAGE(zip_med_inc_updated!AJQ$2:AJQ$4))</f>
        <v>113534</v>
      </c>
      <c r="AJR2">
        <f>IF(COUNT(zip_med_inc_updated!AJR$2:AJR$4)=0,"",AVERAGE(zip_med_inc_updated!AJR$2:AJR$4))</f>
        <v>88345.666666666672</v>
      </c>
      <c r="AJS2">
        <f>IF(COUNT(zip_med_inc_updated!AJS$2:AJS$4)=0,"",AVERAGE(zip_med_inc_updated!AJS$2:AJS$4))</f>
        <v>142759</v>
      </c>
      <c r="AJT2">
        <f>IF(COUNT(zip_med_inc_updated!AJT$2:AJT$4)=0,"",AVERAGE(zip_med_inc_updated!AJT$2:AJT$4))</f>
        <v>105845.66666666667</v>
      </c>
      <c r="AJU2">
        <f>IF(COUNT(zip_med_inc_updated!AJU$2:AJU$4)=0,"",AVERAGE(zip_med_inc_updated!AJU$2:AJU$4))</f>
        <v>142176</v>
      </c>
      <c r="AJV2">
        <f>IF(COUNT(zip_med_inc_updated!AJV$2:AJV$4)=0,"",AVERAGE(zip_med_inc_updated!AJV$2:AJV$4))</f>
        <v>181001</v>
      </c>
      <c r="AJW2">
        <f>IF(COUNT(zip_med_inc_updated!AJW$2:AJW$4)=0,"",AVERAGE(zip_med_inc_updated!AJW$2:AJW$4))</f>
        <v>97298.333333333328</v>
      </c>
      <c r="AJX2" t="str">
        <f>IF(COUNT(zip_med_inc_updated!AJX$2:AJX$4)=0,"",AVERAGE(zip_med_inc_updated!AJX$2:AJX$4))</f>
        <v/>
      </c>
      <c r="AJY2" t="str">
        <f>IF(COUNT(zip_med_inc_updated!AJY$2:AJY$4)=0,"",AVERAGE(zip_med_inc_updated!AJY$2:AJY$4))</f>
        <v/>
      </c>
      <c r="AJZ2" t="str">
        <f>IF(COUNT(zip_med_inc_updated!AJZ$2:AJZ$4)=0,"",AVERAGE(zip_med_inc_updated!AJZ$2:AJZ$4))</f>
        <v/>
      </c>
      <c r="AKA2">
        <f>IF(COUNT(zip_med_inc_updated!AKA$2:AKA$4)=0,"",AVERAGE(zip_med_inc_updated!AKA$2:AKA$4))</f>
        <v>169525</v>
      </c>
      <c r="AKB2">
        <f>IF(COUNT(zip_med_inc_updated!AKB$2:AKB$4)=0,"",AVERAGE(zip_med_inc_updated!AKB$2:AKB$4))</f>
        <v>250001</v>
      </c>
      <c r="AKC2">
        <f>IF(COUNT(zip_med_inc_updated!AKC$2:AKC$4)=0,"",AVERAGE(zip_med_inc_updated!AKC$2:AKC$4))</f>
        <v>22685.333333333332</v>
      </c>
      <c r="AKD2">
        <f>IF(COUNT(zip_med_inc_updated!AKD$2:AKD$4)=0,"",AVERAGE(zip_med_inc_updated!AKD$2:AKD$4))</f>
        <v>127183.33333333333</v>
      </c>
      <c r="AKE2">
        <f>IF(COUNT(zip_med_inc_updated!AKE$2:AKE$4)=0,"",AVERAGE(zip_med_inc_updated!AKE$2:AKE$4))</f>
        <v>110523.66666666667</v>
      </c>
      <c r="AKF2">
        <f>IF(COUNT(zip_med_inc_updated!AKF$2:AKF$4)=0,"",AVERAGE(zip_med_inc_updated!AKF$2:AKF$4))</f>
        <v>78922</v>
      </c>
      <c r="AKG2">
        <f>IF(COUNT(zip_med_inc_updated!AKG$2:AKG$4)=0,"",AVERAGE(zip_med_inc_updated!AKG$2:AKG$4))</f>
        <v>93424.333333333328</v>
      </c>
      <c r="AKH2">
        <f>IF(COUNT(zip_med_inc_updated!AKH$2:AKH$4)=0,"",AVERAGE(zip_med_inc_updated!AKH$2:AKH$4))</f>
        <v>152564</v>
      </c>
      <c r="AKI2">
        <f>IF(COUNT(zip_med_inc_updated!AKI$2:AKI$4)=0,"",AVERAGE(zip_med_inc_updated!AKI$2:AKI$4))</f>
        <v>94016</v>
      </c>
      <c r="AKJ2">
        <f>IF(COUNT(zip_med_inc_updated!AKJ$2:AKJ$4)=0,"",AVERAGE(zip_med_inc_updated!AKJ$2:AKJ$4))</f>
        <v>107980.33333333333</v>
      </c>
      <c r="AKK2">
        <f>IF(COUNT(zip_med_inc_updated!AKK$2:AKK$4)=0,"",AVERAGE(zip_med_inc_updated!AKK$2:AKK$4))</f>
        <v>82186.666666666672</v>
      </c>
      <c r="AKL2">
        <f>IF(COUNT(zip_med_inc_updated!AKL$2:AKL$4)=0,"",AVERAGE(zip_med_inc_updated!AKL$2:AKL$4))</f>
        <v>80422</v>
      </c>
      <c r="AKM2">
        <f>IF(COUNT(zip_med_inc_updated!AKM$2:AKM$4)=0,"",AVERAGE(zip_med_inc_updated!AKM$2:AKM$4))</f>
        <v>122407.33333333333</v>
      </c>
      <c r="AKN2">
        <f>IF(COUNT(zip_med_inc_updated!AKN$2:AKN$4)=0,"",AVERAGE(zip_med_inc_updated!AKN$2:AKN$4))</f>
        <v>115793.33333333333</v>
      </c>
      <c r="AKO2">
        <f>IF(COUNT(zip_med_inc_updated!AKO$2:AKO$4)=0,"",AVERAGE(zip_med_inc_updated!AKO$2:AKO$4))</f>
        <v>95058</v>
      </c>
      <c r="AKP2">
        <f>IF(COUNT(zip_med_inc_updated!AKP$2:AKP$4)=0,"",AVERAGE(zip_med_inc_updated!AKP$2:AKP$4))</f>
        <v>137893.66666666666</v>
      </c>
      <c r="AKQ2">
        <f>IF(COUNT(zip_med_inc_updated!AKQ$2:AKQ$4)=0,"",AVERAGE(zip_med_inc_updated!AKQ$2:AKQ$4))</f>
        <v>167609.33333333334</v>
      </c>
      <c r="AKR2">
        <f>IF(COUNT(zip_med_inc_updated!AKR$2:AKR$4)=0,"",AVERAGE(zip_med_inc_updated!AKR$2:AKR$4))</f>
        <v>113387</v>
      </c>
      <c r="AKS2">
        <f>IF(COUNT(zip_med_inc_updated!AKS$2:AKS$4)=0,"",AVERAGE(zip_med_inc_updated!AKS$2:AKS$4))</f>
        <v>136651.33333333334</v>
      </c>
      <c r="AKT2">
        <f>IF(COUNT(zip_med_inc_updated!AKT$2:AKT$4)=0,"",AVERAGE(zip_med_inc_updated!AKT$2:AKT$4))</f>
        <v>101184.33333333333</v>
      </c>
      <c r="AKU2">
        <f>IF(COUNT(zip_med_inc_updated!AKU$2:AKU$4)=0,"",AVERAGE(zip_med_inc_updated!AKU$2:AKU$4))</f>
        <v>80681</v>
      </c>
      <c r="AKV2">
        <f>IF(COUNT(zip_med_inc_updated!AKV$2:AKV$4)=0,"",AVERAGE(zip_med_inc_updated!AKV$2:AKV$4))</f>
        <v>133129.66666666666</v>
      </c>
      <c r="AKW2">
        <f>IF(COUNT(zip_med_inc_updated!AKW$2:AKW$4)=0,"",AVERAGE(zip_med_inc_updated!AKW$2:AKW$4))</f>
        <v>240818.5</v>
      </c>
      <c r="AKX2">
        <f>IF(COUNT(zip_med_inc_updated!AKX$2:AKX$4)=0,"",AVERAGE(zip_med_inc_updated!AKX$2:AKX$4))</f>
        <v>93074.333333333328</v>
      </c>
      <c r="AKY2" t="str">
        <f>IF(COUNT(zip_med_inc_updated!AKY$2:AKY$4)=0,"",AVERAGE(zip_med_inc_updated!AKY$2:AKY$4))</f>
        <v/>
      </c>
      <c r="AKZ2">
        <f>IF(COUNT(zip_med_inc_updated!AKZ$2:AKZ$4)=0,"",AVERAGE(zip_med_inc_updated!AKZ$2:AKZ$4))</f>
        <v>162029.66666666666</v>
      </c>
      <c r="ALA2">
        <f>IF(COUNT(zip_med_inc_updated!ALA$2:ALA$4)=0,"",AVERAGE(zip_med_inc_updated!ALA$2:ALA$4))</f>
        <v>80314.333333333328</v>
      </c>
      <c r="ALB2">
        <f>IF(COUNT(zip_med_inc_updated!ALB$2:ALB$4)=0,"",AVERAGE(zip_med_inc_updated!ALB$2:ALB$4))</f>
        <v>178709.66666666666</v>
      </c>
      <c r="ALC2">
        <f>IF(COUNT(zip_med_inc_updated!ALC$2:ALC$4)=0,"",AVERAGE(zip_med_inc_updated!ALC$2:ALC$4))</f>
        <v>191181.33333333334</v>
      </c>
      <c r="ALD2">
        <f>IF(COUNT(zip_med_inc_updated!ALD$2:ALD$4)=0,"",AVERAGE(zip_med_inc_updated!ALD$2:ALD$4))</f>
        <v>136294</v>
      </c>
      <c r="ALE2">
        <f>IF(COUNT(zip_med_inc_updated!ALE$2:ALE$4)=0,"",AVERAGE(zip_med_inc_updated!ALE$2:ALE$4))</f>
        <v>84941.333333333328</v>
      </c>
      <c r="ALF2">
        <f>IF(COUNT(zip_med_inc_updated!ALF$2:ALF$4)=0,"",AVERAGE(zip_med_inc_updated!ALF$2:ALF$4))</f>
        <v>186257.33333333334</v>
      </c>
      <c r="ALG2">
        <f>IF(COUNT(zip_med_inc_updated!ALG$2:ALG$4)=0,"",AVERAGE(zip_med_inc_updated!ALG$2:ALG$4))</f>
        <v>144990.33333333334</v>
      </c>
      <c r="ALH2">
        <f>IF(COUNT(zip_med_inc_updated!ALH$2:ALH$4)=0,"",AVERAGE(zip_med_inc_updated!ALH$2:ALH$4))</f>
        <v>130546.33333333333</v>
      </c>
      <c r="ALI2">
        <f>IF(COUNT(zip_med_inc_updated!ALI$2:ALI$4)=0,"",AVERAGE(zip_med_inc_updated!ALI$2:ALI$4))</f>
        <v>117006.66666666667</v>
      </c>
      <c r="ALJ2">
        <f>IF(COUNT(zip_med_inc_updated!ALJ$2:ALJ$4)=0,"",AVERAGE(zip_med_inc_updated!ALJ$2:ALJ$4))</f>
        <v>126547.33333333333</v>
      </c>
      <c r="ALK2">
        <f>IF(COUNT(zip_med_inc_updated!ALK$2:ALK$4)=0,"",AVERAGE(zip_med_inc_updated!ALK$2:ALK$4))</f>
        <v>154205.66666666666</v>
      </c>
      <c r="ALL2">
        <f>IF(COUNT(zip_med_inc_updated!ALL$2:ALL$4)=0,"",AVERAGE(zip_med_inc_updated!ALL$2:ALL$4))</f>
        <v>126606.66666666667</v>
      </c>
      <c r="ALM2">
        <f>IF(COUNT(zip_med_inc_updated!ALM$2:ALM$4)=0,"",AVERAGE(zip_med_inc_updated!ALM$2:ALM$4))</f>
        <v>122169.66666666667</v>
      </c>
      <c r="ALN2">
        <f>IF(COUNT(zip_med_inc_updated!ALN$2:ALN$4)=0,"",AVERAGE(zip_med_inc_updated!ALN$2:ALN$4))</f>
        <v>211087</v>
      </c>
      <c r="ALO2">
        <f>IF(COUNT(zip_med_inc_updated!ALO$2:ALO$4)=0,"",AVERAGE(zip_med_inc_updated!ALO$2:ALO$4))</f>
        <v>89354.666666666672</v>
      </c>
      <c r="ALP2">
        <f>IF(COUNT(zip_med_inc_updated!ALP$2:ALP$4)=0,"",AVERAGE(zip_med_inc_updated!ALP$2:ALP$4))</f>
        <v>96341.666666666672</v>
      </c>
      <c r="ALQ2">
        <f>IF(COUNT(zip_med_inc_updated!ALQ$2:ALQ$4)=0,"",AVERAGE(zip_med_inc_updated!ALQ$2:ALQ$4))</f>
        <v>156677.66666666666</v>
      </c>
      <c r="ALR2">
        <f>IF(COUNT(zip_med_inc_updated!ALR$2:ALR$4)=0,"",AVERAGE(zip_med_inc_updated!ALR$2:ALR$4))</f>
        <v>250001</v>
      </c>
      <c r="ALS2">
        <f>IF(COUNT(zip_med_inc_updated!ALS$2:ALS$4)=0,"",AVERAGE(zip_med_inc_updated!ALS$2:ALS$4))</f>
        <v>159934.33333333334</v>
      </c>
      <c r="ALT2">
        <f>IF(COUNT(zip_med_inc_updated!ALT$2:ALT$4)=0,"",AVERAGE(zip_med_inc_updated!ALT$2:ALT$4))</f>
        <v>100016.66666666667</v>
      </c>
      <c r="ALU2">
        <f>IF(COUNT(zip_med_inc_updated!ALU$2:ALU$4)=0,"",AVERAGE(zip_med_inc_updated!ALU$2:ALU$4))</f>
        <v>84536.666666666672</v>
      </c>
      <c r="ALV2">
        <f>IF(COUNT(zip_med_inc_updated!ALV$2:ALV$4)=0,"",AVERAGE(zip_med_inc_updated!ALV$2:ALV$4))</f>
        <v>175978</v>
      </c>
      <c r="ALW2">
        <f>IF(COUNT(zip_med_inc_updated!ALW$2:ALW$4)=0,"",AVERAGE(zip_med_inc_updated!ALW$2:ALW$4))</f>
        <v>102121.66666666667</v>
      </c>
      <c r="ALX2">
        <f>IF(COUNT(zip_med_inc_updated!ALX$2:ALX$4)=0,"",AVERAGE(zip_med_inc_updated!ALX$2:ALX$4))</f>
        <v>131667.33333333334</v>
      </c>
      <c r="ALY2">
        <f>IF(COUNT(zip_med_inc_updated!ALY$2:ALY$4)=0,"",AVERAGE(zip_med_inc_updated!ALY$2:ALY$4))</f>
        <v>142505</v>
      </c>
      <c r="ALZ2">
        <f>IF(COUNT(zip_med_inc_updated!ALZ$2:ALZ$4)=0,"",AVERAGE(zip_med_inc_updated!ALZ$2:ALZ$4))</f>
        <v>180167</v>
      </c>
      <c r="AMA2">
        <f>IF(COUNT(zip_med_inc_updated!AMA$2:AMA$4)=0,"",AVERAGE(zip_med_inc_updated!AMA$2:AMA$4))</f>
        <v>105657</v>
      </c>
      <c r="AMB2">
        <f>IF(COUNT(zip_med_inc_updated!AMB$2:AMB$4)=0,"",AVERAGE(zip_med_inc_updated!AMB$2:AMB$4))</f>
        <v>142465.33333333334</v>
      </c>
      <c r="AMC2">
        <f>IF(COUNT(zip_med_inc_updated!AMC$2:AMC$4)=0,"",AVERAGE(zip_med_inc_updated!AMC$2:AMC$4))</f>
        <v>117935.66666666667</v>
      </c>
      <c r="AMD2">
        <f>IF(COUNT(zip_med_inc_updated!AMD$2:AMD$4)=0,"",AVERAGE(zip_med_inc_updated!AMD$2:AMD$4))</f>
        <v>107420.66666666667</v>
      </c>
      <c r="AME2">
        <f>IF(COUNT(zip_med_inc_updated!AME$2:AME$4)=0,"",AVERAGE(zip_med_inc_updated!AME$2:AME$4))</f>
        <v>122386.66666666667</v>
      </c>
      <c r="AMF2">
        <f>IF(COUNT(zip_med_inc_updated!AMF$2:AMF$4)=0,"",AVERAGE(zip_med_inc_updated!AMF$2:AMF$4))</f>
        <v>126951.66666666667</v>
      </c>
      <c r="AMG2">
        <f>IF(COUNT(zip_med_inc_updated!AMG$2:AMG$4)=0,"",AVERAGE(zip_med_inc_updated!AMG$2:AMG$4))</f>
        <v>122748.66666666667</v>
      </c>
      <c r="AMH2">
        <f>IF(COUNT(zip_med_inc_updated!AMH$2:AMH$4)=0,"",AVERAGE(zip_med_inc_updated!AMH$2:AMH$4))</f>
        <v>121702.33333333333</v>
      </c>
      <c r="AMI2">
        <f>IF(COUNT(zip_med_inc_updated!AMI$2:AMI$4)=0,"",AVERAGE(zip_med_inc_updated!AMI$2:AMI$4))</f>
        <v>195535.66666666666</v>
      </c>
      <c r="AMJ2" t="str">
        <f>IF(COUNT(zip_med_inc_updated!AMJ$2:AMJ$4)=0,"",AVERAGE(zip_med_inc_updated!AMJ$2:AMJ$4))</f>
        <v/>
      </c>
      <c r="AMK2">
        <f>IF(COUNT(zip_med_inc_updated!AMK$2:AMK$4)=0,"",AVERAGE(zip_med_inc_updated!AMK$2:AMK$4))</f>
        <v>146627</v>
      </c>
      <c r="AML2">
        <f>IF(COUNT(zip_med_inc_updated!AML$2:AML$4)=0,"",AVERAGE(zip_med_inc_updated!AML$2:AML$4))</f>
        <v>137683.66666666666</v>
      </c>
      <c r="AMM2">
        <f>IF(COUNT(zip_med_inc_updated!AMM$2:AMM$4)=0,"",AVERAGE(zip_med_inc_updated!AMM$2:AMM$4))</f>
        <v>122434.66666666667</v>
      </c>
      <c r="AMN2">
        <f>IF(COUNT(zip_med_inc_updated!AMN$2:AMN$4)=0,"",AVERAGE(zip_med_inc_updated!AMN$2:AMN$4))</f>
        <v>136807.66666666666</v>
      </c>
      <c r="AMO2">
        <f>IF(COUNT(zip_med_inc_updated!AMO$2:AMO$4)=0,"",AVERAGE(zip_med_inc_updated!AMO$2:AMO$4))</f>
        <v>99812.333333333328</v>
      </c>
      <c r="AMP2">
        <f>IF(COUNT(zip_med_inc_updated!AMP$2:AMP$4)=0,"",AVERAGE(zip_med_inc_updated!AMP$2:AMP$4))</f>
        <v>155805.66666666666</v>
      </c>
      <c r="AMQ2">
        <f>IF(COUNT(zip_med_inc_updated!AMQ$2:AMQ$4)=0,"",AVERAGE(zip_med_inc_updated!AMQ$2:AMQ$4))</f>
        <v>122540.33333333333</v>
      </c>
      <c r="AMR2">
        <f>IF(COUNT(zip_med_inc_updated!AMR$2:AMR$4)=0,"",AVERAGE(zip_med_inc_updated!AMR$2:AMR$4))</f>
        <v>124427</v>
      </c>
      <c r="AMS2">
        <f>IF(COUNT(zip_med_inc_updated!AMS$2:AMS$4)=0,"",AVERAGE(zip_med_inc_updated!AMS$2:AMS$4))</f>
        <v>17336</v>
      </c>
      <c r="AMT2">
        <f>IF(COUNT(zip_med_inc_updated!AMT$2:AMT$4)=0,"",AVERAGE(zip_med_inc_updated!AMT$2:AMT$4))</f>
        <v>190789.66666666666</v>
      </c>
      <c r="AMU2">
        <f>IF(COUNT(zip_med_inc_updated!AMU$2:AMU$4)=0,"",AVERAGE(zip_med_inc_updated!AMU$2:AMU$4))</f>
        <v>146985.66666666666</v>
      </c>
      <c r="AMV2">
        <f>IF(COUNT(zip_med_inc_updated!AMV$2:AMV$4)=0,"",AVERAGE(zip_med_inc_updated!AMV$2:AMV$4))</f>
        <v>82677.666666666672</v>
      </c>
      <c r="AMW2">
        <f>IF(COUNT(zip_med_inc_updated!AMW$2:AMW$4)=0,"",AVERAGE(zip_med_inc_updated!AMW$2:AMW$4))</f>
        <v>110119.66666666667</v>
      </c>
      <c r="AMX2">
        <f>IF(COUNT(zip_med_inc_updated!AMX$2:AMX$4)=0,"",AVERAGE(zip_med_inc_updated!AMX$2:AMX$4))</f>
        <v>154585</v>
      </c>
      <c r="AMY2">
        <f>IF(COUNT(zip_med_inc_updated!AMY$2:AMY$4)=0,"",AVERAGE(zip_med_inc_updated!AMY$2:AMY$4))</f>
        <v>132186.33333333334</v>
      </c>
      <c r="AMZ2">
        <f>IF(COUNT(zip_med_inc_updated!AMZ$2:AMZ$4)=0,"",AVERAGE(zip_med_inc_updated!AMZ$2:AMZ$4))</f>
        <v>171268.33333333334</v>
      </c>
      <c r="ANA2">
        <f>IF(COUNT(zip_med_inc_updated!ANA$2:ANA$4)=0,"",AVERAGE(zip_med_inc_updated!ANA$2:ANA$4))</f>
        <v>118298</v>
      </c>
      <c r="ANB2">
        <f>IF(COUNT(zip_med_inc_updated!ANB$2:ANB$4)=0,"",AVERAGE(zip_med_inc_updated!ANB$2:ANB$4))</f>
        <v>202411</v>
      </c>
      <c r="ANC2">
        <f>IF(COUNT(zip_med_inc_updated!ANC$2:ANC$4)=0,"",AVERAGE(zip_med_inc_updated!ANC$2:ANC$4))</f>
        <v>104413.66666666667</v>
      </c>
      <c r="AND2">
        <f>IF(COUNT(zip_med_inc_updated!AND$2:AND$4)=0,"",AVERAGE(zip_med_inc_updated!AND$2:AND$4))</f>
        <v>125536</v>
      </c>
      <c r="ANE2">
        <f>IF(COUNT(zip_med_inc_updated!ANE$2:ANE$4)=0,"",AVERAGE(zip_med_inc_updated!ANE$2:ANE$4))</f>
        <v>127115.5</v>
      </c>
      <c r="ANF2">
        <f>IF(COUNT(zip_med_inc_updated!ANF$2:ANF$4)=0,"",AVERAGE(zip_med_inc_updated!ANF$2:ANF$4))</f>
        <v>101402.33333333333</v>
      </c>
      <c r="ANG2">
        <f>IF(COUNT(zip_med_inc_updated!ANG$2:ANG$4)=0,"",AVERAGE(zip_med_inc_updated!ANG$2:ANG$4))</f>
        <v>109232.66666666667</v>
      </c>
      <c r="ANH2">
        <f>IF(COUNT(zip_med_inc_updated!ANH$2:ANH$4)=0,"",AVERAGE(zip_med_inc_updated!ANH$2:ANH$4))</f>
        <v>105597.66666666667</v>
      </c>
      <c r="ANI2">
        <f>IF(COUNT(zip_med_inc_updated!ANI$2:ANI$4)=0,"",AVERAGE(zip_med_inc_updated!ANI$2:ANI$4))</f>
        <v>105883.66666666667</v>
      </c>
      <c r="ANJ2">
        <f>IF(COUNT(zip_med_inc_updated!ANJ$2:ANJ$4)=0,"",AVERAGE(zip_med_inc_updated!ANJ$2:ANJ$4))</f>
        <v>154829.33333333334</v>
      </c>
      <c r="ANK2">
        <f>IF(COUNT(zip_med_inc_updated!ANK$2:ANK$4)=0,"",AVERAGE(zip_med_inc_updated!ANK$2:ANK$4))</f>
        <v>129894.66666666667</v>
      </c>
      <c r="ANL2">
        <f>IF(COUNT(zip_med_inc_updated!ANL$2:ANL$4)=0,"",AVERAGE(zip_med_inc_updated!ANL$2:ANL$4))</f>
        <v>44228.666666666664</v>
      </c>
      <c r="ANM2">
        <f>IF(COUNT(zip_med_inc_updated!ANM$2:ANM$4)=0,"",AVERAGE(zip_med_inc_updated!ANM$2:ANM$4))</f>
        <v>60017.666666666664</v>
      </c>
      <c r="ANN2">
        <f>IF(COUNT(zip_med_inc_updated!ANN$2:ANN$4)=0,"",AVERAGE(zip_med_inc_updated!ANN$2:ANN$4))</f>
        <v>96930.666666666672</v>
      </c>
      <c r="ANO2">
        <f>IF(COUNT(zip_med_inc_updated!ANO$2:ANO$4)=0,"",AVERAGE(zip_med_inc_updated!ANO$2:ANO$4))</f>
        <v>40036.666666666664</v>
      </c>
      <c r="ANP2">
        <f>IF(COUNT(zip_med_inc_updated!ANP$2:ANP$4)=0,"",AVERAGE(zip_med_inc_updated!ANP$2:ANP$4))</f>
        <v>63022.666666666664</v>
      </c>
      <c r="ANQ2">
        <f>IF(COUNT(zip_med_inc_updated!ANQ$2:ANQ$4)=0,"",AVERAGE(zip_med_inc_updated!ANQ$2:ANQ$4))</f>
        <v>63722</v>
      </c>
      <c r="ANR2">
        <f>IF(COUNT(zip_med_inc_updated!ANR$2:ANR$4)=0,"",AVERAGE(zip_med_inc_updated!ANR$2:ANR$4))</f>
        <v>90218.333333333328</v>
      </c>
      <c r="ANS2">
        <f>IF(COUNT(zip_med_inc_updated!ANS$2:ANS$4)=0,"",AVERAGE(zip_med_inc_updated!ANS$2:ANS$4))</f>
        <v>89501.333333333328</v>
      </c>
      <c r="ANT2">
        <f>IF(COUNT(zip_med_inc_updated!ANT$2:ANT$4)=0,"",AVERAGE(zip_med_inc_updated!ANT$2:ANT$4))</f>
        <v>111922</v>
      </c>
      <c r="ANU2">
        <f>IF(COUNT(zip_med_inc_updated!ANU$2:ANU$4)=0,"",AVERAGE(zip_med_inc_updated!ANU$2:ANU$4))</f>
        <v>81401.333333333328</v>
      </c>
      <c r="ANV2">
        <f>IF(COUNT(zip_med_inc_updated!ANV$2:ANV$4)=0,"",AVERAGE(zip_med_inc_updated!ANV$2:ANV$4))</f>
        <v>95817</v>
      </c>
      <c r="ANW2">
        <f>IF(COUNT(zip_med_inc_updated!ANW$2:ANW$4)=0,"",AVERAGE(zip_med_inc_updated!ANW$2:ANW$4))</f>
        <v>49748.333333333336</v>
      </c>
      <c r="ANX2">
        <f>IF(COUNT(zip_med_inc_updated!ANX$2:ANX$4)=0,"",AVERAGE(zip_med_inc_updated!ANX$2:ANX$4))</f>
        <v>81952.333333333328</v>
      </c>
      <c r="ANY2">
        <f>IF(COUNT(zip_med_inc_updated!ANY$2:ANY$4)=0,"",AVERAGE(zip_med_inc_updated!ANY$2:ANY$4))</f>
        <v>49572</v>
      </c>
      <c r="ANZ2">
        <f>IF(COUNT(zip_med_inc_updated!ANZ$2:ANZ$4)=0,"",AVERAGE(zip_med_inc_updated!ANZ$2:ANZ$4))</f>
        <v>45077.333333333336</v>
      </c>
      <c r="AOA2">
        <f>IF(COUNT(zip_med_inc_updated!AOA$2:AOA$4)=0,"",AVERAGE(zip_med_inc_updated!AOA$2:AOA$4))</f>
        <v>37427</v>
      </c>
      <c r="AOB2">
        <f>IF(COUNT(zip_med_inc_updated!AOB$2:AOB$4)=0,"",AVERAGE(zip_med_inc_updated!AOB$2:AOB$4))</f>
        <v>59904.333333333336</v>
      </c>
      <c r="AOC2">
        <f>IF(COUNT(zip_med_inc_updated!AOC$2:AOC$4)=0,"",AVERAGE(zip_med_inc_updated!AOC$2:AOC$4))</f>
        <v>114979.33333333333</v>
      </c>
      <c r="AOD2">
        <f>IF(COUNT(zip_med_inc_updated!AOD$2:AOD$4)=0,"",AVERAGE(zip_med_inc_updated!AOD$2:AOD$4))</f>
        <v>79688</v>
      </c>
      <c r="AOE2">
        <f>IF(COUNT(zip_med_inc_updated!AOE$2:AOE$4)=0,"",AVERAGE(zip_med_inc_updated!AOE$2:AOE$4))</f>
        <v>67616</v>
      </c>
      <c r="AOF2">
        <f>IF(COUNT(zip_med_inc_updated!AOF$2:AOF$4)=0,"",AVERAGE(zip_med_inc_updated!AOF$2:AOF$4))</f>
        <v>62186</v>
      </c>
      <c r="AOG2">
        <f>IF(COUNT(zip_med_inc_updated!AOG$2:AOG$4)=0,"",AVERAGE(zip_med_inc_updated!AOG$2:AOG$4))</f>
        <v>41069.666666666664</v>
      </c>
      <c r="AOH2">
        <f>IF(COUNT(zip_med_inc_updated!AOH$2:AOH$4)=0,"",AVERAGE(zip_med_inc_updated!AOH$2:AOH$4))</f>
        <v>87223</v>
      </c>
      <c r="AOI2">
        <f>IF(COUNT(zip_med_inc_updated!AOI$2:AOI$4)=0,"",AVERAGE(zip_med_inc_updated!AOI$2:AOI$4))</f>
        <v>51086.666666666664</v>
      </c>
      <c r="AOJ2">
        <f>IF(COUNT(zip_med_inc_updated!AOJ$2:AOJ$4)=0,"",AVERAGE(zip_med_inc_updated!AOJ$2:AOJ$4))</f>
        <v>77949</v>
      </c>
      <c r="AOK2">
        <f>IF(COUNT(zip_med_inc_updated!AOK$2:AOK$4)=0,"",AVERAGE(zip_med_inc_updated!AOK$2:AOK$4))</f>
        <v>82744</v>
      </c>
      <c r="AOL2">
        <f>IF(COUNT(zip_med_inc_updated!AOL$2:AOL$4)=0,"",AVERAGE(zip_med_inc_updated!AOL$2:AOL$4))</f>
        <v>107654</v>
      </c>
      <c r="AOM2">
        <f>IF(COUNT(zip_med_inc_updated!AOM$2:AOM$4)=0,"",AVERAGE(zip_med_inc_updated!AOM$2:AOM$4))</f>
        <v>56065.333333333336</v>
      </c>
      <c r="AON2">
        <f>IF(COUNT(zip_med_inc_updated!AON$2:AON$4)=0,"",AVERAGE(zip_med_inc_updated!AON$2:AON$4))</f>
        <v>93825.333333333328</v>
      </c>
      <c r="AOO2">
        <f>IF(COUNT(zip_med_inc_updated!AOO$2:AOO$4)=0,"",AVERAGE(zip_med_inc_updated!AOO$2:AOO$4))</f>
        <v>86242.333333333328</v>
      </c>
      <c r="AOP2" t="str">
        <f>IF(COUNT(zip_med_inc_updated!AOP$2:AOP$4)=0,"",AVERAGE(zip_med_inc_updated!AOP$2:AOP$4))</f>
        <v/>
      </c>
      <c r="AOQ2">
        <f>IF(COUNT(zip_med_inc_updated!AOQ$2:AOQ$4)=0,"",AVERAGE(zip_med_inc_updated!AOQ$2:AOQ$4))</f>
        <v>82449.333333333328</v>
      </c>
      <c r="AOR2">
        <f>IF(COUNT(zip_med_inc_updated!AOR$2:AOR$4)=0,"",AVERAGE(zip_med_inc_updated!AOR$2:AOR$4))</f>
        <v>93044.666666666672</v>
      </c>
      <c r="AOS2">
        <f>IF(COUNT(zip_med_inc_updated!AOS$2:AOS$4)=0,"",AVERAGE(zip_med_inc_updated!AOS$2:AOS$4))</f>
        <v>88693.333333333328</v>
      </c>
      <c r="AOT2">
        <f>IF(COUNT(zip_med_inc_updated!AOT$2:AOT$4)=0,"",AVERAGE(zip_med_inc_updated!AOT$2:AOT$4))</f>
        <v>63161.666666666664</v>
      </c>
      <c r="AOU2" t="str">
        <f>IF(COUNT(zip_med_inc_updated!AOU$2:AOU$4)=0,"",AVERAGE(zip_med_inc_updated!AOU$2:AOU$4))</f>
        <v/>
      </c>
      <c r="AOV2">
        <f>IF(COUNT(zip_med_inc_updated!AOV$2:AOV$4)=0,"",AVERAGE(zip_med_inc_updated!AOV$2:AOV$4))</f>
        <v>83432.666666666672</v>
      </c>
      <c r="AOW2" t="str">
        <f>IF(COUNT(zip_med_inc_updated!AOW$2:AOW$4)=0,"",AVERAGE(zip_med_inc_updated!AOW$2:AOW$4))</f>
        <v/>
      </c>
      <c r="AOX2" t="str">
        <f>IF(COUNT(zip_med_inc_updated!AOX$2:AOX$4)=0,"",AVERAGE(zip_med_inc_updated!AOX$2:AOX$4))</f>
        <v/>
      </c>
      <c r="AOY2" t="str">
        <f>IF(COUNT(zip_med_inc_updated!AOY$2:AOY$4)=0,"",AVERAGE(zip_med_inc_updated!AOY$2:AOY$4))</f>
        <v/>
      </c>
      <c r="AOZ2" t="str">
        <f>IF(COUNT(zip_med_inc_updated!AOZ$2:AOZ$4)=0,"",AVERAGE(zip_med_inc_updated!AOZ$2:AOZ$4))</f>
        <v/>
      </c>
      <c r="APA2">
        <f>IF(COUNT(zip_med_inc_updated!APA$2:APA$4)=0,"",AVERAGE(zip_med_inc_updated!APA$2:APA$4))</f>
        <v>93207.666666666672</v>
      </c>
      <c r="APB2" t="str">
        <f>IF(COUNT(zip_med_inc_updated!APB$2:APB$4)=0,"",AVERAGE(zip_med_inc_updated!APB$2:APB$4))</f>
        <v/>
      </c>
      <c r="APC2">
        <f>IF(COUNT(zip_med_inc_updated!APC$2:APC$4)=0,"",AVERAGE(zip_med_inc_updated!APC$2:APC$4))</f>
        <v>119125.33333333333</v>
      </c>
      <c r="APD2">
        <f>IF(COUNT(zip_med_inc_updated!APD$2:APD$4)=0,"",AVERAGE(zip_med_inc_updated!APD$2:APD$4))</f>
        <v>82637</v>
      </c>
      <c r="APE2">
        <f>IF(COUNT(zip_med_inc_updated!APE$2:APE$4)=0,"",AVERAGE(zip_med_inc_updated!APE$2:APE$4))</f>
        <v>115718.66666666667</v>
      </c>
      <c r="APF2">
        <f>IF(COUNT(zip_med_inc_updated!APF$2:APF$4)=0,"",AVERAGE(zip_med_inc_updated!APF$2:APF$4))</f>
        <v>164508.33333333334</v>
      </c>
      <c r="APG2">
        <f>IF(COUNT(zip_med_inc_updated!APG$2:APG$4)=0,"",AVERAGE(zip_med_inc_updated!APG$2:APG$4))</f>
        <v>144684.66666666666</v>
      </c>
      <c r="APH2">
        <f>IF(COUNT(zip_med_inc_updated!APH$2:APH$4)=0,"",AVERAGE(zip_med_inc_updated!APH$2:APH$4))</f>
        <v>58801.333333333336</v>
      </c>
      <c r="API2">
        <f>IF(COUNT(zip_med_inc_updated!API$2:API$4)=0,"",AVERAGE(zip_med_inc_updated!API$2:API$4))</f>
        <v>63730.333333333336</v>
      </c>
      <c r="APJ2">
        <f>IF(COUNT(zip_med_inc_updated!APJ$2:APJ$4)=0,"",AVERAGE(zip_med_inc_updated!APJ$2:APJ$4))</f>
        <v>64581.333333333336</v>
      </c>
      <c r="APK2">
        <f>IF(COUNT(zip_med_inc_updated!APK$2:APK$4)=0,"",AVERAGE(zip_med_inc_updated!APK$2:APK$4))</f>
        <v>64705</v>
      </c>
      <c r="APL2">
        <f>IF(COUNT(zip_med_inc_updated!APL$2:APL$4)=0,"",AVERAGE(zip_med_inc_updated!APL$2:APL$4))</f>
        <v>73654.333333333328</v>
      </c>
      <c r="APM2">
        <f>IF(COUNT(zip_med_inc_updated!APM$2:APM$4)=0,"",AVERAGE(zip_med_inc_updated!APM$2:APM$4))</f>
        <v>38445.333333333336</v>
      </c>
      <c r="APN2">
        <f>IF(COUNT(zip_med_inc_updated!APN$2:APN$4)=0,"",AVERAGE(zip_med_inc_updated!APN$2:APN$4))</f>
        <v>61520.333333333336</v>
      </c>
      <c r="APO2">
        <f>IF(COUNT(zip_med_inc_updated!APO$2:APO$4)=0,"",AVERAGE(zip_med_inc_updated!APO$2:APO$4))</f>
        <v>57916.666666666664</v>
      </c>
      <c r="APP2">
        <f>IF(COUNT(zip_med_inc_updated!APP$2:APP$4)=0,"",AVERAGE(zip_med_inc_updated!APP$2:APP$4))</f>
        <v>59869.666666666664</v>
      </c>
      <c r="APQ2">
        <f>IF(COUNT(zip_med_inc_updated!APQ$2:APQ$4)=0,"",AVERAGE(zip_med_inc_updated!APQ$2:APQ$4))</f>
        <v>64779</v>
      </c>
      <c r="APR2">
        <f>IF(COUNT(zip_med_inc_updated!APR$2:APR$4)=0,"",AVERAGE(zip_med_inc_updated!APR$2:APR$4))</f>
        <v>75804.333333333328</v>
      </c>
      <c r="APS2">
        <f>IF(COUNT(zip_med_inc_updated!APS$2:APS$4)=0,"",AVERAGE(zip_med_inc_updated!APS$2:APS$4))</f>
        <v>55506</v>
      </c>
      <c r="APT2">
        <f>IF(COUNT(zip_med_inc_updated!APT$2:APT$4)=0,"",AVERAGE(zip_med_inc_updated!APT$2:APT$4))</f>
        <v>72500</v>
      </c>
      <c r="APU2">
        <f>IF(COUNT(zip_med_inc_updated!APU$2:APU$4)=0,"",AVERAGE(zip_med_inc_updated!APU$2:APU$4))</f>
        <v>68940.333333333328</v>
      </c>
      <c r="APV2" t="str">
        <f>IF(COUNT(zip_med_inc_updated!APV$2:APV$4)=0,"",AVERAGE(zip_med_inc_updated!APV$2:APV$4))</f>
        <v/>
      </c>
      <c r="APW2" t="str">
        <f>IF(COUNT(zip_med_inc_updated!APW$2:APW$4)=0,"",AVERAGE(zip_med_inc_updated!APW$2:APW$4))</f>
        <v/>
      </c>
      <c r="APX2">
        <f>IF(COUNT(zip_med_inc_updated!APX$2:APX$4)=0,"",AVERAGE(zip_med_inc_updated!APX$2:APX$4))</f>
        <v>59355</v>
      </c>
      <c r="APY2">
        <f>IF(COUNT(zip_med_inc_updated!APY$2:APY$4)=0,"",AVERAGE(zip_med_inc_updated!APY$2:APY$4))</f>
        <v>64015.666666666664</v>
      </c>
      <c r="APZ2">
        <f>IF(COUNT(zip_med_inc_updated!APZ$2:APZ$4)=0,"",AVERAGE(zip_med_inc_updated!APZ$2:APZ$4))</f>
        <v>50591.5</v>
      </c>
      <c r="AQA2">
        <f>IF(COUNT(zip_med_inc_updated!AQA$2:AQA$4)=0,"",AVERAGE(zip_med_inc_updated!AQA$2:AQA$4))</f>
        <v>36402.333333333336</v>
      </c>
      <c r="AQB2" t="str">
        <f>IF(COUNT(zip_med_inc_updated!AQB$2:AQB$4)=0,"",AVERAGE(zip_med_inc_updated!AQB$2:AQB$4))</f>
        <v/>
      </c>
      <c r="AQC2">
        <f>IF(COUNT(zip_med_inc_updated!AQC$2:AQC$4)=0,"",AVERAGE(zip_med_inc_updated!AQC$2:AQC$4))</f>
        <v>72660.333333333328</v>
      </c>
      <c r="AQD2">
        <f>IF(COUNT(zip_med_inc_updated!AQD$2:AQD$4)=0,"",AVERAGE(zip_med_inc_updated!AQD$2:AQD$4))</f>
        <v>52749.666666666664</v>
      </c>
      <c r="AQE2">
        <f>IF(COUNT(zip_med_inc_updated!AQE$2:AQE$4)=0,"",AVERAGE(zip_med_inc_updated!AQE$2:AQE$4))</f>
        <v>81983.666666666672</v>
      </c>
      <c r="AQF2">
        <f>IF(COUNT(zip_med_inc_updated!AQF$2:AQF$4)=0,"",AVERAGE(zip_med_inc_updated!AQF$2:AQF$4))</f>
        <v>87808</v>
      </c>
      <c r="AQG2">
        <f>IF(COUNT(zip_med_inc_updated!AQG$2:AQG$4)=0,"",AVERAGE(zip_med_inc_updated!AQG$2:AQG$4))</f>
        <v>74458.333333333328</v>
      </c>
      <c r="AQH2">
        <f>IF(COUNT(zip_med_inc_updated!AQH$2:AQH$4)=0,"",AVERAGE(zip_med_inc_updated!AQH$2:AQH$4))</f>
        <v>114003.33333333333</v>
      </c>
      <c r="AQI2">
        <f>IF(COUNT(zip_med_inc_updated!AQI$2:AQI$4)=0,"",AVERAGE(zip_med_inc_updated!AQI$2:AQI$4))</f>
        <v>52718.333333333336</v>
      </c>
      <c r="AQJ2">
        <f>IF(COUNT(zip_med_inc_updated!AQJ$2:AQJ$4)=0,"",AVERAGE(zip_med_inc_updated!AQJ$2:AQJ$4))</f>
        <v>117131</v>
      </c>
      <c r="AQK2">
        <f>IF(COUNT(zip_med_inc_updated!AQK$2:AQK$4)=0,"",AVERAGE(zip_med_inc_updated!AQK$2:AQK$4))</f>
        <v>100937.66666666667</v>
      </c>
      <c r="AQL2">
        <f>IF(COUNT(zip_med_inc_updated!AQL$2:AQL$4)=0,"",AVERAGE(zip_med_inc_updated!AQL$2:AQL$4))</f>
        <v>75488.666666666672</v>
      </c>
      <c r="AQM2">
        <f>IF(COUNT(zip_med_inc_updated!AQM$2:AQM$4)=0,"",AVERAGE(zip_med_inc_updated!AQM$2:AQM$4))</f>
        <v>64972.333333333336</v>
      </c>
      <c r="AQN2">
        <f>IF(COUNT(zip_med_inc_updated!AQN$2:AQN$4)=0,"",AVERAGE(zip_med_inc_updated!AQN$2:AQN$4))</f>
        <v>74809</v>
      </c>
      <c r="AQO2">
        <f>IF(COUNT(zip_med_inc_updated!AQO$2:AQO$4)=0,"",AVERAGE(zip_med_inc_updated!AQO$2:AQO$4))</f>
        <v>88594</v>
      </c>
      <c r="AQP2">
        <f>IF(COUNT(zip_med_inc_updated!AQP$2:AQP$4)=0,"",AVERAGE(zip_med_inc_updated!AQP$2:AQP$4))</f>
        <v>91863</v>
      </c>
      <c r="AQQ2">
        <f>IF(COUNT(zip_med_inc_updated!AQQ$2:AQQ$4)=0,"",AVERAGE(zip_med_inc_updated!AQQ$2:AQQ$4))</f>
        <v>60313</v>
      </c>
      <c r="AQR2">
        <f>IF(COUNT(zip_med_inc_updated!AQR$2:AQR$4)=0,"",AVERAGE(zip_med_inc_updated!AQR$2:AQR$4))</f>
        <v>84687.666666666672</v>
      </c>
      <c r="AQS2">
        <f>IF(COUNT(zip_med_inc_updated!AQS$2:AQS$4)=0,"",AVERAGE(zip_med_inc_updated!AQS$2:AQS$4))</f>
        <v>101236.33333333333</v>
      </c>
      <c r="AQT2">
        <f>IF(COUNT(zip_med_inc_updated!AQT$2:AQT$4)=0,"",AVERAGE(zip_med_inc_updated!AQT$2:AQT$4))</f>
        <v>69871.333333333328</v>
      </c>
      <c r="AQU2">
        <f>IF(COUNT(zip_med_inc_updated!AQU$2:AQU$4)=0,"",AVERAGE(zip_med_inc_updated!AQU$2:AQU$4))</f>
        <v>70046.666666666672</v>
      </c>
      <c r="AQV2">
        <f>IF(COUNT(zip_med_inc_updated!AQV$2:AQV$4)=0,"",AVERAGE(zip_med_inc_updated!AQV$2:AQV$4))</f>
        <v>60086.333333333336</v>
      </c>
      <c r="AQW2">
        <f>IF(COUNT(zip_med_inc_updated!AQW$2:AQW$4)=0,"",AVERAGE(zip_med_inc_updated!AQW$2:AQW$4))</f>
        <v>63750</v>
      </c>
      <c r="AQX2">
        <f>IF(COUNT(zip_med_inc_updated!AQX$2:AQX$4)=0,"",AVERAGE(zip_med_inc_updated!AQX$2:AQX$4))</f>
        <v>106327</v>
      </c>
      <c r="AQY2">
        <f>IF(COUNT(zip_med_inc_updated!AQY$2:AQY$4)=0,"",AVERAGE(zip_med_inc_updated!AQY$2:AQY$4))</f>
        <v>65563.666666666672</v>
      </c>
      <c r="AQZ2">
        <f>IF(COUNT(zip_med_inc_updated!AQZ$2:AQZ$4)=0,"",AVERAGE(zip_med_inc_updated!AQZ$2:AQZ$4))</f>
        <v>129281</v>
      </c>
      <c r="ARA2">
        <f>IF(COUNT(zip_med_inc_updated!ARA$2:ARA$4)=0,"",AVERAGE(zip_med_inc_updated!ARA$2:ARA$4))</f>
        <v>59406.333333333336</v>
      </c>
      <c r="ARB2">
        <f>IF(COUNT(zip_med_inc_updated!ARB$2:ARB$4)=0,"",AVERAGE(zip_med_inc_updated!ARB$2:ARB$4))</f>
        <v>65743.666666666672</v>
      </c>
      <c r="ARC2">
        <f>IF(COUNT(zip_med_inc_updated!ARC$2:ARC$4)=0,"",AVERAGE(zip_med_inc_updated!ARC$2:ARC$4))</f>
        <v>67222.333333333328</v>
      </c>
      <c r="ARD2">
        <f>IF(COUNT(zip_med_inc_updated!ARD$2:ARD$4)=0,"",AVERAGE(zip_med_inc_updated!ARD$2:ARD$4))</f>
        <v>60356.666666666664</v>
      </c>
      <c r="ARE2" t="str">
        <f>IF(COUNT(zip_med_inc_updated!ARE$2:ARE$4)=0,"",AVERAGE(zip_med_inc_updated!ARE$2:ARE$4))</f>
        <v/>
      </c>
      <c r="ARF2">
        <f>IF(COUNT(zip_med_inc_updated!ARF$2:ARF$4)=0,"",AVERAGE(zip_med_inc_updated!ARF$2:ARF$4))</f>
        <v>86118</v>
      </c>
      <c r="ARG2">
        <f>IF(COUNT(zip_med_inc_updated!ARG$2:ARG$4)=0,"",AVERAGE(zip_med_inc_updated!ARG$2:ARG$4))</f>
        <v>110648</v>
      </c>
      <c r="ARH2">
        <f>IF(COUNT(zip_med_inc_updated!ARH$2:ARH$4)=0,"",AVERAGE(zip_med_inc_updated!ARH$2:ARH$4))</f>
        <v>137500</v>
      </c>
      <c r="ARI2">
        <f>IF(COUNT(zip_med_inc_updated!ARI$2:ARI$4)=0,"",AVERAGE(zip_med_inc_updated!ARI$2:ARI$4))</f>
        <v>61270.666666666664</v>
      </c>
      <c r="ARJ2">
        <f>IF(COUNT(zip_med_inc_updated!ARJ$2:ARJ$4)=0,"",AVERAGE(zip_med_inc_updated!ARJ$2:ARJ$4))</f>
        <v>92000</v>
      </c>
      <c r="ARK2">
        <f>IF(COUNT(zip_med_inc_updated!ARK$2:ARK$4)=0,"",AVERAGE(zip_med_inc_updated!ARK$2:ARK$4))</f>
        <v>74029.333333333328</v>
      </c>
      <c r="ARL2">
        <f>IF(COUNT(zip_med_inc_updated!ARL$2:ARL$4)=0,"",AVERAGE(zip_med_inc_updated!ARL$2:ARL$4))</f>
        <v>124916</v>
      </c>
      <c r="ARM2">
        <f>IF(COUNT(zip_med_inc_updated!ARM$2:ARM$4)=0,"",AVERAGE(zip_med_inc_updated!ARM$2:ARM$4))</f>
        <v>100917</v>
      </c>
      <c r="ARN2">
        <f>IF(COUNT(zip_med_inc_updated!ARN$2:ARN$4)=0,"",AVERAGE(zip_med_inc_updated!ARN$2:ARN$4))</f>
        <v>82857.333333333328</v>
      </c>
      <c r="ARO2">
        <f>IF(COUNT(zip_med_inc_updated!ARO$2:ARO$4)=0,"",AVERAGE(zip_med_inc_updated!ARO$2:ARO$4))</f>
        <v>84664.333333333328</v>
      </c>
      <c r="ARP2">
        <f>IF(COUNT(zip_med_inc_updated!ARP$2:ARP$4)=0,"",AVERAGE(zip_med_inc_updated!ARP$2:ARP$4))</f>
        <v>105725.33333333333</v>
      </c>
      <c r="ARQ2">
        <f>IF(COUNT(zip_med_inc_updated!ARQ$2:ARQ$4)=0,"",AVERAGE(zip_med_inc_updated!ARQ$2:ARQ$4))</f>
        <v>128383</v>
      </c>
      <c r="ARR2">
        <f>IF(COUNT(zip_med_inc_updated!ARR$2:ARR$4)=0,"",AVERAGE(zip_med_inc_updated!ARR$2:ARR$4))</f>
        <v>70344</v>
      </c>
      <c r="ARS2">
        <f>IF(COUNT(zip_med_inc_updated!ARS$2:ARS$4)=0,"",AVERAGE(zip_med_inc_updated!ARS$2:ARS$4))</f>
        <v>78769.333333333328</v>
      </c>
      <c r="ART2">
        <f>IF(COUNT(zip_med_inc_updated!ART$2:ART$4)=0,"",AVERAGE(zip_med_inc_updated!ART$2:ART$4))</f>
        <v>85381.666666666672</v>
      </c>
      <c r="ARU2">
        <f>IF(COUNT(zip_med_inc_updated!ARU$2:ARU$4)=0,"",AVERAGE(zip_med_inc_updated!ARU$2:ARU$4))</f>
        <v>146058.66666666666</v>
      </c>
      <c r="ARV2">
        <f>IF(COUNT(zip_med_inc_updated!ARV$2:ARV$4)=0,"",AVERAGE(zip_med_inc_updated!ARV$2:ARV$4))</f>
        <v>82791.333333333328</v>
      </c>
      <c r="ARW2">
        <f>IF(COUNT(zip_med_inc_updated!ARW$2:ARW$4)=0,"",AVERAGE(zip_med_inc_updated!ARW$2:ARW$4))</f>
        <v>72504</v>
      </c>
      <c r="ARX2">
        <f>IF(COUNT(zip_med_inc_updated!ARX$2:ARX$4)=0,"",AVERAGE(zip_med_inc_updated!ARX$2:ARX$4))</f>
        <v>150809</v>
      </c>
      <c r="ARY2">
        <f>IF(COUNT(zip_med_inc_updated!ARY$2:ARY$4)=0,"",AVERAGE(zip_med_inc_updated!ARY$2:ARY$4))</f>
        <v>124408.33333333333</v>
      </c>
      <c r="ARZ2">
        <f>IF(COUNT(zip_med_inc_updated!ARZ$2:ARZ$4)=0,"",AVERAGE(zip_med_inc_updated!ARZ$2:ARZ$4))</f>
        <v>62813.5</v>
      </c>
      <c r="ASA2">
        <f>IF(COUNT(zip_med_inc_updated!ASA$2:ASA$4)=0,"",AVERAGE(zip_med_inc_updated!ASA$2:ASA$4))</f>
        <v>78620</v>
      </c>
      <c r="ASB2">
        <f>IF(COUNT(zip_med_inc_updated!ASB$2:ASB$4)=0,"",AVERAGE(zip_med_inc_updated!ASB$2:ASB$4))</f>
        <v>102986</v>
      </c>
      <c r="ASC2">
        <f>IF(COUNT(zip_med_inc_updated!ASC$2:ASC$4)=0,"",AVERAGE(zip_med_inc_updated!ASC$2:ASC$4))</f>
        <v>54949</v>
      </c>
      <c r="ASD2">
        <f>IF(COUNT(zip_med_inc_updated!ASD$2:ASD$4)=0,"",AVERAGE(zip_med_inc_updated!ASD$2:ASD$4))</f>
        <v>74343</v>
      </c>
      <c r="ASE2">
        <f>IF(COUNT(zip_med_inc_updated!ASE$2:ASE$4)=0,"",AVERAGE(zip_med_inc_updated!ASE$2:ASE$4))</f>
        <v>68952.333333333328</v>
      </c>
      <c r="ASF2">
        <f>IF(COUNT(zip_med_inc_updated!ASF$2:ASF$4)=0,"",AVERAGE(zip_med_inc_updated!ASF$2:ASF$4))</f>
        <v>23958</v>
      </c>
      <c r="ASG2">
        <f>IF(COUNT(zip_med_inc_updated!ASG$2:ASG$4)=0,"",AVERAGE(zip_med_inc_updated!ASG$2:ASG$4))</f>
        <v>110553</v>
      </c>
      <c r="ASH2">
        <f>IF(COUNT(zip_med_inc_updated!ASH$2:ASH$4)=0,"",AVERAGE(zip_med_inc_updated!ASH$2:ASH$4))</f>
        <v>106529.5</v>
      </c>
      <c r="ASI2">
        <f>IF(COUNT(zip_med_inc_updated!ASI$2:ASI$4)=0,"",AVERAGE(zip_med_inc_updated!ASI$2:ASI$4))</f>
        <v>72351.666666666672</v>
      </c>
      <c r="ASJ2">
        <f>IF(COUNT(zip_med_inc_updated!ASJ$2:ASJ$4)=0,"",AVERAGE(zip_med_inc_updated!ASJ$2:ASJ$4))</f>
        <v>118364.5</v>
      </c>
      <c r="ASK2">
        <f>IF(COUNT(zip_med_inc_updated!ASK$2:ASK$4)=0,"",AVERAGE(zip_med_inc_updated!ASK$2:ASK$4))</f>
        <v>102217.33333333333</v>
      </c>
      <c r="ASL2">
        <f>IF(COUNT(zip_med_inc_updated!ASL$2:ASL$4)=0,"",AVERAGE(zip_med_inc_updated!ASL$2:ASL$4))</f>
        <v>104030.33333333333</v>
      </c>
      <c r="ASM2">
        <f>IF(COUNT(zip_med_inc_updated!ASM$2:ASM$4)=0,"",AVERAGE(zip_med_inc_updated!ASM$2:ASM$4))</f>
        <v>104885</v>
      </c>
      <c r="ASN2">
        <f>IF(COUNT(zip_med_inc_updated!ASN$2:ASN$4)=0,"",AVERAGE(zip_med_inc_updated!ASN$2:ASN$4))</f>
        <v>162652.33333333334</v>
      </c>
      <c r="ASO2" t="str">
        <f>IF(COUNT(zip_med_inc_updated!ASO$2:ASO$4)=0,"",AVERAGE(zip_med_inc_updated!ASO$2:ASO$4))</f>
        <v/>
      </c>
      <c r="ASP2">
        <f>IF(COUNT(zip_med_inc_updated!ASP$2:ASP$4)=0,"",AVERAGE(zip_med_inc_updated!ASP$2:ASP$4))</f>
        <v>162503</v>
      </c>
      <c r="ASQ2">
        <f>IF(COUNT(zip_med_inc_updated!ASQ$2:ASQ$4)=0,"",AVERAGE(zip_med_inc_updated!ASQ$2:ASQ$4))</f>
        <v>91733.666666666672</v>
      </c>
      <c r="ASR2">
        <f>IF(COUNT(zip_med_inc_updated!ASR$2:ASR$4)=0,"",AVERAGE(zip_med_inc_updated!ASR$2:ASR$4))</f>
        <v>98113</v>
      </c>
      <c r="ASS2">
        <f>IF(COUNT(zip_med_inc_updated!ASS$2:ASS$4)=0,"",AVERAGE(zip_med_inc_updated!ASS$2:ASS$4))</f>
        <v>182430.66666666666</v>
      </c>
      <c r="AST2" t="str">
        <f>IF(COUNT(zip_med_inc_updated!AST$2:AST$4)=0,"",AVERAGE(zip_med_inc_updated!AST$2:AST$4))</f>
        <v/>
      </c>
      <c r="ASU2">
        <f>IF(COUNT(zip_med_inc_updated!ASU$2:ASU$4)=0,"",AVERAGE(zip_med_inc_updated!ASU$2:ASU$4))</f>
        <v>105537.66666666667</v>
      </c>
      <c r="ASV2">
        <f>IF(COUNT(zip_med_inc_updated!ASV$2:ASV$4)=0,"",AVERAGE(zip_med_inc_updated!ASV$2:ASV$4))</f>
        <v>129606</v>
      </c>
      <c r="ASW2">
        <f>IF(COUNT(zip_med_inc_updated!ASW$2:ASW$4)=0,"",AVERAGE(zip_med_inc_updated!ASW$2:ASW$4))</f>
        <v>95472.333333333328</v>
      </c>
      <c r="ASX2">
        <f>IF(COUNT(zip_med_inc_updated!ASX$2:ASX$4)=0,"",AVERAGE(zip_med_inc_updated!ASX$2:ASX$4))</f>
        <v>71855.333333333328</v>
      </c>
      <c r="ASY2">
        <f>IF(COUNT(zip_med_inc_updated!ASY$2:ASY$4)=0,"",AVERAGE(zip_med_inc_updated!ASY$2:ASY$4))</f>
        <v>86493</v>
      </c>
      <c r="ASZ2">
        <f>IF(COUNT(zip_med_inc_updated!ASZ$2:ASZ$4)=0,"",AVERAGE(zip_med_inc_updated!ASZ$2:ASZ$4))</f>
        <v>241250</v>
      </c>
      <c r="ATA2">
        <f>IF(COUNT(zip_med_inc_updated!ATA$2:ATA$4)=0,"",AVERAGE(zip_med_inc_updated!ATA$2:ATA$4))</f>
        <v>90189.666666666672</v>
      </c>
      <c r="ATB2">
        <f>IF(COUNT(zip_med_inc_updated!ATB$2:ATB$4)=0,"",AVERAGE(zip_med_inc_updated!ATB$2:ATB$4))</f>
        <v>99958.666666666672</v>
      </c>
      <c r="ATC2">
        <f>IF(COUNT(zip_med_inc_updated!ATC$2:ATC$4)=0,"",AVERAGE(zip_med_inc_updated!ATC$2:ATC$4))</f>
        <v>57541.333333333336</v>
      </c>
      <c r="ATD2">
        <f>IF(COUNT(zip_med_inc_updated!ATD$2:ATD$4)=0,"",AVERAGE(zip_med_inc_updated!ATD$2:ATD$4))</f>
        <v>250001</v>
      </c>
      <c r="ATE2">
        <f>IF(COUNT(zip_med_inc_updated!ATE$2:ATE$4)=0,"",AVERAGE(zip_med_inc_updated!ATE$2:ATE$4))</f>
        <v>240083.66666666666</v>
      </c>
      <c r="ATF2">
        <f>IF(COUNT(zip_med_inc_updated!ATF$2:ATF$4)=0,"",AVERAGE(zip_med_inc_updated!ATF$2:ATF$4))</f>
        <v>59811</v>
      </c>
      <c r="ATG2">
        <f>IF(COUNT(zip_med_inc_updated!ATG$2:ATG$4)=0,"",AVERAGE(zip_med_inc_updated!ATG$2:ATG$4))</f>
        <v>82375.666666666672</v>
      </c>
      <c r="ATH2" t="str">
        <f>IF(COUNT(zip_med_inc_updated!ATH$2:ATH$4)=0,"",AVERAGE(zip_med_inc_updated!ATH$2:ATH$4))</f>
        <v/>
      </c>
      <c r="ATI2">
        <f>IF(COUNT(zip_med_inc_updated!ATI$2:ATI$4)=0,"",AVERAGE(zip_med_inc_updated!ATI$2:ATI$4))</f>
        <v>55215.333333333336</v>
      </c>
      <c r="ATJ2">
        <f>IF(COUNT(zip_med_inc_updated!ATJ$2:ATJ$4)=0,"",AVERAGE(zip_med_inc_updated!ATJ$2:ATJ$4))</f>
        <v>180351</v>
      </c>
      <c r="ATK2">
        <f>IF(COUNT(zip_med_inc_updated!ATK$2:ATK$4)=0,"",AVERAGE(zip_med_inc_updated!ATK$2:ATK$4))</f>
        <v>133726.33333333334</v>
      </c>
      <c r="ATL2">
        <f>IF(COUNT(zip_med_inc_updated!ATL$2:ATL$4)=0,"",AVERAGE(zip_med_inc_updated!ATL$2:ATL$4))</f>
        <v>95281.333333333328</v>
      </c>
      <c r="ATM2">
        <f>IF(COUNT(zip_med_inc_updated!ATM$2:ATM$4)=0,"",AVERAGE(zip_med_inc_updated!ATM$2:ATM$4))</f>
        <v>98423.333333333328</v>
      </c>
      <c r="ATN2">
        <f>IF(COUNT(zip_med_inc_updated!ATN$2:ATN$4)=0,"",AVERAGE(zip_med_inc_updated!ATN$2:ATN$4))</f>
        <v>108434.33333333333</v>
      </c>
      <c r="ATO2" t="str">
        <f>IF(COUNT(zip_med_inc_updated!ATO$2:ATO$4)=0,"",AVERAGE(zip_med_inc_updated!ATO$2:ATO$4))</f>
        <v/>
      </c>
      <c r="ATP2">
        <f>IF(COUNT(zip_med_inc_updated!ATP$2:ATP$4)=0,"",AVERAGE(zip_med_inc_updated!ATP$2:ATP$4))</f>
        <v>57489</v>
      </c>
      <c r="ATQ2">
        <f>IF(COUNT(zip_med_inc_updated!ATQ$2:ATQ$4)=0,"",AVERAGE(zip_med_inc_updated!ATQ$2:ATQ$4))</f>
        <v>49143.666666666664</v>
      </c>
      <c r="ATR2">
        <f>IF(COUNT(zip_med_inc_updated!ATR$2:ATR$4)=0,"",AVERAGE(zip_med_inc_updated!ATR$2:ATR$4))</f>
        <v>147757</v>
      </c>
      <c r="ATS2">
        <f>IF(COUNT(zip_med_inc_updated!ATS$2:ATS$4)=0,"",AVERAGE(zip_med_inc_updated!ATS$2:ATS$4))</f>
        <v>181281.33333333334</v>
      </c>
      <c r="ATT2">
        <f>IF(COUNT(zip_med_inc_updated!ATT$2:ATT$4)=0,"",AVERAGE(zip_med_inc_updated!ATT$2:ATT$4))</f>
        <v>153685</v>
      </c>
      <c r="ATU2">
        <f>IF(COUNT(zip_med_inc_updated!ATU$2:ATU$4)=0,"",AVERAGE(zip_med_inc_updated!ATU$2:ATU$4))</f>
        <v>152405.66666666666</v>
      </c>
      <c r="ATV2">
        <f>IF(COUNT(zip_med_inc_updated!ATV$2:ATV$4)=0,"",AVERAGE(zip_med_inc_updated!ATV$2:ATV$4))</f>
        <v>167506.66666666666</v>
      </c>
      <c r="ATW2">
        <f>IF(COUNT(zip_med_inc_updated!ATW$2:ATW$4)=0,"",AVERAGE(zip_med_inc_updated!ATW$2:ATW$4))</f>
        <v>117385</v>
      </c>
      <c r="ATX2">
        <f>IF(COUNT(zip_med_inc_updated!ATX$2:ATX$4)=0,"",AVERAGE(zip_med_inc_updated!ATX$2:ATX$4))</f>
        <v>141159.66666666666</v>
      </c>
      <c r="ATY2">
        <f>IF(COUNT(zip_med_inc_updated!ATY$2:ATY$4)=0,"",AVERAGE(zip_med_inc_updated!ATY$2:ATY$4))</f>
        <v>87670</v>
      </c>
      <c r="ATZ2">
        <f>IF(COUNT(zip_med_inc_updated!ATZ$2:ATZ$4)=0,"",AVERAGE(zip_med_inc_updated!ATZ$2:ATZ$4))</f>
        <v>96195.5</v>
      </c>
      <c r="AUA2">
        <f>IF(COUNT(zip_med_inc_updated!AUA$2:AUA$4)=0,"",AVERAGE(zip_med_inc_updated!AUA$2:AUA$4))</f>
        <v>70143.333333333328</v>
      </c>
      <c r="AUB2" t="str">
        <f>IF(COUNT(zip_med_inc_updated!AUB$2:AUB$4)=0,"",AVERAGE(zip_med_inc_updated!AUB$2:AUB$4))</f>
        <v/>
      </c>
      <c r="AUC2">
        <f>IF(COUNT(zip_med_inc_updated!AUC$2:AUC$4)=0,"",AVERAGE(zip_med_inc_updated!AUC$2:AUC$4))</f>
        <v>88587</v>
      </c>
      <c r="AUD2">
        <f>IF(COUNT(zip_med_inc_updated!AUD$2:AUD$4)=0,"",AVERAGE(zip_med_inc_updated!AUD$2:AUD$4))</f>
        <v>97079</v>
      </c>
      <c r="AUE2">
        <f>IF(COUNT(zip_med_inc_updated!AUE$2:AUE$4)=0,"",AVERAGE(zip_med_inc_updated!AUE$2:AUE$4))</f>
        <v>139848.66666666666</v>
      </c>
      <c r="AUF2">
        <f>IF(COUNT(zip_med_inc_updated!AUF$2:AUF$4)=0,"",AVERAGE(zip_med_inc_updated!AUF$2:AUF$4))</f>
        <v>87854.333333333328</v>
      </c>
      <c r="AUG2">
        <f>IF(COUNT(zip_med_inc_updated!AUG$2:AUG$4)=0,"",AVERAGE(zip_med_inc_updated!AUG$2:AUG$4))</f>
        <v>94221.333333333328</v>
      </c>
      <c r="AUH2">
        <f>IF(COUNT(zip_med_inc_updated!AUH$2:AUH$4)=0,"",AVERAGE(zip_med_inc_updated!AUH$2:AUH$4))</f>
        <v>77656</v>
      </c>
      <c r="AUI2">
        <f>IF(COUNT(zip_med_inc_updated!AUI$2:AUI$4)=0,"",AVERAGE(zip_med_inc_updated!AUI$2:AUI$4))</f>
        <v>90819.666666666672</v>
      </c>
      <c r="AUJ2">
        <f>IF(COUNT(zip_med_inc_updated!AUJ$2:AUJ$4)=0,"",AVERAGE(zip_med_inc_updated!AUJ$2:AUJ$4))</f>
        <v>125226</v>
      </c>
      <c r="AUK2">
        <f>IF(COUNT(zip_med_inc_updated!AUK$2:AUK$4)=0,"",AVERAGE(zip_med_inc_updated!AUK$2:AUK$4))</f>
        <v>215585.66666666666</v>
      </c>
      <c r="AUL2">
        <f>IF(COUNT(zip_med_inc_updated!AUL$2:AUL$4)=0,"",AVERAGE(zip_med_inc_updated!AUL$2:AUL$4))</f>
        <v>85413</v>
      </c>
      <c r="AUM2">
        <f>IF(COUNT(zip_med_inc_updated!AUM$2:AUM$4)=0,"",AVERAGE(zip_med_inc_updated!AUM$2:AUM$4))</f>
        <v>184649</v>
      </c>
      <c r="AUN2">
        <f>IF(COUNT(zip_med_inc_updated!AUN$2:AUN$4)=0,"",AVERAGE(zip_med_inc_updated!AUN$2:AUN$4))</f>
        <v>120974</v>
      </c>
      <c r="AUO2">
        <f>IF(COUNT(zip_med_inc_updated!AUO$2:AUO$4)=0,"",AVERAGE(zip_med_inc_updated!AUO$2:AUO$4))</f>
        <v>68067.666666666672</v>
      </c>
      <c r="AUP2">
        <f>IF(COUNT(zip_med_inc_updated!AUP$2:AUP$4)=0,"",AVERAGE(zip_med_inc_updated!AUP$2:AUP$4))</f>
        <v>68850.333333333328</v>
      </c>
      <c r="AUQ2">
        <f>IF(COUNT(zip_med_inc_updated!AUQ$2:AUQ$4)=0,"",AVERAGE(zip_med_inc_updated!AUQ$2:AUQ$4))</f>
        <v>130546</v>
      </c>
      <c r="AUR2">
        <f>IF(COUNT(zip_med_inc_updated!AUR$2:AUR$4)=0,"",AVERAGE(zip_med_inc_updated!AUR$2:AUR$4))</f>
        <v>89662</v>
      </c>
      <c r="AUS2">
        <f>IF(COUNT(zip_med_inc_updated!AUS$2:AUS$4)=0,"",AVERAGE(zip_med_inc_updated!AUS$2:AUS$4))</f>
        <v>109063.66666666667</v>
      </c>
      <c r="AUT2" t="str">
        <f>IF(COUNT(zip_med_inc_updated!AUT$2:AUT$4)=0,"",AVERAGE(zip_med_inc_updated!AUT$2:AUT$4))</f>
        <v/>
      </c>
      <c r="AUU2">
        <f>IF(COUNT(zip_med_inc_updated!AUU$2:AUU$4)=0,"",AVERAGE(zip_med_inc_updated!AUU$2:AUU$4))</f>
        <v>51911.333333333336</v>
      </c>
      <c r="AUV2">
        <f>IF(COUNT(zip_med_inc_updated!AUV$2:AUV$4)=0,"",AVERAGE(zip_med_inc_updated!AUV$2:AUV$4))</f>
        <v>51363.666666666664</v>
      </c>
      <c r="AUW2">
        <f>IF(COUNT(zip_med_inc_updated!AUW$2:AUW$4)=0,"",AVERAGE(zip_med_inc_updated!AUW$2:AUW$4))</f>
        <v>59441.666666666664</v>
      </c>
      <c r="AUX2">
        <f>IF(COUNT(zip_med_inc_updated!AUX$2:AUX$4)=0,"",AVERAGE(zip_med_inc_updated!AUX$2:AUX$4))</f>
        <v>87209</v>
      </c>
      <c r="AUY2">
        <f>IF(COUNT(zip_med_inc_updated!AUY$2:AUY$4)=0,"",AVERAGE(zip_med_inc_updated!AUY$2:AUY$4))</f>
        <v>62977</v>
      </c>
      <c r="AUZ2">
        <f>IF(COUNT(zip_med_inc_updated!AUZ$2:AUZ$4)=0,"",AVERAGE(zip_med_inc_updated!AUZ$2:AUZ$4))</f>
        <v>113517.5</v>
      </c>
      <c r="AVA2">
        <f>IF(COUNT(zip_med_inc_updated!AVA$2:AVA$4)=0,"",AVERAGE(zip_med_inc_updated!AVA$2:AVA$4))</f>
        <v>109614</v>
      </c>
      <c r="AVB2">
        <f>IF(COUNT(zip_med_inc_updated!AVB$2:AVB$4)=0,"",AVERAGE(zip_med_inc_updated!AVB$2:AVB$4))</f>
        <v>44040.666666666664</v>
      </c>
      <c r="AVC2">
        <f>IF(COUNT(zip_med_inc_updated!AVC$2:AVC$4)=0,"",AVERAGE(zip_med_inc_updated!AVC$2:AVC$4))</f>
        <v>71906.666666666672</v>
      </c>
      <c r="AVD2">
        <f>IF(COUNT(zip_med_inc_updated!AVD$2:AVD$4)=0,"",AVERAGE(zip_med_inc_updated!AVD$2:AVD$4))</f>
        <v>86648</v>
      </c>
      <c r="AVE2">
        <f>IF(COUNT(zip_med_inc_updated!AVE$2:AVE$4)=0,"",AVERAGE(zip_med_inc_updated!AVE$2:AVE$4))</f>
        <v>120324</v>
      </c>
      <c r="AVF2">
        <f>IF(COUNT(zip_med_inc_updated!AVF$2:AVF$4)=0,"",AVERAGE(zip_med_inc_updated!AVF$2:AVF$4))</f>
        <v>80937.5</v>
      </c>
      <c r="AVG2">
        <f>IF(COUNT(zip_med_inc_updated!AVG$2:AVG$4)=0,"",AVERAGE(zip_med_inc_updated!AVG$2:AVG$4))</f>
        <v>74624.666666666672</v>
      </c>
      <c r="AVH2">
        <f>IF(COUNT(zip_med_inc_updated!AVH$2:AVH$4)=0,"",AVERAGE(zip_med_inc_updated!AVH$2:AVH$4))</f>
        <v>72147.666666666672</v>
      </c>
      <c r="AVI2">
        <f>IF(COUNT(zip_med_inc_updated!AVI$2:AVI$4)=0,"",AVERAGE(zip_med_inc_updated!AVI$2:AVI$4))</f>
        <v>76233.333333333328</v>
      </c>
      <c r="AVJ2">
        <f>IF(COUNT(zip_med_inc_updated!AVJ$2:AVJ$4)=0,"",AVERAGE(zip_med_inc_updated!AVJ$2:AVJ$4))</f>
        <v>50636.666666666664</v>
      </c>
      <c r="AVK2">
        <f>IF(COUNT(zip_med_inc_updated!AVK$2:AVK$4)=0,"",AVERAGE(zip_med_inc_updated!AVK$2:AVK$4))</f>
        <v>58802.333333333336</v>
      </c>
      <c r="AVL2">
        <f>IF(COUNT(zip_med_inc_updated!AVL$2:AVL$4)=0,"",AVERAGE(zip_med_inc_updated!AVL$2:AVL$4))</f>
        <v>80052.666666666672</v>
      </c>
      <c r="AVM2">
        <f>IF(COUNT(zip_med_inc_updated!AVM$2:AVM$4)=0,"",AVERAGE(zip_med_inc_updated!AVM$2:AVM$4))</f>
        <v>84955.333333333328</v>
      </c>
      <c r="AVN2" t="str">
        <f>IF(COUNT(zip_med_inc_updated!AVN$2:AVN$4)=0,"",AVERAGE(zip_med_inc_updated!AVN$2:AVN$4))</f>
        <v/>
      </c>
      <c r="AVO2">
        <f>IF(COUNT(zip_med_inc_updated!AVO$2:AVO$4)=0,"",AVERAGE(zip_med_inc_updated!AVO$2:AVO$4))</f>
        <v>66777.333333333328</v>
      </c>
      <c r="AVP2">
        <f>IF(COUNT(zip_med_inc_updated!AVP$2:AVP$4)=0,"",AVERAGE(zip_med_inc_updated!AVP$2:AVP$4))</f>
        <v>88649</v>
      </c>
      <c r="AVQ2">
        <f>IF(COUNT(zip_med_inc_updated!AVQ$2:AVQ$4)=0,"",AVERAGE(zip_med_inc_updated!AVQ$2:AVQ$4))</f>
        <v>85890.333333333328</v>
      </c>
      <c r="AVR2">
        <f>IF(COUNT(zip_med_inc_updated!AVR$2:AVR$4)=0,"",AVERAGE(zip_med_inc_updated!AVR$2:AVR$4))</f>
        <v>85215.666666666672</v>
      </c>
      <c r="AVS2" t="str">
        <f>IF(COUNT(zip_med_inc_updated!AVS$2:AVS$4)=0,"",AVERAGE(zip_med_inc_updated!AVS$2:AVS$4))</f>
        <v/>
      </c>
      <c r="AVT2">
        <f>IF(COUNT(zip_med_inc_updated!AVT$2:AVT$4)=0,"",AVERAGE(zip_med_inc_updated!AVT$2:AVT$4))</f>
        <v>64968</v>
      </c>
      <c r="AVU2">
        <f>IF(COUNT(zip_med_inc_updated!AVU$2:AVU$4)=0,"",AVERAGE(zip_med_inc_updated!AVU$2:AVU$4))</f>
        <v>51362.666666666664</v>
      </c>
      <c r="AVV2">
        <f>IF(COUNT(zip_med_inc_updated!AVV$2:AVV$4)=0,"",AVERAGE(zip_med_inc_updated!AVV$2:AVV$4))</f>
        <v>114407.33333333333</v>
      </c>
      <c r="AVW2">
        <f>IF(COUNT(zip_med_inc_updated!AVW$2:AVW$4)=0,"",AVERAGE(zip_med_inc_updated!AVW$2:AVW$4))</f>
        <v>76197.666666666672</v>
      </c>
      <c r="AVX2">
        <f>IF(COUNT(zip_med_inc_updated!AVX$2:AVX$4)=0,"",AVERAGE(zip_med_inc_updated!AVX$2:AVX$4))</f>
        <v>76344.666666666672</v>
      </c>
      <c r="AVY2" t="str">
        <f>IF(COUNT(zip_med_inc_updated!AVY$2:AVY$4)=0,"",AVERAGE(zip_med_inc_updated!AVY$2:AVY$4))</f>
        <v/>
      </c>
      <c r="AVZ2">
        <f>IF(COUNT(zip_med_inc_updated!AVZ$2:AVZ$4)=0,"",AVERAGE(zip_med_inc_updated!AVZ$2:AVZ$4))</f>
        <v>110900.66666666667</v>
      </c>
      <c r="AWA2" t="str">
        <f>IF(COUNT(zip_med_inc_updated!AWA$2:AWA$4)=0,"",AVERAGE(zip_med_inc_updated!AWA$2:AWA$4))</f>
        <v/>
      </c>
      <c r="AWB2">
        <f>IF(COUNT(zip_med_inc_updated!AWB$2:AWB$4)=0,"",AVERAGE(zip_med_inc_updated!AWB$2:AWB$4))</f>
        <v>76690</v>
      </c>
      <c r="AWC2">
        <f>IF(COUNT(zip_med_inc_updated!AWC$2:AWC$4)=0,"",AVERAGE(zip_med_inc_updated!AWC$2:AWC$4))</f>
        <v>87436</v>
      </c>
      <c r="AWD2">
        <f>IF(COUNT(zip_med_inc_updated!AWD$2:AWD$4)=0,"",AVERAGE(zip_med_inc_updated!AWD$2:AWD$4))</f>
        <v>97885.666666666672</v>
      </c>
      <c r="AWE2">
        <f>IF(COUNT(zip_med_inc_updated!AWE$2:AWE$4)=0,"",AVERAGE(zip_med_inc_updated!AWE$2:AWE$4))</f>
        <v>68224.666666666672</v>
      </c>
      <c r="AWF2">
        <f>IF(COUNT(zip_med_inc_updated!AWF$2:AWF$4)=0,"",AVERAGE(zip_med_inc_updated!AWF$2:AWF$4))</f>
        <v>91804</v>
      </c>
      <c r="AWG2">
        <f>IF(COUNT(zip_med_inc_updated!AWG$2:AWG$4)=0,"",AVERAGE(zip_med_inc_updated!AWG$2:AWG$4))</f>
        <v>64773.333333333336</v>
      </c>
      <c r="AWH2">
        <f>IF(COUNT(zip_med_inc_updated!AWH$2:AWH$4)=0,"",AVERAGE(zip_med_inc_updated!AWH$2:AWH$4))</f>
        <v>93836.666666666672</v>
      </c>
      <c r="AWI2">
        <f>IF(COUNT(zip_med_inc_updated!AWI$2:AWI$4)=0,"",AVERAGE(zip_med_inc_updated!AWI$2:AWI$4))</f>
        <v>101311.33333333333</v>
      </c>
      <c r="AWJ2">
        <f>IF(COUNT(zip_med_inc_updated!AWJ$2:AWJ$4)=0,"",AVERAGE(zip_med_inc_updated!AWJ$2:AWJ$4))</f>
        <v>81434.666666666672</v>
      </c>
      <c r="AWK2">
        <f>IF(COUNT(zip_med_inc_updated!AWK$2:AWK$4)=0,"",AVERAGE(zip_med_inc_updated!AWK$2:AWK$4))</f>
        <v>107819.33333333333</v>
      </c>
      <c r="AWL2">
        <f>IF(COUNT(zip_med_inc_updated!AWL$2:AWL$4)=0,"",AVERAGE(zip_med_inc_updated!AWL$2:AWL$4))</f>
        <v>118996.33333333333</v>
      </c>
      <c r="AWM2">
        <f>IF(COUNT(zip_med_inc_updated!AWM$2:AWM$4)=0,"",AVERAGE(zip_med_inc_updated!AWM$2:AWM$4))</f>
        <v>83794</v>
      </c>
      <c r="AWN2" t="str">
        <f>IF(COUNT(zip_med_inc_updated!AWN$2:AWN$4)=0,"",AVERAGE(zip_med_inc_updated!AWN$2:AWN$4))</f>
        <v/>
      </c>
      <c r="AWO2">
        <f>IF(COUNT(zip_med_inc_updated!AWO$2:AWO$4)=0,"",AVERAGE(zip_med_inc_updated!AWO$2:AWO$4))</f>
        <v>93922.666666666672</v>
      </c>
      <c r="AWP2">
        <f>IF(COUNT(zip_med_inc_updated!AWP$2:AWP$4)=0,"",AVERAGE(zip_med_inc_updated!AWP$2:AWP$4))</f>
        <v>82937.666666666672</v>
      </c>
      <c r="AWQ2">
        <f>IF(COUNT(zip_med_inc_updated!AWQ$2:AWQ$4)=0,"",AVERAGE(zip_med_inc_updated!AWQ$2:AWQ$4))</f>
        <v>85208</v>
      </c>
      <c r="AWR2">
        <f>IF(COUNT(zip_med_inc_updated!AWR$2:AWR$4)=0,"",AVERAGE(zip_med_inc_updated!AWR$2:AWR$4))</f>
        <v>63585.666666666664</v>
      </c>
      <c r="AWS2">
        <f>IF(COUNT(zip_med_inc_updated!AWS$2:AWS$4)=0,"",AVERAGE(zip_med_inc_updated!AWS$2:AWS$4))</f>
        <v>93778.333333333328</v>
      </c>
      <c r="AWT2">
        <f>IF(COUNT(zip_med_inc_updated!AWT$2:AWT$4)=0,"",AVERAGE(zip_med_inc_updated!AWT$2:AWT$4))</f>
        <v>64837.666666666664</v>
      </c>
      <c r="AWU2">
        <f>IF(COUNT(zip_med_inc_updated!AWU$2:AWU$4)=0,"",AVERAGE(zip_med_inc_updated!AWU$2:AWU$4))</f>
        <v>48097.333333333336</v>
      </c>
      <c r="AWV2">
        <f>IF(COUNT(zip_med_inc_updated!AWV$2:AWV$4)=0,"",AVERAGE(zip_med_inc_updated!AWV$2:AWV$4))</f>
        <v>54239</v>
      </c>
      <c r="AWW2">
        <f>IF(COUNT(zip_med_inc_updated!AWW$2:AWW$4)=0,"",AVERAGE(zip_med_inc_updated!AWW$2:AWW$4))</f>
        <v>59006</v>
      </c>
      <c r="AWX2">
        <f>IF(COUNT(zip_med_inc_updated!AWX$2:AWX$4)=0,"",AVERAGE(zip_med_inc_updated!AWX$2:AWX$4))</f>
        <v>68235.333333333328</v>
      </c>
      <c r="AWY2">
        <f>IF(COUNT(zip_med_inc_updated!AWY$2:AWY$4)=0,"",AVERAGE(zip_med_inc_updated!AWY$2:AWY$4))</f>
        <v>55127</v>
      </c>
      <c r="AWZ2">
        <f>IF(COUNT(zip_med_inc_updated!AWZ$2:AWZ$4)=0,"",AVERAGE(zip_med_inc_updated!AWZ$2:AWZ$4))</f>
        <v>48811.666666666664</v>
      </c>
      <c r="AXA2">
        <f>IF(COUNT(zip_med_inc_updated!AXA$2:AXA$4)=0,"",AVERAGE(zip_med_inc_updated!AXA$2:AXA$4))</f>
        <v>61534.666666666664</v>
      </c>
      <c r="AXB2">
        <f>IF(COUNT(zip_med_inc_updated!AXB$2:AXB$4)=0,"",AVERAGE(zip_med_inc_updated!AXB$2:AXB$4))</f>
        <v>39935.666666666664</v>
      </c>
      <c r="AXC2">
        <f>IF(COUNT(zip_med_inc_updated!AXC$2:AXC$4)=0,"",AVERAGE(zip_med_inc_updated!AXC$2:AXC$4))</f>
        <v>95469.333333333328</v>
      </c>
      <c r="AXD2">
        <f>IF(COUNT(zip_med_inc_updated!AXD$2:AXD$4)=0,"",AVERAGE(zip_med_inc_updated!AXD$2:AXD$4))</f>
        <v>61097</v>
      </c>
      <c r="AXE2">
        <f>IF(COUNT(zip_med_inc_updated!AXE$2:AXE$4)=0,"",AVERAGE(zip_med_inc_updated!AXE$2:AXE$4))</f>
        <v>53823</v>
      </c>
      <c r="AXF2">
        <f>IF(COUNT(zip_med_inc_updated!AXF$2:AXF$4)=0,"",AVERAGE(zip_med_inc_updated!AXF$2:AXF$4))</f>
        <v>45034</v>
      </c>
      <c r="AXG2">
        <f>IF(COUNT(zip_med_inc_updated!AXG$2:AXG$4)=0,"",AVERAGE(zip_med_inc_updated!AXG$2:AXG$4))</f>
        <v>64533.666666666664</v>
      </c>
      <c r="AXH2">
        <f>IF(COUNT(zip_med_inc_updated!AXH$2:AXH$4)=0,"",AVERAGE(zip_med_inc_updated!AXH$2:AXH$4))</f>
        <v>46081</v>
      </c>
      <c r="AXI2">
        <f>IF(COUNT(zip_med_inc_updated!AXI$2:AXI$4)=0,"",AVERAGE(zip_med_inc_updated!AXI$2:AXI$4))</f>
        <v>92469</v>
      </c>
      <c r="AXJ2">
        <f>IF(COUNT(zip_med_inc_updated!AXJ$2:AXJ$4)=0,"",AVERAGE(zip_med_inc_updated!AXJ$2:AXJ$4))</f>
        <v>69064.666666666672</v>
      </c>
      <c r="AXK2">
        <f>IF(COUNT(zip_med_inc_updated!AXK$2:AXK$4)=0,"",AVERAGE(zip_med_inc_updated!AXK$2:AXK$4))</f>
        <v>82849.333333333328</v>
      </c>
      <c r="AXL2">
        <f>IF(COUNT(zip_med_inc_updated!AXL$2:AXL$4)=0,"",AVERAGE(zip_med_inc_updated!AXL$2:AXL$4))</f>
        <v>73779.333333333328</v>
      </c>
      <c r="AXM2">
        <f>IF(COUNT(zip_med_inc_updated!AXM$2:AXM$4)=0,"",AVERAGE(zip_med_inc_updated!AXM$2:AXM$4))</f>
        <v>69033.666666666672</v>
      </c>
      <c r="AXN2">
        <f>IF(COUNT(zip_med_inc_updated!AXN$2:AXN$4)=0,"",AVERAGE(zip_med_inc_updated!AXN$2:AXN$4))</f>
        <v>56118.333333333336</v>
      </c>
      <c r="AXO2">
        <f>IF(COUNT(zip_med_inc_updated!AXO$2:AXO$4)=0,"",AVERAGE(zip_med_inc_updated!AXO$2:AXO$4))</f>
        <v>74032.666666666672</v>
      </c>
      <c r="AXP2">
        <f>IF(COUNT(zip_med_inc_updated!AXP$2:AXP$4)=0,"",AVERAGE(zip_med_inc_updated!AXP$2:AXP$4))</f>
        <v>58911.333333333336</v>
      </c>
      <c r="AXQ2">
        <f>IF(COUNT(zip_med_inc_updated!AXQ$2:AXQ$4)=0,"",AVERAGE(zip_med_inc_updated!AXQ$2:AXQ$4))</f>
        <v>86195.333333333328</v>
      </c>
      <c r="AXR2">
        <f>IF(COUNT(zip_med_inc_updated!AXR$2:AXR$4)=0,"",AVERAGE(zip_med_inc_updated!AXR$2:AXR$4))</f>
        <v>68177</v>
      </c>
      <c r="AXS2">
        <f>IF(COUNT(zip_med_inc_updated!AXS$2:AXS$4)=0,"",AVERAGE(zip_med_inc_updated!AXS$2:AXS$4))</f>
        <v>57420.333333333336</v>
      </c>
      <c r="AXT2">
        <f>IF(COUNT(zip_med_inc_updated!AXT$2:AXT$4)=0,"",AVERAGE(zip_med_inc_updated!AXT$2:AXT$4))</f>
        <v>65996.666666666672</v>
      </c>
      <c r="AXU2">
        <f>IF(COUNT(zip_med_inc_updated!AXU$2:AXU$4)=0,"",AVERAGE(zip_med_inc_updated!AXU$2:AXU$4))</f>
        <v>91726</v>
      </c>
      <c r="AXV2">
        <f>IF(COUNT(zip_med_inc_updated!AXV$2:AXV$4)=0,"",AVERAGE(zip_med_inc_updated!AXV$2:AXV$4))</f>
        <v>63887</v>
      </c>
      <c r="AXW2">
        <f>IF(COUNT(zip_med_inc_updated!AXW$2:AXW$4)=0,"",AVERAGE(zip_med_inc_updated!AXW$2:AXW$4))</f>
        <v>44535.666666666664</v>
      </c>
      <c r="AXX2">
        <f>IF(COUNT(zip_med_inc_updated!AXX$2:AXX$4)=0,"",AVERAGE(zip_med_inc_updated!AXX$2:AXX$4))</f>
        <v>64222.333333333336</v>
      </c>
      <c r="AXY2">
        <f>IF(COUNT(zip_med_inc_updated!AXY$2:AXY$4)=0,"",AVERAGE(zip_med_inc_updated!AXY$2:AXY$4))</f>
        <v>78059</v>
      </c>
      <c r="AXZ2">
        <f>IF(COUNT(zip_med_inc_updated!AXZ$2:AXZ$4)=0,"",AVERAGE(zip_med_inc_updated!AXZ$2:AXZ$4))</f>
        <v>40177.666666666664</v>
      </c>
      <c r="AYA2">
        <f>IF(COUNT(zip_med_inc_updated!AYA$2:AYA$4)=0,"",AVERAGE(zip_med_inc_updated!AYA$2:AYA$4))</f>
        <v>65989</v>
      </c>
      <c r="AYB2">
        <f>IF(COUNT(zip_med_inc_updated!AYB$2:AYB$4)=0,"",AVERAGE(zip_med_inc_updated!AYB$2:AYB$4))</f>
        <v>58267.333333333336</v>
      </c>
      <c r="AYC2" t="str">
        <f>IF(COUNT(zip_med_inc_updated!AYC$2:AYC$4)=0,"",AVERAGE(zip_med_inc_updated!AYC$2:AYC$4))</f>
        <v/>
      </c>
      <c r="AYD2" t="str">
        <f>IF(COUNT(zip_med_inc_updated!AYD$2:AYD$4)=0,"",AVERAGE(zip_med_inc_updated!AYD$2:AYD$4))</f>
        <v/>
      </c>
      <c r="AYE2">
        <f>IF(COUNT(zip_med_inc_updated!AYE$2:AYE$4)=0,"",AVERAGE(zip_med_inc_updated!AYE$2:AYE$4))</f>
        <v>61994.333333333336</v>
      </c>
      <c r="AYF2">
        <f>IF(COUNT(zip_med_inc_updated!AYF$2:AYF$4)=0,"",AVERAGE(zip_med_inc_updated!AYF$2:AYF$4))</f>
        <v>54379</v>
      </c>
      <c r="AYG2" t="str">
        <f>IF(COUNT(zip_med_inc_updated!AYG$2:AYG$4)=0,"",AVERAGE(zip_med_inc_updated!AYG$2:AYG$4))</f>
        <v/>
      </c>
      <c r="AYH2">
        <f>IF(COUNT(zip_med_inc_updated!AYH$2:AYH$4)=0,"",AVERAGE(zip_med_inc_updated!AYH$2:AYH$4))</f>
        <v>45907</v>
      </c>
      <c r="AYI2">
        <f>IF(COUNT(zip_med_inc_updated!AYI$2:AYI$4)=0,"",AVERAGE(zip_med_inc_updated!AYI$2:AYI$4))</f>
        <v>63343.333333333336</v>
      </c>
      <c r="AYJ2">
        <f>IF(COUNT(zip_med_inc_updated!AYJ$2:AYJ$4)=0,"",AVERAGE(zip_med_inc_updated!AYJ$2:AYJ$4))</f>
        <v>67992.333333333328</v>
      </c>
      <c r="AYK2">
        <f>IF(COUNT(zip_med_inc_updated!AYK$2:AYK$4)=0,"",AVERAGE(zip_med_inc_updated!AYK$2:AYK$4))</f>
        <v>58336.333333333336</v>
      </c>
      <c r="AYL2">
        <f>IF(COUNT(zip_med_inc_updated!AYL$2:AYL$4)=0,"",AVERAGE(zip_med_inc_updated!AYL$2:AYL$4))</f>
        <v>46309</v>
      </c>
      <c r="AYM2">
        <f>IF(COUNT(zip_med_inc_updated!AYM$2:AYM$4)=0,"",AVERAGE(zip_med_inc_updated!AYM$2:AYM$4))</f>
        <v>75324.666666666672</v>
      </c>
      <c r="AYN2" t="str">
        <f>IF(COUNT(zip_med_inc_updated!AYN$2:AYN$4)=0,"",AVERAGE(zip_med_inc_updated!AYN$2:AYN$4))</f>
        <v/>
      </c>
      <c r="AYO2">
        <f>IF(COUNT(zip_med_inc_updated!AYO$2:AYO$4)=0,"",AVERAGE(zip_med_inc_updated!AYO$2:AYO$4))</f>
        <v>77462.333333333328</v>
      </c>
      <c r="AYP2">
        <f>IF(COUNT(zip_med_inc_updated!AYP$2:AYP$4)=0,"",AVERAGE(zip_med_inc_updated!AYP$2:AYP$4))</f>
        <v>66446</v>
      </c>
      <c r="AYQ2">
        <f>IF(COUNT(zip_med_inc_updated!AYQ$2:AYQ$4)=0,"",AVERAGE(zip_med_inc_updated!AYQ$2:AYQ$4))</f>
        <v>51056.666666666664</v>
      </c>
      <c r="AYR2">
        <f>IF(COUNT(zip_med_inc_updated!AYR$2:AYR$4)=0,"",AVERAGE(zip_med_inc_updated!AYR$2:AYR$4))</f>
        <v>48492.333333333336</v>
      </c>
      <c r="AYS2">
        <f>IF(COUNT(zip_med_inc_updated!AYS$2:AYS$4)=0,"",AVERAGE(zip_med_inc_updated!AYS$2:AYS$4))</f>
        <v>64085</v>
      </c>
      <c r="AYT2">
        <f>IF(COUNT(zip_med_inc_updated!AYT$2:AYT$4)=0,"",AVERAGE(zip_med_inc_updated!AYT$2:AYT$4))</f>
        <v>76733</v>
      </c>
      <c r="AYU2">
        <f>IF(COUNT(zip_med_inc_updated!AYU$2:AYU$4)=0,"",AVERAGE(zip_med_inc_updated!AYU$2:AYU$4))</f>
        <v>102679</v>
      </c>
      <c r="AYV2">
        <f>IF(COUNT(zip_med_inc_updated!AYV$2:AYV$4)=0,"",AVERAGE(zip_med_inc_updated!AYV$2:AYV$4))</f>
        <v>60930.333333333336</v>
      </c>
      <c r="AYW2">
        <f>IF(COUNT(zip_med_inc_updated!AYW$2:AYW$4)=0,"",AVERAGE(zip_med_inc_updated!AYW$2:AYW$4))</f>
        <v>33879</v>
      </c>
      <c r="AYX2">
        <f>IF(COUNT(zip_med_inc_updated!AYX$2:AYX$4)=0,"",AVERAGE(zip_med_inc_updated!AYX$2:AYX$4))</f>
        <v>85795.666666666672</v>
      </c>
      <c r="AYY2">
        <f>IF(COUNT(zip_med_inc_updated!AYY$2:AYY$4)=0,"",AVERAGE(zip_med_inc_updated!AYY$2:AYY$4))</f>
        <v>70684</v>
      </c>
      <c r="AYZ2" t="str">
        <f>IF(COUNT(zip_med_inc_updated!AYZ$2:AYZ$4)=0,"",AVERAGE(zip_med_inc_updated!AYZ$2:AYZ$4))</f>
        <v/>
      </c>
      <c r="AZA2">
        <f>IF(COUNT(zip_med_inc_updated!AZA$2:AZA$4)=0,"",AVERAGE(zip_med_inc_updated!AZA$2:AZA$4))</f>
        <v>63000</v>
      </c>
      <c r="AZB2">
        <f>IF(COUNT(zip_med_inc_updated!AZB$2:AZB$4)=0,"",AVERAGE(zip_med_inc_updated!AZB$2:AZB$4))</f>
        <v>79761</v>
      </c>
      <c r="AZC2">
        <f>IF(COUNT(zip_med_inc_updated!AZC$2:AZC$4)=0,"",AVERAGE(zip_med_inc_updated!AZC$2:AZC$4))</f>
        <v>41908.333333333336</v>
      </c>
      <c r="AZD2">
        <f>IF(COUNT(zip_med_inc_updated!AZD$2:AZD$4)=0,"",AVERAGE(zip_med_inc_updated!AZD$2:AZD$4))</f>
        <v>60545.333333333336</v>
      </c>
      <c r="AZE2" t="str">
        <f>IF(COUNT(zip_med_inc_updated!AZE$2:AZE$4)=0,"",AVERAGE(zip_med_inc_updated!AZE$2:AZE$4))</f>
        <v/>
      </c>
      <c r="AZF2">
        <f>IF(COUNT(zip_med_inc_updated!AZF$2:AZF$4)=0,"",AVERAGE(zip_med_inc_updated!AZF$2:AZF$4))</f>
        <v>73615.666666666672</v>
      </c>
      <c r="AZG2">
        <f>IF(COUNT(zip_med_inc_updated!AZG$2:AZG$4)=0,"",AVERAGE(zip_med_inc_updated!AZG$2:AZG$4))</f>
        <v>63846</v>
      </c>
      <c r="AZH2">
        <f>IF(COUNT(zip_med_inc_updated!AZH$2:AZH$4)=0,"",AVERAGE(zip_med_inc_updated!AZH$2:AZH$4))</f>
        <v>40869</v>
      </c>
      <c r="AZI2">
        <f>IF(COUNT(zip_med_inc_updated!AZI$2:AZI$4)=0,"",AVERAGE(zip_med_inc_updated!AZI$2:AZI$4))</f>
        <v>62501.666666666664</v>
      </c>
      <c r="AZJ2">
        <f>IF(COUNT(zip_med_inc_updated!AZJ$2:AZJ$4)=0,"",AVERAGE(zip_med_inc_updated!AZJ$2:AZJ$4))</f>
        <v>53287</v>
      </c>
      <c r="AZK2">
        <f>IF(COUNT(zip_med_inc_updated!AZK$2:AZK$4)=0,"",AVERAGE(zip_med_inc_updated!AZK$2:AZK$4))</f>
        <v>71177</v>
      </c>
      <c r="AZL2" t="str">
        <f>IF(COUNT(zip_med_inc_updated!AZL$2:AZL$4)=0,"",AVERAGE(zip_med_inc_updated!AZL$2:AZL$4))</f>
        <v/>
      </c>
      <c r="AZM2">
        <f>IF(COUNT(zip_med_inc_updated!AZM$2:AZM$4)=0,"",AVERAGE(zip_med_inc_updated!AZM$2:AZM$4))</f>
        <v>100744.33333333333</v>
      </c>
      <c r="AZN2">
        <f>IF(COUNT(zip_med_inc_updated!AZN$2:AZN$4)=0,"",AVERAGE(zip_med_inc_updated!AZN$2:AZN$4))</f>
        <v>73180.666666666672</v>
      </c>
      <c r="AZO2">
        <f>IF(COUNT(zip_med_inc_updated!AZO$2:AZO$4)=0,"",AVERAGE(zip_med_inc_updated!AZO$2:AZO$4))</f>
        <v>87723.333333333328</v>
      </c>
      <c r="AZP2">
        <f>IF(COUNT(zip_med_inc_updated!AZP$2:AZP$4)=0,"",AVERAGE(zip_med_inc_updated!AZP$2:AZP$4))</f>
        <v>80641.666666666672</v>
      </c>
      <c r="AZQ2">
        <f>IF(COUNT(zip_med_inc_updated!AZQ$2:AZQ$4)=0,"",AVERAGE(zip_med_inc_updated!AZQ$2:AZQ$4))</f>
        <v>79635.666666666672</v>
      </c>
      <c r="AZR2">
        <f>IF(COUNT(zip_med_inc_updated!AZR$2:AZR$4)=0,"",AVERAGE(zip_med_inc_updated!AZR$2:AZR$4))</f>
        <v>51631.333333333336</v>
      </c>
      <c r="AZS2">
        <f>IF(COUNT(zip_med_inc_updated!AZS$2:AZS$4)=0,"",AVERAGE(zip_med_inc_updated!AZS$2:AZS$4))</f>
        <v>87022.666666666672</v>
      </c>
      <c r="AZT2">
        <f>IF(COUNT(zip_med_inc_updated!AZT$2:AZT$4)=0,"",AVERAGE(zip_med_inc_updated!AZT$2:AZT$4))</f>
        <v>53847</v>
      </c>
      <c r="AZU2">
        <f>IF(COUNT(zip_med_inc_updated!AZU$2:AZU$4)=0,"",AVERAGE(zip_med_inc_updated!AZU$2:AZU$4))</f>
        <v>62977.666666666664</v>
      </c>
      <c r="AZV2">
        <f>IF(COUNT(zip_med_inc_updated!AZV$2:AZV$4)=0,"",AVERAGE(zip_med_inc_updated!AZV$2:AZV$4))</f>
        <v>63281.666666666664</v>
      </c>
      <c r="AZW2">
        <f>IF(COUNT(zip_med_inc_updated!AZW$2:AZW$4)=0,"",AVERAGE(zip_med_inc_updated!AZW$2:AZW$4))</f>
        <v>71462.333333333328</v>
      </c>
      <c r="AZX2">
        <f>IF(COUNT(zip_med_inc_updated!AZX$2:AZX$4)=0,"",AVERAGE(zip_med_inc_updated!AZX$2:AZX$4))</f>
        <v>81085.333333333328</v>
      </c>
      <c r="AZY2">
        <f>IF(COUNT(zip_med_inc_updated!AZY$2:AZY$4)=0,"",AVERAGE(zip_med_inc_updated!AZY$2:AZY$4))</f>
        <v>79667.333333333328</v>
      </c>
      <c r="AZZ2">
        <f>IF(COUNT(zip_med_inc_updated!AZZ$2:AZZ$4)=0,"",AVERAGE(zip_med_inc_updated!AZZ$2:AZZ$4))</f>
        <v>53736</v>
      </c>
      <c r="BAA2">
        <f>IF(COUNT(zip_med_inc_updated!BAA$2:BAA$4)=0,"",AVERAGE(zip_med_inc_updated!BAA$2:BAA$4))</f>
        <v>57659</v>
      </c>
      <c r="BAB2">
        <f>IF(COUNT(zip_med_inc_updated!BAB$2:BAB$4)=0,"",AVERAGE(zip_med_inc_updated!BAB$2:BAB$4))</f>
        <v>156797</v>
      </c>
      <c r="BAC2">
        <f>IF(COUNT(zip_med_inc_updated!BAC$2:BAC$4)=0,"",AVERAGE(zip_med_inc_updated!BAC$2:BAC$4))</f>
        <v>36577.666666666664</v>
      </c>
      <c r="BAD2">
        <f>IF(COUNT(zip_med_inc_updated!BAD$2:BAD$4)=0,"",AVERAGE(zip_med_inc_updated!BAD$2:BAD$4))</f>
        <v>99557.666666666672</v>
      </c>
      <c r="BAE2">
        <f>IF(COUNT(zip_med_inc_updated!BAE$2:BAE$4)=0,"",AVERAGE(zip_med_inc_updated!BAE$2:BAE$4))</f>
        <v>78768</v>
      </c>
      <c r="BAF2">
        <f>IF(COUNT(zip_med_inc_updated!BAF$2:BAF$4)=0,"",AVERAGE(zip_med_inc_updated!BAF$2:BAF$4))</f>
        <v>54609</v>
      </c>
      <c r="BAG2">
        <f>IF(COUNT(zip_med_inc_updated!BAG$2:BAG$4)=0,"",AVERAGE(zip_med_inc_updated!BAG$2:BAG$4))</f>
        <v>63780.666666666664</v>
      </c>
      <c r="BAH2">
        <f>IF(COUNT(zip_med_inc_updated!BAH$2:BAH$4)=0,"",AVERAGE(zip_med_inc_updated!BAH$2:BAH$4))</f>
        <v>52931.666666666664</v>
      </c>
      <c r="BAI2">
        <f>IF(COUNT(zip_med_inc_updated!BAI$2:BAI$4)=0,"",AVERAGE(zip_med_inc_updated!BAI$2:BAI$4))</f>
        <v>60513</v>
      </c>
      <c r="BAJ2">
        <f>IF(COUNT(zip_med_inc_updated!BAJ$2:BAJ$4)=0,"",AVERAGE(zip_med_inc_updated!BAJ$2:BAJ$4))</f>
        <v>54069.333333333336</v>
      </c>
      <c r="BAK2">
        <f>IF(COUNT(zip_med_inc_updated!BAK$2:BAK$4)=0,"",AVERAGE(zip_med_inc_updated!BAK$2:BAK$4))</f>
        <v>51557.666666666664</v>
      </c>
      <c r="BAL2">
        <f>IF(COUNT(zip_med_inc_updated!BAL$2:BAL$4)=0,"",AVERAGE(zip_med_inc_updated!BAL$2:BAL$4))</f>
        <v>69530.666666666672</v>
      </c>
      <c r="BAM2">
        <f>IF(COUNT(zip_med_inc_updated!BAM$2:BAM$4)=0,"",AVERAGE(zip_med_inc_updated!BAM$2:BAM$4))</f>
        <v>60101.666666666664</v>
      </c>
      <c r="BAN2">
        <f>IF(COUNT(zip_med_inc_updated!BAN$2:BAN$4)=0,"",AVERAGE(zip_med_inc_updated!BAN$2:BAN$4))</f>
        <v>74358.666666666672</v>
      </c>
      <c r="BAO2" t="str">
        <f>IF(COUNT(zip_med_inc_updated!BAO$2:BAO$4)=0,"",AVERAGE(zip_med_inc_updated!BAO$2:BAO$4))</f>
        <v/>
      </c>
      <c r="BAP2">
        <f>IF(COUNT(zip_med_inc_updated!BAP$2:BAP$4)=0,"",AVERAGE(zip_med_inc_updated!BAP$2:BAP$4))</f>
        <v>55909.666666666664</v>
      </c>
      <c r="BAQ2">
        <f>IF(COUNT(zip_med_inc_updated!BAQ$2:BAQ$4)=0,"",AVERAGE(zip_med_inc_updated!BAQ$2:BAQ$4))</f>
        <v>113004.66666666667</v>
      </c>
      <c r="BAR2">
        <f>IF(COUNT(zip_med_inc_updated!BAR$2:BAR$4)=0,"",AVERAGE(zip_med_inc_updated!BAR$2:BAR$4))</f>
        <v>89544</v>
      </c>
      <c r="BAS2">
        <f>IF(COUNT(zip_med_inc_updated!BAS$2:BAS$4)=0,"",AVERAGE(zip_med_inc_updated!BAS$2:BAS$4))</f>
        <v>59982</v>
      </c>
      <c r="BAT2">
        <f>IF(COUNT(zip_med_inc_updated!BAT$2:BAT$4)=0,"",AVERAGE(zip_med_inc_updated!BAT$2:BAT$4))</f>
        <v>68575.666666666672</v>
      </c>
      <c r="BAU2">
        <f>IF(COUNT(zip_med_inc_updated!BAU$2:BAU$4)=0,"",AVERAGE(zip_med_inc_updated!BAU$2:BAU$4))</f>
        <v>64010.333333333336</v>
      </c>
      <c r="BAV2" t="str">
        <f>IF(COUNT(zip_med_inc_updated!BAV$2:BAV$4)=0,"",AVERAGE(zip_med_inc_updated!BAV$2:BAV$4))</f>
        <v/>
      </c>
      <c r="BAW2">
        <f>IF(COUNT(zip_med_inc_updated!BAW$2:BAW$4)=0,"",AVERAGE(zip_med_inc_updated!BAW$2:BAW$4))</f>
        <v>56715.333333333336</v>
      </c>
      <c r="BAX2">
        <f>IF(COUNT(zip_med_inc_updated!BAX$2:BAX$4)=0,"",AVERAGE(zip_med_inc_updated!BAX$2:BAX$4))</f>
        <v>56540</v>
      </c>
      <c r="BAY2">
        <f>IF(COUNT(zip_med_inc_updated!BAY$2:BAY$4)=0,"",AVERAGE(zip_med_inc_updated!BAY$2:BAY$4))</f>
        <v>75518</v>
      </c>
      <c r="BAZ2">
        <f>IF(COUNT(zip_med_inc_updated!BAZ$2:BAZ$4)=0,"",AVERAGE(zip_med_inc_updated!BAZ$2:BAZ$4))</f>
        <v>128817.66666666667</v>
      </c>
      <c r="BBA2">
        <f>IF(COUNT(zip_med_inc_updated!BBA$2:BBA$4)=0,"",AVERAGE(zip_med_inc_updated!BBA$2:BBA$4))</f>
        <v>59754.666666666664</v>
      </c>
      <c r="BBB2">
        <f>IF(COUNT(zip_med_inc_updated!BBB$2:BBB$4)=0,"",AVERAGE(zip_med_inc_updated!BBB$2:BBB$4))</f>
        <v>69665.666666666672</v>
      </c>
      <c r="BBC2">
        <f>IF(COUNT(zip_med_inc_updated!BBC$2:BBC$4)=0,"",AVERAGE(zip_med_inc_updated!BBC$2:BBC$4))</f>
        <v>62327.666666666664</v>
      </c>
      <c r="BBD2" t="str">
        <f>IF(COUNT(zip_med_inc_updated!BBD$2:BBD$4)=0,"",AVERAGE(zip_med_inc_updated!BBD$2:BBD$4))</f>
        <v/>
      </c>
      <c r="BBE2">
        <f>IF(COUNT(zip_med_inc_updated!BBE$2:BBE$4)=0,"",AVERAGE(zip_med_inc_updated!BBE$2:BBE$4))</f>
        <v>74614.333333333328</v>
      </c>
      <c r="BBF2">
        <f>IF(COUNT(zip_med_inc_updated!BBF$2:BBF$4)=0,"",AVERAGE(zip_med_inc_updated!BBF$2:BBF$4))</f>
        <v>84558.333333333328</v>
      </c>
      <c r="BBG2">
        <f>IF(COUNT(zip_med_inc_updated!BBG$2:BBG$4)=0,"",AVERAGE(zip_med_inc_updated!BBG$2:BBG$4))</f>
        <v>41090.333333333336</v>
      </c>
      <c r="BBH2">
        <f>IF(COUNT(zip_med_inc_updated!BBH$2:BBH$4)=0,"",AVERAGE(zip_med_inc_updated!BBH$2:BBH$4))</f>
        <v>45196</v>
      </c>
      <c r="BBI2">
        <f>IF(COUNT(zip_med_inc_updated!BBI$2:BBI$4)=0,"",AVERAGE(zip_med_inc_updated!BBI$2:BBI$4))</f>
        <v>55887.333333333336</v>
      </c>
      <c r="BBJ2">
        <f>IF(COUNT(zip_med_inc_updated!BBJ$2:BBJ$4)=0,"",AVERAGE(zip_med_inc_updated!BBJ$2:BBJ$4))</f>
        <v>45475.333333333336</v>
      </c>
      <c r="BBK2">
        <f>IF(COUNT(zip_med_inc_updated!BBK$2:BBK$4)=0,"",AVERAGE(zip_med_inc_updated!BBK$2:BBK$4))</f>
        <v>56511</v>
      </c>
      <c r="BBL2">
        <f>IF(COUNT(zip_med_inc_updated!BBL$2:BBL$4)=0,"",AVERAGE(zip_med_inc_updated!BBL$2:BBL$4))</f>
        <v>58311</v>
      </c>
      <c r="BBM2">
        <f>IF(COUNT(zip_med_inc_updated!BBM$2:BBM$4)=0,"",AVERAGE(zip_med_inc_updated!BBM$2:BBM$4))</f>
        <v>84948.666666666672</v>
      </c>
      <c r="BBN2">
        <f>IF(COUNT(zip_med_inc_updated!BBN$2:BBN$4)=0,"",AVERAGE(zip_med_inc_updated!BBN$2:BBN$4))</f>
        <v>58191.666666666664</v>
      </c>
      <c r="BBO2">
        <f>IF(COUNT(zip_med_inc_updated!BBO$2:BBO$4)=0,"",AVERAGE(zip_med_inc_updated!BBO$2:BBO$4))</f>
        <v>83262.333333333328</v>
      </c>
      <c r="BBP2" t="str">
        <f>IF(COUNT(zip_med_inc_updated!BBP$2:BBP$4)=0,"",AVERAGE(zip_med_inc_updated!BBP$2:BBP$4))</f>
        <v/>
      </c>
      <c r="BBQ2" t="str">
        <f>IF(COUNT(zip_med_inc_updated!BBQ$2:BBQ$4)=0,"",AVERAGE(zip_med_inc_updated!BBQ$2:BBQ$4))</f>
        <v/>
      </c>
      <c r="BBR2">
        <f>IF(COUNT(zip_med_inc_updated!BBR$2:BBR$4)=0,"",AVERAGE(zip_med_inc_updated!BBR$2:BBR$4))</f>
        <v>92989.333333333328</v>
      </c>
      <c r="BBS2">
        <f>IF(COUNT(zip_med_inc_updated!BBS$2:BBS$4)=0,"",AVERAGE(zip_med_inc_updated!BBS$2:BBS$4))</f>
        <v>72009.666666666672</v>
      </c>
      <c r="BBT2">
        <f>IF(COUNT(zip_med_inc_updated!BBT$2:BBT$4)=0,"",AVERAGE(zip_med_inc_updated!BBT$2:BBT$4))</f>
        <v>137231</v>
      </c>
      <c r="BBU2">
        <f>IF(COUNT(zip_med_inc_updated!BBU$2:BBU$4)=0,"",AVERAGE(zip_med_inc_updated!BBU$2:BBU$4))</f>
        <v>101086</v>
      </c>
      <c r="BBV2">
        <f>IF(COUNT(zip_med_inc_updated!BBV$2:BBV$4)=0,"",AVERAGE(zip_med_inc_updated!BBV$2:BBV$4))</f>
        <v>66176.666666666672</v>
      </c>
      <c r="BBW2">
        <f>IF(COUNT(zip_med_inc_updated!BBW$2:BBW$4)=0,"",AVERAGE(zip_med_inc_updated!BBW$2:BBW$4))</f>
        <v>75887</v>
      </c>
      <c r="BBX2" t="str">
        <f>IF(COUNT(zip_med_inc_updated!BBX$2:BBX$4)=0,"",AVERAGE(zip_med_inc_updated!BBX$2:BBX$4))</f>
        <v/>
      </c>
      <c r="BBY2">
        <f>IF(COUNT(zip_med_inc_updated!BBY$2:BBY$4)=0,"",AVERAGE(zip_med_inc_updated!BBY$2:BBY$4))</f>
        <v>105709.33333333333</v>
      </c>
      <c r="BBZ2">
        <f>IF(COUNT(zip_med_inc_updated!BBZ$2:BBZ$4)=0,"",AVERAGE(zip_med_inc_updated!BBZ$2:BBZ$4))</f>
        <v>50305.333333333336</v>
      </c>
      <c r="BCA2">
        <f>IF(COUNT(zip_med_inc_updated!BCA$2:BCA$4)=0,"",AVERAGE(zip_med_inc_updated!BCA$2:BCA$4))</f>
        <v>70627</v>
      </c>
      <c r="BCB2">
        <f>IF(COUNT(zip_med_inc_updated!BCB$2:BCB$4)=0,"",AVERAGE(zip_med_inc_updated!BCB$2:BCB$4))</f>
        <v>61887.666666666664</v>
      </c>
      <c r="BCC2">
        <f>IF(COUNT(zip_med_inc_updated!BCC$2:BCC$4)=0,"",AVERAGE(zip_med_inc_updated!BCC$2:BCC$4))</f>
        <v>103468.66666666667</v>
      </c>
      <c r="BCD2">
        <f>IF(COUNT(zip_med_inc_updated!BCD$2:BCD$4)=0,"",AVERAGE(zip_med_inc_updated!BCD$2:BCD$4))</f>
        <v>119372</v>
      </c>
      <c r="BCE2">
        <f>IF(COUNT(zip_med_inc_updated!BCE$2:BCE$4)=0,"",AVERAGE(zip_med_inc_updated!BCE$2:BCE$4))</f>
        <v>94851</v>
      </c>
      <c r="BCF2">
        <f>IF(COUNT(zip_med_inc_updated!BCF$2:BCF$4)=0,"",AVERAGE(zip_med_inc_updated!BCF$2:BCF$4))</f>
        <v>100498.33333333333</v>
      </c>
      <c r="BCG2">
        <f>IF(COUNT(zip_med_inc_updated!BCG$2:BCG$4)=0,"",AVERAGE(zip_med_inc_updated!BCG$2:BCG$4))</f>
        <v>123753.66666666667</v>
      </c>
      <c r="BCH2">
        <f>IF(COUNT(zip_med_inc_updated!BCH$2:BCH$4)=0,"",AVERAGE(zip_med_inc_updated!BCH$2:BCH$4))</f>
        <v>120792.33333333333</v>
      </c>
      <c r="BCI2">
        <f>IF(COUNT(zip_med_inc_updated!BCI$2:BCI$4)=0,"",AVERAGE(zip_med_inc_updated!BCI$2:BCI$4))</f>
        <v>159877.33333333334</v>
      </c>
      <c r="BCJ2">
        <f>IF(COUNT(zip_med_inc_updated!BCJ$2:BCJ$4)=0,"",AVERAGE(zip_med_inc_updated!BCJ$2:BCJ$4))</f>
        <v>84520.333333333328</v>
      </c>
      <c r="BCK2">
        <f>IF(COUNT(zip_med_inc_updated!BCK$2:BCK$4)=0,"",AVERAGE(zip_med_inc_updated!BCK$2:BCK$4))</f>
        <v>56258</v>
      </c>
      <c r="BCL2">
        <f>IF(COUNT(zip_med_inc_updated!BCL$2:BCL$4)=0,"",AVERAGE(zip_med_inc_updated!BCL$2:BCL$4))</f>
        <v>74431</v>
      </c>
      <c r="BCM2">
        <f>IF(COUNT(zip_med_inc_updated!BCM$2:BCM$4)=0,"",AVERAGE(zip_med_inc_updated!BCM$2:BCM$4))</f>
        <v>126728</v>
      </c>
      <c r="BCN2">
        <f>IF(COUNT(zip_med_inc_updated!BCN$2:BCN$4)=0,"",AVERAGE(zip_med_inc_updated!BCN$2:BCN$4))</f>
        <v>73505.666666666672</v>
      </c>
      <c r="BCO2">
        <f>IF(COUNT(zip_med_inc_updated!BCO$2:BCO$4)=0,"",AVERAGE(zip_med_inc_updated!BCO$2:BCO$4))</f>
        <v>69341.666666666672</v>
      </c>
      <c r="BCP2">
        <f>IF(COUNT(zip_med_inc_updated!BCP$2:BCP$4)=0,"",AVERAGE(zip_med_inc_updated!BCP$2:BCP$4))</f>
        <v>101799</v>
      </c>
      <c r="BCQ2">
        <f>IF(COUNT(zip_med_inc_updated!BCQ$2:BCQ$4)=0,"",AVERAGE(zip_med_inc_updated!BCQ$2:BCQ$4))</f>
        <v>111237.33333333333</v>
      </c>
      <c r="BCR2">
        <f>IF(COUNT(zip_med_inc_updated!BCR$2:BCR$4)=0,"",AVERAGE(zip_med_inc_updated!BCR$2:BCR$4))</f>
        <v>84054.333333333328</v>
      </c>
      <c r="BCS2">
        <f>IF(COUNT(zip_med_inc_updated!BCS$2:BCS$4)=0,"",AVERAGE(zip_med_inc_updated!BCS$2:BCS$4))</f>
        <v>54159</v>
      </c>
      <c r="BCT2" t="str">
        <f>IF(COUNT(zip_med_inc_updated!BCT$2:BCT$4)=0,"",AVERAGE(zip_med_inc_updated!BCT$2:BCT$4))</f>
        <v/>
      </c>
      <c r="BCU2" t="str">
        <f>IF(COUNT(zip_med_inc_updated!BCU$2:BCU$4)=0,"",AVERAGE(zip_med_inc_updated!BCU$2:BCU$4))</f>
        <v/>
      </c>
      <c r="BCV2">
        <f>IF(COUNT(zip_med_inc_updated!BCV$2:BCV$4)=0,"",AVERAGE(zip_med_inc_updated!BCV$2:BCV$4))</f>
        <v>59756.333333333336</v>
      </c>
      <c r="BCW2">
        <f>IF(COUNT(zip_med_inc_updated!BCW$2:BCW$4)=0,"",AVERAGE(zip_med_inc_updated!BCW$2:BCW$4))</f>
        <v>39501.333333333336</v>
      </c>
      <c r="BCX2">
        <f>IF(COUNT(zip_med_inc_updated!BCX$2:BCX$4)=0,"",AVERAGE(zip_med_inc_updated!BCX$2:BCX$4))</f>
        <v>54296</v>
      </c>
      <c r="BCY2">
        <f>IF(COUNT(zip_med_inc_updated!BCY$2:BCY$4)=0,"",AVERAGE(zip_med_inc_updated!BCY$2:BCY$4))</f>
        <v>139396.66666666666</v>
      </c>
      <c r="BCZ2">
        <f>IF(COUNT(zip_med_inc_updated!BCZ$2:BCZ$4)=0,"",AVERAGE(zip_med_inc_updated!BCZ$2:BCZ$4))</f>
        <v>125259.33333333333</v>
      </c>
      <c r="BDA2">
        <f>IF(COUNT(zip_med_inc_updated!BDA$2:BDA$4)=0,"",AVERAGE(zip_med_inc_updated!BDA$2:BDA$4))</f>
        <v>74070.333333333328</v>
      </c>
      <c r="BDB2">
        <f>IF(COUNT(zip_med_inc_updated!BDB$2:BDB$4)=0,"",AVERAGE(zip_med_inc_updated!BDB$2:BDB$4))</f>
        <v>60387</v>
      </c>
      <c r="BDC2">
        <f>IF(COUNT(zip_med_inc_updated!BDC$2:BDC$4)=0,"",AVERAGE(zip_med_inc_updated!BDC$2:BDC$4))</f>
        <v>66787.666666666672</v>
      </c>
      <c r="BDD2">
        <f>IF(COUNT(zip_med_inc_updated!BDD$2:BDD$4)=0,"",AVERAGE(zip_med_inc_updated!BDD$2:BDD$4))</f>
        <v>86144.666666666672</v>
      </c>
      <c r="BDE2">
        <f>IF(COUNT(zip_med_inc_updated!BDE$2:BDE$4)=0,"",AVERAGE(zip_med_inc_updated!BDE$2:BDE$4))</f>
        <v>61856.666666666664</v>
      </c>
      <c r="BDF2">
        <f>IF(COUNT(zip_med_inc_updated!BDF$2:BDF$4)=0,"",AVERAGE(zip_med_inc_updated!BDF$2:BDF$4))</f>
        <v>64331.333333333336</v>
      </c>
      <c r="BDG2">
        <f>IF(COUNT(zip_med_inc_updated!BDG$2:BDG$4)=0,"",AVERAGE(zip_med_inc_updated!BDG$2:BDG$4))</f>
        <v>70662</v>
      </c>
      <c r="BDH2">
        <f>IF(COUNT(zip_med_inc_updated!BDH$2:BDH$4)=0,"",AVERAGE(zip_med_inc_updated!BDH$2:BDH$4))</f>
        <v>33757</v>
      </c>
      <c r="BDI2">
        <f>IF(COUNT(zip_med_inc_updated!BDI$2:BDI$4)=0,"",AVERAGE(zip_med_inc_updated!BDI$2:BDI$4))</f>
        <v>46875</v>
      </c>
      <c r="BDJ2" t="str">
        <f>IF(COUNT(zip_med_inc_updated!BDJ$2:BDJ$4)=0,"",AVERAGE(zip_med_inc_updated!BDJ$2:BDJ$4))</f>
        <v/>
      </c>
      <c r="BDK2">
        <f>IF(COUNT(zip_med_inc_updated!BDK$2:BDK$4)=0,"",AVERAGE(zip_med_inc_updated!BDK$2:BDK$4))</f>
        <v>65983.666666666672</v>
      </c>
      <c r="BDL2">
        <f>IF(COUNT(zip_med_inc_updated!BDL$2:BDL$4)=0,"",AVERAGE(zip_med_inc_updated!BDL$2:BDL$4))</f>
        <v>64983</v>
      </c>
      <c r="BDM2">
        <f>IF(COUNT(zip_med_inc_updated!BDM$2:BDM$4)=0,"",AVERAGE(zip_med_inc_updated!BDM$2:BDM$4))</f>
        <v>115405</v>
      </c>
      <c r="BDN2">
        <f>IF(COUNT(zip_med_inc_updated!BDN$2:BDN$4)=0,"",AVERAGE(zip_med_inc_updated!BDN$2:BDN$4))</f>
        <v>165721.66666666666</v>
      </c>
      <c r="BDO2">
        <f>IF(COUNT(zip_med_inc_updated!BDO$2:BDO$4)=0,"",AVERAGE(zip_med_inc_updated!BDO$2:BDO$4))</f>
        <v>38673</v>
      </c>
      <c r="BDP2">
        <f>IF(COUNT(zip_med_inc_updated!BDP$2:BDP$4)=0,"",AVERAGE(zip_med_inc_updated!BDP$2:BDP$4))</f>
        <v>57669</v>
      </c>
      <c r="BDQ2">
        <f>IF(COUNT(zip_med_inc_updated!BDQ$2:BDQ$4)=0,"",AVERAGE(zip_med_inc_updated!BDQ$2:BDQ$4))</f>
        <v>68111.666666666672</v>
      </c>
      <c r="BDR2">
        <f>IF(COUNT(zip_med_inc_updated!BDR$2:BDR$4)=0,"",AVERAGE(zip_med_inc_updated!BDR$2:BDR$4))</f>
        <v>72066.666666666672</v>
      </c>
      <c r="BDS2" t="str">
        <f>IF(COUNT(zip_med_inc_updated!BDS$2:BDS$4)=0,"",AVERAGE(zip_med_inc_updated!BDS$2:BDS$4))</f>
        <v/>
      </c>
      <c r="BDT2">
        <f>IF(COUNT(zip_med_inc_updated!BDT$2:BDT$4)=0,"",AVERAGE(zip_med_inc_updated!BDT$2:BDT$4))</f>
        <v>127647.66666666667</v>
      </c>
      <c r="BDU2">
        <f>IF(COUNT(zip_med_inc_updated!BDU$2:BDU$4)=0,"",AVERAGE(zip_med_inc_updated!BDU$2:BDU$4))</f>
        <v>93660.333333333328</v>
      </c>
      <c r="BDV2">
        <f>IF(COUNT(zip_med_inc_updated!BDV$2:BDV$4)=0,"",AVERAGE(zip_med_inc_updated!BDV$2:BDV$4))</f>
        <v>45009</v>
      </c>
      <c r="BDW2">
        <f>IF(COUNT(zip_med_inc_updated!BDW$2:BDW$4)=0,"",AVERAGE(zip_med_inc_updated!BDW$2:BDW$4))</f>
        <v>63942.666666666664</v>
      </c>
      <c r="BDX2">
        <f>IF(COUNT(zip_med_inc_updated!BDX$2:BDX$4)=0,"",AVERAGE(zip_med_inc_updated!BDX$2:BDX$4))</f>
        <v>60367.666666666664</v>
      </c>
      <c r="BDY2">
        <f>IF(COUNT(zip_med_inc_updated!BDY$2:BDY$4)=0,"",AVERAGE(zip_med_inc_updated!BDY$2:BDY$4))</f>
        <v>58758.666666666664</v>
      </c>
      <c r="BDZ2">
        <f>IF(COUNT(zip_med_inc_updated!BDZ$2:BDZ$4)=0,"",AVERAGE(zip_med_inc_updated!BDZ$2:BDZ$4))</f>
        <v>65075.666666666664</v>
      </c>
      <c r="BEA2">
        <f>IF(COUNT(zip_med_inc_updated!BEA$2:BEA$4)=0,"",AVERAGE(zip_med_inc_updated!BEA$2:BEA$4))</f>
        <v>50754</v>
      </c>
      <c r="BEB2">
        <f>IF(COUNT(zip_med_inc_updated!BEB$2:BEB$4)=0,"",AVERAGE(zip_med_inc_updated!BEB$2:BEB$4))</f>
        <v>73655</v>
      </c>
      <c r="BEC2">
        <f>IF(COUNT(zip_med_inc_updated!BEC$2:BEC$4)=0,"",AVERAGE(zip_med_inc_updated!BEC$2:BEC$4))</f>
        <v>2499</v>
      </c>
      <c r="BED2">
        <f>IF(COUNT(zip_med_inc_updated!BED$2:BED$4)=0,"",AVERAGE(zip_med_inc_updated!BED$2:BED$4))</f>
        <v>125314.33333333333</v>
      </c>
      <c r="BEE2">
        <f>IF(COUNT(zip_med_inc_updated!BEE$2:BEE$4)=0,"",AVERAGE(zip_med_inc_updated!BEE$2:BEE$4))</f>
        <v>42724.666666666664</v>
      </c>
      <c r="BEF2">
        <f>IF(COUNT(zip_med_inc_updated!BEF$2:BEF$4)=0,"",AVERAGE(zip_med_inc_updated!BEF$2:BEF$4))</f>
        <v>80431.333333333328</v>
      </c>
      <c r="BEG2">
        <f>IF(COUNT(zip_med_inc_updated!BEG$2:BEG$4)=0,"",AVERAGE(zip_med_inc_updated!BEG$2:BEG$4))</f>
        <v>96011.666666666672</v>
      </c>
      <c r="BEH2" t="str">
        <f>IF(COUNT(zip_med_inc_updated!BEH$2:BEH$4)=0,"",AVERAGE(zip_med_inc_updated!BEH$2:BEH$4))</f>
        <v/>
      </c>
      <c r="BEI2" t="str">
        <f>IF(COUNT(zip_med_inc_updated!BEI$2:BEI$4)=0,"",AVERAGE(zip_med_inc_updated!BEI$2:BEI$4))</f>
        <v/>
      </c>
      <c r="BEJ2">
        <f>IF(COUNT(zip_med_inc_updated!BEJ$2:BEJ$4)=0,"",AVERAGE(zip_med_inc_updated!BEJ$2:BEJ$4))</f>
        <v>92621.333333333328</v>
      </c>
      <c r="BEK2">
        <f>IF(COUNT(zip_med_inc_updated!BEK$2:BEK$4)=0,"",AVERAGE(zip_med_inc_updated!BEK$2:BEK$4))</f>
        <v>81256.666666666672</v>
      </c>
      <c r="BEL2" t="str">
        <f>IF(COUNT(zip_med_inc_updated!BEL$2:BEL$4)=0,"",AVERAGE(zip_med_inc_updated!BEL$2:BEL$4))</f>
        <v/>
      </c>
      <c r="BEM2">
        <f>IF(COUNT(zip_med_inc_updated!BEM$2:BEM$4)=0,"",AVERAGE(zip_med_inc_updated!BEM$2:BEM$4))</f>
        <v>68333.666666666672</v>
      </c>
      <c r="BEN2">
        <f>IF(COUNT(zip_med_inc_updated!BEN$2:BEN$4)=0,"",AVERAGE(zip_med_inc_updated!BEN$2:BEN$4))</f>
        <v>87664</v>
      </c>
      <c r="BEO2">
        <f>IF(COUNT(zip_med_inc_updated!BEO$2:BEO$4)=0,"",AVERAGE(zip_med_inc_updated!BEO$2:BEO$4))</f>
        <v>72288.666666666672</v>
      </c>
      <c r="BEP2">
        <f>IF(COUNT(zip_med_inc_updated!BEP$2:BEP$4)=0,"",AVERAGE(zip_med_inc_updated!BEP$2:BEP$4))</f>
        <v>65496.333333333336</v>
      </c>
      <c r="BEQ2">
        <f>IF(COUNT(zip_med_inc_updated!BEQ$2:BEQ$4)=0,"",AVERAGE(zip_med_inc_updated!BEQ$2:BEQ$4))</f>
        <v>75237.333333333328</v>
      </c>
      <c r="BER2">
        <f>IF(COUNT(zip_med_inc_updated!BER$2:BER$4)=0,"",AVERAGE(zip_med_inc_updated!BER$2:BER$4))</f>
        <v>93723.333333333328</v>
      </c>
      <c r="BES2">
        <f>IF(COUNT(zip_med_inc_updated!BES$2:BES$4)=0,"",AVERAGE(zip_med_inc_updated!BES$2:BES$4))</f>
        <v>155294</v>
      </c>
      <c r="BET2">
        <f>IF(COUNT(zip_med_inc_updated!BET$2:BET$4)=0,"",AVERAGE(zip_med_inc_updated!BET$2:BET$4))</f>
        <v>80907</v>
      </c>
      <c r="BEU2">
        <f>IF(COUNT(zip_med_inc_updated!BEU$2:BEU$4)=0,"",AVERAGE(zip_med_inc_updated!BEU$2:BEU$4))</f>
        <v>65692.333333333328</v>
      </c>
      <c r="BEV2">
        <f>IF(COUNT(zip_med_inc_updated!BEV$2:BEV$4)=0,"",AVERAGE(zip_med_inc_updated!BEV$2:BEV$4))</f>
        <v>95421</v>
      </c>
      <c r="BEW2">
        <f>IF(COUNT(zip_med_inc_updated!BEW$2:BEW$4)=0,"",AVERAGE(zip_med_inc_updated!BEW$2:BEW$4))</f>
        <v>120868.66666666667</v>
      </c>
      <c r="BEX2">
        <f>IF(COUNT(zip_med_inc_updated!BEX$2:BEX$4)=0,"",AVERAGE(zip_med_inc_updated!BEX$2:BEX$4))</f>
        <v>125606.33333333333</v>
      </c>
      <c r="BEY2">
        <f>IF(COUNT(zip_med_inc_updated!BEY$2:BEY$4)=0,"",AVERAGE(zip_med_inc_updated!BEY$2:BEY$4))</f>
        <v>107482.66666666667</v>
      </c>
      <c r="BEZ2">
        <f>IF(COUNT(zip_med_inc_updated!BEZ$2:BEZ$4)=0,"",AVERAGE(zip_med_inc_updated!BEZ$2:BEZ$4))</f>
        <v>80888.333333333328</v>
      </c>
      <c r="BFA2">
        <f>IF(COUNT(zip_med_inc_updated!BFA$2:BFA$4)=0,"",AVERAGE(zip_med_inc_updated!BFA$2:BFA$4))</f>
        <v>107410.66666666667</v>
      </c>
      <c r="BFB2" t="str">
        <f>IF(COUNT(zip_med_inc_updated!BFB$2:BFB$4)=0,"",AVERAGE(zip_med_inc_updated!BFB$2:BFB$4))</f>
        <v/>
      </c>
      <c r="BFC2" t="str">
        <f>IF(COUNT(zip_med_inc_updated!BFC$2:BFC$4)=0,"",AVERAGE(zip_med_inc_updated!BFC$2:BFC$4))</f>
        <v/>
      </c>
      <c r="BFD2">
        <f>IF(COUNT(zip_med_inc_updated!BFD$2:BFD$4)=0,"",AVERAGE(zip_med_inc_updated!BFD$2:BFD$4))</f>
        <v>66022.333333333328</v>
      </c>
      <c r="BFE2">
        <f>IF(COUNT(zip_med_inc_updated!BFE$2:BFE$4)=0,"",AVERAGE(zip_med_inc_updated!BFE$2:BFE$4))</f>
        <v>86108.666666666672</v>
      </c>
      <c r="BFF2">
        <f>IF(COUNT(zip_med_inc_updated!BFF$2:BFF$4)=0,"",AVERAGE(zip_med_inc_updated!BFF$2:BFF$4))</f>
        <v>63780</v>
      </c>
      <c r="BFG2">
        <f>IF(COUNT(zip_med_inc_updated!BFG$2:BFG$4)=0,"",AVERAGE(zip_med_inc_updated!BFG$2:BFG$4))</f>
        <v>70051.333333333328</v>
      </c>
      <c r="BFH2">
        <f>IF(COUNT(zip_med_inc_updated!BFH$2:BFH$4)=0,"",AVERAGE(zip_med_inc_updated!BFH$2:BFH$4))</f>
        <v>72139</v>
      </c>
      <c r="BFI2" t="str">
        <f>IF(COUNT(zip_med_inc_updated!BFI$2:BFI$4)=0,"",AVERAGE(zip_med_inc_updated!BFI$2:BFI$4))</f>
        <v/>
      </c>
      <c r="BFJ2" t="str">
        <f>IF(COUNT(zip_med_inc_updated!BFJ$2:BFJ$4)=0,"",AVERAGE(zip_med_inc_updated!BFJ$2:BFJ$4))</f>
        <v/>
      </c>
      <c r="BFK2">
        <f>IF(COUNT(zip_med_inc_updated!BFK$2:BFK$4)=0,"",AVERAGE(zip_med_inc_updated!BFK$2:BFK$4))</f>
        <v>89245.666666666672</v>
      </c>
      <c r="BFL2">
        <f>IF(COUNT(zip_med_inc_updated!BFL$2:BFL$4)=0,"",AVERAGE(zip_med_inc_updated!BFL$2:BFL$4))</f>
        <v>95839</v>
      </c>
      <c r="BFM2">
        <f>IF(COUNT(zip_med_inc_updated!BFM$2:BFM$4)=0,"",AVERAGE(zip_med_inc_updated!BFM$2:BFM$4))</f>
        <v>43022.666666666664</v>
      </c>
      <c r="BFN2">
        <f>IF(COUNT(zip_med_inc_updated!BFN$2:BFN$4)=0,"",AVERAGE(zip_med_inc_updated!BFN$2:BFN$4))</f>
        <v>58556.333333333336</v>
      </c>
      <c r="BFO2">
        <f>IF(COUNT(zip_med_inc_updated!BFO$2:BFO$4)=0,"",AVERAGE(zip_med_inc_updated!BFO$2:BFO$4))</f>
        <v>58266.666666666664</v>
      </c>
      <c r="BFP2">
        <f>IF(COUNT(zip_med_inc_updated!BFP$2:BFP$4)=0,"",AVERAGE(zip_med_inc_updated!BFP$2:BFP$4))</f>
        <v>50617.666666666664</v>
      </c>
      <c r="BFQ2">
        <f>IF(COUNT(zip_med_inc_updated!BFQ$2:BFQ$4)=0,"",AVERAGE(zip_med_inc_updated!BFQ$2:BFQ$4))</f>
        <v>45205</v>
      </c>
      <c r="BFR2">
        <f>IF(COUNT(zip_med_inc_updated!BFR$2:BFR$4)=0,"",AVERAGE(zip_med_inc_updated!BFR$2:BFR$4))</f>
        <v>69272.333333333328</v>
      </c>
      <c r="BFS2">
        <f>IF(COUNT(zip_med_inc_updated!BFS$2:BFS$4)=0,"",AVERAGE(zip_med_inc_updated!BFS$2:BFS$4))</f>
        <v>90894.666666666672</v>
      </c>
      <c r="BFT2">
        <f>IF(COUNT(zip_med_inc_updated!BFT$2:BFT$4)=0,"",AVERAGE(zip_med_inc_updated!BFT$2:BFT$4))</f>
        <v>75724.666666666672</v>
      </c>
      <c r="BFU2">
        <f>IF(COUNT(zip_med_inc_updated!BFU$2:BFU$4)=0,"",AVERAGE(zip_med_inc_updated!BFU$2:BFU$4))</f>
        <v>46544</v>
      </c>
      <c r="BFV2">
        <f>IF(COUNT(zip_med_inc_updated!BFV$2:BFV$4)=0,"",AVERAGE(zip_med_inc_updated!BFV$2:BFV$4))</f>
        <v>51523</v>
      </c>
      <c r="BFW2">
        <f>IF(COUNT(zip_med_inc_updated!BFW$2:BFW$4)=0,"",AVERAGE(zip_med_inc_updated!BFW$2:BFW$4))</f>
        <v>49824</v>
      </c>
      <c r="BFX2">
        <f>IF(COUNT(zip_med_inc_updated!BFX$2:BFX$4)=0,"",AVERAGE(zip_med_inc_updated!BFX$2:BFX$4))</f>
        <v>78543.666666666672</v>
      </c>
      <c r="BFY2" t="str">
        <f>IF(COUNT(zip_med_inc_updated!BFY$2:BFY$4)=0,"",AVERAGE(zip_med_inc_updated!BFY$2:BFY$4))</f>
        <v/>
      </c>
      <c r="BFZ2">
        <f>IF(COUNT(zip_med_inc_updated!BFZ$2:BFZ$4)=0,"",AVERAGE(zip_med_inc_updated!BFZ$2:BFZ$4))</f>
        <v>32408.666666666668</v>
      </c>
      <c r="BGA2">
        <f>IF(COUNT(zip_med_inc_updated!BGA$2:BGA$4)=0,"",AVERAGE(zip_med_inc_updated!BGA$2:BGA$4))</f>
        <v>70309.666666666672</v>
      </c>
      <c r="BGB2">
        <f>IF(COUNT(zip_med_inc_updated!BGB$2:BGB$4)=0,"",AVERAGE(zip_med_inc_updated!BGB$2:BGB$4))</f>
        <v>55400.666666666664</v>
      </c>
      <c r="BGC2">
        <f>IF(COUNT(zip_med_inc_updated!BGC$2:BGC$4)=0,"",AVERAGE(zip_med_inc_updated!BGC$2:BGC$4))</f>
        <v>38188.666666666664</v>
      </c>
      <c r="BGD2">
        <f>IF(COUNT(zip_med_inc_updated!BGD$2:BGD$4)=0,"",AVERAGE(zip_med_inc_updated!BGD$2:BGD$4))</f>
        <v>52488.666666666664</v>
      </c>
      <c r="BGE2">
        <f>IF(COUNT(zip_med_inc_updated!BGE$2:BGE$4)=0,"",AVERAGE(zip_med_inc_updated!BGE$2:BGE$4))</f>
        <v>89965</v>
      </c>
      <c r="BGF2">
        <f>IF(COUNT(zip_med_inc_updated!BGF$2:BGF$4)=0,"",AVERAGE(zip_med_inc_updated!BGF$2:BGF$4))</f>
        <v>61162</v>
      </c>
      <c r="BGG2">
        <f>IF(COUNT(zip_med_inc_updated!BGG$2:BGG$4)=0,"",AVERAGE(zip_med_inc_updated!BGG$2:BGG$4))</f>
        <v>33448.666666666664</v>
      </c>
      <c r="BGH2">
        <f>IF(COUNT(zip_med_inc_updated!BGH$2:BGH$4)=0,"",AVERAGE(zip_med_inc_updated!BGH$2:BGH$4))</f>
        <v>39229.333333333336</v>
      </c>
      <c r="BGI2">
        <f>IF(COUNT(zip_med_inc_updated!BGI$2:BGI$4)=0,"",AVERAGE(zip_med_inc_updated!BGI$2:BGI$4))</f>
        <v>42314.666666666664</v>
      </c>
      <c r="BGJ2">
        <f>IF(COUNT(zip_med_inc_updated!BGJ$2:BGJ$4)=0,"",AVERAGE(zip_med_inc_updated!BGJ$2:BGJ$4))</f>
        <v>43817.5</v>
      </c>
      <c r="BGK2">
        <f>IF(COUNT(zip_med_inc_updated!BGK$2:BGK$4)=0,"",AVERAGE(zip_med_inc_updated!BGK$2:BGK$4))</f>
        <v>92730</v>
      </c>
      <c r="BGL2">
        <f>IF(COUNT(zip_med_inc_updated!BGL$2:BGL$4)=0,"",AVERAGE(zip_med_inc_updated!BGL$2:BGL$4))</f>
        <v>52029.333333333336</v>
      </c>
      <c r="BGM2">
        <f>IF(COUNT(zip_med_inc_updated!BGM$2:BGM$4)=0,"",AVERAGE(zip_med_inc_updated!BGM$2:BGM$4))</f>
        <v>57322</v>
      </c>
      <c r="BGN2">
        <f>IF(COUNT(zip_med_inc_updated!BGN$2:BGN$4)=0,"",AVERAGE(zip_med_inc_updated!BGN$2:BGN$4))</f>
        <v>50663.666666666664</v>
      </c>
      <c r="BGO2">
        <f>IF(COUNT(zip_med_inc_updated!BGO$2:BGO$4)=0,"",AVERAGE(zip_med_inc_updated!BGO$2:BGO$4))</f>
        <v>33446</v>
      </c>
      <c r="BGP2">
        <f>IF(COUNT(zip_med_inc_updated!BGP$2:BGP$4)=0,"",AVERAGE(zip_med_inc_updated!BGP$2:BGP$4))</f>
        <v>48956.666666666664</v>
      </c>
      <c r="BGQ2">
        <f>IF(COUNT(zip_med_inc_updated!BGQ$2:BGQ$4)=0,"",AVERAGE(zip_med_inc_updated!BGQ$2:BGQ$4))</f>
        <v>47177</v>
      </c>
      <c r="BGR2">
        <f>IF(COUNT(zip_med_inc_updated!BGR$2:BGR$4)=0,"",AVERAGE(zip_med_inc_updated!BGR$2:BGR$4))</f>
        <v>72777.666666666672</v>
      </c>
      <c r="BGS2">
        <f>IF(COUNT(zip_med_inc_updated!BGS$2:BGS$4)=0,"",AVERAGE(zip_med_inc_updated!BGS$2:BGS$4))</f>
        <v>48042</v>
      </c>
      <c r="BGT2">
        <f>IF(COUNT(zip_med_inc_updated!BGT$2:BGT$4)=0,"",AVERAGE(zip_med_inc_updated!BGT$2:BGT$4))</f>
        <v>29021.666666666668</v>
      </c>
      <c r="BGU2">
        <f>IF(COUNT(zip_med_inc_updated!BGU$2:BGU$4)=0,"",AVERAGE(zip_med_inc_updated!BGU$2:BGU$4))</f>
        <v>20318</v>
      </c>
      <c r="BGV2">
        <f>IF(COUNT(zip_med_inc_updated!BGV$2:BGV$4)=0,"",AVERAGE(zip_med_inc_updated!BGV$2:BGV$4))</f>
        <v>86199.333333333328</v>
      </c>
      <c r="BGW2">
        <f>IF(COUNT(zip_med_inc_updated!BGW$2:BGW$4)=0,"",AVERAGE(zip_med_inc_updated!BGW$2:BGW$4))</f>
        <v>56125.333333333336</v>
      </c>
      <c r="BGX2">
        <f>IF(COUNT(zip_med_inc_updated!BGX$2:BGX$4)=0,"",AVERAGE(zip_med_inc_updated!BGX$2:BGX$4))</f>
        <v>38288.333333333336</v>
      </c>
      <c r="BGY2">
        <f>IF(COUNT(zip_med_inc_updated!BGY$2:BGY$4)=0,"",AVERAGE(zip_med_inc_updated!BGY$2:BGY$4))</f>
        <v>47689.666666666664</v>
      </c>
      <c r="BGZ2">
        <f>IF(COUNT(zip_med_inc_updated!BGZ$2:BGZ$4)=0,"",AVERAGE(zip_med_inc_updated!BGZ$2:BGZ$4))</f>
        <v>47176</v>
      </c>
      <c r="BHA2">
        <f>IF(COUNT(zip_med_inc_updated!BHA$2:BHA$4)=0,"",AVERAGE(zip_med_inc_updated!BHA$2:BHA$4))</f>
        <v>41313.666666666664</v>
      </c>
      <c r="BHB2">
        <f>IF(COUNT(zip_med_inc_updated!BHB$2:BHB$4)=0,"",AVERAGE(zip_med_inc_updated!BHB$2:BHB$4))</f>
        <v>44991</v>
      </c>
      <c r="BHC2">
        <f>IF(COUNT(zip_med_inc_updated!BHC$2:BHC$4)=0,"",AVERAGE(zip_med_inc_updated!BHC$2:BHC$4))</f>
        <v>62357.666666666664</v>
      </c>
      <c r="BHD2">
        <f>IF(COUNT(zip_med_inc_updated!BHD$2:BHD$4)=0,"",AVERAGE(zip_med_inc_updated!BHD$2:BHD$4))</f>
        <v>60004.333333333336</v>
      </c>
      <c r="BHE2">
        <f>IF(COUNT(zip_med_inc_updated!BHE$2:BHE$4)=0,"",AVERAGE(zip_med_inc_updated!BHE$2:BHE$4))</f>
        <v>56310</v>
      </c>
      <c r="BHF2">
        <f>IF(COUNT(zip_med_inc_updated!BHF$2:BHF$4)=0,"",AVERAGE(zip_med_inc_updated!BHF$2:BHF$4))</f>
        <v>49423</v>
      </c>
      <c r="BHG2">
        <f>IF(COUNT(zip_med_inc_updated!BHG$2:BHG$4)=0,"",AVERAGE(zip_med_inc_updated!BHG$2:BHG$4))</f>
        <v>44945.333333333336</v>
      </c>
      <c r="BHH2">
        <f>IF(COUNT(zip_med_inc_updated!BHH$2:BHH$4)=0,"",AVERAGE(zip_med_inc_updated!BHH$2:BHH$4))</f>
        <v>65279</v>
      </c>
      <c r="BHI2">
        <f>IF(COUNT(zip_med_inc_updated!BHI$2:BHI$4)=0,"",AVERAGE(zip_med_inc_updated!BHI$2:BHI$4))</f>
        <v>58224</v>
      </c>
      <c r="BHJ2">
        <f>IF(COUNT(zip_med_inc_updated!BHJ$2:BHJ$4)=0,"",AVERAGE(zip_med_inc_updated!BHJ$2:BHJ$4))</f>
        <v>59053.666666666664</v>
      </c>
      <c r="BHK2">
        <f>IF(COUNT(zip_med_inc_updated!BHK$2:BHK$4)=0,"",AVERAGE(zip_med_inc_updated!BHK$2:BHK$4))</f>
        <v>62291.666666666664</v>
      </c>
      <c r="BHL2">
        <f>IF(COUNT(zip_med_inc_updated!BHL$2:BHL$4)=0,"",AVERAGE(zip_med_inc_updated!BHL$2:BHL$4))</f>
        <v>25716.666666666668</v>
      </c>
      <c r="BHM2">
        <f>IF(COUNT(zip_med_inc_updated!BHM$2:BHM$4)=0,"",AVERAGE(zip_med_inc_updated!BHM$2:BHM$4))</f>
        <v>63174.666666666664</v>
      </c>
      <c r="BHN2">
        <f>IF(COUNT(zip_med_inc_updated!BHN$2:BHN$4)=0,"",AVERAGE(zip_med_inc_updated!BHN$2:BHN$4))</f>
        <v>77046</v>
      </c>
      <c r="BHO2">
        <f>IF(COUNT(zip_med_inc_updated!BHO$2:BHO$4)=0,"",AVERAGE(zip_med_inc_updated!BHO$2:BHO$4))</f>
        <v>59049</v>
      </c>
      <c r="BHP2">
        <f>IF(COUNT(zip_med_inc_updated!BHP$2:BHP$4)=0,"",AVERAGE(zip_med_inc_updated!BHP$2:BHP$4))</f>
        <v>72955.333333333328</v>
      </c>
      <c r="BHQ2">
        <f>IF(COUNT(zip_med_inc_updated!BHQ$2:BHQ$4)=0,"",AVERAGE(zip_med_inc_updated!BHQ$2:BHQ$4))</f>
        <v>79362</v>
      </c>
      <c r="BHR2">
        <f>IF(COUNT(zip_med_inc_updated!BHR$2:BHR$4)=0,"",AVERAGE(zip_med_inc_updated!BHR$2:BHR$4))</f>
        <v>42016.333333333336</v>
      </c>
      <c r="BHS2">
        <f>IF(COUNT(zip_med_inc_updated!BHS$2:BHS$4)=0,"",AVERAGE(zip_med_inc_updated!BHS$2:BHS$4))</f>
        <v>47637.333333333336</v>
      </c>
      <c r="BHT2">
        <f>IF(COUNT(zip_med_inc_updated!BHT$2:BHT$4)=0,"",AVERAGE(zip_med_inc_updated!BHT$2:BHT$4))</f>
        <v>48455.333333333336</v>
      </c>
      <c r="BHU2">
        <f>IF(COUNT(zip_med_inc_updated!BHU$2:BHU$4)=0,"",AVERAGE(zip_med_inc_updated!BHU$2:BHU$4))</f>
        <v>36923.666666666664</v>
      </c>
      <c r="BHV2">
        <f>IF(COUNT(zip_med_inc_updated!BHV$2:BHV$4)=0,"",AVERAGE(zip_med_inc_updated!BHV$2:BHV$4))</f>
        <v>26137.666666666668</v>
      </c>
      <c r="BHW2">
        <f>IF(COUNT(zip_med_inc_updated!BHW$2:BHW$4)=0,"",AVERAGE(zip_med_inc_updated!BHW$2:BHW$4))</f>
        <v>34126.333333333336</v>
      </c>
      <c r="BHX2">
        <f>IF(COUNT(zip_med_inc_updated!BHX$2:BHX$4)=0,"",AVERAGE(zip_med_inc_updated!BHX$2:BHX$4))</f>
        <v>21012.333333333332</v>
      </c>
      <c r="BHY2">
        <f>IF(COUNT(zip_med_inc_updated!BHY$2:BHY$4)=0,"",AVERAGE(zip_med_inc_updated!BHY$2:BHY$4))</f>
        <v>48728</v>
      </c>
      <c r="BHZ2" t="str">
        <f>IF(COUNT(zip_med_inc_updated!BHZ$2:BHZ$4)=0,"",AVERAGE(zip_med_inc_updated!BHZ$2:BHZ$4))</f>
        <v/>
      </c>
      <c r="BIA2">
        <f>IF(COUNT(zip_med_inc_updated!BIA$2:BIA$4)=0,"",AVERAGE(zip_med_inc_updated!BIA$2:BIA$4))</f>
        <v>40385</v>
      </c>
      <c r="BIB2">
        <f>IF(COUNT(zip_med_inc_updated!BIB$2:BIB$4)=0,"",AVERAGE(zip_med_inc_updated!BIB$2:BIB$4))</f>
        <v>33819.333333333336</v>
      </c>
      <c r="BIC2">
        <f>IF(COUNT(zip_med_inc_updated!BIC$2:BIC$4)=0,"",AVERAGE(zip_med_inc_updated!BIC$2:BIC$4))</f>
        <v>79202.333333333328</v>
      </c>
      <c r="BID2" t="str">
        <f>IF(COUNT(zip_med_inc_updated!BID$2:BID$4)=0,"",AVERAGE(zip_med_inc_updated!BID$2:BID$4))</f>
        <v/>
      </c>
      <c r="BIE2">
        <f>IF(COUNT(zip_med_inc_updated!BIE$2:BIE$4)=0,"",AVERAGE(zip_med_inc_updated!BIE$2:BIE$4))</f>
        <v>53721</v>
      </c>
      <c r="BIF2">
        <f>IF(COUNT(zip_med_inc_updated!BIF$2:BIF$4)=0,"",AVERAGE(zip_med_inc_updated!BIF$2:BIF$4))</f>
        <v>57902</v>
      </c>
      <c r="BIG2">
        <f>IF(COUNT(zip_med_inc_updated!BIG$2:BIG$4)=0,"",AVERAGE(zip_med_inc_updated!BIG$2:BIG$4))</f>
        <v>61645.666666666664</v>
      </c>
      <c r="BIH2">
        <f>IF(COUNT(zip_med_inc_updated!BIH$2:BIH$4)=0,"",AVERAGE(zip_med_inc_updated!BIH$2:BIH$4))</f>
        <v>55855</v>
      </c>
      <c r="BII2">
        <f>IF(COUNT(zip_med_inc_updated!BII$2:BII$4)=0,"",AVERAGE(zip_med_inc_updated!BII$2:BII$4))</f>
        <v>50598.666666666664</v>
      </c>
      <c r="BIJ2">
        <f>IF(COUNT(zip_med_inc_updated!BIJ$2:BIJ$4)=0,"",AVERAGE(zip_med_inc_updated!BIJ$2:BIJ$4))</f>
        <v>48698.333333333336</v>
      </c>
      <c r="BIK2">
        <f>IF(COUNT(zip_med_inc_updated!BIK$2:BIK$4)=0,"",AVERAGE(zip_med_inc_updated!BIK$2:BIK$4))</f>
        <v>51751.666666666664</v>
      </c>
      <c r="BIL2">
        <f>IF(COUNT(zip_med_inc_updated!BIL$2:BIL$4)=0,"",AVERAGE(zip_med_inc_updated!BIL$2:BIL$4))</f>
        <v>33160.666666666664</v>
      </c>
      <c r="BIM2">
        <f>IF(COUNT(zip_med_inc_updated!BIM$2:BIM$4)=0,"",AVERAGE(zip_med_inc_updated!BIM$2:BIM$4))</f>
        <v>63909</v>
      </c>
      <c r="BIN2">
        <f>IF(COUNT(zip_med_inc_updated!BIN$2:BIN$4)=0,"",AVERAGE(zip_med_inc_updated!BIN$2:BIN$4))</f>
        <v>47180</v>
      </c>
      <c r="BIO2">
        <f>IF(COUNT(zip_med_inc_updated!BIO$2:BIO$4)=0,"",AVERAGE(zip_med_inc_updated!BIO$2:BIO$4))</f>
        <v>40242.333333333336</v>
      </c>
      <c r="BIP2">
        <f>IF(COUNT(zip_med_inc_updated!BIP$2:BIP$4)=0,"",AVERAGE(zip_med_inc_updated!BIP$2:BIP$4))</f>
        <v>69303</v>
      </c>
      <c r="BIQ2">
        <f>IF(COUNT(zip_med_inc_updated!BIQ$2:BIQ$4)=0,"",AVERAGE(zip_med_inc_updated!BIQ$2:BIQ$4))</f>
        <v>53526</v>
      </c>
      <c r="BIR2">
        <f>IF(COUNT(zip_med_inc_updated!BIR$2:BIR$4)=0,"",AVERAGE(zip_med_inc_updated!BIR$2:BIR$4))</f>
        <v>64090</v>
      </c>
      <c r="BIS2">
        <f>IF(COUNT(zip_med_inc_updated!BIS$2:BIS$4)=0,"",AVERAGE(zip_med_inc_updated!BIS$2:BIS$4))</f>
        <v>43314.333333333336</v>
      </c>
      <c r="BIT2">
        <f>IF(COUNT(zip_med_inc_updated!BIT$2:BIT$4)=0,"",AVERAGE(zip_med_inc_updated!BIT$2:BIT$4))</f>
        <v>34557.5</v>
      </c>
      <c r="BIU2">
        <f>IF(COUNT(zip_med_inc_updated!BIU$2:BIU$4)=0,"",AVERAGE(zip_med_inc_updated!BIU$2:BIU$4))</f>
        <v>76446.666666666672</v>
      </c>
      <c r="BIV2" t="str">
        <f>IF(COUNT(zip_med_inc_updated!BIV$2:BIV$4)=0,"",AVERAGE(zip_med_inc_updated!BIV$2:BIV$4))</f>
        <v/>
      </c>
      <c r="BIW2">
        <f>IF(COUNT(zip_med_inc_updated!BIW$2:BIW$4)=0,"",AVERAGE(zip_med_inc_updated!BIW$2:BIW$4))</f>
        <v>72680.333333333328</v>
      </c>
      <c r="BIX2">
        <f>IF(COUNT(zip_med_inc_updated!BIX$2:BIX$4)=0,"",AVERAGE(zip_med_inc_updated!BIX$2:BIX$4))</f>
        <v>77199</v>
      </c>
      <c r="BIY2">
        <f>IF(COUNT(zip_med_inc_updated!BIY$2:BIY$4)=0,"",AVERAGE(zip_med_inc_updated!BIY$2:BIY$4))</f>
        <v>83021.333333333328</v>
      </c>
      <c r="BIZ2">
        <f>IF(COUNT(zip_med_inc_updated!BIZ$2:BIZ$4)=0,"",AVERAGE(zip_med_inc_updated!BIZ$2:BIZ$4))</f>
        <v>44184</v>
      </c>
      <c r="BJA2">
        <f>IF(COUNT(zip_med_inc_updated!BJA$2:BJA$4)=0,"",AVERAGE(zip_med_inc_updated!BJA$2:BJA$4))</f>
        <v>66408.333333333328</v>
      </c>
      <c r="BJB2">
        <f>IF(COUNT(zip_med_inc_updated!BJB$2:BJB$4)=0,"",AVERAGE(zip_med_inc_updated!BJB$2:BJB$4))</f>
        <v>56232.666666666664</v>
      </c>
      <c r="BJC2">
        <f>IF(COUNT(zip_med_inc_updated!BJC$2:BJC$4)=0,"",AVERAGE(zip_med_inc_updated!BJC$2:BJC$4))</f>
        <v>44893.666666666664</v>
      </c>
      <c r="BJD2">
        <f>IF(COUNT(zip_med_inc_updated!BJD$2:BJD$4)=0,"",AVERAGE(zip_med_inc_updated!BJD$2:BJD$4))</f>
        <v>53975.666666666664</v>
      </c>
      <c r="BJE2">
        <f>IF(COUNT(zip_med_inc_updated!BJE$2:BJE$4)=0,"",AVERAGE(zip_med_inc_updated!BJE$2:BJE$4))</f>
        <v>103779.33333333333</v>
      </c>
      <c r="BJF2">
        <f>IF(COUNT(zip_med_inc_updated!BJF$2:BJF$4)=0,"",AVERAGE(zip_med_inc_updated!BJF$2:BJF$4))</f>
        <v>61868.666666666664</v>
      </c>
      <c r="BJG2">
        <f>IF(COUNT(zip_med_inc_updated!BJG$2:BJG$4)=0,"",AVERAGE(zip_med_inc_updated!BJG$2:BJG$4))</f>
        <v>123348.66666666667</v>
      </c>
      <c r="BJH2">
        <f>IF(COUNT(zip_med_inc_updated!BJH$2:BJH$4)=0,"",AVERAGE(zip_med_inc_updated!BJH$2:BJH$4))</f>
        <v>52755.333333333336</v>
      </c>
      <c r="BJI2">
        <f>IF(COUNT(zip_med_inc_updated!BJI$2:BJI$4)=0,"",AVERAGE(zip_med_inc_updated!BJI$2:BJI$4))</f>
        <v>76317.666666666672</v>
      </c>
      <c r="BJJ2">
        <f>IF(COUNT(zip_med_inc_updated!BJJ$2:BJJ$4)=0,"",AVERAGE(zip_med_inc_updated!BJJ$2:BJJ$4))</f>
        <v>50792</v>
      </c>
      <c r="BJK2">
        <f>IF(COUNT(zip_med_inc_updated!BJK$2:BJK$4)=0,"",AVERAGE(zip_med_inc_updated!BJK$2:BJK$4))</f>
        <v>64612</v>
      </c>
      <c r="BJL2">
        <f>IF(COUNT(zip_med_inc_updated!BJL$2:BJL$4)=0,"",AVERAGE(zip_med_inc_updated!BJL$2:BJL$4))</f>
        <v>57751.666666666664</v>
      </c>
      <c r="BJM2">
        <f>IF(COUNT(zip_med_inc_updated!BJM$2:BJM$4)=0,"",AVERAGE(zip_med_inc_updated!BJM$2:BJM$4))</f>
        <v>65372</v>
      </c>
      <c r="BJN2">
        <f>IF(COUNT(zip_med_inc_updated!BJN$2:BJN$4)=0,"",AVERAGE(zip_med_inc_updated!BJN$2:BJN$4))</f>
        <v>40435</v>
      </c>
      <c r="BJO2">
        <f>IF(COUNT(zip_med_inc_updated!BJO$2:BJO$4)=0,"",AVERAGE(zip_med_inc_updated!BJO$2:BJO$4))</f>
        <v>39641.333333333336</v>
      </c>
      <c r="BJP2">
        <f>IF(COUNT(zip_med_inc_updated!BJP$2:BJP$4)=0,"",AVERAGE(zip_med_inc_updated!BJP$2:BJP$4))</f>
        <v>51078.333333333336</v>
      </c>
      <c r="BJQ2">
        <f>IF(COUNT(zip_med_inc_updated!BJQ$2:BJQ$4)=0,"",AVERAGE(zip_med_inc_updated!BJQ$2:BJQ$4))</f>
        <v>63147.666666666664</v>
      </c>
      <c r="BJR2">
        <f>IF(COUNT(zip_med_inc_updated!BJR$2:BJR$4)=0,"",AVERAGE(zip_med_inc_updated!BJR$2:BJR$4))</f>
        <v>70839</v>
      </c>
      <c r="BJS2">
        <f>IF(COUNT(zip_med_inc_updated!BJS$2:BJS$4)=0,"",AVERAGE(zip_med_inc_updated!BJS$2:BJS$4))</f>
        <v>85280.333333333328</v>
      </c>
      <c r="BJT2">
        <f>IF(COUNT(zip_med_inc_updated!BJT$2:BJT$4)=0,"",AVERAGE(zip_med_inc_updated!BJT$2:BJT$4))</f>
        <v>83343</v>
      </c>
      <c r="BJU2">
        <f>IF(COUNT(zip_med_inc_updated!BJU$2:BJU$4)=0,"",AVERAGE(zip_med_inc_updated!BJU$2:BJU$4))</f>
        <v>111178</v>
      </c>
      <c r="BJV2">
        <f>IF(COUNT(zip_med_inc_updated!BJV$2:BJV$4)=0,"",AVERAGE(zip_med_inc_updated!BJV$2:BJV$4))</f>
        <v>84625</v>
      </c>
      <c r="BJW2">
        <f>IF(COUNT(zip_med_inc_updated!BJW$2:BJW$4)=0,"",AVERAGE(zip_med_inc_updated!BJW$2:BJW$4))</f>
        <v>43680.333333333336</v>
      </c>
      <c r="BJX2">
        <f>IF(COUNT(zip_med_inc_updated!BJX$2:BJX$4)=0,"",AVERAGE(zip_med_inc_updated!BJX$2:BJX$4))</f>
        <v>78251.666666666672</v>
      </c>
      <c r="BJY2">
        <f>IF(COUNT(zip_med_inc_updated!BJY$2:BJY$4)=0,"",AVERAGE(zip_med_inc_updated!BJY$2:BJY$4))</f>
        <v>93594</v>
      </c>
      <c r="BJZ2">
        <f>IF(COUNT(zip_med_inc_updated!BJZ$2:BJZ$4)=0,"",AVERAGE(zip_med_inc_updated!BJZ$2:BJZ$4))</f>
        <v>36801.333333333336</v>
      </c>
      <c r="BKA2">
        <f>IF(COUNT(zip_med_inc_updated!BKA$2:BKA$4)=0,"",AVERAGE(zip_med_inc_updated!BKA$2:BKA$4))</f>
        <v>108013.33333333333</v>
      </c>
      <c r="BKB2">
        <f>IF(COUNT(zip_med_inc_updated!BKB$2:BKB$4)=0,"",AVERAGE(zip_med_inc_updated!BKB$2:BKB$4))</f>
        <v>88814.333333333328</v>
      </c>
      <c r="BKC2">
        <f>IF(COUNT(zip_med_inc_updated!BKC$2:BKC$4)=0,"",AVERAGE(zip_med_inc_updated!BKC$2:BKC$4))</f>
        <v>71627.5</v>
      </c>
      <c r="BKD2">
        <f>IF(COUNT(zip_med_inc_updated!BKD$2:BKD$4)=0,"",AVERAGE(zip_med_inc_updated!BKD$2:BKD$4))</f>
        <v>40425.666666666664</v>
      </c>
      <c r="BKE2">
        <f>IF(COUNT(zip_med_inc_updated!BKE$2:BKE$4)=0,"",AVERAGE(zip_med_inc_updated!BKE$2:BKE$4))</f>
        <v>67075.5</v>
      </c>
      <c r="BKF2">
        <f>IF(COUNT(zip_med_inc_updated!BKF$2:BKF$4)=0,"",AVERAGE(zip_med_inc_updated!BKF$2:BKF$4))</f>
        <v>67218.666666666672</v>
      </c>
      <c r="BKG2">
        <f>IF(COUNT(zip_med_inc_updated!BKG$2:BKG$4)=0,"",AVERAGE(zip_med_inc_updated!BKG$2:BKG$4))</f>
        <v>79172</v>
      </c>
      <c r="BKH2">
        <f>IF(COUNT(zip_med_inc_updated!BKH$2:BKH$4)=0,"",AVERAGE(zip_med_inc_updated!BKH$2:BKH$4))</f>
        <v>24751</v>
      </c>
      <c r="BKI2">
        <f>IF(COUNT(zip_med_inc_updated!BKI$2:BKI$4)=0,"",AVERAGE(zip_med_inc_updated!BKI$2:BKI$4))</f>
        <v>34066</v>
      </c>
      <c r="BKJ2">
        <f>IF(COUNT(zip_med_inc_updated!BKJ$2:BKJ$4)=0,"",AVERAGE(zip_med_inc_updated!BKJ$2:BKJ$4))</f>
        <v>61740</v>
      </c>
      <c r="BKK2">
        <f>IF(COUNT(zip_med_inc_updated!BKK$2:BKK$4)=0,"",AVERAGE(zip_med_inc_updated!BKK$2:BKK$4))</f>
        <v>33679.666666666664</v>
      </c>
      <c r="BKL2">
        <f>IF(COUNT(zip_med_inc_updated!BKL$2:BKL$4)=0,"",AVERAGE(zip_med_inc_updated!BKL$2:BKL$4))</f>
        <v>63026.5</v>
      </c>
      <c r="BKM2">
        <f>IF(COUNT(zip_med_inc_updated!BKM$2:BKM$4)=0,"",AVERAGE(zip_med_inc_updated!BKM$2:BKM$4))</f>
        <v>79891.666666666672</v>
      </c>
      <c r="BKN2">
        <f>IF(COUNT(zip_med_inc_updated!BKN$2:BKN$4)=0,"",AVERAGE(zip_med_inc_updated!BKN$2:BKN$4))</f>
        <v>80267.333333333328</v>
      </c>
      <c r="BKO2">
        <f>IF(COUNT(zip_med_inc_updated!BKO$2:BKO$4)=0,"",AVERAGE(zip_med_inc_updated!BKO$2:BKO$4))</f>
        <v>92091.333333333328</v>
      </c>
      <c r="BKP2">
        <f>IF(COUNT(zip_med_inc_updated!BKP$2:BKP$4)=0,"",AVERAGE(zip_med_inc_updated!BKP$2:BKP$4))</f>
        <v>52116.333333333336</v>
      </c>
      <c r="BKQ2">
        <f>IF(COUNT(zip_med_inc_updated!BKQ$2:BKQ$4)=0,"",AVERAGE(zip_med_inc_updated!BKQ$2:BKQ$4))</f>
        <v>57339</v>
      </c>
      <c r="BKR2">
        <f>IF(COUNT(zip_med_inc_updated!BKR$2:BKR$4)=0,"",AVERAGE(zip_med_inc_updated!BKR$2:BKR$4))</f>
        <v>70651.666666666672</v>
      </c>
      <c r="BKS2">
        <f>IF(COUNT(zip_med_inc_updated!BKS$2:BKS$4)=0,"",AVERAGE(zip_med_inc_updated!BKS$2:BKS$4))</f>
        <v>77925.333333333328</v>
      </c>
      <c r="BKT2" t="str">
        <f>IF(COUNT(zip_med_inc_updated!BKT$2:BKT$4)=0,"",AVERAGE(zip_med_inc_updated!BKT$2:BKT$4))</f>
        <v/>
      </c>
      <c r="BKU2">
        <f>IF(COUNT(zip_med_inc_updated!BKU$2:BKU$4)=0,"",AVERAGE(zip_med_inc_updated!BKU$2:BKU$4))</f>
        <v>43673.666666666664</v>
      </c>
      <c r="BKV2">
        <f>IF(COUNT(zip_med_inc_updated!BKV$2:BKV$4)=0,"",AVERAGE(zip_med_inc_updated!BKV$2:BKV$4))</f>
        <v>58532.333333333336</v>
      </c>
      <c r="BKW2">
        <f>IF(COUNT(zip_med_inc_updated!BKW$2:BKW$4)=0,"",AVERAGE(zip_med_inc_updated!BKW$2:BKW$4))</f>
        <v>48071.666666666664</v>
      </c>
      <c r="BKX2">
        <f>IF(COUNT(zip_med_inc_updated!BKX$2:BKX$4)=0,"",AVERAGE(zip_med_inc_updated!BKX$2:BKX$4))</f>
        <v>54899.333333333336</v>
      </c>
      <c r="BKY2">
        <f>IF(COUNT(zip_med_inc_updated!BKY$2:BKY$4)=0,"",AVERAGE(zip_med_inc_updated!BKY$2:BKY$4))</f>
        <v>50073.333333333336</v>
      </c>
      <c r="BKZ2">
        <f>IF(COUNT(zip_med_inc_updated!BKZ$2:BKZ$4)=0,"",AVERAGE(zip_med_inc_updated!BKZ$2:BKZ$4))</f>
        <v>55815</v>
      </c>
      <c r="BLA2">
        <f>IF(COUNT(zip_med_inc_updated!BLA$2:BLA$4)=0,"",AVERAGE(zip_med_inc_updated!BLA$2:BLA$4))</f>
        <v>46307</v>
      </c>
      <c r="BLB2">
        <f>IF(COUNT(zip_med_inc_updated!BLB$2:BLB$4)=0,"",AVERAGE(zip_med_inc_updated!BLB$2:BLB$4))</f>
        <v>81831</v>
      </c>
      <c r="BLC2">
        <f>IF(COUNT(zip_med_inc_updated!BLC$2:BLC$4)=0,"",AVERAGE(zip_med_inc_updated!BLC$2:BLC$4))</f>
        <v>53515.333333333336</v>
      </c>
      <c r="BLD2" t="str">
        <f>IF(COUNT(zip_med_inc_updated!BLD$2:BLD$4)=0,"",AVERAGE(zip_med_inc_updated!BLD$2:BLD$4))</f>
        <v/>
      </c>
      <c r="BLE2">
        <f>IF(COUNT(zip_med_inc_updated!BLE$2:BLE$4)=0,"",AVERAGE(zip_med_inc_updated!BLE$2:BLE$4))</f>
        <v>53449</v>
      </c>
      <c r="BLF2" t="str">
        <f>IF(COUNT(zip_med_inc_updated!BLF$2:BLF$4)=0,"",AVERAGE(zip_med_inc_updated!BLF$2:BLF$4))</f>
        <v/>
      </c>
      <c r="BLG2">
        <f>IF(COUNT(zip_med_inc_updated!BLG$2:BLG$4)=0,"",AVERAGE(zip_med_inc_updated!BLG$2:BLG$4))</f>
        <v>52895.333333333336</v>
      </c>
      <c r="BLH2">
        <f>IF(COUNT(zip_med_inc_updated!BLH$2:BLH$4)=0,"",AVERAGE(zip_med_inc_updated!BLH$2:BLH$4))</f>
        <v>58152.666666666664</v>
      </c>
      <c r="BLI2">
        <f>IF(COUNT(zip_med_inc_updated!BLI$2:BLI$4)=0,"",AVERAGE(zip_med_inc_updated!BLI$2:BLI$4))</f>
        <v>60663.666666666664</v>
      </c>
      <c r="BLJ2" t="str">
        <f>IF(COUNT(zip_med_inc_updated!BLJ$2:BLJ$4)=0,"",AVERAGE(zip_med_inc_updated!BLJ$2:BLJ$4))</f>
        <v/>
      </c>
      <c r="BLK2">
        <f>IF(COUNT(zip_med_inc_updated!BLK$2:BLK$4)=0,"",AVERAGE(zip_med_inc_updated!BLK$2:BLK$4))</f>
        <v>76470.333333333328</v>
      </c>
      <c r="BLL2">
        <f>IF(COUNT(zip_med_inc_updated!BLL$2:BLL$4)=0,"",AVERAGE(zip_med_inc_updated!BLL$2:BLL$4))</f>
        <v>89751.333333333328</v>
      </c>
      <c r="BLM2">
        <f>IF(COUNT(zip_med_inc_updated!BLM$2:BLM$4)=0,"",AVERAGE(zip_med_inc_updated!BLM$2:BLM$4))</f>
        <v>113645.66666666667</v>
      </c>
      <c r="BLN2">
        <f>IF(COUNT(zip_med_inc_updated!BLN$2:BLN$4)=0,"",AVERAGE(zip_med_inc_updated!BLN$2:BLN$4))</f>
        <v>70011.666666666672</v>
      </c>
      <c r="BLO2">
        <f>IF(COUNT(zip_med_inc_updated!BLO$2:BLO$4)=0,"",AVERAGE(zip_med_inc_updated!BLO$2:BLO$4))</f>
        <v>67875.333333333328</v>
      </c>
      <c r="BLP2">
        <f>IF(COUNT(zip_med_inc_updated!BLP$2:BLP$4)=0,"",AVERAGE(zip_med_inc_updated!BLP$2:BLP$4))</f>
        <v>59849.333333333336</v>
      </c>
      <c r="BLQ2">
        <f>IF(COUNT(zip_med_inc_updated!BLQ$2:BLQ$4)=0,"",AVERAGE(zip_med_inc_updated!BLQ$2:BLQ$4))</f>
        <v>145030.66666666666</v>
      </c>
      <c r="BLR2">
        <f>IF(COUNT(zip_med_inc_updated!BLR$2:BLR$4)=0,"",AVERAGE(zip_med_inc_updated!BLR$2:BLR$4))</f>
        <v>110804.66666666667</v>
      </c>
      <c r="BLS2" t="str">
        <f>IF(COUNT(zip_med_inc_updated!BLS$2:BLS$4)=0,"",AVERAGE(zip_med_inc_updated!BLS$2:BLS$4))</f>
        <v/>
      </c>
      <c r="BLT2">
        <f>IF(COUNT(zip_med_inc_updated!BLT$2:BLT$4)=0,"",AVERAGE(zip_med_inc_updated!BLT$2:BLT$4))</f>
        <v>57479.666666666664</v>
      </c>
      <c r="BLU2" t="str">
        <f>IF(COUNT(zip_med_inc_updated!BLU$2:BLU$4)=0,"",AVERAGE(zip_med_inc_updated!BLU$2:BLU$4))</f>
        <v/>
      </c>
      <c r="BLV2">
        <f>IF(COUNT(zip_med_inc_updated!BLV$2:BLV$4)=0,"",AVERAGE(zip_med_inc_updated!BLV$2:BLV$4))</f>
        <v>20833</v>
      </c>
      <c r="BLW2">
        <f>IF(COUNT(zip_med_inc_updated!BLW$2:BLW$4)=0,"",AVERAGE(zip_med_inc_updated!BLW$2:BLW$4))</f>
        <v>42597.333333333336</v>
      </c>
      <c r="BLX2">
        <f>IF(COUNT(zip_med_inc_updated!BLX$2:BLX$4)=0,"",AVERAGE(zip_med_inc_updated!BLX$2:BLX$4))</f>
        <v>46702</v>
      </c>
      <c r="BLY2">
        <f>IF(COUNT(zip_med_inc_updated!BLY$2:BLY$4)=0,"",AVERAGE(zip_med_inc_updated!BLY$2:BLY$4))</f>
        <v>58817</v>
      </c>
      <c r="BLZ2">
        <f>IF(COUNT(zip_med_inc_updated!BLZ$2:BLZ$4)=0,"",AVERAGE(zip_med_inc_updated!BLZ$2:BLZ$4))</f>
        <v>88989</v>
      </c>
      <c r="BMA2">
        <f>IF(COUNT(zip_med_inc_updated!BMA$2:BMA$4)=0,"",AVERAGE(zip_med_inc_updated!BMA$2:BMA$4))</f>
        <v>82846.666666666672</v>
      </c>
      <c r="BMB2">
        <f>IF(COUNT(zip_med_inc_updated!BMB$2:BMB$4)=0,"",AVERAGE(zip_med_inc_updated!BMB$2:BMB$4))</f>
        <v>67990.666666666672</v>
      </c>
      <c r="BMC2">
        <f>IF(COUNT(zip_med_inc_updated!BMC$2:BMC$4)=0,"",AVERAGE(zip_med_inc_updated!BMC$2:BMC$4))</f>
        <v>52263</v>
      </c>
      <c r="BMD2" t="str">
        <f>IF(COUNT(zip_med_inc_updated!BMD$2:BMD$4)=0,"",AVERAGE(zip_med_inc_updated!BMD$2:BMD$4))</f>
        <v/>
      </c>
      <c r="BME2">
        <f>IF(COUNT(zip_med_inc_updated!BME$2:BME$4)=0,"",AVERAGE(zip_med_inc_updated!BME$2:BME$4))</f>
        <v>139285.33333333334</v>
      </c>
      <c r="BMF2" t="str">
        <f>IF(COUNT(zip_med_inc_updated!BMF$2:BMF$4)=0,"",AVERAGE(zip_med_inc_updated!BMF$2:BMF$4))</f>
        <v/>
      </c>
      <c r="BMG2">
        <f>IF(COUNT(zip_med_inc_updated!BMG$2:BMG$4)=0,"",AVERAGE(zip_med_inc_updated!BMG$2:BMG$4))</f>
        <v>29990.666666666668</v>
      </c>
      <c r="BMH2">
        <f>IF(COUNT(zip_med_inc_updated!BMH$2:BMH$4)=0,"",AVERAGE(zip_med_inc_updated!BMH$2:BMH$4))</f>
        <v>117870.66666666667</v>
      </c>
      <c r="BMI2">
        <f>IF(COUNT(zip_med_inc_updated!BMI$2:BMI$4)=0,"",AVERAGE(zip_med_inc_updated!BMI$2:BMI$4))</f>
        <v>97703</v>
      </c>
      <c r="BMJ2">
        <f>IF(COUNT(zip_med_inc_updated!BMJ$2:BMJ$4)=0,"",AVERAGE(zip_med_inc_updated!BMJ$2:BMJ$4))</f>
        <v>74950.666666666672</v>
      </c>
      <c r="BMK2">
        <f>IF(COUNT(zip_med_inc_updated!BMK$2:BMK$4)=0,"",AVERAGE(zip_med_inc_updated!BMK$2:BMK$4))</f>
        <v>68337.333333333328</v>
      </c>
      <c r="BML2">
        <f>IF(COUNT(zip_med_inc_updated!BML$2:BML$4)=0,"",AVERAGE(zip_med_inc_updated!BML$2:BML$4))</f>
        <v>61291.333333333336</v>
      </c>
      <c r="BMM2">
        <f>IF(COUNT(zip_med_inc_updated!BMM$2:BMM$4)=0,"",AVERAGE(zip_med_inc_updated!BMM$2:BMM$4))</f>
        <v>59171</v>
      </c>
      <c r="BMN2">
        <f>IF(COUNT(zip_med_inc_updated!BMN$2:BMN$4)=0,"",AVERAGE(zip_med_inc_updated!BMN$2:BMN$4))</f>
        <v>57991</v>
      </c>
      <c r="BMO2">
        <f>IF(COUNT(zip_med_inc_updated!BMO$2:BMO$4)=0,"",AVERAGE(zip_med_inc_updated!BMO$2:BMO$4))</f>
        <v>72500</v>
      </c>
      <c r="BMP2">
        <f>IF(COUNT(zip_med_inc_updated!BMP$2:BMP$4)=0,"",AVERAGE(zip_med_inc_updated!BMP$2:BMP$4))</f>
        <v>52737.666666666664</v>
      </c>
      <c r="BMQ2">
        <f>IF(COUNT(zip_med_inc_updated!BMQ$2:BMQ$4)=0,"",AVERAGE(zip_med_inc_updated!BMQ$2:BMQ$4))</f>
        <v>51074</v>
      </c>
      <c r="BMR2">
        <f>IF(COUNT(zip_med_inc_updated!BMR$2:BMR$4)=0,"",AVERAGE(zip_med_inc_updated!BMR$2:BMR$4))</f>
        <v>61196</v>
      </c>
      <c r="BMS2">
        <f>IF(COUNT(zip_med_inc_updated!BMS$2:BMS$4)=0,"",AVERAGE(zip_med_inc_updated!BMS$2:BMS$4))</f>
        <v>70064.666666666672</v>
      </c>
      <c r="BMT2">
        <f>IF(COUNT(zip_med_inc_updated!BMT$2:BMT$4)=0,"",AVERAGE(zip_med_inc_updated!BMT$2:BMT$4))</f>
        <v>54386.666666666664</v>
      </c>
      <c r="BMU2">
        <f>IF(COUNT(zip_med_inc_updated!BMU$2:BMU$4)=0,"",AVERAGE(zip_med_inc_updated!BMU$2:BMU$4))</f>
        <v>109965.66666666667</v>
      </c>
      <c r="BMV2">
        <f>IF(COUNT(zip_med_inc_updated!BMV$2:BMV$4)=0,"",AVERAGE(zip_med_inc_updated!BMV$2:BMV$4))</f>
        <v>58250</v>
      </c>
      <c r="BMW2">
        <f>IF(COUNT(zip_med_inc_updated!BMW$2:BMW$4)=0,"",AVERAGE(zip_med_inc_updated!BMW$2:BMW$4))</f>
        <v>73697</v>
      </c>
      <c r="BMX2">
        <f>IF(COUNT(zip_med_inc_updated!BMX$2:BMX$4)=0,"",AVERAGE(zip_med_inc_updated!BMX$2:BMX$4))</f>
        <v>131698.66666666666</v>
      </c>
      <c r="BMY2">
        <f>IF(COUNT(zip_med_inc_updated!BMY$2:BMY$4)=0,"",AVERAGE(zip_med_inc_updated!BMY$2:BMY$4))</f>
        <v>104425.66666666667</v>
      </c>
      <c r="BMZ2">
        <f>IF(COUNT(zip_med_inc_updated!BMZ$2:BMZ$4)=0,"",AVERAGE(zip_med_inc_updated!BMZ$2:BMZ$4))</f>
        <v>101899</v>
      </c>
      <c r="BNA2" t="str">
        <f>IF(COUNT(zip_med_inc_updated!BNA$2:BNA$4)=0,"",AVERAGE(zip_med_inc_updated!BNA$2:BNA$4))</f>
        <v/>
      </c>
      <c r="BNB2">
        <f>IF(COUNT(zip_med_inc_updated!BNB$2:BNB$4)=0,"",AVERAGE(zip_med_inc_updated!BNB$2:BNB$4))</f>
        <v>29604.666666666668</v>
      </c>
      <c r="BNC2">
        <f>IF(COUNT(zip_med_inc_updated!BNC$2:BNC$4)=0,"",AVERAGE(zip_med_inc_updated!BNC$2:BNC$4))</f>
        <v>82065.333333333328</v>
      </c>
      <c r="BND2">
        <f>IF(COUNT(zip_med_inc_updated!BND$2:BND$4)=0,"",AVERAGE(zip_med_inc_updated!BND$2:BND$4))</f>
        <v>73443</v>
      </c>
      <c r="BNE2">
        <f>IF(COUNT(zip_med_inc_updated!BNE$2:BNE$4)=0,"",AVERAGE(zip_med_inc_updated!BNE$2:BNE$4))</f>
        <v>58991</v>
      </c>
      <c r="BNF2">
        <f>IF(COUNT(zip_med_inc_updated!BNF$2:BNF$4)=0,"",AVERAGE(zip_med_inc_updated!BNF$2:BNF$4))</f>
        <v>85116</v>
      </c>
      <c r="BNG2">
        <f>IF(COUNT(zip_med_inc_updated!BNG$2:BNG$4)=0,"",AVERAGE(zip_med_inc_updated!BNG$2:BNG$4))</f>
        <v>108911.66666666667</v>
      </c>
      <c r="BNH2">
        <f>IF(COUNT(zip_med_inc_updated!BNH$2:BNH$4)=0,"",AVERAGE(zip_med_inc_updated!BNH$2:BNH$4))</f>
        <v>45472.666666666664</v>
      </c>
      <c r="BNI2">
        <f>IF(COUNT(zip_med_inc_updated!BNI$2:BNI$4)=0,"",AVERAGE(zip_med_inc_updated!BNI$2:BNI$4))</f>
        <v>75012</v>
      </c>
      <c r="BNJ2">
        <f>IF(COUNT(zip_med_inc_updated!BNJ$2:BNJ$4)=0,"",AVERAGE(zip_med_inc_updated!BNJ$2:BNJ$4))</f>
        <v>77555.333333333328</v>
      </c>
      <c r="BNK2">
        <f>IF(COUNT(zip_med_inc_updated!BNK$2:BNK$4)=0,"",AVERAGE(zip_med_inc_updated!BNK$2:BNK$4))</f>
        <v>82143.666666666672</v>
      </c>
      <c r="BNL2">
        <f>IF(COUNT(zip_med_inc_updated!BNL$2:BNL$4)=0,"",AVERAGE(zip_med_inc_updated!BNL$2:BNL$4))</f>
        <v>74484</v>
      </c>
      <c r="BNM2">
        <f>IF(COUNT(zip_med_inc_updated!BNM$2:BNM$4)=0,"",AVERAGE(zip_med_inc_updated!BNM$2:BNM$4))</f>
        <v>58617.333333333336</v>
      </c>
      <c r="BNN2">
        <f>IF(COUNT(zip_med_inc_updated!BNN$2:BNN$4)=0,"",AVERAGE(zip_med_inc_updated!BNN$2:BNN$4))</f>
        <v>71994.333333333328</v>
      </c>
      <c r="BNO2">
        <f>IF(COUNT(zip_med_inc_updated!BNO$2:BNO$4)=0,"",AVERAGE(zip_med_inc_updated!BNO$2:BNO$4))</f>
        <v>54347</v>
      </c>
      <c r="BNP2">
        <f>IF(COUNT(zip_med_inc_updated!BNP$2:BNP$4)=0,"",AVERAGE(zip_med_inc_updated!BNP$2:BNP$4))</f>
        <v>79083.333333333328</v>
      </c>
      <c r="BNQ2">
        <f>IF(COUNT(zip_med_inc_updated!BNQ$2:BNQ$4)=0,"",AVERAGE(zip_med_inc_updated!BNQ$2:BNQ$4))</f>
        <v>60536</v>
      </c>
      <c r="BNR2">
        <f>IF(COUNT(zip_med_inc_updated!BNR$2:BNR$4)=0,"",AVERAGE(zip_med_inc_updated!BNR$2:BNR$4))</f>
        <v>79672.666666666672</v>
      </c>
      <c r="BNS2">
        <f>IF(COUNT(zip_med_inc_updated!BNS$2:BNS$4)=0,"",AVERAGE(zip_med_inc_updated!BNS$2:BNS$4))</f>
        <v>70851.333333333328</v>
      </c>
      <c r="BNT2">
        <f>IF(COUNT(zip_med_inc_updated!BNT$2:BNT$4)=0,"",AVERAGE(zip_med_inc_updated!BNT$2:BNT$4))</f>
        <v>64578.333333333336</v>
      </c>
      <c r="BNU2">
        <f>IF(COUNT(zip_med_inc_updated!BNU$2:BNU$4)=0,"",AVERAGE(zip_med_inc_updated!BNU$2:BNU$4))</f>
        <v>54692.333333333336</v>
      </c>
      <c r="BNV2">
        <f>IF(COUNT(zip_med_inc_updated!BNV$2:BNV$4)=0,"",AVERAGE(zip_med_inc_updated!BNV$2:BNV$4))</f>
        <v>51646</v>
      </c>
      <c r="BNW2">
        <f>IF(COUNT(zip_med_inc_updated!BNW$2:BNW$4)=0,"",AVERAGE(zip_med_inc_updated!BNW$2:BNW$4))</f>
        <v>66959.666666666672</v>
      </c>
      <c r="BNX2">
        <f>IF(COUNT(zip_med_inc_updated!BNX$2:BNX$4)=0,"",AVERAGE(zip_med_inc_updated!BNX$2:BNX$4))</f>
        <v>60967.333333333336</v>
      </c>
      <c r="BNY2">
        <f>IF(COUNT(zip_med_inc_updated!BNY$2:BNY$4)=0,"",AVERAGE(zip_med_inc_updated!BNY$2:BNY$4))</f>
        <v>51930</v>
      </c>
      <c r="BNZ2">
        <f>IF(COUNT(zip_med_inc_updated!BNZ$2:BNZ$4)=0,"",AVERAGE(zip_med_inc_updated!BNZ$2:BNZ$4))</f>
        <v>55093.666666666664</v>
      </c>
      <c r="BOA2">
        <f>IF(COUNT(zip_med_inc_updated!BOA$2:BOA$4)=0,"",AVERAGE(zip_med_inc_updated!BOA$2:BOA$4))</f>
        <v>62293.666666666664</v>
      </c>
      <c r="BOB2">
        <f>IF(COUNT(zip_med_inc_updated!BOB$2:BOB$4)=0,"",AVERAGE(zip_med_inc_updated!BOB$2:BOB$4))</f>
        <v>39221</v>
      </c>
      <c r="BOC2">
        <f>IF(COUNT(zip_med_inc_updated!BOC$2:BOC$4)=0,"",AVERAGE(zip_med_inc_updated!BOC$2:BOC$4))</f>
        <v>73436.333333333328</v>
      </c>
      <c r="BOD2">
        <f>IF(COUNT(zip_med_inc_updated!BOD$2:BOD$4)=0,"",AVERAGE(zip_med_inc_updated!BOD$2:BOD$4))</f>
        <v>79097.666666666672</v>
      </c>
      <c r="BOE2">
        <f>IF(COUNT(zip_med_inc_updated!BOE$2:BOE$4)=0,"",AVERAGE(zip_med_inc_updated!BOE$2:BOE$4))</f>
        <v>86206</v>
      </c>
      <c r="BOF2">
        <f>IF(COUNT(zip_med_inc_updated!BOF$2:BOF$4)=0,"",AVERAGE(zip_med_inc_updated!BOF$2:BOF$4))</f>
        <v>52512.666666666664</v>
      </c>
      <c r="BOG2">
        <f>IF(COUNT(zip_med_inc_updated!BOG$2:BOG$4)=0,"",AVERAGE(zip_med_inc_updated!BOG$2:BOG$4))</f>
        <v>62231</v>
      </c>
      <c r="BOH2">
        <f>IF(COUNT(zip_med_inc_updated!BOH$2:BOH$4)=0,"",AVERAGE(zip_med_inc_updated!BOH$2:BOH$4))</f>
        <v>55972</v>
      </c>
      <c r="BOI2">
        <f>IF(COUNT(zip_med_inc_updated!BOI$2:BOI$4)=0,"",AVERAGE(zip_med_inc_updated!BOI$2:BOI$4))</f>
        <v>36831.666666666664</v>
      </c>
      <c r="BOJ2">
        <f>IF(COUNT(zip_med_inc_updated!BOJ$2:BOJ$4)=0,"",AVERAGE(zip_med_inc_updated!BOJ$2:BOJ$4))</f>
        <v>147112.33333333334</v>
      </c>
      <c r="BOK2">
        <f>IF(COUNT(zip_med_inc_updated!BOK$2:BOK$4)=0,"",AVERAGE(zip_med_inc_updated!BOK$2:BOK$4))</f>
        <v>68757</v>
      </c>
      <c r="BOL2">
        <f>IF(COUNT(zip_med_inc_updated!BOL$2:BOL$4)=0,"",AVERAGE(zip_med_inc_updated!BOL$2:BOL$4))</f>
        <v>100957.66666666667</v>
      </c>
      <c r="BOM2">
        <f>IF(COUNT(zip_med_inc_updated!BOM$2:BOM$4)=0,"",AVERAGE(zip_med_inc_updated!BOM$2:BOM$4))</f>
        <v>102687.66666666667</v>
      </c>
      <c r="BON2">
        <f>IF(COUNT(zip_med_inc_updated!BON$2:BON$4)=0,"",AVERAGE(zip_med_inc_updated!BON$2:BON$4))</f>
        <v>86180</v>
      </c>
      <c r="BOO2">
        <f>IF(COUNT(zip_med_inc_updated!BOO$2:BOO$4)=0,"",AVERAGE(zip_med_inc_updated!BOO$2:BOO$4))</f>
        <v>72173</v>
      </c>
      <c r="BOP2">
        <f>IF(COUNT(zip_med_inc_updated!BOP$2:BOP$4)=0,"",AVERAGE(zip_med_inc_updated!BOP$2:BOP$4))</f>
        <v>52943</v>
      </c>
      <c r="BOQ2">
        <f>IF(COUNT(zip_med_inc_updated!BOQ$2:BOQ$4)=0,"",AVERAGE(zip_med_inc_updated!BOQ$2:BOQ$4))</f>
        <v>215736</v>
      </c>
      <c r="BOR2">
        <f>IF(COUNT(zip_med_inc_updated!BOR$2:BOR$4)=0,"",AVERAGE(zip_med_inc_updated!BOR$2:BOR$4))</f>
        <v>51863</v>
      </c>
      <c r="BOS2">
        <f>IF(COUNT(zip_med_inc_updated!BOS$2:BOS$4)=0,"",AVERAGE(zip_med_inc_updated!BOS$2:BOS$4))</f>
        <v>97362.333333333328</v>
      </c>
      <c r="BOT2">
        <f>IF(COUNT(zip_med_inc_updated!BOT$2:BOT$4)=0,"",AVERAGE(zip_med_inc_updated!BOT$2:BOT$4))</f>
        <v>95006.333333333328</v>
      </c>
      <c r="BOU2">
        <f>IF(COUNT(zip_med_inc_updated!BOU$2:BOU$4)=0,"",AVERAGE(zip_med_inc_updated!BOU$2:BOU$4))</f>
        <v>127647.66666666667</v>
      </c>
      <c r="BOV2">
        <f>IF(COUNT(zip_med_inc_updated!BOV$2:BOV$4)=0,"",AVERAGE(zip_med_inc_updated!BOV$2:BOV$4))</f>
        <v>51057</v>
      </c>
      <c r="BOW2">
        <f>IF(COUNT(zip_med_inc_updated!BOW$2:BOW$4)=0,"",AVERAGE(zip_med_inc_updated!BOW$2:BOW$4))</f>
        <v>54822</v>
      </c>
      <c r="BOX2">
        <f>IF(COUNT(zip_med_inc_updated!BOX$2:BOX$4)=0,"",AVERAGE(zip_med_inc_updated!BOX$2:BOX$4))</f>
        <v>82248</v>
      </c>
      <c r="BOY2">
        <f>IF(COUNT(zip_med_inc_updated!BOY$2:BOY$4)=0,"",AVERAGE(zip_med_inc_updated!BOY$2:BOY$4))</f>
        <v>66360.666666666672</v>
      </c>
      <c r="BOZ2">
        <f>IF(COUNT(zip_med_inc_updated!BOZ$2:BOZ$4)=0,"",AVERAGE(zip_med_inc_updated!BOZ$2:BOZ$4))</f>
        <v>63117</v>
      </c>
      <c r="BPA2">
        <f>IF(COUNT(zip_med_inc_updated!BPA$2:BPA$4)=0,"",AVERAGE(zip_med_inc_updated!BPA$2:BPA$4))</f>
        <v>61353.333333333336</v>
      </c>
      <c r="BPB2" t="str">
        <f>IF(COUNT(zip_med_inc_updated!BPB$2:BPB$4)=0,"",AVERAGE(zip_med_inc_updated!BPB$2:BPB$4))</f>
        <v/>
      </c>
      <c r="BPC2">
        <f>IF(COUNT(zip_med_inc_updated!BPC$2:BPC$4)=0,"",AVERAGE(zip_med_inc_updated!BPC$2:BPC$4))</f>
        <v>116009.66666666667</v>
      </c>
      <c r="BPD2">
        <f>IF(COUNT(zip_med_inc_updated!BPD$2:BPD$4)=0,"",AVERAGE(zip_med_inc_updated!BPD$2:BPD$4))</f>
        <v>74852</v>
      </c>
      <c r="BPE2" t="str">
        <f>IF(COUNT(zip_med_inc_updated!BPE$2:BPE$4)=0,"",AVERAGE(zip_med_inc_updated!BPE$2:BPE$4))</f>
        <v/>
      </c>
      <c r="BPF2">
        <f>IF(COUNT(zip_med_inc_updated!BPF$2:BPF$4)=0,"",AVERAGE(zip_med_inc_updated!BPF$2:BPF$4))</f>
        <v>66539.666666666672</v>
      </c>
      <c r="BPG2">
        <f>IF(COUNT(zip_med_inc_updated!BPG$2:BPG$4)=0,"",AVERAGE(zip_med_inc_updated!BPG$2:BPG$4))</f>
        <v>79713.333333333328</v>
      </c>
      <c r="BPH2">
        <f>IF(COUNT(zip_med_inc_updated!BPH$2:BPH$4)=0,"",AVERAGE(zip_med_inc_updated!BPH$2:BPH$4))</f>
        <v>127073.66666666667</v>
      </c>
      <c r="BPI2">
        <f>IF(COUNT(zip_med_inc_updated!BPI$2:BPI$4)=0,"",AVERAGE(zip_med_inc_updated!BPI$2:BPI$4))</f>
        <v>85303.666666666672</v>
      </c>
      <c r="BPJ2" t="str">
        <f>IF(COUNT(zip_med_inc_updated!BPJ$2:BPJ$4)=0,"",AVERAGE(zip_med_inc_updated!BPJ$2:BPJ$4))</f>
        <v/>
      </c>
      <c r="BPK2">
        <f>IF(COUNT(zip_med_inc_updated!BPK$2:BPK$4)=0,"",AVERAGE(zip_med_inc_updated!BPK$2:BPK$4))</f>
        <v>122739.66666666667</v>
      </c>
      <c r="BPL2">
        <f>IF(COUNT(zip_med_inc_updated!BPL$2:BPL$4)=0,"",AVERAGE(zip_med_inc_updated!BPL$2:BPL$4))</f>
        <v>121137.33333333333</v>
      </c>
      <c r="BPM2" t="str">
        <f>IF(COUNT(zip_med_inc_updated!BPM$2:BPM$4)=0,"",AVERAGE(zip_med_inc_updated!BPM$2:BPM$4))</f>
        <v/>
      </c>
      <c r="BPN2" t="str">
        <f>IF(COUNT(zip_med_inc_updated!BPN$2:BPN$4)=0,"",AVERAGE(zip_med_inc_updated!BPN$2:BPN$4))</f>
        <v/>
      </c>
      <c r="BPO2">
        <f>IF(COUNT(zip_med_inc_updated!BPO$2:BPO$4)=0,"",AVERAGE(zip_med_inc_updated!BPO$2:BPO$4))</f>
        <v>36967</v>
      </c>
      <c r="BPP2">
        <f>IF(COUNT(zip_med_inc_updated!BPP$2:BPP$4)=0,"",AVERAGE(zip_med_inc_updated!BPP$2:BPP$4))</f>
        <v>54034.666666666664</v>
      </c>
      <c r="BPQ2">
        <f>IF(COUNT(zip_med_inc_updated!BPQ$2:BPQ$4)=0,"",AVERAGE(zip_med_inc_updated!BPQ$2:BPQ$4))</f>
        <v>56958</v>
      </c>
      <c r="BPR2">
        <f>IF(COUNT(zip_med_inc_updated!BPR$2:BPR$4)=0,"",AVERAGE(zip_med_inc_updated!BPR$2:BPR$4))</f>
        <v>71846</v>
      </c>
      <c r="BPS2">
        <f>IF(COUNT(zip_med_inc_updated!BPS$2:BPS$4)=0,"",AVERAGE(zip_med_inc_updated!BPS$2:BPS$4))</f>
        <v>63924</v>
      </c>
      <c r="BPT2">
        <f>IF(COUNT(zip_med_inc_updated!BPT$2:BPT$4)=0,"",AVERAGE(zip_med_inc_updated!BPT$2:BPT$4))</f>
        <v>49753</v>
      </c>
      <c r="BPU2" t="str">
        <f>IF(COUNT(zip_med_inc_updated!BPU$2:BPU$4)=0,"",AVERAGE(zip_med_inc_updated!BPU$2:BPU$4))</f>
        <v/>
      </c>
      <c r="BPV2" t="str">
        <f>IF(COUNT(zip_med_inc_updated!BPV$2:BPV$4)=0,"",AVERAGE(zip_med_inc_updated!BPV$2:BPV$4))</f>
        <v/>
      </c>
      <c r="BPW2">
        <f>IF(COUNT(zip_med_inc_updated!BPW$2:BPW$4)=0,"",AVERAGE(zip_med_inc_updated!BPW$2:BPW$4))</f>
        <v>59350.666666666664</v>
      </c>
      <c r="BPX2">
        <f>IF(COUNT(zip_med_inc_updated!BPX$2:BPX$4)=0,"",AVERAGE(zip_med_inc_updated!BPX$2:BPX$4))</f>
        <v>64948.333333333336</v>
      </c>
      <c r="BPY2">
        <f>IF(COUNT(zip_med_inc_updated!BPY$2:BPY$4)=0,"",AVERAGE(zip_med_inc_updated!BPY$2:BPY$4))</f>
        <v>59812</v>
      </c>
      <c r="BPZ2">
        <f>IF(COUNT(zip_med_inc_updated!BPZ$2:BPZ$4)=0,"",AVERAGE(zip_med_inc_updated!BPZ$2:BPZ$4))</f>
        <v>73091</v>
      </c>
      <c r="BQA2">
        <f>IF(COUNT(zip_med_inc_updated!BQA$2:BQA$4)=0,"",AVERAGE(zip_med_inc_updated!BQA$2:BQA$4))</f>
        <v>60698.333333333336</v>
      </c>
      <c r="BQB2">
        <f>IF(COUNT(zip_med_inc_updated!BQB$2:BQB$4)=0,"",AVERAGE(zip_med_inc_updated!BQB$2:BQB$4))</f>
        <v>55813</v>
      </c>
      <c r="BQC2">
        <f>IF(COUNT(zip_med_inc_updated!BQC$2:BQC$4)=0,"",AVERAGE(zip_med_inc_updated!BQC$2:BQC$4))</f>
        <v>62941</v>
      </c>
      <c r="BQD2">
        <f>IF(COUNT(zip_med_inc_updated!BQD$2:BQD$4)=0,"",AVERAGE(zip_med_inc_updated!BQD$2:BQD$4))</f>
        <v>49101.5</v>
      </c>
      <c r="BQE2">
        <f>IF(COUNT(zip_med_inc_updated!BQE$2:BQE$4)=0,"",AVERAGE(zip_med_inc_updated!BQE$2:BQE$4))</f>
        <v>76966</v>
      </c>
      <c r="BQF2">
        <f>IF(COUNT(zip_med_inc_updated!BQF$2:BQF$4)=0,"",AVERAGE(zip_med_inc_updated!BQF$2:BQF$4))</f>
        <v>84012.333333333328</v>
      </c>
      <c r="BQG2">
        <f>IF(COUNT(zip_med_inc_updated!BQG$2:BQG$4)=0,"",AVERAGE(zip_med_inc_updated!BQG$2:BQG$4))</f>
        <v>49388.666666666664</v>
      </c>
      <c r="BQH2" t="str">
        <f>IF(COUNT(zip_med_inc_updated!BQH$2:BQH$4)=0,"",AVERAGE(zip_med_inc_updated!BQH$2:BQH$4))</f>
        <v/>
      </c>
      <c r="BQI2" t="str">
        <f>IF(COUNT(zip_med_inc_updated!BQI$2:BQI$4)=0,"",AVERAGE(zip_med_inc_updated!BQI$2:BQI$4))</f>
        <v/>
      </c>
      <c r="BQJ2">
        <f>IF(COUNT(zip_med_inc_updated!BQJ$2:BQJ$4)=0,"",AVERAGE(zip_med_inc_updated!BQJ$2:BQJ$4))</f>
        <v>64813.666666666664</v>
      </c>
      <c r="BQK2">
        <f>IF(COUNT(zip_med_inc_updated!BQK$2:BQK$4)=0,"",AVERAGE(zip_med_inc_updated!BQK$2:BQK$4))</f>
        <v>42828.666666666664</v>
      </c>
      <c r="BQL2">
        <f>IF(COUNT(zip_med_inc_updated!BQL$2:BQL$4)=0,"",AVERAGE(zip_med_inc_updated!BQL$2:BQL$4))</f>
        <v>52366.333333333336</v>
      </c>
      <c r="BQM2">
        <f>IF(COUNT(zip_med_inc_updated!BQM$2:BQM$4)=0,"",AVERAGE(zip_med_inc_updated!BQM$2:BQM$4))</f>
        <v>36737.666666666664</v>
      </c>
      <c r="BQN2">
        <f>IF(COUNT(zip_med_inc_updated!BQN$2:BQN$4)=0,"",AVERAGE(zip_med_inc_updated!BQN$2:BQN$4))</f>
        <v>58017.333333333336</v>
      </c>
      <c r="BQO2">
        <f>IF(COUNT(zip_med_inc_updated!BQO$2:BQO$4)=0,"",AVERAGE(zip_med_inc_updated!BQO$2:BQO$4))</f>
        <v>50358</v>
      </c>
      <c r="BQP2">
        <f>IF(COUNT(zip_med_inc_updated!BQP$2:BQP$4)=0,"",AVERAGE(zip_med_inc_updated!BQP$2:BQP$4))</f>
        <v>37606.666666666664</v>
      </c>
      <c r="BQQ2">
        <f>IF(COUNT(zip_med_inc_updated!BQQ$2:BQQ$4)=0,"",AVERAGE(zip_med_inc_updated!BQQ$2:BQQ$4))</f>
        <v>53916.666666666664</v>
      </c>
      <c r="BQR2">
        <f>IF(COUNT(zip_med_inc_updated!BQR$2:BQR$4)=0,"",AVERAGE(zip_med_inc_updated!BQR$2:BQR$4))</f>
        <v>96914.666666666672</v>
      </c>
      <c r="BQS2">
        <f>IF(COUNT(zip_med_inc_updated!BQS$2:BQS$4)=0,"",AVERAGE(zip_med_inc_updated!BQS$2:BQS$4))</f>
        <v>35062.666666666664</v>
      </c>
      <c r="BQT2">
        <f>IF(COUNT(zip_med_inc_updated!BQT$2:BQT$4)=0,"",AVERAGE(zip_med_inc_updated!BQT$2:BQT$4))</f>
        <v>47821.666666666664</v>
      </c>
      <c r="BQU2">
        <f>IF(COUNT(zip_med_inc_updated!BQU$2:BQU$4)=0,"",AVERAGE(zip_med_inc_updated!BQU$2:BQU$4))</f>
        <v>38645.333333333336</v>
      </c>
      <c r="BQV2">
        <f>IF(COUNT(zip_med_inc_updated!BQV$2:BQV$4)=0,"",AVERAGE(zip_med_inc_updated!BQV$2:BQV$4))</f>
        <v>38662</v>
      </c>
      <c r="BQW2">
        <f>IF(COUNT(zip_med_inc_updated!BQW$2:BQW$4)=0,"",AVERAGE(zip_med_inc_updated!BQW$2:BQW$4))</f>
        <v>65583</v>
      </c>
      <c r="BQX2">
        <f>IF(COUNT(zip_med_inc_updated!BQX$2:BQX$4)=0,"",AVERAGE(zip_med_inc_updated!BQX$2:BQX$4))</f>
        <v>59915.666666666664</v>
      </c>
      <c r="BQY2" t="str">
        <f>IF(COUNT(zip_med_inc_updated!BQY$2:BQY$4)=0,"",AVERAGE(zip_med_inc_updated!BQY$2:BQY$4))</f>
        <v/>
      </c>
      <c r="BQZ2">
        <f>IF(COUNT(zip_med_inc_updated!BQZ$2:BQZ$4)=0,"",AVERAGE(zip_med_inc_updated!BQZ$2:BQZ$4))</f>
        <v>46114.666666666664</v>
      </c>
      <c r="BRA2">
        <f>IF(COUNT(zip_med_inc_updated!BRA$2:BRA$4)=0,"",AVERAGE(zip_med_inc_updated!BRA$2:BRA$4))</f>
        <v>42052.333333333336</v>
      </c>
      <c r="BRB2" t="str">
        <f>IF(COUNT(zip_med_inc_updated!BRB$2:BRB$4)=0,"",AVERAGE(zip_med_inc_updated!BRB$2:BRB$4))</f>
        <v/>
      </c>
      <c r="BRC2">
        <f>IF(COUNT(zip_med_inc_updated!BRC$2:BRC$4)=0,"",AVERAGE(zip_med_inc_updated!BRC$2:BRC$4))</f>
        <v>65625.666666666672</v>
      </c>
      <c r="BRD2">
        <f>IF(COUNT(zip_med_inc_updated!BRD$2:BRD$4)=0,"",AVERAGE(zip_med_inc_updated!BRD$2:BRD$4))</f>
        <v>47880</v>
      </c>
      <c r="BRE2">
        <f>IF(COUNT(zip_med_inc_updated!BRE$2:BRE$4)=0,"",AVERAGE(zip_med_inc_updated!BRE$2:BRE$4))</f>
        <v>46939.333333333336</v>
      </c>
      <c r="BRF2" t="str">
        <f>IF(COUNT(zip_med_inc_updated!BRF$2:BRF$4)=0,"",AVERAGE(zip_med_inc_updated!BRF$2:BRF$4))</f>
        <v/>
      </c>
      <c r="BRG2">
        <f>IF(COUNT(zip_med_inc_updated!BRG$2:BRG$4)=0,"",AVERAGE(zip_med_inc_updated!BRG$2:BRG$4))</f>
        <v>45947.666666666664</v>
      </c>
      <c r="BRH2">
        <f>IF(COUNT(zip_med_inc_updated!BRH$2:BRH$4)=0,"",AVERAGE(zip_med_inc_updated!BRH$2:BRH$4))</f>
        <v>34097.333333333336</v>
      </c>
      <c r="BRI2">
        <f>IF(COUNT(zip_med_inc_updated!BRI$2:BRI$4)=0,"",AVERAGE(zip_med_inc_updated!BRI$2:BRI$4))</f>
        <v>46384.666666666664</v>
      </c>
      <c r="BRJ2">
        <f>IF(COUNT(zip_med_inc_updated!BRJ$2:BRJ$4)=0,"",AVERAGE(zip_med_inc_updated!BRJ$2:BRJ$4))</f>
        <v>34649</v>
      </c>
      <c r="BRK2">
        <f>IF(COUNT(zip_med_inc_updated!BRK$2:BRK$4)=0,"",AVERAGE(zip_med_inc_updated!BRK$2:BRK$4))</f>
        <v>50971</v>
      </c>
      <c r="BRL2">
        <f>IF(COUNT(zip_med_inc_updated!BRL$2:BRL$4)=0,"",AVERAGE(zip_med_inc_updated!BRL$2:BRL$4))</f>
        <v>56998</v>
      </c>
      <c r="BRM2">
        <f>IF(COUNT(zip_med_inc_updated!BRM$2:BRM$4)=0,"",AVERAGE(zip_med_inc_updated!BRM$2:BRM$4))</f>
        <v>53750</v>
      </c>
      <c r="BRN2">
        <f>IF(COUNT(zip_med_inc_updated!BRN$2:BRN$4)=0,"",AVERAGE(zip_med_inc_updated!BRN$2:BRN$4))</f>
        <v>75111.5</v>
      </c>
      <c r="BRO2">
        <f>IF(COUNT(zip_med_inc_updated!BRO$2:BRO$4)=0,"",AVERAGE(zip_med_inc_updated!BRO$2:BRO$4))</f>
        <v>40895.333333333336</v>
      </c>
      <c r="BRP2">
        <f>IF(COUNT(zip_med_inc_updated!BRP$2:BRP$4)=0,"",AVERAGE(zip_med_inc_updated!BRP$2:BRP$4))</f>
        <v>56905</v>
      </c>
      <c r="BRQ2">
        <f>IF(COUNT(zip_med_inc_updated!BRQ$2:BRQ$4)=0,"",AVERAGE(zip_med_inc_updated!BRQ$2:BRQ$4))</f>
        <v>34066.666666666664</v>
      </c>
      <c r="BRR2">
        <f>IF(COUNT(zip_med_inc_updated!BRR$2:BRR$4)=0,"",AVERAGE(zip_med_inc_updated!BRR$2:BRR$4))</f>
        <v>76681</v>
      </c>
      <c r="BRS2">
        <f>IF(COUNT(zip_med_inc_updated!BRS$2:BRS$4)=0,"",AVERAGE(zip_med_inc_updated!BRS$2:BRS$4))</f>
        <v>107177</v>
      </c>
      <c r="BRT2">
        <f>IF(COUNT(zip_med_inc_updated!BRT$2:BRT$4)=0,"",AVERAGE(zip_med_inc_updated!BRT$2:BRT$4))</f>
        <v>68885.666666666672</v>
      </c>
      <c r="BRU2">
        <f>IF(COUNT(zip_med_inc_updated!BRU$2:BRU$4)=0,"",AVERAGE(zip_med_inc_updated!BRU$2:BRU$4))</f>
        <v>62563.666666666664</v>
      </c>
      <c r="BRV2">
        <f>IF(COUNT(zip_med_inc_updated!BRV$2:BRV$4)=0,"",AVERAGE(zip_med_inc_updated!BRV$2:BRV$4))</f>
        <v>35528.333333333336</v>
      </c>
      <c r="BRW2" t="str">
        <f>IF(COUNT(zip_med_inc_updated!BRW$2:BRW$4)=0,"",AVERAGE(zip_med_inc_updated!BRW$2:BRW$4))</f>
        <v/>
      </c>
      <c r="BRX2">
        <f>IF(COUNT(zip_med_inc_updated!BRX$2:BRX$4)=0,"",AVERAGE(zip_med_inc_updated!BRX$2:BRX$4))</f>
        <v>47201</v>
      </c>
      <c r="BRY2">
        <f>IF(COUNT(zip_med_inc_updated!BRY$2:BRY$4)=0,"",AVERAGE(zip_med_inc_updated!BRY$2:BRY$4))</f>
        <v>71242.333333333328</v>
      </c>
      <c r="BRZ2">
        <f>IF(COUNT(zip_med_inc_updated!BRZ$2:BRZ$4)=0,"",AVERAGE(zip_med_inc_updated!BRZ$2:BRZ$4))</f>
        <v>37352.333333333336</v>
      </c>
      <c r="BSA2">
        <f>IF(COUNT(zip_med_inc_updated!BSA$2:BSA$4)=0,"",AVERAGE(zip_med_inc_updated!BSA$2:BSA$4))</f>
        <v>47076</v>
      </c>
      <c r="BSB2">
        <f>IF(COUNT(zip_med_inc_updated!BSB$2:BSB$4)=0,"",AVERAGE(zip_med_inc_updated!BSB$2:BSB$4))</f>
        <v>69533.333333333328</v>
      </c>
      <c r="BSC2">
        <f>IF(COUNT(zip_med_inc_updated!BSC$2:BSC$4)=0,"",AVERAGE(zip_med_inc_updated!BSC$2:BSC$4))</f>
        <v>30273.333333333332</v>
      </c>
      <c r="BSD2">
        <f>IF(COUNT(zip_med_inc_updated!BSD$2:BSD$4)=0,"",AVERAGE(zip_med_inc_updated!BSD$2:BSD$4))</f>
        <v>74825.666666666672</v>
      </c>
      <c r="BSE2">
        <f>IF(COUNT(zip_med_inc_updated!BSE$2:BSE$4)=0,"",AVERAGE(zip_med_inc_updated!BSE$2:BSE$4))</f>
        <v>58423</v>
      </c>
      <c r="BSF2">
        <f>IF(COUNT(zip_med_inc_updated!BSF$2:BSF$4)=0,"",AVERAGE(zip_med_inc_updated!BSF$2:BSF$4))</f>
        <v>70166.333333333328</v>
      </c>
      <c r="BSG2">
        <f>IF(COUNT(zip_med_inc_updated!BSG$2:BSG$4)=0,"",AVERAGE(zip_med_inc_updated!BSG$2:BSG$4))</f>
        <v>72019</v>
      </c>
      <c r="BSH2">
        <f>IF(COUNT(zip_med_inc_updated!BSH$2:BSH$4)=0,"",AVERAGE(zip_med_inc_updated!BSH$2:BSH$4))</f>
        <v>35579</v>
      </c>
      <c r="BSI2">
        <f>IF(COUNT(zip_med_inc_updated!BSI$2:BSI$4)=0,"",AVERAGE(zip_med_inc_updated!BSI$2:BSI$4))</f>
        <v>78183.333333333328</v>
      </c>
      <c r="BSJ2">
        <f>IF(COUNT(zip_med_inc_updated!BSJ$2:BSJ$4)=0,"",AVERAGE(zip_med_inc_updated!BSJ$2:BSJ$4))</f>
        <v>82053.333333333328</v>
      </c>
      <c r="BSK2">
        <f>IF(COUNT(zip_med_inc_updated!BSK$2:BSK$4)=0,"",AVERAGE(zip_med_inc_updated!BSK$2:BSK$4))</f>
        <v>57053.333333333336</v>
      </c>
      <c r="BSL2">
        <f>IF(COUNT(zip_med_inc_updated!BSL$2:BSL$4)=0,"",AVERAGE(zip_med_inc_updated!BSL$2:BSL$4))</f>
        <v>44355</v>
      </c>
      <c r="BSM2">
        <f>IF(COUNT(zip_med_inc_updated!BSM$2:BSM$4)=0,"",AVERAGE(zip_med_inc_updated!BSM$2:BSM$4))</f>
        <v>40885.666666666664</v>
      </c>
      <c r="BSN2">
        <f>IF(COUNT(zip_med_inc_updated!BSN$2:BSN$4)=0,"",AVERAGE(zip_med_inc_updated!BSN$2:BSN$4))</f>
        <v>52290</v>
      </c>
      <c r="BSO2">
        <f>IF(COUNT(zip_med_inc_updated!BSO$2:BSO$4)=0,"",AVERAGE(zip_med_inc_updated!BSO$2:BSO$4))</f>
        <v>52097.333333333336</v>
      </c>
      <c r="BSP2">
        <f>IF(COUNT(zip_med_inc_updated!BSP$2:BSP$4)=0,"",AVERAGE(zip_med_inc_updated!BSP$2:BSP$4))</f>
        <v>67645.333333333328</v>
      </c>
      <c r="BSQ2">
        <f>IF(COUNT(zip_med_inc_updated!BSQ$2:BSQ$4)=0,"",AVERAGE(zip_med_inc_updated!BSQ$2:BSQ$4))</f>
        <v>107028.33333333333</v>
      </c>
      <c r="BSR2">
        <f>IF(COUNT(zip_med_inc_updated!BSR$2:BSR$4)=0,"",AVERAGE(zip_med_inc_updated!BSR$2:BSR$4))</f>
        <v>94236</v>
      </c>
      <c r="BSS2">
        <f>IF(COUNT(zip_med_inc_updated!BSS$2:BSS$4)=0,"",AVERAGE(zip_med_inc_updated!BSS$2:BSS$4))</f>
        <v>67294</v>
      </c>
      <c r="BST2">
        <f>IF(COUNT(zip_med_inc_updated!BST$2:BST$4)=0,"",AVERAGE(zip_med_inc_updated!BST$2:BST$4))</f>
        <v>52207.666666666664</v>
      </c>
      <c r="BSU2">
        <f>IF(COUNT(zip_med_inc_updated!BSU$2:BSU$4)=0,"",AVERAGE(zip_med_inc_updated!BSU$2:BSU$4))</f>
        <v>58127.333333333336</v>
      </c>
      <c r="BSV2">
        <f>IF(COUNT(zip_med_inc_updated!BSV$2:BSV$4)=0,"",AVERAGE(zip_med_inc_updated!BSV$2:BSV$4))</f>
        <v>68195.666666666672</v>
      </c>
      <c r="BSW2">
        <f>IF(COUNT(zip_med_inc_updated!BSW$2:BSW$4)=0,"",AVERAGE(zip_med_inc_updated!BSW$2:BSW$4))</f>
        <v>45952.666666666664</v>
      </c>
      <c r="BSX2">
        <f>IF(COUNT(zip_med_inc_updated!BSX$2:BSX$4)=0,"",AVERAGE(zip_med_inc_updated!BSX$2:BSX$4))</f>
        <v>46450.666666666664</v>
      </c>
      <c r="BSY2">
        <f>IF(COUNT(zip_med_inc_updated!BSY$2:BSY$4)=0,"",AVERAGE(zip_med_inc_updated!BSY$2:BSY$4))</f>
        <v>65130.333333333336</v>
      </c>
      <c r="BSZ2">
        <f>IF(COUNT(zip_med_inc_updated!BSZ$2:BSZ$4)=0,"",AVERAGE(zip_med_inc_updated!BSZ$2:BSZ$4))</f>
        <v>89413.666666666672</v>
      </c>
      <c r="BTA2">
        <f>IF(COUNT(zip_med_inc_updated!BTA$2:BTA$4)=0,"",AVERAGE(zip_med_inc_updated!BTA$2:BTA$4))</f>
        <v>69607.666666666672</v>
      </c>
      <c r="BTB2">
        <f>IF(COUNT(zip_med_inc_updated!BTB$2:BTB$4)=0,"",AVERAGE(zip_med_inc_updated!BTB$2:BTB$4))</f>
        <v>64723.333333333336</v>
      </c>
      <c r="BTC2">
        <f>IF(COUNT(zip_med_inc_updated!BTC$2:BTC$4)=0,"",AVERAGE(zip_med_inc_updated!BTC$2:BTC$4))</f>
        <v>34948.666666666664</v>
      </c>
      <c r="BTD2">
        <f>IF(COUNT(zip_med_inc_updated!BTD$2:BTD$4)=0,"",AVERAGE(zip_med_inc_updated!BTD$2:BTD$4))</f>
        <v>75572</v>
      </c>
      <c r="BTE2">
        <f>IF(COUNT(zip_med_inc_updated!BTE$2:BTE$4)=0,"",AVERAGE(zip_med_inc_updated!BTE$2:BTE$4))</f>
        <v>41233.666666666664</v>
      </c>
      <c r="BTF2">
        <f>IF(COUNT(zip_med_inc_updated!BTF$2:BTF$4)=0,"",AVERAGE(zip_med_inc_updated!BTF$2:BTF$4))</f>
        <v>44661.333333333336</v>
      </c>
      <c r="BTG2">
        <f>IF(COUNT(zip_med_inc_updated!BTG$2:BTG$4)=0,"",AVERAGE(zip_med_inc_updated!BTG$2:BTG$4))</f>
        <v>43341</v>
      </c>
      <c r="BTH2">
        <f>IF(COUNT(zip_med_inc_updated!BTH$2:BTH$4)=0,"",AVERAGE(zip_med_inc_updated!BTH$2:BTH$4))</f>
        <v>67695.666666666672</v>
      </c>
      <c r="BTI2">
        <f>IF(COUNT(zip_med_inc_updated!BTI$2:BTI$4)=0,"",AVERAGE(zip_med_inc_updated!BTI$2:BTI$4))</f>
        <v>56299.666666666664</v>
      </c>
      <c r="BTJ2">
        <f>IF(COUNT(zip_med_inc_updated!BTJ$2:BTJ$4)=0,"",AVERAGE(zip_med_inc_updated!BTJ$2:BTJ$4))</f>
        <v>29328.666666666668</v>
      </c>
      <c r="BTK2">
        <f>IF(COUNT(zip_med_inc_updated!BTK$2:BTK$4)=0,"",AVERAGE(zip_med_inc_updated!BTK$2:BTK$4))</f>
        <v>45140.333333333336</v>
      </c>
      <c r="BTL2">
        <f>IF(COUNT(zip_med_inc_updated!BTL$2:BTL$4)=0,"",AVERAGE(zip_med_inc_updated!BTL$2:BTL$4))</f>
        <v>53772.333333333336</v>
      </c>
      <c r="BTM2">
        <f>IF(COUNT(zip_med_inc_updated!BTM$2:BTM$4)=0,"",AVERAGE(zip_med_inc_updated!BTM$2:BTM$4))</f>
        <v>88677</v>
      </c>
      <c r="BTN2">
        <f>IF(COUNT(zip_med_inc_updated!BTN$2:BTN$4)=0,"",AVERAGE(zip_med_inc_updated!BTN$2:BTN$4))</f>
        <v>53606.333333333336</v>
      </c>
      <c r="BTO2">
        <f>IF(COUNT(zip_med_inc_updated!BTO$2:BTO$4)=0,"",AVERAGE(zip_med_inc_updated!BTO$2:BTO$4))</f>
        <v>84328.666666666672</v>
      </c>
      <c r="BTP2">
        <f>IF(COUNT(zip_med_inc_updated!BTP$2:BTP$4)=0,"",AVERAGE(zip_med_inc_updated!BTP$2:BTP$4))</f>
        <v>65515.333333333336</v>
      </c>
      <c r="BTQ2">
        <f>IF(COUNT(zip_med_inc_updated!BTQ$2:BTQ$4)=0,"",AVERAGE(zip_med_inc_updated!BTQ$2:BTQ$4))</f>
        <v>47788.666666666664</v>
      </c>
      <c r="BTR2">
        <f>IF(COUNT(zip_med_inc_updated!BTR$2:BTR$4)=0,"",AVERAGE(zip_med_inc_updated!BTR$2:BTR$4))</f>
        <v>105184</v>
      </c>
      <c r="BTS2">
        <f>IF(COUNT(zip_med_inc_updated!BTS$2:BTS$4)=0,"",AVERAGE(zip_med_inc_updated!BTS$2:BTS$4))</f>
        <v>69379.333333333328</v>
      </c>
      <c r="BTT2">
        <f>IF(COUNT(zip_med_inc_updated!BTT$2:BTT$4)=0,"",AVERAGE(zip_med_inc_updated!BTT$2:BTT$4))</f>
        <v>76798.333333333328</v>
      </c>
      <c r="BTU2">
        <f>IF(COUNT(zip_med_inc_updated!BTU$2:BTU$4)=0,"",AVERAGE(zip_med_inc_updated!BTU$2:BTU$4))</f>
        <v>46641</v>
      </c>
      <c r="BTV2">
        <f>IF(COUNT(zip_med_inc_updated!BTV$2:BTV$4)=0,"",AVERAGE(zip_med_inc_updated!BTV$2:BTV$4))</f>
        <v>50290.666666666664</v>
      </c>
      <c r="BTW2">
        <f>IF(COUNT(zip_med_inc_updated!BTW$2:BTW$4)=0,"",AVERAGE(zip_med_inc_updated!BTW$2:BTW$4))</f>
        <v>67249.333333333328</v>
      </c>
      <c r="BTX2">
        <f>IF(COUNT(zip_med_inc_updated!BTX$2:BTX$4)=0,"",AVERAGE(zip_med_inc_updated!BTX$2:BTX$4))</f>
        <v>47281.333333333336</v>
      </c>
      <c r="BTY2">
        <f>IF(COUNT(zip_med_inc_updated!BTY$2:BTY$4)=0,"",AVERAGE(zip_med_inc_updated!BTY$2:BTY$4))</f>
        <v>46719</v>
      </c>
      <c r="BTZ2">
        <f>IF(COUNT(zip_med_inc_updated!BTZ$2:BTZ$4)=0,"",AVERAGE(zip_med_inc_updated!BTZ$2:BTZ$4))</f>
        <v>70170.666666666672</v>
      </c>
      <c r="BUA2">
        <f>IF(COUNT(zip_med_inc_updated!BUA$2:BUA$4)=0,"",AVERAGE(zip_med_inc_updated!BUA$2:BUA$4))</f>
        <v>38738.666666666664</v>
      </c>
      <c r="BUB2">
        <f>IF(COUNT(zip_med_inc_updated!BUB$2:BUB$4)=0,"",AVERAGE(zip_med_inc_updated!BUB$2:BUB$4))</f>
        <v>84733.333333333328</v>
      </c>
      <c r="BUC2">
        <f>IF(COUNT(zip_med_inc_updated!BUC$2:BUC$4)=0,"",AVERAGE(zip_med_inc_updated!BUC$2:BUC$4))</f>
        <v>79947.666666666672</v>
      </c>
      <c r="BUD2">
        <f>IF(COUNT(zip_med_inc_updated!BUD$2:BUD$4)=0,"",AVERAGE(zip_med_inc_updated!BUD$2:BUD$4))</f>
        <v>59773.666666666664</v>
      </c>
      <c r="BUE2">
        <f>IF(COUNT(zip_med_inc_updated!BUE$2:BUE$4)=0,"",AVERAGE(zip_med_inc_updated!BUE$2:BUE$4))</f>
        <v>38751.666666666664</v>
      </c>
      <c r="BUF2">
        <f>IF(COUNT(zip_med_inc_updated!BUF$2:BUF$4)=0,"",AVERAGE(zip_med_inc_updated!BUF$2:BUF$4))</f>
        <v>50799.666666666664</v>
      </c>
      <c r="BUG2">
        <f>IF(COUNT(zip_med_inc_updated!BUG$2:BUG$4)=0,"",AVERAGE(zip_med_inc_updated!BUG$2:BUG$4))</f>
        <v>85458.333333333328</v>
      </c>
      <c r="BUH2">
        <f>IF(COUNT(zip_med_inc_updated!BUH$2:BUH$4)=0,"",AVERAGE(zip_med_inc_updated!BUH$2:BUH$4))</f>
        <v>62209</v>
      </c>
      <c r="BUI2">
        <f>IF(COUNT(zip_med_inc_updated!BUI$2:BUI$4)=0,"",AVERAGE(zip_med_inc_updated!BUI$2:BUI$4))</f>
        <v>73195</v>
      </c>
      <c r="BUJ2">
        <f>IF(COUNT(zip_med_inc_updated!BUJ$2:BUJ$4)=0,"",AVERAGE(zip_med_inc_updated!BUJ$2:BUJ$4))</f>
        <v>83811.666666666672</v>
      </c>
      <c r="BUK2">
        <f>IF(COUNT(zip_med_inc_updated!BUK$2:BUK$4)=0,"",AVERAGE(zip_med_inc_updated!BUK$2:BUK$4))</f>
        <v>87013.333333333328</v>
      </c>
      <c r="BUL2">
        <f>IF(COUNT(zip_med_inc_updated!BUL$2:BUL$4)=0,"",AVERAGE(zip_med_inc_updated!BUL$2:BUL$4))</f>
        <v>63972</v>
      </c>
      <c r="BUM2">
        <f>IF(COUNT(zip_med_inc_updated!BUM$2:BUM$4)=0,"",AVERAGE(zip_med_inc_updated!BUM$2:BUM$4))</f>
        <v>44240.333333333336</v>
      </c>
      <c r="BUN2">
        <f>IF(COUNT(zip_med_inc_updated!BUN$2:BUN$4)=0,"",AVERAGE(zip_med_inc_updated!BUN$2:BUN$4))</f>
        <v>66632.666666666672</v>
      </c>
      <c r="BUO2">
        <f>IF(COUNT(zip_med_inc_updated!BUO$2:BUO$4)=0,"",AVERAGE(zip_med_inc_updated!BUO$2:BUO$4))</f>
        <v>78371</v>
      </c>
      <c r="BUP2">
        <f>IF(COUNT(zip_med_inc_updated!BUP$2:BUP$4)=0,"",AVERAGE(zip_med_inc_updated!BUP$2:BUP$4))</f>
        <v>153199.66666666666</v>
      </c>
      <c r="BUQ2">
        <f>IF(COUNT(zip_med_inc_updated!BUQ$2:BUQ$4)=0,"",AVERAGE(zip_med_inc_updated!BUQ$2:BUQ$4))</f>
        <v>34586.333333333336</v>
      </c>
      <c r="BUR2">
        <f>IF(COUNT(zip_med_inc_updated!BUR$2:BUR$4)=0,"",AVERAGE(zip_med_inc_updated!BUR$2:BUR$4))</f>
        <v>50092</v>
      </c>
      <c r="BUS2">
        <f>IF(COUNT(zip_med_inc_updated!BUS$2:BUS$4)=0,"",AVERAGE(zip_med_inc_updated!BUS$2:BUS$4))</f>
        <v>36462.666666666664</v>
      </c>
      <c r="BUT2" t="str">
        <f>IF(COUNT(zip_med_inc_updated!BUT$2:BUT$4)=0,"",AVERAGE(zip_med_inc_updated!BUT$2:BUT$4))</f>
        <v/>
      </c>
      <c r="BUU2">
        <f>IF(COUNT(zip_med_inc_updated!BUU$2:BUU$4)=0,"",AVERAGE(zip_med_inc_updated!BUU$2:BUU$4))</f>
        <v>58837.666666666664</v>
      </c>
      <c r="BUV2">
        <f>IF(COUNT(zip_med_inc_updated!BUV$2:BUV$4)=0,"",AVERAGE(zip_med_inc_updated!BUV$2:BUV$4))</f>
        <v>52996.333333333336</v>
      </c>
      <c r="BUW2">
        <f>IF(COUNT(zip_med_inc_updated!BUW$2:BUW$4)=0,"",AVERAGE(zip_med_inc_updated!BUW$2:BUW$4))</f>
        <v>81454.333333333328</v>
      </c>
      <c r="BUX2">
        <f>IF(COUNT(zip_med_inc_updated!BUX$2:BUX$4)=0,"",AVERAGE(zip_med_inc_updated!BUX$2:BUX$4))</f>
        <v>55601</v>
      </c>
      <c r="BUY2">
        <f>IF(COUNT(zip_med_inc_updated!BUY$2:BUY$4)=0,"",AVERAGE(zip_med_inc_updated!BUY$2:BUY$4))</f>
        <v>30031.333333333332</v>
      </c>
      <c r="BUZ2">
        <f>IF(COUNT(zip_med_inc_updated!BUZ$2:BUZ$4)=0,"",AVERAGE(zip_med_inc_updated!BUZ$2:BUZ$4))</f>
        <v>60623.333333333336</v>
      </c>
      <c r="BVA2">
        <f>IF(COUNT(zip_med_inc_updated!BVA$2:BVA$4)=0,"",AVERAGE(zip_med_inc_updated!BVA$2:BVA$4))</f>
        <v>54838.333333333336</v>
      </c>
      <c r="BVB2">
        <f>IF(COUNT(zip_med_inc_updated!BVB$2:BVB$4)=0,"",AVERAGE(zip_med_inc_updated!BVB$2:BVB$4))</f>
        <v>41389</v>
      </c>
      <c r="BVC2">
        <f>IF(COUNT(zip_med_inc_updated!BVC$2:BVC$4)=0,"",AVERAGE(zip_med_inc_updated!BVC$2:BVC$4))</f>
        <v>70786.333333333328</v>
      </c>
      <c r="BVD2">
        <f>IF(COUNT(zip_med_inc_updated!BVD$2:BVD$4)=0,"",AVERAGE(zip_med_inc_updated!BVD$2:BVD$4))</f>
        <v>50858</v>
      </c>
      <c r="BVE2">
        <f>IF(COUNT(zip_med_inc_updated!BVE$2:BVE$4)=0,"",AVERAGE(zip_med_inc_updated!BVE$2:BVE$4))</f>
        <v>44909.666666666664</v>
      </c>
      <c r="BVF2">
        <f>IF(COUNT(zip_med_inc_updated!BVF$2:BVF$4)=0,"",AVERAGE(zip_med_inc_updated!BVF$2:BVF$4))</f>
        <v>78705</v>
      </c>
      <c r="BVG2">
        <f>IF(COUNT(zip_med_inc_updated!BVG$2:BVG$4)=0,"",AVERAGE(zip_med_inc_updated!BVG$2:BVG$4))</f>
        <v>55547.666666666664</v>
      </c>
      <c r="BVH2">
        <f>IF(COUNT(zip_med_inc_updated!BVH$2:BVH$4)=0,"",AVERAGE(zip_med_inc_updated!BVH$2:BVH$4))</f>
        <v>41769.333333333336</v>
      </c>
      <c r="BVI2">
        <f>IF(COUNT(zip_med_inc_updated!BVI$2:BVI$4)=0,"",AVERAGE(zip_med_inc_updated!BVI$2:BVI$4))</f>
        <v>65646.666666666672</v>
      </c>
      <c r="BVJ2">
        <f>IF(COUNT(zip_med_inc_updated!BVJ$2:BVJ$4)=0,"",AVERAGE(zip_med_inc_updated!BVJ$2:BVJ$4))</f>
        <v>63341.333333333336</v>
      </c>
      <c r="BVK2">
        <f>IF(COUNT(zip_med_inc_updated!BVK$2:BVK$4)=0,"",AVERAGE(zip_med_inc_updated!BVK$2:BVK$4))</f>
        <v>64670.666666666664</v>
      </c>
      <c r="BVL2">
        <f>IF(COUNT(zip_med_inc_updated!BVL$2:BVL$4)=0,"",AVERAGE(zip_med_inc_updated!BVL$2:BVL$4))</f>
        <v>37332.333333333336</v>
      </c>
      <c r="BVM2">
        <f>IF(COUNT(zip_med_inc_updated!BVM$2:BVM$4)=0,"",AVERAGE(zip_med_inc_updated!BVM$2:BVM$4))</f>
        <v>62212.666666666664</v>
      </c>
      <c r="BVN2">
        <f>IF(COUNT(zip_med_inc_updated!BVN$2:BVN$4)=0,"",AVERAGE(zip_med_inc_updated!BVN$2:BVN$4))</f>
        <v>62588.666666666664</v>
      </c>
      <c r="BVO2" t="str">
        <f>IF(COUNT(zip_med_inc_updated!BVO$2:BVO$4)=0,"",AVERAGE(zip_med_inc_updated!BVO$2:BVO$4))</f>
        <v/>
      </c>
      <c r="BVP2" t="str">
        <f>IF(COUNT(zip_med_inc_updated!BVP$2:BVP$4)=0,"",AVERAGE(zip_med_inc_updated!BVP$2:BVP$4))</f>
        <v/>
      </c>
      <c r="BVQ2">
        <f>IF(COUNT(zip_med_inc_updated!BVQ$2:BVQ$4)=0,"",AVERAGE(zip_med_inc_updated!BVQ$2:BVQ$4))</f>
        <v>54698</v>
      </c>
      <c r="BVR2">
        <f>IF(COUNT(zip_med_inc_updated!BVR$2:BVR$4)=0,"",AVERAGE(zip_med_inc_updated!BVR$2:BVR$4))</f>
        <v>62551.666666666664</v>
      </c>
      <c r="BVS2">
        <f>IF(COUNT(zip_med_inc_updated!BVS$2:BVS$4)=0,"",AVERAGE(zip_med_inc_updated!BVS$2:BVS$4))</f>
        <v>61776.333333333336</v>
      </c>
      <c r="BVT2">
        <f>IF(COUNT(zip_med_inc_updated!BVT$2:BVT$4)=0,"",AVERAGE(zip_med_inc_updated!BVT$2:BVT$4))</f>
        <v>115532.33333333333</v>
      </c>
      <c r="BVU2">
        <f>IF(COUNT(zip_med_inc_updated!BVU$2:BVU$4)=0,"",AVERAGE(zip_med_inc_updated!BVU$2:BVU$4))</f>
        <v>44890.666666666664</v>
      </c>
      <c r="BVV2">
        <f>IF(COUNT(zip_med_inc_updated!BVV$2:BVV$4)=0,"",AVERAGE(zip_med_inc_updated!BVV$2:BVV$4))</f>
        <v>51079.666666666664</v>
      </c>
      <c r="BVW2">
        <f>IF(COUNT(zip_med_inc_updated!BVW$2:BVW$4)=0,"",AVERAGE(zip_med_inc_updated!BVW$2:BVW$4))</f>
        <v>60182.333333333336</v>
      </c>
      <c r="BVX2">
        <f>IF(COUNT(zip_med_inc_updated!BVX$2:BVX$4)=0,"",AVERAGE(zip_med_inc_updated!BVX$2:BVX$4))</f>
        <v>69064.666666666672</v>
      </c>
      <c r="BVY2">
        <f>IF(COUNT(zip_med_inc_updated!BVY$2:BVY$4)=0,"",AVERAGE(zip_med_inc_updated!BVY$2:BVY$4))</f>
        <v>50222</v>
      </c>
      <c r="BVZ2">
        <f>IF(COUNT(zip_med_inc_updated!BVZ$2:BVZ$4)=0,"",AVERAGE(zip_med_inc_updated!BVZ$2:BVZ$4))</f>
        <v>60852</v>
      </c>
      <c r="BWA2">
        <f>IF(COUNT(zip_med_inc_updated!BWA$2:BWA$4)=0,"",AVERAGE(zip_med_inc_updated!BWA$2:BWA$4))</f>
        <v>86123</v>
      </c>
      <c r="BWB2">
        <f>IF(COUNT(zip_med_inc_updated!BWB$2:BWB$4)=0,"",AVERAGE(zip_med_inc_updated!BWB$2:BWB$4))</f>
        <v>60682</v>
      </c>
      <c r="BWC2">
        <f>IF(COUNT(zip_med_inc_updated!BWC$2:BWC$4)=0,"",AVERAGE(zip_med_inc_updated!BWC$2:BWC$4))</f>
        <v>66808.666666666672</v>
      </c>
      <c r="BWD2">
        <f>IF(COUNT(zip_med_inc_updated!BWD$2:BWD$4)=0,"",AVERAGE(zip_med_inc_updated!BWD$2:BWD$4))</f>
        <v>65804</v>
      </c>
      <c r="BWE2">
        <f>IF(COUNT(zip_med_inc_updated!BWE$2:BWE$4)=0,"",AVERAGE(zip_med_inc_updated!BWE$2:BWE$4))</f>
        <v>66409.333333333328</v>
      </c>
      <c r="BWF2">
        <f>IF(COUNT(zip_med_inc_updated!BWF$2:BWF$4)=0,"",AVERAGE(zip_med_inc_updated!BWF$2:BWF$4))</f>
        <v>62363</v>
      </c>
      <c r="BWG2">
        <f>IF(COUNT(zip_med_inc_updated!BWG$2:BWG$4)=0,"",AVERAGE(zip_med_inc_updated!BWG$2:BWG$4))</f>
        <v>74214</v>
      </c>
      <c r="BWH2">
        <f>IF(COUNT(zip_med_inc_updated!BWH$2:BWH$4)=0,"",AVERAGE(zip_med_inc_updated!BWH$2:BWH$4))</f>
        <v>70751.666666666672</v>
      </c>
      <c r="BWI2">
        <f>IF(COUNT(zip_med_inc_updated!BWI$2:BWI$4)=0,"",AVERAGE(zip_med_inc_updated!BWI$2:BWI$4))</f>
        <v>66215.333333333328</v>
      </c>
      <c r="BWJ2">
        <f>IF(COUNT(zip_med_inc_updated!BWJ$2:BWJ$4)=0,"",AVERAGE(zip_med_inc_updated!BWJ$2:BWJ$4))</f>
        <v>56307.333333333336</v>
      </c>
      <c r="BWK2">
        <f>IF(COUNT(zip_med_inc_updated!BWK$2:BWK$4)=0,"",AVERAGE(zip_med_inc_updated!BWK$2:BWK$4))</f>
        <v>59947.333333333336</v>
      </c>
      <c r="BWL2">
        <f>IF(COUNT(zip_med_inc_updated!BWL$2:BWL$4)=0,"",AVERAGE(zip_med_inc_updated!BWL$2:BWL$4))</f>
        <v>65094.333333333336</v>
      </c>
      <c r="BWM2">
        <f>IF(COUNT(zip_med_inc_updated!BWM$2:BWM$4)=0,"",AVERAGE(zip_med_inc_updated!BWM$2:BWM$4))</f>
        <v>123437.5</v>
      </c>
      <c r="BWN2">
        <f>IF(COUNT(zip_med_inc_updated!BWN$2:BWN$4)=0,"",AVERAGE(zip_med_inc_updated!BWN$2:BWN$4))</f>
        <v>85250.333333333328</v>
      </c>
      <c r="BWO2">
        <f>IF(COUNT(zip_med_inc_updated!BWO$2:BWO$4)=0,"",AVERAGE(zip_med_inc_updated!BWO$2:BWO$4))</f>
        <v>62460.333333333336</v>
      </c>
      <c r="BWP2">
        <f>IF(COUNT(zip_med_inc_updated!BWP$2:BWP$4)=0,"",AVERAGE(zip_med_inc_updated!BWP$2:BWP$4))</f>
        <v>76846</v>
      </c>
      <c r="BWQ2">
        <f>IF(COUNT(zip_med_inc_updated!BWQ$2:BWQ$4)=0,"",AVERAGE(zip_med_inc_updated!BWQ$2:BWQ$4))</f>
        <v>47412.666666666664</v>
      </c>
      <c r="BWR2" t="str">
        <f>IF(COUNT(zip_med_inc_updated!BWR$2:BWR$4)=0,"",AVERAGE(zip_med_inc_updated!BWR$2:BWR$4))</f>
        <v/>
      </c>
      <c r="BWS2">
        <f>IF(COUNT(zip_med_inc_updated!BWS$2:BWS$4)=0,"",AVERAGE(zip_med_inc_updated!BWS$2:BWS$4))</f>
        <v>75462</v>
      </c>
      <c r="BWT2">
        <f>IF(COUNT(zip_med_inc_updated!BWT$2:BWT$4)=0,"",AVERAGE(zip_med_inc_updated!BWT$2:BWT$4))</f>
        <v>81228.666666666672</v>
      </c>
      <c r="BWU2">
        <f>IF(COUNT(zip_med_inc_updated!BWU$2:BWU$4)=0,"",AVERAGE(zip_med_inc_updated!BWU$2:BWU$4))</f>
        <v>60020</v>
      </c>
      <c r="BWV2">
        <f>IF(COUNT(zip_med_inc_updated!BWV$2:BWV$4)=0,"",AVERAGE(zip_med_inc_updated!BWV$2:BWV$4))</f>
        <v>48900</v>
      </c>
      <c r="BWW2">
        <f>IF(COUNT(zip_med_inc_updated!BWW$2:BWW$4)=0,"",AVERAGE(zip_med_inc_updated!BWW$2:BWW$4))</f>
        <v>32777.666666666664</v>
      </c>
      <c r="BWX2" t="str">
        <f>IF(COUNT(zip_med_inc_updated!BWX$2:BWX$4)=0,"",AVERAGE(zip_med_inc_updated!BWX$2:BWX$4))</f>
        <v/>
      </c>
      <c r="BWY2">
        <f>IF(COUNT(zip_med_inc_updated!BWY$2:BWY$4)=0,"",AVERAGE(zip_med_inc_updated!BWY$2:BWY$4))</f>
        <v>83049.666666666672</v>
      </c>
      <c r="BWZ2">
        <f>IF(COUNT(zip_med_inc_updated!BWZ$2:BWZ$4)=0,"",AVERAGE(zip_med_inc_updated!BWZ$2:BWZ$4))</f>
        <v>88395.666666666672</v>
      </c>
      <c r="BXA2">
        <f>IF(COUNT(zip_med_inc_updated!BXA$2:BXA$4)=0,"",AVERAGE(zip_med_inc_updated!BXA$2:BXA$4))</f>
        <v>66938</v>
      </c>
      <c r="BXB2">
        <f>IF(COUNT(zip_med_inc_updated!BXB$2:BXB$4)=0,"",AVERAGE(zip_med_inc_updated!BXB$2:BXB$4))</f>
        <v>57086.333333333336</v>
      </c>
      <c r="BXC2">
        <f>IF(COUNT(zip_med_inc_updated!BXC$2:BXC$4)=0,"",AVERAGE(zip_med_inc_updated!BXC$2:BXC$4))</f>
        <v>67177.333333333328</v>
      </c>
      <c r="BXD2">
        <f>IF(COUNT(zip_med_inc_updated!BXD$2:BXD$4)=0,"",AVERAGE(zip_med_inc_updated!BXD$2:BXD$4))</f>
        <v>73427</v>
      </c>
      <c r="BXE2">
        <f>IF(COUNT(zip_med_inc_updated!BXE$2:BXE$4)=0,"",AVERAGE(zip_med_inc_updated!BXE$2:BXE$4))</f>
        <v>52468.666666666664</v>
      </c>
      <c r="BXF2">
        <f>IF(COUNT(zip_med_inc_updated!BXF$2:BXF$4)=0,"",AVERAGE(zip_med_inc_updated!BXF$2:BXF$4))</f>
        <v>45415.666666666664</v>
      </c>
      <c r="BXG2">
        <f>IF(COUNT(zip_med_inc_updated!BXG$2:BXG$4)=0,"",AVERAGE(zip_med_inc_updated!BXG$2:BXG$4))</f>
        <v>77598</v>
      </c>
      <c r="BXH2">
        <f>IF(COUNT(zip_med_inc_updated!BXH$2:BXH$4)=0,"",AVERAGE(zip_med_inc_updated!BXH$2:BXH$4))</f>
        <v>65645.666666666672</v>
      </c>
      <c r="BXI2" t="str">
        <f>IF(COUNT(zip_med_inc_updated!BXI$2:BXI$4)=0,"",AVERAGE(zip_med_inc_updated!BXI$2:BXI$4))</f>
        <v/>
      </c>
      <c r="BXJ2">
        <f>IF(COUNT(zip_med_inc_updated!BXJ$2:BXJ$4)=0,"",AVERAGE(zip_med_inc_updated!BXJ$2:BXJ$4))</f>
        <v>53961.666666666664</v>
      </c>
      <c r="BXK2">
        <f>IF(COUNT(zip_med_inc_updated!BXK$2:BXK$4)=0,"",AVERAGE(zip_med_inc_updated!BXK$2:BXK$4))</f>
        <v>56552.666666666664</v>
      </c>
      <c r="BXL2">
        <f>IF(COUNT(zip_med_inc_updated!BXL$2:BXL$4)=0,"",AVERAGE(zip_med_inc_updated!BXL$2:BXL$4))</f>
        <v>49641.333333333336</v>
      </c>
      <c r="BXM2">
        <f>IF(COUNT(zip_med_inc_updated!BXM$2:BXM$4)=0,"",AVERAGE(zip_med_inc_updated!BXM$2:BXM$4))</f>
        <v>106646</v>
      </c>
      <c r="BXN2">
        <f>IF(COUNT(zip_med_inc_updated!BXN$2:BXN$4)=0,"",AVERAGE(zip_med_inc_updated!BXN$2:BXN$4))</f>
        <v>52540.333333333336</v>
      </c>
      <c r="BXO2">
        <f>IF(COUNT(zip_med_inc_updated!BXO$2:BXO$4)=0,"",AVERAGE(zip_med_inc_updated!BXO$2:BXO$4))</f>
        <v>59223.333333333336</v>
      </c>
      <c r="BXP2">
        <f>IF(COUNT(zip_med_inc_updated!BXP$2:BXP$4)=0,"",AVERAGE(zip_med_inc_updated!BXP$2:BXP$4))</f>
        <v>40168.666666666664</v>
      </c>
      <c r="BXQ2">
        <f>IF(COUNT(zip_med_inc_updated!BXQ$2:BXQ$4)=0,"",AVERAGE(zip_med_inc_updated!BXQ$2:BXQ$4))</f>
        <v>54196.666666666664</v>
      </c>
      <c r="BXR2">
        <f>IF(COUNT(zip_med_inc_updated!BXR$2:BXR$4)=0,"",AVERAGE(zip_med_inc_updated!BXR$2:BXR$4))</f>
        <v>44562.666666666664</v>
      </c>
      <c r="BXS2">
        <f>IF(COUNT(zip_med_inc_updated!BXS$2:BXS$4)=0,"",AVERAGE(zip_med_inc_updated!BXS$2:BXS$4))</f>
        <v>51541</v>
      </c>
      <c r="BXT2">
        <f>IF(COUNT(zip_med_inc_updated!BXT$2:BXT$4)=0,"",AVERAGE(zip_med_inc_updated!BXT$2:BXT$4))</f>
        <v>46626.333333333336</v>
      </c>
      <c r="BXU2">
        <f>IF(COUNT(zip_med_inc_updated!BXU$2:BXU$4)=0,"",AVERAGE(zip_med_inc_updated!BXU$2:BXU$4))</f>
        <v>63095.333333333336</v>
      </c>
      <c r="BXV2">
        <f>IF(COUNT(zip_med_inc_updated!BXV$2:BXV$4)=0,"",AVERAGE(zip_med_inc_updated!BXV$2:BXV$4))</f>
        <v>69250.666666666672</v>
      </c>
      <c r="BXW2">
        <f>IF(COUNT(zip_med_inc_updated!BXW$2:BXW$4)=0,"",AVERAGE(zip_med_inc_updated!BXW$2:BXW$4))</f>
        <v>44887.333333333336</v>
      </c>
      <c r="BXX2">
        <f>IF(COUNT(zip_med_inc_updated!BXX$2:BXX$4)=0,"",AVERAGE(zip_med_inc_updated!BXX$2:BXX$4))</f>
        <v>74375</v>
      </c>
      <c r="BXY2" t="str">
        <f>IF(COUNT(zip_med_inc_updated!BXY$2:BXY$4)=0,"",AVERAGE(zip_med_inc_updated!BXY$2:BXY$4))</f>
        <v/>
      </c>
      <c r="BXZ2">
        <f>IF(COUNT(zip_med_inc_updated!BXZ$2:BXZ$4)=0,"",AVERAGE(zip_med_inc_updated!BXZ$2:BXZ$4))</f>
        <v>63824</v>
      </c>
      <c r="BYA2">
        <f>IF(COUNT(zip_med_inc_updated!BYA$2:BYA$4)=0,"",AVERAGE(zip_med_inc_updated!BYA$2:BYA$4))</f>
        <v>28798</v>
      </c>
      <c r="BYB2">
        <f>IF(COUNT(zip_med_inc_updated!BYB$2:BYB$4)=0,"",AVERAGE(zip_med_inc_updated!BYB$2:BYB$4))</f>
        <v>67148.333333333328</v>
      </c>
      <c r="BYC2">
        <f>IF(COUNT(zip_med_inc_updated!BYC$2:BYC$4)=0,"",AVERAGE(zip_med_inc_updated!BYC$2:BYC$4))</f>
        <v>43521.333333333336</v>
      </c>
      <c r="BYD2">
        <f>IF(COUNT(zip_med_inc_updated!BYD$2:BYD$4)=0,"",AVERAGE(zip_med_inc_updated!BYD$2:BYD$4))</f>
        <v>66241</v>
      </c>
      <c r="BYE2">
        <f>IF(COUNT(zip_med_inc_updated!BYE$2:BYE$4)=0,"",AVERAGE(zip_med_inc_updated!BYE$2:BYE$4))</f>
        <v>59496</v>
      </c>
      <c r="BYF2">
        <f>IF(COUNT(zip_med_inc_updated!BYF$2:BYF$4)=0,"",AVERAGE(zip_med_inc_updated!BYF$2:BYF$4))</f>
        <v>58512.666666666664</v>
      </c>
      <c r="BYG2">
        <f>IF(COUNT(zip_med_inc_updated!BYG$2:BYG$4)=0,"",AVERAGE(zip_med_inc_updated!BYG$2:BYG$4))</f>
        <v>50839.333333333336</v>
      </c>
      <c r="BYH2" t="str">
        <f>IF(COUNT(zip_med_inc_updated!BYH$2:BYH$4)=0,"",AVERAGE(zip_med_inc_updated!BYH$2:BYH$4))</f>
        <v/>
      </c>
      <c r="BYI2">
        <f>IF(COUNT(zip_med_inc_updated!BYI$2:BYI$4)=0,"",AVERAGE(zip_med_inc_updated!BYI$2:BYI$4))</f>
        <v>45445.333333333336</v>
      </c>
      <c r="BYJ2">
        <f>IF(COUNT(zip_med_inc_updated!BYJ$2:BYJ$4)=0,"",AVERAGE(zip_med_inc_updated!BYJ$2:BYJ$4))</f>
        <v>46577.666666666664</v>
      </c>
      <c r="BYK2">
        <f>IF(COUNT(zip_med_inc_updated!BYK$2:BYK$4)=0,"",AVERAGE(zip_med_inc_updated!BYK$2:BYK$4))</f>
        <v>39398.333333333336</v>
      </c>
      <c r="BYL2">
        <f>IF(COUNT(zip_med_inc_updated!BYL$2:BYL$4)=0,"",AVERAGE(zip_med_inc_updated!BYL$2:BYL$4))</f>
        <v>50438.333333333336</v>
      </c>
      <c r="BYM2">
        <f>IF(COUNT(zip_med_inc_updated!BYM$2:BYM$4)=0,"",AVERAGE(zip_med_inc_updated!BYM$2:BYM$4))</f>
        <v>74047.333333333328</v>
      </c>
      <c r="BYN2">
        <f>IF(COUNT(zip_med_inc_updated!BYN$2:BYN$4)=0,"",AVERAGE(zip_med_inc_updated!BYN$2:BYN$4))</f>
        <v>44585.666666666664</v>
      </c>
      <c r="BYO2">
        <f>IF(COUNT(zip_med_inc_updated!BYO$2:BYO$4)=0,"",AVERAGE(zip_med_inc_updated!BYO$2:BYO$4))</f>
        <v>70237.666666666672</v>
      </c>
      <c r="BYP2">
        <f>IF(COUNT(zip_med_inc_updated!BYP$2:BYP$4)=0,"",AVERAGE(zip_med_inc_updated!BYP$2:BYP$4))</f>
        <v>56551</v>
      </c>
      <c r="BYQ2" t="str">
        <f>IF(COUNT(zip_med_inc_updated!BYQ$2:BYQ$4)=0,"",AVERAGE(zip_med_inc_updated!BYQ$2:BYQ$4))</f>
        <v/>
      </c>
      <c r="BYR2" t="str">
        <f>IF(COUNT(zip_med_inc_updated!BYR$2:BYR$4)=0,"",AVERAGE(zip_med_inc_updated!BYR$2:BYR$4))</f>
        <v/>
      </c>
      <c r="BYS2">
        <f>IF(COUNT(zip_med_inc_updated!BYS$2:BYS$4)=0,"",AVERAGE(zip_med_inc_updated!BYS$2:BYS$4))</f>
        <v>52860</v>
      </c>
      <c r="BYT2">
        <f>IF(COUNT(zip_med_inc_updated!BYT$2:BYT$4)=0,"",AVERAGE(zip_med_inc_updated!BYT$2:BYT$4))</f>
        <v>54288.666666666664</v>
      </c>
      <c r="BYU2">
        <f>IF(COUNT(zip_med_inc_updated!BYU$2:BYU$4)=0,"",AVERAGE(zip_med_inc_updated!BYU$2:BYU$4))</f>
        <v>55429.666666666664</v>
      </c>
      <c r="BYV2">
        <f>IF(COUNT(zip_med_inc_updated!BYV$2:BYV$4)=0,"",AVERAGE(zip_med_inc_updated!BYV$2:BYV$4))</f>
        <v>67370.666666666672</v>
      </c>
      <c r="BYW2">
        <f>IF(COUNT(zip_med_inc_updated!BYW$2:BYW$4)=0,"",AVERAGE(zip_med_inc_updated!BYW$2:BYW$4))</f>
        <v>50069.666666666664</v>
      </c>
      <c r="BYX2">
        <f>IF(COUNT(zip_med_inc_updated!BYX$2:BYX$4)=0,"",AVERAGE(zip_med_inc_updated!BYX$2:BYX$4))</f>
        <v>74579</v>
      </c>
      <c r="BYY2" t="str">
        <f>IF(COUNT(zip_med_inc_updated!BYY$2:BYY$4)=0,"",AVERAGE(zip_med_inc_updated!BYY$2:BYY$4))</f>
        <v/>
      </c>
      <c r="BYZ2">
        <f>IF(COUNT(zip_med_inc_updated!BYZ$2:BYZ$4)=0,"",AVERAGE(zip_med_inc_updated!BYZ$2:BYZ$4))</f>
        <v>80457</v>
      </c>
      <c r="BZA2">
        <f>IF(COUNT(zip_med_inc_updated!BZA$2:BZA$4)=0,"",AVERAGE(zip_med_inc_updated!BZA$2:BZA$4))</f>
        <v>63051</v>
      </c>
      <c r="BZB2">
        <f>IF(COUNT(zip_med_inc_updated!BZB$2:BZB$4)=0,"",AVERAGE(zip_med_inc_updated!BZB$2:BZB$4))</f>
        <v>43808.333333333336</v>
      </c>
      <c r="BZC2" t="str">
        <f>IF(COUNT(zip_med_inc_updated!BZC$2:BZC$4)=0,"",AVERAGE(zip_med_inc_updated!BZC$2:BZC$4))</f>
        <v/>
      </c>
      <c r="BZD2">
        <f>IF(COUNT(zip_med_inc_updated!BZD$2:BZD$4)=0,"",AVERAGE(zip_med_inc_updated!BZD$2:BZD$4))</f>
        <v>26354</v>
      </c>
      <c r="BZE2" t="str">
        <f>IF(COUNT(zip_med_inc_updated!BZE$2:BZE$4)=0,"",AVERAGE(zip_med_inc_updated!BZE$2:BZE$4))</f>
        <v/>
      </c>
      <c r="BZF2">
        <f>IF(COUNT(zip_med_inc_updated!BZF$2:BZF$4)=0,"",AVERAGE(zip_med_inc_updated!BZF$2:BZF$4))</f>
        <v>49893.666666666664</v>
      </c>
      <c r="BZG2">
        <f>IF(COUNT(zip_med_inc_updated!BZG$2:BZG$4)=0,"",AVERAGE(zip_med_inc_updated!BZG$2:BZG$4))</f>
        <v>48491.333333333336</v>
      </c>
      <c r="BZH2">
        <f>IF(COUNT(zip_med_inc_updated!BZH$2:BZH$4)=0,"",AVERAGE(zip_med_inc_updated!BZH$2:BZH$4))</f>
        <v>65029.333333333336</v>
      </c>
      <c r="BZI2">
        <f>IF(COUNT(zip_med_inc_updated!BZI$2:BZI$4)=0,"",AVERAGE(zip_med_inc_updated!BZI$2:BZI$4))</f>
        <v>163210</v>
      </c>
      <c r="BZJ2">
        <f>IF(COUNT(zip_med_inc_updated!BZJ$2:BZJ$4)=0,"",AVERAGE(zip_med_inc_updated!BZJ$2:BZJ$4))</f>
        <v>97601.333333333328</v>
      </c>
      <c r="BZK2">
        <f>IF(COUNT(zip_med_inc_updated!BZK$2:BZK$4)=0,"",AVERAGE(zip_med_inc_updated!BZK$2:BZK$4))</f>
        <v>42972.666666666664</v>
      </c>
      <c r="BZL2">
        <f>IF(COUNT(zip_med_inc_updated!BZL$2:BZL$4)=0,"",AVERAGE(zip_med_inc_updated!BZL$2:BZL$4))</f>
        <v>56789.666666666664</v>
      </c>
      <c r="BZM2">
        <f>IF(COUNT(zip_med_inc_updated!BZM$2:BZM$4)=0,"",AVERAGE(zip_med_inc_updated!BZM$2:BZM$4))</f>
        <v>59142.333333333336</v>
      </c>
      <c r="BZN2">
        <f>IF(COUNT(zip_med_inc_updated!BZN$2:BZN$4)=0,"",AVERAGE(zip_med_inc_updated!BZN$2:BZN$4))</f>
        <v>71265.666666666672</v>
      </c>
      <c r="BZO2">
        <f>IF(COUNT(zip_med_inc_updated!BZO$2:BZO$4)=0,"",AVERAGE(zip_med_inc_updated!BZO$2:BZO$4))</f>
        <v>63978.666666666664</v>
      </c>
      <c r="BZP2">
        <f>IF(COUNT(zip_med_inc_updated!BZP$2:BZP$4)=0,"",AVERAGE(zip_med_inc_updated!BZP$2:BZP$4))</f>
        <v>60543</v>
      </c>
      <c r="BZQ2">
        <f>IF(COUNT(zip_med_inc_updated!BZQ$2:BZQ$4)=0,"",AVERAGE(zip_med_inc_updated!BZQ$2:BZQ$4))</f>
        <v>106420.66666666667</v>
      </c>
      <c r="BZR2">
        <f>IF(COUNT(zip_med_inc_updated!BZR$2:BZR$4)=0,"",AVERAGE(zip_med_inc_updated!BZR$2:BZR$4))</f>
        <v>45154</v>
      </c>
      <c r="BZS2">
        <f>IF(COUNT(zip_med_inc_updated!BZS$2:BZS$4)=0,"",AVERAGE(zip_med_inc_updated!BZS$2:BZS$4))</f>
        <v>66001.666666666672</v>
      </c>
      <c r="BZT2">
        <f>IF(COUNT(zip_med_inc_updated!BZT$2:BZT$4)=0,"",AVERAGE(zip_med_inc_updated!BZT$2:BZT$4))</f>
        <v>43916</v>
      </c>
      <c r="BZU2">
        <f>IF(COUNT(zip_med_inc_updated!BZU$2:BZU$4)=0,"",AVERAGE(zip_med_inc_updated!BZU$2:BZU$4))</f>
        <v>69353.666666666672</v>
      </c>
      <c r="BZV2">
        <f>IF(COUNT(zip_med_inc_updated!BZV$2:BZV$4)=0,"",AVERAGE(zip_med_inc_updated!BZV$2:BZV$4))</f>
        <v>67074.666666666672</v>
      </c>
      <c r="BZW2">
        <f>IF(COUNT(zip_med_inc_updated!BZW$2:BZW$4)=0,"",AVERAGE(zip_med_inc_updated!BZW$2:BZW$4))</f>
        <v>45559</v>
      </c>
      <c r="BZX2">
        <f>IF(COUNT(zip_med_inc_updated!BZX$2:BZX$4)=0,"",AVERAGE(zip_med_inc_updated!BZX$2:BZX$4))</f>
        <v>55113</v>
      </c>
      <c r="BZY2">
        <f>IF(COUNT(zip_med_inc_updated!BZY$2:BZY$4)=0,"",AVERAGE(zip_med_inc_updated!BZY$2:BZY$4))</f>
        <v>51925</v>
      </c>
      <c r="BZZ2">
        <f>IF(COUNT(zip_med_inc_updated!BZZ$2:BZZ$4)=0,"",AVERAGE(zip_med_inc_updated!BZZ$2:BZZ$4))</f>
        <v>51848.333333333336</v>
      </c>
      <c r="CAA2">
        <f>IF(COUNT(zip_med_inc_updated!CAA$2:CAA$4)=0,"",AVERAGE(zip_med_inc_updated!CAA$2:CAA$4))</f>
        <v>55071.333333333336</v>
      </c>
      <c r="CAB2">
        <f>IF(COUNT(zip_med_inc_updated!CAB$2:CAB$4)=0,"",AVERAGE(zip_med_inc_updated!CAB$2:CAB$4))</f>
        <v>96605</v>
      </c>
      <c r="CAC2">
        <f>IF(COUNT(zip_med_inc_updated!CAC$2:CAC$4)=0,"",AVERAGE(zip_med_inc_updated!CAC$2:CAC$4))</f>
        <v>36277.666666666664</v>
      </c>
      <c r="CAD2">
        <f>IF(COUNT(zip_med_inc_updated!CAD$2:CAD$4)=0,"",AVERAGE(zip_med_inc_updated!CAD$2:CAD$4))</f>
        <v>78717.666666666672</v>
      </c>
      <c r="CAE2">
        <f>IF(COUNT(zip_med_inc_updated!CAE$2:CAE$4)=0,"",AVERAGE(zip_med_inc_updated!CAE$2:CAE$4))</f>
        <v>54802</v>
      </c>
      <c r="CAF2">
        <f>IF(COUNT(zip_med_inc_updated!CAF$2:CAF$4)=0,"",AVERAGE(zip_med_inc_updated!CAF$2:CAF$4))</f>
        <v>46330</v>
      </c>
      <c r="CAG2">
        <f>IF(COUNT(zip_med_inc_updated!CAG$2:CAG$4)=0,"",AVERAGE(zip_med_inc_updated!CAG$2:CAG$4))</f>
        <v>55932</v>
      </c>
      <c r="CAH2">
        <f>IF(COUNT(zip_med_inc_updated!CAH$2:CAH$4)=0,"",AVERAGE(zip_med_inc_updated!CAH$2:CAH$4))</f>
        <v>71503.5</v>
      </c>
      <c r="CAI2" t="str">
        <f>IF(COUNT(zip_med_inc_updated!CAI$2:CAI$4)=0,"",AVERAGE(zip_med_inc_updated!CAI$2:CAI$4))</f>
        <v/>
      </c>
      <c r="CAJ2">
        <f>IF(COUNT(zip_med_inc_updated!CAJ$2:CAJ$4)=0,"",AVERAGE(zip_med_inc_updated!CAJ$2:CAJ$4))</f>
        <v>71286.666666666672</v>
      </c>
      <c r="CAK2">
        <f>IF(COUNT(zip_med_inc_updated!CAK$2:CAK$4)=0,"",AVERAGE(zip_med_inc_updated!CAK$2:CAK$4))</f>
        <v>61896.333333333336</v>
      </c>
      <c r="CAL2">
        <f>IF(COUNT(zip_med_inc_updated!CAL$2:CAL$4)=0,"",AVERAGE(zip_med_inc_updated!CAL$2:CAL$4))</f>
        <v>55158.666666666664</v>
      </c>
      <c r="CAM2">
        <f>IF(COUNT(zip_med_inc_updated!CAM$2:CAM$4)=0,"",AVERAGE(zip_med_inc_updated!CAM$2:CAM$4))</f>
        <v>56138</v>
      </c>
      <c r="CAN2">
        <f>IF(COUNT(zip_med_inc_updated!CAN$2:CAN$4)=0,"",AVERAGE(zip_med_inc_updated!CAN$2:CAN$4))</f>
        <v>69563.666666666672</v>
      </c>
      <c r="CAO2">
        <f>IF(COUNT(zip_med_inc_updated!CAO$2:CAO$4)=0,"",AVERAGE(zip_med_inc_updated!CAO$2:CAO$4))</f>
        <v>59470</v>
      </c>
      <c r="CAP2">
        <f>IF(COUNT(zip_med_inc_updated!CAP$2:CAP$4)=0,"",AVERAGE(zip_med_inc_updated!CAP$2:CAP$4))</f>
        <v>73391</v>
      </c>
      <c r="CAQ2">
        <f>IF(COUNT(zip_med_inc_updated!CAQ$2:CAQ$4)=0,"",AVERAGE(zip_med_inc_updated!CAQ$2:CAQ$4))</f>
        <v>70999</v>
      </c>
      <c r="CAR2">
        <f>IF(COUNT(zip_med_inc_updated!CAR$2:CAR$4)=0,"",AVERAGE(zip_med_inc_updated!CAR$2:CAR$4))</f>
        <v>53602.666666666664</v>
      </c>
      <c r="CAS2">
        <f>IF(COUNT(zip_med_inc_updated!CAS$2:CAS$4)=0,"",AVERAGE(zip_med_inc_updated!CAS$2:CAS$4))</f>
        <v>61927.5</v>
      </c>
      <c r="CAT2">
        <f>IF(COUNT(zip_med_inc_updated!CAT$2:CAT$4)=0,"",AVERAGE(zip_med_inc_updated!CAT$2:CAT$4))</f>
        <v>63360.333333333336</v>
      </c>
      <c r="CAU2">
        <f>IF(COUNT(zip_med_inc_updated!CAU$2:CAU$4)=0,"",AVERAGE(zip_med_inc_updated!CAU$2:CAU$4))</f>
        <v>62569</v>
      </c>
      <c r="CAV2">
        <f>IF(COUNT(zip_med_inc_updated!CAV$2:CAV$4)=0,"",AVERAGE(zip_med_inc_updated!CAV$2:CAV$4))</f>
        <v>44252</v>
      </c>
      <c r="CAW2">
        <f>IF(COUNT(zip_med_inc_updated!CAW$2:CAW$4)=0,"",AVERAGE(zip_med_inc_updated!CAW$2:CAW$4))</f>
        <v>57750</v>
      </c>
      <c r="CAX2">
        <f>IF(COUNT(zip_med_inc_updated!CAX$2:CAX$4)=0,"",AVERAGE(zip_med_inc_updated!CAX$2:CAX$4))</f>
        <v>54417.666666666664</v>
      </c>
      <c r="CAY2">
        <f>IF(COUNT(zip_med_inc_updated!CAY$2:CAY$4)=0,"",AVERAGE(zip_med_inc_updated!CAY$2:CAY$4))</f>
        <v>85170.666666666672</v>
      </c>
      <c r="CAZ2">
        <f>IF(COUNT(zip_med_inc_updated!CAZ$2:CAZ$4)=0,"",AVERAGE(zip_med_inc_updated!CAZ$2:CAZ$4))</f>
        <v>93395.666666666672</v>
      </c>
      <c r="CBA2">
        <f>IF(COUNT(zip_med_inc_updated!CBA$2:CBA$4)=0,"",AVERAGE(zip_med_inc_updated!CBA$2:CBA$4))</f>
        <v>66822.333333333328</v>
      </c>
      <c r="CBB2">
        <f>IF(COUNT(zip_med_inc_updated!CBB$2:CBB$4)=0,"",AVERAGE(zip_med_inc_updated!CBB$2:CBB$4))</f>
        <v>79061.333333333328</v>
      </c>
      <c r="CBC2">
        <f>IF(COUNT(zip_med_inc_updated!CBC$2:CBC$4)=0,"",AVERAGE(zip_med_inc_updated!CBC$2:CBC$4))</f>
        <v>146056.66666666666</v>
      </c>
      <c r="CBD2">
        <f>IF(COUNT(zip_med_inc_updated!CBD$2:CBD$4)=0,"",AVERAGE(zip_med_inc_updated!CBD$2:CBD$4))</f>
        <v>50890</v>
      </c>
      <c r="CBE2" t="str">
        <f>IF(COUNT(zip_med_inc_updated!CBE$2:CBE$4)=0,"",AVERAGE(zip_med_inc_updated!CBE$2:CBE$4))</f>
        <v/>
      </c>
      <c r="CBF2">
        <f>IF(COUNT(zip_med_inc_updated!CBF$2:CBF$4)=0,"",AVERAGE(zip_med_inc_updated!CBF$2:CBF$4))</f>
        <v>68029.333333333328</v>
      </c>
      <c r="CBG2">
        <f>IF(COUNT(zip_med_inc_updated!CBG$2:CBG$4)=0,"",AVERAGE(zip_med_inc_updated!CBG$2:CBG$4))</f>
        <v>70973</v>
      </c>
      <c r="CBH2">
        <f>IF(COUNT(zip_med_inc_updated!CBH$2:CBH$4)=0,"",AVERAGE(zip_med_inc_updated!CBH$2:CBH$4))</f>
        <v>47147.333333333336</v>
      </c>
      <c r="CBI2">
        <f>IF(COUNT(zip_med_inc_updated!CBI$2:CBI$4)=0,"",AVERAGE(zip_med_inc_updated!CBI$2:CBI$4))</f>
        <v>68290.666666666672</v>
      </c>
      <c r="CBJ2">
        <f>IF(COUNT(zip_med_inc_updated!CBJ$2:CBJ$4)=0,"",AVERAGE(zip_med_inc_updated!CBJ$2:CBJ$4))</f>
        <v>92067.666666666672</v>
      </c>
      <c r="CBK2">
        <f>IF(COUNT(zip_med_inc_updated!CBK$2:CBK$4)=0,"",AVERAGE(zip_med_inc_updated!CBK$2:CBK$4))</f>
        <v>52634</v>
      </c>
      <c r="CBL2">
        <f>IF(COUNT(zip_med_inc_updated!CBL$2:CBL$4)=0,"",AVERAGE(zip_med_inc_updated!CBL$2:CBL$4))</f>
        <v>107249.66666666667</v>
      </c>
      <c r="CBM2">
        <f>IF(COUNT(zip_med_inc_updated!CBM$2:CBM$4)=0,"",AVERAGE(zip_med_inc_updated!CBM$2:CBM$4))</f>
        <v>66402.666666666672</v>
      </c>
      <c r="CBN2">
        <f>IF(COUNT(zip_med_inc_updated!CBN$2:CBN$4)=0,"",AVERAGE(zip_med_inc_updated!CBN$2:CBN$4))</f>
        <v>61601.666666666664</v>
      </c>
      <c r="CBO2">
        <f>IF(COUNT(zip_med_inc_updated!CBO$2:CBO$4)=0,"",AVERAGE(zip_med_inc_updated!CBO$2:CBO$4))</f>
        <v>61441</v>
      </c>
      <c r="CBP2" t="str">
        <f>IF(COUNT(zip_med_inc_updated!CBP$2:CBP$4)=0,"",AVERAGE(zip_med_inc_updated!CBP$2:CBP$4))</f>
        <v/>
      </c>
      <c r="CBQ2">
        <f>IF(COUNT(zip_med_inc_updated!CBQ$2:CBQ$4)=0,"",AVERAGE(zip_med_inc_updated!CBQ$2:CBQ$4))</f>
        <v>65616</v>
      </c>
      <c r="CBR2">
        <f>IF(COUNT(zip_med_inc_updated!CBR$2:CBR$4)=0,"",AVERAGE(zip_med_inc_updated!CBR$2:CBR$4))</f>
        <v>54909.666666666664</v>
      </c>
      <c r="CBS2">
        <f>IF(COUNT(zip_med_inc_updated!CBS$2:CBS$4)=0,"",AVERAGE(zip_med_inc_updated!CBS$2:CBS$4))</f>
        <v>55404.666666666664</v>
      </c>
      <c r="CBT2">
        <f>IF(COUNT(zip_med_inc_updated!CBT$2:CBT$4)=0,"",AVERAGE(zip_med_inc_updated!CBT$2:CBT$4))</f>
        <v>66015.666666666672</v>
      </c>
      <c r="CBU2" t="str">
        <f>IF(COUNT(zip_med_inc_updated!CBU$2:CBU$4)=0,"",AVERAGE(zip_med_inc_updated!CBU$2:CBU$4))</f>
        <v/>
      </c>
      <c r="CBV2">
        <f>IF(COUNT(zip_med_inc_updated!CBV$2:CBV$4)=0,"",AVERAGE(zip_med_inc_updated!CBV$2:CBV$4))</f>
        <v>59274.666666666664</v>
      </c>
      <c r="CBW2">
        <f>IF(COUNT(zip_med_inc_updated!CBW$2:CBW$4)=0,"",AVERAGE(zip_med_inc_updated!CBW$2:CBW$4))</f>
        <v>115568</v>
      </c>
      <c r="CBX2" t="str">
        <f>IF(COUNT(zip_med_inc_updated!CBX$2:CBX$4)=0,"",AVERAGE(zip_med_inc_updated!CBX$2:CBX$4))</f>
        <v/>
      </c>
      <c r="CBY2">
        <f>IF(COUNT(zip_med_inc_updated!CBY$2:CBY$4)=0,"",AVERAGE(zip_med_inc_updated!CBY$2:CBY$4))</f>
        <v>92386.333333333328</v>
      </c>
      <c r="CBZ2">
        <f>IF(COUNT(zip_med_inc_updated!CBZ$2:CBZ$4)=0,"",AVERAGE(zip_med_inc_updated!CBZ$2:CBZ$4))</f>
        <v>58257</v>
      </c>
      <c r="CCA2">
        <f>IF(COUNT(zip_med_inc_updated!CCA$2:CCA$4)=0,"",AVERAGE(zip_med_inc_updated!CCA$2:CCA$4))</f>
        <v>57410.666666666664</v>
      </c>
      <c r="CCB2">
        <f>IF(COUNT(zip_med_inc_updated!CCB$2:CCB$4)=0,"",AVERAGE(zip_med_inc_updated!CCB$2:CCB$4))</f>
        <v>66352.666666666672</v>
      </c>
      <c r="CCC2">
        <f>IF(COUNT(zip_med_inc_updated!CCC$2:CCC$4)=0,"",AVERAGE(zip_med_inc_updated!CCC$2:CCC$4))</f>
        <v>63975.666666666664</v>
      </c>
      <c r="CCD2">
        <f>IF(COUNT(zip_med_inc_updated!CCD$2:CCD$4)=0,"",AVERAGE(zip_med_inc_updated!CCD$2:CCD$4))</f>
        <v>69164</v>
      </c>
      <c r="CCE2" t="str">
        <f>IF(COUNT(zip_med_inc_updated!CCE$2:CCE$4)=0,"",AVERAGE(zip_med_inc_updated!CCE$2:CCE$4))</f>
        <v/>
      </c>
      <c r="CCF2">
        <f>IF(COUNT(zip_med_inc_updated!CCF$2:CCF$4)=0,"",AVERAGE(zip_med_inc_updated!CCF$2:CCF$4))</f>
        <v>47947.333333333336</v>
      </c>
      <c r="CCG2">
        <f>IF(COUNT(zip_med_inc_updated!CCG$2:CCG$4)=0,"",AVERAGE(zip_med_inc_updated!CCG$2:CCG$4))</f>
        <v>73582.666666666672</v>
      </c>
      <c r="CCH2">
        <f>IF(COUNT(zip_med_inc_updated!CCH$2:CCH$4)=0,"",AVERAGE(zip_med_inc_updated!CCH$2:CCH$4))</f>
        <v>72542</v>
      </c>
      <c r="CCI2">
        <f>IF(COUNT(zip_med_inc_updated!CCI$2:CCI$4)=0,"",AVERAGE(zip_med_inc_updated!CCI$2:CCI$4))</f>
        <v>129205.33333333333</v>
      </c>
      <c r="CCJ2">
        <f>IF(COUNT(zip_med_inc_updated!CCJ$2:CCJ$4)=0,"",AVERAGE(zip_med_inc_updated!CCJ$2:CCJ$4))</f>
        <v>70905</v>
      </c>
      <c r="CCK2">
        <f>IF(COUNT(zip_med_inc_updated!CCK$2:CCK$4)=0,"",AVERAGE(zip_med_inc_updated!CCK$2:CCK$4))</f>
        <v>60977</v>
      </c>
      <c r="CCL2">
        <f>IF(COUNT(zip_med_inc_updated!CCL$2:CCL$4)=0,"",AVERAGE(zip_med_inc_updated!CCL$2:CCL$4))</f>
        <v>71372.333333333328</v>
      </c>
      <c r="CCM2">
        <f>IF(COUNT(zip_med_inc_updated!CCM$2:CCM$4)=0,"",AVERAGE(zip_med_inc_updated!CCM$2:CCM$4))</f>
        <v>55201.333333333336</v>
      </c>
      <c r="CCN2">
        <f>IF(COUNT(zip_med_inc_updated!CCN$2:CCN$4)=0,"",AVERAGE(zip_med_inc_updated!CCN$2:CCN$4))</f>
        <v>51045.666666666664</v>
      </c>
      <c r="CCO2">
        <f>IF(COUNT(zip_med_inc_updated!CCO$2:CCO$4)=0,"",AVERAGE(zip_med_inc_updated!CCO$2:CCO$4))</f>
        <v>64757</v>
      </c>
      <c r="CCP2">
        <f>IF(COUNT(zip_med_inc_updated!CCP$2:CCP$4)=0,"",AVERAGE(zip_med_inc_updated!CCP$2:CCP$4))</f>
        <v>55431</v>
      </c>
      <c r="CCQ2">
        <f>IF(COUNT(zip_med_inc_updated!CCQ$2:CCQ$4)=0,"",AVERAGE(zip_med_inc_updated!CCQ$2:CCQ$4))</f>
        <v>61739.666666666664</v>
      </c>
      <c r="CCR2">
        <f>IF(COUNT(zip_med_inc_updated!CCR$2:CCR$4)=0,"",AVERAGE(zip_med_inc_updated!CCR$2:CCR$4))</f>
        <v>56475.333333333336</v>
      </c>
      <c r="CCS2">
        <f>IF(COUNT(zip_med_inc_updated!CCS$2:CCS$4)=0,"",AVERAGE(zip_med_inc_updated!CCS$2:CCS$4))</f>
        <v>73829.333333333328</v>
      </c>
      <c r="CCT2">
        <f>IF(COUNT(zip_med_inc_updated!CCT$2:CCT$4)=0,"",AVERAGE(zip_med_inc_updated!CCT$2:CCT$4))</f>
        <v>81667</v>
      </c>
      <c r="CCU2">
        <f>IF(COUNT(zip_med_inc_updated!CCU$2:CCU$4)=0,"",AVERAGE(zip_med_inc_updated!CCU$2:CCU$4))</f>
        <v>45831</v>
      </c>
      <c r="CCV2">
        <f>IF(COUNT(zip_med_inc_updated!CCV$2:CCV$4)=0,"",AVERAGE(zip_med_inc_updated!CCV$2:CCV$4))</f>
        <v>96836.333333333328</v>
      </c>
      <c r="CCW2">
        <f>IF(COUNT(zip_med_inc_updated!CCW$2:CCW$4)=0,"",AVERAGE(zip_med_inc_updated!CCW$2:CCW$4))</f>
        <v>78541.333333333328</v>
      </c>
      <c r="CCX2">
        <f>IF(COUNT(zip_med_inc_updated!CCX$2:CCX$4)=0,"",AVERAGE(zip_med_inc_updated!CCX$2:CCX$4))</f>
        <v>54305</v>
      </c>
      <c r="CCY2">
        <f>IF(COUNT(zip_med_inc_updated!CCY$2:CCY$4)=0,"",AVERAGE(zip_med_inc_updated!CCY$2:CCY$4))</f>
        <v>52019.666666666664</v>
      </c>
      <c r="CCZ2">
        <f>IF(COUNT(zip_med_inc_updated!CCZ$2:CCZ$4)=0,"",AVERAGE(zip_med_inc_updated!CCZ$2:CCZ$4))</f>
        <v>70980.666666666672</v>
      </c>
      <c r="CDA2">
        <f>IF(COUNT(zip_med_inc_updated!CDA$2:CDA$4)=0,"",AVERAGE(zip_med_inc_updated!CDA$2:CDA$4))</f>
        <v>82443.333333333328</v>
      </c>
      <c r="CDB2">
        <f>IF(COUNT(zip_med_inc_updated!CDB$2:CDB$4)=0,"",AVERAGE(zip_med_inc_updated!CDB$2:CDB$4))</f>
        <v>67886.333333333328</v>
      </c>
      <c r="CDC2">
        <f>IF(COUNT(zip_med_inc_updated!CDC$2:CDC$4)=0,"",AVERAGE(zip_med_inc_updated!CDC$2:CDC$4))</f>
        <v>61024.333333333336</v>
      </c>
      <c r="CDD2">
        <f>IF(COUNT(zip_med_inc_updated!CDD$2:CDD$4)=0,"",AVERAGE(zip_med_inc_updated!CDD$2:CDD$4))</f>
        <v>43649.333333333336</v>
      </c>
      <c r="CDE2">
        <f>IF(COUNT(zip_med_inc_updated!CDE$2:CDE$4)=0,"",AVERAGE(zip_med_inc_updated!CDE$2:CDE$4))</f>
        <v>69221</v>
      </c>
      <c r="CDF2">
        <f>IF(COUNT(zip_med_inc_updated!CDF$2:CDF$4)=0,"",AVERAGE(zip_med_inc_updated!CDF$2:CDF$4))</f>
        <v>56709.333333333336</v>
      </c>
      <c r="CDG2">
        <f>IF(COUNT(zip_med_inc_updated!CDG$2:CDG$4)=0,"",AVERAGE(zip_med_inc_updated!CDG$2:CDG$4))</f>
        <v>54642</v>
      </c>
      <c r="CDH2">
        <f>IF(COUNT(zip_med_inc_updated!CDH$2:CDH$4)=0,"",AVERAGE(zip_med_inc_updated!CDH$2:CDH$4))</f>
        <v>52618</v>
      </c>
      <c r="CDI2">
        <f>IF(COUNT(zip_med_inc_updated!CDI$2:CDI$4)=0,"",AVERAGE(zip_med_inc_updated!CDI$2:CDI$4))</f>
        <v>81444.666666666672</v>
      </c>
      <c r="CDJ2">
        <f>IF(COUNT(zip_med_inc_updated!CDJ$2:CDJ$4)=0,"",AVERAGE(zip_med_inc_updated!CDJ$2:CDJ$4))</f>
        <v>206790.33333333334</v>
      </c>
      <c r="CDK2">
        <f>IF(COUNT(zip_med_inc_updated!CDK$2:CDK$4)=0,"",AVERAGE(zip_med_inc_updated!CDK$2:CDK$4))</f>
        <v>101818.66666666667</v>
      </c>
      <c r="CDL2">
        <f>IF(COUNT(zip_med_inc_updated!CDL$2:CDL$4)=0,"",AVERAGE(zip_med_inc_updated!CDL$2:CDL$4))</f>
        <v>87392</v>
      </c>
      <c r="CDM2">
        <f>IF(COUNT(zip_med_inc_updated!CDM$2:CDM$4)=0,"",AVERAGE(zip_med_inc_updated!CDM$2:CDM$4))</f>
        <v>117573.33333333333</v>
      </c>
      <c r="CDN2">
        <f>IF(COUNT(zip_med_inc_updated!CDN$2:CDN$4)=0,"",AVERAGE(zip_med_inc_updated!CDN$2:CDN$4))</f>
        <v>109685</v>
      </c>
      <c r="CDO2">
        <f>IF(COUNT(zip_med_inc_updated!CDO$2:CDO$4)=0,"",AVERAGE(zip_med_inc_updated!CDO$2:CDO$4))</f>
        <v>188534.33333333334</v>
      </c>
      <c r="CDP2">
        <f>IF(COUNT(zip_med_inc_updated!CDP$2:CDP$4)=0,"",AVERAGE(zip_med_inc_updated!CDP$2:CDP$4))</f>
        <v>139734.33333333334</v>
      </c>
      <c r="CDQ2">
        <f>IF(COUNT(zip_med_inc_updated!CDQ$2:CDQ$4)=0,"",AVERAGE(zip_med_inc_updated!CDQ$2:CDQ$4))</f>
        <v>140977.66666666666</v>
      </c>
      <c r="CDR2">
        <f>IF(COUNT(zip_med_inc_updated!CDR$2:CDR$4)=0,"",AVERAGE(zip_med_inc_updated!CDR$2:CDR$4))</f>
        <v>135325</v>
      </c>
      <c r="CDS2">
        <f>IF(COUNT(zip_med_inc_updated!CDS$2:CDS$4)=0,"",AVERAGE(zip_med_inc_updated!CDS$2:CDS$4))</f>
        <v>149891</v>
      </c>
      <c r="CDT2">
        <f>IF(COUNT(zip_med_inc_updated!CDT$2:CDT$4)=0,"",AVERAGE(zip_med_inc_updated!CDT$2:CDT$4))</f>
        <v>130551</v>
      </c>
      <c r="CDU2">
        <f>IF(COUNT(zip_med_inc_updated!CDU$2:CDU$4)=0,"",AVERAGE(zip_med_inc_updated!CDU$2:CDU$4))</f>
        <v>216042.33333333334</v>
      </c>
      <c r="CDV2">
        <f>IF(COUNT(zip_med_inc_updated!CDV$2:CDV$4)=0,"",AVERAGE(zip_med_inc_updated!CDV$2:CDV$4))</f>
        <v>250001</v>
      </c>
      <c r="CDW2">
        <f>IF(COUNT(zip_med_inc_updated!CDW$2:CDW$4)=0,"",AVERAGE(zip_med_inc_updated!CDW$2:CDW$4))</f>
        <v>90467.666666666672</v>
      </c>
      <c r="CDX2">
        <f>IF(COUNT(zip_med_inc_updated!CDX$2:CDX$4)=0,"",AVERAGE(zip_med_inc_updated!CDX$2:CDX$4))</f>
        <v>179221.66666666666</v>
      </c>
      <c r="CDY2">
        <f>IF(COUNT(zip_med_inc_updated!CDY$2:CDY$4)=0,"",AVERAGE(zip_med_inc_updated!CDY$2:CDY$4))</f>
        <v>105501</v>
      </c>
      <c r="CDZ2">
        <f>IF(COUNT(zip_med_inc_updated!CDZ$2:CDZ$4)=0,"",AVERAGE(zip_med_inc_updated!CDZ$2:CDZ$4))</f>
        <v>177840.66666666666</v>
      </c>
      <c r="CEA2">
        <f>IF(COUNT(zip_med_inc_updated!CEA$2:CEA$4)=0,"",AVERAGE(zip_med_inc_updated!CEA$2:CEA$4))</f>
        <v>160608.33333333334</v>
      </c>
      <c r="CEB2">
        <f>IF(COUNT(zip_med_inc_updated!CEB$2:CEB$4)=0,"",AVERAGE(zip_med_inc_updated!CEB$2:CEB$4))</f>
        <v>193356</v>
      </c>
      <c r="CEC2">
        <f>IF(COUNT(zip_med_inc_updated!CEC$2:CEC$4)=0,"",AVERAGE(zip_med_inc_updated!CEC$2:CEC$4))</f>
        <v>166423.66666666666</v>
      </c>
      <c r="CED2">
        <f>IF(COUNT(zip_med_inc_updated!CED$2:CED$4)=0,"",AVERAGE(zip_med_inc_updated!CED$2:CED$4))</f>
        <v>175010</v>
      </c>
      <c r="CEE2">
        <f>IF(COUNT(zip_med_inc_updated!CEE$2:CEE$4)=0,"",AVERAGE(zip_med_inc_updated!CEE$2:CEE$4))</f>
        <v>159991.33333333334</v>
      </c>
      <c r="CEF2">
        <f>IF(COUNT(zip_med_inc_updated!CEF$2:CEF$4)=0,"",AVERAGE(zip_med_inc_updated!CEF$2:CEF$4))</f>
        <v>228829</v>
      </c>
      <c r="CEG2">
        <f>IF(COUNT(zip_med_inc_updated!CEG$2:CEG$4)=0,"",AVERAGE(zip_med_inc_updated!CEG$2:CEG$4))</f>
        <v>146392</v>
      </c>
      <c r="CEH2">
        <f>IF(COUNT(zip_med_inc_updated!CEH$2:CEH$4)=0,"",AVERAGE(zip_med_inc_updated!CEH$2:CEH$4))</f>
        <v>190825.66666666666</v>
      </c>
      <c r="CEI2">
        <f>IF(COUNT(zip_med_inc_updated!CEI$2:CEI$4)=0,"",AVERAGE(zip_med_inc_updated!CEI$2:CEI$4))</f>
        <v>155368.33333333334</v>
      </c>
      <c r="CEJ2">
        <f>IF(COUNT(zip_med_inc_updated!CEJ$2:CEJ$4)=0,"",AVERAGE(zip_med_inc_updated!CEJ$2:CEJ$4))</f>
        <v>205308</v>
      </c>
      <c r="CEK2">
        <f>IF(COUNT(zip_med_inc_updated!CEK$2:CEK$4)=0,"",AVERAGE(zip_med_inc_updated!CEK$2:CEK$4))</f>
        <v>131009.66666666667</v>
      </c>
      <c r="CEL2">
        <f>IF(COUNT(zip_med_inc_updated!CEL$2:CEL$4)=0,"",AVERAGE(zip_med_inc_updated!CEL$2:CEL$4))</f>
        <v>180561.66666666666</v>
      </c>
      <c r="CEM2">
        <f>IF(COUNT(zip_med_inc_updated!CEM$2:CEM$4)=0,"",AVERAGE(zip_med_inc_updated!CEM$2:CEM$4))</f>
        <v>133910.66666666666</v>
      </c>
      <c r="CEN2">
        <f>IF(COUNT(zip_med_inc_updated!CEN$2:CEN$4)=0,"",AVERAGE(zip_med_inc_updated!CEN$2:CEN$4))</f>
        <v>196271.33333333334</v>
      </c>
      <c r="CEO2">
        <f>IF(COUNT(zip_med_inc_updated!CEO$2:CEO$4)=0,"",AVERAGE(zip_med_inc_updated!CEO$2:CEO$4))</f>
        <v>156159</v>
      </c>
      <c r="CEP2">
        <f>IF(COUNT(zip_med_inc_updated!CEP$2:CEP$4)=0,"",AVERAGE(zip_med_inc_updated!CEP$2:CEP$4))</f>
        <v>164294.33333333334</v>
      </c>
      <c r="CEQ2">
        <f>IF(COUNT(zip_med_inc_updated!CEQ$2:CEQ$4)=0,"",AVERAGE(zip_med_inc_updated!CEQ$2:CEQ$4))</f>
        <v>168092.66666666666</v>
      </c>
      <c r="CER2">
        <f>IF(COUNT(zip_med_inc_updated!CER$2:CER$4)=0,"",AVERAGE(zip_med_inc_updated!CER$2:CER$4))</f>
        <v>163748.66666666666</v>
      </c>
      <c r="CES2">
        <f>IF(COUNT(zip_med_inc_updated!CES$2:CES$4)=0,"",AVERAGE(zip_med_inc_updated!CES$2:CES$4))</f>
        <v>155735.33333333334</v>
      </c>
      <c r="CET2">
        <f>IF(COUNT(zip_med_inc_updated!CET$2:CET$4)=0,"",AVERAGE(zip_med_inc_updated!CET$2:CET$4))</f>
        <v>160853.66666666666</v>
      </c>
      <c r="CEU2">
        <f>IF(COUNT(zip_med_inc_updated!CEU$2:CEU$4)=0,"",AVERAGE(zip_med_inc_updated!CEU$2:CEU$4))</f>
        <v>53860</v>
      </c>
      <c r="CEV2">
        <f>IF(COUNT(zip_med_inc_updated!CEV$2:CEV$4)=0,"",AVERAGE(zip_med_inc_updated!CEV$2:CEV$4))</f>
        <v>99899</v>
      </c>
      <c r="CEW2">
        <f>IF(COUNT(zip_med_inc_updated!CEW$2:CEW$4)=0,"",AVERAGE(zip_med_inc_updated!CEW$2:CEW$4))</f>
        <v>166770.33333333334</v>
      </c>
      <c r="CEX2">
        <f>IF(COUNT(zip_med_inc_updated!CEX$2:CEX$4)=0,"",AVERAGE(zip_med_inc_updated!CEX$2:CEX$4))</f>
        <v>127337</v>
      </c>
      <c r="CEY2">
        <f>IF(COUNT(zip_med_inc_updated!CEY$2:CEY$4)=0,"",AVERAGE(zip_med_inc_updated!CEY$2:CEY$4))</f>
        <v>144045.33333333334</v>
      </c>
      <c r="CEZ2">
        <f>IF(COUNT(zip_med_inc_updated!CEZ$2:CEZ$4)=0,"",AVERAGE(zip_med_inc_updated!CEZ$2:CEZ$4))</f>
        <v>166350</v>
      </c>
      <c r="CFA2">
        <f>IF(COUNT(zip_med_inc_updated!CFA$2:CFA$4)=0,"",AVERAGE(zip_med_inc_updated!CFA$2:CFA$4))</f>
        <v>216366.66666666666</v>
      </c>
      <c r="CFB2">
        <f>IF(COUNT(zip_med_inc_updated!CFB$2:CFB$4)=0,"",AVERAGE(zip_med_inc_updated!CFB$2:CFB$4))</f>
        <v>96132.333333333328</v>
      </c>
      <c r="CFC2">
        <f>IF(COUNT(zip_med_inc_updated!CFC$2:CFC$4)=0,"",AVERAGE(zip_med_inc_updated!CFC$2:CFC$4))</f>
        <v>132708.33333333334</v>
      </c>
      <c r="CFD2">
        <f>IF(COUNT(zip_med_inc_updated!CFD$2:CFD$4)=0,"",AVERAGE(zip_med_inc_updated!CFD$2:CFD$4))</f>
        <v>166759</v>
      </c>
      <c r="CFE2">
        <f>IF(COUNT(zip_med_inc_updated!CFE$2:CFE$4)=0,"",AVERAGE(zip_med_inc_updated!CFE$2:CFE$4))</f>
        <v>140239.66666666666</v>
      </c>
      <c r="CFF2">
        <f>IF(COUNT(zip_med_inc_updated!CFF$2:CFF$4)=0,"",AVERAGE(zip_med_inc_updated!CFF$2:CFF$4))</f>
        <v>116969</v>
      </c>
      <c r="CFG2">
        <f>IF(COUNT(zip_med_inc_updated!CFG$2:CFG$4)=0,"",AVERAGE(zip_med_inc_updated!CFG$2:CFG$4))</f>
        <v>250001</v>
      </c>
      <c r="CFH2">
        <f>IF(COUNT(zip_med_inc_updated!CFH$2:CFH$4)=0,"",AVERAGE(zip_med_inc_updated!CFH$2:CFH$4))</f>
        <v>139126.66666666666</v>
      </c>
      <c r="CFI2">
        <f>IF(COUNT(zip_med_inc_updated!CFI$2:CFI$4)=0,"",AVERAGE(zip_med_inc_updated!CFI$2:CFI$4))</f>
        <v>130123</v>
      </c>
      <c r="CFJ2">
        <f>IF(COUNT(zip_med_inc_updated!CFJ$2:CFJ$4)=0,"",AVERAGE(zip_med_inc_updated!CFJ$2:CFJ$4))</f>
        <v>176011.66666666666</v>
      </c>
      <c r="CFK2">
        <f>IF(COUNT(zip_med_inc_updated!CFK$2:CFK$4)=0,"",AVERAGE(zip_med_inc_updated!CFK$2:CFK$4))</f>
        <v>135833</v>
      </c>
      <c r="CFL2" t="str">
        <f>IF(COUNT(zip_med_inc_updated!CFL$2:CFL$4)=0,"",AVERAGE(zip_med_inc_updated!CFL$2:CFL$4))</f>
        <v/>
      </c>
      <c r="CFM2">
        <f>IF(COUNT(zip_med_inc_updated!CFM$2:CFM$4)=0,"",AVERAGE(zip_med_inc_updated!CFM$2:CFM$4))</f>
        <v>250001</v>
      </c>
      <c r="CFN2">
        <f>IF(COUNT(zip_med_inc_updated!CFN$2:CFN$4)=0,"",AVERAGE(zip_med_inc_updated!CFN$2:CFN$4))</f>
        <v>90147.333333333328</v>
      </c>
      <c r="CFO2">
        <f>IF(COUNT(zip_med_inc_updated!CFO$2:CFO$4)=0,"",AVERAGE(zip_med_inc_updated!CFO$2:CFO$4))</f>
        <v>135196.33333333334</v>
      </c>
      <c r="CFP2">
        <f>IF(COUNT(zip_med_inc_updated!CFP$2:CFP$4)=0,"",AVERAGE(zip_med_inc_updated!CFP$2:CFP$4))</f>
        <v>142121.66666666666</v>
      </c>
      <c r="CFQ2">
        <f>IF(COUNT(zip_med_inc_updated!CFQ$2:CFQ$4)=0,"",AVERAGE(zip_med_inc_updated!CFQ$2:CFQ$4))</f>
        <v>98017.333333333328</v>
      </c>
      <c r="CFR2">
        <f>IF(COUNT(zip_med_inc_updated!CFR$2:CFR$4)=0,"",AVERAGE(zip_med_inc_updated!CFR$2:CFR$4))</f>
        <v>173480</v>
      </c>
      <c r="CFS2">
        <f>IF(COUNT(zip_med_inc_updated!CFS$2:CFS$4)=0,"",AVERAGE(zip_med_inc_updated!CFS$2:CFS$4))</f>
        <v>101746.66666666667</v>
      </c>
      <c r="CFT2">
        <f>IF(COUNT(zip_med_inc_updated!CFT$2:CFT$4)=0,"",AVERAGE(zip_med_inc_updated!CFT$2:CFT$4))</f>
        <v>250001</v>
      </c>
      <c r="CFU2">
        <f>IF(COUNT(zip_med_inc_updated!CFU$2:CFU$4)=0,"",AVERAGE(zip_med_inc_updated!CFU$2:CFU$4))</f>
        <v>140741.66666666666</v>
      </c>
      <c r="CFV2">
        <f>IF(COUNT(zip_med_inc_updated!CFV$2:CFV$4)=0,"",AVERAGE(zip_med_inc_updated!CFV$2:CFV$4))</f>
        <v>250001</v>
      </c>
      <c r="CFW2">
        <f>IF(COUNT(zip_med_inc_updated!CFW$2:CFW$4)=0,"",AVERAGE(zip_med_inc_updated!CFW$2:CFW$4))</f>
        <v>152395</v>
      </c>
      <c r="CFX2">
        <f>IF(COUNT(zip_med_inc_updated!CFX$2:CFX$4)=0,"",AVERAGE(zip_med_inc_updated!CFX$2:CFX$4))</f>
        <v>212211</v>
      </c>
      <c r="CFY2">
        <f>IF(COUNT(zip_med_inc_updated!CFY$2:CFY$4)=0,"",AVERAGE(zip_med_inc_updated!CFY$2:CFY$4))</f>
        <v>158267.33333333334</v>
      </c>
      <c r="CFZ2">
        <f>IF(COUNT(zip_med_inc_updated!CFZ$2:CFZ$4)=0,"",AVERAGE(zip_med_inc_updated!CFZ$2:CFZ$4))</f>
        <v>66973.666666666672</v>
      </c>
      <c r="CGA2">
        <f>IF(COUNT(zip_med_inc_updated!CGA$2:CGA$4)=0,"",AVERAGE(zip_med_inc_updated!CGA$2:CGA$4))</f>
        <v>118617</v>
      </c>
      <c r="CGB2">
        <f>IF(COUNT(zip_med_inc_updated!CGB$2:CGB$4)=0,"",AVERAGE(zip_med_inc_updated!CGB$2:CGB$4))</f>
        <v>154880</v>
      </c>
      <c r="CGC2">
        <f>IF(COUNT(zip_med_inc_updated!CGC$2:CGC$4)=0,"",AVERAGE(zip_med_inc_updated!CGC$2:CGC$4))</f>
        <v>160342</v>
      </c>
      <c r="CGD2">
        <f>IF(COUNT(zip_med_inc_updated!CGD$2:CGD$4)=0,"",AVERAGE(zip_med_inc_updated!CGD$2:CGD$4))</f>
        <v>169316.66666666666</v>
      </c>
      <c r="CGE2">
        <f>IF(COUNT(zip_med_inc_updated!CGE$2:CGE$4)=0,"",AVERAGE(zip_med_inc_updated!CGE$2:CGE$4))</f>
        <v>108753.33333333333</v>
      </c>
      <c r="CGF2">
        <f>IF(COUNT(zip_med_inc_updated!CGF$2:CGF$4)=0,"",AVERAGE(zip_med_inc_updated!CGF$2:CGF$4))</f>
        <v>179299.33333333334</v>
      </c>
      <c r="CGG2">
        <f>IF(COUNT(zip_med_inc_updated!CGG$2:CGG$4)=0,"",AVERAGE(zip_med_inc_updated!CGG$2:CGG$4))</f>
        <v>207754.66666666666</v>
      </c>
      <c r="CGH2">
        <f>IF(COUNT(zip_med_inc_updated!CGH$2:CGH$4)=0,"",AVERAGE(zip_med_inc_updated!CGH$2:CGH$4))</f>
        <v>202519</v>
      </c>
      <c r="CGI2">
        <f>IF(COUNT(zip_med_inc_updated!CGI$2:CGI$4)=0,"",AVERAGE(zip_med_inc_updated!CGI$2:CGI$4))</f>
        <v>106322.66666666667</v>
      </c>
      <c r="CGJ2">
        <f>IF(COUNT(zip_med_inc_updated!CGJ$2:CGJ$4)=0,"",AVERAGE(zip_med_inc_updated!CGJ$2:CGJ$4))</f>
        <v>122566.66666666667</v>
      </c>
      <c r="CGK2">
        <f>IF(COUNT(zip_med_inc_updated!CGK$2:CGK$4)=0,"",AVERAGE(zip_med_inc_updated!CGK$2:CGK$4))</f>
        <v>117679.33333333333</v>
      </c>
      <c r="CGL2">
        <f>IF(COUNT(zip_med_inc_updated!CGL$2:CGL$4)=0,"",AVERAGE(zip_med_inc_updated!CGL$2:CGL$4))</f>
        <v>142396.33333333334</v>
      </c>
      <c r="CGM2">
        <f>IF(COUNT(zip_med_inc_updated!CGM$2:CGM$4)=0,"",AVERAGE(zip_med_inc_updated!CGM$2:CGM$4))</f>
        <v>137810.33333333334</v>
      </c>
      <c r="CGN2">
        <f>IF(COUNT(zip_med_inc_updated!CGN$2:CGN$4)=0,"",AVERAGE(zip_med_inc_updated!CGN$2:CGN$4))</f>
        <v>131950.66666666666</v>
      </c>
      <c r="CGO2">
        <f>IF(COUNT(zip_med_inc_updated!CGO$2:CGO$4)=0,"",AVERAGE(zip_med_inc_updated!CGO$2:CGO$4))</f>
        <v>107630.66666666667</v>
      </c>
      <c r="CGP2">
        <f>IF(COUNT(zip_med_inc_updated!CGP$2:CGP$4)=0,"",AVERAGE(zip_med_inc_updated!CGP$2:CGP$4))</f>
        <v>200138</v>
      </c>
      <c r="CGQ2">
        <f>IF(COUNT(zip_med_inc_updated!CGQ$2:CGQ$4)=0,"",AVERAGE(zip_med_inc_updated!CGQ$2:CGQ$4))</f>
        <v>136040.33333333334</v>
      </c>
      <c r="CGR2">
        <f>IF(COUNT(zip_med_inc_updated!CGR$2:CGR$4)=0,"",AVERAGE(zip_med_inc_updated!CGR$2:CGR$4))</f>
        <v>236937.33333333334</v>
      </c>
      <c r="CGS2">
        <f>IF(COUNT(zip_med_inc_updated!CGS$2:CGS$4)=0,"",AVERAGE(zip_med_inc_updated!CGS$2:CGS$4))</f>
        <v>114629.66666666667</v>
      </c>
      <c r="CGT2">
        <f>IF(COUNT(zip_med_inc_updated!CGT$2:CGT$4)=0,"",AVERAGE(zip_med_inc_updated!CGT$2:CGT$4))</f>
        <v>232333.33333333334</v>
      </c>
      <c r="CGU2">
        <f>IF(COUNT(zip_med_inc_updated!CGU$2:CGU$4)=0,"",AVERAGE(zip_med_inc_updated!CGU$2:CGU$4))</f>
        <v>189780</v>
      </c>
      <c r="CGV2" t="str">
        <f>IF(COUNT(zip_med_inc_updated!CGV$2:CGV$4)=0,"",AVERAGE(zip_med_inc_updated!CGV$2:CGV$4))</f>
        <v/>
      </c>
      <c r="CGW2">
        <f>IF(COUNT(zip_med_inc_updated!CGW$2:CGW$4)=0,"",AVERAGE(zip_med_inc_updated!CGW$2:CGW$4))</f>
        <v>190522.66666666666</v>
      </c>
      <c r="CGX2">
        <f>IF(COUNT(zip_med_inc_updated!CGX$2:CGX$4)=0,"",AVERAGE(zip_med_inc_updated!CGX$2:CGX$4))</f>
        <v>123552.33333333333</v>
      </c>
      <c r="CGY2">
        <f>IF(COUNT(zip_med_inc_updated!CGY$2:CGY$4)=0,"",AVERAGE(zip_med_inc_updated!CGY$2:CGY$4))</f>
        <v>103288</v>
      </c>
      <c r="CGZ2">
        <f>IF(COUNT(zip_med_inc_updated!CGZ$2:CGZ$4)=0,"",AVERAGE(zip_med_inc_updated!CGZ$2:CGZ$4))</f>
        <v>99155.666666666672</v>
      </c>
      <c r="CHA2">
        <f>IF(COUNT(zip_med_inc_updated!CHA$2:CHA$4)=0,"",AVERAGE(zip_med_inc_updated!CHA$2:CHA$4))</f>
        <v>109092</v>
      </c>
      <c r="CHB2">
        <f>IF(COUNT(zip_med_inc_updated!CHB$2:CHB$4)=0,"",AVERAGE(zip_med_inc_updated!CHB$2:CHB$4))</f>
        <v>93639</v>
      </c>
      <c r="CHC2">
        <f>IF(COUNT(zip_med_inc_updated!CHC$2:CHC$4)=0,"",AVERAGE(zip_med_inc_updated!CHC$2:CHC$4))</f>
        <v>138141.33333333334</v>
      </c>
      <c r="CHD2">
        <f>IF(COUNT(zip_med_inc_updated!CHD$2:CHD$4)=0,"",AVERAGE(zip_med_inc_updated!CHD$2:CHD$4))</f>
        <v>206068.66666666666</v>
      </c>
      <c r="CHE2">
        <f>IF(COUNT(zip_med_inc_updated!CHE$2:CHE$4)=0,"",AVERAGE(zip_med_inc_updated!CHE$2:CHE$4))</f>
        <v>104871.66666666667</v>
      </c>
      <c r="CHF2">
        <f>IF(COUNT(zip_med_inc_updated!CHF$2:CHF$4)=0,"",AVERAGE(zip_med_inc_updated!CHF$2:CHF$4))</f>
        <v>160623</v>
      </c>
      <c r="CHG2">
        <f>IF(COUNT(zip_med_inc_updated!CHG$2:CHG$4)=0,"",AVERAGE(zip_med_inc_updated!CHG$2:CHG$4))</f>
        <v>85777.666666666672</v>
      </c>
      <c r="CHH2">
        <f>IF(COUNT(zip_med_inc_updated!CHH$2:CHH$4)=0,"",AVERAGE(zip_med_inc_updated!CHH$2:CHH$4))</f>
        <v>105230</v>
      </c>
      <c r="CHI2">
        <f>IF(COUNT(zip_med_inc_updated!CHI$2:CHI$4)=0,"",AVERAGE(zip_med_inc_updated!CHI$2:CHI$4))</f>
        <v>145280.33333333334</v>
      </c>
      <c r="CHJ2">
        <f>IF(COUNT(zip_med_inc_updated!CHJ$2:CHJ$4)=0,"",AVERAGE(zip_med_inc_updated!CHJ$2:CHJ$4))</f>
        <v>154855</v>
      </c>
      <c r="CHK2">
        <f>IF(COUNT(zip_med_inc_updated!CHK$2:CHK$4)=0,"",AVERAGE(zip_med_inc_updated!CHK$2:CHK$4))</f>
        <v>84983.333333333328</v>
      </c>
      <c r="CHL2">
        <f>IF(COUNT(zip_med_inc_updated!CHL$2:CHL$4)=0,"",AVERAGE(zip_med_inc_updated!CHL$2:CHL$4))</f>
        <v>126832.33333333333</v>
      </c>
      <c r="CHM2">
        <f>IF(COUNT(zip_med_inc_updated!CHM$2:CHM$4)=0,"",AVERAGE(zip_med_inc_updated!CHM$2:CHM$4))</f>
        <v>123436</v>
      </c>
      <c r="CHN2">
        <f>IF(COUNT(zip_med_inc_updated!CHN$2:CHN$4)=0,"",AVERAGE(zip_med_inc_updated!CHN$2:CHN$4))</f>
        <v>106448.66666666667</v>
      </c>
      <c r="CHO2">
        <f>IF(COUNT(zip_med_inc_updated!CHO$2:CHO$4)=0,"",AVERAGE(zip_med_inc_updated!CHO$2:CHO$4))</f>
        <v>111531.33333333333</v>
      </c>
      <c r="CHP2">
        <f>IF(COUNT(zip_med_inc_updated!CHP$2:CHP$4)=0,"",AVERAGE(zip_med_inc_updated!CHP$2:CHP$4))</f>
        <v>73556</v>
      </c>
      <c r="CHQ2">
        <f>IF(COUNT(zip_med_inc_updated!CHQ$2:CHQ$4)=0,"",AVERAGE(zip_med_inc_updated!CHQ$2:CHQ$4))</f>
        <v>60684</v>
      </c>
      <c r="CHR2">
        <f>IF(COUNT(zip_med_inc_updated!CHR$2:CHR$4)=0,"",AVERAGE(zip_med_inc_updated!CHR$2:CHR$4))</f>
        <v>76205.666666666672</v>
      </c>
      <c r="CHS2">
        <f>IF(COUNT(zip_med_inc_updated!CHS$2:CHS$4)=0,"",AVERAGE(zip_med_inc_updated!CHS$2:CHS$4))</f>
        <v>58171.666666666664</v>
      </c>
      <c r="CHT2">
        <f>IF(COUNT(zip_med_inc_updated!CHT$2:CHT$4)=0,"",AVERAGE(zip_med_inc_updated!CHT$2:CHT$4))</f>
        <v>59835</v>
      </c>
      <c r="CHU2">
        <f>IF(COUNT(zip_med_inc_updated!CHU$2:CHU$4)=0,"",AVERAGE(zip_med_inc_updated!CHU$2:CHU$4))</f>
        <v>110049.66666666667</v>
      </c>
      <c r="CHV2">
        <f>IF(COUNT(zip_med_inc_updated!CHV$2:CHV$4)=0,"",AVERAGE(zip_med_inc_updated!CHV$2:CHV$4))</f>
        <v>99557.333333333328</v>
      </c>
      <c r="CHW2">
        <f>IF(COUNT(zip_med_inc_updated!CHW$2:CHW$4)=0,"",AVERAGE(zip_med_inc_updated!CHW$2:CHW$4))</f>
        <v>59196.666666666664</v>
      </c>
      <c r="CHX2">
        <f>IF(COUNT(zip_med_inc_updated!CHX$2:CHX$4)=0,"",AVERAGE(zip_med_inc_updated!CHX$2:CHX$4))</f>
        <v>92521</v>
      </c>
      <c r="CHY2">
        <f>IF(COUNT(zip_med_inc_updated!CHY$2:CHY$4)=0,"",AVERAGE(zip_med_inc_updated!CHY$2:CHY$4))</f>
        <v>51151.666666666664</v>
      </c>
      <c r="CHZ2">
        <f>IF(COUNT(zip_med_inc_updated!CHZ$2:CHZ$4)=0,"",AVERAGE(zip_med_inc_updated!CHZ$2:CHZ$4))</f>
        <v>63690.333333333336</v>
      </c>
      <c r="CIA2">
        <f>IF(COUNT(zip_med_inc_updated!CIA$2:CIA$4)=0,"",AVERAGE(zip_med_inc_updated!CIA$2:CIA$4))</f>
        <v>59755</v>
      </c>
      <c r="CIB2" t="str">
        <f>IF(COUNT(zip_med_inc_updated!CIB$2:CIB$4)=0,"",AVERAGE(zip_med_inc_updated!CIB$2:CIB$4))</f>
        <v/>
      </c>
      <c r="CIC2">
        <f>IF(COUNT(zip_med_inc_updated!CIC$2:CIC$4)=0,"",AVERAGE(zip_med_inc_updated!CIC$2:CIC$4))</f>
        <v>68647</v>
      </c>
      <c r="CID2">
        <f>IF(COUNT(zip_med_inc_updated!CID$2:CID$4)=0,"",AVERAGE(zip_med_inc_updated!CID$2:CID$4))</f>
        <v>51193.333333333336</v>
      </c>
      <c r="CIE2">
        <f>IF(COUNT(zip_med_inc_updated!CIE$2:CIE$4)=0,"",AVERAGE(zip_med_inc_updated!CIE$2:CIE$4))</f>
        <v>79345.666666666672</v>
      </c>
      <c r="CIF2">
        <f>IF(COUNT(zip_med_inc_updated!CIF$2:CIF$4)=0,"",AVERAGE(zip_med_inc_updated!CIF$2:CIF$4))</f>
        <v>48119.333333333336</v>
      </c>
      <c r="CIG2">
        <f>IF(COUNT(zip_med_inc_updated!CIG$2:CIG$4)=0,"",AVERAGE(zip_med_inc_updated!CIG$2:CIG$4))</f>
        <v>110716</v>
      </c>
      <c r="CIH2">
        <f>IF(COUNT(zip_med_inc_updated!CIH$2:CIH$4)=0,"",AVERAGE(zip_med_inc_updated!CIH$2:CIH$4))</f>
        <v>55202</v>
      </c>
      <c r="CII2">
        <f>IF(COUNT(zip_med_inc_updated!CII$2:CII$4)=0,"",AVERAGE(zip_med_inc_updated!CII$2:CII$4))</f>
        <v>68865.333333333328</v>
      </c>
      <c r="CIJ2">
        <f>IF(COUNT(zip_med_inc_updated!CIJ$2:CIJ$4)=0,"",AVERAGE(zip_med_inc_updated!CIJ$2:CIJ$4))</f>
        <v>94691.5</v>
      </c>
      <c r="CIK2">
        <f>IF(COUNT(zip_med_inc_updated!CIK$2:CIK$4)=0,"",AVERAGE(zip_med_inc_updated!CIK$2:CIK$4))</f>
        <v>111399</v>
      </c>
      <c r="CIL2">
        <f>IF(COUNT(zip_med_inc_updated!CIL$2:CIL$4)=0,"",AVERAGE(zip_med_inc_updated!CIL$2:CIL$4))</f>
        <v>25567.666666666668</v>
      </c>
      <c r="CIM2">
        <f>IF(COUNT(zip_med_inc_updated!CIM$2:CIM$4)=0,"",AVERAGE(zip_med_inc_updated!CIM$2:CIM$4))</f>
        <v>73769</v>
      </c>
      <c r="CIN2">
        <f>IF(COUNT(zip_med_inc_updated!CIN$2:CIN$4)=0,"",AVERAGE(zip_med_inc_updated!CIN$2:CIN$4))</f>
        <v>73089.333333333328</v>
      </c>
      <c r="CIO2">
        <f>IF(COUNT(zip_med_inc_updated!CIO$2:CIO$4)=0,"",AVERAGE(zip_med_inc_updated!CIO$2:CIO$4))</f>
        <v>68338</v>
      </c>
      <c r="CIP2">
        <f>IF(COUNT(zip_med_inc_updated!CIP$2:CIP$4)=0,"",AVERAGE(zip_med_inc_updated!CIP$2:CIP$4))</f>
        <v>109791.5</v>
      </c>
      <c r="CIQ2">
        <f>IF(COUNT(zip_med_inc_updated!CIQ$2:CIQ$4)=0,"",AVERAGE(zip_med_inc_updated!CIQ$2:CIQ$4))</f>
        <v>111272.66666666667</v>
      </c>
      <c r="CIR2">
        <f>IF(COUNT(zip_med_inc_updated!CIR$2:CIR$4)=0,"",AVERAGE(zip_med_inc_updated!CIR$2:CIR$4))</f>
        <v>117701.66666666667</v>
      </c>
      <c r="CIS2">
        <f>IF(COUNT(zip_med_inc_updated!CIS$2:CIS$4)=0,"",AVERAGE(zip_med_inc_updated!CIS$2:CIS$4))</f>
        <v>4016</v>
      </c>
      <c r="CIT2">
        <f>IF(COUNT(zip_med_inc_updated!CIT$2:CIT$4)=0,"",AVERAGE(zip_med_inc_updated!CIT$2:CIT$4))</f>
        <v>86580</v>
      </c>
      <c r="CIU2">
        <f>IF(COUNT(zip_med_inc_updated!CIU$2:CIU$4)=0,"",AVERAGE(zip_med_inc_updated!CIU$2:CIU$4))</f>
        <v>94166.666666666672</v>
      </c>
      <c r="CIV2">
        <f>IF(COUNT(zip_med_inc_updated!CIV$2:CIV$4)=0,"",AVERAGE(zip_med_inc_updated!CIV$2:CIV$4))</f>
        <v>90416</v>
      </c>
      <c r="CIW2" t="str">
        <f>IF(COUNT(zip_med_inc_updated!CIW$2:CIW$4)=0,"",AVERAGE(zip_med_inc_updated!CIW$2:CIW$4))</f>
        <v/>
      </c>
      <c r="CIX2">
        <f>IF(COUNT(zip_med_inc_updated!CIX$2:CIX$4)=0,"",AVERAGE(zip_med_inc_updated!CIX$2:CIX$4))</f>
        <v>105573.66666666667</v>
      </c>
      <c r="CIY2">
        <f>IF(COUNT(zip_med_inc_updated!CIY$2:CIY$4)=0,"",AVERAGE(zip_med_inc_updated!CIY$2:CIY$4))</f>
        <v>128155.66666666667</v>
      </c>
      <c r="CIZ2">
        <f>IF(COUNT(zip_med_inc_updated!CIZ$2:CIZ$4)=0,"",AVERAGE(zip_med_inc_updated!CIZ$2:CIZ$4))</f>
        <v>145793.66666666666</v>
      </c>
      <c r="CJA2">
        <f>IF(COUNT(zip_med_inc_updated!CJA$2:CJA$4)=0,"",AVERAGE(zip_med_inc_updated!CJA$2:CJA$4))</f>
        <v>130406.33333333333</v>
      </c>
      <c r="CJB2">
        <f>IF(COUNT(zip_med_inc_updated!CJB$2:CJB$4)=0,"",AVERAGE(zip_med_inc_updated!CJB$2:CJB$4))</f>
        <v>58690</v>
      </c>
      <c r="CJC2">
        <f>IF(COUNT(zip_med_inc_updated!CJC$2:CJC$4)=0,"",AVERAGE(zip_med_inc_updated!CJC$2:CJC$4))</f>
        <v>102649.66666666667</v>
      </c>
      <c r="CJD2">
        <f>IF(COUNT(zip_med_inc_updated!CJD$2:CJD$4)=0,"",AVERAGE(zip_med_inc_updated!CJD$2:CJD$4))</f>
        <v>64230</v>
      </c>
      <c r="CJE2">
        <f>IF(COUNT(zip_med_inc_updated!CJE$2:CJE$4)=0,"",AVERAGE(zip_med_inc_updated!CJE$2:CJE$4))</f>
        <v>92820</v>
      </c>
      <c r="CJF2">
        <f>IF(COUNT(zip_med_inc_updated!CJF$2:CJF$4)=0,"",AVERAGE(zip_med_inc_updated!CJF$2:CJF$4))</f>
        <v>82692.666666666672</v>
      </c>
      <c r="CJG2">
        <f>IF(COUNT(zip_med_inc_updated!CJG$2:CJG$4)=0,"",AVERAGE(zip_med_inc_updated!CJG$2:CJG$4))</f>
        <v>91818.333333333328</v>
      </c>
      <c r="CJH2">
        <f>IF(COUNT(zip_med_inc_updated!CJH$2:CJH$4)=0,"",AVERAGE(zip_med_inc_updated!CJH$2:CJH$4))</f>
        <v>64823.666666666664</v>
      </c>
      <c r="CJI2">
        <f>IF(COUNT(zip_med_inc_updated!CJI$2:CJI$4)=0,"",AVERAGE(zip_med_inc_updated!CJI$2:CJI$4))</f>
        <v>100320.33333333333</v>
      </c>
      <c r="CJJ2">
        <f>IF(COUNT(zip_med_inc_updated!CJJ$2:CJJ$4)=0,"",AVERAGE(zip_med_inc_updated!CJJ$2:CJJ$4))</f>
        <v>77939.333333333328</v>
      </c>
      <c r="CJK2">
        <f>IF(COUNT(zip_med_inc_updated!CJK$2:CJK$4)=0,"",AVERAGE(zip_med_inc_updated!CJK$2:CJK$4))</f>
        <v>84840.666666666672</v>
      </c>
      <c r="CJL2">
        <f>IF(COUNT(zip_med_inc_updated!CJL$2:CJL$4)=0,"",AVERAGE(zip_med_inc_updated!CJL$2:CJL$4))</f>
        <v>117104</v>
      </c>
      <c r="CJM2">
        <f>IF(COUNT(zip_med_inc_updated!CJM$2:CJM$4)=0,"",AVERAGE(zip_med_inc_updated!CJM$2:CJM$4))</f>
        <v>107174</v>
      </c>
      <c r="CJN2">
        <f>IF(COUNT(zip_med_inc_updated!CJN$2:CJN$4)=0,"",AVERAGE(zip_med_inc_updated!CJN$2:CJN$4))</f>
        <v>84195.333333333328</v>
      </c>
      <c r="CJO2">
        <f>IF(COUNT(zip_med_inc_updated!CJO$2:CJO$4)=0,"",AVERAGE(zip_med_inc_updated!CJO$2:CJO$4))</f>
        <v>94738</v>
      </c>
      <c r="CJP2">
        <f>IF(COUNT(zip_med_inc_updated!CJP$2:CJP$4)=0,"",AVERAGE(zip_med_inc_updated!CJP$2:CJP$4))</f>
        <v>96777.666666666672</v>
      </c>
      <c r="CJQ2">
        <f>IF(COUNT(zip_med_inc_updated!CJQ$2:CJQ$4)=0,"",AVERAGE(zip_med_inc_updated!CJQ$2:CJQ$4))</f>
        <v>108413</v>
      </c>
      <c r="CJR2">
        <f>IF(COUNT(zip_med_inc_updated!CJR$2:CJR$4)=0,"",AVERAGE(zip_med_inc_updated!CJR$2:CJR$4))</f>
        <v>82338</v>
      </c>
      <c r="CJS2">
        <f>IF(COUNT(zip_med_inc_updated!CJS$2:CJS$4)=0,"",AVERAGE(zip_med_inc_updated!CJS$2:CJS$4))</f>
        <v>79248</v>
      </c>
      <c r="CJT2">
        <f>IF(COUNT(zip_med_inc_updated!CJT$2:CJT$4)=0,"",AVERAGE(zip_med_inc_updated!CJT$2:CJT$4))</f>
        <v>101074</v>
      </c>
      <c r="CJU2">
        <f>IF(COUNT(zip_med_inc_updated!CJU$2:CJU$4)=0,"",AVERAGE(zip_med_inc_updated!CJU$2:CJU$4))</f>
        <v>104168.66666666667</v>
      </c>
      <c r="CJV2">
        <f>IF(COUNT(zip_med_inc_updated!CJV$2:CJV$4)=0,"",AVERAGE(zip_med_inc_updated!CJV$2:CJV$4))</f>
        <v>100302.5</v>
      </c>
      <c r="CJW2">
        <f>IF(COUNT(zip_med_inc_updated!CJW$2:CJW$4)=0,"",AVERAGE(zip_med_inc_updated!CJW$2:CJW$4))</f>
        <v>106492.66666666667</v>
      </c>
      <c r="CJX2" t="str">
        <f>IF(COUNT(zip_med_inc_updated!CJX$2:CJX$4)=0,"",AVERAGE(zip_med_inc_updated!CJX$2:CJX$4))</f>
        <v/>
      </c>
      <c r="CJY2">
        <f>IF(COUNT(zip_med_inc_updated!CJY$2:CJY$4)=0,"",AVERAGE(zip_med_inc_updated!CJY$2:CJY$4))</f>
        <v>76752</v>
      </c>
      <c r="CJZ2">
        <f>IF(COUNT(zip_med_inc_updated!CJZ$2:CJZ$4)=0,"",AVERAGE(zip_med_inc_updated!CJZ$2:CJZ$4))</f>
        <v>80594.333333333328</v>
      </c>
      <c r="CKA2" t="str">
        <f>IF(COUNT(zip_med_inc_updated!CKA$2:CKA$4)=0,"",AVERAGE(zip_med_inc_updated!CKA$2:CKA$4))</f>
        <v/>
      </c>
      <c r="CKB2">
        <f>IF(COUNT(zip_med_inc_updated!CKB$2:CKB$4)=0,"",AVERAGE(zip_med_inc_updated!CKB$2:CKB$4))</f>
        <v>69283.666666666672</v>
      </c>
      <c r="CKC2">
        <f>IF(COUNT(zip_med_inc_updated!CKC$2:CKC$4)=0,"",AVERAGE(zip_med_inc_updated!CKC$2:CKC$4))</f>
        <v>91216.333333333328</v>
      </c>
      <c r="CKD2">
        <f>IF(COUNT(zip_med_inc_updated!CKD$2:CKD$4)=0,"",AVERAGE(zip_med_inc_updated!CKD$2:CKD$4))</f>
        <v>72713.666666666672</v>
      </c>
      <c r="CKE2">
        <f>IF(COUNT(zip_med_inc_updated!CKE$2:CKE$4)=0,"",AVERAGE(zip_med_inc_updated!CKE$2:CKE$4))</f>
        <v>104802.33333333333</v>
      </c>
      <c r="CKF2">
        <f>IF(COUNT(zip_med_inc_updated!CKF$2:CKF$4)=0,"",AVERAGE(zip_med_inc_updated!CKF$2:CKF$4))</f>
        <v>107230.66666666667</v>
      </c>
      <c r="CKG2">
        <f>IF(COUNT(zip_med_inc_updated!CKG$2:CKG$4)=0,"",AVERAGE(zip_med_inc_updated!CKG$2:CKG$4))</f>
        <v>63180.333333333336</v>
      </c>
      <c r="CKH2">
        <f>IF(COUNT(zip_med_inc_updated!CKH$2:CKH$4)=0,"",AVERAGE(zip_med_inc_updated!CKH$2:CKH$4))</f>
        <v>71961.666666666672</v>
      </c>
      <c r="CKI2">
        <f>IF(COUNT(zip_med_inc_updated!CKI$2:CKI$4)=0,"",AVERAGE(zip_med_inc_updated!CKI$2:CKI$4))</f>
        <v>111228.66666666667</v>
      </c>
      <c r="CKJ2">
        <f>IF(COUNT(zip_med_inc_updated!CKJ$2:CKJ$4)=0,"",AVERAGE(zip_med_inc_updated!CKJ$2:CKJ$4))</f>
        <v>63732.333333333336</v>
      </c>
      <c r="CKK2">
        <f>IF(COUNT(zip_med_inc_updated!CKK$2:CKK$4)=0,"",AVERAGE(zip_med_inc_updated!CKK$2:CKK$4))</f>
        <v>93999.666666666672</v>
      </c>
      <c r="CKL2">
        <f>IF(COUNT(zip_med_inc_updated!CKL$2:CKL$4)=0,"",AVERAGE(zip_med_inc_updated!CKL$2:CKL$4))</f>
        <v>94278</v>
      </c>
      <c r="CKM2">
        <f>IF(COUNT(zip_med_inc_updated!CKM$2:CKM$4)=0,"",AVERAGE(zip_med_inc_updated!CKM$2:CKM$4))</f>
        <v>81132</v>
      </c>
      <c r="CKN2">
        <f>IF(COUNT(zip_med_inc_updated!CKN$2:CKN$4)=0,"",AVERAGE(zip_med_inc_updated!CKN$2:CKN$4))</f>
        <v>104337.66666666667</v>
      </c>
      <c r="CKO2">
        <f>IF(COUNT(zip_med_inc_updated!CKO$2:CKO$4)=0,"",AVERAGE(zip_med_inc_updated!CKO$2:CKO$4))</f>
        <v>91517.666666666672</v>
      </c>
      <c r="CKP2">
        <f>IF(COUNT(zip_med_inc_updated!CKP$2:CKP$4)=0,"",AVERAGE(zip_med_inc_updated!CKP$2:CKP$4))</f>
        <v>102760</v>
      </c>
      <c r="CKQ2">
        <f>IF(COUNT(zip_med_inc_updated!CKQ$2:CKQ$4)=0,"",AVERAGE(zip_med_inc_updated!CKQ$2:CKQ$4))</f>
        <v>93693.666666666672</v>
      </c>
      <c r="CKR2">
        <f>IF(COUNT(zip_med_inc_updated!CKR$2:CKR$4)=0,"",AVERAGE(zip_med_inc_updated!CKR$2:CKR$4))</f>
        <v>136572</v>
      </c>
      <c r="CKS2">
        <f>IF(COUNT(zip_med_inc_updated!CKS$2:CKS$4)=0,"",AVERAGE(zip_med_inc_updated!CKS$2:CKS$4))</f>
        <v>82979.333333333328</v>
      </c>
      <c r="CKT2">
        <f>IF(COUNT(zip_med_inc_updated!CKT$2:CKT$4)=0,"",AVERAGE(zip_med_inc_updated!CKT$2:CKT$4))</f>
        <v>87070</v>
      </c>
      <c r="CKU2">
        <f>IF(COUNT(zip_med_inc_updated!CKU$2:CKU$4)=0,"",AVERAGE(zip_med_inc_updated!CKU$2:CKU$4))</f>
        <v>149551.33333333334</v>
      </c>
      <c r="CKV2">
        <f>IF(COUNT(zip_med_inc_updated!CKV$2:CKV$4)=0,"",AVERAGE(zip_med_inc_updated!CKV$2:CKV$4))</f>
        <v>205250</v>
      </c>
      <c r="CKW2" t="str">
        <f>IF(COUNT(zip_med_inc_updated!CKW$2:CKW$4)=0,"",AVERAGE(zip_med_inc_updated!CKW$2:CKW$4))</f>
        <v/>
      </c>
      <c r="CKX2">
        <f>IF(COUNT(zip_med_inc_updated!CKX$2:CKX$4)=0,"",AVERAGE(zip_med_inc_updated!CKX$2:CKX$4))</f>
        <v>160284.33333333334</v>
      </c>
      <c r="CKY2" t="str">
        <f>IF(COUNT(zip_med_inc_updated!CKY$2:CKY$4)=0,"",AVERAGE(zip_med_inc_updated!CKY$2:CKY$4))</f>
        <v/>
      </c>
      <c r="CKZ2">
        <f>IF(COUNT(zip_med_inc_updated!CKZ$2:CKZ$4)=0,"",AVERAGE(zip_med_inc_updated!CKZ$2:CKZ$4))</f>
        <v>81924.333333333328</v>
      </c>
      <c r="CLA2">
        <f>IF(COUNT(zip_med_inc_updated!CLA$2:CLA$4)=0,"",AVERAGE(zip_med_inc_updated!CLA$2:CLA$4))</f>
        <v>71577</v>
      </c>
      <c r="CLB2">
        <f>IF(COUNT(zip_med_inc_updated!CLB$2:CLB$4)=0,"",AVERAGE(zip_med_inc_updated!CLB$2:CLB$4))</f>
        <v>109639.66666666667</v>
      </c>
      <c r="CLC2" t="str">
        <f>IF(COUNT(zip_med_inc_updated!CLC$2:CLC$4)=0,"",AVERAGE(zip_med_inc_updated!CLC$2:CLC$4))</f>
        <v/>
      </c>
      <c r="CLD2" t="str">
        <f>IF(COUNT(zip_med_inc_updated!CLD$2:CLD$4)=0,"",AVERAGE(zip_med_inc_updated!CLD$2:CLD$4))</f>
        <v/>
      </c>
      <c r="CLE2">
        <f>IF(COUNT(zip_med_inc_updated!CLE$2:CLE$4)=0,"",AVERAGE(zip_med_inc_updated!CLE$2:CLE$4))</f>
        <v>81729</v>
      </c>
      <c r="CLF2" t="str">
        <f>IF(COUNT(zip_med_inc_updated!CLF$2:CLF$4)=0,"",AVERAGE(zip_med_inc_updated!CLF$2:CLF$4))</f>
        <v/>
      </c>
      <c r="CLG2">
        <f>IF(COUNT(zip_med_inc_updated!CLG$2:CLG$4)=0,"",AVERAGE(zip_med_inc_updated!CLG$2:CLG$4))</f>
        <v>70678.666666666672</v>
      </c>
      <c r="CLH2">
        <f>IF(COUNT(zip_med_inc_updated!CLH$2:CLH$4)=0,"",AVERAGE(zip_med_inc_updated!CLH$2:CLH$4))</f>
        <v>83425.333333333328</v>
      </c>
      <c r="CLI2">
        <f>IF(COUNT(zip_med_inc_updated!CLI$2:CLI$4)=0,"",AVERAGE(zip_med_inc_updated!CLI$2:CLI$4))</f>
        <v>70789.666666666672</v>
      </c>
      <c r="CLJ2">
        <f>IF(COUNT(zip_med_inc_updated!CLJ$2:CLJ$4)=0,"",AVERAGE(zip_med_inc_updated!CLJ$2:CLJ$4))</f>
        <v>100156</v>
      </c>
      <c r="CLK2">
        <f>IF(COUNT(zip_med_inc_updated!CLK$2:CLK$4)=0,"",AVERAGE(zip_med_inc_updated!CLK$2:CLK$4))</f>
        <v>96760</v>
      </c>
      <c r="CLL2">
        <f>IF(COUNT(zip_med_inc_updated!CLL$2:CLL$4)=0,"",AVERAGE(zip_med_inc_updated!CLL$2:CLL$4))</f>
        <v>90636.666666666672</v>
      </c>
      <c r="CLM2">
        <f>IF(COUNT(zip_med_inc_updated!CLM$2:CLM$4)=0,"",AVERAGE(zip_med_inc_updated!CLM$2:CLM$4))</f>
        <v>84461</v>
      </c>
      <c r="CLN2">
        <f>IF(COUNT(zip_med_inc_updated!CLN$2:CLN$4)=0,"",AVERAGE(zip_med_inc_updated!CLN$2:CLN$4))</f>
        <v>153835.66666666666</v>
      </c>
      <c r="CLO2">
        <f>IF(COUNT(zip_med_inc_updated!CLO$2:CLO$4)=0,"",AVERAGE(zip_med_inc_updated!CLO$2:CLO$4))</f>
        <v>104544</v>
      </c>
      <c r="CLP2">
        <f>IF(COUNT(zip_med_inc_updated!CLP$2:CLP$4)=0,"",AVERAGE(zip_med_inc_updated!CLP$2:CLP$4))</f>
        <v>44006.5</v>
      </c>
      <c r="CLQ2">
        <f>IF(COUNT(zip_med_inc_updated!CLQ$2:CLQ$4)=0,"",AVERAGE(zip_med_inc_updated!CLQ$2:CLQ$4))</f>
        <v>133080</v>
      </c>
      <c r="CLR2">
        <f>IF(COUNT(zip_med_inc_updated!CLR$2:CLR$4)=0,"",AVERAGE(zip_med_inc_updated!CLR$2:CLR$4))</f>
        <v>102676.33333333333</v>
      </c>
      <c r="CLS2" t="str">
        <f>IF(COUNT(zip_med_inc_updated!CLS$2:CLS$4)=0,"",AVERAGE(zip_med_inc_updated!CLS$2:CLS$4))</f>
        <v/>
      </c>
      <c r="CLT2">
        <f>IF(COUNT(zip_med_inc_updated!CLT$2:CLT$4)=0,"",AVERAGE(zip_med_inc_updated!CLT$2:CLT$4))</f>
        <v>69041</v>
      </c>
      <c r="CLU2">
        <f>IF(COUNT(zip_med_inc_updated!CLU$2:CLU$4)=0,"",AVERAGE(zip_med_inc_updated!CLU$2:CLU$4))</f>
        <v>62190.333333333336</v>
      </c>
      <c r="CLV2" t="str">
        <f>IF(COUNT(zip_med_inc_updated!CLV$2:CLV$4)=0,"",AVERAGE(zip_med_inc_updated!CLV$2:CLV$4))</f>
        <v/>
      </c>
      <c r="CLW2">
        <f>IF(COUNT(zip_med_inc_updated!CLW$2:CLW$4)=0,"",AVERAGE(zip_med_inc_updated!CLW$2:CLW$4))</f>
        <v>65281</v>
      </c>
      <c r="CLX2">
        <f>IF(COUNT(zip_med_inc_updated!CLX$2:CLX$4)=0,"",AVERAGE(zip_med_inc_updated!CLX$2:CLX$4))</f>
        <v>51753</v>
      </c>
      <c r="CLY2">
        <f>IF(COUNT(zip_med_inc_updated!CLY$2:CLY$4)=0,"",AVERAGE(zip_med_inc_updated!CLY$2:CLY$4))</f>
        <v>81599.666666666672</v>
      </c>
      <c r="CLZ2">
        <f>IF(COUNT(zip_med_inc_updated!CLZ$2:CLZ$4)=0,"",AVERAGE(zip_med_inc_updated!CLZ$2:CLZ$4))</f>
        <v>71216</v>
      </c>
      <c r="CMA2" t="str">
        <f>IF(COUNT(zip_med_inc_updated!CMA$2:CMA$4)=0,"",AVERAGE(zip_med_inc_updated!CMA$2:CMA$4))</f>
        <v/>
      </c>
      <c r="CMB2">
        <f>IF(COUNT(zip_med_inc_updated!CMB$2:CMB$4)=0,"",AVERAGE(zip_med_inc_updated!CMB$2:CMB$4))</f>
        <v>79532.666666666672</v>
      </c>
      <c r="CMC2">
        <f>IF(COUNT(zip_med_inc_updated!CMC$2:CMC$4)=0,"",AVERAGE(zip_med_inc_updated!CMC$2:CMC$4))</f>
        <v>64950.666666666664</v>
      </c>
      <c r="CMD2">
        <f>IF(COUNT(zip_med_inc_updated!CMD$2:CMD$4)=0,"",AVERAGE(zip_med_inc_updated!CMD$2:CMD$4))</f>
        <v>66211.666666666672</v>
      </c>
      <c r="CME2">
        <f>IF(COUNT(zip_med_inc_updated!CME$2:CME$4)=0,"",AVERAGE(zip_med_inc_updated!CME$2:CME$4))</f>
        <v>60427.666666666664</v>
      </c>
      <c r="CMF2">
        <f>IF(COUNT(zip_med_inc_updated!CMF$2:CMF$4)=0,"",AVERAGE(zip_med_inc_updated!CMF$2:CMF$4))</f>
        <v>48523.666666666664</v>
      </c>
      <c r="CMG2">
        <f>IF(COUNT(zip_med_inc_updated!CMG$2:CMG$4)=0,"",AVERAGE(zip_med_inc_updated!CMG$2:CMG$4))</f>
        <v>63255.333333333336</v>
      </c>
      <c r="CMH2">
        <f>IF(COUNT(zip_med_inc_updated!CMH$2:CMH$4)=0,"",AVERAGE(zip_med_inc_updated!CMH$2:CMH$4))</f>
        <v>91428.333333333328</v>
      </c>
      <c r="CMI2">
        <f>IF(COUNT(zip_med_inc_updated!CMI$2:CMI$4)=0,"",AVERAGE(zip_med_inc_updated!CMI$2:CMI$4))</f>
        <v>54496</v>
      </c>
      <c r="CMJ2">
        <f>IF(COUNT(zip_med_inc_updated!CMJ$2:CMJ$4)=0,"",AVERAGE(zip_med_inc_updated!CMJ$2:CMJ$4))</f>
        <v>93313.666666666672</v>
      </c>
      <c r="CMK2">
        <f>IF(COUNT(zip_med_inc_updated!CMK$2:CMK$4)=0,"",AVERAGE(zip_med_inc_updated!CMK$2:CMK$4))</f>
        <v>79030</v>
      </c>
      <c r="CML2">
        <f>IF(COUNT(zip_med_inc_updated!CML$2:CML$4)=0,"",AVERAGE(zip_med_inc_updated!CML$2:CML$4))</f>
        <v>56147</v>
      </c>
      <c r="CMM2">
        <f>IF(COUNT(zip_med_inc_updated!CMM$2:CMM$4)=0,"",AVERAGE(zip_med_inc_updated!CMM$2:CMM$4))</f>
        <v>89400</v>
      </c>
      <c r="CMN2">
        <f>IF(COUNT(zip_med_inc_updated!CMN$2:CMN$4)=0,"",AVERAGE(zip_med_inc_updated!CMN$2:CMN$4))</f>
        <v>62247.666666666664</v>
      </c>
      <c r="CMO2" t="str">
        <f>IF(COUNT(zip_med_inc_updated!CMO$2:CMO$4)=0,"",AVERAGE(zip_med_inc_updated!CMO$2:CMO$4))</f>
        <v/>
      </c>
      <c r="CMP2">
        <f>IF(COUNT(zip_med_inc_updated!CMP$2:CMP$4)=0,"",AVERAGE(zip_med_inc_updated!CMP$2:CMP$4))</f>
        <v>104103.66666666667</v>
      </c>
      <c r="CMQ2">
        <f>IF(COUNT(zip_med_inc_updated!CMQ$2:CMQ$4)=0,"",AVERAGE(zip_med_inc_updated!CMQ$2:CMQ$4))</f>
        <v>74166.666666666672</v>
      </c>
      <c r="CMR2">
        <f>IF(COUNT(zip_med_inc_updated!CMR$2:CMR$4)=0,"",AVERAGE(zip_med_inc_updated!CMR$2:CMR$4))</f>
        <v>66148.333333333328</v>
      </c>
      <c r="CMS2">
        <f>IF(COUNT(zip_med_inc_updated!CMS$2:CMS$4)=0,"",AVERAGE(zip_med_inc_updated!CMS$2:CMS$4))</f>
        <v>87611</v>
      </c>
      <c r="CMT2">
        <f>IF(COUNT(zip_med_inc_updated!CMT$2:CMT$4)=0,"",AVERAGE(zip_med_inc_updated!CMT$2:CMT$4))</f>
        <v>55667</v>
      </c>
      <c r="CMU2">
        <f>IF(COUNT(zip_med_inc_updated!CMU$2:CMU$4)=0,"",AVERAGE(zip_med_inc_updated!CMU$2:CMU$4))</f>
        <v>64180.333333333336</v>
      </c>
      <c r="CMV2">
        <f>IF(COUNT(zip_med_inc_updated!CMV$2:CMV$4)=0,"",AVERAGE(zip_med_inc_updated!CMV$2:CMV$4))</f>
        <v>90736.666666666672</v>
      </c>
      <c r="CMW2">
        <f>IF(COUNT(zip_med_inc_updated!CMW$2:CMW$4)=0,"",AVERAGE(zip_med_inc_updated!CMW$2:CMW$4))</f>
        <v>89496.666666666672</v>
      </c>
      <c r="CMX2">
        <f>IF(COUNT(zip_med_inc_updated!CMX$2:CMX$4)=0,"",AVERAGE(zip_med_inc_updated!CMX$2:CMX$4))</f>
        <v>66678.666666666672</v>
      </c>
      <c r="CMY2">
        <f>IF(COUNT(zip_med_inc_updated!CMY$2:CMY$4)=0,"",AVERAGE(zip_med_inc_updated!CMY$2:CMY$4))</f>
        <v>250001</v>
      </c>
      <c r="CMZ2" t="str">
        <f>IF(COUNT(zip_med_inc_updated!CMZ$2:CMZ$4)=0,"",AVERAGE(zip_med_inc_updated!CMZ$2:CMZ$4))</f>
        <v/>
      </c>
      <c r="CNA2">
        <f>IF(COUNT(zip_med_inc_updated!CNA$2:CNA$4)=0,"",AVERAGE(zip_med_inc_updated!CNA$2:CNA$4))</f>
        <v>119522.33333333333</v>
      </c>
      <c r="CNB2">
        <f>IF(COUNT(zip_med_inc_updated!CNB$2:CNB$4)=0,"",AVERAGE(zip_med_inc_updated!CNB$2:CNB$4))</f>
        <v>95429.333333333328</v>
      </c>
      <c r="CNC2">
        <f>IF(COUNT(zip_med_inc_updated!CNC$2:CNC$4)=0,"",AVERAGE(zip_med_inc_updated!CNC$2:CNC$4))</f>
        <v>57397.333333333336</v>
      </c>
      <c r="CND2">
        <f>IF(COUNT(zip_med_inc_updated!CND$2:CND$4)=0,"",AVERAGE(zip_med_inc_updated!CND$2:CND$4))</f>
        <v>109966.66666666667</v>
      </c>
      <c r="CNE2">
        <f>IF(COUNT(zip_med_inc_updated!CNE$2:CNE$4)=0,"",AVERAGE(zip_med_inc_updated!CNE$2:CNE$4))</f>
        <v>105312.66666666667</v>
      </c>
      <c r="CNF2">
        <f>IF(COUNT(zip_med_inc_updated!CNF$2:CNF$4)=0,"",AVERAGE(zip_med_inc_updated!CNF$2:CNF$4))</f>
        <v>110094.33333333333</v>
      </c>
      <c r="CNG2">
        <f>IF(COUNT(zip_med_inc_updated!CNG$2:CNG$4)=0,"",AVERAGE(zip_med_inc_updated!CNG$2:CNG$4))</f>
        <v>106429</v>
      </c>
      <c r="CNH2">
        <f>IF(COUNT(zip_med_inc_updated!CNH$2:CNH$4)=0,"",AVERAGE(zip_med_inc_updated!CNH$2:CNH$4))</f>
        <v>138459</v>
      </c>
      <c r="CNI2">
        <f>IF(COUNT(zip_med_inc_updated!CNI$2:CNI$4)=0,"",AVERAGE(zip_med_inc_updated!CNI$2:CNI$4))</f>
        <v>78573.333333333328</v>
      </c>
      <c r="CNJ2">
        <f>IF(COUNT(zip_med_inc_updated!CNJ$2:CNJ$4)=0,"",AVERAGE(zip_med_inc_updated!CNJ$2:CNJ$4))</f>
        <v>87181</v>
      </c>
      <c r="CNK2">
        <f>IF(COUNT(zip_med_inc_updated!CNK$2:CNK$4)=0,"",AVERAGE(zip_med_inc_updated!CNK$2:CNK$4))</f>
        <v>81437</v>
      </c>
      <c r="CNL2">
        <f>IF(COUNT(zip_med_inc_updated!CNL$2:CNL$4)=0,"",AVERAGE(zip_med_inc_updated!CNL$2:CNL$4))</f>
        <v>129255</v>
      </c>
      <c r="CNM2">
        <f>IF(COUNT(zip_med_inc_updated!CNM$2:CNM$4)=0,"",AVERAGE(zip_med_inc_updated!CNM$2:CNM$4))</f>
        <v>90965</v>
      </c>
      <c r="CNN2">
        <f>IF(COUNT(zip_med_inc_updated!CNN$2:CNN$4)=0,"",AVERAGE(zip_med_inc_updated!CNN$2:CNN$4))</f>
        <v>90993</v>
      </c>
      <c r="CNO2">
        <f>IF(COUNT(zip_med_inc_updated!CNO$2:CNO$4)=0,"",AVERAGE(zip_med_inc_updated!CNO$2:CNO$4))</f>
        <v>115655</v>
      </c>
      <c r="CNP2">
        <f>IF(COUNT(zip_med_inc_updated!CNP$2:CNP$4)=0,"",AVERAGE(zip_med_inc_updated!CNP$2:CNP$4))</f>
        <v>131009</v>
      </c>
      <c r="CNQ2">
        <f>IF(COUNT(zip_med_inc_updated!CNQ$2:CNQ$4)=0,"",AVERAGE(zip_med_inc_updated!CNQ$2:CNQ$4))</f>
        <v>51958</v>
      </c>
      <c r="CNR2">
        <f>IF(COUNT(zip_med_inc_updated!CNR$2:CNR$4)=0,"",AVERAGE(zip_med_inc_updated!CNR$2:CNR$4))</f>
        <v>51387.666666666664</v>
      </c>
      <c r="CNS2">
        <f>IF(COUNT(zip_med_inc_updated!CNS$2:CNS$4)=0,"",AVERAGE(zip_med_inc_updated!CNS$2:CNS$4))</f>
        <v>77058.333333333328</v>
      </c>
      <c r="CNT2" t="str">
        <f>IF(COUNT(zip_med_inc_updated!CNT$2:CNT$4)=0,"",AVERAGE(zip_med_inc_updated!CNT$2:CNT$4))</f>
        <v/>
      </c>
      <c r="CNU2">
        <f>IF(COUNT(zip_med_inc_updated!CNU$2:CNU$4)=0,"",AVERAGE(zip_med_inc_updated!CNU$2:CNU$4))</f>
        <v>94972.666666666672</v>
      </c>
      <c r="CNV2">
        <f>IF(COUNT(zip_med_inc_updated!CNV$2:CNV$4)=0,"",AVERAGE(zip_med_inc_updated!CNV$2:CNV$4))</f>
        <v>104711</v>
      </c>
      <c r="CNW2">
        <f>IF(COUNT(zip_med_inc_updated!CNW$2:CNW$4)=0,"",AVERAGE(zip_med_inc_updated!CNW$2:CNW$4))</f>
        <v>79327</v>
      </c>
      <c r="CNX2">
        <f>IF(COUNT(zip_med_inc_updated!CNX$2:CNX$4)=0,"",AVERAGE(zip_med_inc_updated!CNX$2:CNX$4))</f>
        <v>101083</v>
      </c>
      <c r="CNY2">
        <f>IF(COUNT(zip_med_inc_updated!CNY$2:CNY$4)=0,"",AVERAGE(zip_med_inc_updated!CNY$2:CNY$4))</f>
        <v>116703</v>
      </c>
      <c r="CNZ2">
        <f>IF(COUNT(zip_med_inc_updated!CNZ$2:CNZ$4)=0,"",AVERAGE(zip_med_inc_updated!CNZ$2:CNZ$4))</f>
        <v>78625.666666666672</v>
      </c>
      <c r="COA2">
        <f>IF(COUNT(zip_med_inc_updated!COA$2:COA$4)=0,"",AVERAGE(zip_med_inc_updated!COA$2:COA$4))</f>
        <v>84728.666666666672</v>
      </c>
      <c r="COB2">
        <f>IF(COUNT(zip_med_inc_updated!COB$2:COB$4)=0,"",AVERAGE(zip_med_inc_updated!COB$2:COB$4))</f>
        <v>83217.666666666672</v>
      </c>
      <c r="COC2">
        <f>IF(COUNT(zip_med_inc_updated!COC$2:COC$4)=0,"",AVERAGE(zip_med_inc_updated!COC$2:COC$4))</f>
        <v>76575.666666666672</v>
      </c>
      <c r="COD2">
        <f>IF(COUNT(zip_med_inc_updated!COD$2:COD$4)=0,"",AVERAGE(zip_med_inc_updated!COD$2:COD$4))</f>
        <v>199143.5</v>
      </c>
      <c r="COE2">
        <f>IF(COUNT(zip_med_inc_updated!COE$2:COE$4)=0,"",AVERAGE(zip_med_inc_updated!COE$2:COE$4))</f>
        <v>73753</v>
      </c>
      <c r="COF2">
        <f>IF(COUNT(zip_med_inc_updated!COF$2:COF$4)=0,"",AVERAGE(zip_med_inc_updated!COF$2:COF$4))</f>
        <v>108591</v>
      </c>
      <c r="COG2">
        <f>IF(COUNT(zip_med_inc_updated!COG$2:COG$4)=0,"",AVERAGE(zip_med_inc_updated!COG$2:COG$4))</f>
        <v>42831.5</v>
      </c>
      <c r="COH2">
        <f>IF(COUNT(zip_med_inc_updated!COH$2:COH$4)=0,"",AVERAGE(zip_med_inc_updated!COH$2:COH$4))</f>
        <v>62515.666666666664</v>
      </c>
      <c r="COI2" t="str">
        <f>IF(COUNT(zip_med_inc_updated!COI$2:COI$4)=0,"",AVERAGE(zip_med_inc_updated!COI$2:COI$4))</f>
        <v/>
      </c>
      <c r="COJ2">
        <f>IF(COUNT(zip_med_inc_updated!COJ$2:COJ$4)=0,"",AVERAGE(zip_med_inc_updated!COJ$2:COJ$4))</f>
        <v>65732.666666666672</v>
      </c>
      <c r="COK2">
        <f>IF(COUNT(zip_med_inc_updated!COK$2:COK$4)=0,"",AVERAGE(zip_med_inc_updated!COK$2:COK$4))</f>
        <v>58847.666666666664</v>
      </c>
      <c r="COL2">
        <f>IF(COUNT(zip_med_inc_updated!COL$2:COL$4)=0,"",AVERAGE(zip_med_inc_updated!COL$2:COL$4))</f>
        <v>88506.666666666672</v>
      </c>
      <c r="COM2">
        <f>IF(COUNT(zip_med_inc_updated!COM$2:COM$4)=0,"",AVERAGE(zip_med_inc_updated!COM$2:COM$4))</f>
        <v>92154.666666666672</v>
      </c>
      <c r="CON2">
        <f>IF(COUNT(zip_med_inc_updated!CON$2:CON$4)=0,"",AVERAGE(zip_med_inc_updated!CON$2:CON$4))</f>
        <v>124829.33333333333</v>
      </c>
      <c r="COO2">
        <f>IF(COUNT(zip_med_inc_updated!COO$2:COO$4)=0,"",AVERAGE(zip_med_inc_updated!COO$2:COO$4))</f>
        <v>113881</v>
      </c>
      <c r="COP2" t="str">
        <f>IF(COUNT(zip_med_inc_updated!COP$2:COP$4)=0,"",AVERAGE(zip_med_inc_updated!COP$2:COP$4))</f>
        <v/>
      </c>
      <c r="COQ2">
        <f>IF(COUNT(zip_med_inc_updated!COQ$2:COQ$4)=0,"",AVERAGE(zip_med_inc_updated!COQ$2:COQ$4))</f>
        <v>44909</v>
      </c>
      <c r="COR2">
        <f>IF(COUNT(zip_med_inc_updated!COR$2:COR$4)=0,"",AVERAGE(zip_med_inc_updated!COR$2:COR$4))</f>
        <v>78385.5</v>
      </c>
      <c r="COS2">
        <f>IF(COUNT(zip_med_inc_updated!COS$2:COS$4)=0,"",AVERAGE(zip_med_inc_updated!COS$2:COS$4))</f>
        <v>95559</v>
      </c>
      <c r="COT2">
        <f>IF(COUNT(zip_med_inc_updated!COT$2:COT$4)=0,"",AVERAGE(zip_med_inc_updated!COT$2:COT$4))</f>
        <v>55273.333333333336</v>
      </c>
      <c r="COU2">
        <f>IF(COUNT(zip_med_inc_updated!COU$2:COU$4)=0,"",AVERAGE(zip_med_inc_updated!COU$2:COU$4))</f>
        <v>87566.333333333328</v>
      </c>
      <c r="COV2">
        <f>IF(COUNT(zip_med_inc_updated!COV$2:COV$4)=0,"",AVERAGE(zip_med_inc_updated!COV$2:COV$4))</f>
        <v>73857</v>
      </c>
      <c r="COW2">
        <f>IF(COUNT(zip_med_inc_updated!COW$2:COW$4)=0,"",AVERAGE(zip_med_inc_updated!COW$2:COW$4))</f>
        <v>94566</v>
      </c>
      <c r="COX2">
        <f>IF(COUNT(zip_med_inc_updated!COX$2:COX$4)=0,"",AVERAGE(zip_med_inc_updated!COX$2:COX$4))</f>
        <v>82934.666666666672</v>
      </c>
      <c r="COY2">
        <f>IF(COUNT(zip_med_inc_updated!COY$2:COY$4)=0,"",AVERAGE(zip_med_inc_updated!COY$2:COY$4))</f>
        <v>80409.666666666672</v>
      </c>
      <c r="COZ2">
        <f>IF(COUNT(zip_med_inc_updated!COZ$2:COZ$4)=0,"",AVERAGE(zip_med_inc_updated!COZ$2:COZ$4))</f>
        <v>153671.66666666666</v>
      </c>
      <c r="CPA2">
        <f>IF(COUNT(zip_med_inc_updated!CPA$2:CPA$4)=0,"",AVERAGE(zip_med_inc_updated!CPA$2:CPA$4))</f>
        <v>54374.666666666664</v>
      </c>
      <c r="CPB2">
        <f>IF(COUNT(zip_med_inc_updated!CPB$2:CPB$4)=0,"",AVERAGE(zip_med_inc_updated!CPB$2:CPB$4))</f>
        <v>69200</v>
      </c>
      <c r="CPC2">
        <f>IF(COUNT(zip_med_inc_updated!CPC$2:CPC$4)=0,"",AVERAGE(zip_med_inc_updated!CPC$2:CPC$4))</f>
        <v>70833</v>
      </c>
      <c r="CPD2">
        <f>IF(COUNT(zip_med_inc_updated!CPD$2:CPD$4)=0,"",AVERAGE(zip_med_inc_updated!CPD$2:CPD$4))</f>
        <v>80200.666666666672</v>
      </c>
      <c r="CPE2">
        <f>IF(COUNT(zip_med_inc_updated!CPE$2:CPE$4)=0,"",AVERAGE(zip_med_inc_updated!CPE$2:CPE$4))</f>
        <v>39407</v>
      </c>
      <c r="CPF2">
        <f>IF(COUNT(zip_med_inc_updated!CPF$2:CPF$4)=0,"",AVERAGE(zip_med_inc_updated!CPF$2:CPF$4))</f>
        <v>53192</v>
      </c>
      <c r="CPG2">
        <f>IF(COUNT(zip_med_inc_updated!CPG$2:CPG$4)=0,"",AVERAGE(zip_med_inc_updated!CPG$2:CPG$4))</f>
        <v>94017</v>
      </c>
      <c r="CPH2">
        <f>IF(COUNT(zip_med_inc_updated!CPH$2:CPH$4)=0,"",AVERAGE(zip_med_inc_updated!CPH$2:CPH$4))</f>
        <v>153064.66666666666</v>
      </c>
      <c r="CPI2">
        <f>IF(COUNT(zip_med_inc_updated!CPI$2:CPI$4)=0,"",AVERAGE(zip_med_inc_updated!CPI$2:CPI$4))</f>
        <v>105467.33333333333</v>
      </c>
      <c r="CPJ2">
        <f>IF(COUNT(zip_med_inc_updated!CPJ$2:CPJ$4)=0,"",AVERAGE(zip_med_inc_updated!CPJ$2:CPJ$4))</f>
        <v>91729</v>
      </c>
      <c r="CPK2">
        <f>IF(COUNT(zip_med_inc_updated!CPK$2:CPK$4)=0,"",AVERAGE(zip_med_inc_updated!CPK$2:CPK$4))</f>
        <v>52868</v>
      </c>
      <c r="CPL2">
        <f>IF(COUNT(zip_med_inc_updated!CPL$2:CPL$4)=0,"",AVERAGE(zip_med_inc_updated!CPL$2:CPL$4))</f>
        <v>84007.666666666672</v>
      </c>
      <c r="CPM2">
        <f>IF(COUNT(zip_med_inc_updated!CPM$2:CPM$4)=0,"",AVERAGE(zip_med_inc_updated!CPM$2:CPM$4))</f>
        <v>85602.666666666672</v>
      </c>
      <c r="CPN2">
        <f>IF(COUNT(zip_med_inc_updated!CPN$2:CPN$4)=0,"",AVERAGE(zip_med_inc_updated!CPN$2:CPN$4))</f>
        <v>88198</v>
      </c>
      <c r="CPO2">
        <f>IF(COUNT(zip_med_inc_updated!CPO$2:CPO$4)=0,"",AVERAGE(zip_med_inc_updated!CPO$2:CPO$4))</f>
        <v>114601.5</v>
      </c>
      <c r="CPP2">
        <f>IF(COUNT(zip_med_inc_updated!CPP$2:CPP$4)=0,"",AVERAGE(zip_med_inc_updated!CPP$2:CPP$4))</f>
        <v>80769.333333333328</v>
      </c>
      <c r="CPQ2">
        <f>IF(COUNT(zip_med_inc_updated!CPQ$2:CPQ$4)=0,"",AVERAGE(zip_med_inc_updated!CPQ$2:CPQ$4))</f>
        <v>127682.33333333333</v>
      </c>
      <c r="CPR2">
        <f>IF(COUNT(zip_med_inc_updated!CPR$2:CPR$4)=0,"",AVERAGE(zip_med_inc_updated!CPR$2:CPR$4))</f>
        <v>83873.666666666672</v>
      </c>
      <c r="CPS2">
        <f>IF(COUNT(zip_med_inc_updated!CPS$2:CPS$4)=0,"",AVERAGE(zip_med_inc_updated!CPS$2:CPS$4))</f>
        <v>73596.333333333328</v>
      </c>
      <c r="CPT2">
        <f>IF(COUNT(zip_med_inc_updated!CPT$2:CPT$4)=0,"",AVERAGE(zip_med_inc_updated!CPT$2:CPT$4))</f>
        <v>50773.333333333336</v>
      </c>
      <c r="CPU2">
        <f>IF(COUNT(zip_med_inc_updated!CPU$2:CPU$4)=0,"",AVERAGE(zip_med_inc_updated!CPU$2:CPU$4))</f>
        <v>103438</v>
      </c>
      <c r="CPV2">
        <f>IF(COUNT(zip_med_inc_updated!CPV$2:CPV$4)=0,"",AVERAGE(zip_med_inc_updated!CPV$2:CPV$4))</f>
        <v>61205</v>
      </c>
      <c r="CPW2" t="str">
        <f>IF(COUNT(zip_med_inc_updated!CPW$2:CPW$4)=0,"",AVERAGE(zip_med_inc_updated!CPW$2:CPW$4))</f>
        <v/>
      </c>
      <c r="CPX2">
        <f>IF(COUNT(zip_med_inc_updated!CPX$2:CPX$4)=0,"",AVERAGE(zip_med_inc_updated!CPX$2:CPX$4))</f>
        <v>83367</v>
      </c>
      <c r="CPY2">
        <f>IF(COUNT(zip_med_inc_updated!CPY$2:CPY$4)=0,"",AVERAGE(zip_med_inc_updated!CPY$2:CPY$4))</f>
        <v>51623.333333333336</v>
      </c>
      <c r="CPZ2">
        <f>IF(COUNT(zip_med_inc_updated!CPZ$2:CPZ$4)=0,"",AVERAGE(zip_med_inc_updated!CPZ$2:CPZ$4))</f>
        <v>96151</v>
      </c>
      <c r="CQA2">
        <f>IF(COUNT(zip_med_inc_updated!CQA$2:CQA$4)=0,"",AVERAGE(zip_med_inc_updated!CQA$2:CQA$4))</f>
        <v>83741.333333333328</v>
      </c>
      <c r="CQB2">
        <f>IF(COUNT(zip_med_inc_updated!CQB$2:CQB$4)=0,"",AVERAGE(zip_med_inc_updated!CQB$2:CQB$4))</f>
        <v>101064.66666666667</v>
      </c>
      <c r="CQC2">
        <f>IF(COUNT(zip_med_inc_updated!CQC$2:CQC$4)=0,"",AVERAGE(zip_med_inc_updated!CQC$2:CQC$4))</f>
        <v>67830</v>
      </c>
      <c r="CQD2">
        <f>IF(COUNT(zip_med_inc_updated!CQD$2:CQD$4)=0,"",AVERAGE(zip_med_inc_updated!CQD$2:CQD$4))</f>
        <v>98625</v>
      </c>
      <c r="CQE2">
        <f>IF(COUNT(zip_med_inc_updated!CQE$2:CQE$4)=0,"",AVERAGE(zip_med_inc_updated!CQE$2:CQE$4))</f>
        <v>68747.333333333328</v>
      </c>
      <c r="CQF2">
        <f>IF(COUNT(zip_med_inc_updated!CQF$2:CQF$4)=0,"",AVERAGE(zip_med_inc_updated!CQF$2:CQF$4))</f>
        <v>115746.66666666667</v>
      </c>
      <c r="CQG2">
        <f>IF(COUNT(zip_med_inc_updated!CQG$2:CQG$4)=0,"",AVERAGE(zip_med_inc_updated!CQG$2:CQG$4))</f>
        <v>132680.33333333334</v>
      </c>
      <c r="CQH2">
        <f>IF(COUNT(zip_med_inc_updated!CQH$2:CQH$4)=0,"",AVERAGE(zip_med_inc_updated!CQH$2:CQH$4))</f>
        <v>56526.333333333336</v>
      </c>
      <c r="CQI2">
        <f>IF(COUNT(zip_med_inc_updated!CQI$2:CQI$4)=0,"",AVERAGE(zip_med_inc_updated!CQI$2:CQI$4))</f>
        <v>123264</v>
      </c>
      <c r="CQJ2">
        <f>IF(COUNT(zip_med_inc_updated!CQJ$2:CQJ$4)=0,"",AVERAGE(zip_med_inc_updated!CQJ$2:CQJ$4))</f>
        <v>73732</v>
      </c>
      <c r="CQK2">
        <f>IF(COUNT(zip_med_inc_updated!CQK$2:CQK$4)=0,"",AVERAGE(zip_med_inc_updated!CQK$2:CQK$4))</f>
        <v>69613.666666666672</v>
      </c>
      <c r="CQL2">
        <f>IF(COUNT(zip_med_inc_updated!CQL$2:CQL$4)=0,"",AVERAGE(zip_med_inc_updated!CQL$2:CQL$4))</f>
        <v>95184.666666666672</v>
      </c>
      <c r="CQM2">
        <f>IF(COUNT(zip_med_inc_updated!CQM$2:CQM$4)=0,"",AVERAGE(zip_med_inc_updated!CQM$2:CQM$4))</f>
        <v>115782.33333333333</v>
      </c>
      <c r="CQN2">
        <f>IF(COUNT(zip_med_inc_updated!CQN$2:CQN$4)=0,"",AVERAGE(zip_med_inc_updated!CQN$2:CQN$4))</f>
        <v>146917</v>
      </c>
      <c r="CQO2">
        <f>IF(COUNT(zip_med_inc_updated!CQO$2:CQO$4)=0,"",AVERAGE(zip_med_inc_updated!CQO$2:CQO$4))</f>
        <v>109079.33333333333</v>
      </c>
      <c r="CQP2">
        <f>IF(COUNT(zip_med_inc_updated!CQP$2:CQP$4)=0,"",AVERAGE(zip_med_inc_updated!CQP$2:CQP$4))</f>
        <v>137468.33333333334</v>
      </c>
      <c r="CQQ2">
        <f>IF(COUNT(zip_med_inc_updated!CQQ$2:CQQ$4)=0,"",AVERAGE(zip_med_inc_updated!CQQ$2:CQQ$4))</f>
        <v>85766</v>
      </c>
      <c r="CQR2">
        <f>IF(COUNT(zip_med_inc_updated!CQR$2:CQR$4)=0,"",AVERAGE(zip_med_inc_updated!CQR$2:CQR$4))</f>
        <v>66934.5</v>
      </c>
      <c r="CQS2">
        <f>IF(COUNT(zip_med_inc_updated!CQS$2:CQS$4)=0,"",AVERAGE(zip_med_inc_updated!CQS$2:CQS$4))</f>
        <v>163110.66666666666</v>
      </c>
      <c r="CQT2">
        <f>IF(COUNT(zip_med_inc_updated!CQT$2:CQT$4)=0,"",AVERAGE(zip_med_inc_updated!CQT$2:CQT$4))</f>
        <v>59718.333333333336</v>
      </c>
      <c r="CQU2">
        <f>IF(COUNT(zip_med_inc_updated!CQU$2:CQU$4)=0,"",AVERAGE(zip_med_inc_updated!CQU$2:CQU$4))</f>
        <v>128552</v>
      </c>
      <c r="CQV2">
        <f>IF(COUNT(zip_med_inc_updated!CQV$2:CQV$4)=0,"",AVERAGE(zip_med_inc_updated!CQV$2:CQV$4))</f>
        <v>68797.333333333328</v>
      </c>
      <c r="CQW2">
        <f>IF(COUNT(zip_med_inc_updated!CQW$2:CQW$4)=0,"",AVERAGE(zip_med_inc_updated!CQW$2:CQW$4))</f>
        <v>117228</v>
      </c>
      <c r="CQX2">
        <f>IF(COUNT(zip_med_inc_updated!CQX$2:CQX$4)=0,"",AVERAGE(zip_med_inc_updated!CQX$2:CQX$4))</f>
        <v>137922.66666666666</v>
      </c>
      <c r="CQY2" t="str">
        <f>IF(COUNT(zip_med_inc_updated!CQY$2:CQY$4)=0,"",AVERAGE(zip_med_inc_updated!CQY$2:CQY$4))</f>
        <v/>
      </c>
      <c r="CQZ2">
        <f>IF(COUNT(zip_med_inc_updated!CQZ$2:CQZ$4)=0,"",AVERAGE(zip_med_inc_updated!CQZ$2:CQZ$4))</f>
        <v>82814.666666666672</v>
      </c>
      <c r="CRA2">
        <f>IF(COUNT(zip_med_inc_updated!CRA$2:CRA$4)=0,"",AVERAGE(zip_med_inc_updated!CRA$2:CRA$4))</f>
        <v>108948.33333333333</v>
      </c>
      <c r="CRB2">
        <f>IF(COUNT(zip_med_inc_updated!CRB$2:CRB$4)=0,"",AVERAGE(zip_med_inc_updated!CRB$2:CRB$4))</f>
        <v>98502.333333333328</v>
      </c>
      <c r="CRC2">
        <f>IF(COUNT(zip_med_inc_updated!CRC$2:CRC$4)=0,"",AVERAGE(zip_med_inc_updated!CRC$2:CRC$4))</f>
        <v>114903.66666666667</v>
      </c>
      <c r="CRD2">
        <f>IF(COUNT(zip_med_inc_updated!CRD$2:CRD$4)=0,"",AVERAGE(zip_med_inc_updated!CRD$2:CRD$4))</f>
        <v>119934.33333333333</v>
      </c>
      <c r="CRE2" t="str">
        <f>IF(COUNT(zip_med_inc_updated!CRE$2:CRE$4)=0,"",AVERAGE(zip_med_inc_updated!CRE$2:CRE$4))</f>
        <v/>
      </c>
      <c r="CRF2">
        <f>IF(COUNT(zip_med_inc_updated!CRF$2:CRF$4)=0,"",AVERAGE(zip_med_inc_updated!CRF$2:CRF$4))</f>
        <v>73741.666666666672</v>
      </c>
      <c r="CRG2">
        <f>IF(COUNT(zip_med_inc_updated!CRG$2:CRG$4)=0,"",AVERAGE(zip_med_inc_updated!CRG$2:CRG$4))</f>
        <v>86580</v>
      </c>
      <c r="CRH2">
        <f>IF(COUNT(zip_med_inc_updated!CRH$2:CRH$4)=0,"",AVERAGE(zip_med_inc_updated!CRH$2:CRH$4))</f>
        <v>76504.666666666672</v>
      </c>
      <c r="CRI2">
        <f>IF(COUNT(zip_med_inc_updated!CRI$2:CRI$4)=0,"",AVERAGE(zip_med_inc_updated!CRI$2:CRI$4))</f>
        <v>120206.33333333333</v>
      </c>
      <c r="CRJ2">
        <f>IF(COUNT(zip_med_inc_updated!CRJ$2:CRJ$4)=0,"",AVERAGE(zip_med_inc_updated!CRJ$2:CRJ$4))</f>
        <v>38185.5</v>
      </c>
      <c r="CRK2" t="str">
        <f>IF(COUNT(zip_med_inc_updated!CRK$2:CRK$4)=0,"",AVERAGE(zip_med_inc_updated!CRK$2:CRK$4))</f>
        <v/>
      </c>
      <c r="CRL2" t="str">
        <f>IF(COUNT(zip_med_inc_updated!CRL$2:CRL$4)=0,"",AVERAGE(zip_med_inc_updated!CRL$2:CRL$4))</f>
        <v/>
      </c>
      <c r="CRM2">
        <f>IF(COUNT(zip_med_inc_updated!CRM$2:CRM$4)=0,"",AVERAGE(zip_med_inc_updated!CRM$2:CRM$4))</f>
        <v>50557.5</v>
      </c>
      <c r="CRN2">
        <f>IF(COUNT(zip_med_inc_updated!CRN$2:CRN$4)=0,"",AVERAGE(zip_med_inc_updated!CRN$2:CRN$4))</f>
        <v>124129</v>
      </c>
      <c r="CRO2">
        <f>IF(COUNT(zip_med_inc_updated!CRO$2:CRO$4)=0,"",AVERAGE(zip_med_inc_updated!CRO$2:CRO$4))</f>
        <v>64080.333333333336</v>
      </c>
      <c r="CRP2" t="str">
        <f>IF(COUNT(zip_med_inc_updated!CRP$2:CRP$4)=0,"",AVERAGE(zip_med_inc_updated!CRP$2:CRP$4))</f>
        <v/>
      </c>
      <c r="CRQ2">
        <f>IF(COUNT(zip_med_inc_updated!CRQ$2:CRQ$4)=0,"",AVERAGE(zip_med_inc_updated!CRQ$2:CRQ$4))</f>
        <v>56203.666666666664</v>
      </c>
      <c r="CRR2">
        <f>IF(COUNT(zip_med_inc_updated!CRR$2:CRR$4)=0,"",AVERAGE(zip_med_inc_updated!CRR$2:CRR$4))</f>
        <v>73433.666666666672</v>
      </c>
      <c r="CRS2">
        <f>IF(COUNT(zip_med_inc_updated!CRS$2:CRS$4)=0,"",AVERAGE(zip_med_inc_updated!CRS$2:CRS$4))</f>
        <v>89540.666666666672</v>
      </c>
      <c r="CRT2">
        <f>IF(COUNT(zip_med_inc_updated!CRT$2:CRT$4)=0,"",AVERAGE(zip_med_inc_updated!CRT$2:CRT$4))</f>
        <v>69573.333333333328</v>
      </c>
      <c r="CRU2">
        <f>IF(COUNT(zip_med_inc_updated!CRU$2:CRU$4)=0,"",AVERAGE(zip_med_inc_updated!CRU$2:CRU$4))</f>
        <v>92841.333333333328</v>
      </c>
      <c r="CRV2">
        <f>IF(COUNT(zip_med_inc_updated!CRV$2:CRV$4)=0,"",AVERAGE(zip_med_inc_updated!CRV$2:CRV$4))</f>
        <v>102550.33333333333</v>
      </c>
      <c r="CRW2">
        <f>IF(COUNT(zip_med_inc_updated!CRW$2:CRW$4)=0,"",AVERAGE(zip_med_inc_updated!CRW$2:CRW$4))</f>
        <v>100356.33333333333</v>
      </c>
      <c r="CRX2">
        <f>IF(COUNT(zip_med_inc_updated!CRX$2:CRX$4)=0,"",AVERAGE(zip_med_inc_updated!CRX$2:CRX$4))</f>
        <v>101048.66666666667</v>
      </c>
      <c r="CRY2">
        <f>IF(COUNT(zip_med_inc_updated!CRY$2:CRY$4)=0,"",AVERAGE(zip_med_inc_updated!CRY$2:CRY$4))</f>
        <v>59239.666666666664</v>
      </c>
      <c r="CRZ2">
        <f>IF(COUNT(zip_med_inc_updated!CRZ$2:CRZ$4)=0,"",AVERAGE(zip_med_inc_updated!CRZ$2:CRZ$4))</f>
        <v>56630.666666666664</v>
      </c>
      <c r="CSA2">
        <f>IF(COUNT(zip_med_inc_updated!CSA$2:CSA$4)=0,"",AVERAGE(zip_med_inc_updated!CSA$2:CSA$4))</f>
        <v>97663.666666666672</v>
      </c>
      <c r="CSB2">
        <f>IF(COUNT(zip_med_inc_updated!CSB$2:CSB$4)=0,"",AVERAGE(zip_med_inc_updated!CSB$2:CSB$4))</f>
        <v>58068.666666666664</v>
      </c>
      <c r="CSC2">
        <f>IF(COUNT(zip_med_inc_updated!CSC$2:CSC$4)=0,"",AVERAGE(zip_med_inc_updated!CSC$2:CSC$4))</f>
        <v>54831.666666666664</v>
      </c>
      <c r="CSD2">
        <f>IF(COUNT(zip_med_inc_updated!CSD$2:CSD$4)=0,"",AVERAGE(zip_med_inc_updated!CSD$2:CSD$4))</f>
        <v>48616.666666666664</v>
      </c>
      <c r="CSE2">
        <f>IF(COUNT(zip_med_inc_updated!CSE$2:CSE$4)=0,"",AVERAGE(zip_med_inc_updated!CSE$2:CSE$4))</f>
        <v>61611.666666666664</v>
      </c>
      <c r="CSF2">
        <f>IF(COUNT(zip_med_inc_updated!CSF$2:CSF$4)=0,"",AVERAGE(zip_med_inc_updated!CSF$2:CSF$4))</f>
        <v>125857.66666666667</v>
      </c>
      <c r="CSG2">
        <f>IF(COUNT(zip_med_inc_updated!CSG$2:CSG$4)=0,"",AVERAGE(zip_med_inc_updated!CSG$2:CSG$4))</f>
        <v>67612.666666666672</v>
      </c>
      <c r="CSH2">
        <f>IF(COUNT(zip_med_inc_updated!CSH$2:CSH$4)=0,"",AVERAGE(zip_med_inc_updated!CSH$2:CSH$4))</f>
        <v>66481</v>
      </c>
      <c r="CSI2">
        <f>IF(COUNT(zip_med_inc_updated!CSI$2:CSI$4)=0,"",AVERAGE(zip_med_inc_updated!CSI$2:CSI$4))</f>
        <v>102754</v>
      </c>
      <c r="CSJ2">
        <f>IF(COUNT(zip_med_inc_updated!CSJ$2:CSJ$4)=0,"",AVERAGE(zip_med_inc_updated!CSJ$2:CSJ$4))</f>
        <v>72992</v>
      </c>
      <c r="CSK2">
        <f>IF(COUNT(zip_med_inc_updated!CSK$2:CSK$4)=0,"",AVERAGE(zip_med_inc_updated!CSK$2:CSK$4))</f>
        <v>73574</v>
      </c>
      <c r="CSL2">
        <f>IF(COUNT(zip_med_inc_updated!CSL$2:CSL$4)=0,"",AVERAGE(zip_med_inc_updated!CSL$2:CSL$4))</f>
        <v>119878</v>
      </c>
      <c r="CSM2">
        <f>IF(COUNT(zip_med_inc_updated!CSM$2:CSM$4)=0,"",AVERAGE(zip_med_inc_updated!CSM$2:CSM$4))</f>
        <v>63639.333333333336</v>
      </c>
      <c r="CSN2">
        <f>IF(COUNT(zip_med_inc_updated!CSN$2:CSN$4)=0,"",AVERAGE(zip_med_inc_updated!CSN$2:CSN$4))</f>
        <v>91603</v>
      </c>
      <c r="CSO2">
        <f>IF(COUNT(zip_med_inc_updated!CSO$2:CSO$4)=0,"",AVERAGE(zip_med_inc_updated!CSO$2:CSO$4))</f>
        <v>105677.33333333333</v>
      </c>
      <c r="CSP2">
        <f>IF(COUNT(zip_med_inc_updated!CSP$2:CSP$4)=0,"",AVERAGE(zip_med_inc_updated!CSP$2:CSP$4))</f>
        <v>77531.333333333328</v>
      </c>
      <c r="CSQ2">
        <f>IF(COUNT(zip_med_inc_updated!CSQ$2:CSQ$4)=0,"",AVERAGE(zip_med_inc_updated!CSQ$2:CSQ$4))</f>
        <v>96661</v>
      </c>
      <c r="CSR2" t="str">
        <f>IF(COUNT(zip_med_inc_updated!CSR$2:CSR$4)=0,"",AVERAGE(zip_med_inc_updated!CSR$2:CSR$4))</f>
        <v/>
      </c>
      <c r="CSS2">
        <f>IF(COUNT(zip_med_inc_updated!CSS$2:CSS$4)=0,"",AVERAGE(zip_med_inc_updated!CSS$2:CSS$4))</f>
        <v>28500</v>
      </c>
      <c r="CST2">
        <f>IF(COUNT(zip_med_inc_updated!CST$2:CST$4)=0,"",AVERAGE(zip_med_inc_updated!CST$2:CST$4))</f>
        <v>65715</v>
      </c>
      <c r="CSU2" t="str">
        <f>IF(COUNT(zip_med_inc_updated!CSU$2:CSU$4)=0,"",AVERAGE(zip_med_inc_updated!CSU$2:CSU$4))</f>
        <v/>
      </c>
      <c r="CSV2">
        <f>IF(COUNT(zip_med_inc_updated!CSV$2:CSV$4)=0,"",AVERAGE(zip_med_inc_updated!CSV$2:CSV$4))</f>
        <v>48305.333333333336</v>
      </c>
      <c r="CSW2" t="str">
        <f>IF(COUNT(zip_med_inc_updated!CSW$2:CSW$4)=0,"",AVERAGE(zip_med_inc_updated!CSW$2:CSW$4))</f>
        <v/>
      </c>
      <c r="CSX2">
        <f>IF(COUNT(zip_med_inc_updated!CSX$2:CSX$4)=0,"",AVERAGE(zip_med_inc_updated!CSX$2:CSX$4))</f>
        <v>127009</v>
      </c>
      <c r="CSY2">
        <f>IF(COUNT(zip_med_inc_updated!CSY$2:CSY$4)=0,"",AVERAGE(zip_med_inc_updated!CSY$2:CSY$4))</f>
        <v>118393</v>
      </c>
      <c r="CSZ2">
        <f>IF(COUNT(zip_med_inc_updated!CSZ$2:CSZ$4)=0,"",AVERAGE(zip_med_inc_updated!CSZ$2:CSZ$4))</f>
        <v>67305.666666666672</v>
      </c>
      <c r="CTA2">
        <f>IF(COUNT(zip_med_inc_updated!CTA$2:CTA$4)=0,"",AVERAGE(zip_med_inc_updated!CTA$2:CTA$4))</f>
        <v>42568</v>
      </c>
      <c r="CTB2">
        <f>IF(COUNT(zip_med_inc_updated!CTB$2:CTB$4)=0,"",AVERAGE(zip_med_inc_updated!CTB$2:CTB$4))</f>
        <v>71699.333333333328</v>
      </c>
      <c r="CTC2">
        <f>IF(COUNT(zip_med_inc_updated!CTC$2:CTC$4)=0,"",AVERAGE(zip_med_inc_updated!CTC$2:CTC$4))</f>
        <v>57133</v>
      </c>
      <c r="CTD2">
        <f>IF(COUNT(zip_med_inc_updated!CTD$2:CTD$4)=0,"",AVERAGE(zip_med_inc_updated!CTD$2:CTD$4))</f>
        <v>105312.33333333333</v>
      </c>
      <c r="CTE2">
        <f>IF(COUNT(zip_med_inc_updated!CTE$2:CTE$4)=0,"",AVERAGE(zip_med_inc_updated!CTE$2:CTE$4))</f>
        <v>77184</v>
      </c>
      <c r="CTF2">
        <f>IF(COUNT(zip_med_inc_updated!CTF$2:CTF$4)=0,"",AVERAGE(zip_med_inc_updated!CTF$2:CTF$4))</f>
        <v>82222.333333333328</v>
      </c>
      <c r="CTG2">
        <f>IF(COUNT(zip_med_inc_updated!CTG$2:CTG$4)=0,"",AVERAGE(zip_med_inc_updated!CTG$2:CTG$4))</f>
        <v>82668</v>
      </c>
      <c r="CTH2">
        <f>IF(COUNT(zip_med_inc_updated!CTH$2:CTH$4)=0,"",AVERAGE(zip_med_inc_updated!CTH$2:CTH$4))</f>
        <v>98686.666666666672</v>
      </c>
      <c r="CTI2">
        <f>IF(COUNT(zip_med_inc_updated!CTI$2:CTI$4)=0,"",AVERAGE(zip_med_inc_updated!CTI$2:CTI$4))</f>
        <v>132676.66666666666</v>
      </c>
      <c r="CTJ2">
        <f>IF(COUNT(zip_med_inc_updated!CTJ$2:CTJ$4)=0,"",AVERAGE(zip_med_inc_updated!CTJ$2:CTJ$4))</f>
        <v>104683</v>
      </c>
      <c r="CTK2">
        <f>IF(COUNT(zip_med_inc_updated!CTK$2:CTK$4)=0,"",AVERAGE(zip_med_inc_updated!CTK$2:CTK$4))</f>
        <v>57485</v>
      </c>
      <c r="CTL2">
        <f>IF(COUNT(zip_med_inc_updated!CTL$2:CTL$4)=0,"",AVERAGE(zip_med_inc_updated!CTL$2:CTL$4))</f>
        <v>72094.333333333328</v>
      </c>
      <c r="CTM2">
        <f>IF(COUNT(zip_med_inc_updated!CTM$2:CTM$4)=0,"",AVERAGE(zip_med_inc_updated!CTM$2:CTM$4))</f>
        <v>57821.333333333336</v>
      </c>
      <c r="CTN2">
        <f>IF(COUNT(zip_med_inc_updated!CTN$2:CTN$4)=0,"",AVERAGE(zip_med_inc_updated!CTN$2:CTN$4))</f>
        <v>74450</v>
      </c>
      <c r="CTO2">
        <f>IF(COUNT(zip_med_inc_updated!CTO$2:CTO$4)=0,"",AVERAGE(zip_med_inc_updated!CTO$2:CTO$4))</f>
        <v>108292.33333333333</v>
      </c>
      <c r="CTP2">
        <f>IF(COUNT(zip_med_inc_updated!CTP$2:CTP$4)=0,"",AVERAGE(zip_med_inc_updated!CTP$2:CTP$4))</f>
        <v>49117</v>
      </c>
      <c r="CTQ2">
        <f>IF(COUNT(zip_med_inc_updated!CTQ$2:CTQ$4)=0,"",AVERAGE(zip_med_inc_updated!CTQ$2:CTQ$4))</f>
        <v>179653</v>
      </c>
      <c r="CTR2">
        <f>IF(COUNT(zip_med_inc_updated!CTR$2:CTR$4)=0,"",AVERAGE(zip_med_inc_updated!CTR$2:CTR$4))</f>
        <v>89152</v>
      </c>
      <c r="CTS2">
        <f>IF(COUNT(zip_med_inc_updated!CTS$2:CTS$4)=0,"",AVERAGE(zip_med_inc_updated!CTS$2:CTS$4))</f>
        <v>32798</v>
      </c>
      <c r="CTT2">
        <f>IF(COUNT(zip_med_inc_updated!CTT$2:CTT$4)=0,"",AVERAGE(zip_med_inc_updated!CTT$2:CTT$4))</f>
        <v>72326.666666666672</v>
      </c>
      <c r="CTU2">
        <f>IF(COUNT(zip_med_inc_updated!CTU$2:CTU$4)=0,"",AVERAGE(zip_med_inc_updated!CTU$2:CTU$4))</f>
        <v>68523.333333333328</v>
      </c>
      <c r="CTV2" t="str">
        <f>IF(COUNT(zip_med_inc_updated!CTV$2:CTV$4)=0,"",AVERAGE(zip_med_inc_updated!CTV$2:CTV$4))</f>
        <v/>
      </c>
      <c r="CTW2" t="str">
        <f>IF(COUNT(zip_med_inc_updated!CTW$2:CTW$4)=0,"",AVERAGE(zip_med_inc_updated!CTW$2:CTW$4))</f>
        <v/>
      </c>
      <c r="CTX2" t="str">
        <f>IF(COUNT(zip_med_inc_updated!CTX$2:CTX$4)=0,"",AVERAGE(zip_med_inc_updated!CTX$2:CTX$4))</f>
        <v/>
      </c>
      <c r="CTY2">
        <f>IF(COUNT(zip_med_inc_updated!CTY$2:CTY$4)=0,"",AVERAGE(zip_med_inc_updated!CTY$2:CTY$4))</f>
        <v>35099.666666666664</v>
      </c>
      <c r="CTZ2">
        <f>IF(COUNT(zip_med_inc_updated!CTZ$2:CTZ$4)=0,"",AVERAGE(zip_med_inc_updated!CTZ$2:CTZ$4))</f>
        <v>67502.333333333328</v>
      </c>
      <c r="CUA2">
        <f>IF(COUNT(zip_med_inc_updated!CUA$2:CUA$4)=0,"",AVERAGE(zip_med_inc_updated!CUA$2:CUA$4))</f>
        <v>68966.333333333328</v>
      </c>
      <c r="CUB2" t="str">
        <f>IF(COUNT(zip_med_inc_updated!CUB$2:CUB$4)=0,"",AVERAGE(zip_med_inc_updated!CUB$2:CUB$4))</f>
        <v/>
      </c>
      <c r="CUC2">
        <f>IF(COUNT(zip_med_inc_updated!CUC$2:CUC$4)=0,"",AVERAGE(zip_med_inc_updated!CUC$2:CUC$4))</f>
        <v>64734.5</v>
      </c>
      <c r="CUD2">
        <f>IF(COUNT(zip_med_inc_updated!CUD$2:CUD$4)=0,"",AVERAGE(zip_med_inc_updated!CUD$2:CUD$4))</f>
        <v>48874</v>
      </c>
      <c r="CUE2">
        <f>IF(COUNT(zip_med_inc_updated!CUE$2:CUE$4)=0,"",AVERAGE(zip_med_inc_updated!CUE$2:CUE$4))</f>
        <v>48216</v>
      </c>
      <c r="CUF2" t="str">
        <f>IF(COUNT(zip_med_inc_updated!CUF$2:CUF$4)=0,"",AVERAGE(zip_med_inc_updated!CUF$2:CUF$4))</f>
        <v/>
      </c>
      <c r="CUG2">
        <f>IF(COUNT(zip_med_inc_updated!CUG$2:CUG$4)=0,"",AVERAGE(zip_med_inc_updated!CUG$2:CUG$4))</f>
        <v>43910.666666666664</v>
      </c>
      <c r="CUH2">
        <f>IF(COUNT(zip_med_inc_updated!CUH$2:CUH$4)=0,"",AVERAGE(zip_med_inc_updated!CUH$2:CUH$4))</f>
        <v>16688</v>
      </c>
      <c r="CUI2">
        <f>IF(COUNT(zip_med_inc_updated!CUI$2:CUI$4)=0,"",AVERAGE(zip_med_inc_updated!CUI$2:CUI$4))</f>
        <v>68635</v>
      </c>
      <c r="CUJ2">
        <f>IF(COUNT(zip_med_inc_updated!CUJ$2:CUJ$4)=0,"",AVERAGE(zip_med_inc_updated!CUJ$2:CUJ$4))</f>
        <v>52892.333333333336</v>
      </c>
      <c r="CUK2">
        <f>IF(COUNT(zip_med_inc_updated!CUK$2:CUK$4)=0,"",AVERAGE(zip_med_inc_updated!CUK$2:CUK$4))</f>
        <v>52335.666666666664</v>
      </c>
      <c r="CUL2">
        <f>IF(COUNT(zip_med_inc_updated!CUL$2:CUL$4)=0,"",AVERAGE(zip_med_inc_updated!CUL$2:CUL$4))</f>
        <v>57742.666666666664</v>
      </c>
      <c r="CUM2">
        <f>IF(COUNT(zip_med_inc_updated!CUM$2:CUM$4)=0,"",AVERAGE(zip_med_inc_updated!CUM$2:CUM$4))</f>
        <v>85625</v>
      </c>
      <c r="CUN2">
        <f>IF(COUNT(zip_med_inc_updated!CUN$2:CUN$4)=0,"",AVERAGE(zip_med_inc_updated!CUN$2:CUN$4))</f>
        <v>54902.5</v>
      </c>
      <c r="CUO2" t="str">
        <f>IF(COUNT(zip_med_inc_updated!CUO$2:CUO$4)=0,"",AVERAGE(zip_med_inc_updated!CUO$2:CUO$4))</f>
        <v/>
      </c>
      <c r="CUP2">
        <f>IF(COUNT(zip_med_inc_updated!CUP$2:CUP$4)=0,"",AVERAGE(zip_med_inc_updated!CUP$2:CUP$4))</f>
        <v>39156.5</v>
      </c>
      <c r="CUQ2">
        <f>IF(COUNT(zip_med_inc_updated!CUQ$2:CUQ$4)=0,"",AVERAGE(zip_med_inc_updated!CUQ$2:CUQ$4))</f>
        <v>100987</v>
      </c>
      <c r="CUR2">
        <f>IF(COUNT(zip_med_inc_updated!CUR$2:CUR$4)=0,"",AVERAGE(zip_med_inc_updated!CUR$2:CUR$4))</f>
        <v>123589</v>
      </c>
      <c r="CUS2">
        <f>IF(COUNT(zip_med_inc_updated!CUS$2:CUS$4)=0,"",AVERAGE(zip_med_inc_updated!CUS$2:CUS$4))</f>
        <v>145260.33333333334</v>
      </c>
      <c r="CUT2">
        <f>IF(COUNT(zip_med_inc_updated!CUT$2:CUT$4)=0,"",AVERAGE(zip_med_inc_updated!CUT$2:CUT$4))</f>
        <v>76506</v>
      </c>
      <c r="CUU2">
        <f>IF(COUNT(zip_med_inc_updated!CUU$2:CUU$4)=0,"",AVERAGE(zip_med_inc_updated!CUU$2:CUU$4))</f>
        <v>109111</v>
      </c>
      <c r="CUV2">
        <f>IF(COUNT(zip_med_inc_updated!CUV$2:CUV$4)=0,"",AVERAGE(zip_med_inc_updated!CUV$2:CUV$4))</f>
        <v>194100.66666666666</v>
      </c>
      <c r="CUW2">
        <f>IF(COUNT(zip_med_inc_updated!CUW$2:CUW$4)=0,"",AVERAGE(zip_med_inc_updated!CUW$2:CUW$4))</f>
        <v>75389.666666666672</v>
      </c>
      <c r="CUX2">
        <f>IF(COUNT(zip_med_inc_updated!CUX$2:CUX$4)=0,"",AVERAGE(zip_med_inc_updated!CUX$2:CUX$4))</f>
        <v>89882.666666666672</v>
      </c>
      <c r="CUY2">
        <f>IF(COUNT(zip_med_inc_updated!CUY$2:CUY$4)=0,"",AVERAGE(zip_med_inc_updated!CUY$2:CUY$4))</f>
        <v>34698</v>
      </c>
      <c r="CUZ2" t="str">
        <f>IF(COUNT(zip_med_inc_updated!CUZ$2:CUZ$4)=0,"",AVERAGE(zip_med_inc_updated!CUZ$2:CUZ$4))</f>
        <v/>
      </c>
      <c r="CVA2">
        <f>IF(COUNT(zip_med_inc_updated!CVA$2:CVA$4)=0,"",AVERAGE(zip_med_inc_updated!CVA$2:CVA$4))</f>
        <v>42041.666666666664</v>
      </c>
      <c r="CVB2">
        <f>IF(COUNT(zip_med_inc_updated!CVB$2:CVB$4)=0,"",AVERAGE(zip_med_inc_updated!CVB$2:CVB$4))</f>
        <v>97271.333333333328</v>
      </c>
      <c r="CVC2">
        <f>IF(COUNT(zip_med_inc_updated!CVC$2:CVC$4)=0,"",AVERAGE(zip_med_inc_updated!CVC$2:CVC$4))</f>
        <v>77199</v>
      </c>
      <c r="CVD2">
        <f>IF(COUNT(zip_med_inc_updated!CVD$2:CVD$4)=0,"",AVERAGE(zip_med_inc_updated!CVD$2:CVD$4))</f>
        <v>87945</v>
      </c>
      <c r="CVE2">
        <f>IF(COUNT(zip_med_inc_updated!CVE$2:CVE$4)=0,"",AVERAGE(zip_med_inc_updated!CVE$2:CVE$4))</f>
        <v>98726</v>
      </c>
      <c r="CVF2">
        <f>IF(COUNT(zip_med_inc_updated!CVF$2:CVF$4)=0,"",AVERAGE(zip_med_inc_updated!CVF$2:CVF$4))</f>
        <v>88423</v>
      </c>
      <c r="CVG2">
        <f>IF(COUNT(zip_med_inc_updated!CVG$2:CVG$4)=0,"",AVERAGE(zip_med_inc_updated!CVG$2:CVG$4))</f>
        <v>128017.33333333333</v>
      </c>
      <c r="CVH2">
        <f>IF(COUNT(zip_med_inc_updated!CVH$2:CVH$4)=0,"",AVERAGE(zip_med_inc_updated!CVH$2:CVH$4))</f>
        <v>108975.66666666667</v>
      </c>
      <c r="CVI2" t="str">
        <f>IF(COUNT(zip_med_inc_updated!CVI$2:CVI$4)=0,"",AVERAGE(zip_med_inc_updated!CVI$2:CVI$4))</f>
        <v/>
      </c>
      <c r="CVJ2" t="str">
        <f>IF(COUNT(zip_med_inc_updated!CVJ$2:CVJ$4)=0,"",AVERAGE(zip_med_inc_updated!CVJ$2:CVJ$4))</f>
        <v/>
      </c>
      <c r="CVK2" t="str">
        <f>IF(COUNT(zip_med_inc_updated!CVK$2:CVK$4)=0,"",AVERAGE(zip_med_inc_updated!CVK$2:CVK$4))</f>
        <v/>
      </c>
      <c r="CVL2">
        <f>IF(COUNT(zip_med_inc_updated!CVL$2:CVL$4)=0,"",AVERAGE(zip_med_inc_updated!CVL$2:CVL$4))</f>
        <v>69365</v>
      </c>
      <c r="CVM2">
        <f>IF(COUNT(zip_med_inc_updated!CVM$2:CVM$4)=0,"",AVERAGE(zip_med_inc_updated!CVM$2:CVM$4))</f>
        <v>90931</v>
      </c>
      <c r="CVN2">
        <f>IF(COUNT(zip_med_inc_updated!CVN$2:CVN$4)=0,"",AVERAGE(zip_med_inc_updated!CVN$2:CVN$4))</f>
        <v>46618</v>
      </c>
      <c r="CVO2">
        <f>IF(COUNT(zip_med_inc_updated!CVO$2:CVO$4)=0,"",AVERAGE(zip_med_inc_updated!CVO$2:CVO$4))</f>
        <v>71577</v>
      </c>
      <c r="CVP2">
        <f>IF(COUNT(zip_med_inc_updated!CVP$2:CVP$4)=0,"",AVERAGE(zip_med_inc_updated!CVP$2:CVP$4))</f>
        <v>74131.333333333328</v>
      </c>
      <c r="CVQ2">
        <f>IF(COUNT(zip_med_inc_updated!CVQ$2:CVQ$4)=0,"",AVERAGE(zip_med_inc_updated!CVQ$2:CVQ$4))</f>
        <v>70090</v>
      </c>
      <c r="CVR2">
        <f>IF(COUNT(zip_med_inc_updated!CVR$2:CVR$4)=0,"",AVERAGE(zip_med_inc_updated!CVR$2:CVR$4))</f>
        <v>65032</v>
      </c>
      <c r="CVS2">
        <f>IF(COUNT(zip_med_inc_updated!CVS$2:CVS$4)=0,"",AVERAGE(zip_med_inc_updated!CVS$2:CVS$4))</f>
        <v>62713.333333333336</v>
      </c>
      <c r="CVT2">
        <f>IF(COUNT(zip_med_inc_updated!CVT$2:CVT$4)=0,"",AVERAGE(zip_med_inc_updated!CVT$2:CVT$4))</f>
        <v>42475.333333333336</v>
      </c>
      <c r="CVU2">
        <f>IF(COUNT(zip_med_inc_updated!CVU$2:CVU$4)=0,"",AVERAGE(zip_med_inc_updated!CVU$2:CVU$4))</f>
        <v>57058.666666666664</v>
      </c>
      <c r="CVV2">
        <f>IF(COUNT(zip_med_inc_updated!CVV$2:CVV$4)=0,"",AVERAGE(zip_med_inc_updated!CVV$2:CVV$4))</f>
        <v>101819</v>
      </c>
      <c r="CVW2">
        <f>IF(COUNT(zip_med_inc_updated!CVW$2:CVW$4)=0,"",AVERAGE(zip_med_inc_updated!CVW$2:CVW$4))</f>
        <v>74161.333333333328</v>
      </c>
      <c r="CVX2">
        <f>IF(COUNT(zip_med_inc_updated!CVX$2:CVX$4)=0,"",AVERAGE(zip_med_inc_updated!CVX$2:CVX$4))</f>
        <v>70690.333333333328</v>
      </c>
      <c r="CVY2">
        <f>IF(COUNT(zip_med_inc_updated!CVY$2:CVY$4)=0,"",AVERAGE(zip_med_inc_updated!CVY$2:CVY$4))</f>
        <v>73621.666666666672</v>
      </c>
      <c r="CVZ2">
        <f>IF(COUNT(zip_med_inc_updated!CVZ$2:CVZ$4)=0,"",AVERAGE(zip_med_inc_updated!CVZ$2:CVZ$4))</f>
        <v>65513.666666666664</v>
      </c>
      <c r="CWA2">
        <f>IF(COUNT(zip_med_inc_updated!CWA$2:CWA$4)=0,"",AVERAGE(zip_med_inc_updated!CWA$2:CWA$4))</f>
        <v>65664</v>
      </c>
      <c r="CWB2">
        <f>IF(COUNT(zip_med_inc_updated!CWB$2:CWB$4)=0,"",AVERAGE(zip_med_inc_updated!CWB$2:CWB$4))</f>
        <v>62155.666666666664</v>
      </c>
      <c r="CWC2">
        <f>IF(COUNT(zip_med_inc_updated!CWC$2:CWC$4)=0,"",AVERAGE(zip_med_inc_updated!CWC$2:CWC$4))</f>
        <v>74268.666666666672</v>
      </c>
      <c r="CWD2">
        <f>IF(COUNT(zip_med_inc_updated!CWD$2:CWD$4)=0,"",AVERAGE(zip_med_inc_updated!CWD$2:CWD$4))</f>
        <v>35641</v>
      </c>
      <c r="CWE2" t="str">
        <f>IF(COUNT(zip_med_inc_updated!CWE$2:CWE$4)=0,"",AVERAGE(zip_med_inc_updated!CWE$2:CWE$4))</f>
        <v/>
      </c>
      <c r="CWF2">
        <f>IF(COUNT(zip_med_inc_updated!CWF$2:CWF$4)=0,"",AVERAGE(zip_med_inc_updated!CWF$2:CWF$4))</f>
        <v>69307.666666666672</v>
      </c>
      <c r="CWG2">
        <f>IF(COUNT(zip_med_inc_updated!CWG$2:CWG$4)=0,"",AVERAGE(zip_med_inc_updated!CWG$2:CWG$4))</f>
        <v>74226.333333333328</v>
      </c>
      <c r="CWH2">
        <f>IF(COUNT(zip_med_inc_updated!CWH$2:CWH$4)=0,"",AVERAGE(zip_med_inc_updated!CWH$2:CWH$4))</f>
        <v>89679</v>
      </c>
      <c r="CWI2">
        <f>IF(COUNT(zip_med_inc_updated!CWI$2:CWI$4)=0,"",AVERAGE(zip_med_inc_updated!CWI$2:CWI$4))</f>
        <v>74778</v>
      </c>
      <c r="CWJ2">
        <f>IF(COUNT(zip_med_inc_updated!CWJ$2:CWJ$4)=0,"",AVERAGE(zip_med_inc_updated!CWJ$2:CWJ$4))</f>
        <v>50452.666666666664</v>
      </c>
      <c r="CWK2">
        <f>IF(COUNT(zip_med_inc_updated!CWK$2:CWK$4)=0,"",AVERAGE(zip_med_inc_updated!CWK$2:CWK$4))</f>
        <v>70246</v>
      </c>
      <c r="CWL2">
        <f>IF(COUNT(zip_med_inc_updated!CWL$2:CWL$4)=0,"",AVERAGE(zip_med_inc_updated!CWL$2:CWL$4))</f>
        <v>41459</v>
      </c>
      <c r="CWM2">
        <f>IF(COUNT(zip_med_inc_updated!CWM$2:CWM$4)=0,"",AVERAGE(zip_med_inc_updated!CWM$2:CWM$4))</f>
        <v>68647.333333333328</v>
      </c>
      <c r="CWN2">
        <f>IF(COUNT(zip_med_inc_updated!CWN$2:CWN$4)=0,"",AVERAGE(zip_med_inc_updated!CWN$2:CWN$4))</f>
        <v>99566</v>
      </c>
      <c r="CWO2">
        <f>IF(COUNT(zip_med_inc_updated!CWO$2:CWO$4)=0,"",AVERAGE(zip_med_inc_updated!CWO$2:CWO$4))</f>
        <v>65126</v>
      </c>
      <c r="CWP2">
        <f>IF(COUNT(zip_med_inc_updated!CWP$2:CWP$4)=0,"",AVERAGE(zip_med_inc_updated!CWP$2:CWP$4))</f>
        <v>118798</v>
      </c>
      <c r="CWQ2">
        <f>IF(COUNT(zip_med_inc_updated!CWQ$2:CWQ$4)=0,"",AVERAGE(zip_med_inc_updated!CWQ$2:CWQ$4))</f>
        <v>55831</v>
      </c>
      <c r="CWR2">
        <f>IF(COUNT(zip_med_inc_updated!CWR$2:CWR$4)=0,"",AVERAGE(zip_med_inc_updated!CWR$2:CWR$4))</f>
        <v>80879.666666666672</v>
      </c>
      <c r="CWS2">
        <f>IF(COUNT(zip_med_inc_updated!CWS$2:CWS$4)=0,"",AVERAGE(zip_med_inc_updated!CWS$2:CWS$4))</f>
        <v>76967.666666666672</v>
      </c>
      <c r="CWT2">
        <f>IF(COUNT(zip_med_inc_updated!CWT$2:CWT$4)=0,"",AVERAGE(zip_med_inc_updated!CWT$2:CWT$4))</f>
        <v>70133</v>
      </c>
      <c r="CWU2" t="str">
        <f>IF(COUNT(zip_med_inc_updated!CWU$2:CWU$4)=0,"",AVERAGE(zip_med_inc_updated!CWU$2:CWU$4))</f>
        <v/>
      </c>
      <c r="CWV2" t="str">
        <f>IF(COUNT(zip_med_inc_updated!CWV$2:CWV$4)=0,"",AVERAGE(zip_med_inc_updated!CWV$2:CWV$4))</f>
        <v/>
      </c>
      <c r="CWW2">
        <f>IF(COUNT(zip_med_inc_updated!CWW$2:CWW$4)=0,"",AVERAGE(zip_med_inc_updated!CWW$2:CWW$4))</f>
        <v>66393.333333333328</v>
      </c>
      <c r="CWX2" t="str">
        <f>IF(COUNT(zip_med_inc_updated!CWX$2:CWX$4)=0,"",AVERAGE(zip_med_inc_updated!CWX$2:CWX$4))</f>
        <v/>
      </c>
      <c r="CWY2">
        <f>IF(COUNT(zip_med_inc_updated!CWY$2:CWY$4)=0,"",AVERAGE(zip_med_inc_updated!CWY$2:CWY$4))</f>
        <v>88744.666666666672</v>
      </c>
      <c r="CWZ2" t="str">
        <f>IF(COUNT(zip_med_inc_updated!CWZ$2:CWZ$4)=0,"",AVERAGE(zip_med_inc_updated!CWZ$2:CWZ$4))</f>
        <v/>
      </c>
      <c r="CXA2">
        <f>IF(COUNT(zip_med_inc_updated!CXA$2:CXA$4)=0,"",AVERAGE(zip_med_inc_updated!CXA$2:CXA$4))</f>
        <v>105907</v>
      </c>
      <c r="CXB2">
        <f>IF(COUNT(zip_med_inc_updated!CXB$2:CXB$4)=0,"",AVERAGE(zip_med_inc_updated!CXB$2:CXB$4))</f>
        <v>116724.66666666667</v>
      </c>
      <c r="CXC2">
        <f>IF(COUNT(zip_med_inc_updated!CXC$2:CXC$4)=0,"",AVERAGE(zip_med_inc_updated!CXC$2:CXC$4))</f>
        <v>136545</v>
      </c>
      <c r="CXD2">
        <f>IF(COUNT(zip_med_inc_updated!CXD$2:CXD$4)=0,"",AVERAGE(zip_med_inc_updated!CXD$2:CXD$4))</f>
        <v>62566.333333333336</v>
      </c>
      <c r="CXE2">
        <f>IF(COUNT(zip_med_inc_updated!CXE$2:CXE$4)=0,"",AVERAGE(zip_med_inc_updated!CXE$2:CXE$4))</f>
        <v>47631.666666666664</v>
      </c>
      <c r="CXF2">
        <f>IF(COUNT(zip_med_inc_updated!CXF$2:CXF$4)=0,"",AVERAGE(zip_med_inc_updated!CXF$2:CXF$4))</f>
        <v>75777.666666666672</v>
      </c>
      <c r="CXG2">
        <f>IF(COUNT(zip_med_inc_updated!CXG$2:CXG$4)=0,"",AVERAGE(zip_med_inc_updated!CXG$2:CXG$4))</f>
        <v>46000.666666666664</v>
      </c>
      <c r="CXH2">
        <f>IF(COUNT(zip_med_inc_updated!CXH$2:CXH$4)=0,"",AVERAGE(zip_med_inc_updated!CXH$2:CXH$4))</f>
        <v>49786.333333333336</v>
      </c>
      <c r="CXI2" t="str">
        <f>IF(COUNT(zip_med_inc_updated!CXI$2:CXI$4)=0,"",AVERAGE(zip_med_inc_updated!CXI$2:CXI$4))</f>
        <v/>
      </c>
      <c r="CXJ2" t="str">
        <f>IF(COUNT(zip_med_inc_updated!CXJ$2:CXJ$4)=0,"",AVERAGE(zip_med_inc_updated!CXJ$2:CXJ$4))</f>
        <v/>
      </c>
      <c r="CXK2">
        <f>IF(COUNT(zip_med_inc_updated!CXK$2:CXK$4)=0,"",AVERAGE(zip_med_inc_updated!CXK$2:CXK$4))</f>
        <v>79191.333333333328</v>
      </c>
      <c r="CXL2">
        <f>IF(COUNT(zip_med_inc_updated!CXL$2:CXL$4)=0,"",AVERAGE(zip_med_inc_updated!CXL$2:CXL$4))</f>
        <v>55836.333333333336</v>
      </c>
      <c r="CXM2">
        <f>IF(COUNT(zip_med_inc_updated!CXM$2:CXM$4)=0,"",AVERAGE(zip_med_inc_updated!CXM$2:CXM$4))</f>
        <v>63373</v>
      </c>
      <c r="CXN2">
        <f>IF(COUNT(zip_med_inc_updated!CXN$2:CXN$4)=0,"",AVERAGE(zip_med_inc_updated!CXN$2:CXN$4))</f>
        <v>50920.666666666664</v>
      </c>
      <c r="CXO2">
        <f>IF(COUNT(zip_med_inc_updated!CXO$2:CXO$4)=0,"",AVERAGE(zip_med_inc_updated!CXO$2:CXO$4))</f>
        <v>57935</v>
      </c>
      <c r="CXP2">
        <f>IF(COUNT(zip_med_inc_updated!CXP$2:CXP$4)=0,"",AVERAGE(zip_med_inc_updated!CXP$2:CXP$4))</f>
        <v>49805.333333333336</v>
      </c>
      <c r="CXQ2">
        <f>IF(COUNT(zip_med_inc_updated!CXQ$2:CXQ$4)=0,"",AVERAGE(zip_med_inc_updated!CXQ$2:CXQ$4))</f>
        <v>62190.333333333336</v>
      </c>
      <c r="CXR2">
        <f>IF(COUNT(zip_med_inc_updated!CXR$2:CXR$4)=0,"",AVERAGE(zip_med_inc_updated!CXR$2:CXR$4))</f>
        <v>87308.666666666672</v>
      </c>
      <c r="CXS2">
        <f>IF(COUNT(zip_med_inc_updated!CXS$2:CXS$4)=0,"",AVERAGE(zip_med_inc_updated!CXS$2:CXS$4))</f>
        <v>113766.66666666667</v>
      </c>
      <c r="CXT2">
        <f>IF(COUNT(zip_med_inc_updated!CXT$2:CXT$4)=0,"",AVERAGE(zip_med_inc_updated!CXT$2:CXT$4))</f>
        <v>92935.333333333328</v>
      </c>
      <c r="CXU2">
        <f>IF(COUNT(zip_med_inc_updated!CXU$2:CXU$4)=0,"",AVERAGE(zip_med_inc_updated!CXU$2:CXU$4))</f>
        <v>105390</v>
      </c>
      <c r="CXV2">
        <f>IF(COUNT(zip_med_inc_updated!CXV$2:CXV$4)=0,"",AVERAGE(zip_med_inc_updated!CXV$2:CXV$4))</f>
        <v>92189</v>
      </c>
      <c r="CXW2">
        <f>IF(COUNT(zip_med_inc_updated!CXW$2:CXW$4)=0,"",AVERAGE(zip_med_inc_updated!CXW$2:CXW$4))</f>
        <v>80994.666666666672</v>
      </c>
      <c r="CXX2">
        <f>IF(COUNT(zip_med_inc_updated!CXX$2:CXX$4)=0,"",AVERAGE(zip_med_inc_updated!CXX$2:CXX$4))</f>
        <v>102006.33333333333</v>
      </c>
      <c r="CXY2">
        <f>IF(COUNT(zip_med_inc_updated!CXY$2:CXY$4)=0,"",AVERAGE(zip_med_inc_updated!CXY$2:CXY$4))</f>
        <v>58730</v>
      </c>
      <c r="CXZ2">
        <f>IF(COUNT(zip_med_inc_updated!CXZ$2:CXZ$4)=0,"",AVERAGE(zip_med_inc_updated!CXZ$2:CXZ$4))</f>
        <v>129846.33333333333</v>
      </c>
      <c r="CYA2">
        <f>IF(COUNT(zip_med_inc_updated!CYA$2:CYA$4)=0,"",AVERAGE(zip_med_inc_updated!CYA$2:CYA$4))</f>
        <v>70079.333333333328</v>
      </c>
      <c r="CYB2">
        <f>IF(COUNT(zip_med_inc_updated!CYB$2:CYB$4)=0,"",AVERAGE(zip_med_inc_updated!CYB$2:CYB$4))</f>
        <v>79615.333333333328</v>
      </c>
      <c r="CYC2">
        <f>IF(COUNT(zip_med_inc_updated!CYC$2:CYC$4)=0,"",AVERAGE(zip_med_inc_updated!CYC$2:CYC$4))</f>
        <v>66287.666666666672</v>
      </c>
      <c r="CYD2">
        <f>IF(COUNT(zip_med_inc_updated!CYD$2:CYD$4)=0,"",AVERAGE(zip_med_inc_updated!CYD$2:CYD$4))</f>
        <v>96468</v>
      </c>
      <c r="CYE2">
        <f>IF(COUNT(zip_med_inc_updated!CYE$2:CYE$4)=0,"",AVERAGE(zip_med_inc_updated!CYE$2:CYE$4))</f>
        <v>65745.666666666672</v>
      </c>
      <c r="CYF2">
        <f>IF(COUNT(zip_med_inc_updated!CYF$2:CYF$4)=0,"",AVERAGE(zip_med_inc_updated!CYF$2:CYF$4))</f>
        <v>33210</v>
      </c>
      <c r="CYG2">
        <f>IF(COUNT(zip_med_inc_updated!CYG$2:CYG$4)=0,"",AVERAGE(zip_med_inc_updated!CYG$2:CYG$4))</f>
        <v>92911.333333333328</v>
      </c>
      <c r="CYH2">
        <f>IF(COUNT(zip_med_inc_updated!CYH$2:CYH$4)=0,"",AVERAGE(zip_med_inc_updated!CYH$2:CYH$4))</f>
        <v>89938.333333333328</v>
      </c>
      <c r="CYI2">
        <f>IF(COUNT(zip_med_inc_updated!CYI$2:CYI$4)=0,"",AVERAGE(zip_med_inc_updated!CYI$2:CYI$4))</f>
        <v>48217.333333333336</v>
      </c>
      <c r="CYJ2">
        <f>IF(COUNT(zip_med_inc_updated!CYJ$2:CYJ$4)=0,"",AVERAGE(zip_med_inc_updated!CYJ$2:CYJ$4))</f>
        <v>82808.333333333328</v>
      </c>
      <c r="CYK2">
        <f>IF(COUNT(zip_med_inc_updated!CYK$2:CYK$4)=0,"",AVERAGE(zip_med_inc_updated!CYK$2:CYK$4))</f>
        <v>68290.333333333328</v>
      </c>
      <c r="CYL2">
        <f>IF(COUNT(zip_med_inc_updated!CYL$2:CYL$4)=0,"",AVERAGE(zip_med_inc_updated!CYL$2:CYL$4))</f>
        <v>45905.666666666664</v>
      </c>
      <c r="CYM2">
        <f>IF(COUNT(zip_med_inc_updated!CYM$2:CYM$4)=0,"",AVERAGE(zip_med_inc_updated!CYM$2:CYM$4))</f>
        <v>75791.5</v>
      </c>
      <c r="CYN2">
        <f>IF(COUNT(zip_med_inc_updated!CYN$2:CYN$4)=0,"",AVERAGE(zip_med_inc_updated!CYN$2:CYN$4))</f>
        <v>57323</v>
      </c>
      <c r="CYO2">
        <f>IF(COUNT(zip_med_inc_updated!CYO$2:CYO$4)=0,"",AVERAGE(zip_med_inc_updated!CYO$2:CYO$4))</f>
        <v>64415.333333333336</v>
      </c>
      <c r="CYP2">
        <f>IF(COUNT(zip_med_inc_updated!CYP$2:CYP$4)=0,"",AVERAGE(zip_med_inc_updated!CYP$2:CYP$4))</f>
        <v>68055.333333333328</v>
      </c>
      <c r="CYQ2">
        <f>IF(COUNT(zip_med_inc_updated!CYQ$2:CYQ$4)=0,"",AVERAGE(zip_med_inc_updated!CYQ$2:CYQ$4))</f>
        <v>44246.333333333336</v>
      </c>
      <c r="CYR2" t="str">
        <f>IF(COUNT(zip_med_inc_updated!CYR$2:CYR$4)=0,"",AVERAGE(zip_med_inc_updated!CYR$2:CYR$4))</f>
        <v/>
      </c>
      <c r="CYS2">
        <f>IF(COUNT(zip_med_inc_updated!CYS$2:CYS$4)=0,"",AVERAGE(zip_med_inc_updated!CYS$2:CYS$4))</f>
        <v>74284.333333333328</v>
      </c>
      <c r="CYT2">
        <f>IF(COUNT(zip_med_inc_updated!CYT$2:CYT$4)=0,"",AVERAGE(zip_med_inc_updated!CYT$2:CYT$4))</f>
        <v>56625</v>
      </c>
      <c r="CYU2">
        <f>IF(COUNT(zip_med_inc_updated!CYU$2:CYU$4)=0,"",AVERAGE(zip_med_inc_updated!CYU$2:CYU$4))</f>
        <v>74617.666666666672</v>
      </c>
      <c r="CYV2">
        <f>IF(COUNT(zip_med_inc_updated!CYV$2:CYV$4)=0,"",AVERAGE(zip_med_inc_updated!CYV$2:CYV$4))</f>
        <v>41661</v>
      </c>
      <c r="CYW2">
        <f>IF(COUNT(zip_med_inc_updated!CYW$2:CYW$4)=0,"",AVERAGE(zip_med_inc_updated!CYW$2:CYW$4))</f>
        <v>88955.333333333328</v>
      </c>
      <c r="CYX2">
        <f>IF(COUNT(zip_med_inc_updated!CYX$2:CYX$4)=0,"",AVERAGE(zip_med_inc_updated!CYX$2:CYX$4))</f>
        <v>61367</v>
      </c>
      <c r="CYY2">
        <f>IF(COUNT(zip_med_inc_updated!CYY$2:CYY$4)=0,"",AVERAGE(zip_med_inc_updated!CYY$2:CYY$4))</f>
        <v>89826.333333333328</v>
      </c>
      <c r="CYZ2">
        <f>IF(COUNT(zip_med_inc_updated!CYZ$2:CYZ$4)=0,"",AVERAGE(zip_med_inc_updated!CYZ$2:CYZ$4))</f>
        <v>59594.666666666664</v>
      </c>
      <c r="CZA2">
        <f>IF(COUNT(zip_med_inc_updated!CZA$2:CZA$4)=0,"",AVERAGE(zip_med_inc_updated!CZA$2:CZA$4))</f>
        <v>75364.666666666672</v>
      </c>
      <c r="CZB2" t="str">
        <f>IF(COUNT(zip_med_inc_updated!CZB$2:CZB$4)=0,"",AVERAGE(zip_med_inc_updated!CZB$2:CZB$4))</f>
        <v/>
      </c>
      <c r="CZC2">
        <f>IF(COUNT(zip_med_inc_updated!CZC$2:CZC$4)=0,"",AVERAGE(zip_med_inc_updated!CZC$2:CZC$4))</f>
        <v>99270.666666666672</v>
      </c>
      <c r="CZD2">
        <f>IF(COUNT(zip_med_inc_updated!CZD$2:CZD$4)=0,"",AVERAGE(zip_med_inc_updated!CZD$2:CZD$4))</f>
        <v>77614</v>
      </c>
      <c r="CZE2">
        <f>IF(COUNT(zip_med_inc_updated!CZE$2:CZE$4)=0,"",AVERAGE(zip_med_inc_updated!CZE$2:CZE$4))</f>
        <v>65806</v>
      </c>
      <c r="CZF2">
        <f>IF(COUNT(zip_med_inc_updated!CZF$2:CZF$4)=0,"",AVERAGE(zip_med_inc_updated!CZF$2:CZF$4))</f>
        <v>49461.333333333336</v>
      </c>
      <c r="CZG2">
        <f>IF(COUNT(zip_med_inc_updated!CZG$2:CZG$4)=0,"",AVERAGE(zip_med_inc_updated!CZG$2:CZG$4))</f>
        <v>75067</v>
      </c>
      <c r="CZH2" t="str">
        <f>IF(COUNT(zip_med_inc_updated!CZH$2:CZH$4)=0,"",AVERAGE(zip_med_inc_updated!CZH$2:CZH$4))</f>
        <v/>
      </c>
      <c r="CZI2">
        <f>IF(COUNT(zip_med_inc_updated!CZI$2:CZI$4)=0,"",AVERAGE(zip_med_inc_updated!CZI$2:CZI$4))</f>
        <v>73622</v>
      </c>
      <c r="CZJ2">
        <f>IF(COUNT(zip_med_inc_updated!CZJ$2:CZJ$4)=0,"",AVERAGE(zip_med_inc_updated!CZJ$2:CZJ$4))</f>
        <v>69211.333333333328</v>
      </c>
      <c r="CZK2">
        <f>IF(COUNT(zip_med_inc_updated!CZK$2:CZK$4)=0,"",AVERAGE(zip_med_inc_updated!CZK$2:CZK$4))</f>
        <v>71788.666666666672</v>
      </c>
      <c r="CZL2">
        <f>IF(COUNT(zip_med_inc_updated!CZL$2:CZL$4)=0,"",AVERAGE(zip_med_inc_updated!CZL$2:CZL$4))</f>
        <v>78010.666666666672</v>
      </c>
      <c r="CZM2">
        <f>IF(COUNT(zip_med_inc_updated!CZM$2:CZM$4)=0,"",AVERAGE(zip_med_inc_updated!CZM$2:CZM$4))</f>
        <v>55833.333333333336</v>
      </c>
      <c r="CZN2">
        <f>IF(COUNT(zip_med_inc_updated!CZN$2:CZN$4)=0,"",AVERAGE(zip_med_inc_updated!CZN$2:CZN$4))</f>
        <v>53661</v>
      </c>
      <c r="CZO2" t="str">
        <f>IF(COUNT(zip_med_inc_updated!CZO$2:CZO$4)=0,"",AVERAGE(zip_med_inc_updated!CZO$2:CZO$4))</f>
        <v/>
      </c>
      <c r="CZP2">
        <f>IF(COUNT(zip_med_inc_updated!CZP$2:CZP$4)=0,"",AVERAGE(zip_med_inc_updated!CZP$2:CZP$4))</f>
        <v>49294</v>
      </c>
      <c r="CZQ2">
        <f>IF(COUNT(zip_med_inc_updated!CZQ$2:CZQ$4)=0,"",AVERAGE(zip_med_inc_updated!CZQ$2:CZQ$4))</f>
        <v>66068.333333333328</v>
      </c>
      <c r="CZR2">
        <f>IF(COUNT(zip_med_inc_updated!CZR$2:CZR$4)=0,"",AVERAGE(zip_med_inc_updated!CZR$2:CZR$4))</f>
        <v>64664.333333333336</v>
      </c>
      <c r="CZS2">
        <f>IF(COUNT(zip_med_inc_updated!CZS$2:CZS$4)=0,"",AVERAGE(zip_med_inc_updated!CZS$2:CZS$4))</f>
        <v>65899</v>
      </c>
      <c r="CZT2">
        <f>IF(COUNT(zip_med_inc_updated!CZT$2:CZT$4)=0,"",AVERAGE(zip_med_inc_updated!CZT$2:CZT$4))</f>
        <v>75511.666666666672</v>
      </c>
      <c r="CZU2">
        <f>IF(COUNT(zip_med_inc_updated!CZU$2:CZU$4)=0,"",AVERAGE(zip_med_inc_updated!CZU$2:CZU$4))</f>
        <v>84201.333333333328</v>
      </c>
      <c r="CZV2">
        <f>IF(COUNT(zip_med_inc_updated!CZV$2:CZV$4)=0,"",AVERAGE(zip_med_inc_updated!CZV$2:CZV$4))</f>
        <v>51555.666666666664</v>
      </c>
      <c r="CZW2">
        <f>IF(COUNT(zip_med_inc_updated!CZW$2:CZW$4)=0,"",AVERAGE(zip_med_inc_updated!CZW$2:CZW$4))</f>
        <v>44454.333333333336</v>
      </c>
      <c r="CZX2">
        <f>IF(COUNT(zip_med_inc_updated!CZX$2:CZX$4)=0,"",AVERAGE(zip_med_inc_updated!CZX$2:CZX$4))</f>
        <v>64149.333333333336</v>
      </c>
      <c r="CZY2">
        <f>IF(COUNT(zip_med_inc_updated!CZY$2:CZY$4)=0,"",AVERAGE(zip_med_inc_updated!CZY$2:CZY$4))</f>
        <v>61442.333333333336</v>
      </c>
      <c r="CZZ2">
        <f>IF(COUNT(zip_med_inc_updated!CZZ$2:CZZ$4)=0,"",AVERAGE(zip_med_inc_updated!CZZ$2:CZZ$4))</f>
        <v>111322</v>
      </c>
      <c r="DAA2">
        <f>IF(COUNT(zip_med_inc_updated!DAA$2:DAA$4)=0,"",AVERAGE(zip_med_inc_updated!DAA$2:DAA$4))</f>
        <v>57500.666666666664</v>
      </c>
      <c r="DAB2">
        <f>IF(COUNT(zip_med_inc_updated!DAB$2:DAB$4)=0,"",AVERAGE(zip_med_inc_updated!DAB$2:DAB$4))</f>
        <v>39122</v>
      </c>
      <c r="DAC2">
        <f>IF(COUNT(zip_med_inc_updated!DAC$2:DAC$4)=0,"",AVERAGE(zip_med_inc_updated!DAC$2:DAC$4))</f>
        <v>52184</v>
      </c>
      <c r="DAD2">
        <f>IF(COUNT(zip_med_inc_updated!DAD$2:DAD$4)=0,"",AVERAGE(zip_med_inc_updated!DAD$2:DAD$4))</f>
        <v>65963.666666666672</v>
      </c>
      <c r="DAE2" t="str">
        <f>IF(COUNT(zip_med_inc_updated!DAE$2:DAE$4)=0,"",AVERAGE(zip_med_inc_updated!DAE$2:DAE$4))</f>
        <v/>
      </c>
      <c r="DAF2">
        <f>IF(COUNT(zip_med_inc_updated!DAF$2:DAF$4)=0,"",AVERAGE(zip_med_inc_updated!DAF$2:DAF$4))</f>
        <v>57398.666666666664</v>
      </c>
      <c r="DAG2">
        <f>IF(COUNT(zip_med_inc_updated!DAG$2:DAG$4)=0,"",AVERAGE(zip_med_inc_updated!DAG$2:DAG$4))</f>
        <v>55498.666666666664</v>
      </c>
      <c r="DAH2">
        <f>IF(COUNT(zip_med_inc_updated!DAH$2:DAH$4)=0,"",AVERAGE(zip_med_inc_updated!DAH$2:DAH$4))</f>
        <v>41054.333333333336</v>
      </c>
      <c r="DAI2" t="str">
        <f>IF(COUNT(zip_med_inc_updated!DAI$2:DAI$4)=0,"",AVERAGE(zip_med_inc_updated!DAI$2:DAI$4))</f>
        <v/>
      </c>
      <c r="DAJ2">
        <f>IF(COUNT(zip_med_inc_updated!DAJ$2:DAJ$4)=0,"",AVERAGE(zip_med_inc_updated!DAJ$2:DAJ$4))</f>
        <v>75336</v>
      </c>
      <c r="DAK2" t="str">
        <f>IF(COUNT(zip_med_inc_updated!DAK$2:DAK$4)=0,"",AVERAGE(zip_med_inc_updated!DAK$2:DAK$4))</f>
        <v/>
      </c>
      <c r="DAL2">
        <f>IF(COUNT(zip_med_inc_updated!DAL$2:DAL$4)=0,"",AVERAGE(zip_med_inc_updated!DAL$2:DAL$4))</f>
        <v>50372.333333333336</v>
      </c>
      <c r="DAM2">
        <f>IF(COUNT(zip_med_inc_updated!DAM$2:DAM$4)=0,"",AVERAGE(zip_med_inc_updated!DAM$2:DAM$4))</f>
        <v>79051</v>
      </c>
      <c r="DAN2">
        <f>IF(COUNT(zip_med_inc_updated!DAN$2:DAN$4)=0,"",AVERAGE(zip_med_inc_updated!DAN$2:DAN$4))</f>
        <v>64407</v>
      </c>
      <c r="DAO2">
        <f>IF(COUNT(zip_med_inc_updated!DAO$2:DAO$4)=0,"",AVERAGE(zip_med_inc_updated!DAO$2:DAO$4))</f>
        <v>65360.666666666664</v>
      </c>
      <c r="DAP2">
        <f>IF(COUNT(zip_med_inc_updated!DAP$2:DAP$4)=0,"",AVERAGE(zip_med_inc_updated!DAP$2:DAP$4))</f>
        <v>64828</v>
      </c>
      <c r="DAQ2">
        <f>IF(COUNT(zip_med_inc_updated!DAQ$2:DAQ$4)=0,"",AVERAGE(zip_med_inc_updated!DAQ$2:DAQ$4))</f>
        <v>53311.666666666664</v>
      </c>
      <c r="DAR2">
        <f>IF(COUNT(zip_med_inc_updated!DAR$2:DAR$4)=0,"",AVERAGE(zip_med_inc_updated!DAR$2:DAR$4))</f>
        <v>58967.666666666664</v>
      </c>
      <c r="DAS2">
        <f>IF(COUNT(zip_med_inc_updated!DAS$2:DAS$4)=0,"",AVERAGE(zip_med_inc_updated!DAS$2:DAS$4))</f>
        <v>61406.333333333336</v>
      </c>
      <c r="DAT2">
        <f>IF(COUNT(zip_med_inc_updated!DAT$2:DAT$4)=0,"",AVERAGE(zip_med_inc_updated!DAT$2:DAT$4))</f>
        <v>39732</v>
      </c>
      <c r="DAU2">
        <f>IF(COUNT(zip_med_inc_updated!DAU$2:DAU$4)=0,"",AVERAGE(zip_med_inc_updated!DAU$2:DAU$4))</f>
        <v>57689.333333333336</v>
      </c>
      <c r="DAV2">
        <f>IF(COUNT(zip_med_inc_updated!DAV$2:DAV$4)=0,"",AVERAGE(zip_med_inc_updated!DAV$2:DAV$4))</f>
        <v>49537</v>
      </c>
      <c r="DAW2">
        <f>IF(COUNT(zip_med_inc_updated!DAW$2:DAW$4)=0,"",AVERAGE(zip_med_inc_updated!DAW$2:DAW$4))</f>
        <v>19500</v>
      </c>
      <c r="DAX2">
        <f>IF(COUNT(zip_med_inc_updated!DAX$2:DAX$4)=0,"",AVERAGE(zip_med_inc_updated!DAX$2:DAX$4))</f>
        <v>56856</v>
      </c>
      <c r="DAY2">
        <f>IF(COUNT(zip_med_inc_updated!DAY$2:DAY$4)=0,"",AVERAGE(zip_med_inc_updated!DAY$2:DAY$4))</f>
        <v>51610.666666666664</v>
      </c>
      <c r="DAZ2">
        <f>IF(COUNT(zip_med_inc_updated!DAZ$2:DAZ$4)=0,"",AVERAGE(zip_med_inc_updated!DAZ$2:DAZ$4))</f>
        <v>52072.666666666664</v>
      </c>
      <c r="DBA2">
        <f>IF(COUNT(zip_med_inc_updated!DBA$2:DBA$4)=0,"",AVERAGE(zip_med_inc_updated!DBA$2:DBA$4))</f>
        <v>64736</v>
      </c>
      <c r="DBB2">
        <f>IF(COUNT(zip_med_inc_updated!DBB$2:DBB$4)=0,"",AVERAGE(zip_med_inc_updated!DBB$2:DBB$4))</f>
        <v>68988.666666666672</v>
      </c>
      <c r="DBC2">
        <f>IF(COUNT(zip_med_inc_updated!DBC$2:DBC$4)=0,"",AVERAGE(zip_med_inc_updated!DBC$2:DBC$4))</f>
        <v>43634.333333333336</v>
      </c>
      <c r="DBD2">
        <f>IF(COUNT(zip_med_inc_updated!DBD$2:DBD$4)=0,"",AVERAGE(zip_med_inc_updated!DBD$2:DBD$4))</f>
        <v>45470.333333333336</v>
      </c>
      <c r="DBE2">
        <f>IF(COUNT(zip_med_inc_updated!DBE$2:DBE$4)=0,"",AVERAGE(zip_med_inc_updated!DBE$2:DBE$4))</f>
        <v>91012.333333333328</v>
      </c>
      <c r="DBF2">
        <f>IF(COUNT(zip_med_inc_updated!DBF$2:DBF$4)=0,"",AVERAGE(zip_med_inc_updated!DBF$2:DBF$4))</f>
        <v>75612</v>
      </c>
      <c r="DBG2" t="str">
        <f>IF(COUNT(zip_med_inc_updated!DBG$2:DBG$4)=0,"",AVERAGE(zip_med_inc_updated!DBG$2:DBG$4))</f>
        <v/>
      </c>
      <c r="DBH2" t="str">
        <f>IF(COUNT(zip_med_inc_updated!DBH$2:DBH$4)=0,"",AVERAGE(zip_med_inc_updated!DBH$2:DBH$4))</f>
        <v/>
      </c>
      <c r="DBI2">
        <f>IF(COUNT(zip_med_inc_updated!DBI$2:DBI$4)=0,"",AVERAGE(zip_med_inc_updated!DBI$2:DBI$4))</f>
        <v>52707</v>
      </c>
      <c r="DBJ2">
        <f>IF(COUNT(zip_med_inc_updated!DBJ$2:DBJ$4)=0,"",AVERAGE(zip_med_inc_updated!DBJ$2:DBJ$4))</f>
        <v>54618.666666666664</v>
      </c>
      <c r="DBK2">
        <f>IF(COUNT(zip_med_inc_updated!DBK$2:DBK$4)=0,"",AVERAGE(zip_med_inc_updated!DBK$2:DBK$4))</f>
        <v>41056.666666666664</v>
      </c>
      <c r="DBL2">
        <f>IF(COUNT(zip_med_inc_updated!DBL$2:DBL$4)=0,"",AVERAGE(zip_med_inc_updated!DBL$2:DBL$4))</f>
        <v>56194</v>
      </c>
      <c r="DBM2">
        <f>IF(COUNT(zip_med_inc_updated!DBM$2:DBM$4)=0,"",AVERAGE(zip_med_inc_updated!DBM$2:DBM$4))</f>
        <v>72097.666666666672</v>
      </c>
      <c r="DBN2">
        <f>IF(COUNT(zip_med_inc_updated!DBN$2:DBN$4)=0,"",AVERAGE(zip_med_inc_updated!DBN$2:DBN$4))</f>
        <v>62813.666666666664</v>
      </c>
      <c r="DBO2" t="str">
        <f>IF(COUNT(zip_med_inc_updated!DBO$2:DBO$4)=0,"",AVERAGE(zip_med_inc_updated!DBO$2:DBO$4))</f>
        <v/>
      </c>
      <c r="DBP2">
        <f>IF(COUNT(zip_med_inc_updated!DBP$2:DBP$4)=0,"",AVERAGE(zip_med_inc_updated!DBP$2:DBP$4))</f>
        <v>78160</v>
      </c>
      <c r="DBQ2">
        <f>IF(COUNT(zip_med_inc_updated!DBQ$2:DBQ$4)=0,"",AVERAGE(zip_med_inc_updated!DBQ$2:DBQ$4))</f>
        <v>66785.333333333328</v>
      </c>
      <c r="DBR2">
        <f>IF(COUNT(zip_med_inc_updated!DBR$2:DBR$4)=0,"",AVERAGE(zip_med_inc_updated!DBR$2:DBR$4))</f>
        <v>62264.333333333336</v>
      </c>
      <c r="DBS2">
        <f>IF(COUNT(zip_med_inc_updated!DBS$2:DBS$4)=0,"",AVERAGE(zip_med_inc_updated!DBS$2:DBS$4))</f>
        <v>49120.333333333336</v>
      </c>
      <c r="DBT2">
        <f>IF(COUNT(zip_med_inc_updated!DBT$2:DBT$4)=0,"",AVERAGE(zip_med_inc_updated!DBT$2:DBT$4))</f>
        <v>48239.333333333336</v>
      </c>
      <c r="DBU2">
        <f>IF(COUNT(zip_med_inc_updated!DBU$2:DBU$4)=0,"",AVERAGE(zip_med_inc_updated!DBU$2:DBU$4))</f>
        <v>76883</v>
      </c>
      <c r="DBV2">
        <f>IF(COUNT(zip_med_inc_updated!DBV$2:DBV$4)=0,"",AVERAGE(zip_med_inc_updated!DBV$2:DBV$4))</f>
        <v>97665</v>
      </c>
      <c r="DBW2">
        <f>IF(COUNT(zip_med_inc_updated!DBW$2:DBW$4)=0,"",AVERAGE(zip_med_inc_updated!DBW$2:DBW$4))</f>
        <v>73828</v>
      </c>
      <c r="DBX2">
        <f>IF(COUNT(zip_med_inc_updated!DBX$2:DBX$4)=0,"",AVERAGE(zip_med_inc_updated!DBX$2:DBX$4))</f>
        <v>47096</v>
      </c>
      <c r="DBY2">
        <f>IF(COUNT(zip_med_inc_updated!DBY$2:DBY$4)=0,"",AVERAGE(zip_med_inc_updated!DBY$2:DBY$4))</f>
        <v>85802</v>
      </c>
      <c r="DBZ2">
        <f>IF(COUNT(zip_med_inc_updated!DBZ$2:DBZ$4)=0,"",AVERAGE(zip_med_inc_updated!DBZ$2:DBZ$4))</f>
        <v>50791.333333333336</v>
      </c>
      <c r="DCA2">
        <f>IF(COUNT(zip_med_inc_updated!DCA$2:DCA$4)=0,"",AVERAGE(zip_med_inc_updated!DCA$2:DCA$4))</f>
        <v>73694.333333333328</v>
      </c>
      <c r="DCB2">
        <f>IF(COUNT(zip_med_inc_updated!DCB$2:DCB$4)=0,"",AVERAGE(zip_med_inc_updated!DCB$2:DCB$4))</f>
        <v>62274.333333333336</v>
      </c>
      <c r="DCC2">
        <f>IF(COUNT(zip_med_inc_updated!DCC$2:DCC$4)=0,"",AVERAGE(zip_med_inc_updated!DCC$2:DCC$4))</f>
        <v>107416.66666666667</v>
      </c>
      <c r="DCD2">
        <f>IF(COUNT(zip_med_inc_updated!DCD$2:DCD$4)=0,"",AVERAGE(zip_med_inc_updated!DCD$2:DCD$4))</f>
        <v>62259.666666666664</v>
      </c>
      <c r="DCE2">
        <f>IF(COUNT(zip_med_inc_updated!DCE$2:DCE$4)=0,"",AVERAGE(zip_med_inc_updated!DCE$2:DCE$4))</f>
        <v>50776.666666666664</v>
      </c>
      <c r="DCF2">
        <f>IF(COUNT(zip_med_inc_updated!DCF$2:DCF$4)=0,"",AVERAGE(zip_med_inc_updated!DCF$2:DCF$4))</f>
        <v>119603.66666666667</v>
      </c>
      <c r="DCG2">
        <f>IF(COUNT(zip_med_inc_updated!DCG$2:DCG$4)=0,"",AVERAGE(zip_med_inc_updated!DCG$2:DCG$4))</f>
        <v>43060.666666666664</v>
      </c>
      <c r="DCH2">
        <f>IF(COUNT(zip_med_inc_updated!DCH$2:DCH$4)=0,"",AVERAGE(zip_med_inc_updated!DCH$2:DCH$4))</f>
        <v>38620.666666666664</v>
      </c>
      <c r="DCI2">
        <f>IF(COUNT(zip_med_inc_updated!DCI$2:DCI$4)=0,"",AVERAGE(zip_med_inc_updated!DCI$2:DCI$4))</f>
        <v>43672.333333333336</v>
      </c>
      <c r="DCJ2">
        <f>IF(COUNT(zip_med_inc_updated!DCJ$2:DCJ$4)=0,"",AVERAGE(zip_med_inc_updated!DCJ$2:DCJ$4))</f>
        <v>87864.666666666672</v>
      </c>
      <c r="DCK2">
        <f>IF(COUNT(zip_med_inc_updated!DCK$2:DCK$4)=0,"",AVERAGE(zip_med_inc_updated!DCK$2:DCK$4))</f>
        <v>56450.666666666664</v>
      </c>
      <c r="DCL2">
        <f>IF(COUNT(zip_med_inc_updated!DCL$2:DCL$4)=0,"",AVERAGE(zip_med_inc_updated!DCL$2:DCL$4))</f>
        <v>64854.333333333336</v>
      </c>
      <c r="DCM2" t="str">
        <f>IF(COUNT(zip_med_inc_updated!DCM$2:DCM$4)=0,"",AVERAGE(zip_med_inc_updated!DCM$2:DCM$4))</f>
        <v/>
      </c>
      <c r="DCN2">
        <f>IF(COUNT(zip_med_inc_updated!DCN$2:DCN$4)=0,"",AVERAGE(zip_med_inc_updated!DCN$2:DCN$4))</f>
        <v>80687.666666666672</v>
      </c>
      <c r="DCO2">
        <f>IF(COUNT(zip_med_inc_updated!DCO$2:DCO$4)=0,"",AVERAGE(zip_med_inc_updated!DCO$2:DCO$4))</f>
        <v>82303.666666666672</v>
      </c>
      <c r="DCP2">
        <f>IF(COUNT(zip_med_inc_updated!DCP$2:DCP$4)=0,"",AVERAGE(zip_med_inc_updated!DCP$2:DCP$4))</f>
        <v>75541.666666666672</v>
      </c>
      <c r="DCQ2">
        <f>IF(COUNT(zip_med_inc_updated!DCQ$2:DCQ$4)=0,"",AVERAGE(zip_med_inc_updated!DCQ$2:DCQ$4))</f>
        <v>72365</v>
      </c>
      <c r="DCR2">
        <f>IF(COUNT(zip_med_inc_updated!DCR$2:DCR$4)=0,"",AVERAGE(zip_med_inc_updated!DCR$2:DCR$4))</f>
        <v>78461.666666666672</v>
      </c>
      <c r="DCS2">
        <f>IF(COUNT(zip_med_inc_updated!DCS$2:DCS$4)=0,"",AVERAGE(zip_med_inc_updated!DCS$2:DCS$4))</f>
        <v>46059.333333333336</v>
      </c>
      <c r="DCT2">
        <f>IF(COUNT(zip_med_inc_updated!DCT$2:DCT$4)=0,"",AVERAGE(zip_med_inc_updated!DCT$2:DCT$4))</f>
        <v>46967</v>
      </c>
      <c r="DCU2">
        <f>IF(COUNT(zip_med_inc_updated!DCU$2:DCU$4)=0,"",AVERAGE(zip_med_inc_updated!DCU$2:DCU$4))</f>
        <v>84483.666666666672</v>
      </c>
      <c r="DCV2">
        <f>IF(COUNT(zip_med_inc_updated!DCV$2:DCV$4)=0,"",AVERAGE(zip_med_inc_updated!DCV$2:DCV$4))</f>
        <v>63767</v>
      </c>
      <c r="DCW2">
        <f>IF(COUNT(zip_med_inc_updated!DCW$2:DCW$4)=0,"",AVERAGE(zip_med_inc_updated!DCW$2:DCW$4))</f>
        <v>60555.666666666664</v>
      </c>
      <c r="DCX2">
        <f>IF(COUNT(zip_med_inc_updated!DCX$2:DCX$4)=0,"",AVERAGE(zip_med_inc_updated!DCX$2:DCX$4))</f>
        <v>63002.666666666664</v>
      </c>
      <c r="DCY2">
        <f>IF(COUNT(zip_med_inc_updated!DCY$2:DCY$4)=0,"",AVERAGE(zip_med_inc_updated!DCY$2:DCY$4))</f>
        <v>73023.333333333328</v>
      </c>
      <c r="DCZ2" t="str">
        <f>IF(COUNT(zip_med_inc_updated!DCZ$2:DCZ$4)=0,"",AVERAGE(zip_med_inc_updated!DCZ$2:DCZ$4))</f>
        <v/>
      </c>
      <c r="DDA2" t="str">
        <f>IF(COUNT(zip_med_inc_updated!DDA$2:DDA$4)=0,"",AVERAGE(zip_med_inc_updated!DDA$2:DDA$4))</f>
        <v/>
      </c>
      <c r="DDB2" t="str">
        <f>IF(COUNT(zip_med_inc_updated!DDB$2:DDB$4)=0,"",AVERAGE(zip_med_inc_updated!DDB$2:DDB$4))</f>
        <v/>
      </c>
      <c r="DDC2">
        <f>IF(COUNT(zip_med_inc_updated!DDC$2:DDC$4)=0,"",AVERAGE(zip_med_inc_updated!DDC$2:DDC$4))</f>
        <v>52220</v>
      </c>
      <c r="DDD2">
        <f>IF(COUNT(zip_med_inc_updated!DDD$2:DDD$4)=0,"",AVERAGE(zip_med_inc_updated!DDD$2:DDD$4))</f>
        <v>63817</v>
      </c>
      <c r="DDE2">
        <f>IF(COUNT(zip_med_inc_updated!DDE$2:DDE$4)=0,"",AVERAGE(zip_med_inc_updated!DDE$2:DDE$4))</f>
        <v>68377.333333333328</v>
      </c>
      <c r="DDF2">
        <f>IF(COUNT(zip_med_inc_updated!DDF$2:DDF$4)=0,"",AVERAGE(zip_med_inc_updated!DDF$2:DDF$4))</f>
        <v>65302</v>
      </c>
      <c r="DDG2">
        <f>IF(COUNT(zip_med_inc_updated!DDG$2:DDG$4)=0,"",AVERAGE(zip_med_inc_updated!DDG$2:DDG$4))</f>
        <v>68386.333333333328</v>
      </c>
      <c r="DDH2">
        <f>IF(COUNT(zip_med_inc_updated!DDH$2:DDH$4)=0,"",AVERAGE(zip_med_inc_updated!DDH$2:DDH$4))</f>
        <v>32280</v>
      </c>
      <c r="DDI2">
        <f>IF(COUNT(zip_med_inc_updated!DDI$2:DDI$4)=0,"",AVERAGE(zip_med_inc_updated!DDI$2:DDI$4))</f>
        <v>60672</v>
      </c>
      <c r="DDJ2" t="str">
        <f>IF(COUNT(zip_med_inc_updated!DDJ$2:DDJ$4)=0,"",AVERAGE(zip_med_inc_updated!DDJ$2:DDJ$4))</f>
        <v/>
      </c>
      <c r="DDK2">
        <f>IF(COUNT(zip_med_inc_updated!DDK$2:DDK$4)=0,"",AVERAGE(zip_med_inc_updated!DDK$2:DDK$4))</f>
        <v>49602.666666666664</v>
      </c>
      <c r="DDL2">
        <f>IF(COUNT(zip_med_inc_updated!DDL$2:DDL$4)=0,"",AVERAGE(zip_med_inc_updated!DDL$2:DDL$4))</f>
        <v>55959</v>
      </c>
      <c r="DDM2">
        <f>IF(COUNT(zip_med_inc_updated!DDM$2:DDM$4)=0,"",AVERAGE(zip_med_inc_updated!DDM$2:DDM$4))</f>
        <v>65358.333333333336</v>
      </c>
      <c r="DDN2">
        <f>IF(COUNT(zip_med_inc_updated!DDN$2:DDN$4)=0,"",AVERAGE(zip_med_inc_updated!DDN$2:DDN$4))</f>
        <v>69896.333333333328</v>
      </c>
      <c r="DDO2">
        <f>IF(COUNT(zip_med_inc_updated!DDO$2:DDO$4)=0,"",AVERAGE(zip_med_inc_updated!DDO$2:DDO$4))</f>
        <v>64076.666666666664</v>
      </c>
      <c r="DDP2">
        <f>IF(COUNT(zip_med_inc_updated!DDP$2:DDP$4)=0,"",AVERAGE(zip_med_inc_updated!DDP$2:DDP$4))</f>
        <v>73362.333333333328</v>
      </c>
      <c r="DDQ2">
        <f>IF(COUNT(zip_med_inc_updated!DDQ$2:DDQ$4)=0,"",AVERAGE(zip_med_inc_updated!DDQ$2:DDQ$4))</f>
        <v>64701.666666666664</v>
      </c>
      <c r="DDR2">
        <f>IF(COUNT(zip_med_inc_updated!DDR$2:DDR$4)=0,"",AVERAGE(zip_med_inc_updated!DDR$2:DDR$4))</f>
        <v>70883.666666666672</v>
      </c>
      <c r="DDS2">
        <f>IF(COUNT(zip_med_inc_updated!DDS$2:DDS$4)=0,"",AVERAGE(zip_med_inc_updated!DDS$2:DDS$4))</f>
        <v>56758.333333333336</v>
      </c>
      <c r="DDT2">
        <f>IF(COUNT(zip_med_inc_updated!DDT$2:DDT$4)=0,"",AVERAGE(zip_med_inc_updated!DDT$2:DDT$4))</f>
        <v>33015</v>
      </c>
      <c r="DDU2">
        <f>IF(COUNT(zip_med_inc_updated!DDU$2:DDU$4)=0,"",AVERAGE(zip_med_inc_updated!DDU$2:DDU$4))</f>
        <v>63423.666666666664</v>
      </c>
      <c r="DDV2">
        <f>IF(COUNT(zip_med_inc_updated!DDV$2:DDV$4)=0,"",AVERAGE(zip_med_inc_updated!DDV$2:DDV$4))</f>
        <v>54194.666666666664</v>
      </c>
      <c r="DDW2">
        <f>IF(COUNT(zip_med_inc_updated!DDW$2:DDW$4)=0,"",AVERAGE(zip_med_inc_updated!DDW$2:DDW$4))</f>
        <v>54374</v>
      </c>
      <c r="DDX2">
        <f>IF(COUNT(zip_med_inc_updated!DDX$2:DDX$4)=0,"",AVERAGE(zip_med_inc_updated!DDX$2:DDX$4))</f>
        <v>81846.666666666672</v>
      </c>
      <c r="DDY2">
        <f>IF(COUNT(zip_med_inc_updated!DDY$2:DDY$4)=0,"",AVERAGE(zip_med_inc_updated!DDY$2:DDY$4))</f>
        <v>99621.333333333328</v>
      </c>
      <c r="DDZ2">
        <f>IF(COUNT(zip_med_inc_updated!DDZ$2:DDZ$4)=0,"",AVERAGE(zip_med_inc_updated!DDZ$2:DDZ$4))</f>
        <v>68340.666666666672</v>
      </c>
      <c r="DEA2">
        <f>IF(COUNT(zip_med_inc_updated!DEA$2:DEA$4)=0,"",AVERAGE(zip_med_inc_updated!DEA$2:DEA$4))</f>
        <v>66026.666666666672</v>
      </c>
      <c r="DEB2">
        <f>IF(COUNT(zip_med_inc_updated!DEB$2:DEB$4)=0,"",AVERAGE(zip_med_inc_updated!DEB$2:DEB$4))</f>
        <v>57756</v>
      </c>
      <c r="DEC2">
        <f>IF(COUNT(zip_med_inc_updated!DEC$2:DEC$4)=0,"",AVERAGE(zip_med_inc_updated!DEC$2:DEC$4))</f>
        <v>45318</v>
      </c>
      <c r="DED2">
        <f>IF(COUNT(zip_med_inc_updated!DED$2:DED$4)=0,"",AVERAGE(zip_med_inc_updated!DED$2:DED$4))</f>
        <v>58571.333333333336</v>
      </c>
      <c r="DEE2">
        <f>IF(COUNT(zip_med_inc_updated!DEE$2:DEE$4)=0,"",AVERAGE(zip_med_inc_updated!DEE$2:DEE$4))</f>
        <v>62194.333333333336</v>
      </c>
      <c r="DEF2">
        <f>IF(COUNT(zip_med_inc_updated!DEF$2:DEF$4)=0,"",AVERAGE(zip_med_inc_updated!DEF$2:DEF$4))</f>
        <v>83752.666666666672</v>
      </c>
      <c r="DEG2">
        <f>IF(COUNT(zip_med_inc_updated!DEG$2:DEG$4)=0,"",AVERAGE(zip_med_inc_updated!DEG$2:DEG$4))</f>
        <v>35082.666666666664</v>
      </c>
      <c r="DEH2">
        <f>IF(COUNT(zip_med_inc_updated!DEH$2:DEH$4)=0,"",AVERAGE(zip_med_inc_updated!DEH$2:DEH$4))</f>
        <v>55102.666666666664</v>
      </c>
      <c r="DEI2">
        <f>IF(COUNT(zip_med_inc_updated!DEI$2:DEI$4)=0,"",AVERAGE(zip_med_inc_updated!DEI$2:DEI$4))</f>
        <v>55311.666666666664</v>
      </c>
      <c r="DEJ2">
        <f>IF(COUNT(zip_med_inc_updated!DEJ$2:DEJ$4)=0,"",AVERAGE(zip_med_inc_updated!DEJ$2:DEJ$4))</f>
        <v>50522.666666666664</v>
      </c>
      <c r="DEK2">
        <f>IF(COUNT(zip_med_inc_updated!DEK$2:DEK$4)=0,"",AVERAGE(zip_med_inc_updated!DEK$2:DEK$4))</f>
        <v>49940</v>
      </c>
      <c r="DEL2">
        <f>IF(COUNT(zip_med_inc_updated!DEL$2:DEL$4)=0,"",AVERAGE(zip_med_inc_updated!DEL$2:DEL$4))</f>
        <v>47295.666666666664</v>
      </c>
      <c r="DEM2">
        <f>IF(COUNT(zip_med_inc_updated!DEM$2:DEM$4)=0,"",AVERAGE(zip_med_inc_updated!DEM$2:DEM$4))</f>
        <v>27001.666666666668</v>
      </c>
      <c r="DEN2">
        <f>IF(COUNT(zip_med_inc_updated!DEN$2:DEN$4)=0,"",AVERAGE(zip_med_inc_updated!DEN$2:DEN$4))</f>
        <v>47943</v>
      </c>
      <c r="DEO2">
        <f>IF(COUNT(zip_med_inc_updated!DEO$2:DEO$4)=0,"",AVERAGE(zip_med_inc_updated!DEO$2:DEO$4))</f>
        <v>44250.666666666664</v>
      </c>
      <c r="DEP2">
        <f>IF(COUNT(zip_med_inc_updated!DEP$2:DEP$4)=0,"",AVERAGE(zip_med_inc_updated!DEP$2:DEP$4))</f>
        <v>52380.666666666664</v>
      </c>
      <c r="DEQ2">
        <f>IF(COUNT(zip_med_inc_updated!DEQ$2:DEQ$4)=0,"",AVERAGE(zip_med_inc_updated!DEQ$2:DEQ$4))</f>
        <v>32004.666666666668</v>
      </c>
      <c r="DER2">
        <f>IF(COUNT(zip_med_inc_updated!DER$2:DER$4)=0,"",AVERAGE(zip_med_inc_updated!DER$2:DER$4))</f>
        <v>28980.333333333332</v>
      </c>
      <c r="DES2" t="str">
        <f>IF(COUNT(zip_med_inc_updated!DES$2:DES$4)=0,"",AVERAGE(zip_med_inc_updated!DES$2:DES$4))</f>
        <v/>
      </c>
      <c r="DET2">
        <f>IF(COUNT(zip_med_inc_updated!DET$2:DET$4)=0,"",AVERAGE(zip_med_inc_updated!DET$2:DET$4))</f>
        <v>52604.666666666664</v>
      </c>
      <c r="DEU2">
        <f>IF(COUNT(zip_med_inc_updated!DEU$2:DEU$4)=0,"",AVERAGE(zip_med_inc_updated!DEU$2:DEU$4))</f>
        <v>39684.333333333336</v>
      </c>
      <c r="DEV2">
        <f>IF(COUNT(zip_med_inc_updated!DEV$2:DEV$4)=0,"",AVERAGE(zip_med_inc_updated!DEV$2:DEV$4))</f>
        <v>34478</v>
      </c>
      <c r="DEW2" t="str">
        <f>IF(COUNT(zip_med_inc_updated!DEW$2:DEW$4)=0,"",AVERAGE(zip_med_inc_updated!DEW$2:DEW$4))</f>
        <v/>
      </c>
      <c r="DEX2">
        <f>IF(COUNT(zip_med_inc_updated!DEX$2:DEX$4)=0,"",AVERAGE(zip_med_inc_updated!DEX$2:DEX$4))</f>
        <v>65608.666666666672</v>
      </c>
      <c r="DEY2">
        <f>IF(COUNT(zip_med_inc_updated!DEY$2:DEY$4)=0,"",AVERAGE(zip_med_inc_updated!DEY$2:DEY$4))</f>
        <v>42245.666666666664</v>
      </c>
      <c r="DEZ2">
        <f>IF(COUNT(zip_med_inc_updated!DEZ$2:DEZ$4)=0,"",AVERAGE(zip_med_inc_updated!DEZ$2:DEZ$4))</f>
        <v>45200</v>
      </c>
      <c r="DFA2">
        <f>IF(COUNT(zip_med_inc_updated!DFA$2:DFA$4)=0,"",AVERAGE(zip_med_inc_updated!DFA$2:DFA$4))</f>
        <v>46587.333333333336</v>
      </c>
      <c r="DFB2">
        <f>IF(COUNT(zip_med_inc_updated!DFB$2:DFB$4)=0,"",AVERAGE(zip_med_inc_updated!DFB$2:DFB$4))</f>
        <v>41115.333333333336</v>
      </c>
      <c r="DFC2">
        <f>IF(COUNT(zip_med_inc_updated!DFC$2:DFC$4)=0,"",AVERAGE(zip_med_inc_updated!DFC$2:DFC$4))</f>
        <v>41354.666666666664</v>
      </c>
      <c r="DFD2">
        <f>IF(COUNT(zip_med_inc_updated!DFD$2:DFD$4)=0,"",AVERAGE(zip_med_inc_updated!DFD$2:DFD$4))</f>
        <v>37428.333333333336</v>
      </c>
      <c r="DFE2">
        <f>IF(COUNT(zip_med_inc_updated!DFE$2:DFE$4)=0,"",AVERAGE(zip_med_inc_updated!DFE$2:DFE$4))</f>
        <v>70332.333333333328</v>
      </c>
      <c r="DFF2">
        <f>IF(COUNT(zip_med_inc_updated!DFF$2:DFF$4)=0,"",AVERAGE(zip_med_inc_updated!DFF$2:DFF$4))</f>
        <v>54293.333333333336</v>
      </c>
      <c r="DFG2">
        <f>IF(COUNT(zip_med_inc_updated!DFG$2:DFG$4)=0,"",AVERAGE(zip_med_inc_updated!DFG$2:DFG$4))</f>
        <v>44107</v>
      </c>
      <c r="DFH2">
        <f>IF(COUNT(zip_med_inc_updated!DFH$2:DFH$4)=0,"",AVERAGE(zip_med_inc_updated!DFH$2:DFH$4))</f>
        <v>46119</v>
      </c>
      <c r="DFI2">
        <f>IF(COUNT(zip_med_inc_updated!DFI$2:DFI$4)=0,"",AVERAGE(zip_med_inc_updated!DFI$2:DFI$4))</f>
        <v>50605.666666666664</v>
      </c>
      <c r="DFJ2">
        <f>IF(COUNT(zip_med_inc_updated!DFJ$2:DFJ$4)=0,"",AVERAGE(zip_med_inc_updated!DFJ$2:DFJ$4))</f>
        <v>30593</v>
      </c>
      <c r="DFK2">
        <f>IF(COUNT(zip_med_inc_updated!DFK$2:DFK$4)=0,"",AVERAGE(zip_med_inc_updated!DFK$2:DFK$4))</f>
        <v>40057</v>
      </c>
      <c r="DFL2">
        <f>IF(COUNT(zip_med_inc_updated!DFL$2:DFL$4)=0,"",AVERAGE(zip_med_inc_updated!DFL$2:DFL$4))</f>
        <v>32664.666666666668</v>
      </c>
      <c r="DFM2">
        <f>IF(COUNT(zip_med_inc_updated!DFM$2:DFM$4)=0,"",AVERAGE(zip_med_inc_updated!DFM$2:DFM$4))</f>
        <v>42439</v>
      </c>
      <c r="DFN2">
        <f>IF(COUNT(zip_med_inc_updated!DFN$2:DFN$4)=0,"",AVERAGE(zip_med_inc_updated!DFN$2:DFN$4))</f>
        <v>70443.333333333328</v>
      </c>
      <c r="DFO2">
        <f>IF(COUNT(zip_med_inc_updated!DFO$2:DFO$4)=0,"",AVERAGE(zip_med_inc_updated!DFO$2:DFO$4))</f>
        <v>52401.666666666664</v>
      </c>
      <c r="DFP2">
        <f>IF(COUNT(zip_med_inc_updated!DFP$2:DFP$4)=0,"",AVERAGE(zip_med_inc_updated!DFP$2:DFP$4))</f>
        <v>31369</v>
      </c>
      <c r="DFQ2">
        <f>IF(COUNT(zip_med_inc_updated!DFQ$2:DFQ$4)=0,"",AVERAGE(zip_med_inc_updated!DFQ$2:DFQ$4))</f>
        <v>34636.333333333336</v>
      </c>
      <c r="DFR2">
        <f>IF(COUNT(zip_med_inc_updated!DFR$2:DFR$4)=0,"",AVERAGE(zip_med_inc_updated!DFR$2:DFR$4))</f>
        <v>57671.666666666664</v>
      </c>
      <c r="DFS2">
        <f>IF(COUNT(zip_med_inc_updated!DFS$2:DFS$4)=0,"",AVERAGE(zip_med_inc_updated!DFS$2:DFS$4))</f>
        <v>37082.666666666664</v>
      </c>
      <c r="DFT2">
        <f>IF(COUNT(zip_med_inc_updated!DFT$2:DFT$4)=0,"",AVERAGE(zip_med_inc_updated!DFT$2:DFT$4))</f>
        <v>55324.666666666664</v>
      </c>
      <c r="DFU2">
        <f>IF(COUNT(zip_med_inc_updated!DFU$2:DFU$4)=0,"",AVERAGE(zip_med_inc_updated!DFU$2:DFU$4))</f>
        <v>57824.333333333336</v>
      </c>
      <c r="DFV2">
        <f>IF(COUNT(zip_med_inc_updated!DFV$2:DFV$4)=0,"",AVERAGE(zip_med_inc_updated!DFV$2:DFV$4))</f>
        <v>44488.333333333336</v>
      </c>
      <c r="DFW2">
        <f>IF(COUNT(zip_med_inc_updated!DFW$2:DFW$4)=0,"",AVERAGE(zip_med_inc_updated!DFW$2:DFW$4))</f>
        <v>39474.666666666664</v>
      </c>
      <c r="DFX2">
        <f>IF(COUNT(zip_med_inc_updated!DFX$2:DFX$4)=0,"",AVERAGE(zip_med_inc_updated!DFX$2:DFX$4))</f>
        <v>40460</v>
      </c>
      <c r="DFY2">
        <f>IF(COUNT(zip_med_inc_updated!DFY$2:DFY$4)=0,"",AVERAGE(zip_med_inc_updated!DFY$2:DFY$4))</f>
        <v>69460.333333333328</v>
      </c>
      <c r="DFZ2">
        <f>IF(COUNT(zip_med_inc_updated!DFZ$2:DFZ$4)=0,"",AVERAGE(zip_med_inc_updated!DFZ$2:DFZ$4))</f>
        <v>62738</v>
      </c>
      <c r="DGA2" t="str">
        <f>IF(COUNT(zip_med_inc_updated!DGA$2:DGA$4)=0,"",AVERAGE(zip_med_inc_updated!DGA$2:DGA$4))</f>
        <v/>
      </c>
      <c r="DGB2">
        <f>IF(COUNT(zip_med_inc_updated!DGB$2:DGB$4)=0,"",AVERAGE(zip_med_inc_updated!DGB$2:DGB$4))</f>
        <v>41187.333333333336</v>
      </c>
      <c r="DGC2">
        <f>IF(COUNT(zip_med_inc_updated!DGC$2:DGC$4)=0,"",AVERAGE(zip_med_inc_updated!DGC$2:DGC$4))</f>
        <v>61972.666666666664</v>
      </c>
      <c r="DGD2">
        <f>IF(COUNT(zip_med_inc_updated!DGD$2:DGD$4)=0,"",AVERAGE(zip_med_inc_updated!DGD$2:DGD$4))</f>
        <v>50679.333333333336</v>
      </c>
      <c r="DGE2">
        <f>IF(COUNT(zip_med_inc_updated!DGE$2:DGE$4)=0,"",AVERAGE(zip_med_inc_updated!DGE$2:DGE$4))</f>
        <v>48482</v>
      </c>
      <c r="DGF2">
        <f>IF(COUNT(zip_med_inc_updated!DGF$2:DGF$4)=0,"",AVERAGE(zip_med_inc_updated!DGF$2:DGF$4))</f>
        <v>65153</v>
      </c>
      <c r="DGG2">
        <f>IF(COUNT(zip_med_inc_updated!DGG$2:DGG$4)=0,"",AVERAGE(zip_med_inc_updated!DGG$2:DGG$4))</f>
        <v>79718.666666666672</v>
      </c>
      <c r="DGH2">
        <f>IF(COUNT(zip_med_inc_updated!DGH$2:DGH$4)=0,"",AVERAGE(zip_med_inc_updated!DGH$2:DGH$4))</f>
        <v>76217.333333333328</v>
      </c>
      <c r="DGI2">
        <f>IF(COUNT(zip_med_inc_updated!DGI$2:DGI$4)=0,"",AVERAGE(zip_med_inc_updated!DGI$2:DGI$4))</f>
        <v>39446</v>
      </c>
      <c r="DGJ2" t="str">
        <f>IF(COUNT(zip_med_inc_updated!DGJ$2:DGJ$4)=0,"",AVERAGE(zip_med_inc_updated!DGJ$2:DGJ$4))</f>
        <v/>
      </c>
      <c r="DGK2">
        <f>IF(COUNT(zip_med_inc_updated!DGK$2:DGK$4)=0,"",AVERAGE(zip_med_inc_updated!DGK$2:DGK$4))</f>
        <v>54600.666666666664</v>
      </c>
      <c r="DGL2">
        <f>IF(COUNT(zip_med_inc_updated!DGL$2:DGL$4)=0,"",AVERAGE(zip_med_inc_updated!DGL$2:DGL$4))</f>
        <v>42685</v>
      </c>
      <c r="DGM2">
        <f>IF(COUNT(zip_med_inc_updated!DGM$2:DGM$4)=0,"",AVERAGE(zip_med_inc_updated!DGM$2:DGM$4))</f>
        <v>48547.666666666664</v>
      </c>
      <c r="DGN2">
        <f>IF(COUNT(zip_med_inc_updated!DGN$2:DGN$4)=0,"",AVERAGE(zip_med_inc_updated!DGN$2:DGN$4))</f>
        <v>63588.666666666664</v>
      </c>
      <c r="DGO2">
        <f>IF(COUNT(zip_med_inc_updated!DGO$2:DGO$4)=0,"",AVERAGE(zip_med_inc_updated!DGO$2:DGO$4))</f>
        <v>53962</v>
      </c>
      <c r="DGP2">
        <f>IF(COUNT(zip_med_inc_updated!DGP$2:DGP$4)=0,"",AVERAGE(zip_med_inc_updated!DGP$2:DGP$4))</f>
        <v>58066</v>
      </c>
      <c r="DGQ2">
        <f>IF(COUNT(zip_med_inc_updated!DGQ$2:DGQ$4)=0,"",AVERAGE(zip_med_inc_updated!DGQ$2:DGQ$4))</f>
        <v>43073.666666666664</v>
      </c>
      <c r="DGR2">
        <f>IF(COUNT(zip_med_inc_updated!DGR$2:DGR$4)=0,"",AVERAGE(zip_med_inc_updated!DGR$2:DGR$4))</f>
        <v>51575.666666666664</v>
      </c>
      <c r="DGS2">
        <f>IF(COUNT(zip_med_inc_updated!DGS$2:DGS$4)=0,"",AVERAGE(zip_med_inc_updated!DGS$2:DGS$4))</f>
        <v>18438</v>
      </c>
      <c r="DGT2">
        <f>IF(COUNT(zip_med_inc_updated!DGT$2:DGT$4)=0,"",AVERAGE(zip_med_inc_updated!DGT$2:DGT$4))</f>
        <v>47831</v>
      </c>
      <c r="DGU2">
        <f>IF(COUNT(zip_med_inc_updated!DGU$2:DGU$4)=0,"",AVERAGE(zip_med_inc_updated!DGU$2:DGU$4))</f>
        <v>42556.333333333336</v>
      </c>
      <c r="DGV2">
        <f>IF(COUNT(zip_med_inc_updated!DGV$2:DGV$4)=0,"",AVERAGE(zip_med_inc_updated!DGV$2:DGV$4))</f>
        <v>61227.333333333336</v>
      </c>
      <c r="DGW2">
        <f>IF(COUNT(zip_med_inc_updated!DGW$2:DGW$4)=0,"",AVERAGE(zip_med_inc_updated!DGW$2:DGW$4))</f>
        <v>68834</v>
      </c>
      <c r="DGX2">
        <f>IF(COUNT(zip_med_inc_updated!DGX$2:DGX$4)=0,"",AVERAGE(zip_med_inc_updated!DGX$2:DGX$4))</f>
        <v>48998.666666666664</v>
      </c>
      <c r="DGY2">
        <f>IF(COUNT(zip_med_inc_updated!DGY$2:DGY$4)=0,"",AVERAGE(zip_med_inc_updated!DGY$2:DGY$4))</f>
        <v>35175.333333333336</v>
      </c>
      <c r="DGZ2">
        <f>IF(COUNT(zip_med_inc_updated!DGZ$2:DGZ$4)=0,"",AVERAGE(zip_med_inc_updated!DGZ$2:DGZ$4))</f>
        <v>67949.333333333328</v>
      </c>
      <c r="DHA2">
        <f>IF(COUNT(zip_med_inc_updated!DHA$2:DHA$4)=0,"",AVERAGE(zip_med_inc_updated!DHA$2:DHA$4))</f>
        <v>48248</v>
      </c>
      <c r="DHB2">
        <f>IF(COUNT(zip_med_inc_updated!DHB$2:DHB$4)=0,"",AVERAGE(zip_med_inc_updated!DHB$2:DHB$4))</f>
        <v>41931</v>
      </c>
      <c r="DHC2">
        <f>IF(COUNT(zip_med_inc_updated!DHC$2:DHC$4)=0,"",AVERAGE(zip_med_inc_updated!DHC$2:DHC$4))</f>
        <v>53378</v>
      </c>
      <c r="DHD2">
        <f>IF(COUNT(zip_med_inc_updated!DHD$2:DHD$4)=0,"",AVERAGE(zip_med_inc_updated!DHD$2:DHD$4))</f>
        <v>57115</v>
      </c>
      <c r="DHE2">
        <f>IF(COUNT(zip_med_inc_updated!DHE$2:DHE$4)=0,"",AVERAGE(zip_med_inc_updated!DHE$2:DHE$4))</f>
        <v>42469</v>
      </c>
      <c r="DHF2">
        <f>IF(COUNT(zip_med_inc_updated!DHF$2:DHF$4)=0,"",AVERAGE(zip_med_inc_updated!DHF$2:DHF$4))</f>
        <v>52029.666666666664</v>
      </c>
      <c r="DHG2">
        <f>IF(COUNT(zip_med_inc_updated!DHG$2:DHG$4)=0,"",AVERAGE(zip_med_inc_updated!DHG$2:DHG$4))</f>
        <v>64796</v>
      </c>
      <c r="DHH2">
        <f>IF(COUNT(zip_med_inc_updated!DHH$2:DHH$4)=0,"",AVERAGE(zip_med_inc_updated!DHH$2:DHH$4))</f>
        <v>52754.666666666664</v>
      </c>
      <c r="DHI2">
        <f>IF(COUNT(zip_med_inc_updated!DHI$2:DHI$4)=0,"",AVERAGE(zip_med_inc_updated!DHI$2:DHI$4))</f>
        <v>63567</v>
      </c>
      <c r="DHJ2" t="str">
        <f>IF(COUNT(zip_med_inc_updated!DHJ$2:DHJ$4)=0,"",AVERAGE(zip_med_inc_updated!DHJ$2:DHJ$4))</f>
        <v/>
      </c>
      <c r="DHK2">
        <f>IF(COUNT(zip_med_inc_updated!DHK$2:DHK$4)=0,"",AVERAGE(zip_med_inc_updated!DHK$2:DHK$4))</f>
        <v>250001</v>
      </c>
      <c r="DHL2">
        <f>IF(COUNT(zip_med_inc_updated!DHL$2:DHL$4)=0,"",AVERAGE(zip_med_inc_updated!DHL$2:DHL$4))</f>
        <v>55883</v>
      </c>
      <c r="DHM2" t="str">
        <f>IF(COUNT(zip_med_inc_updated!DHM$2:DHM$4)=0,"",AVERAGE(zip_med_inc_updated!DHM$2:DHM$4))</f>
        <v/>
      </c>
      <c r="DHN2">
        <f>IF(COUNT(zip_med_inc_updated!DHN$2:DHN$4)=0,"",AVERAGE(zip_med_inc_updated!DHN$2:DHN$4))</f>
        <v>52722.666666666664</v>
      </c>
      <c r="DHO2">
        <f>IF(COUNT(zip_med_inc_updated!DHO$2:DHO$4)=0,"",AVERAGE(zip_med_inc_updated!DHO$2:DHO$4))</f>
        <v>93899.666666666672</v>
      </c>
      <c r="DHP2">
        <f>IF(COUNT(zip_med_inc_updated!DHP$2:DHP$4)=0,"",AVERAGE(zip_med_inc_updated!DHP$2:DHP$4))</f>
        <v>47145.666666666664</v>
      </c>
      <c r="DHQ2">
        <f>IF(COUNT(zip_med_inc_updated!DHQ$2:DHQ$4)=0,"",AVERAGE(zip_med_inc_updated!DHQ$2:DHQ$4))</f>
        <v>52888.333333333336</v>
      </c>
      <c r="DHR2">
        <f>IF(COUNT(zip_med_inc_updated!DHR$2:DHR$4)=0,"",AVERAGE(zip_med_inc_updated!DHR$2:DHR$4))</f>
        <v>44062.666666666664</v>
      </c>
      <c r="DHS2">
        <f>IF(COUNT(zip_med_inc_updated!DHS$2:DHS$4)=0,"",AVERAGE(zip_med_inc_updated!DHS$2:DHS$4))</f>
        <v>74963.666666666672</v>
      </c>
      <c r="DHT2">
        <f>IF(COUNT(zip_med_inc_updated!DHT$2:DHT$4)=0,"",AVERAGE(zip_med_inc_updated!DHT$2:DHT$4))</f>
        <v>86459</v>
      </c>
      <c r="DHU2">
        <f>IF(COUNT(zip_med_inc_updated!DHU$2:DHU$4)=0,"",AVERAGE(zip_med_inc_updated!DHU$2:DHU$4))</f>
        <v>73981.333333333328</v>
      </c>
      <c r="DHV2">
        <f>IF(COUNT(zip_med_inc_updated!DHV$2:DHV$4)=0,"",AVERAGE(zip_med_inc_updated!DHV$2:DHV$4))</f>
        <v>65578</v>
      </c>
      <c r="DHW2">
        <f>IF(COUNT(zip_med_inc_updated!DHW$2:DHW$4)=0,"",AVERAGE(zip_med_inc_updated!DHW$2:DHW$4))</f>
        <v>87560</v>
      </c>
      <c r="DHX2">
        <f>IF(COUNT(zip_med_inc_updated!DHX$2:DHX$4)=0,"",AVERAGE(zip_med_inc_updated!DHX$2:DHX$4))</f>
        <v>43193.333333333336</v>
      </c>
      <c r="DHY2">
        <f>IF(COUNT(zip_med_inc_updated!DHY$2:DHY$4)=0,"",AVERAGE(zip_med_inc_updated!DHY$2:DHY$4))</f>
        <v>49028</v>
      </c>
      <c r="DHZ2">
        <f>IF(COUNT(zip_med_inc_updated!DHZ$2:DHZ$4)=0,"",AVERAGE(zip_med_inc_updated!DHZ$2:DHZ$4))</f>
        <v>80286</v>
      </c>
      <c r="DIA2">
        <f>IF(COUNT(zip_med_inc_updated!DIA$2:DIA$4)=0,"",AVERAGE(zip_med_inc_updated!DIA$2:DIA$4))</f>
        <v>68380.333333333328</v>
      </c>
      <c r="DIB2">
        <f>IF(COUNT(zip_med_inc_updated!DIB$2:DIB$4)=0,"",AVERAGE(zip_med_inc_updated!DIB$2:DIB$4))</f>
        <v>56080</v>
      </c>
      <c r="DIC2">
        <f>IF(COUNT(zip_med_inc_updated!DIC$2:DIC$4)=0,"",AVERAGE(zip_med_inc_updated!DIC$2:DIC$4))</f>
        <v>58194.333333333336</v>
      </c>
      <c r="DID2">
        <f>IF(COUNT(zip_med_inc_updated!DID$2:DID$4)=0,"",AVERAGE(zip_med_inc_updated!DID$2:DID$4))</f>
        <v>76710</v>
      </c>
      <c r="DIE2">
        <f>IF(COUNT(zip_med_inc_updated!DIE$2:DIE$4)=0,"",AVERAGE(zip_med_inc_updated!DIE$2:DIE$4))</f>
        <v>70259.5</v>
      </c>
      <c r="DIF2">
        <f>IF(COUNT(zip_med_inc_updated!DIF$2:DIF$4)=0,"",AVERAGE(zip_med_inc_updated!DIF$2:DIF$4))</f>
        <v>51982</v>
      </c>
      <c r="DIG2">
        <f>IF(COUNT(zip_med_inc_updated!DIG$2:DIG$4)=0,"",AVERAGE(zip_med_inc_updated!DIG$2:DIG$4))</f>
        <v>90840.333333333328</v>
      </c>
      <c r="DIH2">
        <f>IF(COUNT(zip_med_inc_updated!DIH$2:DIH$4)=0,"",AVERAGE(zip_med_inc_updated!DIH$2:DIH$4))</f>
        <v>43471.333333333336</v>
      </c>
      <c r="DII2">
        <f>IF(COUNT(zip_med_inc_updated!DII$2:DII$4)=0,"",AVERAGE(zip_med_inc_updated!DII$2:DII$4))</f>
        <v>34270.333333333336</v>
      </c>
      <c r="DIJ2">
        <f>IF(COUNT(zip_med_inc_updated!DIJ$2:DIJ$4)=0,"",AVERAGE(zip_med_inc_updated!DIJ$2:DIJ$4))</f>
        <v>62126.333333333336</v>
      </c>
      <c r="DIK2">
        <f>IF(COUNT(zip_med_inc_updated!DIK$2:DIK$4)=0,"",AVERAGE(zip_med_inc_updated!DIK$2:DIK$4))</f>
        <v>96444.333333333328</v>
      </c>
      <c r="DIL2" t="str">
        <f>IF(COUNT(zip_med_inc_updated!DIL$2:DIL$4)=0,"",AVERAGE(zip_med_inc_updated!DIL$2:DIL$4))</f>
        <v/>
      </c>
      <c r="DIM2">
        <f>IF(COUNT(zip_med_inc_updated!DIM$2:DIM$4)=0,"",AVERAGE(zip_med_inc_updated!DIM$2:DIM$4))</f>
        <v>91466.333333333328</v>
      </c>
      <c r="DIN2">
        <f>IF(COUNT(zip_med_inc_updated!DIN$2:DIN$4)=0,"",AVERAGE(zip_med_inc_updated!DIN$2:DIN$4))</f>
        <v>50628.666666666664</v>
      </c>
      <c r="DIO2">
        <f>IF(COUNT(zip_med_inc_updated!DIO$2:DIO$4)=0,"",AVERAGE(zip_med_inc_updated!DIO$2:DIO$4))</f>
        <v>78901.666666666672</v>
      </c>
      <c r="DIP2">
        <f>IF(COUNT(zip_med_inc_updated!DIP$2:DIP$4)=0,"",AVERAGE(zip_med_inc_updated!DIP$2:DIP$4))</f>
        <v>58676.5</v>
      </c>
      <c r="DIQ2" t="str">
        <f>IF(COUNT(zip_med_inc_updated!DIQ$2:DIQ$4)=0,"",AVERAGE(zip_med_inc_updated!DIQ$2:DIQ$4))</f>
        <v/>
      </c>
      <c r="DIR2">
        <f>IF(COUNT(zip_med_inc_updated!DIR$2:DIR$4)=0,"",AVERAGE(zip_med_inc_updated!DIR$2:DIR$4))</f>
        <v>80917</v>
      </c>
      <c r="DIS2">
        <f>IF(COUNT(zip_med_inc_updated!DIS$2:DIS$4)=0,"",AVERAGE(zip_med_inc_updated!DIS$2:DIS$4))</f>
        <v>81149</v>
      </c>
      <c r="DIT2">
        <f>IF(COUNT(zip_med_inc_updated!DIT$2:DIT$4)=0,"",AVERAGE(zip_med_inc_updated!DIT$2:DIT$4))</f>
        <v>71713.666666666672</v>
      </c>
      <c r="DIU2">
        <f>IF(COUNT(zip_med_inc_updated!DIU$2:DIU$4)=0,"",AVERAGE(zip_med_inc_updated!DIU$2:DIU$4))</f>
        <v>80949</v>
      </c>
      <c r="DIV2">
        <f>IF(COUNT(zip_med_inc_updated!DIV$2:DIV$4)=0,"",AVERAGE(zip_med_inc_updated!DIV$2:DIV$4))</f>
        <v>48291.666666666664</v>
      </c>
      <c r="DIW2">
        <f>IF(COUNT(zip_med_inc_updated!DIW$2:DIW$4)=0,"",AVERAGE(zip_med_inc_updated!DIW$2:DIW$4))</f>
        <v>71287</v>
      </c>
      <c r="DIX2">
        <f>IF(COUNT(zip_med_inc_updated!DIX$2:DIX$4)=0,"",AVERAGE(zip_med_inc_updated!DIX$2:DIX$4))</f>
        <v>74754.333333333328</v>
      </c>
      <c r="DIY2">
        <f>IF(COUNT(zip_med_inc_updated!DIY$2:DIY$4)=0,"",AVERAGE(zip_med_inc_updated!DIY$2:DIY$4))</f>
        <v>70695.666666666672</v>
      </c>
      <c r="DIZ2">
        <f>IF(COUNT(zip_med_inc_updated!DIZ$2:DIZ$4)=0,"",AVERAGE(zip_med_inc_updated!DIZ$2:DIZ$4))</f>
        <v>43842.333333333336</v>
      </c>
      <c r="DJA2">
        <f>IF(COUNT(zip_med_inc_updated!DJA$2:DJA$4)=0,"",AVERAGE(zip_med_inc_updated!DJA$2:DJA$4))</f>
        <v>65812</v>
      </c>
      <c r="DJB2">
        <f>IF(COUNT(zip_med_inc_updated!DJB$2:DJB$4)=0,"",AVERAGE(zip_med_inc_updated!DJB$2:DJB$4))</f>
        <v>90508.333333333328</v>
      </c>
      <c r="DJC2">
        <f>IF(COUNT(zip_med_inc_updated!DJC$2:DJC$4)=0,"",AVERAGE(zip_med_inc_updated!DJC$2:DJC$4))</f>
        <v>49727.666666666664</v>
      </c>
      <c r="DJD2" t="str">
        <f>IF(COUNT(zip_med_inc_updated!DJD$2:DJD$4)=0,"",AVERAGE(zip_med_inc_updated!DJD$2:DJD$4))</f>
        <v/>
      </c>
      <c r="DJE2">
        <f>IF(COUNT(zip_med_inc_updated!DJE$2:DJE$4)=0,"",AVERAGE(zip_med_inc_updated!DJE$2:DJE$4))</f>
        <v>50729</v>
      </c>
      <c r="DJF2">
        <f>IF(COUNT(zip_med_inc_updated!DJF$2:DJF$4)=0,"",AVERAGE(zip_med_inc_updated!DJF$2:DJF$4))</f>
        <v>41123.333333333336</v>
      </c>
      <c r="DJG2">
        <f>IF(COUNT(zip_med_inc_updated!DJG$2:DJG$4)=0,"",AVERAGE(zip_med_inc_updated!DJG$2:DJG$4))</f>
        <v>69116</v>
      </c>
      <c r="DJH2">
        <f>IF(COUNT(zip_med_inc_updated!DJH$2:DJH$4)=0,"",AVERAGE(zip_med_inc_updated!DJH$2:DJH$4))</f>
        <v>60841</v>
      </c>
      <c r="DJI2">
        <f>IF(COUNT(zip_med_inc_updated!DJI$2:DJI$4)=0,"",AVERAGE(zip_med_inc_updated!DJI$2:DJI$4))</f>
        <v>68708.666666666672</v>
      </c>
      <c r="DJJ2">
        <f>IF(COUNT(zip_med_inc_updated!DJJ$2:DJJ$4)=0,"",AVERAGE(zip_med_inc_updated!DJJ$2:DJJ$4))</f>
        <v>75263</v>
      </c>
      <c r="DJK2">
        <f>IF(COUNT(zip_med_inc_updated!DJK$2:DJK$4)=0,"",AVERAGE(zip_med_inc_updated!DJK$2:DJK$4))</f>
        <v>66112.333333333328</v>
      </c>
      <c r="DJL2">
        <f>IF(COUNT(zip_med_inc_updated!DJL$2:DJL$4)=0,"",AVERAGE(zip_med_inc_updated!DJL$2:DJL$4))</f>
        <v>55922.333333333336</v>
      </c>
      <c r="DJM2">
        <f>IF(COUNT(zip_med_inc_updated!DJM$2:DJM$4)=0,"",AVERAGE(zip_med_inc_updated!DJM$2:DJM$4))</f>
        <v>31141.333333333332</v>
      </c>
      <c r="DJN2">
        <f>IF(COUNT(zip_med_inc_updated!DJN$2:DJN$4)=0,"",AVERAGE(zip_med_inc_updated!DJN$2:DJN$4))</f>
        <v>34614.5</v>
      </c>
      <c r="DJO2">
        <f>IF(COUNT(zip_med_inc_updated!DJO$2:DJO$4)=0,"",AVERAGE(zip_med_inc_updated!DJO$2:DJO$4))</f>
        <v>46375.333333333336</v>
      </c>
      <c r="DJP2">
        <f>IF(COUNT(zip_med_inc_updated!DJP$2:DJP$4)=0,"",AVERAGE(zip_med_inc_updated!DJP$2:DJP$4))</f>
        <v>41240</v>
      </c>
      <c r="DJQ2">
        <f>IF(COUNT(zip_med_inc_updated!DJQ$2:DJQ$4)=0,"",AVERAGE(zip_med_inc_updated!DJQ$2:DJQ$4))</f>
        <v>135208.5</v>
      </c>
      <c r="DJR2">
        <f>IF(COUNT(zip_med_inc_updated!DJR$2:DJR$4)=0,"",AVERAGE(zip_med_inc_updated!DJR$2:DJR$4))</f>
        <v>65357</v>
      </c>
      <c r="DJS2">
        <f>IF(COUNT(zip_med_inc_updated!DJS$2:DJS$4)=0,"",AVERAGE(zip_med_inc_updated!DJS$2:DJS$4))</f>
        <v>56004.666666666664</v>
      </c>
      <c r="DJT2">
        <f>IF(COUNT(zip_med_inc_updated!DJT$2:DJT$4)=0,"",AVERAGE(zip_med_inc_updated!DJT$2:DJT$4))</f>
        <v>46529.666666666664</v>
      </c>
      <c r="DJU2">
        <f>IF(COUNT(zip_med_inc_updated!DJU$2:DJU$4)=0,"",AVERAGE(zip_med_inc_updated!DJU$2:DJU$4))</f>
        <v>49435.333333333336</v>
      </c>
      <c r="DJV2">
        <f>IF(COUNT(zip_med_inc_updated!DJV$2:DJV$4)=0,"",AVERAGE(zip_med_inc_updated!DJV$2:DJV$4))</f>
        <v>54438</v>
      </c>
      <c r="DJW2">
        <f>IF(COUNT(zip_med_inc_updated!DJW$2:DJW$4)=0,"",AVERAGE(zip_med_inc_updated!DJW$2:DJW$4))</f>
        <v>67322.333333333328</v>
      </c>
      <c r="DJX2">
        <f>IF(COUNT(zip_med_inc_updated!DJX$2:DJX$4)=0,"",AVERAGE(zip_med_inc_updated!DJX$2:DJX$4))</f>
        <v>90145.666666666672</v>
      </c>
      <c r="DJY2">
        <f>IF(COUNT(zip_med_inc_updated!DJY$2:DJY$4)=0,"",AVERAGE(zip_med_inc_updated!DJY$2:DJY$4))</f>
        <v>56486</v>
      </c>
      <c r="DJZ2">
        <f>IF(COUNT(zip_med_inc_updated!DJZ$2:DJZ$4)=0,"",AVERAGE(zip_med_inc_updated!DJZ$2:DJZ$4))</f>
        <v>54666.333333333336</v>
      </c>
      <c r="DKA2">
        <f>IF(COUNT(zip_med_inc_updated!DKA$2:DKA$4)=0,"",AVERAGE(zip_med_inc_updated!DKA$2:DKA$4))</f>
        <v>55798.666666666664</v>
      </c>
      <c r="DKB2">
        <f>IF(COUNT(zip_med_inc_updated!DKB$2:DKB$4)=0,"",AVERAGE(zip_med_inc_updated!DKB$2:DKB$4))</f>
        <v>86125.666666666672</v>
      </c>
      <c r="DKC2">
        <f>IF(COUNT(zip_med_inc_updated!DKC$2:DKC$4)=0,"",AVERAGE(zip_med_inc_updated!DKC$2:DKC$4))</f>
        <v>43797</v>
      </c>
      <c r="DKD2">
        <f>IF(COUNT(zip_med_inc_updated!DKD$2:DKD$4)=0,"",AVERAGE(zip_med_inc_updated!DKD$2:DKD$4))</f>
        <v>55107</v>
      </c>
      <c r="DKE2">
        <f>IF(COUNT(zip_med_inc_updated!DKE$2:DKE$4)=0,"",AVERAGE(zip_med_inc_updated!DKE$2:DKE$4))</f>
        <v>59504.5</v>
      </c>
      <c r="DKF2">
        <f>IF(COUNT(zip_med_inc_updated!DKF$2:DKF$4)=0,"",AVERAGE(zip_med_inc_updated!DKF$2:DKF$4))</f>
        <v>45514.333333333336</v>
      </c>
      <c r="DKG2">
        <f>IF(COUNT(zip_med_inc_updated!DKG$2:DKG$4)=0,"",AVERAGE(zip_med_inc_updated!DKG$2:DKG$4))</f>
        <v>43024.666666666664</v>
      </c>
      <c r="DKH2">
        <f>IF(COUNT(zip_med_inc_updated!DKH$2:DKH$4)=0,"",AVERAGE(zip_med_inc_updated!DKH$2:DKH$4))</f>
        <v>66000</v>
      </c>
      <c r="DKI2">
        <f>IF(COUNT(zip_med_inc_updated!DKI$2:DKI$4)=0,"",AVERAGE(zip_med_inc_updated!DKI$2:DKI$4))</f>
        <v>49195.666666666664</v>
      </c>
      <c r="DKJ2" t="str">
        <f>IF(COUNT(zip_med_inc_updated!DKJ$2:DKJ$4)=0,"",AVERAGE(zip_med_inc_updated!DKJ$2:DKJ$4))</f>
        <v/>
      </c>
      <c r="DKK2">
        <f>IF(COUNT(zip_med_inc_updated!DKK$2:DKK$4)=0,"",AVERAGE(zip_med_inc_updated!DKK$2:DKK$4))</f>
        <v>37845.666666666664</v>
      </c>
      <c r="DKL2">
        <f>IF(COUNT(zip_med_inc_updated!DKL$2:DKL$4)=0,"",AVERAGE(zip_med_inc_updated!DKL$2:DKL$4))</f>
        <v>63104.333333333336</v>
      </c>
      <c r="DKM2">
        <f>IF(COUNT(zip_med_inc_updated!DKM$2:DKM$4)=0,"",AVERAGE(zip_med_inc_updated!DKM$2:DKM$4))</f>
        <v>64921</v>
      </c>
      <c r="DKN2">
        <f>IF(COUNT(zip_med_inc_updated!DKN$2:DKN$4)=0,"",AVERAGE(zip_med_inc_updated!DKN$2:DKN$4))</f>
        <v>46992.333333333336</v>
      </c>
      <c r="DKO2">
        <f>IF(COUNT(zip_med_inc_updated!DKO$2:DKO$4)=0,"",AVERAGE(zip_med_inc_updated!DKO$2:DKO$4))</f>
        <v>59518.666666666664</v>
      </c>
      <c r="DKP2">
        <f>IF(COUNT(zip_med_inc_updated!DKP$2:DKP$4)=0,"",AVERAGE(zip_med_inc_updated!DKP$2:DKP$4))</f>
        <v>43504</v>
      </c>
      <c r="DKQ2">
        <f>IF(COUNT(zip_med_inc_updated!DKQ$2:DKQ$4)=0,"",AVERAGE(zip_med_inc_updated!DKQ$2:DKQ$4))</f>
        <v>54451.666666666664</v>
      </c>
      <c r="DKR2" t="str">
        <f>IF(COUNT(zip_med_inc_updated!DKR$2:DKR$4)=0,"",AVERAGE(zip_med_inc_updated!DKR$2:DKR$4))</f>
        <v/>
      </c>
      <c r="DKS2">
        <f>IF(COUNT(zip_med_inc_updated!DKS$2:DKS$4)=0,"",AVERAGE(zip_med_inc_updated!DKS$2:DKS$4))</f>
        <v>53957.333333333336</v>
      </c>
      <c r="DKT2">
        <f>IF(COUNT(zip_med_inc_updated!DKT$2:DKT$4)=0,"",AVERAGE(zip_med_inc_updated!DKT$2:DKT$4))</f>
        <v>68186.333333333328</v>
      </c>
      <c r="DKU2">
        <f>IF(COUNT(zip_med_inc_updated!DKU$2:DKU$4)=0,"",AVERAGE(zip_med_inc_updated!DKU$2:DKU$4))</f>
        <v>64643.666666666664</v>
      </c>
      <c r="DKV2">
        <f>IF(COUNT(zip_med_inc_updated!DKV$2:DKV$4)=0,"",AVERAGE(zip_med_inc_updated!DKV$2:DKV$4))</f>
        <v>92598.666666666672</v>
      </c>
      <c r="DKW2">
        <f>IF(COUNT(zip_med_inc_updated!DKW$2:DKW$4)=0,"",AVERAGE(zip_med_inc_updated!DKW$2:DKW$4))</f>
        <v>51079.333333333336</v>
      </c>
      <c r="DKX2">
        <f>IF(COUNT(zip_med_inc_updated!DKX$2:DKX$4)=0,"",AVERAGE(zip_med_inc_updated!DKX$2:DKX$4))</f>
        <v>73150.333333333328</v>
      </c>
      <c r="DKY2">
        <f>IF(COUNT(zip_med_inc_updated!DKY$2:DKY$4)=0,"",AVERAGE(zip_med_inc_updated!DKY$2:DKY$4))</f>
        <v>42581</v>
      </c>
      <c r="DKZ2">
        <f>IF(COUNT(zip_med_inc_updated!DKZ$2:DKZ$4)=0,"",AVERAGE(zip_med_inc_updated!DKZ$2:DKZ$4))</f>
        <v>92850</v>
      </c>
      <c r="DLA2">
        <f>IF(COUNT(zip_med_inc_updated!DLA$2:DLA$4)=0,"",AVERAGE(zip_med_inc_updated!DLA$2:DLA$4))</f>
        <v>50162.333333333336</v>
      </c>
      <c r="DLB2">
        <f>IF(COUNT(zip_med_inc_updated!DLB$2:DLB$4)=0,"",AVERAGE(zip_med_inc_updated!DLB$2:DLB$4))</f>
        <v>57224.333333333336</v>
      </c>
      <c r="DLC2">
        <f>IF(COUNT(zip_med_inc_updated!DLC$2:DLC$4)=0,"",AVERAGE(zip_med_inc_updated!DLC$2:DLC$4))</f>
        <v>47460.333333333336</v>
      </c>
      <c r="DLD2" t="str">
        <f>IF(COUNT(zip_med_inc_updated!DLD$2:DLD$4)=0,"",AVERAGE(zip_med_inc_updated!DLD$2:DLD$4))</f>
        <v/>
      </c>
      <c r="DLE2">
        <f>IF(COUNT(zip_med_inc_updated!DLE$2:DLE$4)=0,"",AVERAGE(zip_med_inc_updated!DLE$2:DLE$4))</f>
        <v>42570</v>
      </c>
      <c r="DLF2">
        <f>IF(COUNT(zip_med_inc_updated!DLF$2:DLF$4)=0,"",AVERAGE(zip_med_inc_updated!DLF$2:DLF$4))</f>
        <v>44929.666666666664</v>
      </c>
      <c r="DLG2">
        <f>IF(COUNT(zip_med_inc_updated!DLG$2:DLG$4)=0,"",AVERAGE(zip_med_inc_updated!DLG$2:DLG$4))</f>
        <v>25878</v>
      </c>
      <c r="DLH2">
        <f>IF(COUNT(zip_med_inc_updated!DLH$2:DLH$4)=0,"",AVERAGE(zip_med_inc_updated!DLH$2:DLH$4))</f>
        <v>51788</v>
      </c>
      <c r="DLI2">
        <f>IF(COUNT(zip_med_inc_updated!DLI$2:DLI$4)=0,"",AVERAGE(zip_med_inc_updated!DLI$2:DLI$4))</f>
        <v>24375</v>
      </c>
      <c r="DLJ2">
        <f>IF(COUNT(zip_med_inc_updated!DLJ$2:DLJ$4)=0,"",AVERAGE(zip_med_inc_updated!DLJ$2:DLJ$4))</f>
        <v>83162</v>
      </c>
      <c r="DLK2">
        <f>IF(COUNT(zip_med_inc_updated!DLK$2:DLK$4)=0,"",AVERAGE(zip_med_inc_updated!DLK$2:DLK$4))</f>
        <v>51165.666666666664</v>
      </c>
      <c r="DLL2">
        <f>IF(COUNT(zip_med_inc_updated!DLL$2:DLL$4)=0,"",AVERAGE(zip_med_inc_updated!DLL$2:DLL$4))</f>
        <v>21367.666666666668</v>
      </c>
      <c r="DLM2">
        <f>IF(COUNT(zip_med_inc_updated!DLM$2:DLM$4)=0,"",AVERAGE(zip_med_inc_updated!DLM$2:DLM$4))</f>
        <v>37801.5</v>
      </c>
      <c r="DLN2">
        <f>IF(COUNT(zip_med_inc_updated!DLN$2:DLN$4)=0,"",AVERAGE(zip_med_inc_updated!DLN$2:DLN$4))</f>
        <v>39401</v>
      </c>
      <c r="DLO2">
        <f>IF(COUNT(zip_med_inc_updated!DLO$2:DLO$4)=0,"",AVERAGE(zip_med_inc_updated!DLO$2:DLO$4))</f>
        <v>34974.333333333336</v>
      </c>
      <c r="DLP2">
        <f>IF(COUNT(zip_med_inc_updated!DLP$2:DLP$4)=0,"",AVERAGE(zip_med_inc_updated!DLP$2:DLP$4))</f>
        <v>35613.666666666664</v>
      </c>
      <c r="DLQ2">
        <f>IF(COUNT(zip_med_inc_updated!DLQ$2:DLQ$4)=0,"",AVERAGE(zip_med_inc_updated!DLQ$2:DLQ$4))</f>
        <v>56751.333333333336</v>
      </c>
      <c r="DLR2">
        <f>IF(COUNT(zip_med_inc_updated!DLR$2:DLR$4)=0,"",AVERAGE(zip_med_inc_updated!DLR$2:DLR$4))</f>
        <v>45619.666666666664</v>
      </c>
      <c r="DLS2">
        <f>IF(COUNT(zip_med_inc_updated!DLS$2:DLS$4)=0,"",AVERAGE(zip_med_inc_updated!DLS$2:DLS$4))</f>
        <v>30067.666666666668</v>
      </c>
      <c r="DLT2">
        <f>IF(COUNT(zip_med_inc_updated!DLT$2:DLT$4)=0,"",AVERAGE(zip_med_inc_updated!DLT$2:DLT$4))</f>
        <v>42938.333333333336</v>
      </c>
      <c r="DLU2">
        <f>IF(COUNT(zip_med_inc_updated!DLU$2:DLU$4)=0,"",AVERAGE(zip_med_inc_updated!DLU$2:DLU$4))</f>
        <v>54463.333333333336</v>
      </c>
      <c r="DLV2">
        <f>IF(COUNT(zip_med_inc_updated!DLV$2:DLV$4)=0,"",AVERAGE(zip_med_inc_updated!DLV$2:DLV$4))</f>
        <v>46829.666666666664</v>
      </c>
      <c r="DLW2">
        <f>IF(COUNT(zip_med_inc_updated!DLW$2:DLW$4)=0,"",AVERAGE(zip_med_inc_updated!DLW$2:DLW$4))</f>
        <v>36498</v>
      </c>
      <c r="DLX2">
        <f>IF(COUNT(zip_med_inc_updated!DLX$2:DLX$4)=0,"",AVERAGE(zip_med_inc_updated!DLX$2:DLX$4))</f>
        <v>46260.666666666664</v>
      </c>
      <c r="DLY2">
        <f>IF(COUNT(zip_med_inc_updated!DLY$2:DLY$4)=0,"",AVERAGE(zip_med_inc_updated!DLY$2:DLY$4))</f>
        <v>41537.666666666664</v>
      </c>
      <c r="DLZ2">
        <f>IF(COUNT(zip_med_inc_updated!DLZ$2:DLZ$4)=0,"",AVERAGE(zip_med_inc_updated!DLZ$2:DLZ$4))</f>
        <v>44967.333333333336</v>
      </c>
      <c r="DMA2">
        <f>IF(COUNT(zip_med_inc_updated!DMA$2:DMA$4)=0,"",AVERAGE(zip_med_inc_updated!DMA$2:DMA$4))</f>
        <v>46079</v>
      </c>
      <c r="DMB2">
        <f>IF(COUNT(zip_med_inc_updated!DMB$2:DMB$4)=0,"",AVERAGE(zip_med_inc_updated!DMB$2:DMB$4))</f>
        <v>18565</v>
      </c>
      <c r="DMC2">
        <f>IF(COUNT(zip_med_inc_updated!DMC$2:DMC$4)=0,"",AVERAGE(zip_med_inc_updated!DMC$2:DMC$4))</f>
        <v>60990.666666666664</v>
      </c>
      <c r="DMD2">
        <f>IF(COUNT(zip_med_inc_updated!DMD$2:DMD$4)=0,"",AVERAGE(zip_med_inc_updated!DMD$2:DMD$4))</f>
        <v>55062.666666666664</v>
      </c>
      <c r="DME2">
        <f>IF(COUNT(zip_med_inc_updated!DME$2:DME$4)=0,"",AVERAGE(zip_med_inc_updated!DME$2:DME$4))</f>
        <v>46520.333333333336</v>
      </c>
      <c r="DMF2">
        <f>IF(COUNT(zip_med_inc_updated!DMF$2:DMF$4)=0,"",AVERAGE(zip_med_inc_updated!DMF$2:DMF$4))</f>
        <v>68123.666666666672</v>
      </c>
      <c r="DMG2">
        <f>IF(COUNT(zip_med_inc_updated!DMG$2:DMG$4)=0,"",AVERAGE(zip_med_inc_updated!DMG$2:DMG$4))</f>
        <v>70122</v>
      </c>
      <c r="DMH2">
        <f>IF(COUNT(zip_med_inc_updated!DMH$2:DMH$4)=0,"",AVERAGE(zip_med_inc_updated!DMH$2:DMH$4))</f>
        <v>65277.666666666664</v>
      </c>
      <c r="DMI2">
        <f>IF(COUNT(zip_med_inc_updated!DMI$2:DMI$4)=0,"",AVERAGE(zip_med_inc_updated!DMI$2:DMI$4))</f>
        <v>18893.5</v>
      </c>
      <c r="DMJ2" t="str">
        <f>IF(COUNT(zip_med_inc_updated!DMJ$2:DMJ$4)=0,"",AVERAGE(zip_med_inc_updated!DMJ$2:DMJ$4))</f>
        <v/>
      </c>
      <c r="DMK2">
        <f>IF(COUNT(zip_med_inc_updated!DMK$2:DMK$4)=0,"",AVERAGE(zip_med_inc_updated!DMK$2:DMK$4))</f>
        <v>23158.5</v>
      </c>
      <c r="DML2">
        <f>IF(COUNT(zip_med_inc_updated!DML$2:DML$4)=0,"",AVERAGE(zip_med_inc_updated!DML$2:DML$4))</f>
        <v>27159</v>
      </c>
      <c r="DMM2">
        <f>IF(COUNT(zip_med_inc_updated!DMM$2:DMM$4)=0,"",AVERAGE(zip_med_inc_updated!DMM$2:DMM$4))</f>
        <v>28597.666666666668</v>
      </c>
      <c r="DMN2" t="str">
        <f>IF(COUNT(zip_med_inc_updated!DMN$2:DMN$4)=0,"",AVERAGE(zip_med_inc_updated!DMN$2:DMN$4))</f>
        <v/>
      </c>
      <c r="DMO2" t="str">
        <f>IF(COUNT(zip_med_inc_updated!DMO$2:DMO$4)=0,"",AVERAGE(zip_med_inc_updated!DMO$2:DMO$4))</f>
        <v/>
      </c>
      <c r="DMP2">
        <f>IF(COUNT(zip_med_inc_updated!DMP$2:DMP$4)=0,"",AVERAGE(zip_med_inc_updated!DMP$2:DMP$4))</f>
        <v>38276.5</v>
      </c>
      <c r="DMQ2">
        <f>IF(COUNT(zip_med_inc_updated!DMQ$2:DMQ$4)=0,"",AVERAGE(zip_med_inc_updated!DMQ$2:DMQ$4))</f>
        <v>30617.333333333332</v>
      </c>
      <c r="DMR2" t="str">
        <f>IF(COUNT(zip_med_inc_updated!DMR$2:DMR$4)=0,"",AVERAGE(zip_med_inc_updated!DMR$2:DMR$4))</f>
        <v/>
      </c>
      <c r="DMS2">
        <f>IF(COUNT(zip_med_inc_updated!DMS$2:DMS$4)=0,"",AVERAGE(zip_med_inc_updated!DMS$2:DMS$4))</f>
        <v>56586</v>
      </c>
      <c r="DMT2">
        <f>IF(COUNT(zip_med_inc_updated!DMT$2:DMT$4)=0,"",AVERAGE(zip_med_inc_updated!DMT$2:DMT$4))</f>
        <v>44325.333333333336</v>
      </c>
      <c r="DMU2">
        <f>IF(COUNT(zip_med_inc_updated!DMU$2:DMU$4)=0,"",AVERAGE(zip_med_inc_updated!DMU$2:DMU$4))</f>
        <v>44996</v>
      </c>
      <c r="DMV2">
        <f>IF(COUNT(zip_med_inc_updated!DMV$2:DMV$4)=0,"",AVERAGE(zip_med_inc_updated!DMV$2:DMV$4))</f>
        <v>28870</v>
      </c>
      <c r="DMW2">
        <f>IF(COUNT(zip_med_inc_updated!DMW$2:DMW$4)=0,"",AVERAGE(zip_med_inc_updated!DMW$2:DMW$4))</f>
        <v>40000</v>
      </c>
      <c r="DMX2">
        <f>IF(COUNT(zip_med_inc_updated!DMX$2:DMX$4)=0,"",AVERAGE(zip_med_inc_updated!DMX$2:DMX$4))</f>
        <v>61895</v>
      </c>
      <c r="DMY2" t="str">
        <f>IF(COUNT(zip_med_inc_updated!DMY$2:DMY$4)=0,"",AVERAGE(zip_med_inc_updated!DMY$2:DMY$4))</f>
        <v/>
      </c>
      <c r="DMZ2" t="str">
        <f>IF(COUNT(zip_med_inc_updated!DMZ$2:DMZ$4)=0,"",AVERAGE(zip_med_inc_updated!DMZ$2:DMZ$4))</f>
        <v/>
      </c>
      <c r="DNA2" t="str">
        <f>IF(COUNT(zip_med_inc_updated!DNA$2:DNA$4)=0,"",AVERAGE(zip_med_inc_updated!DNA$2:DNA$4))</f>
        <v/>
      </c>
      <c r="DNB2">
        <f>IF(COUNT(zip_med_inc_updated!DNB$2:DNB$4)=0,"",AVERAGE(zip_med_inc_updated!DNB$2:DNB$4))</f>
        <v>25829</v>
      </c>
      <c r="DNC2">
        <f>IF(COUNT(zip_med_inc_updated!DNC$2:DNC$4)=0,"",AVERAGE(zip_med_inc_updated!DNC$2:DNC$4))</f>
        <v>41684</v>
      </c>
      <c r="DND2">
        <f>IF(COUNT(zip_med_inc_updated!DND$2:DND$4)=0,"",AVERAGE(zip_med_inc_updated!DND$2:DND$4))</f>
        <v>125297</v>
      </c>
      <c r="DNE2">
        <f>IF(COUNT(zip_med_inc_updated!DNE$2:DNE$4)=0,"",AVERAGE(zip_med_inc_updated!DNE$2:DNE$4))</f>
        <v>77571.333333333328</v>
      </c>
      <c r="DNF2" t="str">
        <f>IF(COUNT(zip_med_inc_updated!DNF$2:DNF$4)=0,"",AVERAGE(zip_med_inc_updated!DNF$2:DNF$4))</f>
        <v/>
      </c>
      <c r="DNG2">
        <f>IF(COUNT(zip_med_inc_updated!DNG$2:DNG$4)=0,"",AVERAGE(zip_med_inc_updated!DNG$2:DNG$4))</f>
        <v>53786.666666666664</v>
      </c>
      <c r="DNH2">
        <f>IF(COUNT(zip_med_inc_updated!DNH$2:DNH$4)=0,"",AVERAGE(zip_med_inc_updated!DNH$2:DNH$4))</f>
        <v>19632</v>
      </c>
      <c r="DNI2">
        <f>IF(COUNT(zip_med_inc_updated!DNI$2:DNI$4)=0,"",AVERAGE(zip_med_inc_updated!DNI$2:DNI$4))</f>
        <v>40537.5</v>
      </c>
      <c r="DNJ2">
        <f>IF(COUNT(zip_med_inc_updated!DNJ$2:DNJ$4)=0,"",AVERAGE(zip_med_inc_updated!DNJ$2:DNJ$4))</f>
        <v>52291.333333333336</v>
      </c>
      <c r="DNK2">
        <f>IF(COUNT(zip_med_inc_updated!DNK$2:DNK$4)=0,"",AVERAGE(zip_med_inc_updated!DNK$2:DNK$4))</f>
        <v>61917</v>
      </c>
      <c r="DNL2">
        <f>IF(COUNT(zip_med_inc_updated!DNL$2:DNL$4)=0,"",AVERAGE(zip_med_inc_updated!DNL$2:DNL$4))</f>
        <v>39162</v>
      </c>
      <c r="DNM2">
        <f>IF(COUNT(zip_med_inc_updated!DNM$2:DNM$4)=0,"",AVERAGE(zip_med_inc_updated!DNM$2:DNM$4))</f>
        <v>32581.333333333332</v>
      </c>
      <c r="DNN2" t="str">
        <f>IF(COUNT(zip_med_inc_updated!DNN$2:DNN$4)=0,"",AVERAGE(zip_med_inc_updated!DNN$2:DNN$4))</f>
        <v/>
      </c>
      <c r="DNO2">
        <f>IF(COUNT(zip_med_inc_updated!DNO$2:DNO$4)=0,"",AVERAGE(zip_med_inc_updated!DNO$2:DNO$4))</f>
        <v>25207.333333333332</v>
      </c>
      <c r="DNP2">
        <f>IF(COUNT(zip_med_inc_updated!DNP$2:DNP$4)=0,"",AVERAGE(zip_med_inc_updated!DNP$2:DNP$4))</f>
        <v>50833</v>
      </c>
      <c r="DNQ2">
        <f>IF(COUNT(zip_med_inc_updated!DNQ$2:DNQ$4)=0,"",AVERAGE(zip_med_inc_updated!DNQ$2:DNQ$4))</f>
        <v>2499</v>
      </c>
      <c r="DNR2">
        <f>IF(COUNT(zip_med_inc_updated!DNR$2:DNR$4)=0,"",AVERAGE(zip_med_inc_updated!DNR$2:DNR$4))</f>
        <v>61875</v>
      </c>
      <c r="DNS2">
        <f>IF(COUNT(zip_med_inc_updated!DNS$2:DNS$4)=0,"",AVERAGE(zip_med_inc_updated!DNS$2:DNS$4))</f>
        <v>25503</v>
      </c>
      <c r="DNT2">
        <f>IF(COUNT(zip_med_inc_updated!DNT$2:DNT$4)=0,"",AVERAGE(zip_med_inc_updated!DNT$2:DNT$4))</f>
        <v>36898</v>
      </c>
      <c r="DNU2" t="str">
        <f>IF(COUNT(zip_med_inc_updated!DNU$2:DNU$4)=0,"",AVERAGE(zip_med_inc_updated!DNU$2:DNU$4))</f>
        <v/>
      </c>
      <c r="DNV2">
        <f>IF(COUNT(zip_med_inc_updated!DNV$2:DNV$4)=0,"",AVERAGE(zip_med_inc_updated!DNV$2:DNV$4))</f>
        <v>42549</v>
      </c>
      <c r="DNW2">
        <f>IF(COUNT(zip_med_inc_updated!DNW$2:DNW$4)=0,"",AVERAGE(zip_med_inc_updated!DNW$2:DNW$4))</f>
        <v>13907</v>
      </c>
      <c r="DNX2">
        <f>IF(COUNT(zip_med_inc_updated!DNX$2:DNX$4)=0,"",AVERAGE(zip_med_inc_updated!DNX$2:DNX$4))</f>
        <v>25378.333333333332</v>
      </c>
      <c r="DNY2" t="str">
        <f>IF(COUNT(zip_med_inc_updated!DNY$2:DNY$4)=0,"",AVERAGE(zip_med_inc_updated!DNY$2:DNY$4))</f>
        <v/>
      </c>
      <c r="DNZ2">
        <f>IF(COUNT(zip_med_inc_updated!DNZ$2:DNZ$4)=0,"",AVERAGE(zip_med_inc_updated!DNZ$2:DNZ$4))</f>
        <v>40241.5</v>
      </c>
      <c r="DOA2" t="str">
        <f>IF(COUNT(zip_med_inc_updated!DOA$2:DOA$4)=0,"",AVERAGE(zip_med_inc_updated!DOA$2:DOA$4))</f>
        <v/>
      </c>
      <c r="DOB2">
        <f>IF(COUNT(zip_med_inc_updated!DOB$2:DOB$4)=0,"",AVERAGE(zip_med_inc_updated!DOB$2:DOB$4))</f>
        <v>32864.5</v>
      </c>
      <c r="DOC2">
        <f>IF(COUNT(zip_med_inc_updated!DOC$2:DOC$4)=0,"",AVERAGE(zip_med_inc_updated!DOC$2:DOC$4))</f>
        <v>28080.666666666668</v>
      </c>
      <c r="DOD2">
        <f>IF(COUNT(zip_med_inc_updated!DOD$2:DOD$4)=0,"",AVERAGE(zip_med_inc_updated!DOD$2:DOD$4))</f>
        <v>41192</v>
      </c>
      <c r="DOE2" t="str">
        <f>IF(COUNT(zip_med_inc_updated!DOE$2:DOE$4)=0,"",AVERAGE(zip_med_inc_updated!DOE$2:DOE$4))</f>
        <v/>
      </c>
      <c r="DOF2">
        <f>IF(COUNT(zip_med_inc_updated!DOF$2:DOF$4)=0,"",AVERAGE(zip_med_inc_updated!DOF$2:DOF$4))</f>
        <v>24828.666666666668</v>
      </c>
      <c r="DOG2">
        <f>IF(COUNT(zip_med_inc_updated!DOG$2:DOG$4)=0,"",AVERAGE(zip_med_inc_updated!DOG$2:DOG$4))</f>
        <v>39171</v>
      </c>
      <c r="DOH2">
        <f>IF(COUNT(zip_med_inc_updated!DOH$2:DOH$4)=0,"",AVERAGE(zip_med_inc_updated!DOH$2:DOH$4))</f>
        <v>44315.666666666664</v>
      </c>
      <c r="DOI2">
        <f>IF(COUNT(zip_med_inc_updated!DOI$2:DOI$4)=0,"",AVERAGE(zip_med_inc_updated!DOI$2:DOI$4))</f>
        <v>60028</v>
      </c>
      <c r="DOJ2">
        <f>IF(COUNT(zip_med_inc_updated!DOJ$2:DOJ$4)=0,"",AVERAGE(zip_med_inc_updated!DOJ$2:DOJ$4))</f>
        <v>35151</v>
      </c>
      <c r="DOK2" t="str">
        <f>IF(COUNT(zip_med_inc_updated!DOK$2:DOK$4)=0,"",AVERAGE(zip_med_inc_updated!DOK$2:DOK$4))</f>
        <v/>
      </c>
      <c r="DOL2">
        <f>IF(COUNT(zip_med_inc_updated!DOL$2:DOL$4)=0,"",AVERAGE(zip_med_inc_updated!DOL$2:DOL$4))</f>
        <v>47029.666666666664</v>
      </c>
      <c r="DOM2">
        <f>IF(COUNT(zip_med_inc_updated!DOM$2:DOM$4)=0,"",AVERAGE(zip_med_inc_updated!DOM$2:DOM$4))</f>
        <v>36595.5</v>
      </c>
      <c r="DON2">
        <f>IF(COUNT(zip_med_inc_updated!DON$2:DON$4)=0,"",AVERAGE(zip_med_inc_updated!DON$2:DON$4))</f>
        <v>31154</v>
      </c>
      <c r="DOO2">
        <f>IF(COUNT(zip_med_inc_updated!DOO$2:DOO$4)=0,"",AVERAGE(zip_med_inc_updated!DOO$2:DOO$4))</f>
        <v>67921</v>
      </c>
      <c r="DOP2" t="str">
        <f>IF(COUNT(zip_med_inc_updated!DOP$2:DOP$4)=0,"",AVERAGE(zip_med_inc_updated!DOP$2:DOP$4))</f>
        <v/>
      </c>
      <c r="DOQ2">
        <f>IF(COUNT(zip_med_inc_updated!DOQ$2:DOQ$4)=0,"",AVERAGE(zip_med_inc_updated!DOQ$2:DOQ$4))</f>
        <v>83067.333333333328</v>
      </c>
      <c r="DOR2">
        <f>IF(COUNT(zip_med_inc_updated!DOR$2:DOR$4)=0,"",AVERAGE(zip_med_inc_updated!DOR$2:DOR$4))</f>
        <v>58466</v>
      </c>
      <c r="DOS2" t="str">
        <f>IF(COUNT(zip_med_inc_updated!DOS$2:DOS$4)=0,"",AVERAGE(zip_med_inc_updated!DOS$2:DOS$4))</f>
        <v/>
      </c>
      <c r="DOT2">
        <f>IF(COUNT(zip_med_inc_updated!DOT$2:DOT$4)=0,"",AVERAGE(zip_med_inc_updated!DOT$2:DOT$4))</f>
        <v>35610.5</v>
      </c>
      <c r="DOU2">
        <f>IF(COUNT(zip_med_inc_updated!DOU$2:DOU$4)=0,"",AVERAGE(zip_med_inc_updated!DOU$2:DOU$4))</f>
        <v>28503.666666666668</v>
      </c>
      <c r="DOV2">
        <f>IF(COUNT(zip_med_inc_updated!DOV$2:DOV$4)=0,"",AVERAGE(zip_med_inc_updated!DOV$2:DOV$4))</f>
        <v>23193.5</v>
      </c>
      <c r="DOW2" t="str">
        <f>IF(COUNT(zip_med_inc_updated!DOW$2:DOW$4)=0,"",AVERAGE(zip_med_inc_updated!DOW$2:DOW$4))</f>
        <v/>
      </c>
      <c r="DOX2" t="str">
        <f>IF(COUNT(zip_med_inc_updated!DOX$2:DOX$4)=0,"",AVERAGE(zip_med_inc_updated!DOX$2:DOX$4))</f>
        <v/>
      </c>
      <c r="DOY2">
        <f>IF(COUNT(zip_med_inc_updated!DOY$2:DOY$4)=0,"",AVERAGE(zip_med_inc_updated!DOY$2:DOY$4))</f>
        <v>51983.333333333336</v>
      </c>
      <c r="DOZ2">
        <f>IF(COUNT(zip_med_inc_updated!DOZ$2:DOZ$4)=0,"",AVERAGE(zip_med_inc_updated!DOZ$2:DOZ$4))</f>
        <v>38973.666666666664</v>
      </c>
      <c r="DPA2">
        <f>IF(COUNT(zip_med_inc_updated!DPA$2:DPA$4)=0,"",AVERAGE(zip_med_inc_updated!DPA$2:DPA$4))</f>
        <v>43108.666666666664</v>
      </c>
      <c r="DPB2">
        <f>IF(COUNT(zip_med_inc_updated!DPB$2:DPB$4)=0,"",AVERAGE(zip_med_inc_updated!DPB$2:DPB$4))</f>
        <v>73751</v>
      </c>
      <c r="DPC2">
        <f>IF(COUNT(zip_med_inc_updated!DPC$2:DPC$4)=0,"",AVERAGE(zip_med_inc_updated!DPC$2:DPC$4))</f>
        <v>63936</v>
      </c>
      <c r="DPD2">
        <f>IF(COUNT(zip_med_inc_updated!DPD$2:DPD$4)=0,"",AVERAGE(zip_med_inc_updated!DPD$2:DPD$4))</f>
        <v>48523</v>
      </c>
      <c r="DPE2">
        <f>IF(COUNT(zip_med_inc_updated!DPE$2:DPE$4)=0,"",AVERAGE(zip_med_inc_updated!DPE$2:DPE$4))</f>
        <v>44942.333333333336</v>
      </c>
      <c r="DPF2">
        <f>IF(COUNT(zip_med_inc_updated!DPF$2:DPF$4)=0,"",AVERAGE(zip_med_inc_updated!DPF$2:DPF$4))</f>
        <v>53341</v>
      </c>
      <c r="DPG2">
        <f>IF(COUNT(zip_med_inc_updated!DPG$2:DPG$4)=0,"",AVERAGE(zip_med_inc_updated!DPG$2:DPG$4))</f>
        <v>20855</v>
      </c>
      <c r="DPH2">
        <f>IF(COUNT(zip_med_inc_updated!DPH$2:DPH$4)=0,"",AVERAGE(zip_med_inc_updated!DPH$2:DPH$4))</f>
        <v>39154.333333333336</v>
      </c>
      <c r="DPI2">
        <f>IF(COUNT(zip_med_inc_updated!DPI$2:DPI$4)=0,"",AVERAGE(zip_med_inc_updated!DPI$2:DPI$4))</f>
        <v>39916.333333333336</v>
      </c>
      <c r="DPJ2">
        <f>IF(COUNT(zip_med_inc_updated!DPJ$2:DPJ$4)=0,"",AVERAGE(zip_med_inc_updated!DPJ$2:DPJ$4))</f>
        <v>38171.5</v>
      </c>
      <c r="DPK2">
        <f>IF(COUNT(zip_med_inc_updated!DPK$2:DPK$4)=0,"",AVERAGE(zip_med_inc_updated!DPK$2:DPK$4))</f>
        <v>77366.666666666672</v>
      </c>
      <c r="DPL2">
        <f>IF(COUNT(zip_med_inc_updated!DPL$2:DPL$4)=0,"",AVERAGE(zip_med_inc_updated!DPL$2:DPL$4))</f>
        <v>58199</v>
      </c>
      <c r="DPM2">
        <f>IF(COUNT(zip_med_inc_updated!DPM$2:DPM$4)=0,"",AVERAGE(zip_med_inc_updated!DPM$2:DPM$4))</f>
        <v>84102.333333333328</v>
      </c>
      <c r="DPN2">
        <f>IF(COUNT(zip_med_inc_updated!DPN$2:DPN$4)=0,"",AVERAGE(zip_med_inc_updated!DPN$2:DPN$4))</f>
        <v>61192</v>
      </c>
      <c r="DPO2">
        <f>IF(COUNT(zip_med_inc_updated!DPO$2:DPO$4)=0,"",AVERAGE(zip_med_inc_updated!DPO$2:DPO$4))</f>
        <v>45393</v>
      </c>
      <c r="DPP2">
        <f>IF(COUNT(zip_med_inc_updated!DPP$2:DPP$4)=0,"",AVERAGE(zip_med_inc_updated!DPP$2:DPP$4))</f>
        <v>61819.333333333336</v>
      </c>
      <c r="DPQ2">
        <f>IF(COUNT(zip_med_inc_updated!DPQ$2:DPQ$4)=0,"",AVERAGE(zip_med_inc_updated!DPQ$2:DPQ$4))</f>
        <v>67237.333333333328</v>
      </c>
      <c r="DPR2">
        <f>IF(COUNT(zip_med_inc_updated!DPR$2:DPR$4)=0,"",AVERAGE(zip_med_inc_updated!DPR$2:DPR$4))</f>
        <v>38186</v>
      </c>
      <c r="DPS2" t="str">
        <f>IF(COUNT(zip_med_inc_updated!DPS$2:DPS$4)=0,"",AVERAGE(zip_med_inc_updated!DPS$2:DPS$4))</f>
        <v/>
      </c>
      <c r="DPT2" t="str">
        <f>IF(COUNT(zip_med_inc_updated!DPT$2:DPT$4)=0,"",AVERAGE(zip_med_inc_updated!DPT$2:DPT$4))</f>
        <v/>
      </c>
      <c r="DPU2">
        <f>IF(COUNT(zip_med_inc_updated!DPU$2:DPU$4)=0,"",AVERAGE(zip_med_inc_updated!DPU$2:DPU$4))</f>
        <v>52680.666666666664</v>
      </c>
      <c r="DPV2">
        <f>IF(COUNT(zip_med_inc_updated!DPV$2:DPV$4)=0,"",AVERAGE(zip_med_inc_updated!DPV$2:DPV$4))</f>
        <v>58255.666666666664</v>
      </c>
      <c r="DPW2">
        <f>IF(COUNT(zip_med_inc_updated!DPW$2:DPW$4)=0,"",AVERAGE(zip_med_inc_updated!DPW$2:DPW$4))</f>
        <v>44471.666666666664</v>
      </c>
      <c r="DPX2">
        <f>IF(COUNT(zip_med_inc_updated!DPX$2:DPX$4)=0,"",AVERAGE(zip_med_inc_updated!DPX$2:DPX$4))</f>
        <v>21720</v>
      </c>
      <c r="DPY2">
        <f>IF(COUNT(zip_med_inc_updated!DPY$2:DPY$4)=0,"",AVERAGE(zip_med_inc_updated!DPY$2:DPY$4))</f>
        <v>43455.333333333336</v>
      </c>
      <c r="DPZ2">
        <f>IF(COUNT(zip_med_inc_updated!DPZ$2:DPZ$4)=0,"",AVERAGE(zip_med_inc_updated!DPZ$2:DPZ$4))</f>
        <v>59570.666666666664</v>
      </c>
      <c r="DQA2">
        <f>IF(COUNT(zip_med_inc_updated!DQA$2:DQA$4)=0,"",AVERAGE(zip_med_inc_updated!DQA$2:DQA$4))</f>
        <v>130585</v>
      </c>
      <c r="DQB2">
        <f>IF(COUNT(zip_med_inc_updated!DQB$2:DQB$4)=0,"",AVERAGE(zip_med_inc_updated!DQB$2:DQB$4))</f>
        <v>46472.333333333336</v>
      </c>
      <c r="DQC2">
        <f>IF(COUNT(zip_med_inc_updated!DQC$2:DQC$4)=0,"",AVERAGE(zip_med_inc_updated!DQC$2:DQC$4))</f>
        <v>38889</v>
      </c>
      <c r="DQD2">
        <f>IF(COUNT(zip_med_inc_updated!DQD$2:DQD$4)=0,"",AVERAGE(zip_med_inc_updated!DQD$2:DQD$4))</f>
        <v>75104</v>
      </c>
      <c r="DQE2">
        <f>IF(COUNT(zip_med_inc_updated!DQE$2:DQE$4)=0,"",AVERAGE(zip_med_inc_updated!DQE$2:DQE$4))</f>
        <v>47536.666666666664</v>
      </c>
      <c r="DQF2">
        <f>IF(COUNT(zip_med_inc_updated!DQF$2:DQF$4)=0,"",AVERAGE(zip_med_inc_updated!DQF$2:DQF$4))</f>
        <v>53950.666666666664</v>
      </c>
      <c r="DQG2" t="str">
        <f>IF(COUNT(zip_med_inc_updated!DQG$2:DQG$4)=0,"",AVERAGE(zip_med_inc_updated!DQG$2:DQG$4))</f>
        <v/>
      </c>
      <c r="DQH2" t="str">
        <f>IF(COUNT(zip_med_inc_updated!DQH$2:DQH$4)=0,"",AVERAGE(zip_med_inc_updated!DQH$2:DQH$4))</f>
        <v/>
      </c>
      <c r="DQI2">
        <f>IF(COUNT(zip_med_inc_updated!DQI$2:DQI$4)=0,"",AVERAGE(zip_med_inc_updated!DQI$2:DQI$4))</f>
        <v>60685.333333333336</v>
      </c>
      <c r="DQJ2">
        <f>IF(COUNT(zip_med_inc_updated!DQJ$2:DQJ$4)=0,"",AVERAGE(zip_med_inc_updated!DQJ$2:DQJ$4))</f>
        <v>43750</v>
      </c>
      <c r="DQK2">
        <f>IF(COUNT(zip_med_inc_updated!DQK$2:DQK$4)=0,"",AVERAGE(zip_med_inc_updated!DQK$2:DQK$4))</f>
        <v>34215.333333333336</v>
      </c>
      <c r="DQL2" t="str">
        <f>IF(COUNT(zip_med_inc_updated!DQL$2:DQL$4)=0,"",AVERAGE(zip_med_inc_updated!DQL$2:DQL$4))</f>
        <v/>
      </c>
      <c r="DQM2">
        <f>IF(COUNT(zip_med_inc_updated!DQM$2:DQM$4)=0,"",AVERAGE(zip_med_inc_updated!DQM$2:DQM$4))</f>
        <v>49756</v>
      </c>
      <c r="DQN2">
        <f>IF(COUNT(zip_med_inc_updated!DQN$2:DQN$4)=0,"",AVERAGE(zip_med_inc_updated!DQN$2:DQN$4))</f>
        <v>80521</v>
      </c>
      <c r="DQO2">
        <f>IF(COUNT(zip_med_inc_updated!DQO$2:DQO$4)=0,"",AVERAGE(zip_med_inc_updated!DQO$2:DQO$4))</f>
        <v>52074.666666666664</v>
      </c>
      <c r="DQP2">
        <f>IF(COUNT(zip_med_inc_updated!DQP$2:DQP$4)=0,"",AVERAGE(zip_med_inc_updated!DQP$2:DQP$4))</f>
        <v>31820.333333333332</v>
      </c>
      <c r="DQQ2" t="str">
        <f>IF(COUNT(zip_med_inc_updated!DQQ$2:DQQ$4)=0,"",AVERAGE(zip_med_inc_updated!DQQ$2:DQQ$4))</f>
        <v/>
      </c>
      <c r="DQR2">
        <f>IF(COUNT(zip_med_inc_updated!DQR$2:DQR$4)=0,"",AVERAGE(zip_med_inc_updated!DQR$2:DQR$4))</f>
        <v>40441</v>
      </c>
      <c r="DQS2">
        <f>IF(COUNT(zip_med_inc_updated!DQS$2:DQS$4)=0,"",AVERAGE(zip_med_inc_updated!DQS$2:DQS$4))</f>
        <v>24097</v>
      </c>
      <c r="DQT2">
        <f>IF(COUNT(zip_med_inc_updated!DQT$2:DQT$4)=0,"",AVERAGE(zip_med_inc_updated!DQT$2:DQT$4))</f>
        <v>91250</v>
      </c>
      <c r="DQU2">
        <f>IF(COUNT(zip_med_inc_updated!DQU$2:DQU$4)=0,"",AVERAGE(zip_med_inc_updated!DQU$2:DQU$4))</f>
        <v>48667</v>
      </c>
      <c r="DQV2">
        <f>IF(COUNT(zip_med_inc_updated!DQV$2:DQV$4)=0,"",AVERAGE(zip_med_inc_updated!DQV$2:DQV$4))</f>
        <v>66699.333333333328</v>
      </c>
      <c r="DQW2">
        <f>IF(COUNT(zip_med_inc_updated!DQW$2:DQW$4)=0,"",AVERAGE(zip_med_inc_updated!DQW$2:DQW$4))</f>
        <v>37842</v>
      </c>
      <c r="DQX2">
        <f>IF(COUNT(zip_med_inc_updated!DQX$2:DQX$4)=0,"",AVERAGE(zip_med_inc_updated!DQX$2:DQX$4))</f>
        <v>61316.333333333336</v>
      </c>
      <c r="DQY2">
        <f>IF(COUNT(zip_med_inc_updated!DQY$2:DQY$4)=0,"",AVERAGE(zip_med_inc_updated!DQY$2:DQY$4))</f>
        <v>58962.333333333336</v>
      </c>
      <c r="DQZ2">
        <f>IF(COUNT(zip_med_inc_updated!DQZ$2:DQZ$4)=0,"",AVERAGE(zip_med_inc_updated!DQZ$2:DQZ$4))</f>
        <v>57788.5</v>
      </c>
      <c r="DRA2">
        <f>IF(COUNT(zip_med_inc_updated!DRA$2:DRA$4)=0,"",AVERAGE(zip_med_inc_updated!DRA$2:DRA$4))</f>
        <v>52624</v>
      </c>
      <c r="DRB2">
        <f>IF(COUNT(zip_med_inc_updated!DRB$2:DRB$4)=0,"",AVERAGE(zip_med_inc_updated!DRB$2:DRB$4))</f>
        <v>91519.5</v>
      </c>
      <c r="DRC2" t="str">
        <f>IF(COUNT(zip_med_inc_updated!DRC$2:DRC$4)=0,"",AVERAGE(zip_med_inc_updated!DRC$2:DRC$4))</f>
        <v/>
      </c>
      <c r="DRD2">
        <f>IF(COUNT(zip_med_inc_updated!DRD$2:DRD$4)=0,"",AVERAGE(zip_med_inc_updated!DRD$2:DRD$4))</f>
        <v>56601.333333333336</v>
      </c>
      <c r="DRE2">
        <f>IF(COUNT(zip_med_inc_updated!DRE$2:DRE$4)=0,"",AVERAGE(zip_med_inc_updated!DRE$2:DRE$4))</f>
        <v>46091.666666666664</v>
      </c>
      <c r="DRF2">
        <f>IF(COUNT(zip_med_inc_updated!DRF$2:DRF$4)=0,"",AVERAGE(zip_med_inc_updated!DRF$2:DRF$4))</f>
        <v>34981.333333333336</v>
      </c>
      <c r="DRG2">
        <f>IF(COUNT(zip_med_inc_updated!DRG$2:DRG$4)=0,"",AVERAGE(zip_med_inc_updated!DRG$2:DRG$4))</f>
        <v>41179</v>
      </c>
      <c r="DRH2">
        <f>IF(COUNT(zip_med_inc_updated!DRH$2:DRH$4)=0,"",AVERAGE(zip_med_inc_updated!DRH$2:DRH$4))</f>
        <v>59194.333333333336</v>
      </c>
      <c r="DRI2">
        <f>IF(COUNT(zip_med_inc_updated!DRI$2:DRI$4)=0,"",AVERAGE(zip_med_inc_updated!DRI$2:DRI$4))</f>
        <v>57634.666666666664</v>
      </c>
      <c r="DRJ2">
        <f>IF(COUNT(zip_med_inc_updated!DRJ$2:DRJ$4)=0,"",AVERAGE(zip_med_inc_updated!DRJ$2:DRJ$4))</f>
        <v>60283.666666666664</v>
      </c>
      <c r="DRK2">
        <f>IF(COUNT(zip_med_inc_updated!DRK$2:DRK$4)=0,"",AVERAGE(zip_med_inc_updated!DRK$2:DRK$4))</f>
        <v>82716</v>
      </c>
      <c r="DRL2" t="str">
        <f>IF(COUNT(zip_med_inc_updated!DRL$2:DRL$4)=0,"",AVERAGE(zip_med_inc_updated!DRL$2:DRL$4))</f>
        <v/>
      </c>
      <c r="DRM2">
        <f>IF(COUNT(zip_med_inc_updated!DRM$2:DRM$4)=0,"",AVERAGE(zip_med_inc_updated!DRM$2:DRM$4))</f>
        <v>94949.666666666672</v>
      </c>
      <c r="DRN2" t="str">
        <f>IF(COUNT(zip_med_inc_updated!DRN$2:DRN$4)=0,"",AVERAGE(zip_med_inc_updated!DRN$2:DRN$4))</f>
        <v/>
      </c>
      <c r="DRO2">
        <f>IF(COUNT(zip_med_inc_updated!DRO$2:DRO$4)=0,"",AVERAGE(zip_med_inc_updated!DRO$2:DRO$4))</f>
        <v>67921.333333333328</v>
      </c>
      <c r="DRP2" t="str">
        <f>IF(COUNT(zip_med_inc_updated!DRP$2:DRP$4)=0,"",AVERAGE(zip_med_inc_updated!DRP$2:DRP$4))</f>
        <v/>
      </c>
      <c r="DRQ2">
        <f>IF(COUNT(zip_med_inc_updated!DRQ$2:DRQ$4)=0,"",AVERAGE(zip_med_inc_updated!DRQ$2:DRQ$4))</f>
        <v>46821</v>
      </c>
      <c r="DRR2">
        <f>IF(COUNT(zip_med_inc_updated!DRR$2:DRR$4)=0,"",AVERAGE(zip_med_inc_updated!DRR$2:DRR$4))</f>
        <v>52692.666666666664</v>
      </c>
      <c r="DRS2">
        <f>IF(COUNT(zip_med_inc_updated!DRS$2:DRS$4)=0,"",AVERAGE(zip_med_inc_updated!DRS$2:DRS$4))</f>
        <v>65514</v>
      </c>
      <c r="DRT2">
        <f>IF(COUNT(zip_med_inc_updated!DRT$2:DRT$4)=0,"",AVERAGE(zip_med_inc_updated!DRT$2:DRT$4))</f>
        <v>75510</v>
      </c>
      <c r="DRU2">
        <f>IF(COUNT(zip_med_inc_updated!DRU$2:DRU$4)=0,"",AVERAGE(zip_med_inc_updated!DRU$2:DRU$4))</f>
        <v>62657.333333333336</v>
      </c>
      <c r="DRV2">
        <f>IF(COUNT(zip_med_inc_updated!DRV$2:DRV$4)=0,"",AVERAGE(zip_med_inc_updated!DRV$2:DRV$4))</f>
        <v>46584.5</v>
      </c>
      <c r="DRW2" t="str">
        <f>IF(COUNT(zip_med_inc_updated!DRW$2:DRW$4)=0,"",AVERAGE(zip_med_inc_updated!DRW$2:DRW$4))</f>
        <v/>
      </c>
      <c r="DRX2">
        <f>IF(COUNT(zip_med_inc_updated!DRX$2:DRX$4)=0,"",AVERAGE(zip_med_inc_updated!DRX$2:DRX$4))</f>
        <v>96580</v>
      </c>
      <c r="DRY2">
        <f>IF(COUNT(zip_med_inc_updated!DRY$2:DRY$4)=0,"",AVERAGE(zip_med_inc_updated!DRY$2:DRY$4))</f>
        <v>73263.666666666672</v>
      </c>
      <c r="DRZ2">
        <f>IF(COUNT(zip_med_inc_updated!DRZ$2:DRZ$4)=0,"",AVERAGE(zip_med_inc_updated!DRZ$2:DRZ$4))</f>
        <v>31034</v>
      </c>
      <c r="DSA2">
        <f>IF(COUNT(zip_med_inc_updated!DSA$2:DSA$4)=0,"",AVERAGE(zip_med_inc_updated!DSA$2:DSA$4))</f>
        <v>30594</v>
      </c>
      <c r="DSB2">
        <f>IF(COUNT(zip_med_inc_updated!DSB$2:DSB$4)=0,"",AVERAGE(zip_med_inc_updated!DSB$2:DSB$4))</f>
        <v>51346</v>
      </c>
      <c r="DSC2">
        <f>IF(COUNT(zip_med_inc_updated!DSC$2:DSC$4)=0,"",AVERAGE(zip_med_inc_updated!DSC$2:DSC$4))</f>
        <v>41042</v>
      </c>
      <c r="DSD2">
        <f>IF(COUNT(zip_med_inc_updated!DSD$2:DSD$4)=0,"",AVERAGE(zip_med_inc_updated!DSD$2:DSD$4))</f>
        <v>34161.666666666664</v>
      </c>
      <c r="DSE2" t="str">
        <f>IF(COUNT(zip_med_inc_updated!DSE$2:DSE$4)=0,"",AVERAGE(zip_med_inc_updated!DSE$2:DSE$4))</f>
        <v/>
      </c>
      <c r="DSF2">
        <f>IF(COUNT(zip_med_inc_updated!DSF$2:DSF$4)=0,"",AVERAGE(zip_med_inc_updated!DSF$2:DSF$4))</f>
        <v>86050</v>
      </c>
      <c r="DSG2">
        <f>IF(COUNT(zip_med_inc_updated!DSG$2:DSG$4)=0,"",AVERAGE(zip_med_inc_updated!DSG$2:DSG$4))</f>
        <v>32069.5</v>
      </c>
      <c r="DSH2" t="str">
        <f>IF(COUNT(zip_med_inc_updated!DSH$2:DSH$4)=0,"",AVERAGE(zip_med_inc_updated!DSH$2:DSH$4))</f>
        <v/>
      </c>
      <c r="DSI2">
        <f>IF(COUNT(zip_med_inc_updated!DSI$2:DSI$4)=0,"",AVERAGE(zip_med_inc_updated!DSI$2:DSI$4))</f>
        <v>62599.5</v>
      </c>
      <c r="DSJ2">
        <f>IF(COUNT(zip_med_inc_updated!DSJ$2:DSJ$4)=0,"",AVERAGE(zip_med_inc_updated!DSJ$2:DSJ$4))</f>
        <v>74874.666666666672</v>
      </c>
      <c r="DSK2">
        <f>IF(COUNT(zip_med_inc_updated!DSK$2:DSK$4)=0,"",AVERAGE(zip_med_inc_updated!DSK$2:DSK$4))</f>
        <v>36795.333333333336</v>
      </c>
      <c r="DSL2">
        <f>IF(COUNT(zip_med_inc_updated!DSL$2:DSL$4)=0,"",AVERAGE(zip_med_inc_updated!DSL$2:DSL$4))</f>
        <v>54375</v>
      </c>
      <c r="DSM2">
        <f>IF(COUNT(zip_med_inc_updated!DSM$2:DSM$4)=0,"",AVERAGE(zip_med_inc_updated!DSM$2:DSM$4))</f>
        <v>56591</v>
      </c>
      <c r="DSN2" t="str">
        <f>IF(COUNT(zip_med_inc_updated!DSN$2:DSN$4)=0,"",AVERAGE(zip_med_inc_updated!DSN$2:DSN$4))</f>
        <v/>
      </c>
      <c r="DSO2">
        <f>IF(COUNT(zip_med_inc_updated!DSO$2:DSO$4)=0,"",AVERAGE(zip_med_inc_updated!DSO$2:DSO$4))</f>
        <v>32687.5</v>
      </c>
      <c r="DSP2">
        <f>IF(COUNT(zip_med_inc_updated!DSP$2:DSP$4)=0,"",AVERAGE(zip_med_inc_updated!DSP$2:DSP$4))</f>
        <v>14325</v>
      </c>
      <c r="DSQ2">
        <f>IF(COUNT(zip_med_inc_updated!DSQ$2:DSQ$4)=0,"",AVERAGE(zip_med_inc_updated!DSQ$2:DSQ$4))</f>
        <v>38319</v>
      </c>
      <c r="DSR2">
        <f>IF(COUNT(zip_med_inc_updated!DSR$2:DSR$4)=0,"",AVERAGE(zip_med_inc_updated!DSR$2:DSR$4))</f>
        <v>12632</v>
      </c>
      <c r="DSS2" t="str">
        <f>IF(COUNT(zip_med_inc_updated!DSS$2:DSS$4)=0,"",AVERAGE(zip_med_inc_updated!DSS$2:DSS$4))</f>
        <v/>
      </c>
      <c r="DST2">
        <f>IF(COUNT(zip_med_inc_updated!DST$2:DST$4)=0,"",AVERAGE(zip_med_inc_updated!DST$2:DST$4))</f>
        <v>55932.333333333336</v>
      </c>
      <c r="DSU2">
        <f>IF(COUNT(zip_med_inc_updated!DSU$2:DSU$4)=0,"",AVERAGE(zip_med_inc_updated!DSU$2:DSU$4))</f>
        <v>56034</v>
      </c>
      <c r="DSV2">
        <f>IF(COUNT(zip_med_inc_updated!DSV$2:DSV$4)=0,"",AVERAGE(zip_med_inc_updated!DSV$2:DSV$4))</f>
        <v>46065</v>
      </c>
      <c r="DSW2">
        <f>IF(COUNT(zip_med_inc_updated!DSW$2:DSW$4)=0,"",AVERAGE(zip_med_inc_updated!DSW$2:DSW$4))</f>
        <v>65340.333333333336</v>
      </c>
      <c r="DSX2">
        <f>IF(COUNT(zip_med_inc_updated!DSX$2:DSX$4)=0,"",AVERAGE(zip_med_inc_updated!DSX$2:DSX$4))</f>
        <v>38488</v>
      </c>
      <c r="DSY2">
        <f>IF(COUNT(zip_med_inc_updated!DSY$2:DSY$4)=0,"",AVERAGE(zip_med_inc_updated!DSY$2:DSY$4))</f>
        <v>53086</v>
      </c>
      <c r="DSZ2">
        <f>IF(COUNT(zip_med_inc_updated!DSZ$2:DSZ$4)=0,"",AVERAGE(zip_med_inc_updated!DSZ$2:DSZ$4))</f>
        <v>44258.333333333336</v>
      </c>
      <c r="DTA2">
        <f>IF(COUNT(zip_med_inc_updated!DTA$2:DTA$4)=0,"",AVERAGE(zip_med_inc_updated!DTA$2:DTA$4))</f>
        <v>32886.333333333336</v>
      </c>
      <c r="DTB2">
        <f>IF(COUNT(zip_med_inc_updated!DTB$2:DTB$4)=0,"",AVERAGE(zip_med_inc_updated!DTB$2:DTB$4))</f>
        <v>150366</v>
      </c>
      <c r="DTC2">
        <f>IF(COUNT(zip_med_inc_updated!DTC$2:DTC$4)=0,"",AVERAGE(zip_med_inc_updated!DTC$2:DTC$4))</f>
        <v>30287.333333333332</v>
      </c>
      <c r="DTD2">
        <f>IF(COUNT(zip_med_inc_updated!DTD$2:DTD$4)=0,"",AVERAGE(zip_med_inc_updated!DTD$2:DTD$4))</f>
        <v>122992</v>
      </c>
      <c r="DTE2">
        <f>IF(COUNT(zip_med_inc_updated!DTE$2:DTE$4)=0,"",AVERAGE(zip_med_inc_updated!DTE$2:DTE$4))</f>
        <v>23968.5</v>
      </c>
      <c r="DTF2">
        <f>IF(COUNT(zip_med_inc_updated!DTF$2:DTF$4)=0,"",AVERAGE(zip_med_inc_updated!DTF$2:DTF$4))</f>
        <v>68910.333333333328</v>
      </c>
      <c r="DTG2">
        <f>IF(COUNT(zip_med_inc_updated!DTG$2:DTG$4)=0,"",AVERAGE(zip_med_inc_updated!DTG$2:DTG$4))</f>
        <v>80789.666666666672</v>
      </c>
      <c r="DTH2">
        <f>IF(COUNT(zip_med_inc_updated!DTH$2:DTH$4)=0,"",AVERAGE(zip_med_inc_updated!DTH$2:DTH$4))</f>
        <v>54469</v>
      </c>
      <c r="DTI2">
        <f>IF(COUNT(zip_med_inc_updated!DTI$2:DTI$4)=0,"",AVERAGE(zip_med_inc_updated!DTI$2:DTI$4))</f>
        <v>80130</v>
      </c>
      <c r="DTJ2" t="str">
        <f>IF(COUNT(zip_med_inc_updated!DTJ$2:DTJ$4)=0,"",AVERAGE(zip_med_inc_updated!DTJ$2:DTJ$4))</f>
        <v/>
      </c>
      <c r="DTK2">
        <f>IF(COUNT(zip_med_inc_updated!DTK$2:DTK$4)=0,"",AVERAGE(zip_med_inc_updated!DTK$2:DTK$4))</f>
        <v>54313</v>
      </c>
      <c r="DTL2">
        <f>IF(COUNT(zip_med_inc_updated!DTL$2:DTL$4)=0,"",AVERAGE(zip_med_inc_updated!DTL$2:DTL$4))</f>
        <v>70483.666666666672</v>
      </c>
      <c r="DTM2" t="str">
        <f>IF(COUNT(zip_med_inc_updated!DTM$2:DTM$4)=0,"",AVERAGE(zip_med_inc_updated!DTM$2:DTM$4))</f>
        <v/>
      </c>
      <c r="DTN2">
        <f>IF(COUNT(zip_med_inc_updated!DTN$2:DTN$4)=0,"",AVERAGE(zip_med_inc_updated!DTN$2:DTN$4))</f>
        <v>55944</v>
      </c>
      <c r="DTO2">
        <f>IF(COUNT(zip_med_inc_updated!DTO$2:DTO$4)=0,"",AVERAGE(zip_med_inc_updated!DTO$2:DTO$4))</f>
        <v>44264.666666666664</v>
      </c>
      <c r="DTP2">
        <f>IF(COUNT(zip_med_inc_updated!DTP$2:DTP$4)=0,"",AVERAGE(zip_med_inc_updated!DTP$2:DTP$4))</f>
        <v>38878.5</v>
      </c>
      <c r="DTQ2">
        <f>IF(COUNT(zip_med_inc_updated!DTQ$2:DTQ$4)=0,"",AVERAGE(zip_med_inc_updated!DTQ$2:DTQ$4))</f>
        <v>64093</v>
      </c>
      <c r="DTR2">
        <f>IF(COUNT(zip_med_inc_updated!DTR$2:DTR$4)=0,"",AVERAGE(zip_med_inc_updated!DTR$2:DTR$4))</f>
        <v>54908.666666666664</v>
      </c>
      <c r="DTS2">
        <f>IF(COUNT(zip_med_inc_updated!DTS$2:DTS$4)=0,"",AVERAGE(zip_med_inc_updated!DTS$2:DTS$4))</f>
        <v>59394</v>
      </c>
      <c r="DTT2">
        <f>IF(COUNT(zip_med_inc_updated!DTT$2:DTT$4)=0,"",AVERAGE(zip_med_inc_updated!DTT$2:DTT$4))</f>
        <v>99105</v>
      </c>
      <c r="DTU2">
        <f>IF(COUNT(zip_med_inc_updated!DTU$2:DTU$4)=0,"",AVERAGE(zip_med_inc_updated!DTU$2:DTU$4))</f>
        <v>38411.5</v>
      </c>
      <c r="DTV2">
        <f>IF(COUNT(zip_med_inc_updated!DTV$2:DTV$4)=0,"",AVERAGE(zip_med_inc_updated!DTV$2:DTV$4))</f>
        <v>29516</v>
      </c>
      <c r="DTW2">
        <f>IF(COUNT(zip_med_inc_updated!DTW$2:DTW$4)=0,"",AVERAGE(zip_med_inc_updated!DTW$2:DTW$4))</f>
        <v>34327</v>
      </c>
      <c r="DTX2">
        <f>IF(COUNT(zip_med_inc_updated!DTX$2:DTX$4)=0,"",AVERAGE(zip_med_inc_updated!DTX$2:DTX$4))</f>
        <v>55704.666666666664</v>
      </c>
      <c r="DTY2" t="str">
        <f>IF(COUNT(zip_med_inc_updated!DTY$2:DTY$4)=0,"",AVERAGE(zip_med_inc_updated!DTY$2:DTY$4))</f>
        <v/>
      </c>
      <c r="DTZ2">
        <f>IF(COUNT(zip_med_inc_updated!DTZ$2:DTZ$4)=0,"",AVERAGE(zip_med_inc_updated!DTZ$2:DTZ$4))</f>
        <v>46705</v>
      </c>
      <c r="DUA2" t="str">
        <f>IF(COUNT(zip_med_inc_updated!DUA$2:DUA$4)=0,"",AVERAGE(zip_med_inc_updated!DUA$2:DUA$4))</f>
        <v/>
      </c>
      <c r="DUB2" t="str">
        <f>IF(COUNT(zip_med_inc_updated!DUB$2:DUB$4)=0,"",AVERAGE(zip_med_inc_updated!DUB$2:DUB$4))</f>
        <v/>
      </c>
      <c r="DUC2">
        <f>IF(COUNT(zip_med_inc_updated!DUC$2:DUC$4)=0,"",AVERAGE(zip_med_inc_updated!DUC$2:DUC$4))</f>
        <v>37722</v>
      </c>
      <c r="DUD2">
        <f>IF(COUNT(zip_med_inc_updated!DUD$2:DUD$4)=0,"",AVERAGE(zip_med_inc_updated!DUD$2:DUD$4))</f>
        <v>43016</v>
      </c>
      <c r="DUE2">
        <f>IF(COUNT(zip_med_inc_updated!DUE$2:DUE$4)=0,"",AVERAGE(zip_med_inc_updated!DUE$2:DUE$4))</f>
        <v>76006.666666666672</v>
      </c>
      <c r="DUF2" t="str">
        <f>IF(COUNT(zip_med_inc_updated!DUF$2:DUF$4)=0,"",AVERAGE(zip_med_inc_updated!DUF$2:DUF$4))</f>
        <v/>
      </c>
      <c r="DUG2">
        <f>IF(COUNT(zip_med_inc_updated!DUG$2:DUG$4)=0,"",AVERAGE(zip_med_inc_updated!DUG$2:DUG$4))</f>
        <v>95174.666666666672</v>
      </c>
      <c r="DUH2" t="str">
        <f>IF(COUNT(zip_med_inc_updated!DUH$2:DUH$4)=0,"",AVERAGE(zip_med_inc_updated!DUH$2:DUH$4))</f>
        <v/>
      </c>
      <c r="DUI2">
        <f>IF(COUNT(zip_med_inc_updated!DUI$2:DUI$4)=0,"",AVERAGE(zip_med_inc_updated!DUI$2:DUI$4))</f>
        <v>29842</v>
      </c>
      <c r="DUJ2">
        <f>IF(COUNT(zip_med_inc_updated!DUJ$2:DUJ$4)=0,"",AVERAGE(zip_med_inc_updated!DUJ$2:DUJ$4))</f>
        <v>76188</v>
      </c>
      <c r="DUK2">
        <f>IF(COUNT(zip_med_inc_updated!DUK$2:DUK$4)=0,"",AVERAGE(zip_med_inc_updated!DUK$2:DUK$4))</f>
        <v>38687.5</v>
      </c>
      <c r="DUL2">
        <f>IF(COUNT(zip_med_inc_updated!DUL$2:DUL$4)=0,"",AVERAGE(zip_med_inc_updated!DUL$2:DUL$4))</f>
        <v>38535</v>
      </c>
      <c r="DUM2">
        <f>IF(COUNT(zip_med_inc_updated!DUM$2:DUM$4)=0,"",AVERAGE(zip_med_inc_updated!DUM$2:DUM$4))</f>
        <v>48005.666666666664</v>
      </c>
      <c r="DUN2">
        <f>IF(COUNT(zip_med_inc_updated!DUN$2:DUN$4)=0,"",AVERAGE(zip_med_inc_updated!DUN$2:DUN$4))</f>
        <v>21209.333333333332</v>
      </c>
      <c r="DUO2">
        <f>IF(COUNT(zip_med_inc_updated!DUO$2:DUO$4)=0,"",AVERAGE(zip_med_inc_updated!DUO$2:DUO$4))</f>
        <v>90717.333333333328</v>
      </c>
      <c r="DUP2">
        <f>IF(COUNT(zip_med_inc_updated!DUP$2:DUP$4)=0,"",AVERAGE(zip_med_inc_updated!DUP$2:DUP$4))</f>
        <v>70956</v>
      </c>
      <c r="DUQ2" t="str">
        <f>IF(COUNT(zip_med_inc_updated!DUQ$2:DUQ$4)=0,"",AVERAGE(zip_med_inc_updated!DUQ$2:DUQ$4))</f>
        <v/>
      </c>
      <c r="DUR2">
        <f>IF(COUNT(zip_med_inc_updated!DUR$2:DUR$4)=0,"",AVERAGE(zip_med_inc_updated!DUR$2:DUR$4))</f>
        <v>45093.333333333336</v>
      </c>
      <c r="DUS2">
        <f>IF(COUNT(zip_med_inc_updated!DUS$2:DUS$4)=0,"",AVERAGE(zip_med_inc_updated!DUS$2:DUS$4))</f>
        <v>49592.333333333336</v>
      </c>
      <c r="DUT2">
        <f>IF(COUNT(zip_med_inc_updated!DUT$2:DUT$4)=0,"",AVERAGE(zip_med_inc_updated!DUT$2:DUT$4))</f>
        <v>80107.333333333328</v>
      </c>
      <c r="DUU2">
        <f>IF(COUNT(zip_med_inc_updated!DUU$2:DUU$4)=0,"",AVERAGE(zip_med_inc_updated!DUU$2:DUU$4))</f>
        <v>62252</v>
      </c>
      <c r="DUV2">
        <f>IF(COUNT(zip_med_inc_updated!DUV$2:DUV$4)=0,"",AVERAGE(zip_med_inc_updated!DUV$2:DUV$4))</f>
        <v>40964.666666666664</v>
      </c>
      <c r="DUW2">
        <f>IF(COUNT(zip_med_inc_updated!DUW$2:DUW$4)=0,"",AVERAGE(zip_med_inc_updated!DUW$2:DUW$4))</f>
        <v>63532</v>
      </c>
      <c r="DUX2">
        <f>IF(COUNT(zip_med_inc_updated!DUX$2:DUX$4)=0,"",AVERAGE(zip_med_inc_updated!DUX$2:DUX$4))</f>
        <v>89397.5</v>
      </c>
      <c r="DUY2">
        <f>IF(COUNT(zip_med_inc_updated!DUY$2:DUY$4)=0,"",AVERAGE(zip_med_inc_updated!DUY$2:DUY$4))</f>
        <v>53916</v>
      </c>
      <c r="DUZ2">
        <f>IF(COUNT(zip_med_inc_updated!DUZ$2:DUZ$4)=0,"",AVERAGE(zip_med_inc_updated!DUZ$2:DUZ$4))</f>
        <v>57685.333333333336</v>
      </c>
      <c r="DVA2">
        <f>IF(COUNT(zip_med_inc_updated!DVA$2:DVA$4)=0,"",AVERAGE(zip_med_inc_updated!DVA$2:DVA$4))</f>
        <v>52038.666666666664</v>
      </c>
      <c r="DVB2">
        <f>IF(COUNT(zip_med_inc_updated!DVB$2:DVB$4)=0,"",AVERAGE(zip_med_inc_updated!DVB$2:DVB$4))</f>
        <v>43350.333333333336</v>
      </c>
      <c r="DVC2">
        <f>IF(COUNT(zip_med_inc_updated!DVC$2:DVC$4)=0,"",AVERAGE(zip_med_inc_updated!DVC$2:DVC$4))</f>
        <v>60913.333333333336</v>
      </c>
      <c r="DVD2">
        <f>IF(COUNT(zip_med_inc_updated!DVD$2:DVD$4)=0,"",AVERAGE(zip_med_inc_updated!DVD$2:DVD$4))</f>
        <v>36058.5</v>
      </c>
      <c r="DVE2">
        <f>IF(COUNT(zip_med_inc_updated!DVE$2:DVE$4)=0,"",AVERAGE(zip_med_inc_updated!DVE$2:DVE$4))</f>
        <v>49517</v>
      </c>
      <c r="DVF2">
        <f>IF(COUNT(zip_med_inc_updated!DVF$2:DVF$4)=0,"",AVERAGE(zip_med_inc_updated!DVF$2:DVF$4))</f>
        <v>43813</v>
      </c>
      <c r="DVG2">
        <f>IF(COUNT(zip_med_inc_updated!DVG$2:DVG$4)=0,"",AVERAGE(zip_med_inc_updated!DVG$2:DVG$4))</f>
        <v>69951.666666666672</v>
      </c>
      <c r="DVH2">
        <f>IF(COUNT(zip_med_inc_updated!DVH$2:DVH$4)=0,"",AVERAGE(zip_med_inc_updated!DVH$2:DVH$4))</f>
        <v>63018</v>
      </c>
      <c r="DVI2">
        <f>IF(COUNT(zip_med_inc_updated!DVI$2:DVI$4)=0,"",AVERAGE(zip_med_inc_updated!DVI$2:DVI$4))</f>
        <v>60072.666666666664</v>
      </c>
      <c r="DVJ2">
        <f>IF(COUNT(zip_med_inc_updated!DVJ$2:DVJ$4)=0,"",AVERAGE(zip_med_inc_updated!DVJ$2:DVJ$4))</f>
        <v>68433.666666666672</v>
      </c>
      <c r="DVK2">
        <f>IF(COUNT(zip_med_inc_updated!DVK$2:DVK$4)=0,"",AVERAGE(zip_med_inc_updated!DVK$2:DVK$4))</f>
        <v>44432</v>
      </c>
      <c r="DVL2">
        <f>IF(COUNT(zip_med_inc_updated!DVL$2:DVL$4)=0,"",AVERAGE(zip_med_inc_updated!DVL$2:DVL$4))</f>
        <v>41483</v>
      </c>
      <c r="DVM2">
        <f>IF(COUNT(zip_med_inc_updated!DVM$2:DVM$4)=0,"",AVERAGE(zip_med_inc_updated!DVM$2:DVM$4))</f>
        <v>42876.666666666664</v>
      </c>
      <c r="DVN2">
        <f>IF(COUNT(zip_med_inc_updated!DVN$2:DVN$4)=0,"",AVERAGE(zip_med_inc_updated!DVN$2:DVN$4))</f>
        <v>50070.666666666664</v>
      </c>
      <c r="DVO2">
        <f>IF(COUNT(zip_med_inc_updated!DVO$2:DVO$4)=0,"",AVERAGE(zip_med_inc_updated!DVO$2:DVO$4))</f>
        <v>56612.333333333336</v>
      </c>
      <c r="DVP2">
        <f>IF(COUNT(zip_med_inc_updated!DVP$2:DVP$4)=0,"",AVERAGE(zip_med_inc_updated!DVP$2:DVP$4))</f>
        <v>39397.333333333336</v>
      </c>
      <c r="DVQ2">
        <f>IF(COUNT(zip_med_inc_updated!DVQ$2:DVQ$4)=0,"",AVERAGE(zip_med_inc_updated!DVQ$2:DVQ$4))</f>
        <v>52838</v>
      </c>
      <c r="DVR2">
        <f>IF(COUNT(zip_med_inc_updated!DVR$2:DVR$4)=0,"",AVERAGE(zip_med_inc_updated!DVR$2:DVR$4))</f>
        <v>51372.666666666664</v>
      </c>
      <c r="DVS2">
        <f>IF(COUNT(zip_med_inc_updated!DVS$2:DVS$4)=0,"",AVERAGE(zip_med_inc_updated!DVS$2:DVS$4))</f>
        <v>68749.666666666672</v>
      </c>
      <c r="DVT2">
        <f>IF(COUNT(zip_med_inc_updated!DVT$2:DVT$4)=0,"",AVERAGE(zip_med_inc_updated!DVT$2:DVT$4))</f>
        <v>23444</v>
      </c>
      <c r="DVU2">
        <f>IF(COUNT(zip_med_inc_updated!DVU$2:DVU$4)=0,"",AVERAGE(zip_med_inc_updated!DVU$2:DVU$4))</f>
        <v>52411</v>
      </c>
      <c r="DVV2">
        <f>IF(COUNT(zip_med_inc_updated!DVV$2:DVV$4)=0,"",AVERAGE(zip_med_inc_updated!DVV$2:DVV$4))</f>
        <v>73218.333333333328</v>
      </c>
      <c r="DVW2">
        <f>IF(COUNT(zip_med_inc_updated!DVW$2:DVW$4)=0,"",AVERAGE(zip_med_inc_updated!DVW$2:DVW$4))</f>
        <v>78120</v>
      </c>
      <c r="DVX2" t="str">
        <f>IF(COUNT(zip_med_inc_updated!DVX$2:DVX$4)=0,"",AVERAGE(zip_med_inc_updated!DVX$2:DVX$4))</f>
        <v/>
      </c>
      <c r="DVY2">
        <f>IF(COUNT(zip_med_inc_updated!DVY$2:DVY$4)=0,"",AVERAGE(zip_med_inc_updated!DVY$2:DVY$4))</f>
        <v>62744.333333333336</v>
      </c>
      <c r="DVZ2">
        <f>IF(COUNT(zip_med_inc_updated!DVZ$2:DVZ$4)=0,"",AVERAGE(zip_med_inc_updated!DVZ$2:DVZ$4))</f>
        <v>54118</v>
      </c>
      <c r="DWA2">
        <f>IF(COUNT(zip_med_inc_updated!DWA$2:DWA$4)=0,"",AVERAGE(zip_med_inc_updated!DWA$2:DWA$4))</f>
        <v>55824</v>
      </c>
      <c r="DWB2">
        <f>IF(COUNT(zip_med_inc_updated!DWB$2:DWB$4)=0,"",AVERAGE(zip_med_inc_updated!DWB$2:DWB$4))</f>
        <v>56774.666666666664</v>
      </c>
      <c r="DWC2">
        <f>IF(COUNT(zip_med_inc_updated!DWC$2:DWC$4)=0,"",AVERAGE(zip_med_inc_updated!DWC$2:DWC$4))</f>
        <v>62719.666666666664</v>
      </c>
      <c r="DWD2">
        <f>IF(COUNT(zip_med_inc_updated!DWD$2:DWD$4)=0,"",AVERAGE(zip_med_inc_updated!DWD$2:DWD$4))</f>
        <v>88416.333333333328</v>
      </c>
      <c r="DWE2">
        <f>IF(COUNT(zip_med_inc_updated!DWE$2:DWE$4)=0,"",AVERAGE(zip_med_inc_updated!DWE$2:DWE$4))</f>
        <v>51175.333333333336</v>
      </c>
      <c r="DWF2">
        <f>IF(COUNT(zip_med_inc_updated!DWF$2:DWF$4)=0,"",AVERAGE(zip_med_inc_updated!DWF$2:DWF$4))</f>
        <v>51973</v>
      </c>
      <c r="DWG2">
        <f>IF(COUNT(zip_med_inc_updated!DWG$2:DWG$4)=0,"",AVERAGE(zip_med_inc_updated!DWG$2:DWG$4))</f>
        <v>41748</v>
      </c>
      <c r="DWH2">
        <f>IF(COUNT(zip_med_inc_updated!DWH$2:DWH$4)=0,"",AVERAGE(zip_med_inc_updated!DWH$2:DWH$4))</f>
        <v>50267</v>
      </c>
      <c r="DWI2">
        <f>IF(COUNT(zip_med_inc_updated!DWI$2:DWI$4)=0,"",AVERAGE(zip_med_inc_updated!DWI$2:DWI$4))</f>
        <v>81345.333333333328</v>
      </c>
      <c r="DWJ2">
        <f>IF(COUNT(zip_med_inc_updated!DWJ$2:DWJ$4)=0,"",AVERAGE(zip_med_inc_updated!DWJ$2:DWJ$4))</f>
        <v>68089</v>
      </c>
      <c r="DWK2">
        <f>IF(COUNT(zip_med_inc_updated!DWK$2:DWK$4)=0,"",AVERAGE(zip_med_inc_updated!DWK$2:DWK$4))</f>
        <v>89487</v>
      </c>
      <c r="DWL2">
        <f>IF(COUNT(zip_med_inc_updated!DWL$2:DWL$4)=0,"",AVERAGE(zip_med_inc_updated!DWL$2:DWL$4))</f>
        <v>66072.666666666672</v>
      </c>
      <c r="DWM2">
        <f>IF(COUNT(zip_med_inc_updated!DWM$2:DWM$4)=0,"",AVERAGE(zip_med_inc_updated!DWM$2:DWM$4))</f>
        <v>90407</v>
      </c>
      <c r="DWN2">
        <f>IF(COUNT(zip_med_inc_updated!DWN$2:DWN$4)=0,"",AVERAGE(zip_med_inc_updated!DWN$2:DWN$4))</f>
        <v>101902.33333333333</v>
      </c>
      <c r="DWO2">
        <f>IF(COUNT(zip_med_inc_updated!DWO$2:DWO$4)=0,"",AVERAGE(zip_med_inc_updated!DWO$2:DWO$4))</f>
        <v>85918.666666666672</v>
      </c>
      <c r="DWP2">
        <f>IF(COUNT(zip_med_inc_updated!DWP$2:DWP$4)=0,"",AVERAGE(zip_med_inc_updated!DWP$2:DWP$4))</f>
        <v>95043.666666666672</v>
      </c>
      <c r="DWQ2" t="str">
        <f>IF(COUNT(zip_med_inc_updated!DWQ$2:DWQ$4)=0,"",AVERAGE(zip_med_inc_updated!DWQ$2:DWQ$4))</f>
        <v/>
      </c>
      <c r="DWR2">
        <f>IF(COUNT(zip_med_inc_updated!DWR$2:DWR$4)=0,"",AVERAGE(zip_med_inc_updated!DWR$2:DWR$4))</f>
        <v>44571.333333333336</v>
      </c>
      <c r="DWS2">
        <f>IF(COUNT(zip_med_inc_updated!DWS$2:DWS$4)=0,"",AVERAGE(zip_med_inc_updated!DWS$2:DWS$4))</f>
        <v>92206.666666666672</v>
      </c>
      <c r="DWT2">
        <f>IF(COUNT(zip_med_inc_updated!DWT$2:DWT$4)=0,"",AVERAGE(zip_med_inc_updated!DWT$2:DWT$4))</f>
        <v>84621</v>
      </c>
      <c r="DWU2">
        <f>IF(COUNT(zip_med_inc_updated!DWU$2:DWU$4)=0,"",AVERAGE(zip_med_inc_updated!DWU$2:DWU$4))</f>
        <v>81100</v>
      </c>
      <c r="DWV2">
        <f>IF(COUNT(zip_med_inc_updated!DWV$2:DWV$4)=0,"",AVERAGE(zip_med_inc_updated!DWV$2:DWV$4))</f>
        <v>85529.333333333328</v>
      </c>
      <c r="DWW2">
        <f>IF(COUNT(zip_med_inc_updated!DWW$2:DWW$4)=0,"",AVERAGE(zip_med_inc_updated!DWW$2:DWW$4))</f>
        <v>66826.666666666672</v>
      </c>
      <c r="DWX2">
        <f>IF(COUNT(zip_med_inc_updated!DWX$2:DWX$4)=0,"",AVERAGE(zip_med_inc_updated!DWX$2:DWX$4))</f>
        <v>48465.666666666664</v>
      </c>
      <c r="DWY2">
        <f>IF(COUNT(zip_med_inc_updated!DWY$2:DWY$4)=0,"",AVERAGE(zip_med_inc_updated!DWY$2:DWY$4))</f>
        <v>65479.333333333336</v>
      </c>
      <c r="DWZ2" t="str">
        <f>IF(COUNT(zip_med_inc_updated!DWZ$2:DWZ$4)=0,"",AVERAGE(zip_med_inc_updated!DWZ$2:DWZ$4))</f>
        <v/>
      </c>
      <c r="DXA2">
        <f>IF(COUNT(zip_med_inc_updated!DXA$2:DXA$4)=0,"",AVERAGE(zip_med_inc_updated!DXA$2:DXA$4))</f>
        <v>81031</v>
      </c>
      <c r="DXB2">
        <f>IF(COUNT(zip_med_inc_updated!DXB$2:DXB$4)=0,"",AVERAGE(zip_med_inc_updated!DXB$2:DXB$4))</f>
        <v>115118.66666666667</v>
      </c>
      <c r="DXC2">
        <f>IF(COUNT(zip_med_inc_updated!DXC$2:DXC$4)=0,"",AVERAGE(zip_med_inc_updated!DXC$2:DXC$4))</f>
        <v>106207</v>
      </c>
      <c r="DXD2">
        <f>IF(COUNT(zip_med_inc_updated!DXD$2:DXD$4)=0,"",AVERAGE(zip_med_inc_updated!DXD$2:DXD$4))</f>
        <v>91903</v>
      </c>
      <c r="DXE2">
        <f>IF(COUNT(zip_med_inc_updated!DXE$2:DXE$4)=0,"",AVERAGE(zip_med_inc_updated!DXE$2:DXE$4))</f>
        <v>129939.66666666667</v>
      </c>
      <c r="DXF2">
        <f>IF(COUNT(zip_med_inc_updated!DXF$2:DXF$4)=0,"",AVERAGE(zip_med_inc_updated!DXF$2:DXF$4))</f>
        <v>48784.333333333336</v>
      </c>
      <c r="DXG2">
        <f>IF(COUNT(zip_med_inc_updated!DXG$2:DXG$4)=0,"",AVERAGE(zip_med_inc_updated!DXG$2:DXG$4))</f>
        <v>65847</v>
      </c>
      <c r="DXH2">
        <f>IF(COUNT(zip_med_inc_updated!DXH$2:DXH$4)=0,"",AVERAGE(zip_med_inc_updated!DXH$2:DXH$4))</f>
        <v>40542</v>
      </c>
      <c r="DXI2">
        <f>IF(COUNT(zip_med_inc_updated!DXI$2:DXI$4)=0,"",AVERAGE(zip_med_inc_updated!DXI$2:DXI$4))</f>
        <v>61252.333333333336</v>
      </c>
      <c r="DXJ2" t="str">
        <f>IF(COUNT(zip_med_inc_updated!DXJ$2:DXJ$4)=0,"",AVERAGE(zip_med_inc_updated!DXJ$2:DXJ$4))</f>
        <v/>
      </c>
      <c r="DXK2">
        <f>IF(COUNT(zip_med_inc_updated!DXK$2:DXK$4)=0,"",AVERAGE(zip_med_inc_updated!DXK$2:DXK$4))</f>
        <v>43706.666666666664</v>
      </c>
      <c r="DXL2">
        <f>IF(COUNT(zip_med_inc_updated!DXL$2:DXL$4)=0,"",AVERAGE(zip_med_inc_updated!DXL$2:DXL$4))</f>
        <v>43399.333333333336</v>
      </c>
      <c r="DXM2">
        <f>IF(COUNT(zip_med_inc_updated!DXM$2:DXM$4)=0,"",AVERAGE(zip_med_inc_updated!DXM$2:DXM$4))</f>
        <v>48460.666666666664</v>
      </c>
      <c r="DXN2">
        <f>IF(COUNT(zip_med_inc_updated!DXN$2:DXN$4)=0,"",AVERAGE(zip_med_inc_updated!DXN$2:DXN$4))</f>
        <v>76363</v>
      </c>
      <c r="DXO2">
        <f>IF(COUNT(zip_med_inc_updated!DXO$2:DXO$4)=0,"",AVERAGE(zip_med_inc_updated!DXO$2:DXO$4))</f>
        <v>37794</v>
      </c>
      <c r="DXP2">
        <f>IF(COUNT(zip_med_inc_updated!DXP$2:DXP$4)=0,"",AVERAGE(zip_med_inc_updated!DXP$2:DXP$4))</f>
        <v>37482</v>
      </c>
      <c r="DXQ2">
        <f>IF(COUNT(zip_med_inc_updated!DXQ$2:DXQ$4)=0,"",AVERAGE(zip_med_inc_updated!DXQ$2:DXQ$4))</f>
        <v>53017.333333333336</v>
      </c>
      <c r="DXR2">
        <f>IF(COUNT(zip_med_inc_updated!DXR$2:DXR$4)=0,"",AVERAGE(zip_med_inc_updated!DXR$2:DXR$4))</f>
        <v>46880.333333333336</v>
      </c>
      <c r="DXS2">
        <f>IF(COUNT(zip_med_inc_updated!DXS$2:DXS$4)=0,"",AVERAGE(zip_med_inc_updated!DXS$2:DXS$4))</f>
        <v>41278.666666666664</v>
      </c>
      <c r="DXT2">
        <f>IF(COUNT(zip_med_inc_updated!DXT$2:DXT$4)=0,"",AVERAGE(zip_med_inc_updated!DXT$2:DXT$4))</f>
        <v>58878</v>
      </c>
      <c r="DXU2">
        <f>IF(COUNT(zip_med_inc_updated!DXU$2:DXU$4)=0,"",AVERAGE(zip_med_inc_updated!DXU$2:DXU$4))</f>
        <v>59757.666666666664</v>
      </c>
      <c r="DXV2">
        <f>IF(COUNT(zip_med_inc_updated!DXV$2:DXV$4)=0,"",AVERAGE(zip_med_inc_updated!DXV$2:DXV$4))</f>
        <v>56770</v>
      </c>
      <c r="DXW2">
        <f>IF(COUNT(zip_med_inc_updated!DXW$2:DXW$4)=0,"",AVERAGE(zip_med_inc_updated!DXW$2:DXW$4))</f>
        <v>40751</v>
      </c>
      <c r="DXX2">
        <f>IF(COUNT(zip_med_inc_updated!DXX$2:DXX$4)=0,"",AVERAGE(zip_med_inc_updated!DXX$2:DXX$4))</f>
        <v>82121</v>
      </c>
      <c r="DXY2">
        <f>IF(COUNT(zip_med_inc_updated!DXY$2:DXY$4)=0,"",AVERAGE(zip_med_inc_updated!DXY$2:DXY$4))</f>
        <v>59104.666666666664</v>
      </c>
      <c r="DXZ2">
        <f>IF(COUNT(zip_med_inc_updated!DXZ$2:DXZ$4)=0,"",AVERAGE(zip_med_inc_updated!DXZ$2:DXZ$4))</f>
        <v>67773</v>
      </c>
      <c r="DYA2">
        <f>IF(COUNT(zip_med_inc_updated!DYA$2:DYA$4)=0,"",AVERAGE(zip_med_inc_updated!DYA$2:DYA$4))</f>
        <v>21029</v>
      </c>
      <c r="DYB2">
        <f>IF(COUNT(zip_med_inc_updated!DYB$2:DYB$4)=0,"",AVERAGE(zip_med_inc_updated!DYB$2:DYB$4))</f>
        <v>74124</v>
      </c>
      <c r="DYC2">
        <f>IF(COUNT(zip_med_inc_updated!DYC$2:DYC$4)=0,"",AVERAGE(zip_med_inc_updated!DYC$2:DYC$4))</f>
        <v>61846</v>
      </c>
      <c r="DYD2">
        <f>IF(COUNT(zip_med_inc_updated!DYD$2:DYD$4)=0,"",AVERAGE(zip_med_inc_updated!DYD$2:DYD$4))</f>
        <v>2499</v>
      </c>
      <c r="DYE2">
        <f>IF(COUNT(zip_med_inc_updated!DYE$2:DYE$4)=0,"",AVERAGE(zip_med_inc_updated!DYE$2:DYE$4))</f>
        <v>58892.666666666664</v>
      </c>
      <c r="DYF2" t="str">
        <f>IF(COUNT(zip_med_inc_updated!DYF$2:DYF$4)=0,"",AVERAGE(zip_med_inc_updated!DYF$2:DYF$4))</f>
        <v/>
      </c>
      <c r="DYG2">
        <f>IF(COUNT(zip_med_inc_updated!DYG$2:DYG$4)=0,"",AVERAGE(zip_med_inc_updated!DYG$2:DYG$4))</f>
        <v>88163</v>
      </c>
      <c r="DYH2" t="str">
        <f>IF(COUNT(zip_med_inc_updated!DYH$2:DYH$4)=0,"",AVERAGE(zip_med_inc_updated!DYH$2:DYH$4))</f>
        <v/>
      </c>
      <c r="DYI2">
        <f>IF(COUNT(zip_med_inc_updated!DYI$2:DYI$4)=0,"",AVERAGE(zip_med_inc_updated!DYI$2:DYI$4))</f>
        <v>52164.333333333336</v>
      </c>
      <c r="DYJ2">
        <f>IF(COUNT(zip_med_inc_updated!DYJ$2:DYJ$4)=0,"",AVERAGE(zip_med_inc_updated!DYJ$2:DYJ$4))</f>
        <v>68541.333333333328</v>
      </c>
      <c r="DYK2">
        <f>IF(COUNT(zip_med_inc_updated!DYK$2:DYK$4)=0,"",AVERAGE(zip_med_inc_updated!DYK$2:DYK$4))</f>
        <v>38449</v>
      </c>
      <c r="DYL2">
        <f>IF(COUNT(zip_med_inc_updated!DYL$2:DYL$4)=0,"",AVERAGE(zip_med_inc_updated!DYL$2:DYL$4))</f>
        <v>33513.333333333336</v>
      </c>
      <c r="DYM2">
        <f>IF(COUNT(zip_med_inc_updated!DYM$2:DYM$4)=0,"",AVERAGE(zip_med_inc_updated!DYM$2:DYM$4))</f>
        <v>102667.33333333333</v>
      </c>
      <c r="DYN2">
        <f>IF(COUNT(zip_med_inc_updated!DYN$2:DYN$4)=0,"",AVERAGE(zip_med_inc_updated!DYN$2:DYN$4))</f>
        <v>114504</v>
      </c>
      <c r="DYO2">
        <f>IF(COUNT(zip_med_inc_updated!DYO$2:DYO$4)=0,"",AVERAGE(zip_med_inc_updated!DYO$2:DYO$4))</f>
        <v>33007.666666666664</v>
      </c>
      <c r="DYP2">
        <f>IF(COUNT(zip_med_inc_updated!DYP$2:DYP$4)=0,"",AVERAGE(zip_med_inc_updated!DYP$2:DYP$4))</f>
        <v>51797</v>
      </c>
      <c r="DYQ2">
        <f>IF(COUNT(zip_med_inc_updated!DYQ$2:DYQ$4)=0,"",AVERAGE(zip_med_inc_updated!DYQ$2:DYQ$4))</f>
        <v>46136.666666666664</v>
      </c>
      <c r="DYR2">
        <f>IF(COUNT(zip_med_inc_updated!DYR$2:DYR$4)=0,"",AVERAGE(zip_med_inc_updated!DYR$2:DYR$4))</f>
        <v>57154.333333333336</v>
      </c>
      <c r="DYS2" t="str">
        <f>IF(COUNT(zip_med_inc_updated!DYS$2:DYS$4)=0,"",AVERAGE(zip_med_inc_updated!DYS$2:DYS$4))</f>
        <v/>
      </c>
      <c r="DYT2">
        <f>IF(COUNT(zip_med_inc_updated!DYT$2:DYT$4)=0,"",AVERAGE(zip_med_inc_updated!DYT$2:DYT$4))</f>
        <v>46202</v>
      </c>
      <c r="DYU2">
        <f>IF(COUNT(zip_med_inc_updated!DYU$2:DYU$4)=0,"",AVERAGE(zip_med_inc_updated!DYU$2:DYU$4))</f>
        <v>50346</v>
      </c>
      <c r="DYV2">
        <f>IF(COUNT(zip_med_inc_updated!DYV$2:DYV$4)=0,"",AVERAGE(zip_med_inc_updated!DYV$2:DYV$4))</f>
        <v>26961</v>
      </c>
      <c r="DYW2">
        <f>IF(COUNT(zip_med_inc_updated!DYW$2:DYW$4)=0,"",AVERAGE(zip_med_inc_updated!DYW$2:DYW$4))</f>
        <v>70587.5</v>
      </c>
      <c r="DYX2" t="str">
        <f>IF(COUNT(zip_med_inc_updated!DYX$2:DYX$4)=0,"",AVERAGE(zip_med_inc_updated!DYX$2:DYX$4))</f>
        <v/>
      </c>
      <c r="DYY2" t="str">
        <f>IF(COUNT(zip_med_inc_updated!DYY$2:DYY$4)=0,"",AVERAGE(zip_med_inc_updated!DYY$2:DYY$4))</f>
        <v/>
      </c>
      <c r="DYZ2">
        <f>IF(COUNT(zip_med_inc_updated!DYZ$2:DYZ$4)=0,"",AVERAGE(zip_med_inc_updated!DYZ$2:DYZ$4))</f>
        <v>23914</v>
      </c>
      <c r="DZA2">
        <f>IF(COUNT(zip_med_inc_updated!DZA$2:DZA$4)=0,"",AVERAGE(zip_med_inc_updated!DZA$2:DZA$4))</f>
        <v>51375.333333333336</v>
      </c>
      <c r="DZB2">
        <f>IF(COUNT(zip_med_inc_updated!DZB$2:DZB$4)=0,"",AVERAGE(zip_med_inc_updated!DZB$2:DZB$4))</f>
        <v>13953.666666666666</v>
      </c>
      <c r="DZC2">
        <f>IF(COUNT(zip_med_inc_updated!DZC$2:DZC$4)=0,"",AVERAGE(zip_med_inc_updated!DZC$2:DZC$4))</f>
        <v>70206.333333333328</v>
      </c>
      <c r="DZD2">
        <f>IF(COUNT(zip_med_inc_updated!DZD$2:DZD$4)=0,"",AVERAGE(zip_med_inc_updated!DZD$2:DZD$4))</f>
        <v>40956</v>
      </c>
      <c r="DZE2">
        <f>IF(COUNT(zip_med_inc_updated!DZE$2:DZE$4)=0,"",AVERAGE(zip_med_inc_updated!DZE$2:DZE$4))</f>
        <v>62353</v>
      </c>
      <c r="DZF2">
        <f>IF(COUNT(zip_med_inc_updated!DZF$2:DZF$4)=0,"",AVERAGE(zip_med_inc_updated!DZF$2:DZF$4))</f>
        <v>28426</v>
      </c>
      <c r="DZG2">
        <f>IF(COUNT(zip_med_inc_updated!DZG$2:DZG$4)=0,"",AVERAGE(zip_med_inc_updated!DZG$2:DZG$4))</f>
        <v>67386.5</v>
      </c>
      <c r="DZH2">
        <f>IF(COUNT(zip_med_inc_updated!DZH$2:DZH$4)=0,"",AVERAGE(zip_med_inc_updated!DZH$2:DZH$4))</f>
        <v>66902.666666666672</v>
      </c>
      <c r="DZI2">
        <f>IF(COUNT(zip_med_inc_updated!DZI$2:DZI$4)=0,"",AVERAGE(zip_med_inc_updated!DZI$2:DZI$4))</f>
        <v>50217.333333333336</v>
      </c>
      <c r="DZJ2">
        <f>IF(COUNT(zip_med_inc_updated!DZJ$2:DZJ$4)=0,"",AVERAGE(zip_med_inc_updated!DZJ$2:DZJ$4))</f>
        <v>89804.5</v>
      </c>
      <c r="DZK2">
        <f>IF(COUNT(zip_med_inc_updated!DZK$2:DZK$4)=0,"",AVERAGE(zip_med_inc_updated!DZK$2:DZK$4))</f>
        <v>33783.333333333336</v>
      </c>
      <c r="DZL2">
        <f>IF(COUNT(zip_med_inc_updated!DZL$2:DZL$4)=0,"",AVERAGE(zip_med_inc_updated!DZL$2:DZL$4))</f>
        <v>86800</v>
      </c>
      <c r="DZM2">
        <f>IF(COUNT(zip_med_inc_updated!DZM$2:DZM$4)=0,"",AVERAGE(zip_med_inc_updated!DZM$2:DZM$4))</f>
        <v>34239</v>
      </c>
      <c r="DZN2">
        <f>IF(COUNT(zip_med_inc_updated!DZN$2:DZN$4)=0,"",AVERAGE(zip_med_inc_updated!DZN$2:DZN$4))</f>
        <v>40633</v>
      </c>
      <c r="DZO2">
        <f>IF(COUNT(zip_med_inc_updated!DZO$2:DZO$4)=0,"",AVERAGE(zip_med_inc_updated!DZO$2:DZO$4))</f>
        <v>52691.666666666664</v>
      </c>
      <c r="DZP2" t="str">
        <f>IF(COUNT(zip_med_inc_updated!DZP$2:DZP$4)=0,"",AVERAGE(zip_med_inc_updated!DZP$2:DZP$4))</f>
        <v/>
      </c>
      <c r="DZQ2">
        <f>IF(COUNT(zip_med_inc_updated!DZQ$2:DZQ$4)=0,"",AVERAGE(zip_med_inc_updated!DZQ$2:DZQ$4))</f>
        <v>22565.5</v>
      </c>
      <c r="DZR2">
        <f>IF(COUNT(zip_med_inc_updated!DZR$2:DZR$4)=0,"",AVERAGE(zip_med_inc_updated!DZR$2:DZR$4))</f>
        <v>42304</v>
      </c>
      <c r="DZS2">
        <f>IF(COUNT(zip_med_inc_updated!DZS$2:DZS$4)=0,"",AVERAGE(zip_med_inc_updated!DZS$2:DZS$4))</f>
        <v>36343</v>
      </c>
      <c r="DZT2" t="str">
        <f>IF(COUNT(zip_med_inc_updated!DZT$2:DZT$4)=0,"",AVERAGE(zip_med_inc_updated!DZT$2:DZT$4))</f>
        <v/>
      </c>
      <c r="DZU2">
        <f>IF(COUNT(zip_med_inc_updated!DZU$2:DZU$4)=0,"",AVERAGE(zip_med_inc_updated!DZU$2:DZU$4))</f>
        <v>29334.333333333332</v>
      </c>
      <c r="DZV2">
        <f>IF(COUNT(zip_med_inc_updated!DZV$2:DZV$4)=0,"",AVERAGE(zip_med_inc_updated!DZV$2:DZV$4))</f>
        <v>44814.5</v>
      </c>
      <c r="DZW2">
        <f>IF(COUNT(zip_med_inc_updated!DZW$2:DZW$4)=0,"",AVERAGE(zip_med_inc_updated!DZW$2:DZW$4))</f>
        <v>23321</v>
      </c>
      <c r="DZX2">
        <f>IF(COUNT(zip_med_inc_updated!DZX$2:DZX$4)=0,"",AVERAGE(zip_med_inc_updated!DZX$2:DZX$4))</f>
        <v>43333</v>
      </c>
      <c r="DZY2">
        <f>IF(COUNT(zip_med_inc_updated!DZY$2:DZY$4)=0,"",AVERAGE(zip_med_inc_updated!DZY$2:DZY$4))</f>
        <v>37105.333333333336</v>
      </c>
      <c r="DZZ2">
        <f>IF(COUNT(zip_med_inc_updated!DZZ$2:DZZ$4)=0,"",AVERAGE(zip_med_inc_updated!DZZ$2:DZZ$4))</f>
        <v>39464.5</v>
      </c>
      <c r="EAA2">
        <f>IF(COUNT(zip_med_inc_updated!EAA$2:EAA$4)=0,"",AVERAGE(zip_med_inc_updated!EAA$2:EAA$4))</f>
        <v>23311.5</v>
      </c>
      <c r="EAB2">
        <f>IF(COUNT(zip_med_inc_updated!EAB$2:EAB$4)=0,"",AVERAGE(zip_med_inc_updated!EAB$2:EAB$4))</f>
        <v>32083.666666666668</v>
      </c>
      <c r="EAC2">
        <f>IF(COUNT(zip_med_inc_updated!EAC$2:EAC$4)=0,"",AVERAGE(zip_med_inc_updated!EAC$2:EAC$4))</f>
        <v>41176</v>
      </c>
      <c r="EAD2">
        <f>IF(COUNT(zip_med_inc_updated!EAD$2:EAD$4)=0,"",AVERAGE(zip_med_inc_updated!EAD$2:EAD$4))</f>
        <v>38960.333333333336</v>
      </c>
      <c r="EAE2">
        <f>IF(COUNT(zip_med_inc_updated!EAE$2:EAE$4)=0,"",AVERAGE(zip_med_inc_updated!EAE$2:EAE$4))</f>
        <v>61259</v>
      </c>
      <c r="EAF2" t="str">
        <f>IF(COUNT(zip_med_inc_updated!EAF$2:EAF$4)=0,"",AVERAGE(zip_med_inc_updated!EAF$2:EAF$4))</f>
        <v/>
      </c>
      <c r="EAG2">
        <f>IF(COUNT(zip_med_inc_updated!EAG$2:EAG$4)=0,"",AVERAGE(zip_med_inc_updated!EAG$2:EAG$4))</f>
        <v>64211.666666666664</v>
      </c>
      <c r="EAH2">
        <f>IF(COUNT(zip_med_inc_updated!EAH$2:EAH$4)=0,"",AVERAGE(zip_med_inc_updated!EAH$2:EAH$4))</f>
        <v>23254</v>
      </c>
      <c r="EAI2">
        <f>IF(COUNT(zip_med_inc_updated!EAI$2:EAI$4)=0,"",AVERAGE(zip_med_inc_updated!EAI$2:EAI$4))</f>
        <v>48174.333333333336</v>
      </c>
      <c r="EAJ2" t="str">
        <f>IF(COUNT(zip_med_inc_updated!EAJ$2:EAJ$4)=0,"",AVERAGE(zip_med_inc_updated!EAJ$2:EAJ$4))</f>
        <v/>
      </c>
      <c r="EAK2">
        <f>IF(COUNT(zip_med_inc_updated!EAK$2:EAK$4)=0,"",AVERAGE(zip_med_inc_updated!EAK$2:EAK$4))</f>
        <v>51840</v>
      </c>
      <c r="EAL2">
        <f>IF(COUNT(zip_med_inc_updated!EAL$2:EAL$4)=0,"",AVERAGE(zip_med_inc_updated!EAL$2:EAL$4))</f>
        <v>37189.333333333336</v>
      </c>
      <c r="EAM2">
        <f>IF(COUNT(zip_med_inc_updated!EAM$2:EAM$4)=0,"",AVERAGE(zip_med_inc_updated!EAM$2:EAM$4))</f>
        <v>23316</v>
      </c>
      <c r="EAN2">
        <f>IF(COUNT(zip_med_inc_updated!EAN$2:EAN$4)=0,"",AVERAGE(zip_med_inc_updated!EAN$2:EAN$4))</f>
        <v>50696.333333333336</v>
      </c>
      <c r="EAO2">
        <f>IF(COUNT(zip_med_inc_updated!EAO$2:EAO$4)=0,"",AVERAGE(zip_med_inc_updated!EAO$2:EAO$4))</f>
        <v>59621.666666666664</v>
      </c>
      <c r="EAP2" t="str">
        <f>IF(COUNT(zip_med_inc_updated!EAP$2:EAP$4)=0,"",AVERAGE(zip_med_inc_updated!EAP$2:EAP$4))</f>
        <v/>
      </c>
      <c r="EAQ2">
        <f>IF(COUNT(zip_med_inc_updated!EAQ$2:EAQ$4)=0,"",AVERAGE(zip_med_inc_updated!EAQ$2:EAQ$4))</f>
        <v>50939.333333333336</v>
      </c>
      <c r="EAR2" t="str">
        <f>IF(COUNT(zip_med_inc_updated!EAR$2:EAR$4)=0,"",AVERAGE(zip_med_inc_updated!EAR$2:EAR$4))</f>
        <v/>
      </c>
      <c r="EAS2" t="str">
        <f>IF(COUNT(zip_med_inc_updated!EAS$2:EAS$4)=0,"",AVERAGE(zip_med_inc_updated!EAS$2:EAS$4))</f>
        <v/>
      </c>
      <c r="EAT2">
        <f>IF(COUNT(zip_med_inc_updated!EAT$2:EAT$4)=0,"",AVERAGE(zip_med_inc_updated!EAT$2:EAT$4))</f>
        <v>48437.666666666664</v>
      </c>
      <c r="EAU2">
        <f>IF(COUNT(zip_med_inc_updated!EAU$2:EAU$4)=0,"",AVERAGE(zip_med_inc_updated!EAU$2:EAU$4))</f>
        <v>56011</v>
      </c>
      <c r="EAV2">
        <f>IF(COUNT(zip_med_inc_updated!EAV$2:EAV$4)=0,"",AVERAGE(zip_med_inc_updated!EAV$2:EAV$4))</f>
        <v>65408</v>
      </c>
      <c r="EAW2">
        <f>IF(COUNT(zip_med_inc_updated!EAW$2:EAW$4)=0,"",AVERAGE(zip_med_inc_updated!EAW$2:EAW$4))</f>
        <v>88227</v>
      </c>
      <c r="EAX2">
        <f>IF(COUNT(zip_med_inc_updated!EAX$2:EAX$4)=0,"",AVERAGE(zip_med_inc_updated!EAX$2:EAX$4))</f>
        <v>91950.333333333328</v>
      </c>
      <c r="EAY2" t="str">
        <f>IF(COUNT(zip_med_inc_updated!EAY$2:EAY$4)=0,"",AVERAGE(zip_med_inc_updated!EAY$2:EAY$4))</f>
        <v/>
      </c>
      <c r="EAZ2">
        <f>IF(COUNT(zip_med_inc_updated!EAZ$2:EAZ$4)=0,"",AVERAGE(zip_med_inc_updated!EAZ$2:EAZ$4))</f>
        <v>57834.666666666664</v>
      </c>
      <c r="EBA2" t="str">
        <f>IF(COUNT(zip_med_inc_updated!EBA$2:EBA$4)=0,"",AVERAGE(zip_med_inc_updated!EBA$2:EBA$4))</f>
        <v/>
      </c>
      <c r="EBB2">
        <f>IF(COUNT(zip_med_inc_updated!EBB$2:EBB$4)=0,"",AVERAGE(zip_med_inc_updated!EBB$2:EBB$4))</f>
        <v>53529</v>
      </c>
      <c r="EBC2">
        <f>IF(COUNT(zip_med_inc_updated!EBC$2:EBC$4)=0,"",AVERAGE(zip_med_inc_updated!EBC$2:EBC$4))</f>
        <v>49341.666666666664</v>
      </c>
      <c r="EBD2">
        <f>IF(COUNT(zip_med_inc_updated!EBD$2:EBD$4)=0,"",AVERAGE(zip_med_inc_updated!EBD$2:EBD$4))</f>
        <v>79916</v>
      </c>
      <c r="EBE2" t="str">
        <f>IF(COUNT(zip_med_inc_updated!EBE$2:EBE$4)=0,"",AVERAGE(zip_med_inc_updated!EBE$2:EBE$4))</f>
        <v/>
      </c>
      <c r="EBF2">
        <f>IF(COUNT(zip_med_inc_updated!EBF$2:EBF$4)=0,"",AVERAGE(zip_med_inc_updated!EBF$2:EBF$4))</f>
        <v>77955.5</v>
      </c>
      <c r="EBG2" t="str">
        <f>IF(COUNT(zip_med_inc_updated!EBG$2:EBG$4)=0,"",AVERAGE(zip_med_inc_updated!EBG$2:EBG$4))</f>
        <v/>
      </c>
      <c r="EBH2">
        <f>IF(COUNT(zip_med_inc_updated!EBH$2:EBH$4)=0,"",AVERAGE(zip_med_inc_updated!EBH$2:EBH$4))</f>
        <v>63441.666666666664</v>
      </c>
      <c r="EBI2">
        <f>IF(COUNT(zip_med_inc_updated!EBI$2:EBI$4)=0,"",AVERAGE(zip_med_inc_updated!EBI$2:EBI$4))</f>
        <v>68250</v>
      </c>
      <c r="EBJ2">
        <f>IF(COUNT(zip_med_inc_updated!EBJ$2:EBJ$4)=0,"",AVERAGE(zip_med_inc_updated!EBJ$2:EBJ$4))</f>
        <v>85244.666666666672</v>
      </c>
      <c r="EBK2">
        <f>IF(COUNT(zip_med_inc_updated!EBK$2:EBK$4)=0,"",AVERAGE(zip_med_inc_updated!EBK$2:EBK$4))</f>
        <v>71161.333333333328</v>
      </c>
      <c r="EBL2">
        <f>IF(COUNT(zip_med_inc_updated!EBL$2:EBL$4)=0,"",AVERAGE(zip_med_inc_updated!EBL$2:EBL$4))</f>
        <v>13365</v>
      </c>
      <c r="EBM2" t="str">
        <f>IF(COUNT(zip_med_inc_updated!EBM$2:EBM$4)=0,"",AVERAGE(zip_med_inc_updated!EBM$2:EBM$4))</f>
        <v/>
      </c>
      <c r="EBN2">
        <f>IF(COUNT(zip_med_inc_updated!EBN$2:EBN$4)=0,"",AVERAGE(zip_med_inc_updated!EBN$2:EBN$4))</f>
        <v>36602</v>
      </c>
      <c r="EBO2" t="str">
        <f>IF(COUNT(zip_med_inc_updated!EBO$2:EBO$4)=0,"",AVERAGE(zip_med_inc_updated!EBO$2:EBO$4))</f>
        <v/>
      </c>
      <c r="EBP2" t="str">
        <f>IF(COUNT(zip_med_inc_updated!EBP$2:EBP$4)=0,"",AVERAGE(zip_med_inc_updated!EBP$2:EBP$4))</f>
        <v/>
      </c>
      <c r="EBQ2" t="str">
        <f>IF(COUNT(zip_med_inc_updated!EBQ$2:EBQ$4)=0,"",AVERAGE(zip_med_inc_updated!EBQ$2:EBQ$4))</f>
        <v/>
      </c>
      <c r="EBR2">
        <f>IF(COUNT(zip_med_inc_updated!EBR$2:EBR$4)=0,"",AVERAGE(zip_med_inc_updated!EBR$2:EBR$4))</f>
        <v>55003</v>
      </c>
      <c r="EBS2">
        <f>IF(COUNT(zip_med_inc_updated!EBS$2:EBS$4)=0,"",AVERAGE(zip_med_inc_updated!EBS$2:EBS$4))</f>
        <v>29058</v>
      </c>
      <c r="EBT2" t="str">
        <f>IF(COUNT(zip_med_inc_updated!EBT$2:EBT$4)=0,"",AVERAGE(zip_med_inc_updated!EBT$2:EBT$4))</f>
        <v/>
      </c>
      <c r="EBU2">
        <f>IF(COUNT(zip_med_inc_updated!EBU$2:EBU$4)=0,"",AVERAGE(zip_med_inc_updated!EBU$2:EBU$4))</f>
        <v>86401</v>
      </c>
      <c r="EBV2">
        <f>IF(COUNT(zip_med_inc_updated!EBV$2:EBV$4)=0,"",AVERAGE(zip_med_inc_updated!EBV$2:EBV$4))</f>
        <v>74737</v>
      </c>
      <c r="EBW2">
        <f>IF(COUNT(zip_med_inc_updated!EBW$2:EBW$4)=0,"",AVERAGE(zip_med_inc_updated!EBW$2:EBW$4))</f>
        <v>38368</v>
      </c>
      <c r="EBX2">
        <f>IF(COUNT(zip_med_inc_updated!EBX$2:EBX$4)=0,"",AVERAGE(zip_med_inc_updated!EBX$2:EBX$4))</f>
        <v>63074</v>
      </c>
      <c r="EBY2">
        <f>IF(COUNT(zip_med_inc_updated!EBY$2:EBY$4)=0,"",AVERAGE(zip_med_inc_updated!EBY$2:EBY$4))</f>
        <v>51295.5</v>
      </c>
      <c r="EBZ2" t="str">
        <f>IF(COUNT(zip_med_inc_updated!EBZ$2:EBZ$4)=0,"",AVERAGE(zip_med_inc_updated!EBZ$2:EBZ$4))</f>
        <v/>
      </c>
      <c r="ECA2">
        <f>IF(COUNT(zip_med_inc_updated!ECA$2:ECA$4)=0,"",AVERAGE(zip_med_inc_updated!ECA$2:ECA$4))</f>
        <v>42465</v>
      </c>
      <c r="ECB2">
        <f>IF(COUNT(zip_med_inc_updated!ECB$2:ECB$4)=0,"",AVERAGE(zip_med_inc_updated!ECB$2:ECB$4))</f>
        <v>28932.333333333332</v>
      </c>
      <c r="ECC2">
        <f>IF(COUNT(zip_med_inc_updated!ECC$2:ECC$4)=0,"",AVERAGE(zip_med_inc_updated!ECC$2:ECC$4))</f>
        <v>84457.666666666672</v>
      </c>
      <c r="ECD2">
        <f>IF(COUNT(zip_med_inc_updated!ECD$2:ECD$4)=0,"",AVERAGE(zip_med_inc_updated!ECD$2:ECD$4))</f>
        <v>73894</v>
      </c>
      <c r="ECE2">
        <f>IF(COUNT(zip_med_inc_updated!ECE$2:ECE$4)=0,"",AVERAGE(zip_med_inc_updated!ECE$2:ECE$4))</f>
        <v>24888.5</v>
      </c>
      <c r="ECF2">
        <f>IF(COUNT(zip_med_inc_updated!ECF$2:ECF$4)=0,"",AVERAGE(zip_med_inc_updated!ECF$2:ECF$4))</f>
        <v>59894</v>
      </c>
      <c r="ECG2">
        <f>IF(COUNT(zip_med_inc_updated!ECG$2:ECG$4)=0,"",AVERAGE(zip_med_inc_updated!ECG$2:ECG$4))</f>
        <v>40989.666666666664</v>
      </c>
      <c r="ECH2">
        <f>IF(COUNT(zip_med_inc_updated!ECH$2:ECH$4)=0,"",AVERAGE(zip_med_inc_updated!ECH$2:ECH$4))</f>
        <v>66287.666666666672</v>
      </c>
      <c r="ECI2">
        <f>IF(COUNT(zip_med_inc_updated!ECI$2:ECI$4)=0,"",AVERAGE(zip_med_inc_updated!ECI$2:ECI$4))</f>
        <v>50239.666666666664</v>
      </c>
      <c r="ECJ2" t="str">
        <f>IF(COUNT(zip_med_inc_updated!ECJ$2:ECJ$4)=0,"",AVERAGE(zip_med_inc_updated!ECJ$2:ECJ$4))</f>
        <v/>
      </c>
      <c r="ECK2">
        <f>IF(COUNT(zip_med_inc_updated!ECK$2:ECK$4)=0,"",AVERAGE(zip_med_inc_updated!ECK$2:ECK$4))</f>
        <v>40453.666666666664</v>
      </c>
      <c r="ECL2">
        <f>IF(COUNT(zip_med_inc_updated!ECL$2:ECL$4)=0,"",AVERAGE(zip_med_inc_updated!ECL$2:ECL$4))</f>
        <v>68169.5</v>
      </c>
      <c r="ECM2" t="str">
        <f>IF(COUNT(zip_med_inc_updated!ECM$2:ECM$4)=0,"",AVERAGE(zip_med_inc_updated!ECM$2:ECM$4))</f>
        <v/>
      </c>
      <c r="ECN2">
        <f>IF(COUNT(zip_med_inc_updated!ECN$2:ECN$4)=0,"",AVERAGE(zip_med_inc_updated!ECN$2:ECN$4))</f>
        <v>74127</v>
      </c>
      <c r="ECO2">
        <f>IF(COUNT(zip_med_inc_updated!ECO$2:ECO$4)=0,"",AVERAGE(zip_med_inc_updated!ECO$2:ECO$4))</f>
        <v>40027.333333333336</v>
      </c>
      <c r="ECP2" t="str">
        <f>IF(COUNT(zip_med_inc_updated!ECP$2:ECP$4)=0,"",AVERAGE(zip_med_inc_updated!ECP$2:ECP$4))</f>
        <v/>
      </c>
      <c r="ECQ2">
        <f>IF(COUNT(zip_med_inc_updated!ECQ$2:ECQ$4)=0,"",AVERAGE(zip_med_inc_updated!ECQ$2:ECQ$4))</f>
        <v>43066.666666666664</v>
      </c>
      <c r="ECR2" t="str">
        <f>IF(COUNT(zip_med_inc_updated!ECR$2:ECR$4)=0,"",AVERAGE(zip_med_inc_updated!ECR$2:ECR$4))</f>
        <v/>
      </c>
      <c r="ECS2">
        <f>IF(COUNT(zip_med_inc_updated!ECS$2:ECS$4)=0,"",AVERAGE(zip_med_inc_updated!ECS$2:ECS$4))</f>
        <v>59683</v>
      </c>
      <c r="ECT2">
        <f>IF(COUNT(zip_med_inc_updated!ECT$2:ECT$4)=0,"",AVERAGE(zip_med_inc_updated!ECT$2:ECT$4))</f>
        <v>73105</v>
      </c>
      <c r="ECU2">
        <f>IF(COUNT(zip_med_inc_updated!ECU$2:ECU$4)=0,"",AVERAGE(zip_med_inc_updated!ECU$2:ECU$4))</f>
        <v>110969</v>
      </c>
      <c r="ECV2">
        <f>IF(COUNT(zip_med_inc_updated!ECV$2:ECV$4)=0,"",AVERAGE(zip_med_inc_updated!ECV$2:ECV$4))</f>
        <v>34374.333333333336</v>
      </c>
      <c r="ECW2">
        <f>IF(COUNT(zip_med_inc_updated!ECW$2:ECW$4)=0,"",AVERAGE(zip_med_inc_updated!ECW$2:ECW$4))</f>
        <v>2499</v>
      </c>
      <c r="ECX2">
        <f>IF(COUNT(zip_med_inc_updated!ECX$2:ECX$4)=0,"",AVERAGE(zip_med_inc_updated!ECX$2:ECX$4))</f>
        <v>21364</v>
      </c>
      <c r="ECY2">
        <f>IF(COUNT(zip_med_inc_updated!ECY$2:ECY$4)=0,"",AVERAGE(zip_med_inc_updated!ECY$2:ECY$4))</f>
        <v>82875</v>
      </c>
      <c r="ECZ2" t="str">
        <f>IF(COUNT(zip_med_inc_updated!ECZ$2:ECZ$4)=0,"",AVERAGE(zip_med_inc_updated!ECZ$2:ECZ$4))</f>
        <v/>
      </c>
      <c r="EDA2">
        <f>IF(COUNT(zip_med_inc_updated!EDA$2:EDA$4)=0,"",AVERAGE(zip_med_inc_updated!EDA$2:EDA$4))</f>
        <v>62458.666666666664</v>
      </c>
      <c r="EDB2" t="str">
        <f>IF(COUNT(zip_med_inc_updated!EDB$2:EDB$4)=0,"",AVERAGE(zip_med_inc_updated!EDB$2:EDB$4))</f>
        <v/>
      </c>
      <c r="EDC2" t="str">
        <f>IF(COUNT(zip_med_inc_updated!EDC$2:EDC$4)=0,"",AVERAGE(zip_med_inc_updated!EDC$2:EDC$4))</f>
        <v/>
      </c>
      <c r="EDD2">
        <f>IF(COUNT(zip_med_inc_updated!EDD$2:EDD$4)=0,"",AVERAGE(zip_med_inc_updated!EDD$2:EDD$4))</f>
        <v>36186</v>
      </c>
      <c r="EDE2">
        <f>IF(COUNT(zip_med_inc_updated!EDE$2:EDE$4)=0,"",AVERAGE(zip_med_inc_updated!EDE$2:EDE$4))</f>
        <v>26667</v>
      </c>
      <c r="EDF2">
        <f>IF(COUNT(zip_med_inc_updated!EDF$2:EDF$4)=0,"",AVERAGE(zip_med_inc_updated!EDF$2:EDF$4))</f>
        <v>43126.666666666664</v>
      </c>
      <c r="EDG2">
        <f>IF(COUNT(zip_med_inc_updated!EDG$2:EDG$4)=0,"",AVERAGE(zip_med_inc_updated!EDG$2:EDG$4))</f>
        <v>66247.333333333328</v>
      </c>
      <c r="EDH2">
        <f>IF(COUNT(zip_med_inc_updated!EDH$2:EDH$4)=0,"",AVERAGE(zip_med_inc_updated!EDH$2:EDH$4))</f>
        <v>58885.333333333336</v>
      </c>
      <c r="EDI2">
        <f>IF(COUNT(zip_med_inc_updated!EDI$2:EDI$4)=0,"",AVERAGE(zip_med_inc_updated!EDI$2:EDI$4))</f>
        <v>72565</v>
      </c>
      <c r="EDJ2">
        <f>IF(COUNT(zip_med_inc_updated!EDJ$2:EDJ$4)=0,"",AVERAGE(zip_med_inc_updated!EDJ$2:EDJ$4))</f>
        <v>36863.5</v>
      </c>
      <c r="EDK2">
        <f>IF(COUNT(zip_med_inc_updated!EDK$2:EDK$4)=0,"",AVERAGE(zip_med_inc_updated!EDK$2:EDK$4))</f>
        <v>41939.666666666664</v>
      </c>
      <c r="EDL2" t="str">
        <f>IF(COUNT(zip_med_inc_updated!EDL$2:EDL$4)=0,"",AVERAGE(zip_med_inc_updated!EDL$2:EDL$4))</f>
        <v/>
      </c>
      <c r="EDM2">
        <f>IF(COUNT(zip_med_inc_updated!EDM$2:EDM$4)=0,"",AVERAGE(zip_med_inc_updated!EDM$2:EDM$4))</f>
        <v>72429.333333333328</v>
      </c>
      <c r="EDN2">
        <f>IF(COUNT(zip_med_inc_updated!EDN$2:EDN$4)=0,"",AVERAGE(zip_med_inc_updated!EDN$2:EDN$4))</f>
        <v>41892.333333333336</v>
      </c>
      <c r="EDO2">
        <f>IF(COUNT(zip_med_inc_updated!EDO$2:EDO$4)=0,"",AVERAGE(zip_med_inc_updated!EDO$2:EDO$4))</f>
        <v>33943</v>
      </c>
      <c r="EDP2">
        <f>IF(COUNT(zip_med_inc_updated!EDP$2:EDP$4)=0,"",AVERAGE(zip_med_inc_updated!EDP$2:EDP$4))</f>
        <v>27163</v>
      </c>
      <c r="EDQ2">
        <f>IF(COUNT(zip_med_inc_updated!EDQ$2:EDQ$4)=0,"",AVERAGE(zip_med_inc_updated!EDQ$2:EDQ$4))</f>
        <v>46309.666666666664</v>
      </c>
      <c r="EDR2">
        <f>IF(COUNT(zip_med_inc_updated!EDR$2:EDR$4)=0,"",AVERAGE(zip_med_inc_updated!EDR$2:EDR$4))</f>
        <v>81240</v>
      </c>
      <c r="EDS2" t="str">
        <f>IF(COUNT(zip_med_inc_updated!EDS$2:EDS$4)=0,"",AVERAGE(zip_med_inc_updated!EDS$2:EDS$4))</f>
        <v/>
      </c>
      <c r="EDT2">
        <f>IF(COUNT(zip_med_inc_updated!EDT$2:EDT$4)=0,"",AVERAGE(zip_med_inc_updated!EDT$2:EDT$4))</f>
        <v>57663.333333333336</v>
      </c>
      <c r="EDU2">
        <f>IF(COUNT(zip_med_inc_updated!EDU$2:EDU$4)=0,"",AVERAGE(zip_med_inc_updated!EDU$2:EDU$4))</f>
        <v>30694.333333333332</v>
      </c>
      <c r="EDV2">
        <f>IF(COUNT(zip_med_inc_updated!EDV$2:EDV$4)=0,"",AVERAGE(zip_med_inc_updated!EDV$2:EDV$4))</f>
        <v>46467.666666666664</v>
      </c>
      <c r="EDW2">
        <f>IF(COUNT(zip_med_inc_updated!EDW$2:EDW$4)=0,"",AVERAGE(zip_med_inc_updated!EDW$2:EDW$4))</f>
        <v>48194.333333333336</v>
      </c>
      <c r="EDX2">
        <f>IF(COUNT(zip_med_inc_updated!EDX$2:EDX$4)=0,"",AVERAGE(zip_med_inc_updated!EDX$2:EDX$4))</f>
        <v>56895.333333333336</v>
      </c>
      <c r="EDY2">
        <f>IF(COUNT(zip_med_inc_updated!EDY$2:EDY$4)=0,"",AVERAGE(zip_med_inc_updated!EDY$2:EDY$4))</f>
        <v>55899.333333333336</v>
      </c>
      <c r="EDZ2">
        <f>IF(COUNT(zip_med_inc_updated!EDZ$2:EDZ$4)=0,"",AVERAGE(zip_med_inc_updated!EDZ$2:EDZ$4))</f>
        <v>57647.333333333336</v>
      </c>
      <c r="EEA2">
        <f>IF(COUNT(zip_med_inc_updated!EEA$2:EEA$4)=0,"",AVERAGE(zip_med_inc_updated!EEA$2:EEA$4))</f>
        <v>138516</v>
      </c>
      <c r="EEB2">
        <f>IF(COUNT(zip_med_inc_updated!EEB$2:EEB$4)=0,"",AVERAGE(zip_med_inc_updated!EEB$2:EEB$4))</f>
        <v>55891</v>
      </c>
      <c r="EEC2">
        <f>IF(COUNT(zip_med_inc_updated!EEC$2:EEC$4)=0,"",AVERAGE(zip_med_inc_updated!EEC$2:EEC$4))</f>
        <v>81789</v>
      </c>
      <c r="EED2">
        <f>IF(COUNT(zip_med_inc_updated!EED$2:EED$4)=0,"",AVERAGE(zip_med_inc_updated!EED$2:EED$4))</f>
        <v>49900</v>
      </c>
      <c r="EEE2">
        <f>IF(COUNT(zip_med_inc_updated!EEE$2:EEE$4)=0,"",AVERAGE(zip_med_inc_updated!EEE$2:EEE$4))</f>
        <v>45226.333333333336</v>
      </c>
      <c r="EEF2">
        <f>IF(COUNT(zip_med_inc_updated!EEF$2:EEF$4)=0,"",AVERAGE(zip_med_inc_updated!EEF$2:EEF$4))</f>
        <v>54847.333333333336</v>
      </c>
      <c r="EEG2">
        <f>IF(COUNT(zip_med_inc_updated!EEG$2:EEG$4)=0,"",AVERAGE(zip_med_inc_updated!EEG$2:EEG$4))</f>
        <v>59241.333333333336</v>
      </c>
      <c r="EEH2">
        <f>IF(COUNT(zip_med_inc_updated!EEH$2:EEH$4)=0,"",AVERAGE(zip_med_inc_updated!EEH$2:EEH$4))</f>
        <v>35840.666666666664</v>
      </c>
      <c r="EEI2">
        <f>IF(COUNT(zip_med_inc_updated!EEI$2:EEI$4)=0,"",AVERAGE(zip_med_inc_updated!EEI$2:EEI$4))</f>
        <v>56622.5</v>
      </c>
      <c r="EEJ2">
        <f>IF(COUNT(zip_med_inc_updated!EEJ$2:EEJ$4)=0,"",AVERAGE(zip_med_inc_updated!EEJ$2:EEJ$4))</f>
        <v>74698</v>
      </c>
      <c r="EEK2" t="str">
        <f>IF(COUNT(zip_med_inc_updated!EEK$2:EEK$4)=0,"",AVERAGE(zip_med_inc_updated!EEK$2:EEK$4))</f>
        <v/>
      </c>
      <c r="EEL2">
        <f>IF(COUNT(zip_med_inc_updated!EEL$2:EEL$4)=0,"",AVERAGE(zip_med_inc_updated!EEL$2:EEL$4))</f>
        <v>66735.666666666672</v>
      </c>
      <c r="EEM2">
        <f>IF(COUNT(zip_med_inc_updated!EEM$2:EEM$4)=0,"",AVERAGE(zip_med_inc_updated!EEM$2:EEM$4))</f>
        <v>74010.333333333328</v>
      </c>
      <c r="EEN2">
        <f>IF(COUNT(zip_med_inc_updated!EEN$2:EEN$4)=0,"",AVERAGE(zip_med_inc_updated!EEN$2:EEN$4))</f>
        <v>59320.666666666664</v>
      </c>
      <c r="EEO2">
        <f>IF(COUNT(zip_med_inc_updated!EEO$2:EEO$4)=0,"",AVERAGE(zip_med_inc_updated!EEO$2:EEO$4))</f>
        <v>52665.333333333336</v>
      </c>
      <c r="EEP2">
        <f>IF(COUNT(zip_med_inc_updated!EEP$2:EEP$4)=0,"",AVERAGE(zip_med_inc_updated!EEP$2:EEP$4))</f>
        <v>48125</v>
      </c>
      <c r="EEQ2">
        <f>IF(COUNT(zip_med_inc_updated!EEQ$2:EEQ$4)=0,"",AVERAGE(zip_med_inc_updated!EEQ$2:EEQ$4))</f>
        <v>54479.333333333336</v>
      </c>
      <c r="EER2">
        <f>IF(COUNT(zip_med_inc_updated!EER$2:EER$4)=0,"",AVERAGE(zip_med_inc_updated!EER$2:EER$4))</f>
        <v>45800</v>
      </c>
      <c r="EES2">
        <f>IF(COUNT(zip_med_inc_updated!EES$2:EES$4)=0,"",AVERAGE(zip_med_inc_updated!EES$2:EES$4))</f>
        <v>51210</v>
      </c>
      <c r="EET2">
        <f>IF(COUNT(zip_med_inc_updated!EET$2:EET$4)=0,"",AVERAGE(zip_med_inc_updated!EET$2:EET$4))</f>
        <v>63411.333333333336</v>
      </c>
      <c r="EEU2">
        <f>IF(COUNT(zip_med_inc_updated!EEU$2:EEU$4)=0,"",AVERAGE(zip_med_inc_updated!EEU$2:EEU$4))</f>
        <v>72948.666666666672</v>
      </c>
      <c r="EEV2">
        <f>IF(COUNT(zip_med_inc_updated!EEV$2:EEV$4)=0,"",AVERAGE(zip_med_inc_updated!EEV$2:EEV$4))</f>
        <v>51159.666666666664</v>
      </c>
      <c r="EEW2">
        <f>IF(COUNT(zip_med_inc_updated!EEW$2:EEW$4)=0,"",AVERAGE(zip_med_inc_updated!EEW$2:EEW$4))</f>
        <v>44297.333333333336</v>
      </c>
      <c r="EEX2">
        <f>IF(COUNT(zip_med_inc_updated!EEX$2:EEX$4)=0,"",AVERAGE(zip_med_inc_updated!EEX$2:EEX$4))</f>
        <v>27421</v>
      </c>
      <c r="EEY2">
        <f>IF(COUNT(zip_med_inc_updated!EEY$2:EEY$4)=0,"",AVERAGE(zip_med_inc_updated!EEY$2:EEY$4))</f>
        <v>115729</v>
      </c>
      <c r="EEZ2">
        <f>IF(COUNT(zip_med_inc_updated!EEZ$2:EEZ$4)=0,"",AVERAGE(zip_med_inc_updated!EEZ$2:EEZ$4))</f>
        <v>42073</v>
      </c>
      <c r="EFA2">
        <f>IF(COUNT(zip_med_inc_updated!EFA$2:EFA$4)=0,"",AVERAGE(zip_med_inc_updated!EFA$2:EFA$4))</f>
        <v>65867.666666666672</v>
      </c>
      <c r="EFB2">
        <f>IF(COUNT(zip_med_inc_updated!EFB$2:EFB$4)=0,"",AVERAGE(zip_med_inc_updated!EFB$2:EFB$4))</f>
        <v>56139.666666666664</v>
      </c>
      <c r="EFC2">
        <f>IF(COUNT(zip_med_inc_updated!EFC$2:EFC$4)=0,"",AVERAGE(zip_med_inc_updated!EFC$2:EFC$4))</f>
        <v>51784.333333333336</v>
      </c>
      <c r="EFD2">
        <f>IF(COUNT(zip_med_inc_updated!EFD$2:EFD$4)=0,"",AVERAGE(zip_med_inc_updated!EFD$2:EFD$4))</f>
        <v>42686</v>
      </c>
      <c r="EFE2">
        <f>IF(COUNT(zip_med_inc_updated!EFE$2:EFE$4)=0,"",AVERAGE(zip_med_inc_updated!EFE$2:EFE$4))</f>
        <v>42899.5</v>
      </c>
      <c r="EFF2">
        <f>IF(COUNT(zip_med_inc_updated!EFF$2:EFF$4)=0,"",AVERAGE(zip_med_inc_updated!EFF$2:EFF$4))</f>
        <v>67686.666666666672</v>
      </c>
      <c r="EFG2">
        <f>IF(COUNT(zip_med_inc_updated!EFG$2:EFG$4)=0,"",AVERAGE(zip_med_inc_updated!EFG$2:EFG$4))</f>
        <v>64780</v>
      </c>
      <c r="EFH2">
        <f>IF(COUNT(zip_med_inc_updated!EFH$2:EFH$4)=0,"",AVERAGE(zip_med_inc_updated!EFH$2:EFH$4))</f>
        <v>36706.5</v>
      </c>
      <c r="EFI2" t="str">
        <f>IF(COUNT(zip_med_inc_updated!EFI$2:EFI$4)=0,"",AVERAGE(zip_med_inc_updated!EFI$2:EFI$4))</f>
        <v/>
      </c>
      <c r="EFJ2">
        <f>IF(COUNT(zip_med_inc_updated!EFJ$2:EFJ$4)=0,"",AVERAGE(zip_med_inc_updated!EFJ$2:EFJ$4))</f>
        <v>57610</v>
      </c>
      <c r="EFK2">
        <f>IF(COUNT(zip_med_inc_updated!EFK$2:EFK$4)=0,"",AVERAGE(zip_med_inc_updated!EFK$2:EFK$4))</f>
        <v>58494</v>
      </c>
      <c r="EFL2">
        <f>IF(COUNT(zip_med_inc_updated!EFL$2:EFL$4)=0,"",AVERAGE(zip_med_inc_updated!EFL$2:EFL$4))</f>
        <v>54004.333333333336</v>
      </c>
      <c r="EFM2">
        <f>IF(COUNT(zip_med_inc_updated!EFM$2:EFM$4)=0,"",AVERAGE(zip_med_inc_updated!EFM$2:EFM$4))</f>
        <v>52471.5</v>
      </c>
      <c r="EFN2" t="str">
        <f>IF(COUNT(zip_med_inc_updated!EFN$2:EFN$4)=0,"",AVERAGE(zip_med_inc_updated!EFN$2:EFN$4))</f>
        <v/>
      </c>
      <c r="EFO2">
        <f>IF(COUNT(zip_med_inc_updated!EFO$2:EFO$4)=0,"",AVERAGE(zip_med_inc_updated!EFO$2:EFO$4))</f>
        <v>48376.666666666664</v>
      </c>
      <c r="EFP2">
        <f>IF(COUNT(zip_med_inc_updated!EFP$2:EFP$4)=0,"",AVERAGE(zip_med_inc_updated!EFP$2:EFP$4))</f>
        <v>50924</v>
      </c>
      <c r="EFQ2">
        <f>IF(COUNT(zip_med_inc_updated!EFQ$2:EFQ$4)=0,"",AVERAGE(zip_med_inc_updated!EFQ$2:EFQ$4))</f>
        <v>53418.666666666664</v>
      </c>
      <c r="EFR2">
        <f>IF(COUNT(zip_med_inc_updated!EFR$2:EFR$4)=0,"",AVERAGE(zip_med_inc_updated!EFR$2:EFR$4))</f>
        <v>63082.666666666664</v>
      </c>
      <c r="EFS2">
        <f>IF(COUNT(zip_med_inc_updated!EFS$2:EFS$4)=0,"",AVERAGE(zip_med_inc_updated!EFS$2:EFS$4))</f>
        <v>57475</v>
      </c>
      <c r="EFT2">
        <f>IF(COUNT(zip_med_inc_updated!EFT$2:EFT$4)=0,"",AVERAGE(zip_med_inc_updated!EFT$2:EFT$4))</f>
        <v>35824.666666666664</v>
      </c>
      <c r="EFU2">
        <f>IF(COUNT(zip_med_inc_updated!EFU$2:EFU$4)=0,"",AVERAGE(zip_med_inc_updated!EFU$2:EFU$4))</f>
        <v>68365.333333333328</v>
      </c>
      <c r="EFV2">
        <f>IF(COUNT(zip_med_inc_updated!EFV$2:EFV$4)=0,"",AVERAGE(zip_med_inc_updated!EFV$2:EFV$4))</f>
        <v>78083.333333333328</v>
      </c>
      <c r="EFW2">
        <f>IF(COUNT(zip_med_inc_updated!EFW$2:EFW$4)=0,"",AVERAGE(zip_med_inc_updated!EFW$2:EFW$4))</f>
        <v>64170</v>
      </c>
      <c r="EFX2">
        <f>IF(COUNT(zip_med_inc_updated!EFX$2:EFX$4)=0,"",AVERAGE(zip_med_inc_updated!EFX$2:EFX$4))</f>
        <v>79735.333333333328</v>
      </c>
      <c r="EFY2">
        <f>IF(COUNT(zip_med_inc_updated!EFY$2:EFY$4)=0,"",AVERAGE(zip_med_inc_updated!EFY$2:EFY$4))</f>
        <v>51797</v>
      </c>
      <c r="EFZ2">
        <f>IF(COUNT(zip_med_inc_updated!EFZ$2:EFZ$4)=0,"",AVERAGE(zip_med_inc_updated!EFZ$2:EFZ$4))</f>
        <v>57102</v>
      </c>
      <c r="EGA2">
        <f>IF(COUNT(zip_med_inc_updated!EGA$2:EGA$4)=0,"",AVERAGE(zip_med_inc_updated!EGA$2:EGA$4))</f>
        <v>28417.333333333332</v>
      </c>
      <c r="EGB2">
        <f>IF(COUNT(zip_med_inc_updated!EGB$2:EGB$4)=0,"",AVERAGE(zip_med_inc_updated!EGB$2:EGB$4))</f>
        <v>34934</v>
      </c>
      <c r="EGC2">
        <f>IF(COUNT(zip_med_inc_updated!EGC$2:EGC$4)=0,"",AVERAGE(zip_med_inc_updated!EGC$2:EGC$4))</f>
        <v>44207.333333333336</v>
      </c>
      <c r="EGD2">
        <f>IF(COUNT(zip_med_inc_updated!EGD$2:EGD$4)=0,"",AVERAGE(zip_med_inc_updated!EGD$2:EGD$4))</f>
        <v>47578.666666666664</v>
      </c>
      <c r="EGE2">
        <f>IF(COUNT(zip_med_inc_updated!EGE$2:EGE$4)=0,"",AVERAGE(zip_med_inc_updated!EGE$2:EGE$4))</f>
        <v>34779.5</v>
      </c>
      <c r="EGF2" t="str">
        <f>IF(COUNT(zip_med_inc_updated!EGF$2:EGF$4)=0,"",AVERAGE(zip_med_inc_updated!EGF$2:EGF$4))</f>
        <v/>
      </c>
      <c r="EGG2">
        <f>IF(COUNT(zip_med_inc_updated!EGG$2:EGG$4)=0,"",AVERAGE(zip_med_inc_updated!EGG$2:EGG$4))</f>
        <v>84791.5</v>
      </c>
      <c r="EGH2" t="str">
        <f>IF(COUNT(zip_med_inc_updated!EGH$2:EGH$4)=0,"",AVERAGE(zip_med_inc_updated!EGH$2:EGH$4))</f>
        <v/>
      </c>
      <c r="EGI2">
        <f>IF(COUNT(zip_med_inc_updated!EGI$2:EGI$4)=0,"",AVERAGE(zip_med_inc_updated!EGI$2:EGI$4))</f>
        <v>57570.333333333336</v>
      </c>
      <c r="EGJ2">
        <f>IF(COUNT(zip_med_inc_updated!EGJ$2:EGJ$4)=0,"",AVERAGE(zip_med_inc_updated!EGJ$2:EGJ$4))</f>
        <v>47153.333333333336</v>
      </c>
      <c r="EGK2">
        <f>IF(COUNT(zip_med_inc_updated!EGK$2:EGK$4)=0,"",AVERAGE(zip_med_inc_updated!EGK$2:EGK$4))</f>
        <v>29699.333333333332</v>
      </c>
      <c r="EGL2" t="str">
        <f>IF(COUNT(zip_med_inc_updated!EGL$2:EGL$4)=0,"",AVERAGE(zip_med_inc_updated!EGL$2:EGL$4))</f>
        <v/>
      </c>
      <c r="EGM2" t="str">
        <f>IF(COUNT(zip_med_inc_updated!EGM$2:EGM$4)=0,"",AVERAGE(zip_med_inc_updated!EGM$2:EGM$4))</f>
        <v/>
      </c>
      <c r="EGN2">
        <f>IF(COUNT(zip_med_inc_updated!EGN$2:EGN$4)=0,"",AVERAGE(zip_med_inc_updated!EGN$2:EGN$4))</f>
        <v>47720</v>
      </c>
      <c r="EGO2" t="str">
        <f>IF(COUNT(zip_med_inc_updated!EGO$2:EGO$4)=0,"",AVERAGE(zip_med_inc_updated!EGO$2:EGO$4))</f>
        <v/>
      </c>
      <c r="EGP2">
        <f>IF(COUNT(zip_med_inc_updated!EGP$2:EGP$4)=0,"",AVERAGE(zip_med_inc_updated!EGP$2:EGP$4))</f>
        <v>79097</v>
      </c>
      <c r="EGQ2">
        <f>IF(COUNT(zip_med_inc_updated!EGQ$2:EGQ$4)=0,"",AVERAGE(zip_med_inc_updated!EGQ$2:EGQ$4))</f>
        <v>43973.666666666664</v>
      </c>
      <c r="EGR2">
        <f>IF(COUNT(zip_med_inc_updated!EGR$2:EGR$4)=0,"",AVERAGE(zip_med_inc_updated!EGR$2:EGR$4))</f>
        <v>50696.666666666664</v>
      </c>
      <c r="EGS2">
        <f>IF(COUNT(zip_med_inc_updated!EGS$2:EGS$4)=0,"",AVERAGE(zip_med_inc_updated!EGS$2:EGS$4))</f>
        <v>46335</v>
      </c>
      <c r="EGT2">
        <f>IF(COUNT(zip_med_inc_updated!EGT$2:EGT$4)=0,"",AVERAGE(zip_med_inc_updated!EGT$2:EGT$4))</f>
        <v>62155.333333333336</v>
      </c>
      <c r="EGU2">
        <f>IF(COUNT(zip_med_inc_updated!EGU$2:EGU$4)=0,"",AVERAGE(zip_med_inc_updated!EGU$2:EGU$4))</f>
        <v>75529</v>
      </c>
      <c r="EGV2">
        <f>IF(COUNT(zip_med_inc_updated!EGV$2:EGV$4)=0,"",AVERAGE(zip_med_inc_updated!EGV$2:EGV$4))</f>
        <v>62989.666666666664</v>
      </c>
      <c r="EGW2">
        <f>IF(COUNT(zip_med_inc_updated!EGW$2:EGW$4)=0,"",AVERAGE(zip_med_inc_updated!EGW$2:EGW$4))</f>
        <v>63299.666666666664</v>
      </c>
      <c r="EGX2">
        <f>IF(COUNT(zip_med_inc_updated!EGX$2:EGX$4)=0,"",AVERAGE(zip_med_inc_updated!EGX$2:EGX$4))</f>
        <v>76029.666666666672</v>
      </c>
      <c r="EGY2">
        <f>IF(COUNT(zip_med_inc_updated!EGY$2:EGY$4)=0,"",AVERAGE(zip_med_inc_updated!EGY$2:EGY$4))</f>
        <v>33264.333333333336</v>
      </c>
      <c r="EGZ2">
        <f>IF(COUNT(zip_med_inc_updated!EGZ$2:EGZ$4)=0,"",AVERAGE(zip_med_inc_updated!EGZ$2:EGZ$4))</f>
        <v>53162</v>
      </c>
      <c r="EHA2">
        <f>IF(COUNT(zip_med_inc_updated!EHA$2:EHA$4)=0,"",AVERAGE(zip_med_inc_updated!EHA$2:EHA$4))</f>
        <v>48358.666666666664</v>
      </c>
      <c r="EHB2" t="str">
        <f>IF(COUNT(zip_med_inc_updated!EHB$2:EHB$4)=0,"",AVERAGE(zip_med_inc_updated!EHB$2:EHB$4))</f>
        <v/>
      </c>
      <c r="EHC2">
        <f>IF(COUNT(zip_med_inc_updated!EHC$2:EHC$4)=0,"",AVERAGE(zip_med_inc_updated!EHC$2:EHC$4))</f>
        <v>70279</v>
      </c>
      <c r="EHD2" t="str">
        <f>IF(COUNT(zip_med_inc_updated!EHD$2:EHD$4)=0,"",AVERAGE(zip_med_inc_updated!EHD$2:EHD$4))</f>
        <v/>
      </c>
      <c r="EHE2">
        <f>IF(COUNT(zip_med_inc_updated!EHE$2:EHE$4)=0,"",AVERAGE(zip_med_inc_updated!EHE$2:EHE$4))</f>
        <v>63507.333333333336</v>
      </c>
      <c r="EHF2">
        <f>IF(COUNT(zip_med_inc_updated!EHF$2:EHF$4)=0,"",AVERAGE(zip_med_inc_updated!EHF$2:EHF$4))</f>
        <v>59717.666666666664</v>
      </c>
      <c r="EHG2">
        <f>IF(COUNT(zip_med_inc_updated!EHG$2:EHG$4)=0,"",AVERAGE(zip_med_inc_updated!EHG$2:EHG$4))</f>
        <v>36446.666666666664</v>
      </c>
      <c r="EHH2">
        <f>IF(COUNT(zip_med_inc_updated!EHH$2:EHH$4)=0,"",AVERAGE(zip_med_inc_updated!EHH$2:EHH$4))</f>
        <v>38158.666666666664</v>
      </c>
      <c r="EHI2">
        <f>IF(COUNT(zip_med_inc_updated!EHI$2:EHI$4)=0,"",AVERAGE(zip_med_inc_updated!EHI$2:EHI$4))</f>
        <v>43194.5</v>
      </c>
      <c r="EHJ2">
        <f>IF(COUNT(zip_med_inc_updated!EHJ$2:EHJ$4)=0,"",AVERAGE(zip_med_inc_updated!EHJ$2:EHJ$4))</f>
        <v>60539.333333333336</v>
      </c>
      <c r="EHK2">
        <f>IF(COUNT(zip_med_inc_updated!EHK$2:EHK$4)=0,"",AVERAGE(zip_med_inc_updated!EHK$2:EHK$4))</f>
        <v>59311.333333333336</v>
      </c>
      <c r="EHL2">
        <f>IF(COUNT(zip_med_inc_updated!EHL$2:EHL$4)=0,"",AVERAGE(zip_med_inc_updated!EHL$2:EHL$4))</f>
        <v>48323.666666666664</v>
      </c>
      <c r="EHM2" t="str">
        <f>IF(COUNT(zip_med_inc_updated!EHM$2:EHM$4)=0,"",AVERAGE(zip_med_inc_updated!EHM$2:EHM$4))</f>
        <v/>
      </c>
      <c r="EHN2">
        <f>IF(COUNT(zip_med_inc_updated!EHN$2:EHN$4)=0,"",AVERAGE(zip_med_inc_updated!EHN$2:EHN$4))</f>
        <v>61982.333333333336</v>
      </c>
      <c r="EHO2">
        <f>IF(COUNT(zip_med_inc_updated!EHO$2:EHO$4)=0,"",AVERAGE(zip_med_inc_updated!EHO$2:EHO$4))</f>
        <v>29861</v>
      </c>
      <c r="EHP2">
        <f>IF(COUNT(zip_med_inc_updated!EHP$2:EHP$4)=0,"",AVERAGE(zip_med_inc_updated!EHP$2:EHP$4))</f>
        <v>52512</v>
      </c>
      <c r="EHQ2">
        <f>IF(COUNT(zip_med_inc_updated!EHQ$2:EHQ$4)=0,"",AVERAGE(zip_med_inc_updated!EHQ$2:EHQ$4))</f>
        <v>36549.666666666664</v>
      </c>
      <c r="EHR2" t="str">
        <f>IF(COUNT(zip_med_inc_updated!EHR$2:EHR$4)=0,"",AVERAGE(zip_med_inc_updated!EHR$2:EHR$4))</f>
        <v/>
      </c>
      <c r="EHS2" t="str">
        <f>IF(COUNT(zip_med_inc_updated!EHS$2:EHS$4)=0,"",AVERAGE(zip_med_inc_updated!EHS$2:EHS$4))</f>
        <v/>
      </c>
      <c r="EHT2">
        <f>IF(COUNT(zip_med_inc_updated!EHT$2:EHT$4)=0,"",AVERAGE(zip_med_inc_updated!EHT$2:EHT$4))</f>
        <v>54027.666666666664</v>
      </c>
      <c r="EHU2">
        <f>IF(COUNT(zip_med_inc_updated!EHU$2:EHU$4)=0,"",AVERAGE(zip_med_inc_updated!EHU$2:EHU$4))</f>
        <v>110853.5</v>
      </c>
      <c r="EHV2">
        <f>IF(COUNT(zip_med_inc_updated!EHV$2:EHV$4)=0,"",AVERAGE(zip_med_inc_updated!EHV$2:EHV$4))</f>
        <v>40561</v>
      </c>
      <c r="EHW2" t="str">
        <f>IF(COUNT(zip_med_inc_updated!EHW$2:EHW$4)=0,"",AVERAGE(zip_med_inc_updated!EHW$2:EHW$4))</f>
        <v/>
      </c>
      <c r="EHX2">
        <f>IF(COUNT(zip_med_inc_updated!EHX$2:EHX$4)=0,"",AVERAGE(zip_med_inc_updated!EHX$2:EHX$4))</f>
        <v>60104</v>
      </c>
      <c r="EHY2">
        <f>IF(COUNT(zip_med_inc_updated!EHY$2:EHY$4)=0,"",AVERAGE(zip_med_inc_updated!EHY$2:EHY$4))</f>
        <v>49361.666666666664</v>
      </c>
      <c r="EHZ2">
        <f>IF(COUNT(zip_med_inc_updated!EHZ$2:EHZ$4)=0,"",AVERAGE(zip_med_inc_updated!EHZ$2:EHZ$4))</f>
        <v>66168.333333333328</v>
      </c>
      <c r="EIA2">
        <f>IF(COUNT(zip_med_inc_updated!EIA$2:EIA$4)=0,"",AVERAGE(zip_med_inc_updated!EIA$2:EIA$4))</f>
        <v>72864</v>
      </c>
      <c r="EIB2">
        <f>IF(COUNT(zip_med_inc_updated!EIB$2:EIB$4)=0,"",AVERAGE(zip_med_inc_updated!EIB$2:EIB$4))</f>
        <v>27682</v>
      </c>
      <c r="EIC2">
        <f>IF(COUNT(zip_med_inc_updated!EIC$2:EIC$4)=0,"",AVERAGE(zip_med_inc_updated!EIC$2:EIC$4))</f>
        <v>36180.5</v>
      </c>
      <c r="EID2" t="str">
        <f>IF(COUNT(zip_med_inc_updated!EID$2:EID$4)=0,"",AVERAGE(zip_med_inc_updated!EID$2:EID$4))</f>
        <v/>
      </c>
      <c r="EIE2">
        <f>IF(COUNT(zip_med_inc_updated!EIE$2:EIE$4)=0,"",AVERAGE(zip_med_inc_updated!EIE$2:EIE$4))</f>
        <v>87836.666666666672</v>
      </c>
      <c r="EIF2">
        <f>IF(COUNT(zip_med_inc_updated!EIF$2:EIF$4)=0,"",AVERAGE(zip_med_inc_updated!EIF$2:EIF$4))</f>
        <v>59096.666666666664</v>
      </c>
      <c r="EIG2">
        <f>IF(COUNT(zip_med_inc_updated!EIG$2:EIG$4)=0,"",AVERAGE(zip_med_inc_updated!EIG$2:EIG$4))</f>
        <v>49641.666666666664</v>
      </c>
      <c r="EIH2">
        <f>IF(COUNT(zip_med_inc_updated!EIH$2:EIH$4)=0,"",AVERAGE(zip_med_inc_updated!EIH$2:EIH$4))</f>
        <v>88581.666666666672</v>
      </c>
      <c r="EII2">
        <f>IF(COUNT(zip_med_inc_updated!EII$2:EII$4)=0,"",AVERAGE(zip_med_inc_updated!EII$2:EII$4))</f>
        <v>85208</v>
      </c>
      <c r="EIJ2">
        <f>IF(COUNT(zip_med_inc_updated!EIJ$2:EIJ$4)=0,"",AVERAGE(zip_med_inc_updated!EIJ$2:EIJ$4))</f>
        <v>48634.333333333336</v>
      </c>
      <c r="EIK2">
        <f>IF(COUNT(zip_med_inc_updated!EIK$2:EIK$4)=0,"",AVERAGE(zip_med_inc_updated!EIK$2:EIK$4))</f>
        <v>42023.333333333336</v>
      </c>
      <c r="EIL2">
        <f>IF(COUNT(zip_med_inc_updated!EIL$2:EIL$4)=0,"",AVERAGE(zip_med_inc_updated!EIL$2:EIL$4))</f>
        <v>68858</v>
      </c>
      <c r="EIM2">
        <f>IF(COUNT(zip_med_inc_updated!EIM$2:EIM$4)=0,"",AVERAGE(zip_med_inc_updated!EIM$2:EIM$4))</f>
        <v>51010.333333333336</v>
      </c>
      <c r="EIN2" t="str">
        <f>IF(COUNT(zip_med_inc_updated!EIN$2:EIN$4)=0,"",AVERAGE(zip_med_inc_updated!EIN$2:EIN$4))</f>
        <v/>
      </c>
      <c r="EIO2">
        <f>IF(COUNT(zip_med_inc_updated!EIO$2:EIO$4)=0,"",AVERAGE(zip_med_inc_updated!EIO$2:EIO$4))</f>
        <v>55404.666666666664</v>
      </c>
      <c r="EIP2">
        <f>IF(COUNT(zip_med_inc_updated!EIP$2:EIP$4)=0,"",AVERAGE(zip_med_inc_updated!EIP$2:EIP$4))</f>
        <v>52350.333333333336</v>
      </c>
      <c r="EIQ2">
        <f>IF(COUNT(zip_med_inc_updated!EIQ$2:EIQ$4)=0,"",AVERAGE(zip_med_inc_updated!EIQ$2:EIQ$4))</f>
        <v>52247.333333333336</v>
      </c>
      <c r="EIR2">
        <f>IF(COUNT(zip_med_inc_updated!EIR$2:EIR$4)=0,"",AVERAGE(zip_med_inc_updated!EIR$2:EIR$4))</f>
        <v>82697</v>
      </c>
      <c r="EIS2">
        <f>IF(COUNT(zip_med_inc_updated!EIS$2:EIS$4)=0,"",AVERAGE(zip_med_inc_updated!EIS$2:EIS$4))</f>
        <v>47774</v>
      </c>
      <c r="EIT2" t="str">
        <f>IF(COUNT(zip_med_inc_updated!EIT$2:EIT$4)=0,"",AVERAGE(zip_med_inc_updated!EIT$2:EIT$4))</f>
        <v/>
      </c>
      <c r="EIU2" t="str">
        <f>IF(COUNT(zip_med_inc_updated!EIU$2:EIU$4)=0,"",AVERAGE(zip_med_inc_updated!EIU$2:EIU$4))</f>
        <v/>
      </c>
      <c r="EIV2">
        <f>IF(COUNT(zip_med_inc_updated!EIV$2:EIV$4)=0,"",AVERAGE(zip_med_inc_updated!EIV$2:EIV$4))</f>
        <v>135986.66666666666</v>
      </c>
      <c r="EIW2">
        <f>IF(COUNT(zip_med_inc_updated!EIW$2:EIW$4)=0,"",AVERAGE(zip_med_inc_updated!EIW$2:EIW$4))</f>
        <v>53767.333333333336</v>
      </c>
      <c r="EIX2">
        <f>IF(COUNT(zip_med_inc_updated!EIX$2:EIX$4)=0,"",AVERAGE(zip_med_inc_updated!EIX$2:EIX$4))</f>
        <v>39554.666666666664</v>
      </c>
      <c r="EIY2">
        <f>IF(COUNT(zip_med_inc_updated!EIY$2:EIY$4)=0,"",AVERAGE(zip_med_inc_updated!EIY$2:EIY$4))</f>
        <v>50070.666666666664</v>
      </c>
      <c r="EIZ2">
        <f>IF(COUNT(zip_med_inc_updated!EIZ$2:EIZ$4)=0,"",AVERAGE(zip_med_inc_updated!EIZ$2:EIZ$4))</f>
        <v>69290.666666666672</v>
      </c>
      <c r="EJA2">
        <f>IF(COUNT(zip_med_inc_updated!EJA$2:EJA$4)=0,"",AVERAGE(zip_med_inc_updated!EJA$2:EJA$4))</f>
        <v>66917</v>
      </c>
      <c r="EJB2">
        <f>IF(COUNT(zip_med_inc_updated!EJB$2:EJB$4)=0,"",AVERAGE(zip_med_inc_updated!EJB$2:EJB$4))</f>
        <v>74540</v>
      </c>
      <c r="EJC2">
        <f>IF(COUNT(zip_med_inc_updated!EJC$2:EJC$4)=0,"",AVERAGE(zip_med_inc_updated!EJC$2:EJC$4))</f>
        <v>65717.666666666672</v>
      </c>
      <c r="EJD2">
        <f>IF(COUNT(zip_med_inc_updated!EJD$2:EJD$4)=0,"",AVERAGE(zip_med_inc_updated!EJD$2:EJD$4))</f>
        <v>14755</v>
      </c>
      <c r="EJE2">
        <f>IF(COUNT(zip_med_inc_updated!EJE$2:EJE$4)=0,"",AVERAGE(zip_med_inc_updated!EJE$2:EJE$4))</f>
        <v>70492</v>
      </c>
      <c r="EJF2">
        <f>IF(COUNT(zip_med_inc_updated!EJF$2:EJF$4)=0,"",AVERAGE(zip_med_inc_updated!EJF$2:EJF$4))</f>
        <v>72592.666666666672</v>
      </c>
      <c r="EJG2">
        <f>IF(COUNT(zip_med_inc_updated!EJG$2:EJG$4)=0,"",AVERAGE(zip_med_inc_updated!EJG$2:EJG$4))</f>
        <v>53730</v>
      </c>
      <c r="EJH2">
        <f>IF(COUNT(zip_med_inc_updated!EJH$2:EJH$4)=0,"",AVERAGE(zip_med_inc_updated!EJH$2:EJH$4))</f>
        <v>48375.333333333336</v>
      </c>
      <c r="EJI2">
        <f>IF(COUNT(zip_med_inc_updated!EJI$2:EJI$4)=0,"",AVERAGE(zip_med_inc_updated!EJI$2:EJI$4))</f>
        <v>55557</v>
      </c>
      <c r="EJJ2">
        <f>IF(COUNT(zip_med_inc_updated!EJJ$2:EJJ$4)=0,"",AVERAGE(zip_med_inc_updated!EJJ$2:EJJ$4))</f>
        <v>60504.666666666664</v>
      </c>
      <c r="EJK2">
        <f>IF(COUNT(zip_med_inc_updated!EJK$2:EJK$4)=0,"",AVERAGE(zip_med_inc_updated!EJK$2:EJK$4))</f>
        <v>49174.333333333336</v>
      </c>
      <c r="EJL2">
        <f>IF(COUNT(zip_med_inc_updated!EJL$2:EJL$4)=0,"",AVERAGE(zip_med_inc_updated!EJL$2:EJL$4))</f>
        <v>56439.333333333336</v>
      </c>
      <c r="EJM2">
        <f>IF(COUNT(zip_med_inc_updated!EJM$2:EJM$4)=0,"",AVERAGE(zip_med_inc_updated!EJM$2:EJM$4))</f>
        <v>41395.333333333336</v>
      </c>
      <c r="EJN2">
        <f>IF(COUNT(zip_med_inc_updated!EJN$2:EJN$4)=0,"",AVERAGE(zip_med_inc_updated!EJN$2:EJN$4))</f>
        <v>70199</v>
      </c>
      <c r="EJO2">
        <f>IF(COUNT(zip_med_inc_updated!EJO$2:EJO$4)=0,"",AVERAGE(zip_med_inc_updated!EJO$2:EJO$4))</f>
        <v>29200</v>
      </c>
      <c r="EJP2">
        <f>IF(COUNT(zip_med_inc_updated!EJP$2:EJP$4)=0,"",AVERAGE(zip_med_inc_updated!EJP$2:EJP$4))</f>
        <v>43921.333333333336</v>
      </c>
      <c r="EJQ2">
        <f>IF(COUNT(zip_med_inc_updated!EJQ$2:EJQ$4)=0,"",AVERAGE(zip_med_inc_updated!EJQ$2:EJQ$4))</f>
        <v>53074.666666666664</v>
      </c>
      <c r="EJR2">
        <f>IF(COUNT(zip_med_inc_updated!EJR$2:EJR$4)=0,"",AVERAGE(zip_med_inc_updated!EJR$2:EJR$4))</f>
        <v>47903</v>
      </c>
      <c r="EJS2">
        <f>IF(COUNT(zip_med_inc_updated!EJS$2:EJS$4)=0,"",AVERAGE(zip_med_inc_updated!EJS$2:EJS$4))</f>
        <v>54425.333333333336</v>
      </c>
      <c r="EJT2" t="str">
        <f>IF(COUNT(zip_med_inc_updated!EJT$2:EJT$4)=0,"",AVERAGE(zip_med_inc_updated!EJT$2:EJT$4))</f>
        <v/>
      </c>
      <c r="EJU2">
        <f>IF(COUNT(zip_med_inc_updated!EJU$2:EJU$4)=0,"",AVERAGE(zip_med_inc_updated!EJU$2:EJU$4))</f>
        <v>29724.5</v>
      </c>
      <c r="EJV2">
        <f>IF(COUNT(zip_med_inc_updated!EJV$2:EJV$4)=0,"",AVERAGE(zip_med_inc_updated!EJV$2:EJV$4))</f>
        <v>68750</v>
      </c>
      <c r="EJW2">
        <f>IF(COUNT(zip_med_inc_updated!EJW$2:EJW$4)=0,"",AVERAGE(zip_med_inc_updated!EJW$2:EJW$4))</f>
        <v>78669</v>
      </c>
      <c r="EJX2">
        <f>IF(COUNT(zip_med_inc_updated!EJX$2:EJX$4)=0,"",AVERAGE(zip_med_inc_updated!EJX$2:EJX$4))</f>
        <v>71129</v>
      </c>
      <c r="EJY2">
        <f>IF(COUNT(zip_med_inc_updated!EJY$2:EJY$4)=0,"",AVERAGE(zip_med_inc_updated!EJY$2:EJY$4))</f>
        <v>81916.333333333328</v>
      </c>
      <c r="EJZ2">
        <f>IF(COUNT(zip_med_inc_updated!EJZ$2:EJZ$4)=0,"",AVERAGE(zip_med_inc_updated!EJZ$2:EJZ$4))</f>
        <v>47537</v>
      </c>
      <c r="EKA2">
        <f>IF(COUNT(zip_med_inc_updated!EKA$2:EKA$4)=0,"",AVERAGE(zip_med_inc_updated!EKA$2:EKA$4))</f>
        <v>54410</v>
      </c>
      <c r="EKB2">
        <f>IF(COUNT(zip_med_inc_updated!EKB$2:EKB$4)=0,"",AVERAGE(zip_med_inc_updated!EKB$2:EKB$4))</f>
        <v>42642</v>
      </c>
      <c r="EKC2">
        <f>IF(COUNT(zip_med_inc_updated!EKC$2:EKC$4)=0,"",AVERAGE(zip_med_inc_updated!EKC$2:EKC$4))</f>
        <v>67381</v>
      </c>
      <c r="EKD2">
        <f>IF(COUNT(zip_med_inc_updated!EKD$2:EKD$4)=0,"",AVERAGE(zip_med_inc_updated!EKD$2:EKD$4))</f>
        <v>47435.333333333336</v>
      </c>
      <c r="EKE2">
        <f>IF(COUNT(zip_med_inc_updated!EKE$2:EKE$4)=0,"",AVERAGE(zip_med_inc_updated!EKE$2:EKE$4))</f>
        <v>60982</v>
      </c>
      <c r="EKF2">
        <f>IF(COUNT(zip_med_inc_updated!EKF$2:EKF$4)=0,"",AVERAGE(zip_med_inc_updated!EKF$2:EKF$4))</f>
        <v>52317.666666666664</v>
      </c>
      <c r="EKG2">
        <f>IF(COUNT(zip_med_inc_updated!EKG$2:EKG$4)=0,"",AVERAGE(zip_med_inc_updated!EKG$2:EKG$4))</f>
        <v>62513</v>
      </c>
      <c r="EKH2">
        <f>IF(COUNT(zip_med_inc_updated!EKH$2:EKH$4)=0,"",AVERAGE(zip_med_inc_updated!EKH$2:EKH$4))</f>
        <v>43209.333333333336</v>
      </c>
      <c r="EKI2" t="str">
        <f>IF(COUNT(zip_med_inc_updated!EKI$2:EKI$4)=0,"",AVERAGE(zip_med_inc_updated!EKI$2:EKI$4))</f>
        <v/>
      </c>
      <c r="EKJ2">
        <f>IF(COUNT(zip_med_inc_updated!EKJ$2:EKJ$4)=0,"",AVERAGE(zip_med_inc_updated!EKJ$2:EKJ$4))</f>
        <v>84312.666666666672</v>
      </c>
      <c r="EKK2">
        <f>IF(COUNT(zip_med_inc_updated!EKK$2:EKK$4)=0,"",AVERAGE(zip_med_inc_updated!EKK$2:EKK$4))</f>
        <v>52950.333333333336</v>
      </c>
      <c r="EKL2" t="str">
        <f>IF(COUNT(zip_med_inc_updated!EKL$2:EKL$4)=0,"",AVERAGE(zip_med_inc_updated!EKL$2:EKL$4))</f>
        <v/>
      </c>
      <c r="EKM2">
        <f>IF(COUNT(zip_med_inc_updated!EKM$2:EKM$4)=0,"",AVERAGE(zip_med_inc_updated!EKM$2:EKM$4))</f>
        <v>79687.5</v>
      </c>
      <c r="EKN2">
        <f>IF(COUNT(zip_med_inc_updated!EKN$2:EKN$4)=0,"",AVERAGE(zip_med_inc_updated!EKN$2:EKN$4))</f>
        <v>61146.5</v>
      </c>
      <c r="EKO2">
        <f>IF(COUNT(zip_med_inc_updated!EKO$2:EKO$4)=0,"",AVERAGE(zip_med_inc_updated!EKO$2:EKO$4))</f>
        <v>84482</v>
      </c>
      <c r="EKP2">
        <f>IF(COUNT(zip_med_inc_updated!EKP$2:EKP$4)=0,"",AVERAGE(zip_med_inc_updated!EKP$2:EKP$4))</f>
        <v>30486.666666666668</v>
      </c>
      <c r="EKQ2">
        <f>IF(COUNT(zip_med_inc_updated!EKQ$2:EKQ$4)=0,"",AVERAGE(zip_med_inc_updated!EKQ$2:EKQ$4))</f>
        <v>58558.333333333336</v>
      </c>
      <c r="EKR2">
        <f>IF(COUNT(zip_med_inc_updated!EKR$2:EKR$4)=0,"",AVERAGE(zip_med_inc_updated!EKR$2:EKR$4))</f>
        <v>80922</v>
      </c>
      <c r="EKS2">
        <f>IF(COUNT(zip_med_inc_updated!EKS$2:EKS$4)=0,"",AVERAGE(zip_med_inc_updated!EKS$2:EKS$4))</f>
        <v>56120.666666666664</v>
      </c>
      <c r="EKT2" t="str">
        <f>IF(COUNT(zip_med_inc_updated!EKT$2:EKT$4)=0,"",AVERAGE(zip_med_inc_updated!EKT$2:EKT$4))</f>
        <v/>
      </c>
      <c r="EKU2" t="str">
        <f>IF(COUNT(zip_med_inc_updated!EKU$2:EKU$4)=0,"",AVERAGE(zip_med_inc_updated!EKU$2:EKU$4))</f>
        <v/>
      </c>
      <c r="EKV2">
        <f>IF(COUNT(zip_med_inc_updated!EKV$2:EKV$4)=0,"",AVERAGE(zip_med_inc_updated!EKV$2:EKV$4))</f>
        <v>49402.5</v>
      </c>
      <c r="EKW2">
        <f>IF(COUNT(zip_med_inc_updated!EKW$2:EKW$4)=0,"",AVERAGE(zip_med_inc_updated!EKW$2:EKW$4))</f>
        <v>68721</v>
      </c>
      <c r="EKX2">
        <f>IF(COUNT(zip_med_inc_updated!EKX$2:EKX$4)=0,"",AVERAGE(zip_med_inc_updated!EKX$2:EKX$4))</f>
        <v>66286</v>
      </c>
      <c r="EKY2">
        <f>IF(COUNT(zip_med_inc_updated!EKY$2:EKY$4)=0,"",AVERAGE(zip_med_inc_updated!EKY$2:EKY$4))</f>
        <v>72934</v>
      </c>
      <c r="EKZ2">
        <f>IF(COUNT(zip_med_inc_updated!EKZ$2:EKZ$4)=0,"",AVERAGE(zip_med_inc_updated!EKZ$2:EKZ$4))</f>
        <v>7036.5</v>
      </c>
      <c r="ELA2">
        <f>IF(COUNT(zip_med_inc_updated!ELA$2:ELA$4)=0,"",AVERAGE(zip_med_inc_updated!ELA$2:ELA$4))</f>
        <v>55603</v>
      </c>
      <c r="ELB2">
        <f>IF(COUNT(zip_med_inc_updated!ELB$2:ELB$4)=0,"",AVERAGE(zip_med_inc_updated!ELB$2:ELB$4))</f>
        <v>19188</v>
      </c>
      <c r="ELC2">
        <f>IF(COUNT(zip_med_inc_updated!ELC$2:ELC$4)=0,"",AVERAGE(zip_med_inc_updated!ELC$2:ELC$4))</f>
        <v>58971.333333333336</v>
      </c>
      <c r="ELD2">
        <f>IF(COUNT(zip_med_inc_updated!ELD$2:ELD$4)=0,"",AVERAGE(zip_med_inc_updated!ELD$2:ELD$4))</f>
        <v>64821.333333333336</v>
      </c>
      <c r="ELE2">
        <f>IF(COUNT(zip_med_inc_updated!ELE$2:ELE$4)=0,"",AVERAGE(zip_med_inc_updated!ELE$2:ELE$4))</f>
        <v>72235.333333333328</v>
      </c>
      <c r="ELF2">
        <f>IF(COUNT(zip_med_inc_updated!ELF$2:ELF$4)=0,"",AVERAGE(zip_med_inc_updated!ELF$2:ELF$4))</f>
        <v>58664.333333333336</v>
      </c>
      <c r="ELG2">
        <f>IF(COUNT(zip_med_inc_updated!ELG$2:ELG$4)=0,"",AVERAGE(zip_med_inc_updated!ELG$2:ELG$4))</f>
        <v>56354.333333333336</v>
      </c>
      <c r="ELH2">
        <f>IF(COUNT(zip_med_inc_updated!ELH$2:ELH$4)=0,"",AVERAGE(zip_med_inc_updated!ELH$2:ELH$4))</f>
        <v>38803.666666666664</v>
      </c>
      <c r="ELI2">
        <f>IF(COUNT(zip_med_inc_updated!ELI$2:ELI$4)=0,"",AVERAGE(zip_med_inc_updated!ELI$2:ELI$4))</f>
        <v>96739</v>
      </c>
      <c r="ELJ2">
        <f>IF(COUNT(zip_med_inc_updated!ELJ$2:ELJ$4)=0,"",AVERAGE(zip_med_inc_updated!ELJ$2:ELJ$4))</f>
        <v>56983.5</v>
      </c>
      <c r="ELK2">
        <f>IF(COUNT(zip_med_inc_updated!ELK$2:ELK$4)=0,"",AVERAGE(zip_med_inc_updated!ELK$2:ELK$4))</f>
        <v>52097.333333333336</v>
      </c>
      <c r="ELL2">
        <f>IF(COUNT(zip_med_inc_updated!ELL$2:ELL$4)=0,"",AVERAGE(zip_med_inc_updated!ELL$2:ELL$4))</f>
        <v>66166.666666666672</v>
      </c>
      <c r="ELM2">
        <f>IF(COUNT(zip_med_inc_updated!ELM$2:ELM$4)=0,"",AVERAGE(zip_med_inc_updated!ELM$2:ELM$4))</f>
        <v>56528</v>
      </c>
      <c r="ELN2">
        <f>IF(COUNT(zip_med_inc_updated!ELN$2:ELN$4)=0,"",AVERAGE(zip_med_inc_updated!ELN$2:ELN$4))</f>
        <v>81000</v>
      </c>
      <c r="ELO2">
        <f>IF(COUNT(zip_med_inc_updated!ELO$2:ELO$4)=0,"",AVERAGE(zip_med_inc_updated!ELO$2:ELO$4))</f>
        <v>62671.333333333336</v>
      </c>
      <c r="ELP2">
        <f>IF(COUNT(zip_med_inc_updated!ELP$2:ELP$4)=0,"",AVERAGE(zip_med_inc_updated!ELP$2:ELP$4))</f>
        <v>97544</v>
      </c>
      <c r="ELQ2">
        <f>IF(COUNT(zip_med_inc_updated!ELQ$2:ELQ$4)=0,"",AVERAGE(zip_med_inc_updated!ELQ$2:ELQ$4))</f>
        <v>70750</v>
      </c>
      <c r="ELR2">
        <f>IF(COUNT(zip_med_inc_updated!ELR$2:ELR$4)=0,"",AVERAGE(zip_med_inc_updated!ELR$2:ELR$4))</f>
        <v>48565.666666666664</v>
      </c>
      <c r="ELS2">
        <f>IF(COUNT(zip_med_inc_updated!ELS$2:ELS$4)=0,"",AVERAGE(zip_med_inc_updated!ELS$2:ELS$4))</f>
        <v>41873.666666666664</v>
      </c>
      <c r="ELT2">
        <f>IF(COUNT(zip_med_inc_updated!ELT$2:ELT$4)=0,"",AVERAGE(zip_med_inc_updated!ELT$2:ELT$4))</f>
        <v>63170</v>
      </c>
      <c r="ELU2">
        <f>IF(COUNT(zip_med_inc_updated!ELU$2:ELU$4)=0,"",AVERAGE(zip_med_inc_updated!ELU$2:ELU$4))</f>
        <v>15364</v>
      </c>
      <c r="ELV2">
        <f>IF(COUNT(zip_med_inc_updated!ELV$2:ELV$4)=0,"",AVERAGE(zip_med_inc_updated!ELV$2:ELV$4))</f>
        <v>47851.666666666664</v>
      </c>
      <c r="ELW2">
        <f>IF(COUNT(zip_med_inc_updated!ELW$2:ELW$4)=0,"",AVERAGE(zip_med_inc_updated!ELW$2:ELW$4))</f>
        <v>34384</v>
      </c>
      <c r="ELX2">
        <f>IF(COUNT(zip_med_inc_updated!ELX$2:ELX$4)=0,"",AVERAGE(zip_med_inc_updated!ELX$2:ELX$4))</f>
        <v>41323.666666666664</v>
      </c>
      <c r="ELY2">
        <f>IF(COUNT(zip_med_inc_updated!ELY$2:ELY$4)=0,"",AVERAGE(zip_med_inc_updated!ELY$2:ELY$4))</f>
        <v>57066.333333333336</v>
      </c>
      <c r="ELZ2">
        <f>IF(COUNT(zip_med_inc_updated!ELZ$2:ELZ$4)=0,"",AVERAGE(zip_med_inc_updated!ELZ$2:ELZ$4))</f>
        <v>43006.666666666664</v>
      </c>
      <c r="EMA2">
        <f>IF(COUNT(zip_med_inc_updated!EMA$2:EMA$4)=0,"",AVERAGE(zip_med_inc_updated!EMA$2:EMA$4))</f>
        <v>63203</v>
      </c>
      <c r="EMB2">
        <f>IF(COUNT(zip_med_inc_updated!EMB$2:EMB$4)=0,"",AVERAGE(zip_med_inc_updated!EMB$2:EMB$4))</f>
        <v>42365.5</v>
      </c>
      <c r="EMC2" t="str">
        <f>IF(COUNT(zip_med_inc_updated!EMC$2:EMC$4)=0,"",AVERAGE(zip_med_inc_updated!EMC$2:EMC$4))</f>
        <v/>
      </c>
      <c r="EMD2">
        <f>IF(COUNT(zip_med_inc_updated!EMD$2:EMD$4)=0,"",AVERAGE(zip_med_inc_updated!EMD$2:EMD$4))</f>
        <v>37701</v>
      </c>
      <c r="EME2">
        <f>IF(COUNT(zip_med_inc_updated!EME$2:EME$4)=0,"",AVERAGE(zip_med_inc_updated!EME$2:EME$4))</f>
        <v>95667</v>
      </c>
      <c r="EMF2">
        <f>IF(COUNT(zip_med_inc_updated!EMF$2:EMF$4)=0,"",AVERAGE(zip_med_inc_updated!EMF$2:EMF$4))</f>
        <v>60819</v>
      </c>
      <c r="EMG2">
        <f>IF(COUNT(zip_med_inc_updated!EMG$2:EMG$4)=0,"",AVERAGE(zip_med_inc_updated!EMG$2:EMG$4))</f>
        <v>70173.333333333328</v>
      </c>
      <c r="EMH2">
        <f>IF(COUNT(zip_med_inc_updated!EMH$2:EMH$4)=0,"",AVERAGE(zip_med_inc_updated!EMH$2:EMH$4))</f>
        <v>101422</v>
      </c>
      <c r="EMI2" t="str">
        <f>IF(COUNT(zip_med_inc_updated!EMI$2:EMI$4)=0,"",AVERAGE(zip_med_inc_updated!EMI$2:EMI$4))</f>
        <v/>
      </c>
      <c r="EMJ2">
        <f>IF(COUNT(zip_med_inc_updated!EMJ$2:EMJ$4)=0,"",AVERAGE(zip_med_inc_updated!EMJ$2:EMJ$4))</f>
        <v>103311.5</v>
      </c>
      <c r="EMK2">
        <f>IF(COUNT(zip_med_inc_updated!EMK$2:EMK$4)=0,"",AVERAGE(zip_med_inc_updated!EMK$2:EMK$4))</f>
        <v>42188.333333333336</v>
      </c>
      <c r="EML2">
        <f>IF(COUNT(zip_med_inc_updated!EML$2:EML$4)=0,"",AVERAGE(zip_med_inc_updated!EML$2:EML$4))</f>
        <v>47509</v>
      </c>
      <c r="EMM2">
        <f>IF(COUNT(zip_med_inc_updated!EMM$2:EMM$4)=0,"",AVERAGE(zip_med_inc_updated!EMM$2:EMM$4))</f>
        <v>72762.333333333328</v>
      </c>
      <c r="EMN2">
        <f>IF(COUNT(zip_med_inc_updated!EMN$2:EMN$4)=0,"",AVERAGE(zip_med_inc_updated!EMN$2:EMN$4))</f>
        <v>51401.666666666664</v>
      </c>
      <c r="EMO2">
        <f>IF(COUNT(zip_med_inc_updated!EMO$2:EMO$4)=0,"",AVERAGE(zip_med_inc_updated!EMO$2:EMO$4))</f>
        <v>61974</v>
      </c>
      <c r="EMP2">
        <f>IF(COUNT(zip_med_inc_updated!EMP$2:EMP$4)=0,"",AVERAGE(zip_med_inc_updated!EMP$2:EMP$4))</f>
        <v>38735.666666666664</v>
      </c>
      <c r="EMQ2">
        <f>IF(COUNT(zip_med_inc_updated!EMQ$2:EMQ$4)=0,"",AVERAGE(zip_med_inc_updated!EMQ$2:EMQ$4))</f>
        <v>88223</v>
      </c>
      <c r="EMR2" t="str">
        <f>IF(COUNT(zip_med_inc_updated!EMR$2:EMR$4)=0,"",AVERAGE(zip_med_inc_updated!EMR$2:EMR$4))</f>
        <v/>
      </c>
      <c r="EMS2">
        <f>IF(COUNT(zip_med_inc_updated!EMS$2:EMS$4)=0,"",AVERAGE(zip_med_inc_updated!EMS$2:EMS$4))</f>
        <v>81742.5</v>
      </c>
      <c r="EMT2">
        <f>IF(COUNT(zip_med_inc_updated!EMT$2:EMT$4)=0,"",AVERAGE(zip_med_inc_updated!EMT$2:EMT$4))</f>
        <v>73689.333333333328</v>
      </c>
      <c r="EMU2">
        <f>IF(COUNT(zip_med_inc_updated!EMU$2:EMU$4)=0,"",AVERAGE(zip_med_inc_updated!EMU$2:EMU$4))</f>
        <v>49483.666666666664</v>
      </c>
      <c r="EMV2">
        <f>IF(COUNT(zip_med_inc_updated!EMV$2:EMV$4)=0,"",AVERAGE(zip_med_inc_updated!EMV$2:EMV$4))</f>
        <v>29963.666666666668</v>
      </c>
      <c r="EMW2">
        <f>IF(COUNT(zip_med_inc_updated!EMW$2:EMW$4)=0,"",AVERAGE(zip_med_inc_updated!EMW$2:EMW$4))</f>
        <v>75622.666666666672</v>
      </c>
      <c r="EMX2">
        <f>IF(COUNT(zip_med_inc_updated!EMX$2:EMX$4)=0,"",AVERAGE(zip_med_inc_updated!EMX$2:EMX$4))</f>
        <v>83066.333333333328</v>
      </c>
      <c r="EMY2">
        <f>IF(COUNT(zip_med_inc_updated!EMY$2:EMY$4)=0,"",AVERAGE(zip_med_inc_updated!EMY$2:EMY$4))</f>
        <v>101600.5</v>
      </c>
      <c r="EMZ2">
        <f>IF(COUNT(zip_med_inc_updated!EMZ$2:EMZ$4)=0,"",AVERAGE(zip_med_inc_updated!EMZ$2:EMZ$4))</f>
        <v>75636.666666666672</v>
      </c>
      <c r="ENA2">
        <f>IF(COUNT(zip_med_inc_updated!ENA$2:ENA$4)=0,"",AVERAGE(zip_med_inc_updated!ENA$2:ENA$4))</f>
        <v>66463.666666666672</v>
      </c>
      <c r="ENB2">
        <f>IF(COUNT(zip_med_inc_updated!ENB$2:ENB$4)=0,"",AVERAGE(zip_med_inc_updated!ENB$2:ENB$4))</f>
        <v>50292</v>
      </c>
      <c r="ENC2">
        <f>IF(COUNT(zip_med_inc_updated!ENC$2:ENC$4)=0,"",AVERAGE(zip_med_inc_updated!ENC$2:ENC$4))</f>
        <v>51771</v>
      </c>
      <c r="END2">
        <f>IF(COUNT(zip_med_inc_updated!END$2:END$4)=0,"",AVERAGE(zip_med_inc_updated!END$2:END$4))</f>
        <v>47819.666666666664</v>
      </c>
      <c r="ENE2">
        <f>IF(COUNT(zip_med_inc_updated!ENE$2:ENE$4)=0,"",AVERAGE(zip_med_inc_updated!ENE$2:ENE$4))</f>
        <v>68757.333333333328</v>
      </c>
      <c r="ENF2" t="str">
        <f>IF(COUNT(zip_med_inc_updated!ENF$2:ENF$4)=0,"",AVERAGE(zip_med_inc_updated!ENF$2:ENF$4))</f>
        <v/>
      </c>
      <c r="ENG2">
        <f>IF(COUNT(zip_med_inc_updated!ENG$2:ENG$4)=0,"",AVERAGE(zip_med_inc_updated!ENG$2:ENG$4))</f>
        <v>47008.666666666664</v>
      </c>
      <c r="ENH2">
        <f>IF(COUNT(zip_med_inc_updated!ENH$2:ENH$4)=0,"",AVERAGE(zip_med_inc_updated!ENH$2:ENH$4))</f>
        <v>63354</v>
      </c>
      <c r="ENI2">
        <f>IF(COUNT(zip_med_inc_updated!ENI$2:ENI$4)=0,"",AVERAGE(zip_med_inc_updated!ENI$2:ENI$4))</f>
        <v>44479.333333333336</v>
      </c>
      <c r="ENJ2">
        <f>IF(COUNT(zip_med_inc_updated!ENJ$2:ENJ$4)=0,"",AVERAGE(zip_med_inc_updated!ENJ$2:ENJ$4))</f>
        <v>74171.333333333328</v>
      </c>
      <c r="ENK2">
        <f>IF(COUNT(zip_med_inc_updated!ENK$2:ENK$4)=0,"",AVERAGE(zip_med_inc_updated!ENK$2:ENK$4))</f>
        <v>56428.5</v>
      </c>
      <c r="ENL2">
        <f>IF(COUNT(zip_med_inc_updated!ENL$2:ENL$4)=0,"",AVERAGE(zip_med_inc_updated!ENL$2:ENL$4))</f>
        <v>49057.333333333336</v>
      </c>
      <c r="ENM2">
        <f>IF(COUNT(zip_med_inc_updated!ENM$2:ENM$4)=0,"",AVERAGE(zip_med_inc_updated!ENM$2:ENM$4))</f>
        <v>25204.333333333332</v>
      </c>
      <c r="ENN2">
        <f>IF(COUNT(zip_med_inc_updated!ENN$2:ENN$4)=0,"",AVERAGE(zip_med_inc_updated!ENN$2:ENN$4))</f>
        <v>64399</v>
      </c>
      <c r="ENO2">
        <f>IF(COUNT(zip_med_inc_updated!ENO$2:ENO$4)=0,"",AVERAGE(zip_med_inc_updated!ENO$2:ENO$4))</f>
        <v>57145</v>
      </c>
      <c r="ENP2">
        <f>IF(COUNT(zip_med_inc_updated!ENP$2:ENP$4)=0,"",AVERAGE(zip_med_inc_updated!ENP$2:ENP$4))</f>
        <v>97106</v>
      </c>
      <c r="ENQ2">
        <f>IF(COUNT(zip_med_inc_updated!ENQ$2:ENQ$4)=0,"",AVERAGE(zip_med_inc_updated!ENQ$2:ENQ$4))</f>
        <v>51091.666666666664</v>
      </c>
      <c r="ENR2">
        <f>IF(COUNT(zip_med_inc_updated!ENR$2:ENR$4)=0,"",AVERAGE(zip_med_inc_updated!ENR$2:ENR$4))</f>
        <v>40420</v>
      </c>
      <c r="ENS2">
        <f>IF(COUNT(zip_med_inc_updated!ENS$2:ENS$4)=0,"",AVERAGE(zip_med_inc_updated!ENS$2:ENS$4))</f>
        <v>36157.666666666664</v>
      </c>
      <c r="ENT2">
        <f>IF(COUNT(zip_med_inc_updated!ENT$2:ENT$4)=0,"",AVERAGE(zip_med_inc_updated!ENT$2:ENT$4))</f>
        <v>60240.333333333336</v>
      </c>
      <c r="ENU2">
        <f>IF(COUNT(zip_med_inc_updated!ENU$2:ENU$4)=0,"",AVERAGE(zip_med_inc_updated!ENU$2:ENU$4))</f>
        <v>70313</v>
      </c>
      <c r="ENV2" t="str">
        <f>IF(COUNT(zip_med_inc_updated!ENV$2:ENV$4)=0,"",AVERAGE(zip_med_inc_updated!ENV$2:ENV$4))</f>
        <v/>
      </c>
      <c r="ENW2">
        <f>IF(COUNT(zip_med_inc_updated!ENW$2:ENW$4)=0,"",AVERAGE(zip_med_inc_updated!ENW$2:ENW$4))</f>
        <v>54854.333333333336</v>
      </c>
      <c r="ENX2">
        <f>IF(COUNT(zip_med_inc_updated!ENX$2:ENX$4)=0,"",AVERAGE(zip_med_inc_updated!ENX$2:ENX$4))</f>
        <v>74018.333333333328</v>
      </c>
      <c r="ENY2">
        <f>IF(COUNT(zip_med_inc_updated!ENY$2:ENY$4)=0,"",AVERAGE(zip_med_inc_updated!ENY$2:ENY$4))</f>
        <v>54722.333333333336</v>
      </c>
      <c r="ENZ2">
        <f>IF(COUNT(zip_med_inc_updated!ENZ$2:ENZ$4)=0,"",AVERAGE(zip_med_inc_updated!ENZ$2:ENZ$4))</f>
        <v>92056.5</v>
      </c>
      <c r="EOA2">
        <f>IF(COUNT(zip_med_inc_updated!EOA$2:EOA$4)=0,"",AVERAGE(zip_med_inc_updated!EOA$2:EOA$4))</f>
        <v>41667.333333333336</v>
      </c>
      <c r="EOB2" t="str">
        <f>IF(COUNT(zip_med_inc_updated!EOB$2:EOB$4)=0,"",AVERAGE(zip_med_inc_updated!EOB$2:EOB$4))</f>
        <v/>
      </c>
      <c r="EOC2">
        <f>IF(COUNT(zip_med_inc_updated!EOC$2:EOC$4)=0,"",AVERAGE(zip_med_inc_updated!EOC$2:EOC$4))</f>
        <v>63775</v>
      </c>
      <c r="EOD2">
        <f>IF(COUNT(zip_med_inc_updated!EOD$2:EOD$4)=0,"",AVERAGE(zip_med_inc_updated!EOD$2:EOD$4))</f>
        <v>48637</v>
      </c>
      <c r="EOE2" t="str">
        <f>IF(COUNT(zip_med_inc_updated!EOE$2:EOE$4)=0,"",AVERAGE(zip_med_inc_updated!EOE$2:EOE$4))</f>
        <v/>
      </c>
      <c r="EOF2">
        <f>IF(COUNT(zip_med_inc_updated!EOF$2:EOF$4)=0,"",AVERAGE(zip_med_inc_updated!EOF$2:EOF$4))</f>
        <v>76816.5</v>
      </c>
      <c r="EOG2">
        <f>IF(COUNT(zip_med_inc_updated!EOG$2:EOG$4)=0,"",AVERAGE(zip_med_inc_updated!EOG$2:EOG$4))</f>
        <v>52882.666666666664</v>
      </c>
      <c r="EOH2">
        <f>IF(COUNT(zip_med_inc_updated!EOH$2:EOH$4)=0,"",AVERAGE(zip_med_inc_updated!EOH$2:EOH$4))</f>
        <v>52745.333333333336</v>
      </c>
      <c r="EOI2">
        <f>IF(COUNT(zip_med_inc_updated!EOI$2:EOI$4)=0,"",AVERAGE(zip_med_inc_updated!EOI$2:EOI$4))</f>
        <v>59746</v>
      </c>
      <c r="EOJ2">
        <f>IF(COUNT(zip_med_inc_updated!EOJ$2:EOJ$4)=0,"",AVERAGE(zip_med_inc_updated!EOJ$2:EOJ$4))</f>
        <v>64073.666666666664</v>
      </c>
      <c r="EOK2">
        <f>IF(COUNT(zip_med_inc_updated!EOK$2:EOK$4)=0,"",AVERAGE(zip_med_inc_updated!EOK$2:EOK$4))</f>
        <v>50833</v>
      </c>
      <c r="EOL2">
        <f>IF(COUNT(zip_med_inc_updated!EOL$2:EOL$4)=0,"",AVERAGE(zip_med_inc_updated!EOL$2:EOL$4))</f>
        <v>84051</v>
      </c>
      <c r="EOM2">
        <f>IF(COUNT(zip_med_inc_updated!EOM$2:EOM$4)=0,"",AVERAGE(zip_med_inc_updated!EOM$2:EOM$4))</f>
        <v>66726.666666666672</v>
      </c>
      <c r="EON2">
        <f>IF(COUNT(zip_med_inc_updated!EON$2:EON$4)=0,"",AVERAGE(zip_med_inc_updated!EON$2:EON$4))</f>
        <v>55719</v>
      </c>
    </row>
    <row r="3" spans="1:3784" x14ac:dyDescent="0.35">
      <c r="A3" t="s">
        <v>3898</v>
      </c>
      <c r="B3" t="str">
        <f>IF(B2="","No Data",IF(B2&gt;=100000,"High",IF(B2&gt;=40000,"Med","Low")))</f>
        <v>High</v>
      </c>
      <c r="C3" t="str">
        <f>IF(C2="","No Data",IF(C2&gt;=100000,"High",IF(C2&gt;=40000,"Med","Low")))</f>
        <v>High</v>
      </c>
      <c r="D3" t="str">
        <f>IF(D2="","No Data",IF(D2&gt;=100000,"High",IF(D2&gt;=40000,"Med","Low")))</f>
        <v>High</v>
      </c>
      <c r="E3" t="str">
        <f t="shared" ref="E3:BP3" si="0">IF(E2="","No Data",IF(E2&gt;=100000,"High",IF(E2&gt;=40000,"Med","Low")))</f>
        <v>High</v>
      </c>
      <c r="F3" t="str">
        <f t="shared" si="0"/>
        <v>High</v>
      </c>
      <c r="G3" t="str">
        <f t="shared" si="0"/>
        <v>Low</v>
      </c>
      <c r="H3" t="str">
        <f t="shared" si="0"/>
        <v>High</v>
      </c>
      <c r="I3" t="str">
        <f t="shared" si="0"/>
        <v>High</v>
      </c>
      <c r="J3" t="str">
        <f t="shared" si="0"/>
        <v>High</v>
      </c>
      <c r="K3" t="str">
        <f t="shared" si="0"/>
        <v>High</v>
      </c>
      <c r="L3" t="str">
        <f t="shared" si="0"/>
        <v>High</v>
      </c>
      <c r="M3" t="str">
        <f t="shared" si="0"/>
        <v>High</v>
      </c>
      <c r="N3" t="str">
        <f t="shared" si="0"/>
        <v>High</v>
      </c>
      <c r="O3" t="str">
        <f t="shared" si="0"/>
        <v>High</v>
      </c>
      <c r="P3" t="str">
        <f t="shared" si="0"/>
        <v>High</v>
      </c>
      <c r="Q3" t="str">
        <f t="shared" si="0"/>
        <v>Med</v>
      </c>
      <c r="R3" t="str">
        <f t="shared" si="0"/>
        <v>Med</v>
      </c>
      <c r="S3" t="str">
        <f t="shared" si="0"/>
        <v>Med</v>
      </c>
      <c r="T3" t="str">
        <f t="shared" si="0"/>
        <v>High</v>
      </c>
      <c r="U3" t="str">
        <f t="shared" si="0"/>
        <v>Med</v>
      </c>
      <c r="V3" t="str">
        <f t="shared" si="0"/>
        <v>High</v>
      </c>
      <c r="W3" t="str">
        <f t="shared" si="0"/>
        <v>High</v>
      </c>
      <c r="X3" t="str">
        <f t="shared" si="0"/>
        <v>No Data</v>
      </c>
      <c r="Y3" t="str">
        <f t="shared" si="0"/>
        <v>No Data</v>
      </c>
      <c r="Z3" t="str">
        <f t="shared" si="0"/>
        <v>No Data</v>
      </c>
      <c r="AA3" t="str">
        <f t="shared" si="0"/>
        <v>No Data</v>
      </c>
      <c r="AB3" t="str">
        <f t="shared" si="0"/>
        <v>No Data</v>
      </c>
      <c r="AC3" t="str">
        <f t="shared" si="0"/>
        <v>No Data</v>
      </c>
      <c r="AD3" t="str">
        <f t="shared" si="0"/>
        <v>No Data</v>
      </c>
      <c r="AE3" t="str">
        <f t="shared" si="0"/>
        <v>No Data</v>
      </c>
      <c r="AF3" t="str">
        <f t="shared" si="0"/>
        <v>No Data</v>
      </c>
      <c r="AG3" t="str">
        <f t="shared" si="0"/>
        <v>No Data</v>
      </c>
      <c r="AH3" t="str">
        <f t="shared" si="0"/>
        <v>No Data</v>
      </c>
      <c r="AI3" t="str">
        <f t="shared" si="0"/>
        <v>No Data</v>
      </c>
      <c r="AJ3" t="str">
        <f t="shared" si="0"/>
        <v>No Data</v>
      </c>
      <c r="AK3" t="str">
        <f t="shared" si="0"/>
        <v>No Data</v>
      </c>
      <c r="AL3" t="str">
        <f t="shared" si="0"/>
        <v>No Data</v>
      </c>
      <c r="AM3" t="str">
        <f t="shared" si="0"/>
        <v>No Data</v>
      </c>
      <c r="AN3" t="str">
        <f t="shared" si="0"/>
        <v>No Data</v>
      </c>
      <c r="AO3" t="str">
        <f t="shared" si="0"/>
        <v>No Data</v>
      </c>
      <c r="AP3" t="str">
        <f t="shared" si="0"/>
        <v>No Data</v>
      </c>
      <c r="AQ3" t="str">
        <f t="shared" si="0"/>
        <v>No Data</v>
      </c>
      <c r="AR3" t="str">
        <f t="shared" si="0"/>
        <v>No Data</v>
      </c>
      <c r="AS3" t="str">
        <f t="shared" si="0"/>
        <v>No Data</v>
      </c>
      <c r="AT3" t="str">
        <f t="shared" si="0"/>
        <v>No Data</v>
      </c>
      <c r="AU3" t="str">
        <f t="shared" si="0"/>
        <v>No Data</v>
      </c>
      <c r="AV3" t="str">
        <f t="shared" si="0"/>
        <v>No Data</v>
      </c>
      <c r="AW3" t="str">
        <f t="shared" si="0"/>
        <v>No Data</v>
      </c>
      <c r="AX3" t="str">
        <f t="shared" si="0"/>
        <v>No Data</v>
      </c>
      <c r="AY3" t="str">
        <f t="shared" si="0"/>
        <v>No Data</v>
      </c>
      <c r="AZ3" t="str">
        <f t="shared" si="0"/>
        <v>No Data</v>
      </c>
      <c r="BA3" t="str">
        <f t="shared" si="0"/>
        <v>No Data</v>
      </c>
      <c r="BB3" t="str">
        <f t="shared" si="0"/>
        <v>No Data</v>
      </c>
      <c r="BC3" t="str">
        <f t="shared" si="0"/>
        <v>No Data</v>
      </c>
      <c r="BD3" t="str">
        <f t="shared" si="0"/>
        <v>No Data</v>
      </c>
      <c r="BE3" t="str">
        <f t="shared" si="0"/>
        <v>No Data</v>
      </c>
      <c r="BF3" t="str">
        <f t="shared" si="0"/>
        <v>No Data</v>
      </c>
      <c r="BG3" t="str">
        <f t="shared" si="0"/>
        <v>Med</v>
      </c>
      <c r="BH3" t="str">
        <f t="shared" si="0"/>
        <v>High</v>
      </c>
      <c r="BI3" t="str">
        <f t="shared" si="0"/>
        <v>High</v>
      </c>
      <c r="BJ3" t="str">
        <f t="shared" si="0"/>
        <v>Med</v>
      </c>
      <c r="BK3" t="str">
        <f t="shared" si="0"/>
        <v>High</v>
      </c>
      <c r="BL3" t="str">
        <f t="shared" si="0"/>
        <v>Med</v>
      </c>
      <c r="BM3" t="str">
        <f t="shared" si="0"/>
        <v>Med</v>
      </c>
      <c r="BN3" t="str">
        <f t="shared" si="0"/>
        <v>Med</v>
      </c>
      <c r="BO3" t="str">
        <f t="shared" si="0"/>
        <v>Med</v>
      </c>
      <c r="BP3" t="str">
        <f t="shared" si="0"/>
        <v>Med</v>
      </c>
      <c r="BQ3" t="str">
        <f t="shared" ref="BQ3:EB3" si="1">IF(BQ2="","No Data",IF(BQ2&gt;=100000,"High",IF(BQ2&gt;=40000,"Med","Low")))</f>
        <v>High</v>
      </c>
      <c r="BR3" t="str">
        <f t="shared" si="1"/>
        <v>Med</v>
      </c>
      <c r="BS3" t="str">
        <f t="shared" si="1"/>
        <v>High</v>
      </c>
      <c r="BT3" t="str">
        <f t="shared" si="1"/>
        <v>Med</v>
      </c>
      <c r="BU3" t="str">
        <f t="shared" si="1"/>
        <v>High</v>
      </c>
      <c r="BV3" t="str">
        <f t="shared" si="1"/>
        <v>High</v>
      </c>
      <c r="BW3" t="str">
        <f t="shared" si="1"/>
        <v>Med</v>
      </c>
      <c r="BX3" t="str">
        <f t="shared" si="1"/>
        <v>High</v>
      </c>
      <c r="BY3" t="str">
        <f t="shared" si="1"/>
        <v>High</v>
      </c>
      <c r="BZ3" t="str">
        <f t="shared" si="1"/>
        <v>Med</v>
      </c>
      <c r="CA3" t="str">
        <f t="shared" si="1"/>
        <v>High</v>
      </c>
      <c r="CB3" t="str">
        <f t="shared" si="1"/>
        <v>Med</v>
      </c>
      <c r="CC3" t="str">
        <f t="shared" si="1"/>
        <v>Med</v>
      </c>
      <c r="CD3" t="str">
        <f t="shared" si="1"/>
        <v>Med</v>
      </c>
      <c r="CE3" t="str">
        <f t="shared" si="1"/>
        <v>Med</v>
      </c>
      <c r="CF3" t="str">
        <f t="shared" si="1"/>
        <v>High</v>
      </c>
      <c r="CG3" t="str">
        <f t="shared" si="1"/>
        <v>High</v>
      </c>
      <c r="CH3" t="str">
        <f t="shared" si="1"/>
        <v>Med</v>
      </c>
      <c r="CI3" t="str">
        <f t="shared" si="1"/>
        <v>Med</v>
      </c>
      <c r="CJ3" t="str">
        <f t="shared" si="1"/>
        <v>Med</v>
      </c>
      <c r="CK3" t="str">
        <f t="shared" si="1"/>
        <v>Med</v>
      </c>
      <c r="CL3" t="str">
        <f t="shared" si="1"/>
        <v>Med</v>
      </c>
      <c r="CM3" t="str">
        <f t="shared" si="1"/>
        <v>Med</v>
      </c>
      <c r="CN3" t="str">
        <f t="shared" si="1"/>
        <v>Med</v>
      </c>
      <c r="CO3" t="str">
        <f t="shared" si="1"/>
        <v>Med</v>
      </c>
      <c r="CP3" t="str">
        <f t="shared" si="1"/>
        <v>Med</v>
      </c>
      <c r="CQ3" t="str">
        <f t="shared" si="1"/>
        <v>Med</v>
      </c>
      <c r="CR3" t="str">
        <f t="shared" si="1"/>
        <v>Med</v>
      </c>
      <c r="CS3" t="str">
        <f t="shared" si="1"/>
        <v>High</v>
      </c>
      <c r="CT3" t="str">
        <f t="shared" si="1"/>
        <v>High</v>
      </c>
      <c r="CU3" t="str">
        <f t="shared" si="1"/>
        <v>High</v>
      </c>
      <c r="CV3" t="str">
        <f t="shared" si="1"/>
        <v>Med</v>
      </c>
      <c r="CW3" t="str">
        <f t="shared" si="1"/>
        <v>High</v>
      </c>
      <c r="CX3" t="str">
        <f t="shared" si="1"/>
        <v>Med</v>
      </c>
      <c r="CY3" t="str">
        <f t="shared" si="1"/>
        <v>Med</v>
      </c>
      <c r="CZ3" t="str">
        <f t="shared" si="1"/>
        <v>Med</v>
      </c>
      <c r="DA3" t="str">
        <f t="shared" si="1"/>
        <v>High</v>
      </c>
      <c r="DB3" t="str">
        <f t="shared" si="1"/>
        <v>High</v>
      </c>
      <c r="DC3" t="str">
        <f t="shared" si="1"/>
        <v>Med</v>
      </c>
      <c r="DD3" t="str">
        <f t="shared" si="1"/>
        <v>Med</v>
      </c>
      <c r="DE3" t="str">
        <f t="shared" si="1"/>
        <v>Med</v>
      </c>
      <c r="DF3" t="str">
        <f t="shared" si="1"/>
        <v>High</v>
      </c>
      <c r="DG3" t="str">
        <f t="shared" si="1"/>
        <v>Med</v>
      </c>
      <c r="DH3" t="str">
        <f t="shared" si="1"/>
        <v>Med</v>
      </c>
      <c r="DI3" t="str">
        <f t="shared" si="1"/>
        <v>Med</v>
      </c>
      <c r="DJ3" t="str">
        <f t="shared" si="1"/>
        <v>Med</v>
      </c>
      <c r="DK3" t="str">
        <f t="shared" si="1"/>
        <v>No Data</v>
      </c>
      <c r="DL3" t="str">
        <f t="shared" si="1"/>
        <v>Med</v>
      </c>
      <c r="DM3" t="str">
        <f t="shared" si="1"/>
        <v>Med</v>
      </c>
      <c r="DN3" t="str">
        <f t="shared" si="1"/>
        <v>Med</v>
      </c>
      <c r="DO3" t="str">
        <f t="shared" si="1"/>
        <v>Med</v>
      </c>
      <c r="DP3" t="str">
        <f t="shared" si="1"/>
        <v>High</v>
      </c>
      <c r="DQ3" t="str">
        <f t="shared" si="1"/>
        <v>High</v>
      </c>
      <c r="DR3" t="str">
        <f t="shared" si="1"/>
        <v>Med</v>
      </c>
      <c r="DS3" t="str">
        <f t="shared" si="1"/>
        <v>Med</v>
      </c>
      <c r="DT3" t="str">
        <f t="shared" si="1"/>
        <v>Med</v>
      </c>
      <c r="DU3" t="str">
        <f t="shared" si="1"/>
        <v>Med</v>
      </c>
      <c r="DV3" t="str">
        <f t="shared" si="1"/>
        <v>Med</v>
      </c>
      <c r="DW3" t="str">
        <f t="shared" si="1"/>
        <v>High</v>
      </c>
      <c r="DX3" t="str">
        <f t="shared" si="1"/>
        <v>Med</v>
      </c>
      <c r="DY3" t="str">
        <f t="shared" si="1"/>
        <v>Med</v>
      </c>
      <c r="DZ3" t="str">
        <f t="shared" si="1"/>
        <v>No Data</v>
      </c>
      <c r="EA3" t="str">
        <f t="shared" si="1"/>
        <v>Med</v>
      </c>
      <c r="EB3" t="str">
        <f t="shared" si="1"/>
        <v>Med</v>
      </c>
      <c r="EC3" t="str">
        <f t="shared" ref="EC3:GN3" si="2">IF(EC2="","No Data",IF(EC2&gt;=100000,"High",IF(EC2&gt;=40000,"Med","Low")))</f>
        <v>High</v>
      </c>
      <c r="ED3" t="str">
        <f t="shared" si="2"/>
        <v>Med</v>
      </c>
      <c r="EE3" t="str">
        <f t="shared" si="2"/>
        <v>Med</v>
      </c>
      <c r="EF3" t="str">
        <f t="shared" si="2"/>
        <v>No Data</v>
      </c>
      <c r="EG3" t="str">
        <f t="shared" si="2"/>
        <v>Med</v>
      </c>
      <c r="EH3" t="str">
        <f t="shared" si="2"/>
        <v>Med</v>
      </c>
      <c r="EI3" t="str">
        <f t="shared" si="2"/>
        <v>Med</v>
      </c>
      <c r="EJ3" t="str">
        <f t="shared" si="2"/>
        <v>Med</v>
      </c>
      <c r="EK3" t="str">
        <f t="shared" si="2"/>
        <v>Med</v>
      </c>
      <c r="EL3" t="str">
        <f t="shared" si="2"/>
        <v>Med</v>
      </c>
      <c r="EM3" t="str">
        <f t="shared" si="2"/>
        <v>High</v>
      </c>
      <c r="EN3" t="str">
        <f t="shared" si="2"/>
        <v>High</v>
      </c>
      <c r="EO3" t="str">
        <f t="shared" si="2"/>
        <v>Med</v>
      </c>
      <c r="EP3" t="str">
        <f t="shared" si="2"/>
        <v>Med</v>
      </c>
      <c r="EQ3" t="str">
        <f t="shared" si="2"/>
        <v>Med</v>
      </c>
      <c r="ER3" t="str">
        <f t="shared" si="2"/>
        <v>Med</v>
      </c>
      <c r="ES3" t="str">
        <f t="shared" si="2"/>
        <v>Med</v>
      </c>
      <c r="ET3" t="str">
        <f t="shared" si="2"/>
        <v>Med</v>
      </c>
      <c r="EU3" t="str">
        <f t="shared" si="2"/>
        <v>Med</v>
      </c>
      <c r="EV3" t="str">
        <f t="shared" si="2"/>
        <v>Med</v>
      </c>
      <c r="EW3" t="str">
        <f t="shared" si="2"/>
        <v>Med</v>
      </c>
      <c r="EX3" t="str">
        <f t="shared" si="2"/>
        <v>Med</v>
      </c>
      <c r="EY3" t="str">
        <f t="shared" si="2"/>
        <v>No Data</v>
      </c>
      <c r="EZ3" t="str">
        <f t="shared" si="2"/>
        <v>High</v>
      </c>
      <c r="FA3" t="str">
        <f t="shared" si="2"/>
        <v>Med</v>
      </c>
      <c r="FB3" t="str">
        <f t="shared" si="2"/>
        <v>Med</v>
      </c>
      <c r="FC3" t="str">
        <f t="shared" si="2"/>
        <v>Med</v>
      </c>
      <c r="FD3" t="str">
        <f t="shared" si="2"/>
        <v>Med</v>
      </c>
      <c r="FE3" t="str">
        <f t="shared" si="2"/>
        <v>Med</v>
      </c>
      <c r="FF3" t="str">
        <f t="shared" si="2"/>
        <v>Med</v>
      </c>
      <c r="FG3" t="str">
        <f t="shared" si="2"/>
        <v>Med</v>
      </c>
      <c r="FH3" t="str">
        <f t="shared" si="2"/>
        <v>Med</v>
      </c>
      <c r="FI3" t="str">
        <f t="shared" si="2"/>
        <v>Med</v>
      </c>
      <c r="FJ3" t="str">
        <f t="shared" si="2"/>
        <v>Med</v>
      </c>
      <c r="FK3" t="str">
        <f t="shared" si="2"/>
        <v>No Data</v>
      </c>
      <c r="FL3" t="str">
        <f t="shared" si="2"/>
        <v>Med</v>
      </c>
      <c r="FM3" t="str">
        <f t="shared" si="2"/>
        <v>Med</v>
      </c>
      <c r="FN3" t="str">
        <f t="shared" si="2"/>
        <v>Med</v>
      </c>
      <c r="FO3" t="str">
        <f t="shared" si="2"/>
        <v>Med</v>
      </c>
      <c r="FP3" t="str">
        <f t="shared" si="2"/>
        <v>Med</v>
      </c>
      <c r="FQ3" t="str">
        <f t="shared" si="2"/>
        <v>High</v>
      </c>
      <c r="FR3" t="str">
        <f t="shared" si="2"/>
        <v>Med</v>
      </c>
      <c r="FS3" t="str">
        <f t="shared" si="2"/>
        <v>Med</v>
      </c>
      <c r="FT3" t="str">
        <f t="shared" si="2"/>
        <v>High</v>
      </c>
      <c r="FU3" t="str">
        <f t="shared" si="2"/>
        <v>High</v>
      </c>
      <c r="FV3" t="str">
        <f t="shared" si="2"/>
        <v>Med</v>
      </c>
      <c r="FW3" t="str">
        <f t="shared" si="2"/>
        <v>High</v>
      </c>
      <c r="FX3" t="str">
        <f t="shared" si="2"/>
        <v>Med</v>
      </c>
      <c r="FY3" t="str">
        <f t="shared" si="2"/>
        <v>Med</v>
      </c>
      <c r="FZ3" t="str">
        <f t="shared" si="2"/>
        <v>Med</v>
      </c>
      <c r="GA3" t="str">
        <f t="shared" si="2"/>
        <v>High</v>
      </c>
      <c r="GB3" t="str">
        <f t="shared" si="2"/>
        <v>Med</v>
      </c>
      <c r="GC3" t="str">
        <f t="shared" si="2"/>
        <v>Med</v>
      </c>
      <c r="GD3" t="str">
        <f t="shared" si="2"/>
        <v>Med</v>
      </c>
      <c r="GE3" t="str">
        <f t="shared" si="2"/>
        <v>Med</v>
      </c>
      <c r="GF3" t="str">
        <f t="shared" si="2"/>
        <v>Med</v>
      </c>
      <c r="GG3" t="str">
        <f t="shared" si="2"/>
        <v>Med</v>
      </c>
      <c r="GH3" t="str">
        <f t="shared" si="2"/>
        <v>Med</v>
      </c>
      <c r="GI3" t="str">
        <f t="shared" si="2"/>
        <v>Med</v>
      </c>
      <c r="GJ3" t="str">
        <f t="shared" si="2"/>
        <v>Low</v>
      </c>
      <c r="GK3" t="str">
        <f t="shared" si="2"/>
        <v>Med</v>
      </c>
      <c r="GL3" t="str">
        <f t="shared" si="2"/>
        <v>Med</v>
      </c>
      <c r="GM3" t="str">
        <f t="shared" si="2"/>
        <v>Med</v>
      </c>
      <c r="GN3" t="str">
        <f t="shared" si="2"/>
        <v>Med</v>
      </c>
      <c r="GO3" t="str">
        <f t="shared" ref="GO3:IZ3" si="3">IF(GO2="","No Data",IF(GO2&gt;=100000,"High",IF(GO2&gt;=40000,"Med","Low")))</f>
        <v>Med</v>
      </c>
      <c r="GP3" t="str">
        <f t="shared" si="3"/>
        <v>Med</v>
      </c>
      <c r="GQ3" t="str">
        <f t="shared" si="3"/>
        <v>Med</v>
      </c>
      <c r="GR3" t="str">
        <f t="shared" si="3"/>
        <v>Med</v>
      </c>
      <c r="GS3" t="str">
        <f t="shared" si="3"/>
        <v>No Data</v>
      </c>
      <c r="GT3" t="str">
        <f t="shared" si="3"/>
        <v>Med</v>
      </c>
      <c r="GU3" t="str">
        <f t="shared" si="3"/>
        <v>Med</v>
      </c>
      <c r="GV3" t="str">
        <f t="shared" si="3"/>
        <v>Med</v>
      </c>
      <c r="GW3" t="str">
        <f t="shared" si="3"/>
        <v>Med</v>
      </c>
      <c r="GX3" t="str">
        <f t="shared" si="3"/>
        <v>Med</v>
      </c>
      <c r="GY3" t="str">
        <f t="shared" si="3"/>
        <v>Med</v>
      </c>
      <c r="GZ3" t="str">
        <f t="shared" si="3"/>
        <v>High</v>
      </c>
      <c r="HA3" t="str">
        <f t="shared" si="3"/>
        <v>Med</v>
      </c>
      <c r="HB3" t="str">
        <f t="shared" si="3"/>
        <v>Med</v>
      </c>
      <c r="HC3" t="str">
        <f t="shared" si="3"/>
        <v>High</v>
      </c>
      <c r="HD3" t="str">
        <f t="shared" si="3"/>
        <v>Med</v>
      </c>
      <c r="HE3" t="str">
        <f t="shared" si="3"/>
        <v>High</v>
      </c>
      <c r="HF3" t="str">
        <f t="shared" si="3"/>
        <v>No Data</v>
      </c>
      <c r="HG3" t="str">
        <f t="shared" si="3"/>
        <v>Med</v>
      </c>
      <c r="HH3" t="str">
        <f t="shared" si="3"/>
        <v>Med</v>
      </c>
      <c r="HI3" t="str">
        <f t="shared" si="3"/>
        <v>Med</v>
      </c>
      <c r="HJ3" t="str">
        <f t="shared" si="3"/>
        <v>High</v>
      </c>
      <c r="HK3" t="str">
        <f t="shared" si="3"/>
        <v>High</v>
      </c>
      <c r="HL3" t="str">
        <f t="shared" si="3"/>
        <v>Med</v>
      </c>
      <c r="HM3" t="str">
        <f t="shared" si="3"/>
        <v>No Data</v>
      </c>
      <c r="HN3" t="str">
        <f t="shared" si="3"/>
        <v>Med</v>
      </c>
      <c r="HO3" t="str">
        <f t="shared" si="3"/>
        <v>Med</v>
      </c>
      <c r="HP3" t="str">
        <f t="shared" si="3"/>
        <v>Med</v>
      </c>
      <c r="HQ3" t="str">
        <f t="shared" si="3"/>
        <v>High</v>
      </c>
      <c r="HR3" t="str">
        <f t="shared" si="3"/>
        <v>High</v>
      </c>
      <c r="HS3" t="str">
        <f t="shared" si="3"/>
        <v>Med</v>
      </c>
      <c r="HT3" t="str">
        <f t="shared" si="3"/>
        <v>Med</v>
      </c>
      <c r="HU3" t="str">
        <f t="shared" si="3"/>
        <v>Med</v>
      </c>
      <c r="HV3" t="str">
        <f t="shared" si="3"/>
        <v>Med</v>
      </c>
      <c r="HW3" t="str">
        <f t="shared" si="3"/>
        <v>Med</v>
      </c>
      <c r="HX3" t="str">
        <f t="shared" si="3"/>
        <v>Med</v>
      </c>
      <c r="HY3" t="str">
        <f t="shared" si="3"/>
        <v>Med</v>
      </c>
      <c r="HZ3" t="str">
        <f t="shared" si="3"/>
        <v>No Data</v>
      </c>
      <c r="IA3" t="str">
        <f t="shared" si="3"/>
        <v>High</v>
      </c>
      <c r="IB3" t="str">
        <f t="shared" si="3"/>
        <v>High</v>
      </c>
      <c r="IC3" t="str">
        <f t="shared" si="3"/>
        <v>High</v>
      </c>
      <c r="ID3" t="str">
        <f t="shared" si="3"/>
        <v>Med</v>
      </c>
      <c r="IE3" t="str">
        <f t="shared" si="3"/>
        <v>High</v>
      </c>
      <c r="IF3" t="str">
        <f t="shared" si="3"/>
        <v>Med</v>
      </c>
      <c r="IG3" t="str">
        <f t="shared" si="3"/>
        <v>Med</v>
      </c>
      <c r="IH3" t="str">
        <f t="shared" si="3"/>
        <v>Med</v>
      </c>
      <c r="II3" t="str">
        <f t="shared" si="3"/>
        <v>Med</v>
      </c>
      <c r="IJ3" t="str">
        <f t="shared" si="3"/>
        <v>Low</v>
      </c>
      <c r="IK3" t="str">
        <f t="shared" si="3"/>
        <v>Med</v>
      </c>
      <c r="IL3" t="str">
        <f t="shared" si="3"/>
        <v>Med</v>
      </c>
      <c r="IM3" t="str">
        <f t="shared" si="3"/>
        <v>High</v>
      </c>
      <c r="IN3" t="str">
        <f t="shared" si="3"/>
        <v>Med</v>
      </c>
      <c r="IO3" t="str">
        <f t="shared" si="3"/>
        <v>High</v>
      </c>
      <c r="IP3" t="str">
        <f t="shared" si="3"/>
        <v>No Data</v>
      </c>
      <c r="IQ3" t="str">
        <f t="shared" si="3"/>
        <v>Med</v>
      </c>
      <c r="IR3" t="str">
        <f t="shared" si="3"/>
        <v>High</v>
      </c>
      <c r="IS3" t="str">
        <f t="shared" si="3"/>
        <v>High</v>
      </c>
      <c r="IT3" t="str">
        <f t="shared" si="3"/>
        <v>High</v>
      </c>
      <c r="IU3" t="str">
        <f t="shared" si="3"/>
        <v>Med</v>
      </c>
      <c r="IV3" t="str">
        <f t="shared" si="3"/>
        <v>Med</v>
      </c>
      <c r="IW3" t="str">
        <f t="shared" si="3"/>
        <v>No Data</v>
      </c>
      <c r="IX3" t="str">
        <f t="shared" si="3"/>
        <v>No Data</v>
      </c>
      <c r="IY3" t="str">
        <f t="shared" si="3"/>
        <v>Med</v>
      </c>
      <c r="IZ3" t="str">
        <f t="shared" si="3"/>
        <v>Med</v>
      </c>
      <c r="JA3" t="str">
        <f t="shared" ref="JA3:LL3" si="4">IF(JA2="","No Data",IF(JA2&gt;=100000,"High",IF(JA2&gt;=40000,"Med","Low")))</f>
        <v>High</v>
      </c>
      <c r="JB3" t="str">
        <f t="shared" si="4"/>
        <v>High</v>
      </c>
      <c r="JC3" t="str">
        <f t="shared" si="4"/>
        <v>Med</v>
      </c>
      <c r="JD3" t="str">
        <f t="shared" si="4"/>
        <v>Med</v>
      </c>
      <c r="JE3" t="str">
        <f t="shared" si="4"/>
        <v>High</v>
      </c>
      <c r="JF3" t="str">
        <f t="shared" si="4"/>
        <v>Med</v>
      </c>
      <c r="JG3" t="str">
        <f t="shared" si="4"/>
        <v>High</v>
      </c>
      <c r="JH3" t="str">
        <f t="shared" si="4"/>
        <v>Med</v>
      </c>
      <c r="JI3" t="str">
        <f t="shared" si="4"/>
        <v>Med</v>
      </c>
      <c r="JJ3" t="str">
        <f t="shared" si="4"/>
        <v>Med</v>
      </c>
      <c r="JK3" t="str">
        <f t="shared" si="4"/>
        <v>Med</v>
      </c>
      <c r="JL3" t="str">
        <f t="shared" si="4"/>
        <v>Med</v>
      </c>
      <c r="JM3" t="str">
        <f t="shared" si="4"/>
        <v>High</v>
      </c>
      <c r="JN3" t="str">
        <f t="shared" si="4"/>
        <v>Med</v>
      </c>
      <c r="JO3" t="str">
        <f t="shared" si="4"/>
        <v>Med</v>
      </c>
      <c r="JP3" t="str">
        <f t="shared" si="4"/>
        <v>Low</v>
      </c>
      <c r="JQ3" t="str">
        <f t="shared" si="4"/>
        <v>Med</v>
      </c>
      <c r="JR3" t="str">
        <f t="shared" si="4"/>
        <v>Med</v>
      </c>
      <c r="JS3" t="str">
        <f t="shared" si="4"/>
        <v>No Data</v>
      </c>
      <c r="JT3" t="str">
        <f t="shared" si="4"/>
        <v>Med</v>
      </c>
      <c r="JU3" t="str">
        <f t="shared" si="4"/>
        <v>Med</v>
      </c>
      <c r="JV3" t="str">
        <f t="shared" si="4"/>
        <v>Med</v>
      </c>
      <c r="JW3" t="str">
        <f t="shared" si="4"/>
        <v>Med</v>
      </c>
      <c r="JX3" t="str">
        <f t="shared" si="4"/>
        <v>Med</v>
      </c>
      <c r="JY3" t="str">
        <f t="shared" si="4"/>
        <v>Med</v>
      </c>
      <c r="JZ3" t="str">
        <f t="shared" si="4"/>
        <v>Med</v>
      </c>
      <c r="KA3" t="str">
        <f t="shared" si="4"/>
        <v>Med</v>
      </c>
      <c r="KB3" t="str">
        <f t="shared" si="4"/>
        <v>Med</v>
      </c>
      <c r="KC3" t="str">
        <f t="shared" si="4"/>
        <v>Med</v>
      </c>
      <c r="KD3" t="str">
        <f t="shared" si="4"/>
        <v>Med</v>
      </c>
      <c r="KE3" t="str">
        <f t="shared" si="4"/>
        <v>Med</v>
      </c>
      <c r="KF3" t="str">
        <f t="shared" si="4"/>
        <v>Med</v>
      </c>
      <c r="KG3" t="str">
        <f t="shared" si="4"/>
        <v>Low</v>
      </c>
      <c r="KH3" t="str">
        <f t="shared" si="4"/>
        <v>Low</v>
      </c>
      <c r="KI3" t="str">
        <f t="shared" si="4"/>
        <v>Low</v>
      </c>
      <c r="KJ3" t="str">
        <f t="shared" si="4"/>
        <v>Med</v>
      </c>
      <c r="KK3" t="str">
        <f t="shared" si="4"/>
        <v>Low</v>
      </c>
      <c r="KL3" t="str">
        <f t="shared" si="4"/>
        <v>No Data</v>
      </c>
      <c r="KM3" t="str">
        <f t="shared" si="4"/>
        <v>Med</v>
      </c>
      <c r="KN3" t="str">
        <f t="shared" si="4"/>
        <v>Med</v>
      </c>
      <c r="KO3" t="str">
        <f t="shared" si="4"/>
        <v>Med</v>
      </c>
      <c r="KP3" t="str">
        <f t="shared" si="4"/>
        <v>Med</v>
      </c>
      <c r="KQ3" t="str">
        <f t="shared" si="4"/>
        <v>Med</v>
      </c>
      <c r="KR3" t="str">
        <f t="shared" si="4"/>
        <v>Med</v>
      </c>
      <c r="KS3" t="str">
        <f t="shared" si="4"/>
        <v>Med</v>
      </c>
      <c r="KT3" t="str">
        <f t="shared" si="4"/>
        <v>Low</v>
      </c>
      <c r="KU3" t="str">
        <f t="shared" si="4"/>
        <v>Med</v>
      </c>
      <c r="KV3" t="str">
        <f t="shared" si="4"/>
        <v>No Data</v>
      </c>
      <c r="KW3" t="str">
        <f t="shared" si="4"/>
        <v>Med</v>
      </c>
      <c r="KX3" t="str">
        <f t="shared" si="4"/>
        <v>Med</v>
      </c>
      <c r="KY3" t="str">
        <f t="shared" si="4"/>
        <v>Med</v>
      </c>
      <c r="KZ3" t="str">
        <f t="shared" si="4"/>
        <v>Med</v>
      </c>
      <c r="LA3" t="str">
        <f t="shared" si="4"/>
        <v>Med</v>
      </c>
      <c r="LB3" t="str">
        <f t="shared" si="4"/>
        <v>Med</v>
      </c>
      <c r="LC3" t="str">
        <f t="shared" si="4"/>
        <v>Med</v>
      </c>
      <c r="LD3" t="str">
        <f t="shared" si="4"/>
        <v>Med</v>
      </c>
      <c r="LE3" t="str">
        <f t="shared" si="4"/>
        <v>Med</v>
      </c>
      <c r="LF3" t="str">
        <f t="shared" si="4"/>
        <v>Med</v>
      </c>
      <c r="LG3" t="str">
        <f t="shared" si="4"/>
        <v>Med</v>
      </c>
      <c r="LH3" t="str">
        <f t="shared" si="4"/>
        <v>Med</v>
      </c>
      <c r="LI3" t="str">
        <f t="shared" si="4"/>
        <v>Med</v>
      </c>
      <c r="LJ3" t="str">
        <f t="shared" si="4"/>
        <v>Med</v>
      </c>
      <c r="LK3" t="str">
        <f t="shared" si="4"/>
        <v>Med</v>
      </c>
      <c r="LL3" t="str">
        <f t="shared" si="4"/>
        <v>Med</v>
      </c>
      <c r="LM3" t="str">
        <f t="shared" ref="LM3:NX3" si="5">IF(LM2="","No Data",IF(LM2&gt;=100000,"High",IF(LM2&gt;=40000,"Med","Low")))</f>
        <v>Med</v>
      </c>
      <c r="LN3" t="str">
        <f t="shared" si="5"/>
        <v>High</v>
      </c>
      <c r="LO3" t="str">
        <f t="shared" si="5"/>
        <v>Med</v>
      </c>
      <c r="LP3" t="str">
        <f t="shared" si="5"/>
        <v>Med</v>
      </c>
      <c r="LQ3" t="str">
        <f t="shared" si="5"/>
        <v>Med</v>
      </c>
      <c r="LR3" t="str">
        <f t="shared" si="5"/>
        <v>Med</v>
      </c>
      <c r="LS3" t="str">
        <f t="shared" si="5"/>
        <v>Med</v>
      </c>
      <c r="LT3" t="str">
        <f t="shared" si="5"/>
        <v>Med</v>
      </c>
      <c r="LU3" t="str">
        <f t="shared" si="5"/>
        <v>Med</v>
      </c>
      <c r="LV3" t="str">
        <f t="shared" si="5"/>
        <v>High</v>
      </c>
      <c r="LW3" t="str">
        <f t="shared" si="5"/>
        <v>Med</v>
      </c>
      <c r="LX3" t="str">
        <f t="shared" si="5"/>
        <v>Med</v>
      </c>
      <c r="LY3" t="str">
        <f t="shared" si="5"/>
        <v>Med</v>
      </c>
      <c r="LZ3" t="str">
        <f t="shared" si="5"/>
        <v>Med</v>
      </c>
      <c r="MA3" t="str">
        <f t="shared" si="5"/>
        <v>Med</v>
      </c>
      <c r="MB3" t="str">
        <f t="shared" si="5"/>
        <v>Med</v>
      </c>
      <c r="MC3" t="str">
        <f t="shared" si="5"/>
        <v>Med</v>
      </c>
      <c r="MD3" t="str">
        <f t="shared" si="5"/>
        <v>Med</v>
      </c>
      <c r="ME3" t="str">
        <f t="shared" si="5"/>
        <v>Med</v>
      </c>
      <c r="MF3" t="str">
        <f t="shared" si="5"/>
        <v>Med</v>
      </c>
      <c r="MG3" t="str">
        <f t="shared" si="5"/>
        <v>Low</v>
      </c>
      <c r="MH3" t="str">
        <f t="shared" si="5"/>
        <v>Med</v>
      </c>
      <c r="MI3" t="str">
        <f t="shared" si="5"/>
        <v>Med</v>
      </c>
      <c r="MJ3" t="str">
        <f t="shared" si="5"/>
        <v>Med</v>
      </c>
      <c r="MK3" t="str">
        <f t="shared" si="5"/>
        <v>Med</v>
      </c>
      <c r="ML3" t="str">
        <f t="shared" si="5"/>
        <v>Med</v>
      </c>
      <c r="MM3" t="str">
        <f t="shared" si="5"/>
        <v>Med</v>
      </c>
      <c r="MN3" t="str">
        <f t="shared" si="5"/>
        <v>Med</v>
      </c>
      <c r="MO3" t="str">
        <f t="shared" si="5"/>
        <v>High</v>
      </c>
      <c r="MP3" t="str">
        <f t="shared" si="5"/>
        <v>Med</v>
      </c>
      <c r="MQ3" t="str">
        <f t="shared" si="5"/>
        <v>Med</v>
      </c>
      <c r="MR3" t="str">
        <f t="shared" si="5"/>
        <v>Med</v>
      </c>
      <c r="MS3" t="str">
        <f t="shared" si="5"/>
        <v>Med</v>
      </c>
      <c r="MT3" t="str">
        <f t="shared" si="5"/>
        <v>Med</v>
      </c>
      <c r="MU3" t="str">
        <f t="shared" si="5"/>
        <v>Med</v>
      </c>
      <c r="MV3" t="str">
        <f t="shared" si="5"/>
        <v>Med</v>
      </c>
      <c r="MW3" t="str">
        <f t="shared" si="5"/>
        <v>Med</v>
      </c>
      <c r="MX3" t="str">
        <f t="shared" si="5"/>
        <v>Med</v>
      </c>
      <c r="MY3" t="str">
        <f t="shared" si="5"/>
        <v>Med</v>
      </c>
      <c r="MZ3" t="str">
        <f t="shared" si="5"/>
        <v>Med</v>
      </c>
      <c r="NA3" t="str">
        <f t="shared" si="5"/>
        <v>Med</v>
      </c>
      <c r="NB3" t="str">
        <f t="shared" si="5"/>
        <v>Med</v>
      </c>
      <c r="NC3" t="str">
        <f t="shared" si="5"/>
        <v>Med</v>
      </c>
      <c r="ND3" t="str">
        <f t="shared" si="5"/>
        <v>Med</v>
      </c>
      <c r="NE3" t="str">
        <f t="shared" si="5"/>
        <v>Med</v>
      </c>
      <c r="NF3" t="str">
        <f t="shared" si="5"/>
        <v>Med</v>
      </c>
      <c r="NG3" t="str">
        <f t="shared" si="5"/>
        <v>Med</v>
      </c>
      <c r="NH3" t="str">
        <f t="shared" si="5"/>
        <v>No Data</v>
      </c>
      <c r="NI3" t="str">
        <f t="shared" si="5"/>
        <v>Med</v>
      </c>
      <c r="NJ3" t="str">
        <f t="shared" si="5"/>
        <v>Med</v>
      </c>
      <c r="NK3" t="str">
        <f t="shared" si="5"/>
        <v>Med</v>
      </c>
      <c r="NL3" t="str">
        <f t="shared" si="5"/>
        <v>No Data</v>
      </c>
      <c r="NM3" t="str">
        <f t="shared" si="5"/>
        <v>Med</v>
      </c>
      <c r="NN3" t="str">
        <f t="shared" si="5"/>
        <v>No Data</v>
      </c>
      <c r="NO3" t="str">
        <f t="shared" si="5"/>
        <v>No Data</v>
      </c>
      <c r="NP3" t="str">
        <f t="shared" si="5"/>
        <v>Low</v>
      </c>
      <c r="NQ3" t="str">
        <f t="shared" si="5"/>
        <v>No Data</v>
      </c>
      <c r="NR3" t="str">
        <f t="shared" si="5"/>
        <v>Med</v>
      </c>
      <c r="NS3" t="str">
        <f t="shared" si="5"/>
        <v>Med</v>
      </c>
      <c r="NT3" t="str">
        <f t="shared" si="5"/>
        <v>Med</v>
      </c>
      <c r="NU3" t="str">
        <f t="shared" si="5"/>
        <v>No Data</v>
      </c>
      <c r="NV3" t="str">
        <f t="shared" si="5"/>
        <v>Med</v>
      </c>
      <c r="NW3" t="str">
        <f t="shared" si="5"/>
        <v>Med</v>
      </c>
      <c r="NX3" t="str">
        <f t="shared" si="5"/>
        <v>High</v>
      </c>
      <c r="NY3" t="str">
        <f t="shared" ref="NY3:QJ3" si="6">IF(NY2="","No Data",IF(NY2&gt;=100000,"High",IF(NY2&gt;=40000,"Med","Low")))</f>
        <v>High</v>
      </c>
      <c r="NZ3" t="str">
        <f t="shared" si="6"/>
        <v>Med</v>
      </c>
      <c r="OA3" t="str">
        <f t="shared" si="6"/>
        <v>Med</v>
      </c>
      <c r="OB3" t="str">
        <f t="shared" si="6"/>
        <v>Med</v>
      </c>
      <c r="OC3" t="str">
        <f t="shared" si="6"/>
        <v>Med</v>
      </c>
      <c r="OD3" t="str">
        <f t="shared" si="6"/>
        <v>Med</v>
      </c>
      <c r="OE3" t="str">
        <f t="shared" si="6"/>
        <v>Med</v>
      </c>
      <c r="OF3" t="str">
        <f t="shared" si="6"/>
        <v>Med</v>
      </c>
      <c r="OG3" t="str">
        <f t="shared" si="6"/>
        <v>Med</v>
      </c>
      <c r="OH3" t="str">
        <f t="shared" si="6"/>
        <v>Med</v>
      </c>
      <c r="OI3" t="str">
        <f t="shared" si="6"/>
        <v>Med</v>
      </c>
      <c r="OJ3" t="str">
        <f t="shared" si="6"/>
        <v>Med</v>
      </c>
      <c r="OK3" t="str">
        <f t="shared" si="6"/>
        <v>No Data</v>
      </c>
      <c r="OL3" t="str">
        <f t="shared" si="6"/>
        <v>Med</v>
      </c>
      <c r="OM3" t="str">
        <f t="shared" si="6"/>
        <v>Med</v>
      </c>
      <c r="ON3" t="str">
        <f t="shared" si="6"/>
        <v>Med</v>
      </c>
      <c r="OO3" t="str">
        <f t="shared" si="6"/>
        <v>Med</v>
      </c>
      <c r="OP3" t="str">
        <f t="shared" si="6"/>
        <v>Med</v>
      </c>
      <c r="OQ3" t="str">
        <f t="shared" si="6"/>
        <v>Med</v>
      </c>
      <c r="OR3" t="str">
        <f t="shared" si="6"/>
        <v>Med</v>
      </c>
      <c r="OS3" t="str">
        <f t="shared" si="6"/>
        <v>Med</v>
      </c>
      <c r="OT3" t="str">
        <f t="shared" si="6"/>
        <v>Med</v>
      </c>
      <c r="OU3" t="str">
        <f t="shared" si="6"/>
        <v>Med</v>
      </c>
      <c r="OV3" t="str">
        <f t="shared" si="6"/>
        <v>Med</v>
      </c>
      <c r="OW3" t="str">
        <f t="shared" si="6"/>
        <v>Med</v>
      </c>
      <c r="OX3" t="str">
        <f t="shared" si="6"/>
        <v>Low</v>
      </c>
      <c r="OY3" t="str">
        <f t="shared" si="6"/>
        <v>Med</v>
      </c>
      <c r="OZ3" t="str">
        <f t="shared" si="6"/>
        <v>Med</v>
      </c>
      <c r="PA3" t="str">
        <f t="shared" si="6"/>
        <v>Med</v>
      </c>
      <c r="PB3" t="str">
        <f t="shared" si="6"/>
        <v>Med</v>
      </c>
      <c r="PC3" t="str">
        <f t="shared" si="6"/>
        <v>Med</v>
      </c>
      <c r="PD3" t="str">
        <f t="shared" si="6"/>
        <v>High</v>
      </c>
      <c r="PE3" t="str">
        <f t="shared" si="6"/>
        <v>Med</v>
      </c>
      <c r="PF3" t="str">
        <f t="shared" si="6"/>
        <v>Med</v>
      </c>
      <c r="PG3" t="str">
        <f t="shared" si="6"/>
        <v>Med</v>
      </c>
      <c r="PH3" t="str">
        <f t="shared" si="6"/>
        <v>Med</v>
      </c>
      <c r="PI3" t="str">
        <f t="shared" si="6"/>
        <v>Med</v>
      </c>
      <c r="PJ3" t="str">
        <f t="shared" si="6"/>
        <v>Med</v>
      </c>
      <c r="PK3" t="str">
        <f t="shared" si="6"/>
        <v>Med</v>
      </c>
      <c r="PL3" t="str">
        <f t="shared" si="6"/>
        <v>Med</v>
      </c>
      <c r="PM3" t="str">
        <f t="shared" si="6"/>
        <v>Med</v>
      </c>
      <c r="PN3" t="str">
        <f t="shared" si="6"/>
        <v>Med</v>
      </c>
      <c r="PO3" t="str">
        <f t="shared" si="6"/>
        <v>Med</v>
      </c>
      <c r="PP3" t="str">
        <f t="shared" si="6"/>
        <v>No Data</v>
      </c>
      <c r="PQ3" t="str">
        <f t="shared" si="6"/>
        <v>Med</v>
      </c>
      <c r="PR3" t="str">
        <f t="shared" si="6"/>
        <v>No Data</v>
      </c>
      <c r="PS3" t="str">
        <f t="shared" si="6"/>
        <v>Med</v>
      </c>
      <c r="PT3" t="str">
        <f t="shared" si="6"/>
        <v>Med</v>
      </c>
      <c r="PU3" t="str">
        <f t="shared" si="6"/>
        <v>Med</v>
      </c>
      <c r="PV3" t="str">
        <f t="shared" si="6"/>
        <v>Med</v>
      </c>
      <c r="PW3" t="str">
        <f t="shared" si="6"/>
        <v>Med</v>
      </c>
      <c r="PX3" t="str">
        <f t="shared" si="6"/>
        <v>Med</v>
      </c>
      <c r="PY3" t="str">
        <f t="shared" si="6"/>
        <v>Med</v>
      </c>
      <c r="PZ3" t="str">
        <f t="shared" si="6"/>
        <v>Med</v>
      </c>
      <c r="QA3" t="str">
        <f t="shared" si="6"/>
        <v>Med</v>
      </c>
      <c r="QB3" t="str">
        <f t="shared" si="6"/>
        <v>Med</v>
      </c>
      <c r="QC3" t="str">
        <f t="shared" si="6"/>
        <v>Med</v>
      </c>
      <c r="QD3" t="str">
        <f t="shared" si="6"/>
        <v>Med</v>
      </c>
      <c r="QE3" t="str">
        <f t="shared" si="6"/>
        <v>Med</v>
      </c>
      <c r="QF3" t="str">
        <f t="shared" si="6"/>
        <v>Med</v>
      </c>
      <c r="QG3" t="str">
        <f t="shared" si="6"/>
        <v>High</v>
      </c>
      <c r="QH3" t="str">
        <f t="shared" si="6"/>
        <v>No Data</v>
      </c>
      <c r="QI3" t="str">
        <f t="shared" si="6"/>
        <v>Med</v>
      </c>
      <c r="QJ3" t="str">
        <f t="shared" si="6"/>
        <v>Med</v>
      </c>
      <c r="QK3" t="str">
        <f t="shared" ref="QK3:SV3" si="7">IF(QK2="","No Data",IF(QK2&gt;=100000,"High",IF(QK2&gt;=40000,"Med","Low")))</f>
        <v>Med</v>
      </c>
      <c r="QL3" t="str">
        <f t="shared" si="7"/>
        <v>Low</v>
      </c>
      <c r="QM3" t="str">
        <f t="shared" si="7"/>
        <v>Med</v>
      </c>
      <c r="QN3" t="str">
        <f t="shared" si="7"/>
        <v>Med</v>
      </c>
      <c r="QO3" t="str">
        <f t="shared" si="7"/>
        <v>Med</v>
      </c>
      <c r="QP3" t="str">
        <f t="shared" si="7"/>
        <v>Med</v>
      </c>
      <c r="QQ3" t="str">
        <f t="shared" si="7"/>
        <v>Med</v>
      </c>
      <c r="QR3" t="str">
        <f t="shared" si="7"/>
        <v>Med</v>
      </c>
      <c r="QS3" t="str">
        <f t="shared" si="7"/>
        <v>High</v>
      </c>
      <c r="QT3" t="str">
        <f t="shared" si="7"/>
        <v>Med</v>
      </c>
      <c r="QU3" t="str">
        <f t="shared" si="7"/>
        <v>No Data</v>
      </c>
      <c r="QV3" t="str">
        <f t="shared" si="7"/>
        <v>Med</v>
      </c>
      <c r="QW3" t="str">
        <f t="shared" si="7"/>
        <v>Med</v>
      </c>
      <c r="QX3" t="str">
        <f t="shared" si="7"/>
        <v>Med</v>
      </c>
      <c r="QY3" t="str">
        <f t="shared" si="7"/>
        <v>Med</v>
      </c>
      <c r="QZ3" t="str">
        <f t="shared" si="7"/>
        <v>Med</v>
      </c>
      <c r="RA3" t="str">
        <f t="shared" si="7"/>
        <v>Med</v>
      </c>
      <c r="RB3" t="str">
        <f t="shared" si="7"/>
        <v>Med</v>
      </c>
      <c r="RC3" t="str">
        <f t="shared" si="7"/>
        <v>Med</v>
      </c>
      <c r="RD3" t="str">
        <f t="shared" si="7"/>
        <v>No Data</v>
      </c>
      <c r="RE3" t="str">
        <f t="shared" si="7"/>
        <v>Med</v>
      </c>
      <c r="RF3" t="str">
        <f t="shared" si="7"/>
        <v>Med</v>
      </c>
      <c r="RG3" t="str">
        <f t="shared" si="7"/>
        <v>Med</v>
      </c>
      <c r="RH3" t="str">
        <f t="shared" si="7"/>
        <v>Med</v>
      </c>
      <c r="RI3" t="str">
        <f t="shared" si="7"/>
        <v>Med</v>
      </c>
      <c r="RJ3" t="str">
        <f t="shared" si="7"/>
        <v>Low</v>
      </c>
      <c r="RK3" t="str">
        <f t="shared" si="7"/>
        <v>Med</v>
      </c>
      <c r="RL3" t="str">
        <f t="shared" si="7"/>
        <v>Med</v>
      </c>
      <c r="RM3" t="str">
        <f t="shared" si="7"/>
        <v>Med</v>
      </c>
      <c r="RN3" t="str">
        <f t="shared" si="7"/>
        <v>Med</v>
      </c>
      <c r="RO3" t="str">
        <f t="shared" si="7"/>
        <v>Med</v>
      </c>
      <c r="RP3" t="str">
        <f t="shared" si="7"/>
        <v>No Data</v>
      </c>
      <c r="RQ3" t="str">
        <f t="shared" si="7"/>
        <v>Med</v>
      </c>
      <c r="RR3" t="str">
        <f t="shared" si="7"/>
        <v>Med</v>
      </c>
      <c r="RS3" t="str">
        <f t="shared" si="7"/>
        <v>Low</v>
      </c>
      <c r="RT3" t="str">
        <f t="shared" si="7"/>
        <v>No Data</v>
      </c>
      <c r="RU3" t="str">
        <f t="shared" si="7"/>
        <v>High</v>
      </c>
      <c r="RV3" t="str">
        <f t="shared" si="7"/>
        <v>Med</v>
      </c>
      <c r="RW3" t="str">
        <f t="shared" si="7"/>
        <v>Med</v>
      </c>
      <c r="RX3" t="str">
        <f t="shared" si="7"/>
        <v>Med</v>
      </c>
      <c r="RY3" t="str">
        <f t="shared" si="7"/>
        <v>Med</v>
      </c>
      <c r="RZ3" t="str">
        <f t="shared" si="7"/>
        <v>Med</v>
      </c>
      <c r="SA3" t="str">
        <f t="shared" si="7"/>
        <v>Med</v>
      </c>
      <c r="SB3" t="str">
        <f t="shared" si="7"/>
        <v>Med</v>
      </c>
      <c r="SC3" t="str">
        <f t="shared" si="7"/>
        <v>Med</v>
      </c>
      <c r="SD3" t="str">
        <f t="shared" si="7"/>
        <v>Med</v>
      </c>
      <c r="SE3" t="str">
        <f t="shared" si="7"/>
        <v>Med</v>
      </c>
      <c r="SF3" t="str">
        <f t="shared" si="7"/>
        <v>Med</v>
      </c>
      <c r="SG3" t="str">
        <f t="shared" si="7"/>
        <v>Med</v>
      </c>
      <c r="SH3" t="str">
        <f t="shared" si="7"/>
        <v>Med</v>
      </c>
      <c r="SI3" t="str">
        <f t="shared" si="7"/>
        <v>Med</v>
      </c>
      <c r="SJ3" t="str">
        <f t="shared" si="7"/>
        <v>Med</v>
      </c>
      <c r="SK3" t="str">
        <f t="shared" si="7"/>
        <v>Med</v>
      </c>
      <c r="SL3" t="str">
        <f t="shared" si="7"/>
        <v>Med</v>
      </c>
      <c r="SM3" t="str">
        <f t="shared" si="7"/>
        <v>High</v>
      </c>
      <c r="SN3" t="str">
        <f t="shared" si="7"/>
        <v>Med</v>
      </c>
      <c r="SO3" t="str">
        <f t="shared" si="7"/>
        <v>Med</v>
      </c>
      <c r="SP3" t="str">
        <f t="shared" si="7"/>
        <v>Med</v>
      </c>
      <c r="SQ3" t="str">
        <f t="shared" si="7"/>
        <v>Med</v>
      </c>
      <c r="SR3" t="str">
        <f t="shared" si="7"/>
        <v>Med</v>
      </c>
      <c r="SS3" t="str">
        <f t="shared" si="7"/>
        <v>Med</v>
      </c>
      <c r="ST3" t="str">
        <f t="shared" si="7"/>
        <v>Med</v>
      </c>
      <c r="SU3" t="str">
        <f t="shared" si="7"/>
        <v>No Data</v>
      </c>
      <c r="SV3" t="str">
        <f t="shared" si="7"/>
        <v>Med</v>
      </c>
      <c r="SW3" t="str">
        <f t="shared" ref="SW3:VH3" si="8">IF(SW2="","No Data",IF(SW2&gt;=100000,"High",IF(SW2&gt;=40000,"Med","Low")))</f>
        <v>Med</v>
      </c>
      <c r="SX3" t="str">
        <f t="shared" si="8"/>
        <v>Med</v>
      </c>
      <c r="SY3" t="str">
        <f t="shared" si="8"/>
        <v>Med</v>
      </c>
      <c r="SZ3" t="str">
        <f t="shared" si="8"/>
        <v>No Data</v>
      </c>
      <c r="TA3" t="str">
        <f t="shared" si="8"/>
        <v>Low</v>
      </c>
      <c r="TB3" t="str">
        <f t="shared" si="8"/>
        <v>Low</v>
      </c>
      <c r="TC3" t="str">
        <f t="shared" si="8"/>
        <v>Low</v>
      </c>
      <c r="TD3" t="str">
        <f t="shared" si="8"/>
        <v>Med</v>
      </c>
      <c r="TE3" t="str">
        <f t="shared" si="8"/>
        <v>Med</v>
      </c>
      <c r="TF3" t="str">
        <f t="shared" si="8"/>
        <v>High</v>
      </c>
      <c r="TG3" t="str">
        <f t="shared" si="8"/>
        <v>Med</v>
      </c>
      <c r="TH3" t="str">
        <f t="shared" si="8"/>
        <v>Med</v>
      </c>
      <c r="TI3" t="str">
        <f t="shared" si="8"/>
        <v>Low</v>
      </c>
      <c r="TJ3" t="str">
        <f t="shared" si="8"/>
        <v>Med</v>
      </c>
      <c r="TK3" t="str">
        <f t="shared" si="8"/>
        <v>Med</v>
      </c>
      <c r="TL3" t="str">
        <f t="shared" si="8"/>
        <v>Med</v>
      </c>
      <c r="TM3" t="str">
        <f t="shared" si="8"/>
        <v>Low</v>
      </c>
      <c r="TN3" t="str">
        <f t="shared" si="8"/>
        <v>Low</v>
      </c>
      <c r="TO3" t="str">
        <f t="shared" si="8"/>
        <v>Med</v>
      </c>
      <c r="TP3" t="str">
        <f t="shared" si="8"/>
        <v>Med</v>
      </c>
      <c r="TQ3" t="str">
        <f t="shared" si="8"/>
        <v>No Data</v>
      </c>
      <c r="TR3" t="str">
        <f t="shared" si="8"/>
        <v>Med</v>
      </c>
      <c r="TS3" t="str">
        <f t="shared" si="8"/>
        <v>Med</v>
      </c>
      <c r="TT3" t="str">
        <f t="shared" si="8"/>
        <v>Med</v>
      </c>
      <c r="TU3" t="str">
        <f t="shared" si="8"/>
        <v>Med</v>
      </c>
      <c r="TV3" t="str">
        <f t="shared" si="8"/>
        <v>Med</v>
      </c>
      <c r="TW3" t="str">
        <f t="shared" si="8"/>
        <v>Low</v>
      </c>
      <c r="TX3" t="str">
        <f t="shared" si="8"/>
        <v>Med</v>
      </c>
      <c r="TY3" t="str">
        <f t="shared" si="8"/>
        <v>Med</v>
      </c>
      <c r="TZ3" t="str">
        <f t="shared" si="8"/>
        <v>Med</v>
      </c>
      <c r="UA3" t="str">
        <f t="shared" si="8"/>
        <v>Med</v>
      </c>
      <c r="UB3" t="str">
        <f t="shared" si="8"/>
        <v>Med</v>
      </c>
      <c r="UC3" t="str">
        <f t="shared" si="8"/>
        <v>Med</v>
      </c>
      <c r="UD3" t="str">
        <f t="shared" si="8"/>
        <v>Med</v>
      </c>
      <c r="UE3" t="str">
        <f t="shared" si="8"/>
        <v>Low</v>
      </c>
      <c r="UF3" t="str">
        <f t="shared" si="8"/>
        <v>Med</v>
      </c>
      <c r="UG3" t="str">
        <f t="shared" si="8"/>
        <v>High</v>
      </c>
      <c r="UH3" t="str">
        <f t="shared" si="8"/>
        <v>Med</v>
      </c>
      <c r="UI3" t="str">
        <f t="shared" si="8"/>
        <v>Med</v>
      </c>
      <c r="UJ3" t="str">
        <f t="shared" si="8"/>
        <v>No Data</v>
      </c>
      <c r="UK3" t="str">
        <f t="shared" si="8"/>
        <v>Med</v>
      </c>
      <c r="UL3" t="str">
        <f t="shared" si="8"/>
        <v>Low</v>
      </c>
      <c r="UM3" t="str">
        <f t="shared" si="8"/>
        <v>Med</v>
      </c>
      <c r="UN3" t="str">
        <f t="shared" si="8"/>
        <v>Low</v>
      </c>
      <c r="UO3" t="str">
        <f t="shared" si="8"/>
        <v>Med</v>
      </c>
      <c r="UP3" t="str">
        <f t="shared" si="8"/>
        <v>Med</v>
      </c>
      <c r="UQ3" t="str">
        <f t="shared" si="8"/>
        <v>Med</v>
      </c>
      <c r="UR3" t="str">
        <f t="shared" si="8"/>
        <v>Med</v>
      </c>
      <c r="US3" t="str">
        <f t="shared" si="8"/>
        <v>Med</v>
      </c>
      <c r="UT3" t="str">
        <f t="shared" si="8"/>
        <v>Med</v>
      </c>
      <c r="UU3" t="str">
        <f t="shared" si="8"/>
        <v>Med</v>
      </c>
      <c r="UV3" t="str">
        <f t="shared" si="8"/>
        <v>Med</v>
      </c>
      <c r="UW3" t="str">
        <f t="shared" si="8"/>
        <v>Low</v>
      </c>
      <c r="UX3" t="str">
        <f t="shared" si="8"/>
        <v>Low</v>
      </c>
      <c r="UY3" t="str">
        <f t="shared" si="8"/>
        <v>Low</v>
      </c>
      <c r="UZ3" t="str">
        <f t="shared" si="8"/>
        <v>No Data</v>
      </c>
      <c r="VA3" t="str">
        <f t="shared" si="8"/>
        <v>Med</v>
      </c>
      <c r="VB3" t="str">
        <f t="shared" si="8"/>
        <v>Med</v>
      </c>
      <c r="VC3" t="str">
        <f t="shared" si="8"/>
        <v>No Data</v>
      </c>
      <c r="VD3" t="str">
        <f t="shared" si="8"/>
        <v>Med</v>
      </c>
      <c r="VE3" t="str">
        <f t="shared" si="8"/>
        <v>Med</v>
      </c>
      <c r="VF3" t="str">
        <f t="shared" si="8"/>
        <v>Med</v>
      </c>
      <c r="VG3" t="str">
        <f t="shared" si="8"/>
        <v>Med</v>
      </c>
      <c r="VH3" t="str">
        <f t="shared" si="8"/>
        <v>Med</v>
      </c>
      <c r="VI3" t="str">
        <f t="shared" ref="VI3:XT3" si="9">IF(VI2="","No Data",IF(VI2&gt;=100000,"High",IF(VI2&gt;=40000,"Med","Low")))</f>
        <v>Med</v>
      </c>
      <c r="VJ3" t="str">
        <f t="shared" si="9"/>
        <v>Med</v>
      </c>
      <c r="VK3" t="str">
        <f t="shared" si="9"/>
        <v>High</v>
      </c>
      <c r="VL3" t="str">
        <f t="shared" si="9"/>
        <v>Med</v>
      </c>
      <c r="VM3" t="str">
        <f t="shared" si="9"/>
        <v>Med</v>
      </c>
      <c r="VN3" t="str">
        <f t="shared" si="9"/>
        <v>Med</v>
      </c>
      <c r="VO3" t="str">
        <f t="shared" si="9"/>
        <v>Med</v>
      </c>
      <c r="VP3" t="str">
        <f t="shared" si="9"/>
        <v>No Data</v>
      </c>
      <c r="VQ3" t="str">
        <f t="shared" si="9"/>
        <v>Med</v>
      </c>
      <c r="VR3" t="str">
        <f t="shared" si="9"/>
        <v>Med</v>
      </c>
      <c r="VS3" t="str">
        <f t="shared" si="9"/>
        <v>Med</v>
      </c>
      <c r="VT3" t="str">
        <f t="shared" si="9"/>
        <v>Med</v>
      </c>
      <c r="VU3" t="str">
        <f t="shared" si="9"/>
        <v>Med</v>
      </c>
      <c r="VV3" t="str">
        <f t="shared" si="9"/>
        <v>Med</v>
      </c>
      <c r="VW3" t="str">
        <f t="shared" si="9"/>
        <v>Med</v>
      </c>
      <c r="VX3" t="str">
        <f t="shared" si="9"/>
        <v>High</v>
      </c>
      <c r="VY3" t="str">
        <f t="shared" si="9"/>
        <v>Med</v>
      </c>
      <c r="VZ3" t="str">
        <f t="shared" si="9"/>
        <v>No Data</v>
      </c>
      <c r="WA3" t="str">
        <f t="shared" si="9"/>
        <v>High</v>
      </c>
      <c r="WB3" t="str">
        <f t="shared" si="9"/>
        <v>Med</v>
      </c>
      <c r="WC3" t="str">
        <f t="shared" si="9"/>
        <v>Med</v>
      </c>
      <c r="WD3" t="str">
        <f t="shared" si="9"/>
        <v>Low</v>
      </c>
      <c r="WE3" t="str">
        <f t="shared" si="9"/>
        <v>Med</v>
      </c>
      <c r="WF3" t="str">
        <f t="shared" si="9"/>
        <v>Med</v>
      </c>
      <c r="WG3" t="str">
        <f t="shared" si="9"/>
        <v>Med</v>
      </c>
      <c r="WH3" t="str">
        <f t="shared" si="9"/>
        <v>Med</v>
      </c>
      <c r="WI3" t="str">
        <f t="shared" si="9"/>
        <v>Med</v>
      </c>
      <c r="WJ3" t="str">
        <f t="shared" si="9"/>
        <v>Med</v>
      </c>
      <c r="WK3" t="str">
        <f t="shared" si="9"/>
        <v>No Data</v>
      </c>
      <c r="WL3" t="str">
        <f t="shared" si="9"/>
        <v>Med</v>
      </c>
      <c r="WM3" t="str">
        <f t="shared" si="9"/>
        <v>High</v>
      </c>
      <c r="WN3" t="str">
        <f t="shared" si="9"/>
        <v>Low</v>
      </c>
      <c r="WO3" t="str">
        <f t="shared" si="9"/>
        <v>Med</v>
      </c>
      <c r="WP3" t="str">
        <f t="shared" si="9"/>
        <v>No Data</v>
      </c>
      <c r="WQ3" t="str">
        <f t="shared" si="9"/>
        <v>Low</v>
      </c>
      <c r="WR3" t="str">
        <f t="shared" si="9"/>
        <v>Med</v>
      </c>
      <c r="WS3" t="str">
        <f t="shared" si="9"/>
        <v>Med</v>
      </c>
      <c r="WT3" t="str">
        <f t="shared" si="9"/>
        <v>Med</v>
      </c>
      <c r="WU3" t="str">
        <f t="shared" si="9"/>
        <v>Med</v>
      </c>
      <c r="WV3" t="str">
        <f t="shared" si="9"/>
        <v>Med</v>
      </c>
      <c r="WW3" t="str">
        <f t="shared" si="9"/>
        <v>Med</v>
      </c>
      <c r="WX3" t="str">
        <f t="shared" si="9"/>
        <v>Med</v>
      </c>
      <c r="WY3" t="str">
        <f t="shared" si="9"/>
        <v>Low</v>
      </c>
      <c r="WZ3" t="str">
        <f t="shared" si="9"/>
        <v>High</v>
      </c>
      <c r="XA3" t="str">
        <f t="shared" si="9"/>
        <v>Med</v>
      </c>
      <c r="XB3" t="str">
        <f t="shared" si="9"/>
        <v>No Data</v>
      </c>
      <c r="XC3" t="str">
        <f t="shared" si="9"/>
        <v>Med</v>
      </c>
      <c r="XD3" t="str">
        <f t="shared" si="9"/>
        <v>Med</v>
      </c>
      <c r="XE3" t="str">
        <f t="shared" si="9"/>
        <v>Med</v>
      </c>
      <c r="XF3" t="str">
        <f t="shared" si="9"/>
        <v>Med</v>
      </c>
      <c r="XG3" t="str">
        <f t="shared" si="9"/>
        <v>Med</v>
      </c>
      <c r="XH3" t="str">
        <f t="shared" si="9"/>
        <v>Med</v>
      </c>
      <c r="XI3" t="str">
        <f t="shared" si="9"/>
        <v>Low</v>
      </c>
      <c r="XJ3" t="str">
        <f t="shared" si="9"/>
        <v>Med</v>
      </c>
      <c r="XK3" t="str">
        <f t="shared" si="9"/>
        <v>Med</v>
      </c>
      <c r="XL3" t="str">
        <f t="shared" si="9"/>
        <v>Med</v>
      </c>
      <c r="XM3" t="str">
        <f t="shared" si="9"/>
        <v>Med</v>
      </c>
      <c r="XN3" t="str">
        <f t="shared" si="9"/>
        <v>Med</v>
      </c>
      <c r="XO3" t="str">
        <f t="shared" si="9"/>
        <v>No Data</v>
      </c>
      <c r="XP3" t="str">
        <f t="shared" si="9"/>
        <v>Med</v>
      </c>
      <c r="XQ3" t="str">
        <f t="shared" si="9"/>
        <v>Med</v>
      </c>
      <c r="XR3" t="str">
        <f t="shared" si="9"/>
        <v>Med</v>
      </c>
      <c r="XS3" t="str">
        <f t="shared" si="9"/>
        <v>Med</v>
      </c>
      <c r="XT3" t="str">
        <f t="shared" si="9"/>
        <v>Med</v>
      </c>
      <c r="XU3" t="str">
        <f t="shared" ref="XU3:AAF3" si="10">IF(XU2="","No Data",IF(XU2&gt;=100000,"High",IF(XU2&gt;=40000,"Med","Low")))</f>
        <v>Med</v>
      </c>
      <c r="XV3" t="str">
        <f t="shared" si="10"/>
        <v>Med</v>
      </c>
      <c r="XW3" t="str">
        <f t="shared" si="10"/>
        <v>Med</v>
      </c>
      <c r="XX3" t="str">
        <f t="shared" si="10"/>
        <v>No Data</v>
      </c>
      <c r="XY3" t="str">
        <f t="shared" si="10"/>
        <v>Med</v>
      </c>
      <c r="XZ3" t="str">
        <f t="shared" si="10"/>
        <v>Med</v>
      </c>
      <c r="YA3" t="str">
        <f t="shared" si="10"/>
        <v>Med</v>
      </c>
      <c r="YB3" t="str">
        <f t="shared" si="10"/>
        <v>High</v>
      </c>
      <c r="YC3" t="str">
        <f t="shared" si="10"/>
        <v>Low</v>
      </c>
      <c r="YD3" t="str">
        <f t="shared" si="10"/>
        <v>Med</v>
      </c>
      <c r="YE3" t="str">
        <f t="shared" si="10"/>
        <v>No Data</v>
      </c>
      <c r="YF3" t="str">
        <f t="shared" si="10"/>
        <v>Med</v>
      </c>
      <c r="YG3" t="str">
        <f t="shared" si="10"/>
        <v>Med</v>
      </c>
      <c r="YH3" t="str">
        <f t="shared" si="10"/>
        <v>Med</v>
      </c>
      <c r="YI3" t="str">
        <f t="shared" si="10"/>
        <v>Med</v>
      </c>
      <c r="YJ3" t="str">
        <f t="shared" si="10"/>
        <v>Med</v>
      </c>
      <c r="YK3" t="str">
        <f t="shared" si="10"/>
        <v>No Data</v>
      </c>
      <c r="YL3" t="str">
        <f t="shared" si="10"/>
        <v>Low</v>
      </c>
      <c r="YM3" t="str">
        <f t="shared" si="10"/>
        <v>Med</v>
      </c>
      <c r="YN3" t="str">
        <f t="shared" si="10"/>
        <v>Med</v>
      </c>
      <c r="YO3" t="str">
        <f t="shared" si="10"/>
        <v>Med</v>
      </c>
      <c r="YP3" t="str">
        <f t="shared" si="10"/>
        <v>Med</v>
      </c>
      <c r="YQ3" t="str">
        <f t="shared" si="10"/>
        <v>Med</v>
      </c>
      <c r="YR3" t="str">
        <f t="shared" si="10"/>
        <v>Low</v>
      </c>
      <c r="YS3" t="str">
        <f t="shared" si="10"/>
        <v>Med</v>
      </c>
      <c r="YT3" t="str">
        <f t="shared" si="10"/>
        <v>Med</v>
      </c>
      <c r="YU3" t="str">
        <f t="shared" si="10"/>
        <v>Med</v>
      </c>
      <c r="YV3" t="str">
        <f t="shared" si="10"/>
        <v>Low</v>
      </c>
      <c r="YW3" t="str">
        <f t="shared" si="10"/>
        <v>Med</v>
      </c>
      <c r="YX3" t="str">
        <f t="shared" si="10"/>
        <v>Low</v>
      </c>
      <c r="YY3" t="str">
        <f t="shared" si="10"/>
        <v>Med</v>
      </c>
      <c r="YZ3" t="str">
        <f t="shared" si="10"/>
        <v>Med</v>
      </c>
      <c r="ZA3" t="str">
        <f t="shared" si="10"/>
        <v>Med</v>
      </c>
      <c r="ZB3" t="str">
        <f t="shared" si="10"/>
        <v>Med</v>
      </c>
      <c r="ZC3" t="str">
        <f t="shared" si="10"/>
        <v>Med</v>
      </c>
      <c r="ZD3" t="str">
        <f t="shared" si="10"/>
        <v>Med</v>
      </c>
      <c r="ZE3" t="str">
        <f t="shared" si="10"/>
        <v>Med</v>
      </c>
      <c r="ZF3" t="str">
        <f t="shared" si="10"/>
        <v>Med</v>
      </c>
      <c r="ZG3" t="str">
        <f t="shared" si="10"/>
        <v>Med</v>
      </c>
      <c r="ZH3" t="str">
        <f t="shared" si="10"/>
        <v>Low</v>
      </c>
      <c r="ZI3" t="str">
        <f t="shared" si="10"/>
        <v>Med</v>
      </c>
      <c r="ZJ3" t="str">
        <f t="shared" si="10"/>
        <v>Med</v>
      </c>
      <c r="ZK3" t="str">
        <f t="shared" si="10"/>
        <v>Med</v>
      </c>
      <c r="ZL3" t="str">
        <f t="shared" si="10"/>
        <v>Med</v>
      </c>
      <c r="ZM3" t="str">
        <f t="shared" si="10"/>
        <v>Med</v>
      </c>
      <c r="ZN3" t="str">
        <f t="shared" si="10"/>
        <v>Med</v>
      </c>
      <c r="ZO3" t="str">
        <f t="shared" si="10"/>
        <v>No Data</v>
      </c>
      <c r="ZP3" t="str">
        <f t="shared" si="10"/>
        <v>No Data</v>
      </c>
      <c r="ZQ3" t="str">
        <f t="shared" si="10"/>
        <v>Low</v>
      </c>
      <c r="ZR3" t="str">
        <f t="shared" si="10"/>
        <v>No Data</v>
      </c>
      <c r="ZS3" t="str">
        <f t="shared" si="10"/>
        <v>Low</v>
      </c>
      <c r="ZT3" t="str">
        <f t="shared" si="10"/>
        <v>Med</v>
      </c>
      <c r="ZU3" t="str">
        <f t="shared" si="10"/>
        <v>Med</v>
      </c>
      <c r="ZV3" t="str">
        <f t="shared" si="10"/>
        <v>Med</v>
      </c>
      <c r="ZW3" t="str">
        <f t="shared" si="10"/>
        <v>Med</v>
      </c>
      <c r="ZX3" t="str">
        <f t="shared" si="10"/>
        <v>Low</v>
      </c>
      <c r="ZY3" t="str">
        <f t="shared" si="10"/>
        <v>Med</v>
      </c>
      <c r="ZZ3" t="str">
        <f t="shared" si="10"/>
        <v>Med</v>
      </c>
      <c r="AAA3" t="str">
        <f t="shared" si="10"/>
        <v>Low</v>
      </c>
      <c r="AAB3" t="str">
        <f t="shared" si="10"/>
        <v>Med</v>
      </c>
      <c r="AAC3" t="str">
        <f t="shared" si="10"/>
        <v>Med</v>
      </c>
      <c r="AAD3" t="str">
        <f t="shared" si="10"/>
        <v>No Data</v>
      </c>
      <c r="AAE3" t="str">
        <f t="shared" si="10"/>
        <v>Med</v>
      </c>
      <c r="AAF3" t="str">
        <f t="shared" si="10"/>
        <v>Med</v>
      </c>
      <c r="AAG3" t="str">
        <f t="shared" ref="AAG3:ACR3" si="11">IF(AAG2="","No Data",IF(AAG2&gt;=100000,"High",IF(AAG2&gt;=40000,"Med","Low")))</f>
        <v>Med</v>
      </c>
      <c r="AAH3" t="str">
        <f t="shared" si="11"/>
        <v>Med</v>
      </c>
      <c r="AAI3" t="str">
        <f t="shared" si="11"/>
        <v>Low</v>
      </c>
      <c r="AAJ3" t="str">
        <f t="shared" si="11"/>
        <v>Med</v>
      </c>
      <c r="AAK3" t="str">
        <f t="shared" si="11"/>
        <v>Med</v>
      </c>
      <c r="AAL3" t="str">
        <f t="shared" si="11"/>
        <v>Low</v>
      </c>
      <c r="AAM3" t="str">
        <f t="shared" si="11"/>
        <v>Low</v>
      </c>
      <c r="AAN3" t="str">
        <f t="shared" si="11"/>
        <v>No Data</v>
      </c>
      <c r="AAO3" t="str">
        <f t="shared" si="11"/>
        <v>Med</v>
      </c>
      <c r="AAP3" t="str">
        <f t="shared" si="11"/>
        <v>Med</v>
      </c>
      <c r="AAQ3" t="str">
        <f t="shared" si="11"/>
        <v>Med</v>
      </c>
      <c r="AAR3" t="str">
        <f t="shared" si="11"/>
        <v>Med</v>
      </c>
      <c r="AAS3" t="str">
        <f t="shared" si="11"/>
        <v>Med</v>
      </c>
      <c r="AAT3" t="str">
        <f t="shared" si="11"/>
        <v>Med</v>
      </c>
      <c r="AAU3" t="str">
        <f t="shared" si="11"/>
        <v>Med</v>
      </c>
      <c r="AAV3" t="str">
        <f t="shared" si="11"/>
        <v>Med</v>
      </c>
      <c r="AAW3" t="str">
        <f t="shared" si="11"/>
        <v>Med</v>
      </c>
      <c r="AAX3" t="str">
        <f t="shared" si="11"/>
        <v>Med</v>
      </c>
      <c r="AAY3" t="str">
        <f t="shared" si="11"/>
        <v>Med</v>
      </c>
      <c r="AAZ3" t="str">
        <f t="shared" si="11"/>
        <v>Med</v>
      </c>
      <c r="ABA3" t="str">
        <f t="shared" si="11"/>
        <v>Med</v>
      </c>
      <c r="ABB3" t="str">
        <f t="shared" si="11"/>
        <v>Low</v>
      </c>
      <c r="ABC3" t="str">
        <f t="shared" si="11"/>
        <v>Med</v>
      </c>
      <c r="ABD3" t="str">
        <f t="shared" si="11"/>
        <v>Med</v>
      </c>
      <c r="ABE3" t="str">
        <f t="shared" si="11"/>
        <v>Med</v>
      </c>
      <c r="ABF3" t="str">
        <f t="shared" si="11"/>
        <v>Med</v>
      </c>
      <c r="ABG3" t="str">
        <f t="shared" si="11"/>
        <v>Med</v>
      </c>
      <c r="ABH3" t="str">
        <f t="shared" si="11"/>
        <v>Med</v>
      </c>
      <c r="ABI3" t="str">
        <f t="shared" si="11"/>
        <v>Med</v>
      </c>
      <c r="ABJ3" t="str">
        <f t="shared" si="11"/>
        <v>Med</v>
      </c>
      <c r="ABK3" t="str">
        <f t="shared" si="11"/>
        <v>Med</v>
      </c>
      <c r="ABL3" t="str">
        <f t="shared" si="11"/>
        <v>Med</v>
      </c>
      <c r="ABM3" t="str">
        <f t="shared" si="11"/>
        <v>Med</v>
      </c>
      <c r="ABN3" t="str">
        <f t="shared" si="11"/>
        <v>Med</v>
      </c>
      <c r="ABO3" t="str">
        <f t="shared" si="11"/>
        <v>Med</v>
      </c>
      <c r="ABP3" t="str">
        <f t="shared" si="11"/>
        <v>Med</v>
      </c>
      <c r="ABQ3" t="str">
        <f t="shared" si="11"/>
        <v>Med</v>
      </c>
      <c r="ABR3" t="str">
        <f t="shared" si="11"/>
        <v>Med</v>
      </c>
      <c r="ABS3" t="str">
        <f t="shared" si="11"/>
        <v>High</v>
      </c>
      <c r="ABT3" t="str">
        <f t="shared" si="11"/>
        <v>Med</v>
      </c>
      <c r="ABU3" t="str">
        <f t="shared" si="11"/>
        <v>Med</v>
      </c>
      <c r="ABV3" t="str">
        <f t="shared" si="11"/>
        <v>High</v>
      </c>
      <c r="ABW3" t="str">
        <f t="shared" si="11"/>
        <v>High</v>
      </c>
      <c r="ABX3" t="str">
        <f t="shared" si="11"/>
        <v>Low</v>
      </c>
      <c r="ABY3" t="str">
        <f t="shared" si="11"/>
        <v>Med</v>
      </c>
      <c r="ABZ3" t="str">
        <f t="shared" si="11"/>
        <v>Med</v>
      </c>
      <c r="ACA3" t="str">
        <f t="shared" si="11"/>
        <v>No Data</v>
      </c>
      <c r="ACB3" t="str">
        <f t="shared" si="11"/>
        <v>Med</v>
      </c>
      <c r="ACC3" t="str">
        <f t="shared" si="11"/>
        <v>Med</v>
      </c>
      <c r="ACD3" t="str">
        <f t="shared" si="11"/>
        <v>High</v>
      </c>
      <c r="ACE3" t="str">
        <f t="shared" si="11"/>
        <v>No Data</v>
      </c>
      <c r="ACF3" t="str">
        <f t="shared" si="11"/>
        <v>Med</v>
      </c>
      <c r="ACG3" t="str">
        <f t="shared" si="11"/>
        <v>Med</v>
      </c>
      <c r="ACH3" t="str">
        <f t="shared" si="11"/>
        <v>Low</v>
      </c>
      <c r="ACI3" t="str">
        <f t="shared" si="11"/>
        <v>Low</v>
      </c>
      <c r="ACJ3" t="str">
        <f t="shared" si="11"/>
        <v>Med</v>
      </c>
      <c r="ACK3" t="str">
        <f t="shared" si="11"/>
        <v>Med</v>
      </c>
      <c r="ACL3" t="str">
        <f t="shared" si="11"/>
        <v>High</v>
      </c>
      <c r="ACM3" t="str">
        <f t="shared" si="11"/>
        <v>Med</v>
      </c>
      <c r="ACN3" t="str">
        <f t="shared" si="11"/>
        <v>Med</v>
      </c>
      <c r="ACO3" t="str">
        <f t="shared" si="11"/>
        <v>Med</v>
      </c>
      <c r="ACP3" t="str">
        <f t="shared" si="11"/>
        <v>Med</v>
      </c>
      <c r="ACQ3" t="str">
        <f t="shared" si="11"/>
        <v>Med</v>
      </c>
      <c r="ACR3" t="str">
        <f t="shared" si="11"/>
        <v>Med</v>
      </c>
      <c r="ACS3" t="str">
        <f t="shared" ref="ACS3:AFD3" si="12">IF(ACS2="","No Data",IF(ACS2&gt;=100000,"High",IF(ACS2&gt;=40000,"Med","Low")))</f>
        <v>Low</v>
      </c>
      <c r="ACT3" t="str">
        <f t="shared" si="12"/>
        <v>Med</v>
      </c>
      <c r="ACU3" t="str">
        <f t="shared" si="12"/>
        <v>Med</v>
      </c>
      <c r="ACV3" t="str">
        <f t="shared" si="12"/>
        <v>Med</v>
      </c>
      <c r="ACW3" t="str">
        <f t="shared" si="12"/>
        <v>Med</v>
      </c>
      <c r="ACX3" t="str">
        <f t="shared" si="12"/>
        <v>Med</v>
      </c>
      <c r="ACY3" t="str">
        <f t="shared" si="12"/>
        <v>Med</v>
      </c>
      <c r="ACZ3" t="str">
        <f t="shared" si="12"/>
        <v>Med</v>
      </c>
      <c r="ADA3" t="str">
        <f t="shared" si="12"/>
        <v>Med</v>
      </c>
      <c r="ADB3" t="str">
        <f t="shared" si="12"/>
        <v>Med</v>
      </c>
      <c r="ADC3" t="str">
        <f t="shared" si="12"/>
        <v>Med</v>
      </c>
      <c r="ADD3" t="str">
        <f t="shared" si="12"/>
        <v>Med</v>
      </c>
      <c r="ADE3" t="str">
        <f t="shared" si="12"/>
        <v>Med</v>
      </c>
      <c r="ADF3" t="str">
        <f t="shared" si="12"/>
        <v>Med</v>
      </c>
      <c r="ADG3" t="str">
        <f t="shared" si="12"/>
        <v>Med</v>
      </c>
      <c r="ADH3" t="str">
        <f t="shared" si="12"/>
        <v>Med</v>
      </c>
      <c r="ADI3" t="str">
        <f t="shared" si="12"/>
        <v>Med</v>
      </c>
      <c r="ADJ3" t="str">
        <f t="shared" si="12"/>
        <v>No Data</v>
      </c>
      <c r="ADK3" t="str">
        <f t="shared" si="12"/>
        <v>Med</v>
      </c>
      <c r="ADL3" t="str">
        <f t="shared" si="12"/>
        <v>Med</v>
      </c>
      <c r="ADM3" t="str">
        <f t="shared" si="12"/>
        <v>Med</v>
      </c>
      <c r="ADN3" t="str">
        <f t="shared" si="12"/>
        <v>Low</v>
      </c>
      <c r="ADO3" t="str">
        <f t="shared" si="12"/>
        <v>Med</v>
      </c>
      <c r="ADP3" t="str">
        <f t="shared" si="12"/>
        <v>Med</v>
      </c>
      <c r="ADQ3" t="str">
        <f t="shared" si="12"/>
        <v>Med</v>
      </c>
      <c r="ADR3" t="str">
        <f t="shared" si="12"/>
        <v>Med</v>
      </c>
      <c r="ADS3" t="str">
        <f t="shared" si="12"/>
        <v>Med</v>
      </c>
      <c r="ADT3" t="str">
        <f t="shared" si="12"/>
        <v>Med</v>
      </c>
      <c r="ADU3" t="str">
        <f t="shared" si="12"/>
        <v>Low</v>
      </c>
      <c r="ADV3" t="str">
        <f t="shared" si="12"/>
        <v>Med</v>
      </c>
      <c r="ADW3" t="str">
        <f t="shared" si="12"/>
        <v>Med</v>
      </c>
      <c r="ADX3" t="str">
        <f t="shared" si="12"/>
        <v>Low</v>
      </c>
      <c r="ADY3" t="str">
        <f t="shared" si="12"/>
        <v>Med</v>
      </c>
      <c r="ADZ3" t="str">
        <f t="shared" si="12"/>
        <v>Med</v>
      </c>
      <c r="AEA3" t="str">
        <f t="shared" si="12"/>
        <v>Med</v>
      </c>
      <c r="AEB3" t="str">
        <f t="shared" si="12"/>
        <v>No Data</v>
      </c>
      <c r="AEC3" t="str">
        <f t="shared" si="12"/>
        <v>Low</v>
      </c>
      <c r="AED3" t="str">
        <f t="shared" si="12"/>
        <v>Med</v>
      </c>
      <c r="AEE3" t="str">
        <f t="shared" si="12"/>
        <v>Med</v>
      </c>
      <c r="AEF3" t="str">
        <f t="shared" si="12"/>
        <v>High</v>
      </c>
      <c r="AEG3" t="str">
        <f t="shared" si="12"/>
        <v>High</v>
      </c>
      <c r="AEH3" t="str">
        <f t="shared" si="12"/>
        <v>High</v>
      </c>
      <c r="AEI3" t="str">
        <f t="shared" si="12"/>
        <v>High</v>
      </c>
      <c r="AEJ3" t="str">
        <f t="shared" si="12"/>
        <v>High</v>
      </c>
      <c r="AEK3" t="str">
        <f t="shared" si="12"/>
        <v>Med</v>
      </c>
      <c r="AEL3" t="str">
        <f t="shared" si="12"/>
        <v>High</v>
      </c>
      <c r="AEM3" t="str">
        <f t="shared" si="12"/>
        <v>High</v>
      </c>
      <c r="AEN3" t="str">
        <f t="shared" si="12"/>
        <v>Med</v>
      </c>
      <c r="AEO3" t="str">
        <f t="shared" si="12"/>
        <v>High</v>
      </c>
      <c r="AEP3" t="str">
        <f t="shared" si="12"/>
        <v>High</v>
      </c>
      <c r="AEQ3" t="str">
        <f t="shared" si="12"/>
        <v>High</v>
      </c>
      <c r="AER3" t="str">
        <f t="shared" si="12"/>
        <v>High</v>
      </c>
      <c r="AES3" t="str">
        <f t="shared" si="12"/>
        <v>Med</v>
      </c>
      <c r="AET3" t="str">
        <f t="shared" si="12"/>
        <v>High</v>
      </c>
      <c r="AEU3" t="str">
        <f t="shared" si="12"/>
        <v>High</v>
      </c>
      <c r="AEV3" t="str">
        <f t="shared" si="12"/>
        <v>No Data</v>
      </c>
      <c r="AEW3" t="str">
        <f t="shared" si="12"/>
        <v>High</v>
      </c>
      <c r="AEX3" t="str">
        <f t="shared" si="12"/>
        <v>High</v>
      </c>
      <c r="AEY3" t="str">
        <f t="shared" si="12"/>
        <v>High</v>
      </c>
      <c r="AEZ3" t="str">
        <f t="shared" si="12"/>
        <v>High</v>
      </c>
      <c r="AFA3" t="str">
        <f t="shared" si="12"/>
        <v>Med</v>
      </c>
      <c r="AFB3" t="str">
        <f t="shared" si="12"/>
        <v>High</v>
      </c>
      <c r="AFC3" t="str">
        <f t="shared" si="12"/>
        <v>Med</v>
      </c>
      <c r="AFD3" t="str">
        <f t="shared" si="12"/>
        <v>High</v>
      </c>
      <c r="AFE3" t="str">
        <f t="shared" ref="AFE3:AHP3" si="13">IF(AFE2="","No Data",IF(AFE2&gt;=100000,"High",IF(AFE2&gt;=40000,"Med","Low")))</f>
        <v>High</v>
      </c>
      <c r="AFF3" t="str">
        <f t="shared" si="13"/>
        <v>High</v>
      </c>
      <c r="AFG3" t="str">
        <f t="shared" si="13"/>
        <v>High</v>
      </c>
      <c r="AFH3" t="str">
        <f t="shared" si="13"/>
        <v>High</v>
      </c>
      <c r="AFI3" t="str">
        <f t="shared" si="13"/>
        <v>High</v>
      </c>
      <c r="AFJ3" t="str">
        <f t="shared" si="13"/>
        <v>Med</v>
      </c>
      <c r="AFK3" t="str">
        <f t="shared" si="13"/>
        <v>High</v>
      </c>
      <c r="AFL3" t="str">
        <f t="shared" si="13"/>
        <v>High</v>
      </c>
      <c r="AFM3" t="str">
        <f t="shared" si="13"/>
        <v>High</v>
      </c>
      <c r="AFN3" t="str">
        <f t="shared" si="13"/>
        <v>Med</v>
      </c>
      <c r="AFO3" t="str">
        <f t="shared" si="13"/>
        <v>No Data</v>
      </c>
      <c r="AFP3" t="str">
        <f t="shared" si="13"/>
        <v>High</v>
      </c>
      <c r="AFQ3" t="str">
        <f t="shared" si="13"/>
        <v>Med</v>
      </c>
      <c r="AFR3" t="str">
        <f t="shared" si="13"/>
        <v>High</v>
      </c>
      <c r="AFS3" t="str">
        <f t="shared" si="13"/>
        <v>No Data</v>
      </c>
      <c r="AFT3" t="str">
        <f t="shared" si="13"/>
        <v>No Data</v>
      </c>
      <c r="AFU3" t="str">
        <f t="shared" si="13"/>
        <v>Med</v>
      </c>
      <c r="AFV3" t="str">
        <f t="shared" si="13"/>
        <v>Med</v>
      </c>
      <c r="AFW3" t="str">
        <f t="shared" si="13"/>
        <v>No Data</v>
      </c>
      <c r="AFX3" t="str">
        <f t="shared" si="13"/>
        <v>Med</v>
      </c>
      <c r="AFY3" t="str">
        <f t="shared" si="13"/>
        <v>High</v>
      </c>
      <c r="AFZ3" t="str">
        <f t="shared" si="13"/>
        <v>High</v>
      </c>
      <c r="AGA3" t="str">
        <f t="shared" si="13"/>
        <v>High</v>
      </c>
      <c r="AGB3" t="str">
        <f t="shared" si="13"/>
        <v>High</v>
      </c>
      <c r="AGC3" t="str">
        <f t="shared" si="13"/>
        <v>High</v>
      </c>
      <c r="AGD3" t="str">
        <f t="shared" si="13"/>
        <v>Med</v>
      </c>
      <c r="AGE3" t="str">
        <f t="shared" si="13"/>
        <v>High</v>
      </c>
      <c r="AGF3" t="str">
        <f t="shared" si="13"/>
        <v>High</v>
      </c>
      <c r="AGG3" t="str">
        <f t="shared" si="13"/>
        <v>No Data</v>
      </c>
      <c r="AGH3" t="str">
        <f t="shared" si="13"/>
        <v>High</v>
      </c>
      <c r="AGI3" t="str">
        <f t="shared" si="13"/>
        <v>Med</v>
      </c>
      <c r="AGJ3" t="str">
        <f t="shared" si="13"/>
        <v>High</v>
      </c>
      <c r="AGK3" t="str">
        <f t="shared" si="13"/>
        <v>High</v>
      </c>
      <c r="AGL3" t="str">
        <f t="shared" si="13"/>
        <v>High</v>
      </c>
      <c r="AGM3" t="str">
        <f t="shared" si="13"/>
        <v>High</v>
      </c>
      <c r="AGN3" t="str">
        <f t="shared" si="13"/>
        <v>High</v>
      </c>
      <c r="AGO3" t="str">
        <f t="shared" si="13"/>
        <v>Med</v>
      </c>
      <c r="AGP3" t="str">
        <f t="shared" si="13"/>
        <v>High</v>
      </c>
      <c r="AGQ3" t="str">
        <f t="shared" si="13"/>
        <v>High</v>
      </c>
      <c r="AGR3" t="str">
        <f t="shared" si="13"/>
        <v>High</v>
      </c>
      <c r="AGS3" t="str">
        <f t="shared" si="13"/>
        <v>Med</v>
      </c>
      <c r="AGT3" t="str">
        <f t="shared" si="13"/>
        <v>Med</v>
      </c>
      <c r="AGU3" t="str">
        <f t="shared" si="13"/>
        <v>Med</v>
      </c>
      <c r="AGV3" t="str">
        <f t="shared" si="13"/>
        <v>Med</v>
      </c>
      <c r="AGW3" t="str">
        <f t="shared" si="13"/>
        <v>Med</v>
      </c>
      <c r="AGX3" t="str">
        <f t="shared" si="13"/>
        <v>High</v>
      </c>
      <c r="AGY3" t="str">
        <f t="shared" si="13"/>
        <v>High</v>
      </c>
      <c r="AGZ3" t="str">
        <f t="shared" si="13"/>
        <v>High</v>
      </c>
      <c r="AHA3" t="str">
        <f t="shared" si="13"/>
        <v>High</v>
      </c>
      <c r="AHB3" t="str">
        <f t="shared" si="13"/>
        <v>Med</v>
      </c>
      <c r="AHC3" t="str">
        <f t="shared" si="13"/>
        <v>High</v>
      </c>
      <c r="AHD3" t="str">
        <f t="shared" si="13"/>
        <v>High</v>
      </c>
      <c r="AHE3" t="str">
        <f t="shared" si="13"/>
        <v>High</v>
      </c>
      <c r="AHF3" t="str">
        <f t="shared" si="13"/>
        <v>High</v>
      </c>
      <c r="AHG3" t="str">
        <f t="shared" si="13"/>
        <v>High</v>
      </c>
      <c r="AHH3" t="str">
        <f t="shared" si="13"/>
        <v>High</v>
      </c>
      <c r="AHI3" t="str">
        <f t="shared" si="13"/>
        <v>Med</v>
      </c>
      <c r="AHJ3" t="str">
        <f t="shared" si="13"/>
        <v>Med</v>
      </c>
      <c r="AHK3" t="str">
        <f t="shared" si="13"/>
        <v>No Data</v>
      </c>
      <c r="AHL3" t="str">
        <f t="shared" si="13"/>
        <v>Med</v>
      </c>
      <c r="AHM3" t="str">
        <f t="shared" si="13"/>
        <v>High</v>
      </c>
      <c r="AHN3" t="str">
        <f t="shared" si="13"/>
        <v>Med</v>
      </c>
      <c r="AHO3" t="str">
        <f t="shared" si="13"/>
        <v>Med</v>
      </c>
      <c r="AHP3" t="str">
        <f t="shared" si="13"/>
        <v>Med</v>
      </c>
      <c r="AHQ3" t="str">
        <f t="shared" ref="AHQ3:AKB3" si="14">IF(AHQ2="","No Data",IF(AHQ2&gt;=100000,"High",IF(AHQ2&gt;=40000,"Med","Low")))</f>
        <v>Med</v>
      </c>
      <c r="AHR3" t="str">
        <f t="shared" si="14"/>
        <v>High</v>
      </c>
      <c r="AHS3" t="str">
        <f t="shared" si="14"/>
        <v>High</v>
      </c>
      <c r="AHT3" t="str">
        <f t="shared" si="14"/>
        <v>High</v>
      </c>
      <c r="AHU3" t="str">
        <f t="shared" si="14"/>
        <v>High</v>
      </c>
      <c r="AHV3" t="str">
        <f t="shared" si="14"/>
        <v>High</v>
      </c>
      <c r="AHW3" t="str">
        <f t="shared" si="14"/>
        <v>Med</v>
      </c>
      <c r="AHX3" t="str">
        <f t="shared" si="14"/>
        <v>Med</v>
      </c>
      <c r="AHY3" t="str">
        <f t="shared" si="14"/>
        <v>High</v>
      </c>
      <c r="AHZ3" t="str">
        <f t="shared" si="14"/>
        <v>High</v>
      </c>
      <c r="AIA3" t="str">
        <f t="shared" si="14"/>
        <v>High</v>
      </c>
      <c r="AIB3" t="str">
        <f t="shared" si="14"/>
        <v>Med</v>
      </c>
      <c r="AIC3" t="str">
        <f t="shared" si="14"/>
        <v>No Data</v>
      </c>
      <c r="AID3" t="str">
        <f t="shared" si="14"/>
        <v>High</v>
      </c>
      <c r="AIE3" t="str">
        <f t="shared" si="14"/>
        <v>High</v>
      </c>
      <c r="AIF3" t="str">
        <f t="shared" si="14"/>
        <v>High</v>
      </c>
      <c r="AIG3" t="str">
        <f t="shared" si="14"/>
        <v>High</v>
      </c>
      <c r="AIH3" t="str">
        <f t="shared" si="14"/>
        <v>High</v>
      </c>
      <c r="AII3" t="str">
        <f t="shared" si="14"/>
        <v>High</v>
      </c>
      <c r="AIJ3" t="str">
        <f t="shared" si="14"/>
        <v>Med</v>
      </c>
      <c r="AIK3" t="str">
        <f t="shared" si="14"/>
        <v>Med</v>
      </c>
      <c r="AIL3" t="str">
        <f t="shared" si="14"/>
        <v>Med</v>
      </c>
      <c r="AIM3" t="str">
        <f t="shared" si="14"/>
        <v>Med</v>
      </c>
      <c r="AIN3" t="str">
        <f t="shared" si="14"/>
        <v>Med</v>
      </c>
      <c r="AIO3" t="str">
        <f t="shared" si="14"/>
        <v>High</v>
      </c>
      <c r="AIP3" t="str">
        <f t="shared" si="14"/>
        <v>High</v>
      </c>
      <c r="AIQ3" t="str">
        <f t="shared" si="14"/>
        <v>High</v>
      </c>
      <c r="AIR3" t="str">
        <f t="shared" si="14"/>
        <v>High</v>
      </c>
      <c r="AIS3" t="str">
        <f t="shared" si="14"/>
        <v>High</v>
      </c>
      <c r="AIT3" t="str">
        <f t="shared" si="14"/>
        <v>High</v>
      </c>
      <c r="AIU3" t="str">
        <f t="shared" si="14"/>
        <v>High</v>
      </c>
      <c r="AIV3" t="str">
        <f t="shared" si="14"/>
        <v>High</v>
      </c>
      <c r="AIW3" t="str">
        <f t="shared" si="14"/>
        <v>High</v>
      </c>
      <c r="AIX3" t="str">
        <f t="shared" si="14"/>
        <v>High</v>
      </c>
      <c r="AIY3" t="str">
        <f t="shared" si="14"/>
        <v>High</v>
      </c>
      <c r="AIZ3" t="str">
        <f t="shared" si="14"/>
        <v>High</v>
      </c>
      <c r="AJA3" t="str">
        <f t="shared" si="14"/>
        <v>High</v>
      </c>
      <c r="AJB3" t="str">
        <f t="shared" si="14"/>
        <v>High</v>
      </c>
      <c r="AJC3" t="str">
        <f t="shared" si="14"/>
        <v>High</v>
      </c>
      <c r="AJD3" t="str">
        <f t="shared" si="14"/>
        <v>High</v>
      </c>
      <c r="AJE3" t="str">
        <f t="shared" si="14"/>
        <v>High</v>
      </c>
      <c r="AJF3" t="str">
        <f t="shared" si="14"/>
        <v>High</v>
      </c>
      <c r="AJG3" t="str">
        <f t="shared" si="14"/>
        <v>High</v>
      </c>
      <c r="AJH3" t="str">
        <f t="shared" si="14"/>
        <v>High</v>
      </c>
      <c r="AJI3" t="str">
        <f t="shared" si="14"/>
        <v>High</v>
      </c>
      <c r="AJJ3" t="str">
        <f t="shared" si="14"/>
        <v>High</v>
      </c>
      <c r="AJK3" t="str">
        <f t="shared" si="14"/>
        <v>High</v>
      </c>
      <c r="AJL3" t="str">
        <f t="shared" si="14"/>
        <v>High</v>
      </c>
      <c r="AJM3" t="str">
        <f t="shared" si="14"/>
        <v>High</v>
      </c>
      <c r="AJN3" t="str">
        <f t="shared" si="14"/>
        <v>High</v>
      </c>
      <c r="AJO3" t="str">
        <f t="shared" si="14"/>
        <v>High</v>
      </c>
      <c r="AJP3" t="str">
        <f t="shared" si="14"/>
        <v>High</v>
      </c>
      <c r="AJQ3" t="str">
        <f t="shared" si="14"/>
        <v>High</v>
      </c>
      <c r="AJR3" t="str">
        <f t="shared" si="14"/>
        <v>Med</v>
      </c>
      <c r="AJS3" t="str">
        <f t="shared" si="14"/>
        <v>High</v>
      </c>
      <c r="AJT3" t="str">
        <f t="shared" si="14"/>
        <v>High</v>
      </c>
      <c r="AJU3" t="str">
        <f t="shared" si="14"/>
        <v>High</v>
      </c>
      <c r="AJV3" t="str">
        <f t="shared" si="14"/>
        <v>High</v>
      </c>
      <c r="AJW3" t="str">
        <f t="shared" si="14"/>
        <v>Med</v>
      </c>
      <c r="AJX3" t="str">
        <f t="shared" si="14"/>
        <v>No Data</v>
      </c>
      <c r="AJY3" t="str">
        <f t="shared" si="14"/>
        <v>No Data</v>
      </c>
      <c r="AJZ3" t="str">
        <f t="shared" si="14"/>
        <v>No Data</v>
      </c>
      <c r="AKA3" t="str">
        <f t="shared" si="14"/>
        <v>High</v>
      </c>
      <c r="AKB3" t="str">
        <f t="shared" si="14"/>
        <v>High</v>
      </c>
      <c r="AKC3" t="str">
        <f t="shared" ref="AKC3:AMN3" si="15">IF(AKC2="","No Data",IF(AKC2&gt;=100000,"High",IF(AKC2&gt;=40000,"Med","Low")))</f>
        <v>Low</v>
      </c>
      <c r="AKD3" t="str">
        <f t="shared" si="15"/>
        <v>High</v>
      </c>
      <c r="AKE3" t="str">
        <f t="shared" si="15"/>
        <v>High</v>
      </c>
      <c r="AKF3" t="str">
        <f t="shared" si="15"/>
        <v>Med</v>
      </c>
      <c r="AKG3" t="str">
        <f t="shared" si="15"/>
        <v>Med</v>
      </c>
      <c r="AKH3" t="str">
        <f t="shared" si="15"/>
        <v>High</v>
      </c>
      <c r="AKI3" t="str">
        <f t="shared" si="15"/>
        <v>Med</v>
      </c>
      <c r="AKJ3" t="str">
        <f t="shared" si="15"/>
        <v>High</v>
      </c>
      <c r="AKK3" t="str">
        <f t="shared" si="15"/>
        <v>Med</v>
      </c>
      <c r="AKL3" t="str">
        <f t="shared" si="15"/>
        <v>Med</v>
      </c>
      <c r="AKM3" t="str">
        <f t="shared" si="15"/>
        <v>High</v>
      </c>
      <c r="AKN3" t="str">
        <f t="shared" si="15"/>
        <v>High</v>
      </c>
      <c r="AKO3" t="str">
        <f t="shared" si="15"/>
        <v>Med</v>
      </c>
      <c r="AKP3" t="str">
        <f t="shared" si="15"/>
        <v>High</v>
      </c>
      <c r="AKQ3" t="str">
        <f t="shared" si="15"/>
        <v>High</v>
      </c>
      <c r="AKR3" t="str">
        <f t="shared" si="15"/>
        <v>High</v>
      </c>
      <c r="AKS3" t="str">
        <f t="shared" si="15"/>
        <v>High</v>
      </c>
      <c r="AKT3" t="str">
        <f t="shared" si="15"/>
        <v>High</v>
      </c>
      <c r="AKU3" t="str">
        <f t="shared" si="15"/>
        <v>Med</v>
      </c>
      <c r="AKV3" t="str">
        <f t="shared" si="15"/>
        <v>High</v>
      </c>
      <c r="AKW3" t="str">
        <f t="shared" si="15"/>
        <v>High</v>
      </c>
      <c r="AKX3" t="str">
        <f t="shared" si="15"/>
        <v>Med</v>
      </c>
      <c r="AKY3" t="str">
        <f t="shared" si="15"/>
        <v>No Data</v>
      </c>
      <c r="AKZ3" t="str">
        <f t="shared" si="15"/>
        <v>High</v>
      </c>
      <c r="ALA3" t="str">
        <f t="shared" si="15"/>
        <v>Med</v>
      </c>
      <c r="ALB3" t="str">
        <f t="shared" si="15"/>
        <v>High</v>
      </c>
      <c r="ALC3" t="str">
        <f t="shared" si="15"/>
        <v>High</v>
      </c>
      <c r="ALD3" t="str">
        <f t="shared" si="15"/>
        <v>High</v>
      </c>
      <c r="ALE3" t="str">
        <f t="shared" si="15"/>
        <v>Med</v>
      </c>
      <c r="ALF3" t="str">
        <f t="shared" si="15"/>
        <v>High</v>
      </c>
      <c r="ALG3" t="str">
        <f t="shared" si="15"/>
        <v>High</v>
      </c>
      <c r="ALH3" t="str">
        <f t="shared" si="15"/>
        <v>High</v>
      </c>
      <c r="ALI3" t="str">
        <f t="shared" si="15"/>
        <v>High</v>
      </c>
      <c r="ALJ3" t="str">
        <f t="shared" si="15"/>
        <v>High</v>
      </c>
      <c r="ALK3" t="str">
        <f t="shared" si="15"/>
        <v>High</v>
      </c>
      <c r="ALL3" t="str">
        <f t="shared" si="15"/>
        <v>High</v>
      </c>
      <c r="ALM3" t="str">
        <f t="shared" si="15"/>
        <v>High</v>
      </c>
      <c r="ALN3" t="str">
        <f t="shared" si="15"/>
        <v>High</v>
      </c>
      <c r="ALO3" t="str">
        <f t="shared" si="15"/>
        <v>Med</v>
      </c>
      <c r="ALP3" t="str">
        <f t="shared" si="15"/>
        <v>Med</v>
      </c>
      <c r="ALQ3" t="str">
        <f t="shared" si="15"/>
        <v>High</v>
      </c>
      <c r="ALR3" t="str">
        <f t="shared" si="15"/>
        <v>High</v>
      </c>
      <c r="ALS3" t="str">
        <f t="shared" si="15"/>
        <v>High</v>
      </c>
      <c r="ALT3" t="str">
        <f t="shared" si="15"/>
        <v>High</v>
      </c>
      <c r="ALU3" t="str">
        <f t="shared" si="15"/>
        <v>Med</v>
      </c>
      <c r="ALV3" t="str">
        <f t="shared" si="15"/>
        <v>High</v>
      </c>
      <c r="ALW3" t="str">
        <f t="shared" si="15"/>
        <v>High</v>
      </c>
      <c r="ALX3" t="str">
        <f t="shared" si="15"/>
        <v>High</v>
      </c>
      <c r="ALY3" t="str">
        <f t="shared" si="15"/>
        <v>High</v>
      </c>
      <c r="ALZ3" t="str">
        <f t="shared" si="15"/>
        <v>High</v>
      </c>
      <c r="AMA3" t="str">
        <f t="shared" si="15"/>
        <v>High</v>
      </c>
      <c r="AMB3" t="str">
        <f t="shared" si="15"/>
        <v>High</v>
      </c>
      <c r="AMC3" t="str">
        <f t="shared" si="15"/>
        <v>High</v>
      </c>
      <c r="AMD3" t="str">
        <f t="shared" si="15"/>
        <v>High</v>
      </c>
      <c r="AME3" t="str">
        <f t="shared" si="15"/>
        <v>High</v>
      </c>
      <c r="AMF3" t="str">
        <f t="shared" si="15"/>
        <v>High</v>
      </c>
      <c r="AMG3" t="str">
        <f t="shared" si="15"/>
        <v>High</v>
      </c>
      <c r="AMH3" t="str">
        <f t="shared" si="15"/>
        <v>High</v>
      </c>
      <c r="AMI3" t="str">
        <f t="shared" si="15"/>
        <v>High</v>
      </c>
      <c r="AMJ3" t="str">
        <f t="shared" si="15"/>
        <v>No Data</v>
      </c>
      <c r="AMK3" t="str">
        <f t="shared" si="15"/>
        <v>High</v>
      </c>
      <c r="AML3" t="str">
        <f t="shared" si="15"/>
        <v>High</v>
      </c>
      <c r="AMM3" t="str">
        <f t="shared" si="15"/>
        <v>High</v>
      </c>
      <c r="AMN3" t="str">
        <f t="shared" si="15"/>
        <v>High</v>
      </c>
      <c r="AMO3" t="str">
        <f t="shared" ref="AMO3:AOZ3" si="16">IF(AMO2="","No Data",IF(AMO2&gt;=100000,"High",IF(AMO2&gt;=40000,"Med","Low")))</f>
        <v>Med</v>
      </c>
      <c r="AMP3" t="str">
        <f t="shared" si="16"/>
        <v>High</v>
      </c>
      <c r="AMQ3" t="str">
        <f t="shared" si="16"/>
        <v>High</v>
      </c>
      <c r="AMR3" t="str">
        <f t="shared" si="16"/>
        <v>High</v>
      </c>
      <c r="AMS3" t="str">
        <f t="shared" si="16"/>
        <v>Low</v>
      </c>
      <c r="AMT3" t="str">
        <f t="shared" si="16"/>
        <v>High</v>
      </c>
      <c r="AMU3" t="str">
        <f t="shared" si="16"/>
        <v>High</v>
      </c>
      <c r="AMV3" t="str">
        <f t="shared" si="16"/>
        <v>Med</v>
      </c>
      <c r="AMW3" t="str">
        <f t="shared" si="16"/>
        <v>High</v>
      </c>
      <c r="AMX3" t="str">
        <f t="shared" si="16"/>
        <v>High</v>
      </c>
      <c r="AMY3" t="str">
        <f t="shared" si="16"/>
        <v>High</v>
      </c>
      <c r="AMZ3" t="str">
        <f t="shared" si="16"/>
        <v>High</v>
      </c>
      <c r="ANA3" t="str">
        <f t="shared" si="16"/>
        <v>High</v>
      </c>
      <c r="ANB3" t="str">
        <f t="shared" si="16"/>
        <v>High</v>
      </c>
      <c r="ANC3" t="str">
        <f t="shared" si="16"/>
        <v>High</v>
      </c>
      <c r="AND3" t="str">
        <f t="shared" si="16"/>
        <v>High</v>
      </c>
      <c r="ANE3" t="str">
        <f t="shared" si="16"/>
        <v>High</v>
      </c>
      <c r="ANF3" t="str">
        <f t="shared" si="16"/>
        <v>High</v>
      </c>
      <c r="ANG3" t="str">
        <f t="shared" si="16"/>
        <v>High</v>
      </c>
      <c r="ANH3" t="str">
        <f t="shared" si="16"/>
        <v>High</v>
      </c>
      <c r="ANI3" t="str">
        <f t="shared" si="16"/>
        <v>High</v>
      </c>
      <c r="ANJ3" t="str">
        <f t="shared" si="16"/>
        <v>High</v>
      </c>
      <c r="ANK3" t="str">
        <f t="shared" si="16"/>
        <v>High</v>
      </c>
      <c r="ANL3" t="str">
        <f t="shared" si="16"/>
        <v>Med</v>
      </c>
      <c r="ANM3" t="str">
        <f t="shared" si="16"/>
        <v>Med</v>
      </c>
      <c r="ANN3" t="str">
        <f t="shared" si="16"/>
        <v>Med</v>
      </c>
      <c r="ANO3" t="str">
        <f t="shared" si="16"/>
        <v>Med</v>
      </c>
      <c r="ANP3" t="str">
        <f t="shared" si="16"/>
        <v>Med</v>
      </c>
      <c r="ANQ3" t="str">
        <f t="shared" si="16"/>
        <v>Med</v>
      </c>
      <c r="ANR3" t="str">
        <f t="shared" si="16"/>
        <v>Med</v>
      </c>
      <c r="ANS3" t="str">
        <f t="shared" si="16"/>
        <v>Med</v>
      </c>
      <c r="ANT3" t="str">
        <f t="shared" si="16"/>
        <v>High</v>
      </c>
      <c r="ANU3" t="str">
        <f t="shared" si="16"/>
        <v>Med</v>
      </c>
      <c r="ANV3" t="str">
        <f t="shared" si="16"/>
        <v>Med</v>
      </c>
      <c r="ANW3" t="str">
        <f t="shared" si="16"/>
        <v>Med</v>
      </c>
      <c r="ANX3" t="str">
        <f t="shared" si="16"/>
        <v>Med</v>
      </c>
      <c r="ANY3" t="str">
        <f t="shared" si="16"/>
        <v>Med</v>
      </c>
      <c r="ANZ3" t="str">
        <f t="shared" si="16"/>
        <v>Med</v>
      </c>
      <c r="AOA3" t="str">
        <f t="shared" si="16"/>
        <v>Low</v>
      </c>
      <c r="AOB3" t="str">
        <f t="shared" si="16"/>
        <v>Med</v>
      </c>
      <c r="AOC3" t="str">
        <f t="shared" si="16"/>
        <v>High</v>
      </c>
      <c r="AOD3" t="str">
        <f t="shared" si="16"/>
        <v>Med</v>
      </c>
      <c r="AOE3" t="str">
        <f t="shared" si="16"/>
        <v>Med</v>
      </c>
      <c r="AOF3" t="str">
        <f t="shared" si="16"/>
        <v>Med</v>
      </c>
      <c r="AOG3" t="str">
        <f t="shared" si="16"/>
        <v>Med</v>
      </c>
      <c r="AOH3" t="str">
        <f t="shared" si="16"/>
        <v>Med</v>
      </c>
      <c r="AOI3" t="str">
        <f t="shared" si="16"/>
        <v>Med</v>
      </c>
      <c r="AOJ3" t="str">
        <f t="shared" si="16"/>
        <v>Med</v>
      </c>
      <c r="AOK3" t="str">
        <f t="shared" si="16"/>
        <v>Med</v>
      </c>
      <c r="AOL3" t="str">
        <f t="shared" si="16"/>
        <v>High</v>
      </c>
      <c r="AOM3" t="str">
        <f t="shared" si="16"/>
        <v>Med</v>
      </c>
      <c r="AON3" t="str">
        <f t="shared" si="16"/>
        <v>Med</v>
      </c>
      <c r="AOO3" t="str">
        <f t="shared" si="16"/>
        <v>Med</v>
      </c>
      <c r="AOP3" t="str">
        <f t="shared" si="16"/>
        <v>No Data</v>
      </c>
      <c r="AOQ3" t="str">
        <f t="shared" si="16"/>
        <v>Med</v>
      </c>
      <c r="AOR3" t="str">
        <f t="shared" si="16"/>
        <v>Med</v>
      </c>
      <c r="AOS3" t="str">
        <f t="shared" si="16"/>
        <v>Med</v>
      </c>
      <c r="AOT3" t="str">
        <f t="shared" si="16"/>
        <v>Med</v>
      </c>
      <c r="AOU3" t="str">
        <f t="shared" si="16"/>
        <v>No Data</v>
      </c>
      <c r="AOV3" t="str">
        <f t="shared" si="16"/>
        <v>Med</v>
      </c>
      <c r="AOW3" t="str">
        <f t="shared" si="16"/>
        <v>No Data</v>
      </c>
      <c r="AOX3" t="str">
        <f t="shared" si="16"/>
        <v>No Data</v>
      </c>
      <c r="AOY3" t="str">
        <f t="shared" si="16"/>
        <v>No Data</v>
      </c>
      <c r="AOZ3" t="str">
        <f t="shared" si="16"/>
        <v>No Data</v>
      </c>
      <c r="APA3" t="str">
        <f t="shared" ref="APA3:ARL3" si="17">IF(APA2="","No Data",IF(APA2&gt;=100000,"High",IF(APA2&gt;=40000,"Med","Low")))</f>
        <v>Med</v>
      </c>
      <c r="APB3" t="str">
        <f t="shared" si="17"/>
        <v>No Data</v>
      </c>
      <c r="APC3" t="str">
        <f t="shared" si="17"/>
        <v>High</v>
      </c>
      <c r="APD3" t="str">
        <f t="shared" si="17"/>
        <v>Med</v>
      </c>
      <c r="APE3" t="str">
        <f t="shared" si="17"/>
        <v>High</v>
      </c>
      <c r="APF3" t="str">
        <f t="shared" si="17"/>
        <v>High</v>
      </c>
      <c r="APG3" t="str">
        <f t="shared" si="17"/>
        <v>High</v>
      </c>
      <c r="APH3" t="str">
        <f t="shared" si="17"/>
        <v>Med</v>
      </c>
      <c r="API3" t="str">
        <f t="shared" si="17"/>
        <v>Med</v>
      </c>
      <c r="APJ3" t="str">
        <f t="shared" si="17"/>
        <v>Med</v>
      </c>
      <c r="APK3" t="str">
        <f t="shared" si="17"/>
        <v>Med</v>
      </c>
      <c r="APL3" t="str">
        <f t="shared" si="17"/>
        <v>Med</v>
      </c>
      <c r="APM3" t="str">
        <f t="shared" si="17"/>
        <v>Low</v>
      </c>
      <c r="APN3" t="str">
        <f t="shared" si="17"/>
        <v>Med</v>
      </c>
      <c r="APO3" t="str">
        <f t="shared" si="17"/>
        <v>Med</v>
      </c>
      <c r="APP3" t="str">
        <f t="shared" si="17"/>
        <v>Med</v>
      </c>
      <c r="APQ3" t="str">
        <f t="shared" si="17"/>
        <v>Med</v>
      </c>
      <c r="APR3" t="str">
        <f t="shared" si="17"/>
        <v>Med</v>
      </c>
      <c r="APS3" t="str">
        <f t="shared" si="17"/>
        <v>Med</v>
      </c>
      <c r="APT3" t="str">
        <f t="shared" si="17"/>
        <v>Med</v>
      </c>
      <c r="APU3" t="str">
        <f t="shared" si="17"/>
        <v>Med</v>
      </c>
      <c r="APV3" t="str">
        <f t="shared" si="17"/>
        <v>No Data</v>
      </c>
      <c r="APW3" t="str">
        <f t="shared" si="17"/>
        <v>No Data</v>
      </c>
      <c r="APX3" t="str">
        <f t="shared" si="17"/>
        <v>Med</v>
      </c>
      <c r="APY3" t="str">
        <f t="shared" si="17"/>
        <v>Med</v>
      </c>
      <c r="APZ3" t="str">
        <f t="shared" si="17"/>
        <v>Med</v>
      </c>
      <c r="AQA3" t="str">
        <f t="shared" si="17"/>
        <v>Low</v>
      </c>
      <c r="AQB3" t="str">
        <f t="shared" si="17"/>
        <v>No Data</v>
      </c>
      <c r="AQC3" t="str">
        <f t="shared" si="17"/>
        <v>Med</v>
      </c>
      <c r="AQD3" t="str">
        <f t="shared" si="17"/>
        <v>Med</v>
      </c>
      <c r="AQE3" t="str">
        <f t="shared" si="17"/>
        <v>Med</v>
      </c>
      <c r="AQF3" t="str">
        <f t="shared" si="17"/>
        <v>Med</v>
      </c>
      <c r="AQG3" t="str">
        <f t="shared" si="17"/>
        <v>Med</v>
      </c>
      <c r="AQH3" t="str">
        <f t="shared" si="17"/>
        <v>High</v>
      </c>
      <c r="AQI3" t="str">
        <f t="shared" si="17"/>
        <v>Med</v>
      </c>
      <c r="AQJ3" t="str">
        <f t="shared" si="17"/>
        <v>High</v>
      </c>
      <c r="AQK3" t="str">
        <f t="shared" si="17"/>
        <v>High</v>
      </c>
      <c r="AQL3" t="str">
        <f t="shared" si="17"/>
        <v>Med</v>
      </c>
      <c r="AQM3" t="str">
        <f t="shared" si="17"/>
        <v>Med</v>
      </c>
      <c r="AQN3" t="str">
        <f t="shared" si="17"/>
        <v>Med</v>
      </c>
      <c r="AQO3" t="str">
        <f t="shared" si="17"/>
        <v>Med</v>
      </c>
      <c r="AQP3" t="str">
        <f t="shared" si="17"/>
        <v>Med</v>
      </c>
      <c r="AQQ3" t="str">
        <f t="shared" si="17"/>
        <v>Med</v>
      </c>
      <c r="AQR3" t="str">
        <f t="shared" si="17"/>
        <v>Med</v>
      </c>
      <c r="AQS3" t="str">
        <f t="shared" si="17"/>
        <v>High</v>
      </c>
      <c r="AQT3" t="str">
        <f t="shared" si="17"/>
        <v>Med</v>
      </c>
      <c r="AQU3" t="str">
        <f t="shared" si="17"/>
        <v>Med</v>
      </c>
      <c r="AQV3" t="str">
        <f t="shared" si="17"/>
        <v>Med</v>
      </c>
      <c r="AQW3" t="str">
        <f t="shared" si="17"/>
        <v>Med</v>
      </c>
      <c r="AQX3" t="str">
        <f t="shared" si="17"/>
        <v>High</v>
      </c>
      <c r="AQY3" t="str">
        <f t="shared" si="17"/>
        <v>Med</v>
      </c>
      <c r="AQZ3" t="str">
        <f t="shared" si="17"/>
        <v>High</v>
      </c>
      <c r="ARA3" t="str">
        <f t="shared" si="17"/>
        <v>Med</v>
      </c>
      <c r="ARB3" t="str">
        <f t="shared" si="17"/>
        <v>Med</v>
      </c>
      <c r="ARC3" t="str">
        <f t="shared" si="17"/>
        <v>Med</v>
      </c>
      <c r="ARD3" t="str">
        <f t="shared" si="17"/>
        <v>Med</v>
      </c>
      <c r="ARE3" t="str">
        <f t="shared" si="17"/>
        <v>No Data</v>
      </c>
      <c r="ARF3" t="str">
        <f t="shared" si="17"/>
        <v>Med</v>
      </c>
      <c r="ARG3" t="str">
        <f t="shared" si="17"/>
        <v>High</v>
      </c>
      <c r="ARH3" t="str">
        <f t="shared" si="17"/>
        <v>High</v>
      </c>
      <c r="ARI3" t="str">
        <f t="shared" si="17"/>
        <v>Med</v>
      </c>
      <c r="ARJ3" t="str">
        <f t="shared" si="17"/>
        <v>Med</v>
      </c>
      <c r="ARK3" t="str">
        <f t="shared" si="17"/>
        <v>Med</v>
      </c>
      <c r="ARL3" t="str">
        <f t="shared" si="17"/>
        <v>High</v>
      </c>
      <c r="ARM3" t="str">
        <f t="shared" ref="ARM3:ATX3" si="18">IF(ARM2="","No Data",IF(ARM2&gt;=100000,"High",IF(ARM2&gt;=40000,"Med","Low")))</f>
        <v>High</v>
      </c>
      <c r="ARN3" t="str">
        <f t="shared" si="18"/>
        <v>Med</v>
      </c>
      <c r="ARO3" t="str">
        <f t="shared" si="18"/>
        <v>Med</v>
      </c>
      <c r="ARP3" t="str">
        <f t="shared" si="18"/>
        <v>High</v>
      </c>
      <c r="ARQ3" t="str">
        <f t="shared" si="18"/>
        <v>High</v>
      </c>
      <c r="ARR3" t="str">
        <f t="shared" si="18"/>
        <v>Med</v>
      </c>
      <c r="ARS3" t="str">
        <f t="shared" si="18"/>
        <v>Med</v>
      </c>
      <c r="ART3" t="str">
        <f t="shared" si="18"/>
        <v>Med</v>
      </c>
      <c r="ARU3" t="str">
        <f t="shared" si="18"/>
        <v>High</v>
      </c>
      <c r="ARV3" t="str">
        <f t="shared" si="18"/>
        <v>Med</v>
      </c>
      <c r="ARW3" t="str">
        <f t="shared" si="18"/>
        <v>Med</v>
      </c>
      <c r="ARX3" t="str">
        <f t="shared" si="18"/>
        <v>High</v>
      </c>
      <c r="ARY3" t="str">
        <f t="shared" si="18"/>
        <v>High</v>
      </c>
      <c r="ARZ3" t="str">
        <f t="shared" si="18"/>
        <v>Med</v>
      </c>
      <c r="ASA3" t="str">
        <f t="shared" si="18"/>
        <v>Med</v>
      </c>
      <c r="ASB3" t="str">
        <f t="shared" si="18"/>
        <v>High</v>
      </c>
      <c r="ASC3" t="str">
        <f t="shared" si="18"/>
        <v>Med</v>
      </c>
      <c r="ASD3" t="str">
        <f t="shared" si="18"/>
        <v>Med</v>
      </c>
      <c r="ASE3" t="str">
        <f t="shared" si="18"/>
        <v>Med</v>
      </c>
      <c r="ASF3" t="str">
        <f t="shared" si="18"/>
        <v>Low</v>
      </c>
      <c r="ASG3" t="str">
        <f t="shared" si="18"/>
        <v>High</v>
      </c>
      <c r="ASH3" t="str">
        <f t="shared" si="18"/>
        <v>High</v>
      </c>
      <c r="ASI3" t="str">
        <f t="shared" si="18"/>
        <v>Med</v>
      </c>
      <c r="ASJ3" t="str">
        <f t="shared" si="18"/>
        <v>High</v>
      </c>
      <c r="ASK3" t="str">
        <f t="shared" si="18"/>
        <v>High</v>
      </c>
      <c r="ASL3" t="str">
        <f t="shared" si="18"/>
        <v>High</v>
      </c>
      <c r="ASM3" t="str">
        <f t="shared" si="18"/>
        <v>High</v>
      </c>
      <c r="ASN3" t="str">
        <f t="shared" si="18"/>
        <v>High</v>
      </c>
      <c r="ASO3" t="str">
        <f t="shared" si="18"/>
        <v>No Data</v>
      </c>
      <c r="ASP3" t="str">
        <f t="shared" si="18"/>
        <v>High</v>
      </c>
      <c r="ASQ3" t="str">
        <f t="shared" si="18"/>
        <v>Med</v>
      </c>
      <c r="ASR3" t="str">
        <f t="shared" si="18"/>
        <v>Med</v>
      </c>
      <c r="ASS3" t="str">
        <f t="shared" si="18"/>
        <v>High</v>
      </c>
      <c r="AST3" t="str">
        <f t="shared" si="18"/>
        <v>No Data</v>
      </c>
      <c r="ASU3" t="str">
        <f t="shared" si="18"/>
        <v>High</v>
      </c>
      <c r="ASV3" t="str">
        <f t="shared" si="18"/>
        <v>High</v>
      </c>
      <c r="ASW3" t="str">
        <f t="shared" si="18"/>
        <v>Med</v>
      </c>
      <c r="ASX3" t="str">
        <f t="shared" si="18"/>
        <v>Med</v>
      </c>
      <c r="ASY3" t="str">
        <f t="shared" si="18"/>
        <v>Med</v>
      </c>
      <c r="ASZ3" t="str">
        <f t="shared" si="18"/>
        <v>High</v>
      </c>
      <c r="ATA3" t="str">
        <f t="shared" si="18"/>
        <v>Med</v>
      </c>
      <c r="ATB3" t="str">
        <f t="shared" si="18"/>
        <v>Med</v>
      </c>
      <c r="ATC3" t="str">
        <f t="shared" si="18"/>
        <v>Med</v>
      </c>
      <c r="ATD3" t="str">
        <f t="shared" si="18"/>
        <v>High</v>
      </c>
      <c r="ATE3" t="str">
        <f t="shared" si="18"/>
        <v>High</v>
      </c>
      <c r="ATF3" t="str">
        <f t="shared" si="18"/>
        <v>Med</v>
      </c>
      <c r="ATG3" t="str">
        <f t="shared" si="18"/>
        <v>Med</v>
      </c>
      <c r="ATH3" t="str">
        <f t="shared" si="18"/>
        <v>No Data</v>
      </c>
      <c r="ATI3" t="str">
        <f t="shared" si="18"/>
        <v>Med</v>
      </c>
      <c r="ATJ3" t="str">
        <f t="shared" si="18"/>
        <v>High</v>
      </c>
      <c r="ATK3" t="str">
        <f t="shared" si="18"/>
        <v>High</v>
      </c>
      <c r="ATL3" t="str">
        <f t="shared" si="18"/>
        <v>Med</v>
      </c>
      <c r="ATM3" t="str">
        <f t="shared" si="18"/>
        <v>Med</v>
      </c>
      <c r="ATN3" t="str">
        <f t="shared" si="18"/>
        <v>High</v>
      </c>
      <c r="ATO3" t="str">
        <f t="shared" si="18"/>
        <v>No Data</v>
      </c>
      <c r="ATP3" t="str">
        <f t="shared" si="18"/>
        <v>Med</v>
      </c>
      <c r="ATQ3" t="str">
        <f t="shared" si="18"/>
        <v>Med</v>
      </c>
      <c r="ATR3" t="str">
        <f t="shared" si="18"/>
        <v>High</v>
      </c>
      <c r="ATS3" t="str">
        <f t="shared" si="18"/>
        <v>High</v>
      </c>
      <c r="ATT3" t="str">
        <f t="shared" si="18"/>
        <v>High</v>
      </c>
      <c r="ATU3" t="str">
        <f t="shared" si="18"/>
        <v>High</v>
      </c>
      <c r="ATV3" t="str">
        <f t="shared" si="18"/>
        <v>High</v>
      </c>
      <c r="ATW3" t="str">
        <f t="shared" si="18"/>
        <v>High</v>
      </c>
      <c r="ATX3" t="str">
        <f t="shared" si="18"/>
        <v>High</v>
      </c>
      <c r="ATY3" t="str">
        <f t="shared" ref="ATY3:AWJ3" si="19">IF(ATY2="","No Data",IF(ATY2&gt;=100000,"High",IF(ATY2&gt;=40000,"Med","Low")))</f>
        <v>Med</v>
      </c>
      <c r="ATZ3" t="str">
        <f t="shared" si="19"/>
        <v>Med</v>
      </c>
      <c r="AUA3" t="str">
        <f t="shared" si="19"/>
        <v>Med</v>
      </c>
      <c r="AUB3" t="str">
        <f t="shared" si="19"/>
        <v>No Data</v>
      </c>
      <c r="AUC3" t="str">
        <f t="shared" si="19"/>
        <v>Med</v>
      </c>
      <c r="AUD3" t="str">
        <f t="shared" si="19"/>
        <v>Med</v>
      </c>
      <c r="AUE3" t="str">
        <f t="shared" si="19"/>
        <v>High</v>
      </c>
      <c r="AUF3" t="str">
        <f t="shared" si="19"/>
        <v>Med</v>
      </c>
      <c r="AUG3" t="str">
        <f t="shared" si="19"/>
        <v>Med</v>
      </c>
      <c r="AUH3" t="str">
        <f t="shared" si="19"/>
        <v>Med</v>
      </c>
      <c r="AUI3" t="str">
        <f t="shared" si="19"/>
        <v>Med</v>
      </c>
      <c r="AUJ3" t="str">
        <f t="shared" si="19"/>
        <v>High</v>
      </c>
      <c r="AUK3" t="str">
        <f t="shared" si="19"/>
        <v>High</v>
      </c>
      <c r="AUL3" t="str">
        <f t="shared" si="19"/>
        <v>Med</v>
      </c>
      <c r="AUM3" t="str">
        <f t="shared" si="19"/>
        <v>High</v>
      </c>
      <c r="AUN3" t="str">
        <f t="shared" si="19"/>
        <v>High</v>
      </c>
      <c r="AUO3" t="str">
        <f t="shared" si="19"/>
        <v>Med</v>
      </c>
      <c r="AUP3" t="str">
        <f t="shared" si="19"/>
        <v>Med</v>
      </c>
      <c r="AUQ3" t="str">
        <f t="shared" si="19"/>
        <v>High</v>
      </c>
      <c r="AUR3" t="str">
        <f t="shared" si="19"/>
        <v>Med</v>
      </c>
      <c r="AUS3" t="str">
        <f t="shared" si="19"/>
        <v>High</v>
      </c>
      <c r="AUT3" t="str">
        <f t="shared" si="19"/>
        <v>No Data</v>
      </c>
      <c r="AUU3" t="str">
        <f t="shared" si="19"/>
        <v>Med</v>
      </c>
      <c r="AUV3" t="str">
        <f t="shared" si="19"/>
        <v>Med</v>
      </c>
      <c r="AUW3" t="str">
        <f t="shared" si="19"/>
        <v>Med</v>
      </c>
      <c r="AUX3" t="str">
        <f t="shared" si="19"/>
        <v>Med</v>
      </c>
      <c r="AUY3" t="str">
        <f t="shared" si="19"/>
        <v>Med</v>
      </c>
      <c r="AUZ3" t="str">
        <f t="shared" si="19"/>
        <v>High</v>
      </c>
      <c r="AVA3" t="str">
        <f t="shared" si="19"/>
        <v>High</v>
      </c>
      <c r="AVB3" t="str">
        <f t="shared" si="19"/>
        <v>Med</v>
      </c>
      <c r="AVC3" t="str">
        <f t="shared" si="19"/>
        <v>Med</v>
      </c>
      <c r="AVD3" t="str">
        <f t="shared" si="19"/>
        <v>Med</v>
      </c>
      <c r="AVE3" t="str">
        <f t="shared" si="19"/>
        <v>High</v>
      </c>
      <c r="AVF3" t="str">
        <f t="shared" si="19"/>
        <v>Med</v>
      </c>
      <c r="AVG3" t="str">
        <f t="shared" si="19"/>
        <v>Med</v>
      </c>
      <c r="AVH3" t="str">
        <f t="shared" si="19"/>
        <v>Med</v>
      </c>
      <c r="AVI3" t="str">
        <f t="shared" si="19"/>
        <v>Med</v>
      </c>
      <c r="AVJ3" t="str">
        <f t="shared" si="19"/>
        <v>Med</v>
      </c>
      <c r="AVK3" t="str">
        <f t="shared" si="19"/>
        <v>Med</v>
      </c>
      <c r="AVL3" t="str">
        <f t="shared" si="19"/>
        <v>Med</v>
      </c>
      <c r="AVM3" t="str">
        <f t="shared" si="19"/>
        <v>Med</v>
      </c>
      <c r="AVN3" t="str">
        <f t="shared" si="19"/>
        <v>No Data</v>
      </c>
      <c r="AVO3" t="str">
        <f t="shared" si="19"/>
        <v>Med</v>
      </c>
      <c r="AVP3" t="str">
        <f t="shared" si="19"/>
        <v>Med</v>
      </c>
      <c r="AVQ3" t="str">
        <f t="shared" si="19"/>
        <v>Med</v>
      </c>
      <c r="AVR3" t="str">
        <f t="shared" si="19"/>
        <v>Med</v>
      </c>
      <c r="AVS3" t="str">
        <f t="shared" si="19"/>
        <v>No Data</v>
      </c>
      <c r="AVT3" t="str">
        <f t="shared" si="19"/>
        <v>Med</v>
      </c>
      <c r="AVU3" t="str">
        <f t="shared" si="19"/>
        <v>Med</v>
      </c>
      <c r="AVV3" t="str">
        <f t="shared" si="19"/>
        <v>High</v>
      </c>
      <c r="AVW3" t="str">
        <f t="shared" si="19"/>
        <v>Med</v>
      </c>
      <c r="AVX3" t="str">
        <f t="shared" si="19"/>
        <v>Med</v>
      </c>
      <c r="AVY3" t="str">
        <f t="shared" si="19"/>
        <v>No Data</v>
      </c>
      <c r="AVZ3" t="str">
        <f t="shared" si="19"/>
        <v>High</v>
      </c>
      <c r="AWA3" t="str">
        <f t="shared" si="19"/>
        <v>No Data</v>
      </c>
      <c r="AWB3" t="str">
        <f t="shared" si="19"/>
        <v>Med</v>
      </c>
      <c r="AWC3" t="str">
        <f t="shared" si="19"/>
        <v>Med</v>
      </c>
      <c r="AWD3" t="str">
        <f t="shared" si="19"/>
        <v>Med</v>
      </c>
      <c r="AWE3" t="str">
        <f t="shared" si="19"/>
        <v>Med</v>
      </c>
      <c r="AWF3" t="str">
        <f t="shared" si="19"/>
        <v>Med</v>
      </c>
      <c r="AWG3" t="str">
        <f t="shared" si="19"/>
        <v>Med</v>
      </c>
      <c r="AWH3" t="str">
        <f t="shared" si="19"/>
        <v>Med</v>
      </c>
      <c r="AWI3" t="str">
        <f t="shared" si="19"/>
        <v>High</v>
      </c>
      <c r="AWJ3" t="str">
        <f t="shared" si="19"/>
        <v>Med</v>
      </c>
      <c r="AWK3" t="str">
        <f t="shared" ref="AWK3:AYV3" si="20">IF(AWK2="","No Data",IF(AWK2&gt;=100000,"High",IF(AWK2&gt;=40000,"Med","Low")))</f>
        <v>High</v>
      </c>
      <c r="AWL3" t="str">
        <f t="shared" si="20"/>
        <v>High</v>
      </c>
      <c r="AWM3" t="str">
        <f t="shared" si="20"/>
        <v>Med</v>
      </c>
      <c r="AWN3" t="str">
        <f t="shared" si="20"/>
        <v>No Data</v>
      </c>
      <c r="AWO3" t="str">
        <f t="shared" si="20"/>
        <v>Med</v>
      </c>
      <c r="AWP3" t="str">
        <f t="shared" si="20"/>
        <v>Med</v>
      </c>
      <c r="AWQ3" t="str">
        <f t="shared" si="20"/>
        <v>Med</v>
      </c>
      <c r="AWR3" t="str">
        <f t="shared" si="20"/>
        <v>Med</v>
      </c>
      <c r="AWS3" t="str">
        <f t="shared" si="20"/>
        <v>Med</v>
      </c>
      <c r="AWT3" t="str">
        <f t="shared" si="20"/>
        <v>Med</v>
      </c>
      <c r="AWU3" t="str">
        <f t="shared" si="20"/>
        <v>Med</v>
      </c>
      <c r="AWV3" t="str">
        <f t="shared" si="20"/>
        <v>Med</v>
      </c>
      <c r="AWW3" t="str">
        <f t="shared" si="20"/>
        <v>Med</v>
      </c>
      <c r="AWX3" t="str">
        <f t="shared" si="20"/>
        <v>Med</v>
      </c>
      <c r="AWY3" t="str">
        <f t="shared" si="20"/>
        <v>Med</v>
      </c>
      <c r="AWZ3" t="str">
        <f t="shared" si="20"/>
        <v>Med</v>
      </c>
      <c r="AXA3" t="str">
        <f t="shared" si="20"/>
        <v>Med</v>
      </c>
      <c r="AXB3" t="str">
        <f t="shared" si="20"/>
        <v>Low</v>
      </c>
      <c r="AXC3" t="str">
        <f t="shared" si="20"/>
        <v>Med</v>
      </c>
      <c r="AXD3" t="str">
        <f t="shared" si="20"/>
        <v>Med</v>
      </c>
      <c r="AXE3" t="str">
        <f t="shared" si="20"/>
        <v>Med</v>
      </c>
      <c r="AXF3" t="str">
        <f t="shared" si="20"/>
        <v>Med</v>
      </c>
      <c r="AXG3" t="str">
        <f t="shared" si="20"/>
        <v>Med</v>
      </c>
      <c r="AXH3" t="str">
        <f t="shared" si="20"/>
        <v>Med</v>
      </c>
      <c r="AXI3" t="str">
        <f t="shared" si="20"/>
        <v>Med</v>
      </c>
      <c r="AXJ3" t="str">
        <f t="shared" si="20"/>
        <v>Med</v>
      </c>
      <c r="AXK3" t="str">
        <f t="shared" si="20"/>
        <v>Med</v>
      </c>
      <c r="AXL3" t="str">
        <f t="shared" si="20"/>
        <v>Med</v>
      </c>
      <c r="AXM3" t="str">
        <f t="shared" si="20"/>
        <v>Med</v>
      </c>
      <c r="AXN3" t="str">
        <f t="shared" si="20"/>
        <v>Med</v>
      </c>
      <c r="AXO3" t="str">
        <f t="shared" si="20"/>
        <v>Med</v>
      </c>
      <c r="AXP3" t="str">
        <f t="shared" si="20"/>
        <v>Med</v>
      </c>
      <c r="AXQ3" t="str">
        <f t="shared" si="20"/>
        <v>Med</v>
      </c>
      <c r="AXR3" t="str">
        <f t="shared" si="20"/>
        <v>Med</v>
      </c>
      <c r="AXS3" t="str">
        <f t="shared" si="20"/>
        <v>Med</v>
      </c>
      <c r="AXT3" t="str">
        <f t="shared" si="20"/>
        <v>Med</v>
      </c>
      <c r="AXU3" t="str">
        <f t="shared" si="20"/>
        <v>Med</v>
      </c>
      <c r="AXV3" t="str">
        <f t="shared" si="20"/>
        <v>Med</v>
      </c>
      <c r="AXW3" t="str">
        <f t="shared" si="20"/>
        <v>Med</v>
      </c>
      <c r="AXX3" t="str">
        <f t="shared" si="20"/>
        <v>Med</v>
      </c>
      <c r="AXY3" t="str">
        <f t="shared" si="20"/>
        <v>Med</v>
      </c>
      <c r="AXZ3" t="str">
        <f t="shared" si="20"/>
        <v>Med</v>
      </c>
      <c r="AYA3" t="str">
        <f t="shared" si="20"/>
        <v>Med</v>
      </c>
      <c r="AYB3" t="str">
        <f t="shared" si="20"/>
        <v>Med</v>
      </c>
      <c r="AYC3" t="str">
        <f t="shared" si="20"/>
        <v>No Data</v>
      </c>
      <c r="AYD3" t="str">
        <f t="shared" si="20"/>
        <v>No Data</v>
      </c>
      <c r="AYE3" t="str">
        <f t="shared" si="20"/>
        <v>Med</v>
      </c>
      <c r="AYF3" t="str">
        <f t="shared" si="20"/>
        <v>Med</v>
      </c>
      <c r="AYG3" t="str">
        <f t="shared" si="20"/>
        <v>No Data</v>
      </c>
      <c r="AYH3" t="str">
        <f t="shared" si="20"/>
        <v>Med</v>
      </c>
      <c r="AYI3" t="str">
        <f t="shared" si="20"/>
        <v>Med</v>
      </c>
      <c r="AYJ3" t="str">
        <f t="shared" si="20"/>
        <v>Med</v>
      </c>
      <c r="AYK3" t="str">
        <f t="shared" si="20"/>
        <v>Med</v>
      </c>
      <c r="AYL3" t="str">
        <f t="shared" si="20"/>
        <v>Med</v>
      </c>
      <c r="AYM3" t="str">
        <f t="shared" si="20"/>
        <v>Med</v>
      </c>
      <c r="AYN3" t="str">
        <f t="shared" si="20"/>
        <v>No Data</v>
      </c>
      <c r="AYO3" t="str">
        <f t="shared" si="20"/>
        <v>Med</v>
      </c>
      <c r="AYP3" t="str">
        <f t="shared" si="20"/>
        <v>Med</v>
      </c>
      <c r="AYQ3" t="str">
        <f t="shared" si="20"/>
        <v>Med</v>
      </c>
      <c r="AYR3" t="str">
        <f t="shared" si="20"/>
        <v>Med</v>
      </c>
      <c r="AYS3" t="str">
        <f t="shared" si="20"/>
        <v>Med</v>
      </c>
      <c r="AYT3" t="str">
        <f t="shared" si="20"/>
        <v>Med</v>
      </c>
      <c r="AYU3" t="str">
        <f t="shared" si="20"/>
        <v>High</v>
      </c>
      <c r="AYV3" t="str">
        <f t="shared" si="20"/>
        <v>Med</v>
      </c>
      <c r="AYW3" t="str">
        <f t="shared" ref="AYW3:BBH3" si="21">IF(AYW2="","No Data",IF(AYW2&gt;=100000,"High",IF(AYW2&gt;=40000,"Med","Low")))</f>
        <v>Low</v>
      </c>
      <c r="AYX3" t="str">
        <f t="shared" si="21"/>
        <v>Med</v>
      </c>
      <c r="AYY3" t="str">
        <f t="shared" si="21"/>
        <v>Med</v>
      </c>
      <c r="AYZ3" t="str">
        <f t="shared" si="21"/>
        <v>No Data</v>
      </c>
      <c r="AZA3" t="str">
        <f t="shared" si="21"/>
        <v>Med</v>
      </c>
      <c r="AZB3" t="str">
        <f t="shared" si="21"/>
        <v>Med</v>
      </c>
      <c r="AZC3" t="str">
        <f t="shared" si="21"/>
        <v>Med</v>
      </c>
      <c r="AZD3" t="str">
        <f t="shared" si="21"/>
        <v>Med</v>
      </c>
      <c r="AZE3" t="str">
        <f t="shared" si="21"/>
        <v>No Data</v>
      </c>
      <c r="AZF3" t="str">
        <f t="shared" si="21"/>
        <v>Med</v>
      </c>
      <c r="AZG3" t="str">
        <f t="shared" si="21"/>
        <v>Med</v>
      </c>
      <c r="AZH3" t="str">
        <f t="shared" si="21"/>
        <v>Med</v>
      </c>
      <c r="AZI3" t="str">
        <f t="shared" si="21"/>
        <v>Med</v>
      </c>
      <c r="AZJ3" t="str">
        <f t="shared" si="21"/>
        <v>Med</v>
      </c>
      <c r="AZK3" t="str">
        <f t="shared" si="21"/>
        <v>Med</v>
      </c>
      <c r="AZL3" t="str">
        <f t="shared" si="21"/>
        <v>No Data</v>
      </c>
      <c r="AZM3" t="str">
        <f t="shared" si="21"/>
        <v>High</v>
      </c>
      <c r="AZN3" t="str">
        <f t="shared" si="21"/>
        <v>Med</v>
      </c>
      <c r="AZO3" t="str">
        <f t="shared" si="21"/>
        <v>Med</v>
      </c>
      <c r="AZP3" t="str">
        <f t="shared" si="21"/>
        <v>Med</v>
      </c>
      <c r="AZQ3" t="str">
        <f t="shared" si="21"/>
        <v>Med</v>
      </c>
      <c r="AZR3" t="str">
        <f t="shared" si="21"/>
        <v>Med</v>
      </c>
      <c r="AZS3" t="str">
        <f t="shared" si="21"/>
        <v>Med</v>
      </c>
      <c r="AZT3" t="str">
        <f t="shared" si="21"/>
        <v>Med</v>
      </c>
      <c r="AZU3" t="str">
        <f t="shared" si="21"/>
        <v>Med</v>
      </c>
      <c r="AZV3" t="str">
        <f t="shared" si="21"/>
        <v>Med</v>
      </c>
      <c r="AZW3" t="str">
        <f t="shared" si="21"/>
        <v>Med</v>
      </c>
      <c r="AZX3" t="str">
        <f t="shared" si="21"/>
        <v>Med</v>
      </c>
      <c r="AZY3" t="str">
        <f t="shared" si="21"/>
        <v>Med</v>
      </c>
      <c r="AZZ3" t="str">
        <f t="shared" si="21"/>
        <v>Med</v>
      </c>
      <c r="BAA3" t="str">
        <f t="shared" si="21"/>
        <v>Med</v>
      </c>
      <c r="BAB3" t="str">
        <f t="shared" si="21"/>
        <v>High</v>
      </c>
      <c r="BAC3" t="str">
        <f t="shared" si="21"/>
        <v>Low</v>
      </c>
      <c r="BAD3" t="str">
        <f t="shared" si="21"/>
        <v>Med</v>
      </c>
      <c r="BAE3" t="str">
        <f t="shared" si="21"/>
        <v>Med</v>
      </c>
      <c r="BAF3" t="str">
        <f t="shared" si="21"/>
        <v>Med</v>
      </c>
      <c r="BAG3" t="str">
        <f t="shared" si="21"/>
        <v>Med</v>
      </c>
      <c r="BAH3" t="str">
        <f t="shared" si="21"/>
        <v>Med</v>
      </c>
      <c r="BAI3" t="str">
        <f t="shared" si="21"/>
        <v>Med</v>
      </c>
      <c r="BAJ3" t="str">
        <f t="shared" si="21"/>
        <v>Med</v>
      </c>
      <c r="BAK3" t="str">
        <f t="shared" si="21"/>
        <v>Med</v>
      </c>
      <c r="BAL3" t="str">
        <f t="shared" si="21"/>
        <v>Med</v>
      </c>
      <c r="BAM3" t="str">
        <f t="shared" si="21"/>
        <v>Med</v>
      </c>
      <c r="BAN3" t="str">
        <f t="shared" si="21"/>
        <v>Med</v>
      </c>
      <c r="BAO3" t="str">
        <f t="shared" si="21"/>
        <v>No Data</v>
      </c>
      <c r="BAP3" t="str">
        <f t="shared" si="21"/>
        <v>Med</v>
      </c>
      <c r="BAQ3" t="str">
        <f t="shared" si="21"/>
        <v>High</v>
      </c>
      <c r="BAR3" t="str">
        <f t="shared" si="21"/>
        <v>Med</v>
      </c>
      <c r="BAS3" t="str">
        <f t="shared" si="21"/>
        <v>Med</v>
      </c>
      <c r="BAT3" t="str">
        <f t="shared" si="21"/>
        <v>Med</v>
      </c>
      <c r="BAU3" t="str">
        <f t="shared" si="21"/>
        <v>Med</v>
      </c>
      <c r="BAV3" t="str">
        <f t="shared" si="21"/>
        <v>No Data</v>
      </c>
      <c r="BAW3" t="str">
        <f t="shared" si="21"/>
        <v>Med</v>
      </c>
      <c r="BAX3" t="str">
        <f t="shared" si="21"/>
        <v>Med</v>
      </c>
      <c r="BAY3" t="str">
        <f t="shared" si="21"/>
        <v>Med</v>
      </c>
      <c r="BAZ3" t="str">
        <f t="shared" si="21"/>
        <v>High</v>
      </c>
      <c r="BBA3" t="str">
        <f t="shared" si="21"/>
        <v>Med</v>
      </c>
      <c r="BBB3" t="str">
        <f t="shared" si="21"/>
        <v>Med</v>
      </c>
      <c r="BBC3" t="str">
        <f t="shared" si="21"/>
        <v>Med</v>
      </c>
      <c r="BBD3" t="str">
        <f t="shared" si="21"/>
        <v>No Data</v>
      </c>
      <c r="BBE3" t="str">
        <f t="shared" si="21"/>
        <v>Med</v>
      </c>
      <c r="BBF3" t="str">
        <f t="shared" si="21"/>
        <v>Med</v>
      </c>
      <c r="BBG3" t="str">
        <f t="shared" si="21"/>
        <v>Med</v>
      </c>
      <c r="BBH3" t="str">
        <f t="shared" si="21"/>
        <v>Med</v>
      </c>
      <c r="BBI3" t="str">
        <f t="shared" ref="BBI3:BDT3" si="22">IF(BBI2="","No Data",IF(BBI2&gt;=100000,"High",IF(BBI2&gt;=40000,"Med","Low")))</f>
        <v>Med</v>
      </c>
      <c r="BBJ3" t="str">
        <f t="shared" si="22"/>
        <v>Med</v>
      </c>
      <c r="BBK3" t="str">
        <f t="shared" si="22"/>
        <v>Med</v>
      </c>
      <c r="BBL3" t="str">
        <f t="shared" si="22"/>
        <v>Med</v>
      </c>
      <c r="BBM3" t="str">
        <f t="shared" si="22"/>
        <v>Med</v>
      </c>
      <c r="BBN3" t="str">
        <f t="shared" si="22"/>
        <v>Med</v>
      </c>
      <c r="BBO3" t="str">
        <f t="shared" si="22"/>
        <v>Med</v>
      </c>
      <c r="BBP3" t="str">
        <f t="shared" si="22"/>
        <v>No Data</v>
      </c>
      <c r="BBQ3" t="str">
        <f t="shared" si="22"/>
        <v>No Data</v>
      </c>
      <c r="BBR3" t="str">
        <f t="shared" si="22"/>
        <v>Med</v>
      </c>
      <c r="BBS3" t="str">
        <f t="shared" si="22"/>
        <v>Med</v>
      </c>
      <c r="BBT3" t="str">
        <f t="shared" si="22"/>
        <v>High</v>
      </c>
      <c r="BBU3" t="str">
        <f t="shared" si="22"/>
        <v>High</v>
      </c>
      <c r="BBV3" t="str">
        <f t="shared" si="22"/>
        <v>Med</v>
      </c>
      <c r="BBW3" t="str">
        <f t="shared" si="22"/>
        <v>Med</v>
      </c>
      <c r="BBX3" t="str">
        <f t="shared" si="22"/>
        <v>No Data</v>
      </c>
      <c r="BBY3" t="str">
        <f t="shared" si="22"/>
        <v>High</v>
      </c>
      <c r="BBZ3" t="str">
        <f t="shared" si="22"/>
        <v>Med</v>
      </c>
      <c r="BCA3" t="str">
        <f t="shared" si="22"/>
        <v>Med</v>
      </c>
      <c r="BCB3" t="str">
        <f t="shared" si="22"/>
        <v>Med</v>
      </c>
      <c r="BCC3" t="str">
        <f t="shared" si="22"/>
        <v>High</v>
      </c>
      <c r="BCD3" t="str">
        <f t="shared" si="22"/>
        <v>High</v>
      </c>
      <c r="BCE3" t="str">
        <f t="shared" si="22"/>
        <v>Med</v>
      </c>
      <c r="BCF3" t="str">
        <f t="shared" si="22"/>
        <v>High</v>
      </c>
      <c r="BCG3" t="str">
        <f t="shared" si="22"/>
        <v>High</v>
      </c>
      <c r="BCH3" t="str">
        <f t="shared" si="22"/>
        <v>High</v>
      </c>
      <c r="BCI3" t="str">
        <f t="shared" si="22"/>
        <v>High</v>
      </c>
      <c r="BCJ3" t="str">
        <f t="shared" si="22"/>
        <v>Med</v>
      </c>
      <c r="BCK3" t="str">
        <f t="shared" si="22"/>
        <v>Med</v>
      </c>
      <c r="BCL3" t="str">
        <f t="shared" si="22"/>
        <v>Med</v>
      </c>
      <c r="BCM3" t="str">
        <f t="shared" si="22"/>
        <v>High</v>
      </c>
      <c r="BCN3" t="str">
        <f t="shared" si="22"/>
        <v>Med</v>
      </c>
      <c r="BCO3" t="str">
        <f t="shared" si="22"/>
        <v>Med</v>
      </c>
      <c r="BCP3" t="str">
        <f t="shared" si="22"/>
        <v>High</v>
      </c>
      <c r="BCQ3" t="str">
        <f t="shared" si="22"/>
        <v>High</v>
      </c>
      <c r="BCR3" t="str">
        <f t="shared" si="22"/>
        <v>Med</v>
      </c>
      <c r="BCS3" t="str">
        <f t="shared" si="22"/>
        <v>Med</v>
      </c>
      <c r="BCT3" t="str">
        <f t="shared" si="22"/>
        <v>No Data</v>
      </c>
      <c r="BCU3" t="str">
        <f t="shared" si="22"/>
        <v>No Data</v>
      </c>
      <c r="BCV3" t="str">
        <f t="shared" si="22"/>
        <v>Med</v>
      </c>
      <c r="BCW3" t="str">
        <f t="shared" si="22"/>
        <v>Low</v>
      </c>
      <c r="BCX3" t="str">
        <f t="shared" si="22"/>
        <v>Med</v>
      </c>
      <c r="BCY3" t="str">
        <f t="shared" si="22"/>
        <v>High</v>
      </c>
      <c r="BCZ3" t="str">
        <f t="shared" si="22"/>
        <v>High</v>
      </c>
      <c r="BDA3" t="str">
        <f t="shared" si="22"/>
        <v>Med</v>
      </c>
      <c r="BDB3" t="str">
        <f t="shared" si="22"/>
        <v>Med</v>
      </c>
      <c r="BDC3" t="str">
        <f t="shared" si="22"/>
        <v>Med</v>
      </c>
      <c r="BDD3" t="str">
        <f t="shared" si="22"/>
        <v>Med</v>
      </c>
      <c r="BDE3" t="str">
        <f t="shared" si="22"/>
        <v>Med</v>
      </c>
      <c r="BDF3" t="str">
        <f t="shared" si="22"/>
        <v>Med</v>
      </c>
      <c r="BDG3" t="str">
        <f t="shared" si="22"/>
        <v>Med</v>
      </c>
      <c r="BDH3" t="str">
        <f t="shared" si="22"/>
        <v>Low</v>
      </c>
      <c r="BDI3" t="str">
        <f t="shared" si="22"/>
        <v>Med</v>
      </c>
      <c r="BDJ3" t="str">
        <f t="shared" si="22"/>
        <v>No Data</v>
      </c>
      <c r="BDK3" t="str">
        <f t="shared" si="22"/>
        <v>Med</v>
      </c>
      <c r="BDL3" t="str">
        <f t="shared" si="22"/>
        <v>Med</v>
      </c>
      <c r="BDM3" t="str">
        <f t="shared" si="22"/>
        <v>High</v>
      </c>
      <c r="BDN3" t="str">
        <f t="shared" si="22"/>
        <v>High</v>
      </c>
      <c r="BDO3" t="str">
        <f t="shared" si="22"/>
        <v>Low</v>
      </c>
      <c r="BDP3" t="str">
        <f t="shared" si="22"/>
        <v>Med</v>
      </c>
      <c r="BDQ3" t="str">
        <f t="shared" si="22"/>
        <v>Med</v>
      </c>
      <c r="BDR3" t="str">
        <f t="shared" si="22"/>
        <v>Med</v>
      </c>
      <c r="BDS3" t="str">
        <f t="shared" si="22"/>
        <v>No Data</v>
      </c>
      <c r="BDT3" t="str">
        <f t="shared" si="22"/>
        <v>High</v>
      </c>
      <c r="BDU3" t="str">
        <f t="shared" ref="BDU3:BGF3" si="23">IF(BDU2="","No Data",IF(BDU2&gt;=100000,"High",IF(BDU2&gt;=40000,"Med","Low")))</f>
        <v>Med</v>
      </c>
      <c r="BDV3" t="str">
        <f t="shared" si="23"/>
        <v>Med</v>
      </c>
      <c r="BDW3" t="str">
        <f t="shared" si="23"/>
        <v>Med</v>
      </c>
      <c r="BDX3" t="str">
        <f t="shared" si="23"/>
        <v>Med</v>
      </c>
      <c r="BDY3" t="str">
        <f t="shared" si="23"/>
        <v>Med</v>
      </c>
      <c r="BDZ3" t="str">
        <f t="shared" si="23"/>
        <v>Med</v>
      </c>
      <c r="BEA3" t="str">
        <f t="shared" si="23"/>
        <v>Med</v>
      </c>
      <c r="BEB3" t="str">
        <f t="shared" si="23"/>
        <v>Med</v>
      </c>
      <c r="BEC3" t="str">
        <f t="shared" si="23"/>
        <v>Low</v>
      </c>
      <c r="BED3" t="str">
        <f t="shared" si="23"/>
        <v>High</v>
      </c>
      <c r="BEE3" t="str">
        <f t="shared" si="23"/>
        <v>Med</v>
      </c>
      <c r="BEF3" t="str">
        <f t="shared" si="23"/>
        <v>Med</v>
      </c>
      <c r="BEG3" t="str">
        <f t="shared" si="23"/>
        <v>Med</v>
      </c>
      <c r="BEH3" t="str">
        <f t="shared" si="23"/>
        <v>No Data</v>
      </c>
      <c r="BEI3" t="str">
        <f t="shared" si="23"/>
        <v>No Data</v>
      </c>
      <c r="BEJ3" t="str">
        <f t="shared" si="23"/>
        <v>Med</v>
      </c>
      <c r="BEK3" t="str">
        <f t="shared" si="23"/>
        <v>Med</v>
      </c>
      <c r="BEL3" t="str">
        <f t="shared" si="23"/>
        <v>No Data</v>
      </c>
      <c r="BEM3" t="str">
        <f t="shared" si="23"/>
        <v>Med</v>
      </c>
      <c r="BEN3" t="str">
        <f t="shared" si="23"/>
        <v>Med</v>
      </c>
      <c r="BEO3" t="str">
        <f t="shared" si="23"/>
        <v>Med</v>
      </c>
      <c r="BEP3" t="str">
        <f t="shared" si="23"/>
        <v>Med</v>
      </c>
      <c r="BEQ3" t="str">
        <f t="shared" si="23"/>
        <v>Med</v>
      </c>
      <c r="BER3" t="str">
        <f t="shared" si="23"/>
        <v>Med</v>
      </c>
      <c r="BES3" t="str">
        <f t="shared" si="23"/>
        <v>High</v>
      </c>
      <c r="BET3" t="str">
        <f t="shared" si="23"/>
        <v>Med</v>
      </c>
      <c r="BEU3" t="str">
        <f t="shared" si="23"/>
        <v>Med</v>
      </c>
      <c r="BEV3" t="str">
        <f t="shared" si="23"/>
        <v>Med</v>
      </c>
      <c r="BEW3" t="str">
        <f t="shared" si="23"/>
        <v>High</v>
      </c>
      <c r="BEX3" t="str">
        <f t="shared" si="23"/>
        <v>High</v>
      </c>
      <c r="BEY3" t="str">
        <f t="shared" si="23"/>
        <v>High</v>
      </c>
      <c r="BEZ3" t="str">
        <f t="shared" si="23"/>
        <v>Med</v>
      </c>
      <c r="BFA3" t="str">
        <f t="shared" si="23"/>
        <v>High</v>
      </c>
      <c r="BFB3" t="str">
        <f t="shared" si="23"/>
        <v>No Data</v>
      </c>
      <c r="BFC3" t="str">
        <f t="shared" si="23"/>
        <v>No Data</v>
      </c>
      <c r="BFD3" t="str">
        <f t="shared" si="23"/>
        <v>Med</v>
      </c>
      <c r="BFE3" t="str">
        <f t="shared" si="23"/>
        <v>Med</v>
      </c>
      <c r="BFF3" t="str">
        <f t="shared" si="23"/>
        <v>Med</v>
      </c>
      <c r="BFG3" t="str">
        <f t="shared" si="23"/>
        <v>Med</v>
      </c>
      <c r="BFH3" t="str">
        <f t="shared" si="23"/>
        <v>Med</v>
      </c>
      <c r="BFI3" t="str">
        <f t="shared" si="23"/>
        <v>No Data</v>
      </c>
      <c r="BFJ3" t="str">
        <f t="shared" si="23"/>
        <v>No Data</v>
      </c>
      <c r="BFK3" t="str">
        <f t="shared" si="23"/>
        <v>Med</v>
      </c>
      <c r="BFL3" t="str">
        <f t="shared" si="23"/>
        <v>Med</v>
      </c>
      <c r="BFM3" t="str">
        <f t="shared" si="23"/>
        <v>Med</v>
      </c>
      <c r="BFN3" t="str">
        <f t="shared" si="23"/>
        <v>Med</v>
      </c>
      <c r="BFO3" t="str">
        <f t="shared" si="23"/>
        <v>Med</v>
      </c>
      <c r="BFP3" t="str">
        <f t="shared" si="23"/>
        <v>Med</v>
      </c>
      <c r="BFQ3" t="str">
        <f t="shared" si="23"/>
        <v>Med</v>
      </c>
      <c r="BFR3" t="str">
        <f t="shared" si="23"/>
        <v>Med</v>
      </c>
      <c r="BFS3" t="str">
        <f t="shared" si="23"/>
        <v>Med</v>
      </c>
      <c r="BFT3" t="str">
        <f t="shared" si="23"/>
        <v>Med</v>
      </c>
      <c r="BFU3" t="str">
        <f t="shared" si="23"/>
        <v>Med</v>
      </c>
      <c r="BFV3" t="str">
        <f t="shared" si="23"/>
        <v>Med</v>
      </c>
      <c r="BFW3" t="str">
        <f t="shared" si="23"/>
        <v>Med</v>
      </c>
      <c r="BFX3" t="str">
        <f t="shared" si="23"/>
        <v>Med</v>
      </c>
      <c r="BFY3" t="str">
        <f t="shared" si="23"/>
        <v>No Data</v>
      </c>
      <c r="BFZ3" t="str">
        <f t="shared" si="23"/>
        <v>Low</v>
      </c>
      <c r="BGA3" t="str">
        <f t="shared" si="23"/>
        <v>Med</v>
      </c>
      <c r="BGB3" t="str">
        <f t="shared" si="23"/>
        <v>Med</v>
      </c>
      <c r="BGC3" t="str">
        <f t="shared" si="23"/>
        <v>Low</v>
      </c>
      <c r="BGD3" t="str">
        <f t="shared" si="23"/>
        <v>Med</v>
      </c>
      <c r="BGE3" t="str">
        <f t="shared" si="23"/>
        <v>Med</v>
      </c>
      <c r="BGF3" t="str">
        <f t="shared" si="23"/>
        <v>Med</v>
      </c>
      <c r="BGG3" t="str">
        <f t="shared" ref="BGG3:BIR3" si="24">IF(BGG2="","No Data",IF(BGG2&gt;=100000,"High",IF(BGG2&gt;=40000,"Med","Low")))</f>
        <v>Low</v>
      </c>
      <c r="BGH3" t="str">
        <f t="shared" si="24"/>
        <v>Low</v>
      </c>
      <c r="BGI3" t="str">
        <f t="shared" si="24"/>
        <v>Med</v>
      </c>
      <c r="BGJ3" t="str">
        <f t="shared" si="24"/>
        <v>Med</v>
      </c>
      <c r="BGK3" t="str">
        <f t="shared" si="24"/>
        <v>Med</v>
      </c>
      <c r="BGL3" t="str">
        <f t="shared" si="24"/>
        <v>Med</v>
      </c>
      <c r="BGM3" t="str">
        <f t="shared" si="24"/>
        <v>Med</v>
      </c>
      <c r="BGN3" t="str">
        <f t="shared" si="24"/>
        <v>Med</v>
      </c>
      <c r="BGO3" t="str">
        <f t="shared" si="24"/>
        <v>Low</v>
      </c>
      <c r="BGP3" t="str">
        <f t="shared" si="24"/>
        <v>Med</v>
      </c>
      <c r="BGQ3" t="str">
        <f t="shared" si="24"/>
        <v>Med</v>
      </c>
      <c r="BGR3" t="str">
        <f t="shared" si="24"/>
        <v>Med</v>
      </c>
      <c r="BGS3" t="str">
        <f t="shared" si="24"/>
        <v>Med</v>
      </c>
      <c r="BGT3" t="str">
        <f t="shared" si="24"/>
        <v>Low</v>
      </c>
      <c r="BGU3" t="str">
        <f t="shared" si="24"/>
        <v>Low</v>
      </c>
      <c r="BGV3" t="str">
        <f t="shared" si="24"/>
        <v>Med</v>
      </c>
      <c r="BGW3" t="str">
        <f t="shared" si="24"/>
        <v>Med</v>
      </c>
      <c r="BGX3" t="str">
        <f t="shared" si="24"/>
        <v>Low</v>
      </c>
      <c r="BGY3" t="str">
        <f t="shared" si="24"/>
        <v>Med</v>
      </c>
      <c r="BGZ3" t="str">
        <f t="shared" si="24"/>
        <v>Med</v>
      </c>
      <c r="BHA3" t="str">
        <f t="shared" si="24"/>
        <v>Med</v>
      </c>
      <c r="BHB3" t="str">
        <f t="shared" si="24"/>
        <v>Med</v>
      </c>
      <c r="BHC3" t="str">
        <f t="shared" si="24"/>
        <v>Med</v>
      </c>
      <c r="BHD3" t="str">
        <f t="shared" si="24"/>
        <v>Med</v>
      </c>
      <c r="BHE3" t="str">
        <f t="shared" si="24"/>
        <v>Med</v>
      </c>
      <c r="BHF3" t="str">
        <f t="shared" si="24"/>
        <v>Med</v>
      </c>
      <c r="BHG3" t="str">
        <f t="shared" si="24"/>
        <v>Med</v>
      </c>
      <c r="BHH3" t="str">
        <f t="shared" si="24"/>
        <v>Med</v>
      </c>
      <c r="BHI3" t="str">
        <f t="shared" si="24"/>
        <v>Med</v>
      </c>
      <c r="BHJ3" t="str">
        <f t="shared" si="24"/>
        <v>Med</v>
      </c>
      <c r="BHK3" t="str">
        <f t="shared" si="24"/>
        <v>Med</v>
      </c>
      <c r="BHL3" t="str">
        <f t="shared" si="24"/>
        <v>Low</v>
      </c>
      <c r="BHM3" t="str">
        <f t="shared" si="24"/>
        <v>Med</v>
      </c>
      <c r="BHN3" t="str">
        <f t="shared" si="24"/>
        <v>Med</v>
      </c>
      <c r="BHO3" t="str">
        <f t="shared" si="24"/>
        <v>Med</v>
      </c>
      <c r="BHP3" t="str">
        <f t="shared" si="24"/>
        <v>Med</v>
      </c>
      <c r="BHQ3" t="str">
        <f t="shared" si="24"/>
        <v>Med</v>
      </c>
      <c r="BHR3" t="str">
        <f t="shared" si="24"/>
        <v>Med</v>
      </c>
      <c r="BHS3" t="str">
        <f t="shared" si="24"/>
        <v>Med</v>
      </c>
      <c r="BHT3" t="str">
        <f t="shared" si="24"/>
        <v>Med</v>
      </c>
      <c r="BHU3" t="str">
        <f t="shared" si="24"/>
        <v>Low</v>
      </c>
      <c r="BHV3" t="str">
        <f t="shared" si="24"/>
        <v>Low</v>
      </c>
      <c r="BHW3" t="str">
        <f t="shared" si="24"/>
        <v>Low</v>
      </c>
      <c r="BHX3" t="str">
        <f t="shared" si="24"/>
        <v>Low</v>
      </c>
      <c r="BHY3" t="str">
        <f t="shared" si="24"/>
        <v>Med</v>
      </c>
      <c r="BHZ3" t="str">
        <f t="shared" si="24"/>
        <v>No Data</v>
      </c>
      <c r="BIA3" t="str">
        <f t="shared" si="24"/>
        <v>Med</v>
      </c>
      <c r="BIB3" t="str">
        <f t="shared" si="24"/>
        <v>Low</v>
      </c>
      <c r="BIC3" t="str">
        <f t="shared" si="24"/>
        <v>Med</v>
      </c>
      <c r="BID3" t="str">
        <f t="shared" si="24"/>
        <v>No Data</v>
      </c>
      <c r="BIE3" t="str">
        <f t="shared" si="24"/>
        <v>Med</v>
      </c>
      <c r="BIF3" t="str">
        <f t="shared" si="24"/>
        <v>Med</v>
      </c>
      <c r="BIG3" t="str">
        <f t="shared" si="24"/>
        <v>Med</v>
      </c>
      <c r="BIH3" t="str">
        <f t="shared" si="24"/>
        <v>Med</v>
      </c>
      <c r="BII3" t="str">
        <f t="shared" si="24"/>
        <v>Med</v>
      </c>
      <c r="BIJ3" t="str">
        <f t="shared" si="24"/>
        <v>Med</v>
      </c>
      <c r="BIK3" t="str">
        <f t="shared" si="24"/>
        <v>Med</v>
      </c>
      <c r="BIL3" t="str">
        <f t="shared" si="24"/>
        <v>Low</v>
      </c>
      <c r="BIM3" t="str">
        <f t="shared" si="24"/>
        <v>Med</v>
      </c>
      <c r="BIN3" t="str">
        <f t="shared" si="24"/>
        <v>Med</v>
      </c>
      <c r="BIO3" t="str">
        <f t="shared" si="24"/>
        <v>Med</v>
      </c>
      <c r="BIP3" t="str">
        <f t="shared" si="24"/>
        <v>Med</v>
      </c>
      <c r="BIQ3" t="str">
        <f t="shared" si="24"/>
        <v>Med</v>
      </c>
      <c r="BIR3" t="str">
        <f t="shared" si="24"/>
        <v>Med</v>
      </c>
      <c r="BIS3" t="str">
        <f t="shared" ref="BIS3:BLD3" si="25">IF(BIS2="","No Data",IF(BIS2&gt;=100000,"High",IF(BIS2&gt;=40000,"Med","Low")))</f>
        <v>Med</v>
      </c>
      <c r="BIT3" t="str">
        <f t="shared" si="25"/>
        <v>Low</v>
      </c>
      <c r="BIU3" t="str">
        <f t="shared" si="25"/>
        <v>Med</v>
      </c>
      <c r="BIV3" t="str">
        <f t="shared" si="25"/>
        <v>No Data</v>
      </c>
      <c r="BIW3" t="str">
        <f t="shared" si="25"/>
        <v>Med</v>
      </c>
      <c r="BIX3" t="str">
        <f t="shared" si="25"/>
        <v>Med</v>
      </c>
      <c r="BIY3" t="str">
        <f t="shared" si="25"/>
        <v>Med</v>
      </c>
      <c r="BIZ3" t="str">
        <f t="shared" si="25"/>
        <v>Med</v>
      </c>
      <c r="BJA3" t="str">
        <f t="shared" si="25"/>
        <v>Med</v>
      </c>
      <c r="BJB3" t="str">
        <f t="shared" si="25"/>
        <v>Med</v>
      </c>
      <c r="BJC3" t="str">
        <f t="shared" si="25"/>
        <v>Med</v>
      </c>
      <c r="BJD3" t="str">
        <f t="shared" si="25"/>
        <v>Med</v>
      </c>
      <c r="BJE3" t="str">
        <f t="shared" si="25"/>
        <v>High</v>
      </c>
      <c r="BJF3" t="str">
        <f t="shared" si="25"/>
        <v>Med</v>
      </c>
      <c r="BJG3" t="str">
        <f t="shared" si="25"/>
        <v>High</v>
      </c>
      <c r="BJH3" t="str">
        <f t="shared" si="25"/>
        <v>Med</v>
      </c>
      <c r="BJI3" t="str">
        <f t="shared" si="25"/>
        <v>Med</v>
      </c>
      <c r="BJJ3" t="str">
        <f t="shared" si="25"/>
        <v>Med</v>
      </c>
      <c r="BJK3" t="str">
        <f t="shared" si="25"/>
        <v>Med</v>
      </c>
      <c r="BJL3" t="str">
        <f t="shared" si="25"/>
        <v>Med</v>
      </c>
      <c r="BJM3" t="str">
        <f t="shared" si="25"/>
        <v>Med</v>
      </c>
      <c r="BJN3" t="str">
        <f t="shared" si="25"/>
        <v>Med</v>
      </c>
      <c r="BJO3" t="str">
        <f t="shared" si="25"/>
        <v>Low</v>
      </c>
      <c r="BJP3" t="str">
        <f t="shared" si="25"/>
        <v>Med</v>
      </c>
      <c r="BJQ3" t="str">
        <f t="shared" si="25"/>
        <v>Med</v>
      </c>
      <c r="BJR3" t="str">
        <f t="shared" si="25"/>
        <v>Med</v>
      </c>
      <c r="BJS3" t="str">
        <f t="shared" si="25"/>
        <v>Med</v>
      </c>
      <c r="BJT3" t="str">
        <f t="shared" si="25"/>
        <v>Med</v>
      </c>
      <c r="BJU3" t="str">
        <f t="shared" si="25"/>
        <v>High</v>
      </c>
      <c r="BJV3" t="str">
        <f t="shared" si="25"/>
        <v>Med</v>
      </c>
      <c r="BJW3" t="str">
        <f t="shared" si="25"/>
        <v>Med</v>
      </c>
      <c r="BJX3" t="str">
        <f t="shared" si="25"/>
        <v>Med</v>
      </c>
      <c r="BJY3" t="str">
        <f t="shared" si="25"/>
        <v>Med</v>
      </c>
      <c r="BJZ3" t="str">
        <f t="shared" si="25"/>
        <v>Low</v>
      </c>
      <c r="BKA3" t="str">
        <f t="shared" si="25"/>
        <v>High</v>
      </c>
      <c r="BKB3" t="str">
        <f t="shared" si="25"/>
        <v>Med</v>
      </c>
      <c r="BKC3" t="str">
        <f t="shared" si="25"/>
        <v>Med</v>
      </c>
      <c r="BKD3" t="str">
        <f t="shared" si="25"/>
        <v>Med</v>
      </c>
      <c r="BKE3" t="str">
        <f t="shared" si="25"/>
        <v>Med</v>
      </c>
      <c r="BKF3" t="str">
        <f t="shared" si="25"/>
        <v>Med</v>
      </c>
      <c r="BKG3" t="str">
        <f t="shared" si="25"/>
        <v>Med</v>
      </c>
      <c r="BKH3" t="str">
        <f t="shared" si="25"/>
        <v>Low</v>
      </c>
      <c r="BKI3" t="str">
        <f t="shared" si="25"/>
        <v>Low</v>
      </c>
      <c r="BKJ3" t="str">
        <f t="shared" si="25"/>
        <v>Med</v>
      </c>
      <c r="BKK3" t="str">
        <f t="shared" si="25"/>
        <v>Low</v>
      </c>
      <c r="BKL3" t="str">
        <f t="shared" si="25"/>
        <v>Med</v>
      </c>
      <c r="BKM3" t="str">
        <f t="shared" si="25"/>
        <v>Med</v>
      </c>
      <c r="BKN3" t="str">
        <f t="shared" si="25"/>
        <v>Med</v>
      </c>
      <c r="BKO3" t="str">
        <f t="shared" si="25"/>
        <v>Med</v>
      </c>
      <c r="BKP3" t="str">
        <f t="shared" si="25"/>
        <v>Med</v>
      </c>
      <c r="BKQ3" t="str">
        <f t="shared" si="25"/>
        <v>Med</v>
      </c>
      <c r="BKR3" t="str">
        <f t="shared" si="25"/>
        <v>Med</v>
      </c>
      <c r="BKS3" t="str">
        <f t="shared" si="25"/>
        <v>Med</v>
      </c>
      <c r="BKT3" t="str">
        <f t="shared" si="25"/>
        <v>No Data</v>
      </c>
      <c r="BKU3" t="str">
        <f t="shared" si="25"/>
        <v>Med</v>
      </c>
      <c r="BKV3" t="str">
        <f t="shared" si="25"/>
        <v>Med</v>
      </c>
      <c r="BKW3" t="str">
        <f t="shared" si="25"/>
        <v>Med</v>
      </c>
      <c r="BKX3" t="str">
        <f t="shared" si="25"/>
        <v>Med</v>
      </c>
      <c r="BKY3" t="str">
        <f t="shared" si="25"/>
        <v>Med</v>
      </c>
      <c r="BKZ3" t="str">
        <f t="shared" si="25"/>
        <v>Med</v>
      </c>
      <c r="BLA3" t="str">
        <f t="shared" si="25"/>
        <v>Med</v>
      </c>
      <c r="BLB3" t="str">
        <f t="shared" si="25"/>
        <v>Med</v>
      </c>
      <c r="BLC3" t="str">
        <f t="shared" si="25"/>
        <v>Med</v>
      </c>
      <c r="BLD3" t="str">
        <f t="shared" si="25"/>
        <v>No Data</v>
      </c>
      <c r="BLE3" t="str">
        <f t="shared" ref="BLE3:BNP3" si="26">IF(BLE2="","No Data",IF(BLE2&gt;=100000,"High",IF(BLE2&gt;=40000,"Med","Low")))</f>
        <v>Med</v>
      </c>
      <c r="BLF3" t="str">
        <f t="shared" si="26"/>
        <v>No Data</v>
      </c>
      <c r="BLG3" t="str">
        <f t="shared" si="26"/>
        <v>Med</v>
      </c>
      <c r="BLH3" t="str">
        <f t="shared" si="26"/>
        <v>Med</v>
      </c>
      <c r="BLI3" t="str">
        <f t="shared" si="26"/>
        <v>Med</v>
      </c>
      <c r="BLJ3" t="str">
        <f t="shared" si="26"/>
        <v>No Data</v>
      </c>
      <c r="BLK3" t="str">
        <f t="shared" si="26"/>
        <v>Med</v>
      </c>
      <c r="BLL3" t="str">
        <f t="shared" si="26"/>
        <v>Med</v>
      </c>
      <c r="BLM3" t="str">
        <f t="shared" si="26"/>
        <v>High</v>
      </c>
      <c r="BLN3" t="str">
        <f t="shared" si="26"/>
        <v>Med</v>
      </c>
      <c r="BLO3" t="str">
        <f t="shared" si="26"/>
        <v>Med</v>
      </c>
      <c r="BLP3" t="str">
        <f t="shared" si="26"/>
        <v>Med</v>
      </c>
      <c r="BLQ3" t="str">
        <f t="shared" si="26"/>
        <v>High</v>
      </c>
      <c r="BLR3" t="str">
        <f t="shared" si="26"/>
        <v>High</v>
      </c>
      <c r="BLS3" t="str">
        <f t="shared" si="26"/>
        <v>No Data</v>
      </c>
      <c r="BLT3" t="str">
        <f t="shared" si="26"/>
        <v>Med</v>
      </c>
      <c r="BLU3" t="str">
        <f t="shared" si="26"/>
        <v>No Data</v>
      </c>
      <c r="BLV3" t="str">
        <f t="shared" si="26"/>
        <v>Low</v>
      </c>
      <c r="BLW3" t="str">
        <f t="shared" si="26"/>
        <v>Med</v>
      </c>
      <c r="BLX3" t="str">
        <f t="shared" si="26"/>
        <v>Med</v>
      </c>
      <c r="BLY3" t="str">
        <f t="shared" si="26"/>
        <v>Med</v>
      </c>
      <c r="BLZ3" t="str">
        <f t="shared" si="26"/>
        <v>Med</v>
      </c>
      <c r="BMA3" t="str">
        <f t="shared" si="26"/>
        <v>Med</v>
      </c>
      <c r="BMB3" t="str">
        <f t="shared" si="26"/>
        <v>Med</v>
      </c>
      <c r="BMC3" t="str">
        <f t="shared" si="26"/>
        <v>Med</v>
      </c>
      <c r="BMD3" t="str">
        <f t="shared" si="26"/>
        <v>No Data</v>
      </c>
      <c r="BME3" t="str">
        <f t="shared" si="26"/>
        <v>High</v>
      </c>
      <c r="BMF3" t="str">
        <f t="shared" si="26"/>
        <v>No Data</v>
      </c>
      <c r="BMG3" t="str">
        <f t="shared" si="26"/>
        <v>Low</v>
      </c>
      <c r="BMH3" t="str">
        <f t="shared" si="26"/>
        <v>High</v>
      </c>
      <c r="BMI3" t="str">
        <f t="shared" si="26"/>
        <v>Med</v>
      </c>
      <c r="BMJ3" t="str">
        <f t="shared" si="26"/>
        <v>Med</v>
      </c>
      <c r="BMK3" t="str">
        <f t="shared" si="26"/>
        <v>Med</v>
      </c>
      <c r="BML3" t="str">
        <f t="shared" si="26"/>
        <v>Med</v>
      </c>
      <c r="BMM3" t="str">
        <f t="shared" si="26"/>
        <v>Med</v>
      </c>
      <c r="BMN3" t="str">
        <f t="shared" si="26"/>
        <v>Med</v>
      </c>
      <c r="BMO3" t="str">
        <f t="shared" si="26"/>
        <v>Med</v>
      </c>
      <c r="BMP3" t="str">
        <f t="shared" si="26"/>
        <v>Med</v>
      </c>
      <c r="BMQ3" t="str">
        <f t="shared" si="26"/>
        <v>Med</v>
      </c>
      <c r="BMR3" t="str">
        <f t="shared" si="26"/>
        <v>Med</v>
      </c>
      <c r="BMS3" t="str">
        <f t="shared" si="26"/>
        <v>Med</v>
      </c>
      <c r="BMT3" t="str">
        <f t="shared" si="26"/>
        <v>Med</v>
      </c>
      <c r="BMU3" t="str">
        <f t="shared" si="26"/>
        <v>High</v>
      </c>
      <c r="BMV3" t="str">
        <f t="shared" si="26"/>
        <v>Med</v>
      </c>
      <c r="BMW3" t="str">
        <f t="shared" si="26"/>
        <v>Med</v>
      </c>
      <c r="BMX3" t="str">
        <f t="shared" si="26"/>
        <v>High</v>
      </c>
      <c r="BMY3" t="str">
        <f t="shared" si="26"/>
        <v>High</v>
      </c>
      <c r="BMZ3" t="str">
        <f t="shared" si="26"/>
        <v>High</v>
      </c>
      <c r="BNA3" t="str">
        <f t="shared" si="26"/>
        <v>No Data</v>
      </c>
      <c r="BNB3" t="str">
        <f t="shared" si="26"/>
        <v>Low</v>
      </c>
      <c r="BNC3" t="str">
        <f t="shared" si="26"/>
        <v>Med</v>
      </c>
      <c r="BND3" t="str">
        <f t="shared" si="26"/>
        <v>Med</v>
      </c>
      <c r="BNE3" t="str">
        <f t="shared" si="26"/>
        <v>Med</v>
      </c>
      <c r="BNF3" t="str">
        <f t="shared" si="26"/>
        <v>Med</v>
      </c>
      <c r="BNG3" t="str">
        <f t="shared" si="26"/>
        <v>High</v>
      </c>
      <c r="BNH3" t="str">
        <f t="shared" si="26"/>
        <v>Med</v>
      </c>
      <c r="BNI3" t="str">
        <f t="shared" si="26"/>
        <v>Med</v>
      </c>
      <c r="BNJ3" t="str">
        <f t="shared" si="26"/>
        <v>Med</v>
      </c>
      <c r="BNK3" t="str">
        <f t="shared" si="26"/>
        <v>Med</v>
      </c>
      <c r="BNL3" t="str">
        <f t="shared" si="26"/>
        <v>Med</v>
      </c>
      <c r="BNM3" t="str">
        <f t="shared" si="26"/>
        <v>Med</v>
      </c>
      <c r="BNN3" t="str">
        <f t="shared" si="26"/>
        <v>Med</v>
      </c>
      <c r="BNO3" t="str">
        <f t="shared" si="26"/>
        <v>Med</v>
      </c>
      <c r="BNP3" t="str">
        <f t="shared" si="26"/>
        <v>Med</v>
      </c>
      <c r="BNQ3" t="str">
        <f t="shared" ref="BNQ3:BQB3" si="27">IF(BNQ2="","No Data",IF(BNQ2&gt;=100000,"High",IF(BNQ2&gt;=40000,"Med","Low")))</f>
        <v>Med</v>
      </c>
      <c r="BNR3" t="str">
        <f t="shared" si="27"/>
        <v>Med</v>
      </c>
      <c r="BNS3" t="str">
        <f t="shared" si="27"/>
        <v>Med</v>
      </c>
      <c r="BNT3" t="str">
        <f t="shared" si="27"/>
        <v>Med</v>
      </c>
      <c r="BNU3" t="str">
        <f t="shared" si="27"/>
        <v>Med</v>
      </c>
      <c r="BNV3" t="str">
        <f t="shared" si="27"/>
        <v>Med</v>
      </c>
      <c r="BNW3" t="str">
        <f t="shared" si="27"/>
        <v>Med</v>
      </c>
      <c r="BNX3" t="str">
        <f t="shared" si="27"/>
        <v>Med</v>
      </c>
      <c r="BNY3" t="str">
        <f t="shared" si="27"/>
        <v>Med</v>
      </c>
      <c r="BNZ3" t="str">
        <f t="shared" si="27"/>
        <v>Med</v>
      </c>
      <c r="BOA3" t="str">
        <f t="shared" si="27"/>
        <v>Med</v>
      </c>
      <c r="BOB3" t="str">
        <f t="shared" si="27"/>
        <v>Low</v>
      </c>
      <c r="BOC3" t="str">
        <f t="shared" si="27"/>
        <v>Med</v>
      </c>
      <c r="BOD3" t="str">
        <f t="shared" si="27"/>
        <v>Med</v>
      </c>
      <c r="BOE3" t="str">
        <f t="shared" si="27"/>
        <v>Med</v>
      </c>
      <c r="BOF3" t="str">
        <f t="shared" si="27"/>
        <v>Med</v>
      </c>
      <c r="BOG3" t="str">
        <f t="shared" si="27"/>
        <v>Med</v>
      </c>
      <c r="BOH3" t="str">
        <f t="shared" si="27"/>
        <v>Med</v>
      </c>
      <c r="BOI3" t="str">
        <f t="shared" si="27"/>
        <v>Low</v>
      </c>
      <c r="BOJ3" t="str">
        <f t="shared" si="27"/>
        <v>High</v>
      </c>
      <c r="BOK3" t="str">
        <f t="shared" si="27"/>
        <v>Med</v>
      </c>
      <c r="BOL3" t="str">
        <f t="shared" si="27"/>
        <v>High</v>
      </c>
      <c r="BOM3" t="str">
        <f t="shared" si="27"/>
        <v>High</v>
      </c>
      <c r="BON3" t="str">
        <f t="shared" si="27"/>
        <v>Med</v>
      </c>
      <c r="BOO3" t="str">
        <f t="shared" si="27"/>
        <v>Med</v>
      </c>
      <c r="BOP3" t="str">
        <f t="shared" si="27"/>
        <v>Med</v>
      </c>
      <c r="BOQ3" t="str">
        <f t="shared" si="27"/>
        <v>High</v>
      </c>
      <c r="BOR3" t="str">
        <f t="shared" si="27"/>
        <v>Med</v>
      </c>
      <c r="BOS3" t="str">
        <f t="shared" si="27"/>
        <v>Med</v>
      </c>
      <c r="BOT3" t="str">
        <f t="shared" si="27"/>
        <v>Med</v>
      </c>
      <c r="BOU3" t="str">
        <f t="shared" si="27"/>
        <v>High</v>
      </c>
      <c r="BOV3" t="str">
        <f t="shared" si="27"/>
        <v>Med</v>
      </c>
      <c r="BOW3" t="str">
        <f t="shared" si="27"/>
        <v>Med</v>
      </c>
      <c r="BOX3" t="str">
        <f t="shared" si="27"/>
        <v>Med</v>
      </c>
      <c r="BOY3" t="str">
        <f t="shared" si="27"/>
        <v>Med</v>
      </c>
      <c r="BOZ3" t="str">
        <f t="shared" si="27"/>
        <v>Med</v>
      </c>
      <c r="BPA3" t="str">
        <f t="shared" si="27"/>
        <v>Med</v>
      </c>
      <c r="BPB3" t="str">
        <f t="shared" si="27"/>
        <v>No Data</v>
      </c>
      <c r="BPC3" t="str">
        <f t="shared" si="27"/>
        <v>High</v>
      </c>
      <c r="BPD3" t="str">
        <f t="shared" si="27"/>
        <v>Med</v>
      </c>
      <c r="BPE3" t="str">
        <f t="shared" si="27"/>
        <v>No Data</v>
      </c>
      <c r="BPF3" t="str">
        <f t="shared" si="27"/>
        <v>Med</v>
      </c>
      <c r="BPG3" t="str">
        <f t="shared" si="27"/>
        <v>Med</v>
      </c>
      <c r="BPH3" t="str">
        <f t="shared" si="27"/>
        <v>High</v>
      </c>
      <c r="BPI3" t="str">
        <f t="shared" si="27"/>
        <v>Med</v>
      </c>
      <c r="BPJ3" t="str">
        <f t="shared" si="27"/>
        <v>No Data</v>
      </c>
      <c r="BPK3" t="str">
        <f t="shared" si="27"/>
        <v>High</v>
      </c>
      <c r="BPL3" t="str">
        <f t="shared" si="27"/>
        <v>High</v>
      </c>
      <c r="BPM3" t="str">
        <f t="shared" si="27"/>
        <v>No Data</v>
      </c>
      <c r="BPN3" t="str">
        <f t="shared" si="27"/>
        <v>No Data</v>
      </c>
      <c r="BPO3" t="str">
        <f t="shared" si="27"/>
        <v>Low</v>
      </c>
      <c r="BPP3" t="str">
        <f t="shared" si="27"/>
        <v>Med</v>
      </c>
      <c r="BPQ3" t="str">
        <f t="shared" si="27"/>
        <v>Med</v>
      </c>
      <c r="BPR3" t="str">
        <f t="shared" si="27"/>
        <v>Med</v>
      </c>
      <c r="BPS3" t="str">
        <f t="shared" si="27"/>
        <v>Med</v>
      </c>
      <c r="BPT3" t="str">
        <f t="shared" si="27"/>
        <v>Med</v>
      </c>
      <c r="BPU3" t="str">
        <f t="shared" si="27"/>
        <v>No Data</v>
      </c>
      <c r="BPV3" t="str">
        <f t="shared" si="27"/>
        <v>No Data</v>
      </c>
      <c r="BPW3" t="str">
        <f t="shared" si="27"/>
        <v>Med</v>
      </c>
      <c r="BPX3" t="str">
        <f t="shared" si="27"/>
        <v>Med</v>
      </c>
      <c r="BPY3" t="str">
        <f t="shared" si="27"/>
        <v>Med</v>
      </c>
      <c r="BPZ3" t="str">
        <f t="shared" si="27"/>
        <v>Med</v>
      </c>
      <c r="BQA3" t="str">
        <f t="shared" si="27"/>
        <v>Med</v>
      </c>
      <c r="BQB3" t="str">
        <f t="shared" si="27"/>
        <v>Med</v>
      </c>
      <c r="BQC3" t="str">
        <f t="shared" ref="BQC3:BSN3" si="28">IF(BQC2="","No Data",IF(BQC2&gt;=100000,"High",IF(BQC2&gt;=40000,"Med","Low")))</f>
        <v>Med</v>
      </c>
      <c r="BQD3" t="str">
        <f t="shared" si="28"/>
        <v>Med</v>
      </c>
      <c r="BQE3" t="str">
        <f t="shared" si="28"/>
        <v>Med</v>
      </c>
      <c r="BQF3" t="str">
        <f t="shared" si="28"/>
        <v>Med</v>
      </c>
      <c r="BQG3" t="str">
        <f t="shared" si="28"/>
        <v>Med</v>
      </c>
      <c r="BQH3" t="str">
        <f t="shared" si="28"/>
        <v>No Data</v>
      </c>
      <c r="BQI3" t="str">
        <f t="shared" si="28"/>
        <v>No Data</v>
      </c>
      <c r="BQJ3" t="str">
        <f t="shared" si="28"/>
        <v>Med</v>
      </c>
      <c r="BQK3" t="str">
        <f t="shared" si="28"/>
        <v>Med</v>
      </c>
      <c r="BQL3" t="str">
        <f t="shared" si="28"/>
        <v>Med</v>
      </c>
      <c r="BQM3" t="str">
        <f t="shared" si="28"/>
        <v>Low</v>
      </c>
      <c r="BQN3" t="str">
        <f t="shared" si="28"/>
        <v>Med</v>
      </c>
      <c r="BQO3" t="str">
        <f t="shared" si="28"/>
        <v>Med</v>
      </c>
      <c r="BQP3" t="str">
        <f t="shared" si="28"/>
        <v>Low</v>
      </c>
      <c r="BQQ3" t="str">
        <f t="shared" si="28"/>
        <v>Med</v>
      </c>
      <c r="BQR3" t="str">
        <f t="shared" si="28"/>
        <v>Med</v>
      </c>
      <c r="BQS3" t="str">
        <f t="shared" si="28"/>
        <v>Low</v>
      </c>
      <c r="BQT3" t="str">
        <f t="shared" si="28"/>
        <v>Med</v>
      </c>
      <c r="BQU3" t="str">
        <f t="shared" si="28"/>
        <v>Low</v>
      </c>
      <c r="BQV3" t="str">
        <f t="shared" si="28"/>
        <v>Low</v>
      </c>
      <c r="BQW3" t="str">
        <f t="shared" si="28"/>
        <v>Med</v>
      </c>
      <c r="BQX3" t="str">
        <f t="shared" si="28"/>
        <v>Med</v>
      </c>
      <c r="BQY3" t="str">
        <f t="shared" si="28"/>
        <v>No Data</v>
      </c>
      <c r="BQZ3" t="str">
        <f t="shared" si="28"/>
        <v>Med</v>
      </c>
      <c r="BRA3" t="str">
        <f t="shared" si="28"/>
        <v>Med</v>
      </c>
      <c r="BRB3" t="str">
        <f t="shared" si="28"/>
        <v>No Data</v>
      </c>
      <c r="BRC3" t="str">
        <f t="shared" si="28"/>
        <v>Med</v>
      </c>
      <c r="BRD3" t="str">
        <f t="shared" si="28"/>
        <v>Med</v>
      </c>
      <c r="BRE3" t="str">
        <f t="shared" si="28"/>
        <v>Med</v>
      </c>
      <c r="BRF3" t="str">
        <f t="shared" si="28"/>
        <v>No Data</v>
      </c>
      <c r="BRG3" t="str">
        <f t="shared" si="28"/>
        <v>Med</v>
      </c>
      <c r="BRH3" t="str">
        <f t="shared" si="28"/>
        <v>Low</v>
      </c>
      <c r="BRI3" t="str">
        <f t="shared" si="28"/>
        <v>Med</v>
      </c>
      <c r="BRJ3" t="str">
        <f t="shared" si="28"/>
        <v>Low</v>
      </c>
      <c r="BRK3" t="str">
        <f t="shared" si="28"/>
        <v>Med</v>
      </c>
      <c r="BRL3" t="str">
        <f t="shared" si="28"/>
        <v>Med</v>
      </c>
      <c r="BRM3" t="str">
        <f t="shared" si="28"/>
        <v>Med</v>
      </c>
      <c r="BRN3" t="str">
        <f t="shared" si="28"/>
        <v>Med</v>
      </c>
      <c r="BRO3" t="str">
        <f t="shared" si="28"/>
        <v>Med</v>
      </c>
      <c r="BRP3" t="str">
        <f t="shared" si="28"/>
        <v>Med</v>
      </c>
      <c r="BRQ3" t="str">
        <f t="shared" si="28"/>
        <v>Low</v>
      </c>
      <c r="BRR3" t="str">
        <f t="shared" si="28"/>
        <v>Med</v>
      </c>
      <c r="BRS3" t="str">
        <f t="shared" si="28"/>
        <v>High</v>
      </c>
      <c r="BRT3" t="str">
        <f t="shared" si="28"/>
        <v>Med</v>
      </c>
      <c r="BRU3" t="str">
        <f t="shared" si="28"/>
        <v>Med</v>
      </c>
      <c r="BRV3" t="str">
        <f t="shared" si="28"/>
        <v>Low</v>
      </c>
      <c r="BRW3" t="str">
        <f t="shared" si="28"/>
        <v>No Data</v>
      </c>
      <c r="BRX3" t="str">
        <f t="shared" si="28"/>
        <v>Med</v>
      </c>
      <c r="BRY3" t="str">
        <f t="shared" si="28"/>
        <v>Med</v>
      </c>
      <c r="BRZ3" t="str">
        <f t="shared" si="28"/>
        <v>Low</v>
      </c>
      <c r="BSA3" t="str">
        <f t="shared" si="28"/>
        <v>Med</v>
      </c>
      <c r="BSB3" t="str">
        <f t="shared" si="28"/>
        <v>Med</v>
      </c>
      <c r="BSC3" t="str">
        <f t="shared" si="28"/>
        <v>Low</v>
      </c>
      <c r="BSD3" t="str">
        <f t="shared" si="28"/>
        <v>Med</v>
      </c>
      <c r="BSE3" t="str">
        <f t="shared" si="28"/>
        <v>Med</v>
      </c>
      <c r="BSF3" t="str">
        <f t="shared" si="28"/>
        <v>Med</v>
      </c>
      <c r="BSG3" t="str">
        <f t="shared" si="28"/>
        <v>Med</v>
      </c>
      <c r="BSH3" t="str">
        <f t="shared" si="28"/>
        <v>Low</v>
      </c>
      <c r="BSI3" t="str">
        <f t="shared" si="28"/>
        <v>Med</v>
      </c>
      <c r="BSJ3" t="str">
        <f t="shared" si="28"/>
        <v>Med</v>
      </c>
      <c r="BSK3" t="str">
        <f t="shared" si="28"/>
        <v>Med</v>
      </c>
      <c r="BSL3" t="str">
        <f t="shared" si="28"/>
        <v>Med</v>
      </c>
      <c r="BSM3" t="str">
        <f t="shared" si="28"/>
        <v>Med</v>
      </c>
      <c r="BSN3" t="str">
        <f t="shared" si="28"/>
        <v>Med</v>
      </c>
      <c r="BSO3" t="str">
        <f t="shared" ref="BSO3:BUZ3" si="29">IF(BSO2="","No Data",IF(BSO2&gt;=100000,"High",IF(BSO2&gt;=40000,"Med","Low")))</f>
        <v>Med</v>
      </c>
      <c r="BSP3" t="str">
        <f t="shared" si="29"/>
        <v>Med</v>
      </c>
      <c r="BSQ3" t="str">
        <f t="shared" si="29"/>
        <v>High</v>
      </c>
      <c r="BSR3" t="str">
        <f t="shared" si="29"/>
        <v>Med</v>
      </c>
      <c r="BSS3" t="str">
        <f t="shared" si="29"/>
        <v>Med</v>
      </c>
      <c r="BST3" t="str">
        <f t="shared" si="29"/>
        <v>Med</v>
      </c>
      <c r="BSU3" t="str">
        <f t="shared" si="29"/>
        <v>Med</v>
      </c>
      <c r="BSV3" t="str">
        <f t="shared" si="29"/>
        <v>Med</v>
      </c>
      <c r="BSW3" t="str">
        <f t="shared" si="29"/>
        <v>Med</v>
      </c>
      <c r="BSX3" t="str">
        <f t="shared" si="29"/>
        <v>Med</v>
      </c>
      <c r="BSY3" t="str">
        <f t="shared" si="29"/>
        <v>Med</v>
      </c>
      <c r="BSZ3" t="str">
        <f t="shared" si="29"/>
        <v>Med</v>
      </c>
      <c r="BTA3" t="str">
        <f t="shared" si="29"/>
        <v>Med</v>
      </c>
      <c r="BTB3" t="str">
        <f t="shared" si="29"/>
        <v>Med</v>
      </c>
      <c r="BTC3" t="str">
        <f t="shared" si="29"/>
        <v>Low</v>
      </c>
      <c r="BTD3" t="str">
        <f t="shared" si="29"/>
        <v>Med</v>
      </c>
      <c r="BTE3" t="str">
        <f t="shared" si="29"/>
        <v>Med</v>
      </c>
      <c r="BTF3" t="str">
        <f t="shared" si="29"/>
        <v>Med</v>
      </c>
      <c r="BTG3" t="str">
        <f t="shared" si="29"/>
        <v>Med</v>
      </c>
      <c r="BTH3" t="str">
        <f t="shared" si="29"/>
        <v>Med</v>
      </c>
      <c r="BTI3" t="str">
        <f t="shared" si="29"/>
        <v>Med</v>
      </c>
      <c r="BTJ3" t="str">
        <f t="shared" si="29"/>
        <v>Low</v>
      </c>
      <c r="BTK3" t="str">
        <f t="shared" si="29"/>
        <v>Med</v>
      </c>
      <c r="BTL3" t="str">
        <f t="shared" si="29"/>
        <v>Med</v>
      </c>
      <c r="BTM3" t="str">
        <f t="shared" si="29"/>
        <v>Med</v>
      </c>
      <c r="BTN3" t="str">
        <f t="shared" si="29"/>
        <v>Med</v>
      </c>
      <c r="BTO3" t="str">
        <f t="shared" si="29"/>
        <v>Med</v>
      </c>
      <c r="BTP3" t="str">
        <f t="shared" si="29"/>
        <v>Med</v>
      </c>
      <c r="BTQ3" t="str">
        <f t="shared" si="29"/>
        <v>Med</v>
      </c>
      <c r="BTR3" t="str">
        <f t="shared" si="29"/>
        <v>High</v>
      </c>
      <c r="BTS3" t="str">
        <f t="shared" si="29"/>
        <v>Med</v>
      </c>
      <c r="BTT3" t="str">
        <f t="shared" si="29"/>
        <v>Med</v>
      </c>
      <c r="BTU3" t="str">
        <f t="shared" si="29"/>
        <v>Med</v>
      </c>
      <c r="BTV3" t="str">
        <f t="shared" si="29"/>
        <v>Med</v>
      </c>
      <c r="BTW3" t="str">
        <f t="shared" si="29"/>
        <v>Med</v>
      </c>
      <c r="BTX3" t="str">
        <f t="shared" si="29"/>
        <v>Med</v>
      </c>
      <c r="BTY3" t="str">
        <f t="shared" si="29"/>
        <v>Med</v>
      </c>
      <c r="BTZ3" t="str">
        <f t="shared" si="29"/>
        <v>Med</v>
      </c>
      <c r="BUA3" t="str">
        <f t="shared" si="29"/>
        <v>Low</v>
      </c>
      <c r="BUB3" t="str">
        <f t="shared" si="29"/>
        <v>Med</v>
      </c>
      <c r="BUC3" t="str">
        <f t="shared" si="29"/>
        <v>Med</v>
      </c>
      <c r="BUD3" t="str">
        <f t="shared" si="29"/>
        <v>Med</v>
      </c>
      <c r="BUE3" t="str">
        <f t="shared" si="29"/>
        <v>Low</v>
      </c>
      <c r="BUF3" t="str">
        <f t="shared" si="29"/>
        <v>Med</v>
      </c>
      <c r="BUG3" t="str">
        <f t="shared" si="29"/>
        <v>Med</v>
      </c>
      <c r="BUH3" t="str">
        <f t="shared" si="29"/>
        <v>Med</v>
      </c>
      <c r="BUI3" t="str">
        <f t="shared" si="29"/>
        <v>Med</v>
      </c>
      <c r="BUJ3" t="str">
        <f t="shared" si="29"/>
        <v>Med</v>
      </c>
      <c r="BUK3" t="str">
        <f t="shared" si="29"/>
        <v>Med</v>
      </c>
      <c r="BUL3" t="str">
        <f t="shared" si="29"/>
        <v>Med</v>
      </c>
      <c r="BUM3" t="str">
        <f t="shared" si="29"/>
        <v>Med</v>
      </c>
      <c r="BUN3" t="str">
        <f t="shared" si="29"/>
        <v>Med</v>
      </c>
      <c r="BUO3" t="str">
        <f t="shared" si="29"/>
        <v>Med</v>
      </c>
      <c r="BUP3" t="str">
        <f t="shared" si="29"/>
        <v>High</v>
      </c>
      <c r="BUQ3" t="str">
        <f t="shared" si="29"/>
        <v>Low</v>
      </c>
      <c r="BUR3" t="str">
        <f t="shared" si="29"/>
        <v>Med</v>
      </c>
      <c r="BUS3" t="str">
        <f t="shared" si="29"/>
        <v>Low</v>
      </c>
      <c r="BUT3" t="str">
        <f t="shared" si="29"/>
        <v>No Data</v>
      </c>
      <c r="BUU3" t="str">
        <f t="shared" si="29"/>
        <v>Med</v>
      </c>
      <c r="BUV3" t="str">
        <f t="shared" si="29"/>
        <v>Med</v>
      </c>
      <c r="BUW3" t="str">
        <f t="shared" si="29"/>
        <v>Med</v>
      </c>
      <c r="BUX3" t="str">
        <f t="shared" si="29"/>
        <v>Med</v>
      </c>
      <c r="BUY3" t="str">
        <f t="shared" si="29"/>
        <v>Low</v>
      </c>
      <c r="BUZ3" t="str">
        <f t="shared" si="29"/>
        <v>Med</v>
      </c>
      <c r="BVA3" t="str">
        <f t="shared" ref="BVA3:BXL3" si="30">IF(BVA2="","No Data",IF(BVA2&gt;=100000,"High",IF(BVA2&gt;=40000,"Med","Low")))</f>
        <v>Med</v>
      </c>
      <c r="BVB3" t="str">
        <f t="shared" si="30"/>
        <v>Med</v>
      </c>
      <c r="BVC3" t="str">
        <f t="shared" si="30"/>
        <v>Med</v>
      </c>
      <c r="BVD3" t="str">
        <f t="shared" si="30"/>
        <v>Med</v>
      </c>
      <c r="BVE3" t="str">
        <f t="shared" si="30"/>
        <v>Med</v>
      </c>
      <c r="BVF3" t="str">
        <f t="shared" si="30"/>
        <v>Med</v>
      </c>
      <c r="BVG3" t="str">
        <f t="shared" si="30"/>
        <v>Med</v>
      </c>
      <c r="BVH3" t="str">
        <f t="shared" si="30"/>
        <v>Med</v>
      </c>
      <c r="BVI3" t="str">
        <f t="shared" si="30"/>
        <v>Med</v>
      </c>
      <c r="BVJ3" t="str">
        <f t="shared" si="30"/>
        <v>Med</v>
      </c>
      <c r="BVK3" t="str">
        <f t="shared" si="30"/>
        <v>Med</v>
      </c>
      <c r="BVL3" t="str">
        <f t="shared" si="30"/>
        <v>Low</v>
      </c>
      <c r="BVM3" t="str">
        <f t="shared" si="30"/>
        <v>Med</v>
      </c>
      <c r="BVN3" t="str">
        <f t="shared" si="30"/>
        <v>Med</v>
      </c>
      <c r="BVO3" t="str">
        <f t="shared" si="30"/>
        <v>No Data</v>
      </c>
      <c r="BVP3" t="str">
        <f t="shared" si="30"/>
        <v>No Data</v>
      </c>
      <c r="BVQ3" t="str">
        <f t="shared" si="30"/>
        <v>Med</v>
      </c>
      <c r="BVR3" t="str">
        <f t="shared" si="30"/>
        <v>Med</v>
      </c>
      <c r="BVS3" t="str">
        <f t="shared" si="30"/>
        <v>Med</v>
      </c>
      <c r="BVT3" t="str">
        <f t="shared" si="30"/>
        <v>High</v>
      </c>
      <c r="BVU3" t="str">
        <f t="shared" si="30"/>
        <v>Med</v>
      </c>
      <c r="BVV3" t="str">
        <f t="shared" si="30"/>
        <v>Med</v>
      </c>
      <c r="BVW3" t="str">
        <f t="shared" si="30"/>
        <v>Med</v>
      </c>
      <c r="BVX3" t="str">
        <f t="shared" si="30"/>
        <v>Med</v>
      </c>
      <c r="BVY3" t="str">
        <f t="shared" si="30"/>
        <v>Med</v>
      </c>
      <c r="BVZ3" t="str">
        <f t="shared" si="30"/>
        <v>Med</v>
      </c>
      <c r="BWA3" t="str">
        <f t="shared" si="30"/>
        <v>Med</v>
      </c>
      <c r="BWB3" t="str">
        <f t="shared" si="30"/>
        <v>Med</v>
      </c>
      <c r="BWC3" t="str">
        <f t="shared" si="30"/>
        <v>Med</v>
      </c>
      <c r="BWD3" t="str">
        <f t="shared" si="30"/>
        <v>Med</v>
      </c>
      <c r="BWE3" t="str">
        <f t="shared" si="30"/>
        <v>Med</v>
      </c>
      <c r="BWF3" t="str">
        <f t="shared" si="30"/>
        <v>Med</v>
      </c>
      <c r="BWG3" t="str">
        <f t="shared" si="30"/>
        <v>Med</v>
      </c>
      <c r="BWH3" t="str">
        <f t="shared" si="30"/>
        <v>Med</v>
      </c>
      <c r="BWI3" t="str">
        <f t="shared" si="30"/>
        <v>Med</v>
      </c>
      <c r="BWJ3" t="str">
        <f t="shared" si="30"/>
        <v>Med</v>
      </c>
      <c r="BWK3" t="str">
        <f t="shared" si="30"/>
        <v>Med</v>
      </c>
      <c r="BWL3" t="str">
        <f t="shared" si="30"/>
        <v>Med</v>
      </c>
      <c r="BWM3" t="str">
        <f t="shared" si="30"/>
        <v>High</v>
      </c>
      <c r="BWN3" t="str">
        <f t="shared" si="30"/>
        <v>Med</v>
      </c>
      <c r="BWO3" t="str">
        <f t="shared" si="30"/>
        <v>Med</v>
      </c>
      <c r="BWP3" t="str">
        <f t="shared" si="30"/>
        <v>Med</v>
      </c>
      <c r="BWQ3" t="str">
        <f t="shared" si="30"/>
        <v>Med</v>
      </c>
      <c r="BWR3" t="str">
        <f t="shared" si="30"/>
        <v>No Data</v>
      </c>
      <c r="BWS3" t="str">
        <f t="shared" si="30"/>
        <v>Med</v>
      </c>
      <c r="BWT3" t="str">
        <f t="shared" si="30"/>
        <v>Med</v>
      </c>
      <c r="BWU3" t="str">
        <f t="shared" si="30"/>
        <v>Med</v>
      </c>
      <c r="BWV3" t="str">
        <f t="shared" si="30"/>
        <v>Med</v>
      </c>
      <c r="BWW3" t="str">
        <f t="shared" si="30"/>
        <v>Low</v>
      </c>
      <c r="BWX3" t="str">
        <f t="shared" si="30"/>
        <v>No Data</v>
      </c>
      <c r="BWY3" t="str">
        <f t="shared" si="30"/>
        <v>Med</v>
      </c>
      <c r="BWZ3" t="str">
        <f t="shared" si="30"/>
        <v>Med</v>
      </c>
      <c r="BXA3" t="str">
        <f t="shared" si="30"/>
        <v>Med</v>
      </c>
      <c r="BXB3" t="str">
        <f t="shared" si="30"/>
        <v>Med</v>
      </c>
      <c r="BXC3" t="str">
        <f t="shared" si="30"/>
        <v>Med</v>
      </c>
      <c r="BXD3" t="str">
        <f t="shared" si="30"/>
        <v>Med</v>
      </c>
      <c r="BXE3" t="str">
        <f t="shared" si="30"/>
        <v>Med</v>
      </c>
      <c r="BXF3" t="str">
        <f t="shared" si="30"/>
        <v>Med</v>
      </c>
      <c r="BXG3" t="str">
        <f t="shared" si="30"/>
        <v>Med</v>
      </c>
      <c r="BXH3" t="str">
        <f t="shared" si="30"/>
        <v>Med</v>
      </c>
      <c r="BXI3" t="str">
        <f t="shared" si="30"/>
        <v>No Data</v>
      </c>
      <c r="BXJ3" t="str">
        <f t="shared" si="30"/>
        <v>Med</v>
      </c>
      <c r="BXK3" t="str">
        <f t="shared" si="30"/>
        <v>Med</v>
      </c>
      <c r="BXL3" t="str">
        <f t="shared" si="30"/>
        <v>Med</v>
      </c>
      <c r="BXM3" t="str">
        <f t="shared" ref="BXM3:BZX3" si="31">IF(BXM2="","No Data",IF(BXM2&gt;=100000,"High",IF(BXM2&gt;=40000,"Med","Low")))</f>
        <v>High</v>
      </c>
      <c r="BXN3" t="str">
        <f t="shared" si="31"/>
        <v>Med</v>
      </c>
      <c r="BXO3" t="str">
        <f t="shared" si="31"/>
        <v>Med</v>
      </c>
      <c r="BXP3" t="str">
        <f t="shared" si="31"/>
        <v>Med</v>
      </c>
      <c r="BXQ3" t="str">
        <f t="shared" si="31"/>
        <v>Med</v>
      </c>
      <c r="BXR3" t="str">
        <f t="shared" si="31"/>
        <v>Med</v>
      </c>
      <c r="BXS3" t="str">
        <f t="shared" si="31"/>
        <v>Med</v>
      </c>
      <c r="BXT3" t="str">
        <f t="shared" si="31"/>
        <v>Med</v>
      </c>
      <c r="BXU3" t="str">
        <f t="shared" si="31"/>
        <v>Med</v>
      </c>
      <c r="BXV3" t="str">
        <f t="shared" si="31"/>
        <v>Med</v>
      </c>
      <c r="BXW3" t="str">
        <f t="shared" si="31"/>
        <v>Med</v>
      </c>
      <c r="BXX3" t="str">
        <f t="shared" si="31"/>
        <v>Med</v>
      </c>
      <c r="BXY3" t="str">
        <f t="shared" si="31"/>
        <v>No Data</v>
      </c>
      <c r="BXZ3" t="str">
        <f t="shared" si="31"/>
        <v>Med</v>
      </c>
      <c r="BYA3" t="str">
        <f t="shared" si="31"/>
        <v>Low</v>
      </c>
      <c r="BYB3" t="str">
        <f t="shared" si="31"/>
        <v>Med</v>
      </c>
      <c r="BYC3" t="str">
        <f t="shared" si="31"/>
        <v>Med</v>
      </c>
      <c r="BYD3" t="str">
        <f t="shared" si="31"/>
        <v>Med</v>
      </c>
      <c r="BYE3" t="str">
        <f t="shared" si="31"/>
        <v>Med</v>
      </c>
      <c r="BYF3" t="str">
        <f t="shared" si="31"/>
        <v>Med</v>
      </c>
      <c r="BYG3" t="str">
        <f t="shared" si="31"/>
        <v>Med</v>
      </c>
      <c r="BYH3" t="str">
        <f t="shared" si="31"/>
        <v>No Data</v>
      </c>
      <c r="BYI3" t="str">
        <f t="shared" si="31"/>
        <v>Med</v>
      </c>
      <c r="BYJ3" t="str">
        <f t="shared" si="31"/>
        <v>Med</v>
      </c>
      <c r="BYK3" t="str">
        <f t="shared" si="31"/>
        <v>Low</v>
      </c>
      <c r="BYL3" t="str">
        <f t="shared" si="31"/>
        <v>Med</v>
      </c>
      <c r="BYM3" t="str">
        <f t="shared" si="31"/>
        <v>Med</v>
      </c>
      <c r="BYN3" t="str">
        <f t="shared" si="31"/>
        <v>Med</v>
      </c>
      <c r="BYO3" t="str">
        <f t="shared" si="31"/>
        <v>Med</v>
      </c>
      <c r="BYP3" t="str">
        <f t="shared" si="31"/>
        <v>Med</v>
      </c>
      <c r="BYQ3" t="str">
        <f t="shared" si="31"/>
        <v>No Data</v>
      </c>
      <c r="BYR3" t="str">
        <f t="shared" si="31"/>
        <v>No Data</v>
      </c>
      <c r="BYS3" t="str">
        <f t="shared" si="31"/>
        <v>Med</v>
      </c>
      <c r="BYT3" t="str">
        <f t="shared" si="31"/>
        <v>Med</v>
      </c>
      <c r="BYU3" t="str">
        <f t="shared" si="31"/>
        <v>Med</v>
      </c>
      <c r="BYV3" t="str">
        <f t="shared" si="31"/>
        <v>Med</v>
      </c>
      <c r="BYW3" t="str">
        <f t="shared" si="31"/>
        <v>Med</v>
      </c>
      <c r="BYX3" t="str">
        <f t="shared" si="31"/>
        <v>Med</v>
      </c>
      <c r="BYY3" t="str">
        <f t="shared" si="31"/>
        <v>No Data</v>
      </c>
      <c r="BYZ3" t="str">
        <f t="shared" si="31"/>
        <v>Med</v>
      </c>
      <c r="BZA3" t="str">
        <f t="shared" si="31"/>
        <v>Med</v>
      </c>
      <c r="BZB3" t="str">
        <f t="shared" si="31"/>
        <v>Med</v>
      </c>
      <c r="BZC3" t="str">
        <f t="shared" si="31"/>
        <v>No Data</v>
      </c>
      <c r="BZD3" t="str">
        <f t="shared" si="31"/>
        <v>Low</v>
      </c>
      <c r="BZE3" t="str">
        <f t="shared" si="31"/>
        <v>No Data</v>
      </c>
      <c r="BZF3" t="str">
        <f t="shared" si="31"/>
        <v>Med</v>
      </c>
      <c r="BZG3" t="str">
        <f t="shared" si="31"/>
        <v>Med</v>
      </c>
      <c r="BZH3" t="str">
        <f t="shared" si="31"/>
        <v>Med</v>
      </c>
      <c r="BZI3" t="str">
        <f t="shared" si="31"/>
        <v>High</v>
      </c>
      <c r="BZJ3" t="str">
        <f t="shared" si="31"/>
        <v>Med</v>
      </c>
      <c r="BZK3" t="str">
        <f t="shared" si="31"/>
        <v>Med</v>
      </c>
      <c r="BZL3" t="str">
        <f t="shared" si="31"/>
        <v>Med</v>
      </c>
      <c r="BZM3" t="str">
        <f t="shared" si="31"/>
        <v>Med</v>
      </c>
      <c r="BZN3" t="str">
        <f t="shared" si="31"/>
        <v>Med</v>
      </c>
      <c r="BZO3" t="str">
        <f t="shared" si="31"/>
        <v>Med</v>
      </c>
      <c r="BZP3" t="str">
        <f t="shared" si="31"/>
        <v>Med</v>
      </c>
      <c r="BZQ3" t="str">
        <f t="shared" si="31"/>
        <v>High</v>
      </c>
      <c r="BZR3" t="str">
        <f t="shared" si="31"/>
        <v>Med</v>
      </c>
      <c r="BZS3" t="str">
        <f t="shared" si="31"/>
        <v>Med</v>
      </c>
      <c r="BZT3" t="str">
        <f t="shared" si="31"/>
        <v>Med</v>
      </c>
      <c r="BZU3" t="str">
        <f t="shared" si="31"/>
        <v>Med</v>
      </c>
      <c r="BZV3" t="str">
        <f t="shared" si="31"/>
        <v>Med</v>
      </c>
      <c r="BZW3" t="str">
        <f t="shared" si="31"/>
        <v>Med</v>
      </c>
      <c r="BZX3" t="str">
        <f t="shared" si="31"/>
        <v>Med</v>
      </c>
      <c r="BZY3" t="str">
        <f t="shared" ref="BZY3:CCJ3" si="32">IF(BZY2="","No Data",IF(BZY2&gt;=100000,"High",IF(BZY2&gt;=40000,"Med","Low")))</f>
        <v>Med</v>
      </c>
      <c r="BZZ3" t="str">
        <f t="shared" si="32"/>
        <v>Med</v>
      </c>
      <c r="CAA3" t="str">
        <f t="shared" si="32"/>
        <v>Med</v>
      </c>
      <c r="CAB3" t="str">
        <f t="shared" si="32"/>
        <v>Med</v>
      </c>
      <c r="CAC3" t="str">
        <f t="shared" si="32"/>
        <v>Low</v>
      </c>
      <c r="CAD3" t="str">
        <f t="shared" si="32"/>
        <v>Med</v>
      </c>
      <c r="CAE3" t="str">
        <f t="shared" si="32"/>
        <v>Med</v>
      </c>
      <c r="CAF3" t="str">
        <f t="shared" si="32"/>
        <v>Med</v>
      </c>
      <c r="CAG3" t="str">
        <f t="shared" si="32"/>
        <v>Med</v>
      </c>
      <c r="CAH3" t="str">
        <f t="shared" si="32"/>
        <v>Med</v>
      </c>
      <c r="CAI3" t="str">
        <f t="shared" si="32"/>
        <v>No Data</v>
      </c>
      <c r="CAJ3" t="str">
        <f t="shared" si="32"/>
        <v>Med</v>
      </c>
      <c r="CAK3" t="str">
        <f t="shared" si="32"/>
        <v>Med</v>
      </c>
      <c r="CAL3" t="str">
        <f t="shared" si="32"/>
        <v>Med</v>
      </c>
      <c r="CAM3" t="str">
        <f t="shared" si="32"/>
        <v>Med</v>
      </c>
      <c r="CAN3" t="str">
        <f t="shared" si="32"/>
        <v>Med</v>
      </c>
      <c r="CAO3" t="str">
        <f t="shared" si="32"/>
        <v>Med</v>
      </c>
      <c r="CAP3" t="str">
        <f t="shared" si="32"/>
        <v>Med</v>
      </c>
      <c r="CAQ3" t="str">
        <f t="shared" si="32"/>
        <v>Med</v>
      </c>
      <c r="CAR3" t="str">
        <f t="shared" si="32"/>
        <v>Med</v>
      </c>
      <c r="CAS3" t="str">
        <f t="shared" si="32"/>
        <v>Med</v>
      </c>
      <c r="CAT3" t="str">
        <f t="shared" si="32"/>
        <v>Med</v>
      </c>
      <c r="CAU3" t="str">
        <f t="shared" si="32"/>
        <v>Med</v>
      </c>
      <c r="CAV3" t="str">
        <f t="shared" si="32"/>
        <v>Med</v>
      </c>
      <c r="CAW3" t="str">
        <f t="shared" si="32"/>
        <v>Med</v>
      </c>
      <c r="CAX3" t="str">
        <f t="shared" si="32"/>
        <v>Med</v>
      </c>
      <c r="CAY3" t="str">
        <f t="shared" si="32"/>
        <v>Med</v>
      </c>
      <c r="CAZ3" t="str">
        <f t="shared" si="32"/>
        <v>Med</v>
      </c>
      <c r="CBA3" t="str">
        <f t="shared" si="32"/>
        <v>Med</v>
      </c>
      <c r="CBB3" t="str">
        <f t="shared" si="32"/>
        <v>Med</v>
      </c>
      <c r="CBC3" t="str">
        <f t="shared" si="32"/>
        <v>High</v>
      </c>
      <c r="CBD3" t="str">
        <f t="shared" si="32"/>
        <v>Med</v>
      </c>
      <c r="CBE3" t="str">
        <f t="shared" si="32"/>
        <v>No Data</v>
      </c>
      <c r="CBF3" t="str">
        <f t="shared" si="32"/>
        <v>Med</v>
      </c>
      <c r="CBG3" t="str">
        <f t="shared" si="32"/>
        <v>Med</v>
      </c>
      <c r="CBH3" t="str">
        <f t="shared" si="32"/>
        <v>Med</v>
      </c>
      <c r="CBI3" t="str">
        <f t="shared" si="32"/>
        <v>Med</v>
      </c>
      <c r="CBJ3" t="str">
        <f t="shared" si="32"/>
        <v>Med</v>
      </c>
      <c r="CBK3" t="str">
        <f t="shared" si="32"/>
        <v>Med</v>
      </c>
      <c r="CBL3" t="str">
        <f t="shared" si="32"/>
        <v>High</v>
      </c>
      <c r="CBM3" t="str">
        <f t="shared" si="32"/>
        <v>Med</v>
      </c>
      <c r="CBN3" t="str">
        <f t="shared" si="32"/>
        <v>Med</v>
      </c>
      <c r="CBO3" t="str">
        <f t="shared" si="32"/>
        <v>Med</v>
      </c>
      <c r="CBP3" t="str">
        <f t="shared" si="32"/>
        <v>No Data</v>
      </c>
      <c r="CBQ3" t="str">
        <f t="shared" si="32"/>
        <v>Med</v>
      </c>
      <c r="CBR3" t="str">
        <f t="shared" si="32"/>
        <v>Med</v>
      </c>
      <c r="CBS3" t="str">
        <f t="shared" si="32"/>
        <v>Med</v>
      </c>
      <c r="CBT3" t="str">
        <f t="shared" si="32"/>
        <v>Med</v>
      </c>
      <c r="CBU3" t="str">
        <f t="shared" si="32"/>
        <v>No Data</v>
      </c>
      <c r="CBV3" t="str">
        <f t="shared" si="32"/>
        <v>Med</v>
      </c>
      <c r="CBW3" t="str">
        <f t="shared" si="32"/>
        <v>High</v>
      </c>
      <c r="CBX3" t="str">
        <f t="shared" si="32"/>
        <v>No Data</v>
      </c>
      <c r="CBY3" t="str">
        <f t="shared" si="32"/>
        <v>Med</v>
      </c>
      <c r="CBZ3" t="str">
        <f t="shared" si="32"/>
        <v>Med</v>
      </c>
      <c r="CCA3" t="str">
        <f t="shared" si="32"/>
        <v>Med</v>
      </c>
      <c r="CCB3" t="str">
        <f t="shared" si="32"/>
        <v>Med</v>
      </c>
      <c r="CCC3" t="str">
        <f t="shared" si="32"/>
        <v>Med</v>
      </c>
      <c r="CCD3" t="str">
        <f t="shared" si="32"/>
        <v>Med</v>
      </c>
      <c r="CCE3" t="str">
        <f t="shared" si="32"/>
        <v>No Data</v>
      </c>
      <c r="CCF3" t="str">
        <f t="shared" si="32"/>
        <v>Med</v>
      </c>
      <c r="CCG3" t="str">
        <f t="shared" si="32"/>
        <v>Med</v>
      </c>
      <c r="CCH3" t="str">
        <f t="shared" si="32"/>
        <v>Med</v>
      </c>
      <c r="CCI3" t="str">
        <f t="shared" si="32"/>
        <v>High</v>
      </c>
      <c r="CCJ3" t="str">
        <f t="shared" si="32"/>
        <v>Med</v>
      </c>
      <c r="CCK3" t="str">
        <f t="shared" ref="CCK3:CEV3" si="33">IF(CCK2="","No Data",IF(CCK2&gt;=100000,"High",IF(CCK2&gt;=40000,"Med","Low")))</f>
        <v>Med</v>
      </c>
      <c r="CCL3" t="str">
        <f t="shared" si="33"/>
        <v>Med</v>
      </c>
      <c r="CCM3" t="str">
        <f t="shared" si="33"/>
        <v>Med</v>
      </c>
      <c r="CCN3" t="str">
        <f t="shared" si="33"/>
        <v>Med</v>
      </c>
      <c r="CCO3" t="str">
        <f t="shared" si="33"/>
        <v>Med</v>
      </c>
      <c r="CCP3" t="str">
        <f t="shared" si="33"/>
        <v>Med</v>
      </c>
      <c r="CCQ3" t="str">
        <f t="shared" si="33"/>
        <v>Med</v>
      </c>
      <c r="CCR3" t="str">
        <f t="shared" si="33"/>
        <v>Med</v>
      </c>
      <c r="CCS3" t="str">
        <f t="shared" si="33"/>
        <v>Med</v>
      </c>
      <c r="CCT3" t="str">
        <f t="shared" si="33"/>
        <v>Med</v>
      </c>
      <c r="CCU3" t="str">
        <f t="shared" si="33"/>
        <v>Med</v>
      </c>
      <c r="CCV3" t="str">
        <f t="shared" si="33"/>
        <v>Med</v>
      </c>
      <c r="CCW3" t="str">
        <f t="shared" si="33"/>
        <v>Med</v>
      </c>
      <c r="CCX3" t="str">
        <f t="shared" si="33"/>
        <v>Med</v>
      </c>
      <c r="CCY3" t="str">
        <f t="shared" si="33"/>
        <v>Med</v>
      </c>
      <c r="CCZ3" t="str">
        <f t="shared" si="33"/>
        <v>Med</v>
      </c>
      <c r="CDA3" t="str">
        <f t="shared" si="33"/>
        <v>Med</v>
      </c>
      <c r="CDB3" t="str">
        <f t="shared" si="33"/>
        <v>Med</v>
      </c>
      <c r="CDC3" t="str">
        <f t="shared" si="33"/>
        <v>Med</v>
      </c>
      <c r="CDD3" t="str">
        <f t="shared" si="33"/>
        <v>Med</v>
      </c>
      <c r="CDE3" t="str">
        <f t="shared" si="33"/>
        <v>Med</v>
      </c>
      <c r="CDF3" t="str">
        <f t="shared" si="33"/>
        <v>Med</v>
      </c>
      <c r="CDG3" t="str">
        <f t="shared" si="33"/>
        <v>Med</v>
      </c>
      <c r="CDH3" t="str">
        <f t="shared" si="33"/>
        <v>Med</v>
      </c>
      <c r="CDI3" t="str">
        <f t="shared" si="33"/>
        <v>Med</v>
      </c>
      <c r="CDJ3" t="str">
        <f t="shared" si="33"/>
        <v>High</v>
      </c>
      <c r="CDK3" t="str">
        <f t="shared" si="33"/>
        <v>High</v>
      </c>
      <c r="CDL3" t="str">
        <f t="shared" si="33"/>
        <v>Med</v>
      </c>
      <c r="CDM3" t="str">
        <f t="shared" si="33"/>
        <v>High</v>
      </c>
      <c r="CDN3" t="str">
        <f t="shared" si="33"/>
        <v>High</v>
      </c>
      <c r="CDO3" t="str">
        <f t="shared" si="33"/>
        <v>High</v>
      </c>
      <c r="CDP3" t="str">
        <f t="shared" si="33"/>
        <v>High</v>
      </c>
      <c r="CDQ3" t="str">
        <f t="shared" si="33"/>
        <v>High</v>
      </c>
      <c r="CDR3" t="str">
        <f t="shared" si="33"/>
        <v>High</v>
      </c>
      <c r="CDS3" t="str">
        <f t="shared" si="33"/>
        <v>High</v>
      </c>
      <c r="CDT3" t="str">
        <f t="shared" si="33"/>
        <v>High</v>
      </c>
      <c r="CDU3" t="str">
        <f t="shared" si="33"/>
        <v>High</v>
      </c>
      <c r="CDV3" t="str">
        <f t="shared" si="33"/>
        <v>High</v>
      </c>
      <c r="CDW3" t="str">
        <f t="shared" si="33"/>
        <v>Med</v>
      </c>
      <c r="CDX3" t="str">
        <f t="shared" si="33"/>
        <v>High</v>
      </c>
      <c r="CDY3" t="str">
        <f t="shared" si="33"/>
        <v>High</v>
      </c>
      <c r="CDZ3" t="str">
        <f t="shared" si="33"/>
        <v>High</v>
      </c>
      <c r="CEA3" t="str">
        <f t="shared" si="33"/>
        <v>High</v>
      </c>
      <c r="CEB3" t="str">
        <f t="shared" si="33"/>
        <v>High</v>
      </c>
      <c r="CEC3" t="str">
        <f t="shared" si="33"/>
        <v>High</v>
      </c>
      <c r="CED3" t="str">
        <f t="shared" si="33"/>
        <v>High</v>
      </c>
      <c r="CEE3" t="str">
        <f t="shared" si="33"/>
        <v>High</v>
      </c>
      <c r="CEF3" t="str">
        <f t="shared" si="33"/>
        <v>High</v>
      </c>
      <c r="CEG3" t="str">
        <f t="shared" si="33"/>
        <v>High</v>
      </c>
      <c r="CEH3" t="str">
        <f t="shared" si="33"/>
        <v>High</v>
      </c>
      <c r="CEI3" t="str">
        <f t="shared" si="33"/>
        <v>High</v>
      </c>
      <c r="CEJ3" t="str">
        <f t="shared" si="33"/>
        <v>High</v>
      </c>
      <c r="CEK3" t="str">
        <f t="shared" si="33"/>
        <v>High</v>
      </c>
      <c r="CEL3" t="str">
        <f t="shared" si="33"/>
        <v>High</v>
      </c>
      <c r="CEM3" t="str">
        <f t="shared" si="33"/>
        <v>High</v>
      </c>
      <c r="CEN3" t="str">
        <f t="shared" si="33"/>
        <v>High</v>
      </c>
      <c r="CEO3" t="str">
        <f t="shared" si="33"/>
        <v>High</v>
      </c>
      <c r="CEP3" t="str">
        <f t="shared" si="33"/>
        <v>High</v>
      </c>
      <c r="CEQ3" t="str">
        <f t="shared" si="33"/>
        <v>High</v>
      </c>
      <c r="CER3" t="str">
        <f t="shared" si="33"/>
        <v>High</v>
      </c>
      <c r="CES3" t="str">
        <f t="shared" si="33"/>
        <v>High</v>
      </c>
      <c r="CET3" t="str">
        <f t="shared" si="33"/>
        <v>High</v>
      </c>
      <c r="CEU3" t="str">
        <f t="shared" si="33"/>
        <v>Med</v>
      </c>
      <c r="CEV3" t="str">
        <f t="shared" si="33"/>
        <v>Med</v>
      </c>
      <c r="CEW3" t="str">
        <f t="shared" ref="CEW3:CHH3" si="34">IF(CEW2="","No Data",IF(CEW2&gt;=100000,"High",IF(CEW2&gt;=40000,"Med","Low")))</f>
        <v>High</v>
      </c>
      <c r="CEX3" t="str">
        <f t="shared" si="34"/>
        <v>High</v>
      </c>
      <c r="CEY3" t="str">
        <f t="shared" si="34"/>
        <v>High</v>
      </c>
      <c r="CEZ3" t="str">
        <f t="shared" si="34"/>
        <v>High</v>
      </c>
      <c r="CFA3" t="str">
        <f t="shared" si="34"/>
        <v>High</v>
      </c>
      <c r="CFB3" t="str">
        <f t="shared" si="34"/>
        <v>Med</v>
      </c>
      <c r="CFC3" t="str">
        <f t="shared" si="34"/>
        <v>High</v>
      </c>
      <c r="CFD3" t="str">
        <f t="shared" si="34"/>
        <v>High</v>
      </c>
      <c r="CFE3" t="str">
        <f t="shared" si="34"/>
        <v>High</v>
      </c>
      <c r="CFF3" t="str">
        <f t="shared" si="34"/>
        <v>High</v>
      </c>
      <c r="CFG3" t="str">
        <f t="shared" si="34"/>
        <v>High</v>
      </c>
      <c r="CFH3" t="str">
        <f t="shared" si="34"/>
        <v>High</v>
      </c>
      <c r="CFI3" t="str">
        <f t="shared" si="34"/>
        <v>High</v>
      </c>
      <c r="CFJ3" t="str">
        <f t="shared" si="34"/>
        <v>High</v>
      </c>
      <c r="CFK3" t="str">
        <f t="shared" si="34"/>
        <v>High</v>
      </c>
      <c r="CFL3" t="str">
        <f t="shared" si="34"/>
        <v>No Data</v>
      </c>
      <c r="CFM3" t="str">
        <f t="shared" si="34"/>
        <v>High</v>
      </c>
      <c r="CFN3" t="str">
        <f t="shared" si="34"/>
        <v>Med</v>
      </c>
      <c r="CFO3" t="str">
        <f t="shared" si="34"/>
        <v>High</v>
      </c>
      <c r="CFP3" t="str">
        <f t="shared" si="34"/>
        <v>High</v>
      </c>
      <c r="CFQ3" t="str">
        <f t="shared" si="34"/>
        <v>Med</v>
      </c>
      <c r="CFR3" t="str">
        <f t="shared" si="34"/>
        <v>High</v>
      </c>
      <c r="CFS3" t="str">
        <f t="shared" si="34"/>
        <v>High</v>
      </c>
      <c r="CFT3" t="str">
        <f t="shared" si="34"/>
        <v>High</v>
      </c>
      <c r="CFU3" t="str">
        <f t="shared" si="34"/>
        <v>High</v>
      </c>
      <c r="CFV3" t="str">
        <f t="shared" si="34"/>
        <v>High</v>
      </c>
      <c r="CFW3" t="str">
        <f t="shared" si="34"/>
        <v>High</v>
      </c>
      <c r="CFX3" t="str">
        <f t="shared" si="34"/>
        <v>High</v>
      </c>
      <c r="CFY3" t="str">
        <f t="shared" si="34"/>
        <v>High</v>
      </c>
      <c r="CFZ3" t="str">
        <f t="shared" si="34"/>
        <v>Med</v>
      </c>
      <c r="CGA3" t="str">
        <f t="shared" si="34"/>
        <v>High</v>
      </c>
      <c r="CGB3" t="str">
        <f t="shared" si="34"/>
        <v>High</v>
      </c>
      <c r="CGC3" t="str">
        <f t="shared" si="34"/>
        <v>High</v>
      </c>
      <c r="CGD3" t="str">
        <f t="shared" si="34"/>
        <v>High</v>
      </c>
      <c r="CGE3" t="str">
        <f t="shared" si="34"/>
        <v>High</v>
      </c>
      <c r="CGF3" t="str">
        <f t="shared" si="34"/>
        <v>High</v>
      </c>
      <c r="CGG3" t="str">
        <f t="shared" si="34"/>
        <v>High</v>
      </c>
      <c r="CGH3" t="str">
        <f t="shared" si="34"/>
        <v>High</v>
      </c>
      <c r="CGI3" t="str">
        <f t="shared" si="34"/>
        <v>High</v>
      </c>
      <c r="CGJ3" t="str">
        <f t="shared" si="34"/>
        <v>High</v>
      </c>
      <c r="CGK3" t="str">
        <f t="shared" si="34"/>
        <v>High</v>
      </c>
      <c r="CGL3" t="str">
        <f t="shared" si="34"/>
        <v>High</v>
      </c>
      <c r="CGM3" t="str">
        <f t="shared" si="34"/>
        <v>High</v>
      </c>
      <c r="CGN3" t="str">
        <f t="shared" si="34"/>
        <v>High</v>
      </c>
      <c r="CGO3" t="str">
        <f t="shared" si="34"/>
        <v>High</v>
      </c>
      <c r="CGP3" t="str">
        <f t="shared" si="34"/>
        <v>High</v>
      </c>
      <c r="CGQ3" t="str">
        <f t="shared" si="34"/>
        <v>High</v>
      </c>
      <c r="CGR3" t="str">
        <f t="shared" si="34"/>
        <v>High</v>
      </c>
      <c r="CGS3" t="str">
        <f t="shared" si="34"/>
        <v>High</v>
      </c>
      <c r="CGT3" t="str">
        <f t="shared" si="34"/>
        <v>High</v>
      </c>
      <c r="CGU3" t="str">
        <f t="shared" si="34"/>
        <v>High</v>
      </c>
      <c r="CGV3" t="str">
        <f t="shared" si="34"/>
        <v>No Data</v>
      </c>
      <c r="CGW3" t="str">
        <f t="shared" si="34"/>
        <v>High</v>
      </c>
      <c r="CGX3" t="str">
        <f t="shared" si="34"/>
        <v>High</v>
      </c>
      <c r="CGY3" t="str">
        <f t="shared" si="34"/>
        <v>High</v>
      </c>
      <c r="CGZ3" t="str">
        <f t="shared" si="34"/>
        <v>Med</v>
      </c>
      <c r="CHA3" t="str">
        <f t="shared" si="34"/>
        <v>High</v>
      </c>
      <c r="CHB3" t="str">
        <f t="shared" si="34"/>
        <v>Med</v>
      </c>
      <c r="CHC3" t="str">
        <f t="shared" si="34"/>
        <v>High</v>
      </c>
      <c r="CHD3" t="str">
        <f t="shared" si="34"/>
        <v>High</v>
      </c>
      <c r="CHE3" t="str">
        <f t="shared" si="34"/>
        <v>High</v>
      </c>
      <c r="CHF3" t="str">
        <f t="shared" si="34"/>
        <v>High</v>
      </c>
      <c r="CHG3" t="str">
        <f t="shared" si="34"/>
        <v>Med</v>
      </c>
      <c r="CHH3" t="str">
        <f t="shared" si="34"/>
        <v>High</v>
      </c>
      <c r="CHI3" t="str">
        <f t="shared" ref="CHI3:CJT3" si="35">IF(CHI2="","No Data",IF(CHI2&gt;=100000,"High",IF(CHI2&gt;=40000,"Med","Low")))</f>
        <v>High</v>
      </c>
      <c r="CHJ3" t="str">
        <f t="shared" si="35"/>
        <v>High</v>
      </c>
      <c r="CHK3" t="str">
        <f t="shared" si="35"/>
        <v>Med</v>
      </c>
      <c r="CHL3" t="str">
        <f t="shared" si="35"/>
        <v>High</v>
      </c>
      <c r="CHM3" t="str">
        <f t="shared" si="35"/>
        <v>High</v>
      </c>
      <c r="CHN3" t="str">
        <f t="shared" si="35"/>
        <v>High</v>
      </c>
      <c r="CHO3" t="str">
        <f t="shared" si="35"/>
        <v>High</v>
      </c>
      <c r="CHP3" t="str">
        <f t="shared" si="35"/>
        <v>Med</v>
      </c>
      <c r="CHQ3" t="str">
        <f t="shared" si="35"/>
        <v>Med</v>
      </c>
      <c r="CHR3" t="str">
        <f t="shared" si="35"/>
        <v>Med</v>
      </c>
      <c r="CHS3" t="str">
        <f t="shared" si="35"/>
        <v>Med</v>
      </c>
      <c r="CHT3" t="str">
        <f t="shared" si="35"/>
        <v>Med</v>
      </c>
      <c r="CHU3" t="str">
        <f t="shared" si="35"/>
        <v>High</v>
      </c>
      <c r="CHV3" t="str">
        <f t="shared" si="35"/>
        <v>Med</v>
      </c>
      <c r="CHW3" t="str">
        <f t="shared" si="35"/>
        <v>Med</v>
      </c>
      <c r="CHX3" t="str">
        <f t="shared" si="35"/>
        <v>Med</v>
      </c>
      <c r="CHY3" t="str">
        <f t="shared" si="35"/>
        <v>Med</v>
      </c>
      <c r="CHZ3" t="str">
        <f t="shared" si="35"/>
        <v>Med</v>
      </c>
      <c r="CIA3" t="str">
        <f t="shared" si="35"/>
        <v>Med</v>
      </c>
      <c r="CIB3" t="str">
        <f t="shared" si="35"/>
        <v>No Data</v>
      </c>
      <c r="CIC3" t="str">
        <f t="shared" si="35"/>
        <v>Med</v>
      </c>
      <c r="CID3" t="str">
        <f t="shared" si="35"/>
        <v>Med</v>
      </c>
      <c r="CIE3" t="str">
        <f t="shared" si="35"/>
        <v>Med</v>
      </c>
      <c r="CIF3" t="str">
        <f t="shared" si="35"/>
        <v>Med</v>
      </c>
      <c r="CIG3" t="str">
        <f t="shared" si="35"/>
        <v>High</v>
      </c>
      <c r="CIH3" t="str">
        <f t="shared" si="35"/>
        <v>Med</v>
      </c>
      <c r="CII3" t="str">
        <f t="shared" si="35"/>
        <v>Med</v>
      </c>
      <c r="CIJ3" t="str">
        <f t="shared" si="35"/>
        <v>Med</v>
      </c>
      <c r="CIK3" t="str">
        <f t="shared" si="35"/>
        <v>High</v>
      </c>
      <c r="CIL3" t="str">
        <f t="shared" si="35"/>
        <v>Low</v>
      </c>
      <c r="CIM3" t="str">
        <f t="shared" si="35"/>
        <v>Med</v>
      </c>
      <c r="CIN3" t="str">
        <f t="shared" si="35"/>
        <v>Med</v>
      </c>
      <c r="CIO3" t="str">
        <f t="shared" si="35"/>
        <v>Med</v>
      </c>
      <c r="CIP3" t="str">
        <f t="shared" si="35"/>
        <v>High</v>
      </c>
      <c r="CIQ3" t="str">
        <f t="shared" si="35"/>
        <v>High</v>
      </c>
      <c r="CIR3" t="str">
        <f t="shared" si="35"/>
        <v>High</v>
      </c>
      <c r="CIS3" t="str">
        <f t="shared" si="35"/>
        <v>Low</v>
      </c>
      <c r="CIT3" t="str">
        <f t="shared" si="35"/>
        <v>Med</v>
      </c>
      <c r="CIU3" t="str">
        <f t="shared" si="35"/>
        <v>Med</v>
      </c>
      <c r="CIV3" t="str">
        <f t="shared" si="35"/>
        <v>Med</v>
      </c>
      <c r="CIW3" t="str">
        <f t="shared" si="35"/>
        <v>No Data</v>
      </c>
      <c r="CIX3" t="str">
        <f t="shared" si="35"/>
        <v>High</v>
      </c>
      <c r="CIY3" t="str">
        <f t="shared" si="35"/>
        <v>High</v>
      </c>
      <c r="CIZ3" t="str">
        <f t="shared" si="35"/>
        <v>High</v>
      </c>
      <c r="CJA3" t="str">
        <f t="shared" si="35"/>
        <v>High</v>
      </c>
      <c r="CJB3" t="str">
        <f t="shared" si="35"/>
        <v>Med</v>
      </c>
      <c r="CJC3" t="str">
        <f t="shared" si="35"/>
        <v>High</v>
      </c>
      <c r="CJD3" t="str">
        <f t="shared" si="35"/>
        <v>Med</v>
      </c>
      <c r="CJE3" t="str">
        <f t="shared" si="35"/>
        <v>Med</v>
      </c>
      <c r="CJF3" t="str">
        <f t="shared" si="35"/>
        <v>Med</v>
      </c>
      <c r="CJG3" t="str">
        <f t="shared" si="35"/>
        <v>Med</v>
      </c>
      <c r="CJH3" t="str">
        <f t="shared" si="35"/>
        <v>Med</v>
      </c>
      <c r="CJI3" t="str">
        <f t="shared" si="35"/>
        <v>High</v>
      </c>
      <c r="CJJ3" t="str">
        <f t="shared" si="35"/>
        <v>Med</v>
      </c>
      <c r="CJK3" t="str">
        <f t="shared" si="35"/>
        <v>Med</v>
      </c>
      <c r="CJL3" t="str">
        <f t="shared" si="35"/>
        <v>High</v>
      </c>
      <c r="CJM3" t="str">
        <f t="shared" si="35"/>
        <v>High</v>
      </c>
      <c r="CJN3" t="str">
        <f t="shared" si="35"/>
        <v>Med</v>
      </c>
      <c r="CJO3" t="str">
        <f t="shared" si="35"/>
        <v>Med</v>
      </c>
      <c r="CJP3" t="str">
        <f t="shared" si="35"/>
        <v>Med</v>
      </c>
      <c r="CJQ3" t="str">
        <f t="shared" si="35"/>
        <v>High</v>
      </c>
      <c r="CJR3" t="str">
        <f t="shared" si="35"/>
        <v>Med</v>
      </c>
      <c r="CJS3" t="str">
        <f t="shared" si="35"/>
        <v>Med</v>
      </c>
      <c r="CJT3" t="str">
        <f t="shared" si="35"/>
        <v>High</v>
      </c>
      <c r="CJU3" t="str">
        <f t="shared" ref="CJU3:CMF3" si="36">IF(CJU2="","No Data",IF(CJU2&gt;=100000,"High",IF(CJU2&gt;=40000,"Med","Low")))</f>
        <v>High</v>
      </c>
      <c r="CJV3" t="str">
        <f t="shared" si="36"/>
        <v>High</v>
      </c>
      <c r="CJW3" t="str">
        <f t="shared" si="36"/>
        <v>High</v>
      </c>
      <c r="CJX3" t="str">
        <f t="shared" si="36"/>
        <v>No Data</v>
      </c>
      <c r="CJY3" t="str">
        <f t="shared" si="36"/>
        <v>Med</v>
      </c>
      <c r="CJZ3" t="str">
        <f t="shared" si="36"/>
        <v>Med</v>
      </c>
      <c r="CKA3" t="str">
        <f t="shared" si="36"/>
        <v>No Data</v>
      </c>
      <c r="CKB3" t="str">
        <f t="shared" si="36"/>
        <v>Med</v>
      </c>
      <c r="CKC3" t="str">
        <f t="shared" si="36"/>
        <v>Med</v>
      </c>
      <c r="CKD3" t="str">
        <f t="shared" si="36"/>
        <v>Med</v>
      </c>
      <c r="CKE3" t="str">
        <f t="shared" si="36"/>
        <v>High</v>
      </c>
      <c r="CKF3" t="str">
        <f t="shared" si="36"/>
        <v>High</v>
      </c>
      <c r="CKG3" t="str">
        <f t="shared" si="36"/>
        <v>Med</v>
      </c>
      <c r="CKH3" t="str">
        <f t="shared" si="36"/>
        <v>Med</v>
      </c>
      <c r="CKI3" t="str">
        <f t="shared" si="36"/>
        <v>High</v>
      </c>
      <c r="CKJ3" t="str">
        <f t="shared" si="36"/>
        <v>Med</v>
      </c>
      <c r="CKK3" t="str">
        <f t="shared" si="36"/>
        <v>Med</v>
      </c>
      <c r="CKL3" t="str">
        <f t="shared" si="36"/>
        <v>Med</v>
      </c>
      <c r="CKM3" t="str">
        <f t="shared" si="36"/>
        <v>Med</v>
      </c>
      <c r="CKN3" t="str">
        <f t="shared" si="36"/>
        <v>High</v>
      </c>
      <c r="CKO3" t="str">
        <f t="shared" si="36"/>
        <v>Med</v>
      </c>
      <c r="CKP3" t="str">
        <f t="shared" si="36"/>
        <v>High</v>
      </c>
      <c r="CKQ3" t="str">
        <f t="shared" si="36"/>
        <v>Med</v>
      </c>
      <c r="CKR3" t="str">
        <f t="shared" si="36"/>
        <v>High</v>
      </c>
      <c r="CKS3" t="str">
        <f t="shared" si="36"/>
        <v>Med</v>
      </c>
      <c r="CKT3" t="str">
        <f t="shared" si="36"/>
        <v>Med</v>
      </c>
      <c r="CKU3" t="str">
        <f t="shared" si="36"/>
        <v>High</v>
      </c>
      <c r="CKV3" t="str">
        <f t="shared" si="36"/>
        <v>High</v>
      </c>
      <c r="CKW3" t="str">
        <f t="shared" si="36"/>
        <v>No Data</v>
      </c>
      <c r="CKX3" t="str">
        <f t="shared" si="36"/>
        <v>High</v>
      </c>
      <c r="CKY3" t="str">
        <f t="shared" si="36"/>
        <v>No Data</v>
      </c>
      <c r="CKZ3" t="str">
        <f t="shared" si="36"/>
        <v>Med</v>
      </c>
      <c r="CLA3" t="str">
        <f t="shared" si="36"/>
        <v>Med</v>
      </c>
      <c r="CLB3" t="str">
        <f t="shared" si="36"/>
        <v>High</v>
      </c>
      <c r="CLC3" t="str">
        <f t="shared" si="36"/>
        <v>No Data</v>
      </c>
      <c r="CLD3" t="str">
        <f t="shared" si="36"/>
        <v>No Data</v>
      </c>
      <c r="CLE3" t="str">
        <f t="shared" si="36"/>
        <v>Med</v>
      </c>
      <c r="CLF3" t="str">
        <f t="shared" si="36"/>
        <v>No Data</v>
      </c>
      <c r="CLG3" t="str">
        <f t="shared" si="36"/>
        <v>Med</v>
      </c>
      <c r="CLH3" t="str">
        <f t="shared" si="36"/>
        <v>Med</v>
      </c>
      <c r="CLI3" t="str">
        <f t="shared" si="36"/>
        <v>Med</v>
      </c>
      <c r="CLJ3" t="str">
        <f t="shared" si="36"/>
        <v>High</v>
      </c>
      <c r="CLK3" t="str">
        <f t="shared" si="36"/>
        <v>Med</v>
      </c>
      <c r="CLL3" t="str">
        <f t="shared" si="36"/>
        <v>Med</v>
      </c>
      <c r="CLM3" t="str">
        <f t="shared" si="36"/>
        <v>Med</v>
      </c>
      <c r="CLN3" t="str">
        <f t="shared" si="36"/>
        <v>High</v>
      </c>
      <c r="CLO3" t="str">
        <f t="shared" si="36"/>
        <v>High</v>
      </c>
      <c r="CLP3" t="str">
        <f t="shared" si="36"/>
        <v>Med</v>
      </c>
      <c r="CLQ3" t="str">
        <f t="shared" si="36"/>
        <v>High</v>
      </c>
      <c r="CLR3" t="str">
        <f t="shared" si="36"/>
        <v>High</v>
      </c>
      <c r="CLS3" t="str">
        <f t="shared" si="36"/>
        <v>No Data</v>
      </c>
      <c r="CLT3" t="str">
        <f t="shared" si="36"/>
        <v>Med</v>
      </c>
      <c r="CLU3" t="str">
        <f t="shared" si="36"/>
        <v>Med</v>
      </c>
      <c r="CLV3" t="str">
        <f t="shared" si="36"/>
        <v>No Data</v>
      </c>
      <c r="CLW3" t="str">
        <f t="shared" si="36"/>
        <v>Med</v>
      </c>
      <c r="CLX3" t="str">
        <f t="shared" si="36"/>
        <v>Med</v>
      </c>
      <c r="CLY3" t="str">
        <f t="shared" si="36"/>
        <v>Med</v>
      </c>
      <c r="CLZ3" t="str">
        <f t="shared" si="36"/>
        <v>Med</v>
      </c>
      <c r="CMA3" t="str">
        <f t="shared" si="36"/>
        <v>No Data</v>
      </c>
      <c r="CMB3" t="str">
        <f t="shared" si="36"/>
        <v>Med</v>
      </c>
      <c r="CMC3" t="str">
        <f t="shared" si="36"/>
        <v>Med</v>
      </c>
      <c r="CMD3" t="str">
        <f t="shared" si="36"/>
        <v>Med</v>
      </c>
      <c r="CME3" t="str">
        <f t="shared" si="36"/>
        <v>Med</v>
      </c>
      <c r="CMF3" t="str">
        <f t="shared" si="36"/>
        <v>Med</v>
      </c>
      <c r="CMG3" t="str">
        <f t="shared" ref="CMG3:COR3" si="37">IF(CMG2="","No Data",IF(CMG2&gt;=100000,"High",IF(CMG2&gt;=40000,"Med","Low")))</f>
        <v>Med</v>
      </c>
      <c r="CMH3" t="str">
        <f t="shared" si="37"/>
        <v>Med</v>
      </c>
      <c r="CMI3" t="str">
        <f t="shared" si="37"/>
        <v>Med</v>
      </c>
      <c r="CMJ3" t="str">
        <f t="shared" si="37"/>
        <v>Med</v>
      </c>
      <c r="CMK3" t="str">
        <f t="shared" si="37"/>
        <v>Med</v>
      </c>
      <c r="CML3" t="str">
        <f t="shared" si="37"/>
        <v>Med</v>
      </c>
      <c r="CMM3" t="str">
        <f t="shared" si="37"/>
        <v>Med</v>
      </c>
      <c r="CMN3" t="str">
        <f t="shared" si="37"/>
        <v>Med</v>
      </c>
      <c r="CMO3" t="str">
        <f t="shared" si="37"/>
        <v>No Data</v>
      </c>
      <c r="CMP3" t="str">
        <f t="shared" si="37"/>
        <v>High</v>
      </c>
      <c r="CMQ3" t="str">
        <f t="shared" si="37"/>
        <v>Med</v>
      </c>
      <c r="CMR3" t="str">
        <f t="shared" si="37"/>
        <v>Med</v>
      </c>
      <c r="CMS3" t="str">
        <f t="shared" si="37"/>
        <v>Med</v>
      </c>
      <c r="CMT3" t="str">
        <f t="shared" si="37"/>
        <v>Med</v>
      </c>
      <c r="CMU3" t="str">
        <f t="shared" si="37"/>
        <v>Med</v>
      </c>
      <c r="CMV3" t="str">
        <f t="shared" si="37"/>
        <v>Med</v>
      </c>
      <c r="CMW3" t="str">
        <f t="shared" si="37"/>
        <v>Med</v>
      </c>
      <c r="CMX3" t="str">
        <f t="shared" si="37"/>
        <v>Med</v>
      </c>
      <c r="CMY3" t="str">
        <f t="shared" si="37"/>
        <v>High</v>
      </c>
      <c r="CMZ3" t="str">
        <f t="shared" si="37"/>
        <v>No Data</v>
      </c>
      <c r="CNA3" t="str">
        <f t="shared" si="37"/>
        <v>High</v>
      </c>
      <c r="CNB3" t="str">
        <f t="shared" si="37"/>
        <v>Med</v>
      </c>
      <c r="CNC3" t="str">
        <f t="shared" si="37"/>
        <v>Med</v>
      </c>
      <c r="CND3" t="str">
        <f t="shared" si="37"/>
        <v>High</v>
      </c>
      <c r="CNE3" t="str">
        <f t="shared" si="37"/>
        <v>High</v>
      </c>
      <c r="CNF3" t="str">
        <f t="shared" si="37"/>
        <v>High</v>
      </c>
      <c r="CNG3" t="str">
        <f t="shared" si="37"/>
        <v>High</v>
      </c>
      <c r="CNH3" t="str">
        <f t="shared" si="37"/>
        <v>High</v>
      </c>
      <c r="CNI3" t="str">
        <f t="shared" si="37"/>
        <v>Med</v>
      </c>
      <c r="CNJ3" t="str">
        <f t="shared" si="37"/>
        <v>Med</v>
      </c>
      <c r="CNK3" t="str">
        <f t="shared" si="37"/>
        <v>Med</v>
      </c>
      <c r="CNL3" t="str">
        <f t="shared" si="37"/>
        <v>High</v>
      </c>
      <c r="CNM3" t="str">
        <f t="shared" si="37"/>
        <v>Med</v>
      </c>
      <c r="CNN3" t="str">
        <f t="shared" si="37"/>
        <v>Med</v>
      </c>
      <c r="CNO3" t="str">
        <f t="shared" si="37"/>
        <v>High</v>
      </c>
      <c r="CNP3" t="str">
        <f t="shared" si="37"/>
        <v>High</v>
      </c>
      <c r="CNQ3" t="str">
        <f t="shared" si="37"/>
        <v>Med</v>
      </c>
      <c r="CNR3" t="str">
        <f t="shared" si="37"/>
        <v>Med</v>
      </c>
      <c r="CNS3" t="str">
        <f t="shared" si="37"/>
        <v>Med</v>
      </c>
      <c r="CNT3" t="str">
        <f t="shared" si="37"/>
        <v>No Data</v>
      </c>
      <c r="CNU3" t="str">
        <f t="shared" si="37"/>
        <v>Med</v>
      </c>
      <c r="CNV3" t="str">
        <f t="shared" si="37"/>
        <v>High</v>
      </c>
      <c r="CNW3" t="str">
        <f t="shared" si="37"/>
        <v>Med</v>
      </c>
      <c r="CNX3" t="str">
        <f t="shared" si="37"/>
        <v>High</v>
      </c>
      <c r="CNY3" t="str">
        <f t="shared" si="37"/>
        <v>High</v>
      </c>
      <c r="CNZ3" t="str">
        <f t="shared" si="37"/>
        <v>Med</v>
      </c>
      <c r="COA3" t="str">
        <f t="shared" si="37"/>
        <v>Med</v>
      </c>
      <c r="COB3" t="str">
        <f t="shared" si="37"/>
        <v>Med</v>
      </c>
      <c r="COC3" t="str">
        <f t="shared" si="37"/>
        <v>Med</v>
      </c>
      <c r="COD3" t="str">
        <f t="shared" si="37"/>
        <v>High</v>
      </c>
      <c r="COE3" t="str">
        <f t="shared" si="37"/>
        <v>Med</v>
      </c>
      <c r="COF3" t="str">
        <f t="shared" si="37"/>
        <v>High</v>
      </c>
      <c r="COG3" t="str">
        <f t="shared" si="37"/>
        <v>Med</v>
      </c>
      <c r="COH3" t="str">
        <f t="shared" si="37"/>
        <v>Med</v>
      </c>
      <c r="COI3" t="str">
        <f t="shared" si="37"/>
        <v>No Data</v>
      </c>
      <c r="COJ3" t="str">
        <f t="shared" si="37"/>
        <v>Med</v>
      </c>
      <c r="COK3" t="str">
        <f t="shared" si="37"/>
        <v>Med</v>
      </c>
      <c r="COL3" t="str">
        <f t="shared" si="37"/>
        <v>Med</v>
      </c>
      <c r="COM3" t="str">
        <f t="shared" si="37"/>
        <v>Med</v>
      </c>
      <c r="CON3" t="str">
        <f t="shared" si="37"/>
        <v>High</v>
      </c>
      <c r="COO3" t="str">
        <f t="shared" si="37"/>
        <v>High</v>
      </c>
      <c r="COP3" t="str">
        <f t="shared" si="37"/>
        <v>No Data</v>
      </c>
      <c r="COQ3" t="str">
        <f t="shared" si="37"/>
        <v>Med</v>
      </c>
      <c r="COR3" t="str">
        <f t="shared" si="37"/>
        <v>Med</v>
      </c>
      <c r="COS3" t="str">
        <f t="shared" ref="COS3:CRD3" si="38">IF(COS2="","No Data",IF(COS2&gt;=100000,"High",IF(COS2&gt;=40000,"Med","Low")))</f>
        <v>Med</v>
      </c>
      <c r="COT3" t="str">
        <f t="shared" si="38"/>
        <v>Med</v>
      </c>
      <c r="COU3" t="str">
        <f t="shared" si="38"/>
        <v>Med</v>
      </c>
      <c r="COV3" t="str">
        <f t="shared" si="38"/>
        <v>Med</v>
      </c>
      <c r="COW3" t="str">
        <f t="shared" si="38"/>
        <v>Med</v>
      </c>
      <c r="COX3" t="str">
        <f t="shared" si="38"/>
        <v>Med</v>
      </c>
      <c r="COY3" t="str">
        <f t="shared" si="38"/>
        <v>Med</v>
      </c>
      <c r="COZ3" t="str">
        <f t="shared" si="38"/>
        <v>High</v>
      </c>
      <c r="CPA3" t="str">
        <f t="shared" si="38"/>
        <v>Med</v>
      </c>
      <c r="CPB3" t="str">
        <f t="shared" si="38"/>
        <v>Med</v>
      </c>
      <c r="CPC3" t="str">
        <f t="shared" si="38"/>
        <v>Med</v>
      </c>
      <c r="CPD3" t="str">
        <f t="shared" si="38"/>
        <v>Med</v>
      </c>
      <c r="CPE3" t="str">
        <f t="shared" si="38"/>
        <v>Low</v>
      </c>
      <c r="CPF3" t="str">
        <f t="shared" si="38"/>
        <v>Med</v>
      </c>
      <c r="CPG3" t="str">
        <f t="shared" si="38"/>
        <v>Med</v>
      </c>
      <c r="CPH3" t="str">
        <f t="shared" si="38"/>
        <v>High</v>
      </c>
      <c r="CPI3" t="str">
        <f t="shared" si="38"/>
        <v>High</v>
      </c>
      <c r="CPJ3" t="str">
        <f t="shared" si="38"/>
        <v>Med</v>
      </c>
      <c r="CPK3" t="str">
        <f t="shared" si="38"/>
        <v>Med</v>
      </c>
      <c r="CPL3" t="str">
        <f t="shared" si="38"/>
        <v>Med</v>
      </c>
      <c r="CPM3" t="str">
        <f t="shared" si="38"/>
        <v>Med</v>
      </c>
      <c r="CPN3" t="str">
        <f t="shared" si="38"/>
        <v>Med</v>
      </c>
      <c r="CPO3" t="str">
        <f t="shared" si="38"/>
        <v>High</v>
      </c>
      <c r="CPP3" t="str">
        <f t="shared" si="38"/>
        <v>Med</v>
      </c>
      <c r="CPQ3" t="str">
        <f t="shared" si="38"/>
        <v>High</v>
      </c>
      <c r="CPR3" t="str">
        <f t="shared" si="38"/>
        <v>Med</v>
      </c>
      <c r="CPS3" t="str">
        <f t="shared" si="38"/>
        <v>Med</v>
      </c>
      <c r="CPT3" t="str">
        <f t="shared" si="38"/>
        <v>Med</v>
      </c>
      <c r="CPU3" t="str">
        <f t="shared" si="38"/>
        <v>High</v>
      </c>
      <c r="CPV3" t="str">
        <f t="shared" si="38"/>
        <v>Med</v>
      </c>
      <c r="CPW3" t="str">
        <f t="shared" si="38"/>
        <v>No Data</v>
      </c>
      <c r="CPX3" t="str">
        <f t="shared" si="38"/>
        <v>Med</v>
      </c>
      <c r="CPY3" t="str">
        <f t="shared" si="38"/>
        <v>Med</v>
      </c>
      <c r="CPZ3" t="str">
        <f t="shared" si="38"/>
        <v>Med</v>
      </c>
      <c r="CQA3" t="str">
        <f t="shared" si="38"/>
        <v>Med</v>
      </c>
      <c r="CQB3" t="str">
        <f t="shared" si="38"/>
        <v>High</v>
      </c>
      <c r="CQC3" t="str">
        <f t="shared" si="38"/>
        <v>Med</v>
      </c>
      <c r="CQD3" t="str">
        <f t="shared" si="38"/>
        <v>Med</v>
      </c>
      <c r="CQE3" t="str">
        <f t="shared" si="38"/>
        <v>Med</v>
      </c>
      <c r="CQF3" t="str">
        <f t="shared" si="38"/>
        <v>High</v>
      </c>
      <c r="CQG3" t="str">
        <f t="shared" si="38"/>
        <v>High</v>
      </c>
      <c r="CQH3" t="str">
        <f t="shared" si="38"/>
        <v>Med</v>
      </c>
      <c r="CQI3" t="str">
        <f t="shared" si="38"/>
        <v>High</v>
      </c>
      <c r="CQJ3" t="str">
        <f t="shared" si="38"/>
        <v>Med</v>
      </c>
      <c r="CQK3" t="str">
        <f t="shared" si="38"/>
        <v>Med</v>
      </c>
      <c r="CQL3" t="str">
        <f t="shared" si="38"/>
        <v>Med</v>
      </c>
      <c r="CQM3" t="str">
        <f t="shared" si="38"/>
        <v>High</v>
      </c>
      <c r="CQN3" t="str">
        <f t="shared" si="38"/>
        <v>High</v>
      </c>
      <c r="CQO3" t="str">
        <f t="shared" si="38"/>
        <v>High</v>
      </c>
      <c r="CQP3" t="str">
        <f t="shared" si="38"/>
        <v>High</v>
      </c>
      <c r="CQQ3" t="str">
        <f t="shared" si="38"/>
        <v>Med</v>
      </c>
      <c r="CQR3" t="str">
        <f t="shared" si="38"/>
        <v>Med</v>
      </c>
      <c r="CQS3" t="str">
        <f t="shared" si="38"/>
        <v>High</v>
      </c>
      <c r="CQT3" t="str">
        <f t="shared" si="38"/>
        <v>Med</v>
      </c>
      <c r="CQU3" t="str">
        <f t="shared" si="38"/>
        <v>High</v>
      </c>
      <c r="CQV3" t="str">
        <f t="shared" si="38"/>
        <v>Med</v>
      </c>
      <c r="CQW3" t="str">
        <f t="shared" si="38"/>
        <v>High</v>
      </c>
      <c r="CQX3" t="str">
        <f t="shared" si="38"/>
        <v>High</v>
      </c>
      <c r="CQY3" t="str">
        <f t="shared" si="38"/>
        <v>No Data</v>
      </c>
      <c r="CQZ3" t="str">
        <f t="shared" si="38"/>
        <v>Med</v>
      </c>
      <c r="CRA3" t="str">
        <f t="shared" si="38"/>
        <v>High</v>
      </c>
      <c r="CRB3" t="str">
        <f t="shared" si="38"/>
        <v>Med</v>
      </c>
      <c r="CRC3" t="str">
        <f t="shared" si="38"/>
        <v>High</v>
      </c>
      <c r="CRD3" t="str">
        <f t="shared" si="38"/>
        <v>High</v>
      </c>
      <c r="CRE3" t="str">
        <f t="shared" ref="CRE3:CTP3" si="39">IF(CRE2="","No Data",IF(CRE2&gt;=100000,"High",IF(CRE2&gt;=40000,"Med","Low")))</f>
        <v>No Data</v>
      </c>
      <c r="CRF3" t="str">
        <f t="shared" si="39"/>
        <v>Med</v>
      </c>
      <c r="CRG3" t="str">
        <f t="shared" si="39"/>
        <v>Med</v>
      </c>
      <c r="CRH3" t="str">
        <f t="shared" si="39"/>
        <v>Med</v>
      </c>
      <c r="CRI3" t="str">
        <f t="shared" si="39"/>
        <v>High</v>
      </c>
      <c r="CRJ3" t="str">
        <f t="shared" si="39"/>
        <v>Low</v>
      </c>
      <c r="CRK3" t="str">
        <f t="shared" si="39"/>
        <v>No Data</v>
      </c>
      <c r="CRL3" t="str">
        <f t="shared" si="39"/>
        <v>No Data</v>
      </c>
      <c r="CRM3" t="str">
        <f t="shared" si="39"/>
        <v>Med</v>
      </c>
      <c r="CRN3" t="str">
        <f t="shared" si="39"/>
        <v>High</v>
      </c>
      <c r="CRO3" t="str">
        <f t="shared" si="39"/>
        <v>Med</v>
      </c>
      <c r="CRP3" t="str">
        <f t="shared" si="39"/>
        <v>No Data</v>
      </c>
      <c r="CRQ3" t="str">
        <f t="shared" si="39"/>
        <v>Med</v>
      </c>
      <c r="CRR3" t="str">
        <f t="shared" si="39"/>
        <v>Med</v>
      </c>
      <c r="CRS3" t="str">
        <f t="shared" si="39"/>
        <v>Med</v>
      </c>
      <c r="CRT3" t="str">
        <f t="shared" si="39"/>
        <v>Med</v>
      </c>
      <c r="CRU3" t="str">
        <f t="shared" si="39"/>
        <v>Med</v>
      </c>
      <c r="CRV3" t="str">
        <f t="shared" si="39"/>
        <v>High</v>
      </c>
      <c r="CRW3" t="str">
        <f t="shared" si="39"/>
        <v>High</v>
      </c>
      <c r="CRX3" t="str">
        <f t="shared" si="39"/>
        <v>High</v>
      </c>
      <c r="CRY3" t="str">
        <f t="shared" si="39"/>
        <v>Med</v>
      </c>
      <c r="CRZ3" t="str">
        <f t="shared" si="39"/>
        <v>Med</v>
      </c>
      <c r="CSA3" t="str">
        <f t="shared" si="39"/>
        <v>Med</v>
      </c>
      <c r="CSB3" t="str">
        <f t="shared" si="39"/>
        <v>Med</v>
      </c>
      <c r="CSC3" t="str">
        <f t="shared" si="39"/>
        <v>Med</v>
      </c>
      <c r="CSD3" t="str">
        <f t="shared" si="39"/>
        <v>Med</v>
      </c>
      <c r="CSE3" t="str">
        <f t="shared" si="39"/>
        <v>Med</v>
      </c>
      <c r="CSF3" t="str">
        <f t="shared" si="39"/>
        <v>High</v>
      </c>
      <c r="CSG3" t="str">
        <f t="shared" si="39"/>
        <v>Med</v>
      </c>
      <c r="CSH3" t="str">
        <f t="shared" si="39"/>
        <v>Med</v>
      </c>
      <c r="CSI3" t="str">
        <f t="shared" si="39"/>
        <v>High</v>
      </c>
      <c r="CSJ3" t="str">
        <f t="shared" si="39"/>
        <v>Med</v>
      </c>
      <c r="CSK3" t="str">
        <f t="shared" si="39"/>
        <v>Med</v>
      </c>
      <c r="CSL3" t="str">
        <f t="shared" si="39"/>
        <v>High</v>
      </c>
      <c r="CSM3" t="str">
        <f t="shared" si="39"/>
        <v>Med</v>
      </c>
      <c r="CSN3" t="str">
        <f t="shared" si="39"/>
        <v>Med</v>
      </c>
      <c r="CSO3" t="str">
        <f t="shared" si="39"/>
        <v>High</v>
      </c>
      <c r="CSP3" t="str">
        <f t="shared" si="39"/>
        <v>Med</v>
      </c>
      <c r="CSQ3" t="str">
        <f t="shared" si="39"/>
        <v>Med</v>
      </c>
      <c r="CSR3" t="str">
        <f t="shared" si="39"/>
        <v>No Data</v>
      </c>
      <c r="CSS3" t="str">
        <f t="shared" si="39"/>
        <v>Low</v>
      </c>
      <c r="CST3" t="str">
        <f t="shared" si="39"/>
        <v>Med</v>
      </c>
      <c r="CSU3" t="str">
        <f t="shared" si="39"/>
        <v>No Data</v>
      </c>
      <c r="CSV3" t="str">
        <f t="shared" si="39"/>
        <v>Med</v>
      </c>
      <c r="CSW3" t="str">
        <f t="shared" si="39"/>
        <v>No Data</v>
      </c>
      <c r="CSX3" t="str">
        <f t="shared" si="39"/>
        <v>High</v>
      </c>
      <c r="CSY3" t="str">
        <f t="shared" si="39"/>
        <v>High</v>
      </c>
      <c r="CSZ3" t="str">
        <f t="shared" si="39"/>
        <v>Med</v>
      </c>
      <c r="CTA3" t="str">
        <f t="shared" si="39"/>
        <v>Med</v>
      </c>
      <c r="CTB3" t="str">
        <f t="shared" si="39"/>
        <v>Med</v>
      </c>
      <c r="CTC3" t="str">
        <f t="shared" si="39"/>
        <v>Med</v>
      </c>
      <c r="CTD3" t="str">
        <f t="shared" si="39"/>
        <v>High</v>
      </c>
      <c r="CTE3" t="str">
        <f t="shared" si="39"/>
        <v>Med</v>
      </c>
      <c r="CTF3" t="str">
        <f t="shared" si="39"/>
        <v>Med</v>
      </c>
      <c r="CTG3" t="str">
        <f t="shared" si="39"/>
        <v>Med</v>
      </c>
      <c r="CTH3" t="str">
        <f t="shared" si="39"/>
        <v>Med</v>
      </c>
      <c r="CTI3" t="str">
        <f t="shared" si="39"/>
        <v>High</v>
      </c>
      <c r="CTJ3" t="str">
        <f t="shared" si="39"/>
        <v>High</v>
      </c>
      <c r="CTK3" t="str">
        <f t="shared" si="39"/>
        <v>Med</v>
      </c>
      <c r="CTL3" t="str">
        <f t="shared" si="39"/>
        <v>Med</v>
      </c>
      <c r="CTM3" t="str">
        <f t="shared" si="39"/>
        <v>Med</v>
      </c>
      <c r="CTN3" t="str">
        <f t="shared" si="39"/>
        <v>Med</v>
      </c>
      <c r="CTO3" t="str">
        <f t="shared" si="39"/>
        <v>High</v>
      </c>
      <c r="CTP3" t="str">
        <f t="shared" si="39"/>
        <v>Med</v>
      </c>
      <c r="CTQ3" t="str">
        <f t="shared" ref="CTQ3:CWB3" si="40">IF(CTQ2="","No Data",IF(CTQ2&gt;=100000,"High",IF(CTQ2&gt;=40000,"Med","Low")))</f>
        <v>High</v>
      </c>
      <c r="CTR3" t="str">
        <f t="shared" si="40"/>
        <v>Med</v>
      </c>
      <c r="CTS3" t="str">
        <f t="shared" si="40"/>
        <v>Low</v>
      </c>
      <c r="CTT3" t="str">
        <f t="shared" si="40"/>
        <v>Med</v>
      </c>
      <c r="CTU3" t="str">
        <f t="shared" si="40"/>
        <v>Med</v>
      </c>
      <c r="CTV3" t="str">
        <f t="shared" si="40"/>
        <v>No Data</v>
      </c>
      <c r="CTW3" t="str">
        <f t="shared" si="40"/>
        <v>No Data</v>
      </c>
      <c r="CTX3" t="str">
        <f t="shared" si="40"/>
        <v>No Data</v>
      </c>
      <c r="CTY3" t="str">
        <f t="shared" si="40"/>
        <v>Low</v>
      </c>
      <c r="CTZ3" t="str">
        <f t="shared" si="40"/>
        <v>Med</v>
      </c>
      <c r="CUA3" t="str">
        <f t="shared" si="40"/>
        <v>Med</v>
      </c>
      <c r="CUB3" t="str">
        <f t="shared" si="40"/>
        <v>No Data</v>
      </c>
      <c r="CUC3" t="str">
        <f t="shared" si="40"/>
        <v>Med</v>
      </c>
      <c r="CUD3" t="str">
        <f t="shared" si="40"/>
        <v>Med</v>
      </c>
      <c r="CUE3" t="str">
        <f t="shared" si="40"/>
        <v>Med</v>
      </c>
      <c r="CUF3" t="str">
        <f t="shared" si="40"/>
        <v>No Data</v>
      </c>
      <c r="CUG3" t="str">
        <f t="shared" si="40"/>
        <v>Med</v>
      </c>
      <c r="CUH3" t="str">
        <f t="shared" si="40"/>
        <v>Low</v>
      </c>
      <c r="CUI3" t="str">
        <f t="shared" si="40"/>
        <v>Med</v>
      </c>
      <c r="CUJ3" t="str">
        <f t="shared" si="40"/>
        <v>Med</v>
      </c>
      <c r="CUK3" t="str">
        <f t="shared" si="40"/>
        <v>Med</v>
      </c>
      <c r="CUL3" t="str">
        <f t="shared" si="40"/>
        <v>Med</v>
      </c>
      <c r="CUM3" t="str">
        <f t="shared" si="40"/>
        <v>Med</v>
      </c>
      <c r="CUN3" t="str">
        <f t="shared" si="40"/>
        <v>Med</v>
      </c>
      <c r="CUO3" t="str">
        <f t="shared" si="40"/>
        <v>No Data</v>
      </c>
      <c r="CUP3" t="str">
        <f t="shared" si="40"/>
        <v>Low</v>
      </c>
      <c r="CUQ3" t="str">
        <f t="shared" si="40"/>
        <v>High</v>
      </c>
      <c r="CUR3" t="str">
        <f t="shared" si="40"/>
        <v>High</v>
      </c>
      <c r="CUS3" t="str">
        <f t="shared" si="40"/>
        <v>High</v>
      </c>
      <c r="CUT3" t="str">
        <f t="shared" si="40"/>
        <v>Med</v>
      </c>
      <c r="CUU3" t="str">
        <f t="shared" si="40"/>
        <v>High</v>
      </c>
      <c r="CUV3" t="str">
        <f t="shared" si="40"/>
        <v>High</v>
      </c>
      <c r="CUW3" t="str">
        <f t="shared" si="40"/>
        <v>Med</v>
      </c>
      <c r="CUX3" t="str">
        <f t="shared" si="40"/>
        <v>Med</v>
      </c>
      <c r="CUY3" t="str">
        <f t="shared" si="40"/>
        <v>Low</v>
      </c>
      <c r="CUZ3" t="str">
        <f t="shared" si="40"/>
        <v>No Data</v>
      </c>
      <c r="CVA3" t="str">
        <f t="shared" si="40"/>
        <v>Med</v>
      </c>
      <c r="CVB3" t="str">
        <f t="shared" si="40"/>
        <v>Med</v>
      </c>
      <c r="CVC3" t="str">
        <f t="shared" si="40"/>
        <v>Med</v>
      </c>
      <c r="CVD3" t="str">
        <f t="shared" si="40"/>
        <v>Med</v>
      </c>
      <c r="CVE3" t="str">
        <f t="shared" si="40"/>
        <v>Med</v>
      </c>
      <c r="CVF3" t="str">
        <f t="shared" si="40"/>
        <v>Med</v>
      </c>
      <c r="CVG3" t="str">
        <f t="shared" si="40"/>
        <v>High</v>
      </c>
      <c r="CVH3" t="str">
        <f t="shared" si="40"/>
        <v>High</v>
      </c>
      <c r="CVI3" t="str">
        <f t="shared" si="40"/>
        <v>No Data</v>
      </c>
      <c r="CVJ3" t="str">
        <f t="shared" si="40"/>
        <v>No Data</v>
      </c>
      <c r="CVK3" t="str">
        <f t="shared" si="40"/>
        <v>No Data</v>
      </c>
      <c r="CVL3" t="str">
        <f t="shared" si="40"/>
        <v>Med</v>
      </c>
      <c r="CVM3" t="str">
        <f t="shared" si="40"/>
        <v>Med</v>
      </c>
      <c r="CVN3" t="str">
        <f t="shared" si="40"/>
        <v>Med</v>
      </c>
      <c r="CVO3" t="str">
        <f t="shared" si="40"/>
        <v>Med</v>
      </c>
      <c r="CVP3" t="str">
        <f t="shared" si="40"/>
        <v>Med</v>
      </c>
      <c r="CVQ3" t="str">
        <f t="shared" si="40"/>
        <v>Med</v>
      </c>
      <c r="CVR3" t="str">
        <f t="shared" si="40"/>
        <v>Med</v>
      </c>
      <c r="CVS3" t="str">
        <f t="shared" si="40"/>
        <v>Med</v>
      </c>
      <c r="CVT3" t="str">
        <f t="shared" si="40"/>
        <v>Med</v>
      </c>
      <c r="CVU3" t="str">
        <f t="shared" si="40"/>
        <v>Med</v>
      </c>
      <c r="CVV3" t="str">
        <f t="shared" si="40"/>
        <v>High</v>
      </c>
      <c r="CVW3" t="str">
        <f t="shared" si="40"/>
        <v>Med</v>
      </c>
      <c r="CVX3" t="str">
        <f t="shared" si="40"/>
        <v>Med</v>
      </c>
      <c r="CVY3" t="str">
        <f t="shared" si="40"/>
        <v>Med</v>
      </c>
      <c r="CVZ3" t="str">
        <f t="shared" si="40"/>
        <v>Med</v>
      </c>
      <c r="CWA3" t="str">
        <f t="shared" si="40"/>
        <v>Med</v>
      </c>
      <c r="CWB3" t="str">
        <f t="shared" si="40"/>
        <v>Med</v>
      </c>
      <c r="CWC3" t="str">
        <f t="shared" ref="CWC3:CYN3" si="41">IF(CWC2="","No Data",IF(CWC2&gt;=100000,"High",IF(CWC2&gt;=40000,"Med","Low")))</f>
        <v>Med</v>
      </c>
      <c r="CWD3" t="str">
        <f t="shared" si="41"/>
        <v>Low</v>
      </c>
      <c r="CWE3" t="str">
        <f t="shared" si="41"/>
        <v>No Data</v>
      </c>
      <c r="CWF3" t="str">
        <f t="shared" si="41"/>
        <v>Med</v>
      </c>
      <c r="CWG3" t="str">
        <f t="shared" si="41"/>
        <v>Med</v>
      </c>
      <c r="CWH3" t="str">
        <f t="shared" si="41"/>
        <v>Med</v>
      </c>
      <c r="CWI3" t="str">
        <f t="shared" si="41"/>
        <v>Med</v>
      </c>
      <c r="CWJ3" t="str">
        <f t="shared" si="41"/>
        <v>Med</v>
      </c>
      <c r="CWK3" t="str">
        <f t="shared" si="41"/>
        <v>Med</v>
      </c>
      <c r="CWL3" t="str">
        <f t="shared" si="41"/>
        <v>Med</v>
      </c>
      <c r="CWM3" t="str">
        <f t="shared" si="41"/>
        <v>Med</v>
      </c>
      <c r="CWN3" t="str">
        <f t="shared" si="41"/>
        <v>Med</v>
      </c>
      <c r="CWO3" t="str">
        <f t="shared" si="41"/>
        <v>Med</v>
      </c>
      <c r="CWP3" t="str">
        <f t="shared" si="41"/>
        <v>High</v>
      </c>
      <c r="CWQ3" t="str">
        <f t="shared" si="41"/>
        <v>Med</v>
      </c>
      <c r="CWR3" t="str">
        <f t="shared" si="41"/>
        <v>Med</v>
      </c>
      <c r="CWS3" t="str">
        <f t="shared" si="41"/>
        <v>Med</v>
      </c>
      <c r="CWT3" t="str">
        <f t="shared" si="41"/>
        <v>Med</v>
      </c>
      <c r="CWU3" t="str">
        <f t="shared" si="41"/>
        <v>No Data</v>
      </c>
      <c r="CWV3" t="str">
        <f t="shared" si="41"/>
        <v>No Data</v>
      </c>
      <c r="CWW3" t="str">
        <f t="shared" si="41"/>
        <v>Med</v>
      </c>
      <c r="CWX3" t="str">
        <f t="shared" si="41"/>
        <v>No Data</v>
      </c>
      <c r="CWY3" t="str">
        <f t="shared" si="41"/>
        <v>Med</v>
      </c>
      <c r="CWZ3" t="str">
        <f t="shared" si="41"/>
        <v>No Data</v>
      </c>
      <c r="CXA3" t="str">
        <f t="shared" si="41"/>
        <v>High</v>
      </c>
      <c r="CXB3" t="str">
        <f t="shared" si="41"/>
        <v>High</v>
      </c>
      <c r="CXC3" t="str">
        <f t="shared" si="41"/>
        <v>High</v>
      </c>
      <c r="CXD3" t="str">
        <f t="shared" si="41"/>
        <v>Med</v>
      </c>
      <c r="CXE3" t="str">
        <f t="shared" si="41"/>
        <v>Med</v>
      </c>
      <c r="CXF3" t="str">
        <f t="shared" si="41"/>
        <v>Med</v>
      </c>
      <c r="CXG3" t="str">
        <f t="shared" si="41"/>
        <v>Med</v>
      </c>
      <c r="CXH3" t="str">
        <f t="shared" si="41"/>
        <v>Med</v>
      </c>
      <c r="CXI3" t="str">
        <f t="shared" si="41"/>
        <v>No Data</v>
      </c>
      <c r="CXJ3" t="str">
        <f t="shared" si="41"/>
        <v>No Data</v>
      </c>
      <c r="CXK3" t="str">
        <f t="shared" si="41"/>
        <v>Med</v>
      </c>
      <c r="CXL3" t="str">
        <f t="shared" si="41"/>
        <v>Med</v>
      </c>
      <c r="CXM3" t="str">
        <f t="shared" si="41"/>
        <v>Med</v>
      </c>
      <c r="CXN3" t="str">
        <f t="shared" si="41"/>
        <v>Med</v>
      </c>
      <c r="CXO3" t="str">
        <f t="shared" si="41"/>
        <v>Med</v>
      </c>
      <c r="CXP3" t="str">
        <f t="shared" si="41"/>
        <v>Med</v>
      </c>
      <c r="CXQ3" t="str">
        <f t="shared" si="41"/>
        <v>Med</v>
      </c>
      <c r="CXR3" t="str">
        <f t="shared" si="41"/>
        <v>Med</v>
      </c>
      <c r="CXS3" t="str">
        <f t="shared" si="41"/>
        <v>High</v>
      </c>
      <c r="CXT3" t="str">
        <f t="shared" si="41"/>
        <v>Med</v>
      </c>
      <c r="CXU3" t="str">
        <f t="shared" si="41"/>
        <v>High</v>
      </c>
      <c r="CXV3" t="str">
        <f t="shared" si="41"/>
        <v>Med</v>
      </c>
      <c r="CXW3" t="str">
        <f t="shared" si="41"/>
        <v>Med</v>
      </c>
      <c r="CXX3" t="str">
        <f t="shared" si="41"/>
        <v>High</v>
      </c>
      <c r="CXY3" t="str">
        <f t="shared" si="41"/>
        <v>Med</v>
      </c>
      <c r="CXZ3" t="str">
        <f t="shared" si="41"/>
        <v>High</v>
      </c>
      <c r="CYA3" t="str">
        <f t="shared" si="41"/>
        <v>Med</v>
      </c>
      <c r="CYB3" t="str">
        <f t="shared" si="41"/>
        <v>Med</v>
      </c>
      <c r="CYC3" t="str">
        <f t="shared" si="41"/>
        <v>Med</v>
      </c>
      <c r="CYD3" t="str">
        <f t="shared" si="41"/>
        <v>Med</v>
      </c>
      <c r="CYE3" t="str">
        <f t="shared" si="41"/>
        <v>Med</v>
      </c>
      <c r="CYF3" t="str">
        <f t="shared" si="41"/>
        <v>Low</v>
      </c>
      <c r="CYG3" t="str">
        <f t="shared" si="41"/>
        <v>Med</v>
      </c>
      <c r="CYH3" t="str">
        <f t="shared" si="41"/>
        <v>Med</v>
      </c>
      <c r="CYI3" t="str">
        <f t="shared" si="41"/>
        <v>Med</v>
      </c>
      <c r="CYJ3" t="str">
        <f t="shared" si="41"/>
        <v>Med</v>
      </c>
      <c r="CYK3" t="str">
        <f t="shared" si="41"/>
        <v>Med</v>
      </c>
      <c r="CYL3" t="str">
        <f t="shared" si="41"/>
        <v>Med</v>
      </c>
      <c r="CYM3" t="str">
        <f t="shared" si="41"/>
        <v>Med</v>
      </c>
      <c r="CYN3" t="str">
        <f t="shared" si="41"/>
        <v>Med</v>
      </c>
      <c r="CYO3" t="str">
        <f t="shared" ref="CYO3:DAZ3" si="42">IF(CYO2="","No Data",IF(CYO2&gt;=100000,"High",IF(CYO2&gt;=40000,"Med","Low")))</f>
        <v>Med</v>
      </c>
      <c r="CYP3" t="str">
        <f t="shared" si="42"/>
        <v>Med</v>
      </c>
      <c r="CYQ3" t="str">
        <f t="shared" si="42"/>
        <v>Med</v>
      </c>
      <c r="CYR3" t="str">
        <f t="shared" si="42"/>
        <v>No Data</v>
      </c>
      <c r="CYS3" t="str">
        <f t="shared" si="42"/>
        <v>Med</v>
      </c>
      <c r="CYT3" t="str">
        <f t="shared" si="42"/>
        <v>Med</v>
      </c>
      <c r="CYU3" t="str">
        <f t="shared" si="42"/>
        <v>Med</v>
      </c>
      <c r="CYV3" t="str">
        <f t="shared" si="42"/>
        <v>Med</v>
      </c>
      <c r="CYW3" t="str">
        <f t="shared" si="42"/>
        <v>Med</v>
      </c>
      <c r="CYX3" t="str">
        <f t="shared" si="42"/>
        <v>Med</v>
      </c>
      <c r="CYY3" t="str">
        <f t="shared" si="42"/>
        <v>Med</v>
      </c>
      <c r="CYZ3" t="str">
        <f t="shared" si="42"/>
        <v>Med</v>
      </c>
      <c r="CZA3" t="str">
        <f t="shared" si="42"/>
        <v>Med</v>
      </c>
      <c r="CZB3" t="str">
        <f t="shared" si="42"/>
        <v>No Data</v>
      </c>
      <c r="CZC3" t="str">
        <f t="shared" si="42"/>
        <v>Med</v>
      </c>
      <c r="CZD3" t="str">
        <f t="shared" si="42"/>
        <v>Med</v>
      </c>
      <c r="CZE3" t="str">
        <f t="shared" si="42"/>
        <v>Med</v>
      </c>
      <c r="CZF3" t="str">
        <f t="shared" si="42"/>
        <v>Med</v>
      </c>
      <c r="CZG3" t="str">
        <f t="shared" si="42"/>
        <v>Med</v>
      </c>
      <c r="CZH3" t="str">
        <f t="shared" si="42"/>
        <v>No Data</v>
      </c>
      <c r="CZI3" t="str">
        <f t="shared" si="42"/>
        <v>Med</v>
      </c>
      <c r="CZJ3" t="str">
        <f t="shared" si="42"/>
        <v>Med</v>
      </c>
      <c r="CZK3" t="str">
        <f t="shared" si="42"/>
        <v>Med</v>
      </c>
      <c r="CZL3" t="str">
        <f t="shared" si="42"/>
        <v>Med</v>
      </c>
      <c r="CZM3" t="str">
        <f t="shared" si="42"/>
        <v>Med</v>
      </c>
      <c r="CZN3" t="str">
        <f t="shared" si="42"/>
        <v>Med</v>
      </c>
      <c r="CZO3" t="str">
        <f t="shared" si="42"/>
        <v>No Data</v>
      </c>
      <c r="CZP3" t="str">
        <f t="shared" si="42"/>
        <v>Med</v>
      </c>
      <c r="CZQ3" t="str">
        <f t="shared" si="42"/>
        <v>Med</v>
      </c>
      <c r="CZR3" t="str">
        <f t="shared" si="42"/>
        <v>Med</v>
      </c>
      <c r="CZS3" t="str">
        <f t="shared" si="42"/>
        <v>Med</v>
      </c>
      <c r="CZT3" t="str">
        <f t="shared" si="42"/>
        <v>Med</v>
      </c>
      <c r="CZU3" t="str">
        <f t="shared" si="42"/>
        <v>Med</v>
      </c>
      <c r="CZV3" t="str">
        <f t="shared" si="42"/>
        <v>Med</v>
      </c>
      <c r="CZW3" t="str">
        <f t="shared" si="42"/>
        <v>Med</v>
      </c>
      <c r="CZX3" t="str">
        <f t="shared" si="42"/>
        <v>Med</v>
      </c>
      <c r="CZY3" t="str">
        <f t="shared" si="42"/>
        <v>Med</v>
      </c>
      <c r="CZZ3" t="str">
        <f t="shared" si="42"/>
        <v>High</v>
      </c>
      <c r="DAA3" t="str">
        <f t="shared" si="42"/>
        <v>Med</v>
      </c>
      <c r="DAB3" t="str">
        <f t="shared" si="42"/>
        <v>Low</v>
      </c>
      <c r="DAC3" t="str">
        <f t="shared" si="42"/>
        <v>Med</v>
      </c>
      <c r="DAD3" t="str">
        <f t="shared" si="42"/>
        <v>Med</v>
      </c>
      <c r="DAE3" t="str">
        <f t="shared" si="42"/>
        <v>No Data</v>
      </c>
      <c r="DAF3" t="str">
        <f t="shared" si="42"/>
        <v>Med</v>
      </c>
      <c r="DAG3" t="str">
        <f t="shared" si="42"/>
        <v>Med</v>
      </c>
      <c r="DAH3" t="str">
        <f t="shared" si="42"/>
        <v>Med</v>
      </c>
      <c r="DAI3" t="str">
        <f t="shared" si="42"/>
        <v>No Data</v>
      </c>
      <c r="DAJ3" t="str">
        <f t="shared" si="42"/>
        <v>Med</v>
      </c>
      <c r="DAK3" t="str">
        <f t="shared" si="42"/>
        <v>No Data</v>
      </c>
      <c r="DAL3" t="str">
        <f t="shared" si="42"/>
        <v>Med</v>
      </c>
      <c r="DAM3" t="str">
        <f t="shared" si="42"/>
        <v>Med</v>
      </c>
      <c r="DAN3" t="str">
        <f t="shared" si="42"/>
        <v>Med</v>
      </c>
      <c r="DAO3" t="str">
        <f t="shared" si="42"/>
        <v>Med</v>
      </c>
      <c r="DAP3" t="str">
        <f t="shared" si="42"/>
        <v>Med</v>
      </c>
      <c r="DAQ3" t="str">
        <f t="shared" si="42"/>
        <v>Med</v>
      </c>
      <c r="DAR3" t="str">
        <f t="shared" si="42"/>
        <v>Med</v>
      </c>
      <c r="DAS3" t="str">
        <f t="shared" si="42"/>
        <v>Med</v>
      </c>
      <c r="DAT3" t="str">
        <f t="shared" si="42"/>
        <v>Low</v>
      </c>
      <c r="DAU3" t="str">
        <f t="shared" si="42"/>
        <v>Med</v>
      </c>
      <c r="DAV3" t="str">
        <f t="shared" si="42"/>
        <v>Med</v>
      </c>
      <c r="DAW3" t="str">
        <f t="shared" si="42"/>
        <v>Low</v>
      </c>
      <c r="DAX3" t="str">
        <f t="shared" si="42"/>
        <v>Med</v>
      </c>
      <c r="DAY3" t="str">
        <f t="shared" si="42"/>
        <v>Med</v>
      </c>
      <c r="DAZ3" t="str">
        <f t="shared" si="42"/>
        <v>Med</v>
      </c>
      <c r="DBA3" t="str">
        <f t="shared" ref="DBA3:DDL3" si="43">IF(DBA2="","No Data",IF(DBA2&gt;=100000,"High",IF(DBA2&gt;=40000,"Med","Low")))</f>
        <v>Med</v>
      </c>
      <c r="DBB3" t="str">
        <f t="shared" si="43"/>
        <v>Med</v>
      </c>
      <c r="DBC3" t="str">
        <f t="shared" si="43"/>
        <v>Med</v>
      </c>
      <c r="DBD3" t="str">
        <f t="shared" si="43"/>
        <v>Med</v>
      </c>
      <c r="DBE3" t="str">
        <f t="shared" si="43"/>
        <v>Med</v>
      </c>
      <c r="DBF3" t="str">
        <f t="shared" si="43"/>
        <v>Med</v>
      </c>
      <c r="DBG3" t="str">
        <f t="shared" si="43"/>
        <v>No Data</v>
      </c>
      <c r="DBH3" t="str">
        <f t="shared" si="43"/>
        <v>No Data</v>
      </c>
      <c r="DBI3" t="str">
        <f t="shared" si="43"/>
        <v>Med</v>
      </c>
      <c r="DBJ3" t="str">
        <f t="shared" si="43"/>
        <v>Med</v>
      </c>
      <c r="DBK3" t="str">
        <f t="shared" si="43"/>
        <v>Med</v>
      </c>
      <c r="DBL3" t="str">
        <f t="shared" si="43"/>
        <v>Med</v>
      </c>
      <c r="DBM3" t="str">
        <f t="shared" si="43"/>
        <v>Med</v>
      </c>
      <c r="DBN3" t="str">
        <f t="shared" si="43"/>
        <v>Med</v>
      </c>
      <c r="DBO3" t="str">
        <f t="shared" si="43"/>
        <v>No Data</v>
      </c>
      <c r="DBP3" t="str">
        <f t="shared" si="43"/>
        <v>Med</v>
      </c>
      <c r="DBQ3" t="str">
        <f t="shared" si="43"/>
        <v>Med</v>
      </c>
      <c r="DBR3" t="str">
        <f t="shared" si="43"/>
        <v>Med</v>
      </c>
      <c r="DBS3" t="str">
        <f t="shared" si="43"/>
        <v>Med</v>
      </c>
      <c r="DBT3" t="str">
        <f t="shared" si="43"/>
        <v>Med</v>
      </c>
      <c r="DBU3" t="str">
        <f t="shared" si="43"/>
        <v>Med</v>
      </c>
      <c r="DBV3" t="str">
        <f t="shared" si="43"/>
        <v>Med</v>
      </c>
      <c r="DBW3" t="str">
        <f t="shared" si="43"/>
        <v>Med</v>
      </c>
      <c r="DBX3" t="str">
        <f t="shared" si="43"/>
        <v>Med</v>
      </c>
      <c r="DBY3" t="str">
        <f t="shared" si="43"/>
        <v>Med</v>
      </c>
      <c r="DBZ3" t="str">
        <f t="shared" si="43"/>
        <v>Med</v>
      </c>
      <c r="DCA3" t="str">
        <f t="shared" si="43"/>
        <v>Med</v>
      </c>
      <c r="DCB3" t="str">
        <f t="shared" si="43"/>
        <v>Med</v>
      </c>
      <c r="DCC3" t="str">
        <f t="shared" si="43"/>
        <v>High</v>
      </c>
      <c r="DCD3" t="str">
        <f t="shared" si="43"/>
        <v>Med</v>
      </c>
      <c r="DCE3" t="str">
        <f t="shared" si="43"/>
        <v>Med</v>
      </c>
      <c r="DCF3" t="str">
        <f t="shared" si="43"/>
        <v>High</v>
      </c>
      <c r="DCG3" t="str">
        <f t="shared" si="43"/>
        <v>Med</v>
      </c>
      <c r="DCH3" t="str">
        <f t="shared" si="43"/>
        <v>Low</v>
      </c>
      <c r="DCI3" t="str">
        <f t="shared" si="43"/>
        <v>Med</v>
      </c>
      <c r="DCJ3" t="str">
        <f t="shared" si="43"/>
        <v>Med</v>
      </c>
      <c r="DCK3" t="str">
        <f t="shared" si="43"/>
        <v>Med</v>
      </c>
      <c r="DCL3" t="str">
        <f t="shared" si="43"/>
        <v>Med</v>
      </c>
      <c r="DCM3" t="str">
        <f t="shared" si="43"/>
        <v>No Data</v>
      </c>
      <c r="DCN3" t="str">
        <f t="shared" si="43"/>
        <v>Med</v>
      </c>
      <c r="DCO3" t="str">
        <f t="shared" si="43"/>
        <v>Med</v>
      </c>
      <c r="DCP3" t="str">
        <f t="shared" si="43"/>
        <v>Med</v>
      </c>
      <c r="DCQ3" t="str">
        <f t="shared" si="43"/>
        <v>Med</v>
      </c>
      <c r="DCR3" t="str">
        <f t="shared" si="43"/>
        <v>Med</v>
      </c>
      <c r="DCS3" t="str">
        <f t="shared" si="43"/>
        <v>Med</v>
      </c>
      <c r="DCT3" t="str">
        <f t="shared" si="43"/>
        <v>Med</v>
      </c>
      <c r="DCU3" t="str">
        <f t="shared" si="43"/>
        <v>Med</v>
      </c>
      <c r="DCV3" t="str">
        <f t="shared" si="43"/>
        <v>Med</v>
      </c>
      <c r="DCW3" t="str">
        <f t="shared" si="43"/>
        <v>Med</v>
      </c>
      <c r="DCX3" t="str">
        <f t="shared" si="43"/>
        <v>Med</v>
      </c>
      <c r="DCY3" t="str">
        <f t="shared" si="43"/>
        <v>Med</v>
      </c>
      <c r="DCZ3" t="str">
        <f t="shared" si="43"/>
        <v>No Data</v>
      </c>
      <c r="DDA3" t="str">
        <f t="shared" si="43"/>
        <v>No Data</v>
      </c>
      <c r="DDB3" t="str">
        <f t="shared" si="43"/>
        <v>No Data</v>
      </c>
      <c r="DDC3" t="str">
        <f t="shared" si="43"/>
        <v>Med</v>
      </c>
      <c r="DDD3" t="str">
        <f t="shared" si="43"/>
        <v>Med</v>
      </c>
      <c r="DDE3" t="str">
        <f t="shared" si="43"/>
        <v>Med</v>
      </c>
      <c r="DDF3" t="str">
        <f t="shared" si="43"/>
        <v>Med</v>
      </c>
      <c r="DDG3" t="str">
        <f t="shared" si="43"/>
        <v>Med</v>
      </c>
      <c r="DDH3" t="str">
        <f t="shared" si="43"/>
        <v>Low</v>
      </c>
      <c r="DDI3" t="str">
        <f t="shared" si="43"/>
        <v>Med</v>
      </c>
      <c r="DDJ3" t="str">
        <f t="shared" si="43"/>
        <v>No Data</v>
      </c>
      <c r="DDK3" t="str">
        <f t="shared" si="43"/>
        <v>Med</v>
      </c>
      <c r="DDL3" t="str">
        <f t="shared" si="43"/>
        <v>Med</v>
      </c>
      <c r="DDM3" t="str">
        <f t="shared" ref="DDM3:DFX3" si="44">IF(DDM2="","No Data",IF(DDM2&gt;=100000,"High",IF(DDM2&gt;=40000,"Med","Low")))</f>
        <v>Med</v>
      </c>
      <c r="DDN3" t="str">
        <f t="shared" si="44"/>
        <v>Med</v>
      </c>
      <c r="DDO3" t="str">
        <f t="shared" si="44"/>
        <v>Med</v>
      </c>
      <c r="DDP3" t="str">
        <f t="shared" si="44"/>
        <v>Med</v>
      </c>
      <c r="DDQ3" t="str">
        <f t="shared" si="44"/>
        <v>Med</v>
      </c>
      <c r="DDR3" t="str">
        <f t="shared" si="44"/>
        <v>Med</v>
      </c>
      <c r="DDS3" t="str">
        <f t="shared" si="44"/>
        <v>Med</v>
      </c>
      <c r="DDT3" t="str">
        <f t="shared" si="44"/>
        <v>Low</v>
      </c>
      <c r="DDU3" t="str">
        <f t="shared" si="44"/>
        <v>Med</v>
      </c>
      <c r="DDV3" t="str">
        <f t="shared" si="44"/>
        <v>Med</v>
      </c>
      <c r="DDW3" t="str">
        <f t="shared" si="44"/>
        <v>Med</v>
      </c>
      <c r="DDX3" t="str">
        <f t="shared" si="44"/>
        <v>Med</v>
      </c>
      <c r="DDY3" t="str">
        <f t="shared" si="44"/>
        <v>Med</v>
      </c>
      <c r="DDZ3" t="str">
        <f t="shared" si="44"/>
        <v>Med</v>
      </c>
      <c r="DEA3" t="str">
        <f t="shared" si="44"/>
        <v>Med</v>
      </c>
      <c r="DEB3" t="str">
        <f t="shared" si="44"/>
        <v>Med</v>
      </c>
      <c r="DEC3" t="str">
        <f t="shared" si="44"/>
        <v>Med</v>
      </c>
      <c r="DED3" t="str">
        <f t="shared" si="44"/>
        <v>Med</v>
      </c>
      <c r="DEE3" t="str">
        <f t="shared" si="44"/>
        <v>Med</v>
      </c>
      <c r="DEF3" t="str">
        <f t="shared" si="44"/>
        <v>Med</v>
      </c>
      <c r="DEG3" t="str">
        <f t="shared" si="44"/>
        <v>Low</v>
      </c>
      <c r="DEH3" t="str">
        <f t="shared" si="44"/>
        <v>Med</v>
      </c>
      <c r="DEI3" t="str">
        <f t="shared" si="44"/>
        <v>Med</v>
      </c>
      <c r="DEJ3" t="str">
        <f t="shared" si="44"/>
        <v>Med</v>
      </c>
      <c r="DEK3" t="str">
        <f t="shared" si="44"/>
        <v>Med</v>
      </c>
      <c r="DEL3" t="str">
        <f t="shared" si="44"/>
        <v>Med</v>
      </c>
      <c r="DEM3" t="str">
        <f t="shared" si="44"/>
        <v>Low</v>
      </c>
      <c r="DEN3" t="str">
        <f t="shared" si="44"/>
        <v>Med</v>
      </c>
      <c r="DEO3" t="str">
        <f t="shared" si="44"/>
        <v>Med</v>
      </c>
      <c r="DEP3" t="str">
        <f t="shared" si="44"/>
        <v>Med</v>
      </c>
      <c r="DEQ3" t="str">
        <f t="shared" si="44"/>
        <v>Low</v>
      </c>
      <c r="DER3" t="str">
        <f t="shared" si="44"/>
        <v>Low</v>
      </c>
      <c r="DES3" t="str">
        <f t="shared" si="44"/>
        <v>No Data</v>
      </c>
      <c r="DET3" t="str">
        <f t="shared" si="44"/>
        <v>Med</v>
      </c>
      <c r="DEU3" t="str">
        <f t="shared" si="44"/>
        <v>Low</v>
      </c>
      <c r="DEV3" t="str">
        <f t="shared" si="44"/>
        <v>Low</v>
      </c>
      <c r="DEW3" t="str">
        <f t="shared" si="44"/>
        <v>No Data</v>
      </c>
      <c r="DEX3" t="str">
        <f t="shared" si="44"/>
        <v>Med</v>
      </c>
      <c r="DEY3" t="str">
        <f t="shared" si="44"/>
        <v>Med</v>
      </c>
      <c r="DEZ3" t="str">
        <f t="shared" si="44"/>
        <v>Med</v>
      </c>
      <c r="DFA3" t="str">
        <f t="shared" si="44"/>
        <v>Med</v>
      </c>
      <c r="DFB3" t="str">
        <f t="shared" si="44"/>
        <v>Med</v>
      </c>
      <c r="DFC3" t="str">
        <f t="shared" si="44"/>
        <v>Med</v>
      </c>
      <c r="DFD3" t="str">
        <f t="shared" si="44"/>
        <v>Low</v>
      </c>
      <c r="DFE3" t="str">
        <f t="shared" si="44"/>
        <v>Med</v>
      </c>
      <c r="DFF3" t="str">
        <f t="shared" si="44"/>
        <v>Med</v>
      </c>
      <c r="DFG3" t="str">
        <f t="shared" si="44"/>
        <v>Med</v>
      </c>
      <c r="DFH3" t="str">
        <f t="shared" si="44"/>
        <v>Med</v>
      </c>
      <c r="DFI3" t="str">
        <f t="shared" si="44"/>
        <v>Med</v>
      </c>
      <c r="DFJ3" t="str">
        <f t="shared" si="44"/>
        <v>Low</v>
      </c>
      <c r="DFK3" t="str">
        <f t="shared" si="44"/>
        <v>Med</v>
      </c>
      <c r="DFL3" t="str">
        <f t="shared" si="44"/>
        <v>Low</v>
      </c>
      <c r="DFM3" t="str">
        <f t="shared" si="44"/>
        <v>Med</v>
      </c>
      <c r="DFN3" t="str">
        <f t="shared" si="44"/>
        <v>Med</v>
      </c>
      <c r="DFO3" t="str">
        <f t="shared" si="44"/>
        <v>Med</v>
      </c>
      <c r="DFP3" t="str">
        <f t="shared" si="44"/>
        <v>Low</v>
      </c>
      <c r="DFQ3" t="str">
        <f t="shared" si="44"/>
        <v>Low</v>
      </c>
      <c r="DFR3" t="str">
        <f t="shared" si="44"/>
        <v>Med</v>
      </c>
      <c r="DFS3" t="str">
        <f t="shared" si="44"/>
        <v>Low</v>
      </c>
      <c r="DFT3" t="str">
        <f t="shared" si="44"/>
        <v>Med</v>
      </c>
      <c r="DFU3" t="str">
        <f t="shared" si="44"/>
        <v>Med</v>
      </c>
      <c r="DFV3" t="str">
        <f t="shared" si="44"/>
        <v>Med</v>
      </c>
      <c r="DFW3" t="str">
        <f t="shared" si="44"/>
        <v>Low</v>
      </c>
      <c r="DFX3" t="str">
        <f t="shared" si="44"/>
        <v>Med</v>
      </c>
      <c r="DFY3" t="str">
        <f t="shared" ref="DFY3:DIJ3" si="45">IF(DFY2="","No Data",IF(DFY2&gt;=100000,"High",IF(DFY2&gt;=40000,"Med","Low")))</f>
        <v>Med</v>
      </c>
      <c r="DFZ3" t="str">
        <f t="shared" si="45"/>
        <v>Med</v>
      </c>
      <c r="DGA3" t="str">
        <f t="shared" si="45"/>
        <v>No Data</v>
      </c>
      <c r="DGB3" t="str">
        <f t="shared" si="45"/>
        <v>Med</v>
      </c>
      <c r="DGC3" t="str">
        <f t="shared" si="45"/>
        <v>Med</v>
      </c>
      <c r="DGD3" t="str">
        <f t="shared" si="45"/>
        <v>Med</v>
      </c>
      <c r="DGE3" t="str">
        <f t="shared" si="45"/>
        <v>Med</v>
      </c>
      <c r="DGF3" t="str">
        <f t="shared" si="45"/>
        <v>Med</v>
      </c>
      <c r="DGG3" t="str">
        <f t="shared" si="45"/>
        <v>Med</v>
      </c>
      <c r="DGH3" t="str">
        <f t="shared" si="45"/>
        <v>Med</v>
      </c>
      <c r="DGI3" t="str">
        <f t="shared" si="45"/>
        <v>Low</v>
      </c>
      <c r="DGJ3" t="str">
        <f t="shared" si="45"/>
        <v>No Data</v>
      </c>
      <c r="DGK3" t="str">
        <f t="shared" si="45"/>
        <v>Med</v>
      </c>
      <c r="DGL3" t="str">
        <f t="shared" si="45"/>
        <v>Med</v>
      </c>
      <c r="DGM3" t="str">
        <f t="shared" si="45"/>
        <v>Med</v>
      </c>
      <c r="DGN3" t="str">
        <f t="shared" si="45"/>
        <v>Med</v>
      </c>
      <c r="DGO3" t="str">
        <f t="shared" si="45"/>
        <v>Med</v>
      </c>
      <c r="DGP3" t="str">
        <f t="shared" si="45"/>
        <v>Med</v>
      </c>
      <c r="DGQ3" t="str">
        <f t="shared" si="45"/>
        <v>Med</v>
      </c>
      <c r="DGR3" t="str">
        <f t="shared" si="45"/>
        <v>Med</v>
      </c>
      <c r="DGS3" t="str">
        <f t="shared" si="45"/>
        <v>Low</v>
      </c>
      <c r="DGT3" t="str">
        <f t="shared" si="45"/>
        <v>Med</v>
      </c>
      <c r="DGU3" t="str">
        <f t="shared" si="45"/>
        <v>Med</v>
      </c>
      <c r="DGV3" t="str">
        <f t="shared" si="45"/>
        <v>Med</v>
      </c>
      <c r="DGW3" t="str">
        <f t="shared" si="45"/>
        <v>Med</v>
      </c>
      <c r="DGX3" t="str">
        <f t="shared" si="45"/>
        <v>Med</v>
      </c>
      <c r="DGY3" t="str">
        <f t="shared" si="45"/>
        <v>Low</v>
      </c>
      <c r="DGZ3" t="str">
        <f t="shared" si="45"/>
        <v>Med</v>
      </c>
      <c r="DHA3" t="str">
        <f t="shared" si="45"/>
        <v>Med</v>
      </c>
      <c r="DHB3" t="str">
        <f t="shared" si="45"/>
        <v>Med</v>
      </c>
      <c r="DHC3" t="str">
        <f t="shared" si="45"/>
        <v>Med</v>
      </c>
      <c r="DHD3" t="str">
        <f t="shared" si="45"/>
        <v>Med</v>
      </c>
      <c r="DHE3" t="str">
        <f t="shared" si="45"/>
        <v>Med</v>
      </c>
      <c r="DHF3" t="str">
        <f t="shared" si="45"/>
        <v>Med</v>
      </c>
      <c r="DHG3" t="str">
        <f t="shared" si="45"/>
        <v>Med</v>
      </c>
      <c r="DHH3" t="str">
        <f t="shared" si="45"/>
        <v>Med</v>
      </c>
      <c r="DHI3" t="str">
        <f t="shared" si="45"/>
        <v>Med</v>
      </c>
      <c r="DHJ3" t="str">
        <f t="shared" si="45"/>
        <v>No Data</v>
      </c>
      <c r="DHK3" t="str">
        <f t="shared" si="45"/>
        <v>High</v>
      </c>
      <c r="DHL3" t="str">
        <f t="shared" si="45"/>
        <v>Med</v>
      </c>
      <c r="DHM3" t="str">
        <f t="shared" si="45"/>
        <v>No Data</v>
      </c>
      <c r="DHN3" t="str">
        <f t="shared" si="45"/>
        <v>Med</v>
      </c>
      <c r="DHO3" t="str">
        <f t="shared" si="45"/>
        <v>Med</v>
      </c>
      <c r="DHP3" t="str">
        <f t="shared" si="45"/>
        <v>Med</v>
      </c>
      <c r="DHQ3" t="str">
        <f t="shared" si="45"/>
        <v>Med</v>
      </c>
      <c r="DHR3" t="str">
        <f t="shared" si="45"/>
        <v>Med</v>
      </c>
      <c r="DHS3" t="str">
        <f t="shared" si="45"/>
        <v>Med</v>
      </c>
      <c r="DHT3" t="str">
        <f t="shared" si="45"/>
        <v>Med</v>
      </c>
      <c r="DHU3" t="str">
        <f t="shared" si="45"/>
        <v>Med</v>
      </c>
      <c r="DHV3" t="str">
        <f t="shared" si="45"/>
        <v>Med</v>
      </c>
      <c r="DHW3" t="str">
        <f t="shared" si="45"/>
        <v>Med</v>
      </c>
      <c r="DHX3" t="str">
        <f t="shared" si="45"/>
        <v>Med</v>
      </c>
      <c r="DHY3" t="str">
        <f t="shared" si="45"/>
        <v>Med</v>
      </c>
      <c r="DHZ3" t="str">
        <f t="shared" si="45"/>
        <v>Med</v>
      </c>
      <c r="DIA3" t="str">
        <f t="shared" si="45"/>
        <v>Med</v>
      </c>
      <c r="DIB3" t="str">
        <f t="shared" si="45"/>
        <v>Med</v>
      </c>
      <c r="DIC3" t="str">
        <f t="shared" si="45"/>
        <v>Med</v>
      </c>
      <c r="DID3" t="str">
        <f t="shared" si="45"/>
        <v>Med</v>
      </c>
      <c r="DIE3" t="str">
        <f t="shared" si="45"/>
        <v>Med</v>
      </c>
      <c r="DIF3" t="str">
        <f t="shared" si="45"/>
        <v>Med</v>
      </c>
      <c r="DIG3" t="str">
        <f t="shared" si="45"/>
        <v>Med</v>
      </c>
      <c r="DIH3" t="str">
        <f t="shared" si="45"/>
        <v>Med</v>
      </c>
      <c r="DII3" t="str">
        <f t="shared" si="45"/>
        <v>Low</v>
      </c>
      <c r="DIJ3" t="str">
        <f t="shared" si="45"/>
        <v>Med</v>
      </c>
      <c r="DIK3" t="str">
        <f t="shared" ref="DIK3:DKV3" si="46">IF(DIK2="","No Data",IF(DIK2&gt;=100000,"High",IF(DIK2&gt;=40000,"Med","Low")))</f>
        <v>Med</v>
      </c>
      <c r="DIL3" t="str">
        <f t="shared" si="46"/>
        <v>No Data</v>
      </c>
      <c r="DIM3" t="str">
        <f t="shared" si="46"/>
        <v>Med</v>
      </c>
      <c r="DIN3" t="str">
        <f t="shared" si="46"/>
        <v>Med</v>
      </c>
      <c r="DIO3" t="str">
        <f t="shared" si="46"/>
        <v>Med</v>
      </c>
      <c r="DIP3" t="str">
        <f t="shared" si="46"/>
        <v>Med</v>
      </c>
      <c r="DIQ3" t="str">
        <f t="shared" si="46"/>
        <v>No Data</v>
      </c>
      <c r="DIR3" t="str">
        <f t="shared" si="46"/>
        <v>Med</v>
      </c>
      <c r="DIS3" t="str">
        <f t="shared" si="46"/>
        <v>Med</v>
      </c>
      <c r="DIT3" t="str">
        <f t="shared" si="46"/>
        <v>Med</v>
      </c>
      <c r="DIU3" t="str">
        <f t="shared" si="46"/>
        <v>Med</v>
      </c>
      <c r="DIV3" t="str">
        <f t="shared" si="46"/>
        <v>Med</v>
      </c>
      <c r="DIW3" t="str">
        <f t="shared" si="46"/>
        <v>Med</v>
      </c>
      <c r="DIX3" t="str">
        <f t="shared" si="46"/>
        <v>Med</v>
      </c>
      <c r="DIY3" t="str">
        <f t="shared" si="46"/>
        <v>Med</v>
      </c>
      <c r="DIZ3" t="str">
        <f t="shared" si="46"/>
        <v>Med</v>
      </c>
      <c r="DJA3" t="str">
        <f t="shared" si="46"/>
        <v>Med</v>
      </c>
      <c r="DJB3" t="str">
        <f t="shared" si="46"/>
        <v>Med</v>
      </c>
      <c r="DJC3" t="str">
        <f t="shared" si="46"/>
        <v>Med</v>
      </c>
      <c r="DJD3" t="str">
        <f t="shared" si="46"/>
        <v>No Data</v>
      </c>
      <c r="DJE3" t="str">
        <f t="shared" si="46"/>
        <v>Med</v>
      </c>
      <c r="DJF3" t="str">
        <f t="shared" si="46"/>
        <v>Med</v>
      </c>
      <c r="DJG3" t="str">
        <f t="shared" si="46"/>
        <v>Med</v>
      </c>
      <c r="DJH3" t="str">
        <f t="shared" si="46"/>
        <v>Med</v>
      </c>
      <c r="DJI3" t="str">
        <f t="shared" si="46"/>
        <v>Med</v>
      </c>
      <c r="DJJ3" t="str">
        <f t="shared" si="46"/>
        <v>Med</v>
      </c>
      <c r="DJK3" t="str">
        <f t="shared" si="46"/>
        <v>Med</v>
      </c>
      <c r="DJL3" t="str">
        <f t="shared" si="46"/>
        <v>Med</v>
      </c>
      <c r="DJM3" t="str">
        <f t="shared" si="46"/>
        <v>Low</v>
      </c>
      <c r="DJN3" t="str">
        <f t="shared" si="46"/>
        <v>Low</v>
      </c>
      <c r="DJO3" t="str">
        <f t="shared" si="46"/>
        <v>Med</v>
      </c>
      <c r="DJP3" t="str">
        <f t="shared" si="46"/>
        <v>Med</v>
      </c>
      <c r="DJQ3" t="str">
        <f t="shared" si="46"/>
        <v>High</v>
      </c>
      <c r="DJR3" t="str">
        <f t="shared" si="46"/>
        <v>Med</v>
      </c>
      <c r="DJS3" t="str">
        <f t="shared" si="46"/>
        <v>Med</v>
      </c>
      <c r="DJT3" t="str">
        <f t="shared" si="46"/>
        <v>Med</v>
      </c>
      <c r="DJU3" t="str">
        <f t="shared" si="46"/>
        <v>Med</v>
      </c>
      <c r="DJV3" t="str">
        <f t="shared" si="46"/>
        <v>Med</v>
      </c>
      <c r="DJW3" t="str">
        <f t="shared" si="46"/>
        <v>Med</v>
      </c>
      <c r="DJX3" t="str">
        <f t="shared" si="46"/>
        <v>Med</v>
      </c>
      <c r="DJY3" t="str">
        <f t="shared" si="46"/>
        <v>Med</v>
      </c>
      <c r="DJZ3" t="str">
        <f t="shared" si="46"/>
        <v>Med</v>
      </c>
      <c r="DKA3" t="str">
        <f t="shared" si="46"/>
        <v>Med</v>
      </c>
      <c r="DKB3" t="str">
        <f t="shared" si="46"/>
        <v>Med</v>
      </c>
      <c r="DKC3" t="str">
        <f t="shared" si="46"/>
        <v>Med</v>
      </c>
      <c r="DKD3" t="str">
        <f t="shared" si="46"/>
        <v>Med</v>
      </c>
      <c r="DKE3" t="str">
        <f t="shared" si="46"/>
        <v>Med</v>
      </c>
      <c r="DKF3" t="str">
        <f t="shared" si="46"/>
        <v>Med</v>
      </c>
      <c r="DKG3" t="str">
        <f t="shared" si="46"/>
        <v>Med</v>
      </c>
      <c r="DKH3" t="str">
        <f t="shared" si="46"/>
        <v>Med</v>
      </c>
      <c r="DKI3" t="str">
        <f t="shared" si="46"/>
        <v>Med</v>
      </c>
      <c r="DKJ3" t="str">
        <f t="shared" si="46"/>
        <v>No Data</v>
      </c>
      <c r="DKK3" t="str">
        <f t="shared" si="46"/>
        <v>Low</v>
      </c>
      <c r="DKL3" t="str">
        <f t="shared" si="46"/>
        <v>Med</v>
      </c>
      <c r="DKM3" t="str">
        <f t="shared" si="46"/>
        <v>Med</v>
      </c>
      <c r="DKN3" t="str">
        <f t="shared" si="46"/>
        <v>Med</v>
      </c>
      <c r="DKO3" t="str">
        <f t="shared" si="46"/>
        <v>Med</v>
      </c>
      <c r="DKP3" t="str">
        <f t="shared" si="46"/>
        <v>Med</v>
      </c>
      <c r="DKQ3" t="str">
        <f t="shared" si="46"/>
        <v>Med</v>
      </c>
      <c r="DKR3" t="str">
        <f t="shared" si="46"/>
        <v>No Data</v>
      </c>
      <c r="DKS3" t="str">
        <f t="shared" si="46"/>
        <v>Med</v>
      </c>
      <c r="DKT3" t="str">
        <f t="shared" si="46"/>
        <v>Med</v>
      </c>
      <c r="DKU3" t="str">
        <f t="shared" si="46"/>
        <v>Med</v>
      </c>
      <c r="DKV3" t="str">
        <f t="shared" si="46"/>
        <v>Med</v>
      </c>
      <c r="DKW3" t="str">
        <f t="shared" ref="DKW3:DNH3" si="47">IF(DKW2="","No Data",IF(DKW2&gt;=100000,"High",IF(DKW2&gt;=40000,"Med","Low")))</f>
        <v>Med</v>
      </c>
      <c r="DKX3" t="str">
        <f t="shared" si="47"/>
        <v>Med</v>
      </c>
      <c r="DKY3" t="str">
        <f t="shared" si="47"/>
        <v>Med</v>
      </c>
      <c r="DKZ3" t="str">
        <f t="shared" si="47"/>
        <v>Med</v>
      </c>
      <c r="DLA3" t="str">
        <f t="shared" si="47"/>
        <v>Med</v>
      </c>
      <c r="DLB3" t="str">
        <f t="shared" si="47"/>
        <v>Med</v>
      </c>
      <c r="DLC3" t="str">
        <f t="shared" si="47"/>
        <v>Med</v>
      </c>
      <c r="DLD3" t="str">
        <f t="shared" si="47"/>
        <v>No Data</v>
      </c>
      <c r="DLE3" t="str">
        <f t="shared" si="47"/>
        <v>Med</v>
      </c>
      <c r="DLF3" t="str">
        <f t="shared" si="47"/>
        <v>Med</v>
      </c>
      <c r="DLG3" t="str">
        <f t="shared" si="47"/>
        <v>Low</v>
      </c>
      <c r="DLH3" t="str">
        <f t="shared" si="47"/>
        <v>Med</v>
      </c>
      <c r="DLI3" t="str">
        <f t="shared" si="47"/>
        <v>Low</v>
      </c>
      <c r="DLJ3" t="str">
        <f t="shared" si="47"/>
        <v>Med</v>
      </c>
      <c r="DLK3" t="str">
        <f t="shared" si="47"/>
        <v>Med</v>
      </c>
      <c r="DLL3" t="str">
        <f t="shared" si="47"/>
        <v>Low</v>
      </c>
      <c r="DLM3" t="str">
        <f t="shared" si="47"/>
        <v>Low</v>
      </c>
      <c r="DLN3" t="str">
        <f t="shared" si="47"/>
        <v>Low</v>
      </c>
      <c r="DLO3" t="str">
        <f t="shared" si="47"/>
        <v>Low</v>
      </c>
      <c r="DLP3" t="str">
        <f t="shared" si="47"/>
        <v>Low</v>
      </c>
      <c r="DLQ3" t="str">
        <f t="shared" si="47"/>
        <v>Med</v>
      </c>
      <c r="DLR3" t="str">
        <f t="shared" si="47"/>
        <v>Med</v>
      </c>
      <c r="DLS3" t="str">
        <f t="shared" si="47"/>
        <v>Low</v>
      </c>
      <c r="DLT3" t="str">
        <f t="shared" si="47"/>
        <v>Med</v>
      </c>
      <c r="DLU3" t="str">
        <f t="shared" si="47"/>
        <v>Med</v>
      </c>
      <c r="DLV3" t="str">
        <f t="shared" si="47"/>
        <v>Med</v>
      </c>
      <c r="DLW3" t="str">
        <f t="shared" si="47"/>
        <v>Low</v>
      </c>
      <c r="DLX3" t="str">
        <f t="shared" si="47"/>
        <v>Med</v>
      </c>
      <c r="DLY3" t="str">
        <f t="shared" si="47"/>
        <v>Med</v>
      </c>
      <c r="DLZ3" t="str">
        <f t="shared" si="47"/>
        <v>Med</v>
      </c>
      <c r="DMA3" t="str">
        <f t="shared" si="47"/>
        <v>Med</v>
      </c>
      <c r="DMB3" t="str">
        <f t="shared" si="47"/>
        <v>Low</v>
      </c>
      <c r="DMC3" t="str">
        <f t="shared" si="47"/>
        <v>Med</v>
      </c>
      <c r="DMD3" t="str">
        <f t="shared" si="47"/>
        <v>Med</v>
      </c>
      <c r="DME3" t="str">
        <f t="shared" si="47"/>
        <v>Med</v>
      </c>
      <c r="DMF3" t="str">
        <f t="shared" si="47"/>
        <v>Med</v>
      </c>
      <c r="DMG3" t="str">
        <f t="shared" si="47"/>
        <v>Med</v>
      </c>
      <c r="DMH3" t="str">
        <f t="shared" si="47"/>
        <v>Med</v>
      </c>
      <c r="DMI3" t="str">
        <f t="shared" si="47"/>
        <v>Low</v>
      </c>
      <c r="DMJ3" t="str">
        <f t="shared" si="47"/>
        <v>No Data</v>
      </c>
      <c r="DMK3" t="str">
        <f t="shared" si="47"/>
        <v>Low</v>
      </c>
      <c r="DML3" t="str">
        <f t="shared" si="47"/>
        <v>Low</v>
      </c>
      <c r="DMM3" t="str">
        <f t="shared" si="47"/>
        <v>Low</v>
      </c>
      <c r="DMN3" t="str">
        <f t="shared" si="47"/>
        <v>No Data</v>
      </c>
      <c r="DMO3" t="str">
        <f t="shared" si="47"/>
        <v>No Data</v>
      </c>
      <c r="DMP3" t="str">
        <f t="shared" si="47"/>
        <v>Low</v>
      </c>
      <c r="DMQ3" t="str">
        <f t="shared" si="47"/>
        <v>Low</v>
      </c>
      <c r="DMR3" t="str">
        <f t="shared" si="47"/>
        <v>No Data</v>
      </c>
      <c r="DMS3" t="str">
        <f t="shared" si="47"/>
        <v>Med</v>
      </c>
      <c r="DMT3" t="str">
        <f t="shared" si="47"/>
        <v>Med</v>
      </c>
      <c r="DMU3" t="str">
        <f t="shared" si="47"/>
        <v>Med</v>
      </c>
      <c r="DMV3" t="str">
        <f t="shared" si="47"/>
        <v>Low</v>
      </c>
      <c r="DMW3" t="str">
        <f t="shared" si="47"/>
        <v>Med</v>
      </c>
      <c r="DMX3" t="str">
        <f t="shared" si="47"/>
        <v>Med</v>
      </c>
      <c r="DMY3" t="str">
        <f t="shared" si="47"/>
        <v>No Data</v>
      </c>
      <c r="DMZ3" t="str">
        <f t="shared" si="47"/>
        <v>No Data</v>
      </c>
      <c r="DNA3" t="str">
        <f t="shared" si="47"/>
        <v>No Data</v>
      </c>
      <c r="DNB3" t="str">
        <f t="shared" si="47"/>
        <v>Low</v>
      </c>
      <c r="DNC3" t="str">
        <f t="shared" si="47"/>
        <v>Med</v>
      </c>
      <c r="DND3" t="str">
        <f t="shared" si="47"/>
        <v>High</v>
      </c>
      <c r="DNE3" t="str">
        <f t="shared" si="47"/>
        <v>Med</v>
      </c>
      <c r="DNF3" t="str">
        <f t="shared" si="47"/>
        <v>No Data</v>
      </c>
      <c r="DNG3" t="str">
        <f t="shared" si="47"/>
        <v>Med</v>
      </c>
      <c r="DNH3" t="str">
        <f t="shared" si="47"/>
        <v>Low</v>
      </c>
      <c r="DNI3" t="str">
        <f t="shared" ref="DNI3:DPT3" si="48">IF(DNI2="","No Data",IF(DNI2&gt;=100000,"High",IF(DNI2&gt;=40000,"Med","Low")))</f>
        <v>Med</v>
      </c>
      <c r="DNJ3" t="str">
        <f t="shared" si="48"/>
        <v>Med</v>
      </c>
      <c r="DNK3" t="str">
        <f t="shared" si="48"/>
        <v>Med</v>
      </c>
      <c r="DNL3" t="str">
        <f t="shared" si="48"/>
        <v>Low</v>
      </c>
      <c r="DNM3" t="str">
        <f t="shared" si="48"/>
        <v>Low</v>
      </c>
      <c r="DNN3" t="str">
        <f t="shared" si="48"/>
        <v>No Data</v>
      </c>
      <c r="DNO3" t="str">
        <f t="shared" si="48"/>
        <v>Low</v>
      </c>
      <c r="DNP3" t="str">
        <f t="shared" si="48"/>
        <v>Med</v>
      </c>
      <c r="DNQ3" t="str">
        <f t="shared" si="48"/>
        <v>Low</v>
      </c>
      <c r="DNR3" t="str">
        <f t="shared" si="48"/>
        <v>Med</v>
      </c>
      <c r="DNS3" t="str">
        <f t="shared" si="48"/>
        <v>Low</v>
      </c>
      <c r="DNT3" t="str">
        <f t="shared" si="48"/>
        <v>Low</v>
      </c>
      <c r="DNU3" t="str">
        <f t="shared" si="48"/>
        <v>No Data</v>
      </c>
      <c r="DNV3" t="str">
        <f t="shared" si="48"/>
        <v>Med</v>
      </c>
      <c r="DNW3" t="str">
        <f t="shared" si="48"/>
        <v>Low</v>
      </c>
      <c r="DNX3" t="str">
        <f t="shared" si="48"/>
        <v>Low</v>
      </c>
      <c r="DNY3" t="str">
        <f t="shared" si="48"/>
        <v>No Data</v>
      </c>
      <c r="DNZ3" t="str">
        <f t="shared" si="48"/>
        <v>Med</v>
      </c>
      <c r="DOA3" t="str">
        <f t="shared" si="48"/>
        <v>No Data</v>
      </c>
      <c r="DOB3" t="str">
        <f t="shared" si="48"/>
        <v>Low</v>
      </c>
      <c r="DOC3" t="str">
        <f t="shared" si="48"/>
        <v>Low</v>
      </c>
      <c r="DOD3" t="str">
        <f t="shared" si="48"/>
        <v>Med</v>
      </c>
      <c r="DOE3" t="str">
        <f t="shared" si="48"/>
        <v>No Data</v>
      </c>
      <c r="DOF3" t="str">
        <f t="shared" si="48"/>
        <v>Low</v>
      </c>
      <c r="DOG3" t="str">
        <f t="shared" si="48"/>
        <v>Low</v>
      </c>
      <c r="DOH3" t="str">
        <f t="shared" si="48"/>
        <v>Med</v>
      </c>
      <c r="DOI3" t="str">
        <f t="shared" si="48"/>
        <v>Med</v>
      </c>
      <c r="DOJ3" t="str">
        <f t="shared" si="48"/>
        <v>Low</v>
      </c>
      <c r="DOK3" t="str">
        <f t="shared" si="48"/>
        <v>No Data</v>
      </c>
      <c r="DOL3" t="str">
        <f t="shared" si="48"/>
        <v>Med</v>
      </c>
      <c r="DOM3" t="str">
        <f t="shared" si="48"/>
        <v>Low</v>
      </c>
      <c r="DON3" t="str">
        <f t="shared" si="48"/>
        <v>Low</v>
      </c>
      <c r="DOO3" t="str">
        <f t="shared" si="48"/>
        <v>Med</v>
      </c>
      <c r="DOP3" t="str">
        <f t="shared" si="48"/>
        <v>No Data</v>
      </c>
      <c r="DOQ3" t="str">
        <f t="shared" si="48"/>
        <v>Med</v>
      </c>
      <c r="DOR3" t="str">
        <f t="shared" si="48"/>
        <v>Med</v>
      </c>
      <c r="DOS3" t="str">
        <f t="shared" si="48"/>
        <v>No Data</v>
      </c>
      <c r="DOT3" t="str">
        <f t="shared" si="48"/>
        <v>Low</v>
      </c>
      <c r="DOU3" t="str">
        <f t="shared" si="48"/>
        <v>Low</v>
      </c>
      <c r="DOV3" t="str">
        <f t="shared" si="48"/>
        <v>Low</v>
      </c>
      <c r="DOW3" t="str">
        <f t="shared" si="48"/>
        <v>No Data</v>
      </c>
      <c r="DOX3" t="str">
        <f t="shared" si="48"/>
        <v>No Data</v>
      </c>
      <c r="DOY3" t="str">
        <f t="shared" si="48"/>
        <v>Med</v>
      </c>
      <c r="DOZ3" t="str">
        <f t="shared" si="48"/>
        <v>Low</v>
      </c>
      <c r="DPA3" t="str">
        <f t="shared" si="48"/>
        <v>Med</v>
      </c>
      <c r="DPB3" t="str">
        <f t="shared" si="48"/>
        <v>Med</v>
      </c>
      <c r="DPC3" t="str">
        <f t="shared" si="48"/>
        <v>Med</v>
      </c>
      <c r="DPD3" t="str">
        <f t="shared" si="48"/>
        <v>Med</v>
      </c>
      <c r="DPE3" t="str">
        <f t="shared" si="48"/>
        <v>Med</v>
      </c>
      <c r="DPF3" t="str">
        <f t="shared" si="48"/>
        <v>Med</v>
      </c>
      <c r="DPG3" t="str">
        <f t="shared" si="48"/>
        <v>Low</v>
      </c>
      <c r="DPH3" t="str">
        <f t="shared" si="48"/>
        <v>Low</v>
      </c>
      <c r="DPI3" t="str">
        <f t="shared" si="48"/>
        <v>Low</v>
      </c>
      <c r="DPJ3" t="str">
        <f t="shared" si="48"/>
        <v>Low</v>
      </c>
      <c r="DPK3" t="str">
        <f t="shared" si="48"/>
        <v>Med</v>
      </c>
      <c r="DPL3" t="str">
        <f t="shared" si="48"/>
        <v>Med</v>
      </c>
      <c r="DPM3" t="str">
        <f t="shared" si="48"/>
        <v>Med</v>
      </c>
      <c r="DPN3" t="str">
        <f t="shared" si="48"/>
        <v>Med</v>
      </c>
      <c r="DPO3" t="str">
        <f t="shared" si="48"/>
        <v>Med</v>
      </c>
      <c r="DPP3" t="str">
        <f t="shared" si="48"/>
        <v>Med</v>
      </c>
      <c r="DPQ3" t="str">
        <f t="shared" si="48"/>
        <v>Med</v>
      </c>
      <c r="DPR3" t="str">
        <f t="shared" si="48"/>
        <v>Low</v>
      </c>
      <c r="DPS3" t="str">
        <f t="shared" si="48"/>
        <v>No Data</v>
      </c>
      <c r="DPT3" t="str">
        <f t="shared" si="48"/>
        <v>No Data</v>
      </c>
      <c r="DPU3" t="str">
        <f t="shared" ref="DPU3:DSF3" si="49">IF(DPU2="","No Data",IF(DPU2&gt;=100000,"High",IF(DPU2&gt;=40000,"Med","Low")))</f>
        <v>Med</v>
      </c>
      <c r="DPV3" t="str">
        <f t="shared" si="49"/>
        <v>Med</v>
      </c>
      <c r="DPW3" t="str">
        <f t="shared" si="49"/>
        <v>Med</v>
      </c>
      <c r="DPX3" t="str">
        <f t="shared" si="49"/>
        <v>Low</v>
      </c>
      <c r="DPY3" t="str">
        <f t="shared" si="49"/>
        <v>Med</v>
      </c>
      <c r="DPZ3" t="str">
        <f t="shared" si="49"/>
        <v>Med</v>
      </c>
      <c r="DQA3" t="str">
        <f t="shared" si="49"/>
        <v>High</v>
      </c>
      <c r="DQB3" t="str">
        <f t="shared" si="49"/>
        <v>Med</v>
      </c>
      <c r="DQC3" t="str">
        <f t="shared" si="49"/>
        <v>Low</v>
      </c>
      <c r="DQD3" t="str">
        <f t="shared" si="49"/>
        <v>Med</v>
      </c>
      <c r="DQE3" t="str">
        <f t="shared" si="49"/>
        <v>Med</v>
      </c>
      <c r="DQF3" t="str">
        <f t="shared" si="49"/>
        <v>Med</v>
      </c>
      <c r="DQG3" t="str">
        <f t="shared" si="49"/>
        <v>No Data</v>
      </c>
      <c r="DQH3" t="str">
        <f t="shared" si="49"/>
        <v>No Data</v>
      </c>
      <c r="DQI3" t="str">
        <f t="shared" si="49"/>
        <v>Med</v>
      </c>
      <c r="DQJ3" t="str">
        <f t="shared" si="49"/>
        <v>Med</v>
      </c>
      <c r="DQK3" t="str">
        <f t="shared" si="49"/>
        <v>Low</v>
      </c>
      <c r="DQL3" t="str">
        <f t="shared" si="49"/>
        <v>No Data</v>
      </c>
      <c r="DQM3" t="str">
        <f t="shared" si="49"/>
        <v>Med</v>
      </c>
      <c r="DQN3" t="str">
        <f t="shared" si="49"/>
        <v>Med</v>
      </c>
      <c r="DQO3" t="str">
        <f t="shared" si="49"/>
        <v>Med</v>
      </c>
      <c r="DQP3" t="str">
        <f t="shared" si="49"/>
        <v>Low</v>
      </c>
      <c r="DQQ3" t="str">
        <f t="shared" si="49"/>
        <v>No Data</v>
      </c>
      <c r="DQR3" t="str">
        <f t="shared" si="49"/>
        <v>Med</v>
      </c>
      <c r="DQS3" t="str">
        <f t="shared" si="49"/>
        <v>Low</v>
      </c>
      <c r="DQT3" t="str">
        <f t="shared" si="49"/>
        <v>Med</v>
      </c>
      <c r="DQU3" t="str">
        <f t="shared" si="49"/>
        <v>Med</v>
      </c>
      <c r="DQV3" t="str">
        <f t="shared" si="49"/>
        <v>Med</v>
      </c>
      <c r="DQW3" t="str">
        <f t="shared" si="49"/>
        <v>Low</v>
      </c>
      <c r="DQX3" t="str">
        <f t="shared" si="49"/>
        <v>Med</v>
      </c>
      <c r="DQY3" t="str">
        <f t="shared" si="49"/>
        <v>Med</v>
      </c>
      <c r="DQZ3" t="str">
        <f t="shared" si="49"/>
        <v>Med</v>
      </c>
      <c r="DRA3" t="str">
        <f t="shared" si="49"/>
        <v>Med</v>
      </c>
      <c r="DRB3" t="str">
        <f t="shared" si="49"/>
        <v>Med</v>
      </c>
      <c r="DRC3" t="str">
        <f t="shared" si="49"/>
        <v>No Data</v>
      </c>
      <c r="DRD3" t="str">
        <f t="shared" si="49"/>
        <v>Med</v>
      </c>
      <c r="DRE3" t="str">
        <f t="shared" si="49"/>
        <v>Med</v>
      </c>
      <c r="DRF3" t="str">
        <f t="shared" si="49"/>
        <v>Low</v>
      </c>
      <c r="DRG3" t="str">
        <f t="shared" si="49"/>
        <v>Med</v>
      </c>
      <c r="DRH3" t="str">
        <f t="shared" si="49"/>
        <v>Med</v>
      </c>
      <c r="DRI3" t="str">
        <f t="shared" si="49"/>
        <v>Med</v>
      </c>
      <c r="DRJ3" t="str">
        <f t="shared" si="49"/>
        <v>Med</v>
      </c>
      <c r="DRK3" t="str">
        <f t="shared" si="49"/>
        <v>Med</v>
      </c>
      <c r="DRL3" t="str">
        <f t="shared" si="49"/>
        <v>No Data</v>
      </c>
      <c r="DRM3" t="str">
        <f t="shared" si="49"/>
        <v>Med</v>
      </c>
      <c r="DRN3" t="str">
        <f t="shared" si="49"/>
        <v>No Data</v>
      </c>
      <c r="DRO3" t="str">
        <f t="shared" si="49"/>
        <v>Med</v>
      </c>
      <c r="DRP3" t="str">
        <f t="shared" si="49"/>
        <v>No Data</v>
      </c>
      <c r="DRQ3" t="str">
        <f t="shared" si="49"/>
        <v>Med</v>
      </c>
      <c r="DRR3" t="str">
        <f t="shared" si="49"/>
        <v>Med</v>
      </c>
      <c r="DRS3" t="str">
        <f t="shared" si="49"/>
        <v>Med</v>
      </c>
      <c r="DRT3" t="str">
        <f t="shared" si="49"/>
        <v>Med</v>
      </c>
      <c r="DRU3" t="str">
        <f t="shared" si="49"/>
        <v>Med</v>
      </c>
      <c r="DRV3" t="str">
        <f t="shared" si="49"/>
        <v>Med</v>
      </c>
      <c r="DRW3" t="str">
        <f t="shared" si="49"/>
        <v>No Data</v>
      </c>
      <c r="DRX3" t="str">
        <f t="shared" si="49"/>
        <v>Med</v>
      </c>
      <c r="DRY3" t="str">
        <f t="shared" si="49"/>
        <v>Med</v>
      </c>
      <c r="DRZ3" t="str">
        <f t="shared" si="49"/>
        <v>Low</v>
      </c>
      <c r="DSA3" t="str">
        <f t="shared" si="49"/>
        <v>Low</v>
      </c>
      <c r="DSB3" t="str">
        <f t="shared" si="49"/>
        <v>Med</v>
      </c>
      <c r="DSC3" t="str">
        <f t="shared" si="49"/>
        <v>Med</v>
      </c>
      <c r="DSD3" t="str">
        <f t="shared" si="49"/>
        <v>Low</v>
      </c>
      <c r="DSE3" t="str">
        <f t="shared" si="49"/>
        <v>No Data</v>
      </c>
      <c r="DSF3" t="str">
        <f t="shared" si="49"/>
        <v>Med</v>
      </c>
      <c r="DSG3" t="str">
        <f t="shared" ref="DSG3:DUR3" si="50">IF(DSG2="","No Data",IF(DSG2&gt;=100000,"High",IF(DSG2&gt;=40000,"Med","Low")))</f>
        <v>Low</v>
      </c>
      <c r="DSH3" t="str">
        <f t="shared" si="50"/>
        <v>No Data</v>
      </c>
      <c r="DSI3" t="str">
        <f t="shared" si="50"/>
        <v>Med</v>
      </c>
      <c r="DSJ3" t="str">
        <f t="shared" si="50"/>
        <v>Med</v>
      </c>
      <c r="DSK3" t="str">
        <f t="shared" si="50"/>
        <v>Low</v>
      </c>
      <c r="DSL3" t="str">
        <f t="shared" si="50"/>
        <v>Med</v>
      </c>
      <c r="DSM3" t="str">
        <f t="shared" si="50"/>
        <v>Med</v>
      </c>
      <c r="DSN3" t="str">
        <f t="shared" si="50"/>
        <v>No Data</v>
      </c>
      <c r="DSO3" t="str">
        <f t="shared" si="50"/>
        <v>Low</v>
      </c>
      <c r="DSP3" t="str">
        <f t="shared" si="50"/>
        <v>Low</v>
      </c>
      <c r="DSQ3" t="str">
        <f t="shared" si="50"/>
        <v>Low</v>
      </c>
      <c r="DSR3" t="str">
        <f t="shared" si="50"/>
        <v>Low</v>
      </c>
      <c r="DSS3" t="str">
        <f t="shared" si="50"/>
        <v>No Data</v>
      </c>
      <c r="DST3" t="str">
        <f t="shared" si="50"/>
        <v>Med</v>
      </c>
      <c r="DSU3" t="str">
        <f t="shared" si="50"/>
        <v>Med</v>
      </c>
      <c r="DSV3" t="str">
        <f t="shared" si="50"/>
        <v>Med</v>
      </c>
      <c r="DSW3" t="str">
        <f t="shared" si="50"/>
        <v>Med</v>
      </c>
      <c r="DSX3" t="str">
        <f t="shared" si="50"/>
        <v>Low</v>
      </c>
      <c r="DSY3" t="str">
        <f t="shared" si="50"/>
        <v>Med</v>
      </c>
      <c r="DSZ3" t="str">
        <f t="shared" si="50"/>
        <v>Med</v>
      </c>
      <c r="DTA3" t="str">
        <f t="shared" si="50"/>
        <v>Low</v>
      </c>
      <c r="DTB3" t="str">
        <f t="shared" si="50"/>
        <v>High</v>
      </c>
      <c r="DTC3" t="str">
        <f t="shared" si="50"/>
        <v>Low</v>
      </c>
      <c r="DTD3" t="str">
        <f t="shared" si="50"/>
        <v>High</v>
      </c>
      <c r="DTE3" t="str">
        <f t="shared" si="50"/>
        <v>Low</v>
      </c>
      <c r="DTF3" t="str">
        <f t="shared" si="50"/>
        <v>Med</v>
      </c>
      <c r="DTG3" t="str">
        <f t="shared" si="50"/>
        <v>Med</v>
      </c>
      <c r="DTH3" t="str">
        <f t="shared" si="50"/>
        <v>Med</v>
      </c>
      <c r="DTI3" t="str">
        <f t="shared" si="50"/>
        <v>Med</v>
      </c>
      <c r="DTJ3" t="str">
        <f t="shared" si="50"/>
        <v>No Data</v>
      </c>
      <c r="DTK3" t="str">
        <f t="shared" si="50"/>
        <v>Med</v>
      </c>
      <c r="DTL3" t="str">
        <f t="shared" si="50"/>
        <v>Med</v>
      </c>
      <c r="DTM3" t="str">
        <f t="shared" si="50"/>
        <v>No Data</v>
      </c>
      <c r="DTN3" t="str">
        <f t="shared" si="50"/>
        <v>Med</v>
      </c>
      <c r="DTO3" t="str">
        <f t="shared" si="50"/>
        <v>Med</v>
      </c>
      <c r="DTP3" t="str">
        <f t="shared" si="50"/>
        <v>Low</v>
      </c>
      <c r="DTQ3" t="str">
        <f t="shared" si="50"/>
        <v>Med</v>
      </c>
      <c r="DTR3" t="str">
        <f t="shared" si="50"/>
        <v>Med</v>
      </c>
      <c r="DTS3" t="str">
        <f t="shared" si="50"/>
        <v>Med</v>
      </c>
      <c r="DTT3" t="str">
        <f t="shared" si="50"/>
        <v>Med</v>
      </c>
      <c r="DTU3" t="str">
        <f t="shared" si="50"/>
        <v>Low</v>
      </c>
      <c r="DTV3" t="str">
        <f t="shared" si="50"/>
        <v>Low</v>
      </c>
      <c r="DTW3" t="str">
        <f t="shared" si="50"/>
        <v>Low</v>
      </c>
      <c r="DTX3" t="str">
        <f t="shared" si="50"/>
        <v>Med</v>
      </c>
      <c r="DTY3" t="str">
        <f t="shared" si="50"/>
        <v>No Data</v>
      </c>
      <c r="DTZ3" t="str">
        <f t="shared" si="50"/>
        <v>Med</v>
      </c>
      <c r="DUA3" t="str">
        <f t="shared" si="50"/>
        <v>No Data</v>
      </c>
      <c r="DUB3" t="str">
        <f t="shared" si="50"/>
        <v>No Data</v>
      </c>
      <c r="DUC3" t="str">
        <f t="shared" si="50"/>
        <v>Low</v>
      </c>
      <c r="DUD3" t="str">
        <f t="shared" si="50"/>
        <v>Med</v>
      </c>
      <c r="DUE3" t="str">
        <f t="shared" si="50"/>
        <v>Med</v>
      </c>
      <c r="DUF3" t="str">
        <f t="shared" si="50"/>
        <v>No Data</v>
      </c>
      <c r="DUG3" t="str">
        <f t="shared" si="50"/>
        <v>Med</v>
      </c>
      <c r="DUH3" t="str">
        <f t="shared" si="50"/>
        <v>No Data</v>
      </c>
      <c r="DUI3" t="str">
        <f t="shared" si="50"/>
        <v>Low</v>
      </c>
      <c r="DUJ3" t="str">
        <f t="shared" si="50"/>
        <v>Med</v>
      </c>
      <c r="DUK3" t="str">
        <f t="shared" si="50"/>
        <v>Low</v>
      </c>
      <c r="DUL3" t="str">
        <f t="shared" si="50"/>
        <v>Low</v>
      </c>
      <c r="DUM3" t="str">
        <f t="shared" si="50"/>
        <v>Med</v>
      </c>
      <c r="DUN3" t="str">
        <f t="shared" si="50"/>
        <v>Low</v>
      </c>
      <c r="DUO3" t="str">
        <f t="shared" si="50"/>
        <v>Med</v>
      </c>
      <c r="DUP3" t="str">
        <f t="shared" si="50"/>
        <v>Med</v>
      </c>
      <c r="DUQ3" t="str">
        <f t="shared" si="50"/>
        <v>No Data</v>
      </c>
      <c r="DUR3" t="str">
        <f t="shared" si="50"/>
        <v>Med</v>
      </c>
      <c r="DUS3" t="str">
        <f t="shared" ref="DUS3:DXD3" si="51">IF(DUS2="","No Data",IF(DUS2&gt;=100000,"High",IF(DUS2&gt;=40000,"Med","Low")))</f>
        <v>Med</v>
      </c>
      <c r="DUT3" t="str">
        <f t="shared" si="51"/>
        <v>Med</v>
      </c>
      <c r="DUU3" t="str">
        <f t="shared" si="51"/>
        <v>Med</v>
      </c>
      <c r="DUV3" t="str">
        <f t="shared" si="51"/>
        <v>Med</v>
      </c>
      <c r="DUW3" t="str">
        <f t="shared" si="51"/>
        <v>Med</v>
      </c>
      <c r="DUX3" t="str">
        <f t="shared" si="51"/>
        <v>Med</v>
      </c>
      <c r="DUY3" t="str">
        <f t="shared" si="51"/>
        <v>Med</v>
      </c>
      <c r="DUZ3" t="str">
        <f t="shared" si="51"/>
        <v>Med</v>
      </c>
      <c r="DVA3" t="str">
        <f t="shared" si="51"/>
        <v>Med</v>
      </c>
      <c r="DVB3" t="str">
        <f t="shared" si="51"/>
        <v>Med</v>
      </c>
      <c r="DVC3" t="str">
        <f t="shared" si="51"/>
        <v>Med</v>
      </c>
      <c r="DVD3" t="str">
        <f t="shared" si="51"/>
        <v>Low</v>
      </c>
      <c r="DVE3" t="str">
        <f t="shared" si="51"/>
        <v>Med</v>
      </c>
      <c r="DVF3" t="str">
        <f t="shared" si="51"/>
        <v>Med</v>
      </c>
      <c r="DVG3" t="str">
        <f t="shared" si="51"/>
        <v>Med</v>
      </c>
      <c r="DVH3" t="str">
        <f t="shared" si="51"/>
        <v>Med</v>
      </c>
      <c r="DVI3" t="str">
        <f t="shared" si="51"/>
        <v>Med</v>
      </c>
      <c r="DVJ3" t="str">
        <f t="shared" si="51"/>
        <v>Med</v>
      </c>
      <c r="DVK3" t="str">
        <f t="shared" si="51"/>
        <v>Med</v>
      </c>
      <c r="DVL3" t="str">
        <f t="shared" si="51"/>
        <v>Med</v>
      </c>
      <c r="DVM3" t="str">
        <f t="shared" si="51"/>
        <v>Med</v>
      </c>
      <c r="DVN3" t="str">
        <f t="shared" si="51"/>
        <v>Med</v>
      </c>
      <c r="DVO3" t="str">
        <f t="shared" si="51"/>
        <v>Med</v>
      </c>
      <c r="DVP3" t="str">
        <f t="shared" si="51"/>
        <v>Low</v>
      </c>
      <c r="DVQ3" t="str">
        <f t="shared" si="51"/>
        <v>Med</v>
      </c>
      <c r="DVR3" t="str">
        <f t="shared" si="51"/>
        <v>Med</v>
      </c>
      <c r="DVS3" t="str">
        <f t="shared" si="51"/>
        <v>Med</v>
      </c>
      <c r="DVT3" t="str">
        <f t="shared" si="51"/>
        <v>Low</v>
      </c>
      <c r="DVU3" t="str">
        <f t="shared" si="51"/>
        <v>Med</v>
      </c>
      <c r="DVV3" t="str">
        <f t="shared" si="51"/>
        <v>Med</v>
      </c>
      <c r="DVW3" t="str">
        <f t="shared" si="51"/>
        <v>Med</v>
      </c>
      <c r="DVX3" t="str">
        <f t="shared" si="51"/>
        <v>No Data</v>
      </c>
      <c r="DVY3" t="str">
        <f t="shared" si="51"/>
        <v>Med</v>
      </c>
      <c r="DVZ3" t="str">
        <f t="shared" si="51"/>
        <v>Med</v>
      </c>
      <c r="DWA3" t="str">
        <f t="shared" si="51"/>
        <v>Med</v>
      </c>
      <c r="DWB3" t="str">
        <f t="shared" si="51"/>
        <v>Med</v>
      </c>
      <c r="DWC3" t="str">
        <f t="shared" si="51"/>
        <v>Med</v>
      </c>
      <c r="DWD3" t="str">
        <f t="shared" si="51"/>
        <v>Med</v>
      </c>
      <c r="DWE3" t="str">
        <f t="shared" si="51"/>
        <v>Med</v>
      </c>
      <c r="DWF3" t="str">
        <f t="shared" si="51"/>
        <v>Med</v>
      </c>
      <c r="DWG3" t="str">
        <f t="shared" si="51"/>
        <v>Med</v>
      </c>
      <c r="DWH3" t="str">
        <f t="shared" si="51"/>
        <v>Med</v>
      </c>
      <c r="DWI3" t="str">
        <f t="shared" si="51"/>
        <v>Med</v>
      </c>
      <c r="DWJ3" t="str">
        <f t="shared" si="51"/>
        <v>Med</v>
      </c>
      <c r="DWK3" t="str">
        <f t="shared" si="51"/>
        <v>Med</v>
      </c>
      <c r="DWL3" t="str">
        <f t="shared" si="51"/>
        <v>Med</v>
      </c>
      <c r="DWM3" t="str">
        <f t="shared" si="51"/>
        <v>Med</v>
      </c>
      <c r="DWN3" t="str">
        <f t="shared" si="51"/>
        <v>High</v>
      </c>
      <c r="DWO3" t="str">
        <f t="shared" si="51"/>
        <v>Med</v>
      </c>
      <c r="DWP3" t="str">
        <f t="shared" si="51"/>
        <v>Med</v>
      </c>
      <c r="DWQ3" t="str">
        <f t="shared" si="51"/>
        <v>No Data</v>
      </c>
      <c r="DWR3" t="str">
        <f t="shared" si="51"/>
        <v>Med</v>
      </c>
      <c r="DWS3" t="str">
        <f t="shared" si="51"/>
        <v>Med</v>
      </c>
      <c r="DWT3" t="str">
        <f t="shared" si="51"/>
        <v>Med</v>
      </c>
      <c r="DWU3" t="str">
        <f t="shared" si="51"/>
        <v>Med</v>
      </c>
      <c r="DWV3" t="str">
        <f t="shared" si="51"/>
        <v>Med</v>
      </c>
      <c r="DWW3" t="str">
        <f t="shared" si="51"/>
        <v>Med</v>
      </c>
      <c r="DWX3" t="str">
        <f t="shared" si="51"/>
        <v>Med</v>
      </c>
      <c r="DWY3" t="str">
        <f t="shared" si="51"/>
        <v>Med</v>
      </c>
      <c r="DWZ3" t="str">
        <f t="shared" si="51"/>
        <v>No Data</v>
      </c>
      <c r="DXA3" t="str">
        <f t="shared" si="51"/>
        <v>Med</v>
      </c>
      <c r="DXB3" t="str">
        <f t="shared" si="51"/>
        <v>High</v>
      </c>
      <c r="DXC3" t="str">
        <f t="shared" si="51"/>
        <v>High</v>
      </c>
      <c r="DXD3" t="str">
        <f t="shared" si="51"/>
        <v>Med</v>
      </c>
      <c r="DXE3" t="str">
        <f t="shared" ref="DXE3:DZP3" si="52">IF(DXE2="","No Data",IF(DXE2&gt;=100000,"High",IF(DXE2&gt;=40000,"Med","Low")))</f>
        <v>High</v>
      </c>
      <c r="DXF3" t="str">
        <f t="shared" si="52"/>
        <v>Med</v>
      </c>
      <c r="DXG3" t="str">
        <f t="shared" si="52"/>
        <v>Med</v>
      </c>
      <c r="DXH3" t="str">
        <f t="shared" si="52"/>
        <v>Med</v>
      </c>
      <c r="DXI3" t="str">
        <f t="shared" si="52"/>
        <v>Med</v>
      </c>
      <c r="DXJ3" t="str">
        <f t="shared" si="52"/>
        <v>No Data</v>
      </c>
      <c r="DXK3" t="str">
        <f t="shared" si="52"/>
        <v>Med</v>
      </c>
      <c r="DXL3" t="str">
        <f t="shared" si="52"/>
        <v>Med</v>
      </c>
      <c r="DXM3" t="str">
        <f t="shared" si="52"/>
        <v>Med</v>
      </c>
      <c r="DXN3" t="str">
        <f t="shared" si="52"/>
        <v>Med</v>
      </c>
      <c r="DXO3" t="str">
        <f t="shared" si="52"/>
        <v>Low</v>
      </c>
      <c r="DXP3" t="str">
        <f t="shared" si="52"/>
        <v>Low</v>
      </c>
      <c r="DXQ3" t="str">
        <f t="shared" si="52"/>
        <v>Med</v>
      </c>
      <c r="DXR3" t="str">
        <f t="shared" si="52"/>
        <v>Med</v>
      </c>
      <c r="DXS3" t="str">
        <f t="shared" si="52"/>
        <v>Med</v>
      </c>
      <c r="DXT3" t="str">
        <f t="shared" si="52"/>
        <v>Med</v>
      </c>
      <c r="DXU3" t="str">
        <f t="shared" si="52"/>
        <v>Med</v>
      </c>
      <c r="DXV3" t="str">
        <f t="shared" si="52"/>
        <v>Med</v>
      </c>
      <c r="DXW3" t="str">
        <f t="shared" si="52"/>
        <v>Med</v>
      </c>
      <c r="DXX3" t="str">
        <f t="shared" si="52"/>
        <v>Med</v>
      </c>
      <c r="DXY3" t="str">
        <f t="shared" si="52"/>
        <v>Med</v>
      </c>
      <c r="DXZ3" t="str">
        <f t="shared" si="52"/>
        <v>Med</v>
      </c>
      <c r="DYA3" t="str">
        <f t="shared" si="52"/>
        <v>Low</v>
      </c>
      <c r="DYB3" t="str">
        <f t="shared" si="52"/>
        <v>Med</v>
      </c>
      <c r="DYC3" t="str">
        <f t="shared" si="52"/>
        <v>Med</v>
      </c>
      <c r="DYD3" t="str">
        <f t="shared" si="52"/>
        <v>Low</v>
      </c>
      <c r="DYE3" t="str">
        <f t="shared" si="52"/>
        <v>Med</v>
      </c>
      <c r="DYF3" t="str">
        <f t="shared" si="52"/>
        <v>No Data</v>
      </c>
      <c r="DYG3" t="str">
        <f t="shared" si="52"/>
        <v>Med</v>
      </c>
      <c r="DYH3" t="str">
        <f t="shared" si="52"/>
        <v>No Data</v>
      </c>
      <c r="DYI3" t="str">
        <f t="shared" si="52"/>
        <v>Med</v>
      </c>
      <c r="DYJ3" t="str">
        <f t="shared" si="52"/>
        <v>Med</v>
      </c>
      <c r="DYK3" t="str">
        <f t="shared" si="52"/>
        <v>Low</v>
      </c>
      <c r="DYL3" t="str">
        <f t="shared" si="52"/>
        <v>Low</v>
      </c>
      <c r="DYM3" t="str">
        <f t="shared" si="52"/>
        <v>High</v>
      </c>
      <c r="DYN3" t="str">
        <f t="shared" si="52"/>
        <v>High</v>
      </c>
      <c r="DYO3" t="str">
        <f t="shared" si="52"/>
        <v>Low</v>
      </c>
      <c r="DYP3" t="str">
        <f t="shared" si="52"/>
        <v>Med</v>
      </c>
      <c r="DYQ3" t="str">
        <f t="shared" si="52"/>
        <v>Med</v>
      </c>
      <c r="DYR3" t="str">
        <f t="shared" si="52"/>
        <v>Med</v>
      </c>
      <c r="DYS3" t="str">
        <f t="shared" si="52"/>
        <v>No Data</v>
      </c>
      <c r="DYT3" t="str">
        <f t="shared" si="52"/>
        <v>Med</v>
      </c>
      <c r="DYU3" t="str">
        <f t="shared" si="52"/>
        <v>Med</v>
      </c>
      <c r="DYV3" t="str">
        <f t="shared" si="52"/>
        <v>Low</v>
      </c>
      <c r="DYW3" t="str">
        <f t="shared" si="52"/>
        <v>Med</v>
      </c>
      <c r="DYX3" t="str">
        <f t="shared" si="52"/>
        <v>No Data</v>
      </c>
      <c r="DYY3" t="str">
        <f t="shared" si="52"/>
        <v>No Data</v>
      </c>
      <c r="DYZ3" t="str">
        <f t="shared" si="52"/>
        <v>Low</v>
      </c>
      <c r="DZA3" t="str">
        <f t="shared" si="52"/>
        <v>Med</v>
      </c>
      <c r="DZB3" t="str">
        <f t="shared" si="52"/>
        <v>Low</v>
      </c>
      <c r="DZC3" t="str">
        <f t="shared" si="52"/>
        <v>Med</v>
      </c>
      <c r="DZD3" t="str">
        <f t="shared" si="52"/>
        <v>Med</v>
      </c>
      <c r="DZE3" t="str">
        <f t="shared" si="52"/>
        <v>Med</v>
      </c>
      <c r="DZF3" t="str">
        <f t="shared" si="52"/>
        <v>Low</v>
      </c>
      <c r="DZG3" t="str">
        <f t="shared" si="52"/>
        <v>Med</v>
      </c>
      <c r="DZH3" t="str">
        <f t="shared" si="52"/>
        <v>Med</v>
      </c>
      <c r="DZI3" t="str">
        <f t="shared" si="52"/>
        <v>Med</v>
      </c>
      <c r="DZJ3" t="str">
        <f t="shared" si="52"/>
        <v>Med</v>
      </c>
      <c r="DZK3" t="str">
        <f t="shared" si="52"/>
        <v>Low</v>
      </c>
      <c r="DZL3" t="str">
        <f t="shared" si="52"/>
        <v>Med</v>
      </c>
      <c r="DZM3" t="str">
        <f t="shared" si="52"/>
        <v>Low</v>
      </c>
      <c r="DZN3" t="str">
        <f t="shared" si="52"/>
        <v>Med</v>
      </c>
      <c r="DZO3" t="str">
        <f t="shared" si="52"/>
        <v>Med</v>
      </c>
      <c r="DZP3" t="str">
        <f t="shared" si="52"/>
        <v>No Data</v>
      </c>
      <c r="DZQ3" t="str">
        <f t="shared" ref="DZQ3:ECB3" si="53">IF(DZQ2="","No Data",IF(DZQ2&gt;=100000,"High",IF(DZQ2&gt;=40000,"Med","Low")))</f>
        <v>Low</v>
      </c>
      <c r="DZR3" t="str">
        <f t="shared" si="53"/>
        <v>Med</v>
      </c>
      <c r="DZS3" t="str">
        <f t="shared" si="53"/>
        <v>Low</v>
      </c>
      <c r="DZT3" t="str">
        <f t="shared" si="53"/>
        <v>No Data</v>
      </c>
      <c r="DZU3" t="str">
        <f t="shared" si="53"/>
        <v>Low</v>
      </c>
      <c r="DZV3" t="str">
        <f t="shared" si="53"/>
        <v>Med</v>
      </c>
      <c r="DZW3" t="str">
        <f t="shared" si="53"/>
        <v>Low</v>
      </c>
      <c r="DZX3" t="str">
        <f t="shared" si="53"/>
        <v>Med</v>
      </c>
      <c r="DZY3" t="str">
        <f t="shared" si="53"/>
        <v>Low</v>
      </c>
      <c r="DZZ3" t="str">
        <f t="shared" si="53"/>
        <v>Low</v>
      </c>
      <c r="EAA3" t="str">
        <f t="shared" si="53"/>
        <v>Low</v>
      </c>
      <c r="EAB3" t="str">
        <f t="shared" si="53"/>
        <v>Low</v>
      </c>
      <c r="EAC3" t="str">
        <f t="shared" si="53"/>
        <v>Med</v>
      </c>
      <c r="EAD3" t="str">
        <f t="shared" si="53"/>
        <v>Low</v>
      </c>
      <c r="EAE3" t="str">
        <f t="shared" si="53"/>
        <v>Med</v>
      </c>
      <c r="EAF3" t="str">
        <f t="shared" si="53"/>
        <v>No Data</v>
      </c>
      <c r="EAG3" t="str">
        <f t="shared" si="53"/>
        <v>Med</v>
      </c>
      <c r="EAH3" t="str">
        <f t="shared" si="53"/>
        <v>Low</v>
      </c>
      <c r="EAI3" t="str">
        <f t="shared" si="53"/>
        <v>Med</v>
      </c>
      <c r="EAJ3" t="str">
        <f t="shared" si="53"/>
        <v>No Data</v>
      </c>
      <c r="EAK3" t="str">
        <f t="shared" si="53"/>
        <v>Med</v>
      </c>
      <c r="EAL3" t="str">
        <f t="shared" si="53"/>
        <v>Low</v>
      </c>
      <c r="EAM3" t="str">
        <f t="shared" si="53"/>
        <v>Low</v>
      </c>
      <c r="EAN3" t="str">
        <f t="shared" si="53"/>
        <v>Med</v>
      </c>
      <c r="EAO3" t="str">
        <f t="shared" si="53"/>
        <v>Med</v>
      </c>
      <c r="EAP3" t="str">
        <f t="shared" si="53"/>
        <v>No Data</v>
      </c>
      <c r="EAQ3" t="str">
        <f t="shared" si="53"/>
        <v>Med</v>
      </c>
      <c r="EAR3" t="str">
        <f t="shared" si="53"/>
        <v>No Data</v>
      </c>
      <c r="EAS3" t="str">
        <f t="shared" si="53"/>
        <v>No Data</v>
      </c>
      <c r="EAT3" t="str">
        <f t="shared" si="53"/>
        <v>Med</v>
      </c>
      <c r="EAU3" t="str">
        <f t="shared" si="53"/>
        <v>Med</v>
      </c>
      <c r="EAV3" t="str">
        <f t="shared" si="53"/>
        <v>Med</v>
      </c>
      <c r="EAW3" t="str">
        <f t="shared" si="53"/>
        <v>Med</v>
      </c>
      <c r="EAX3" t="str">
        <f t="shared" si="53"/>
        <v>Med</v>
      </c>
      <c r="EAY3" t="str">
        <f t="shared" si="53"/>
        <v>No Data</v>
      </c>
      <c r="EAZ3" t="str">
        <f t="shared" si="53"/>
        <v>Med</v>
      </c>
      <c r="EBA3" t="str">
        <f t="shared" si="53"/>
        <v>No Data</v>
      </c>
      <c r="EBB3" t="str">
        <f t="shared" si="53"/>
        <v>Med</v>
      </c>
      <c r="EBC3" t="str">
        <f t="shared" si="53"/>
        <v>Med</v>
      </c>
      <c r="EBD3" t="str">
        <f t="shared" si="53"/>
        <v>Med</v>
      </c>
      <c r="EBE3" t="str">
        <f t="shared" si="53"/>
        <v>No Data</v>
      </c>
      <c r="EBF3" t="str">
        <f t="shared" si="53"/>
        <v>Med</v>
      </c>
      <c r="EBG3" t="str">
        <f t="shared" si="53"/>
        <v>No Data</v>
      </c>
      <c r="EBH3" t="str">
        <f t="shared" si="53"/>
        <v>Med</v>
      </c>
      <c r="EBI3" t="str">
        <f t="shared" si="53"/>
        <v>Med</v>
      </c>
      <c r="EBJ3" t="str">
        <f t="shared" si="53"/>
        <v>Med</v>
      </c>
      <c r="EBK3" t="str">
        <f t="shared" si="53"/>
        <v>Med</v>
      </c>
      <c r="EBL3" t="str">
        <f t="shared" si="53"/>
        <v>Low</v>
      </c>
      <c r="EBM3" t="str">
        <f t="shared" si="53"/>
        <v>No Data</v>
      </c>
      <c r="EBN3" t="str">
        <f t="shared" si="53"/>
        <v>Low</v>
      </c>
      <c r="EBO3" t="str">
        <f t="shared" si="53"/>
        <v>No Data</v>
      </c>
      <c r="EBP3" t="str">
        <f t="shared" si="53"/>
        <v>No Data</v>
      </c>
      <c r="EBQ3" t="str">
        <f t="shared" si="53"/>
        <v>No Data</v>
      </c>
      <c r="EBR3" t="str">
        <f t="shared" si="53"/>
        <v>Med</v>
      </c>
      <c r="EBS3" t="str">
        <f t="shared" si="53"/>
        <v>Low</v>
      </c>
      <c r="EBT3" t="str">
        <f t="shared" si="53"/>
        <v>No Data</v>
      </c>
      <c r="EBU3" t="str">
        <f t="shared" si="53"/>
        <v>Med</v>
      </c>
      <c r="EBV3" t="str">
        <f t="shared" si="53"/>
        <v>Med</v>
      </c>
      <c r="EBW3" t="str">
        <f t="shared" si="53"/>
        <v>Low</v>
      </c>
      <c r="EBX3" t="str">
        <f t="shared" si="53"/>
        <v>Med</v>
      </c>
      <c r="EBY3" t="str">
        <f t="shared" si="53"/>
        <v>Med</v>
      </c>
      <c r="EBZ3" t="str">
        <f t="shared" si="53"/>
        <v>No Data</v>
      </c>
      <c r="ECA3" t="str">
        <f t="shared" si="53"/>
        <v>Med</v>
      </c>
      <c r="ECB3" t="str">
        <f t="shared" si="53"/>
        <v>Low</v>
      </c>
      <c r="ECC3" t="str">
        <f t="shared" ref="ECC3:EEN3" si="54">IF(ECC2="","No Data",IF(ECC2&gt;=100000,"High",IF(ECC2&gt;=40000,"Med","Low")))</f>
        <v>Med</v>
      </c>
      <c r="ECD3" t="str">
        <f t="shared" si="54"/>
        <v>Med</v>
      </c>
      <c r="ECE3" t="str">
        <f t="shared" si="54"/>
        <v>Low</v>
      </c>
      <c r="ECF3" t="str">
        <f t="shared" si="54"/>
        <v>Med</v>
      </c>
      <c r="ECG3" t="str">
        <f t="shared" si="54"/>
        <v>Med</v>
      </c>
      <c r="ECH3" t="str">
        <f t="shared" si="54"/>
        <v>Med</v>
      </c>
      <c r="ECI3" t="str">
        <f t="shared" si="54"/>
        <v>Med</v>
      </c>
      <c r="ECJ3" t="str">
        <f t="shared" si="54"/>
        <v>No Data</v>
      </c>
      <c r="ECK3" t="str">
        <f t="shared" si="54"/>
        <v>Med</v>
      </c>
      <c r="ECL3" t="str">
        <f t="shared" si="54"/>
        <v>Med</v>
      </c>
      <c r="ECM3" t="str">
        <f t="shared" si="54"/>
        <v>No Data</v>
      </c>
      <c r="ECN3" t="str">
        <f t="shared" si="54"/>
        <v>Med</v>
      </c>
      <c r="ECO3" t="str">
        <f t="shared" si="54"/>
        <v>Med</v>
      </c>
      <c r="ECP3" t="str">
        <f t="shared" si="54"/>
        <v>No Data</v>
      </c>
      <c r="ECQ3" t="str">
        <f t="shared" si="54"/>
        <v>Med</v>
      </c>
      <c r="ECR3" t="str">
        <f t="shared" si="54"/>
        <v>No Data</v>
      </c>
      <c r="ECS3" t="str">
        <f t="shared" si="54"/>
        <v>Med</v>
      </c>
      <c r="ECT3" t="str">
        <f t="shared" si="54"/>
        <v>Med</v>
      </c>
      <c r="ECU3" t="str">
        <f t="shared" si="54"/>
        <v>High</v>
      </c>
      <c r="ECV3" t="str">
        <f t="shared" si="54"/>
        <v>Low</v>
      </c>
      <c r="ECW3" t="str">
        <f t="shared" si="54"/>
        <v>Low</v>
      </c>
      <c r="ECX3" t="str">
        <f t="shared" si="54"/>
        <v>Low</v>
      </c>
      <c r="ECY3" t="str">
        <f t="shared" si="54"/>
        <v>Med</v>
      </c>
      <c r="ECZ3" t="str">
        <f t="shared" si="54"/>
        <v>No Data</v>
      </c>
      <c r="EDA3" t="str">
        <f t="shared" si="54"/>
        <v>Med</v>
      </c>
      <c r="EDB3" t="str">
        <f t="shared" si="54"/>
        <v>No Data</v>
      </c>
      <c r="EDC3" t="str">
        <f t="shared" si="54"/>
        <v>No Data</v>
      </c>
      <c r="EDD3" t="str">
        <f t="shared" si="54"/>
        <v>Low</v>
      </c>
      <c r="EDE3" t="str">
        <f t="shared" si="54"/>
        <v>Low</v>
      </c>
      <c r="EDF3" t="str">
        <f t="shared" si="54"/>
        <v>Med</v>
      </c>
      <c r="EDG3" t="str">
        <f t="shared" si="54"/>
        <v>Med</v>
      </c>
      <c r="EDH3" t="str">
        <f t="shared" si="54"/>
        <v>Med</v>
      </c>
      <c r="EDI3" t="str">
        <f t="shared" si="54"/>
        <v>Med</v>
      </c>
      <c r="EDJ3" t="str">
        <f t="shared" si="54"/>
        <v>Low</v>
      </c>
      <c r="EDK3" t="str">
        <f t="shared" si="54"/>
        <v>Med</v>
      </c>
      <c r="EDL3" t="str">
        <f t="shared" si="54"/>
        <v>No Data</v>
      </c>
      <c r="EDM3" t="str">
        <f t="shared" si="54"/>
        <v>Med</v>
      </c>
      <c r="EDN3" t="str">
        <f t="shared" si="54"/>
        <v>Med</v>
      </c>
      <c r="EDO3" t="str">
        <f t="shared" si="54"/>
        <v>Low</v>
      </c>
      <c r="EDP3" t="str">
        <f t="shared" si="54"/>
        <v>Low</v>
      </c>
      <c r="EDQ3" t="str">
        <f t="shared" si="54"/>
        <v>Med</v>
      </c>
      <c r="EDR3" t="str">
        <f t="shared" si="54"/>
        <v>Med</v>
      </c>
      <c r="EDS3" t="str">
        <f t="shared" si="54"/>
        <v>No Data</v>
      </c>
      <c r="EDT3" t="str">
        <f t="shared" si="54"/>
        <v>Med</v>
      </c>
      <c r="EDU3" t="str">
        <f t="shared" si="54"/>
        <v>Low</v>
      </c>
      <c r="EDV3" t="str">
        <f t="shared" si="54"/>
        <v>Med</v>
      </c>
      <c r="EDW3" t="str">
        <f t="shared" si="54"/>
        <v>Med</v>
      </c>
      <c r="EDX3" t="str">
        <f t="shared" si="54"/>
        <v>Med</v>
      </c>
      <c r="EDY3" t="str">
        <f t="shared" si="54"/>
        <v>Med</v>
      </c>
      <c r="EDZ3" t="str">
        <f t="shared" si="54"/>
        <v>Med</v>
      </c>
      <c r="EEA3" t="str">
        <f t="shared" si="54"/>
        <v>High</v>
      </c>
      <c r="EEB3" t="str">
        <f t="shared" si="54"/>
        <v>Med</v>
      </c>
      <c r="EEC3" t="str">
        <f t="shared" si="54"/>
        <v>Med</v>
      </c>
      <c r="EED3" t="str">
        <f t="shared" si="54"/>
        <v>Med</v>
      </c>
      <c r="EEE3" t="str">
        <f t="shared" si="54"/>
        <v>Med</v>
      </c>
      <c r="EEF3" t="str">
        <f t="shared" si="54"/>
        <v>Med</v>
      </c>
      <c r="EEG3" t="str">
        <f t="shared" si="54"/>
        <v>Med</v>
      </c>
      <c r="EEH3" t="str">
        <f t="shared" si="54"/>
        <v>Low</v>
      </c>
      <c r="EEI3" t="str">
        <f t="shared" si="54"/>
        <v>Med</v>
      </c>
      <c r="EEJ3" t="str">
        <f t="shared" si="54"/>
        <v>Med</v>
      </c>
      <c r="EEK3" t="str">
        <f t="shared" si="54"/>
        <v>No Data</v>
      </c>
      <c r="EEL3" t="str">
        <f t="shared" si="54"/>
        <v>Med</v>
      </c>
      <c r="EEM3" t="str">
        <f t="shared" si="54"/>
        <v>Med</v>
      </c>
      <c r="EEN3" t="str">
        <f t="shared" si="54"/>
        <v>Med</v>
      </c>
      <c r="EEO3" t="str">
        <f t="shared" ref="EEO3:EGZ3" si="55">IF(EEO2="","No Data",IF(EEO2&gt;=100000,"High",IF(EEO2&gt;=40000,"Med","Low")))</f>
        <v>Med</v>
      </c>
      <c r="EEP3" t="str">
        <f t="shared" si="55"/>
        <v>Med</v>
      </c>
      <c r="EEQ3" t="str">
        <f t="shared" si="55"/>
        <v>Med</v>
      </c>
      <c r="EER3" t="str">
        <f t="shared" si="55"/>
        <v>Med</v>
      </c>
      <c r="EES3" t="str">
        <f t="shared" si="55"/>
        <v>Med</v>
      </c>
      <c r="EET3" t="str">
        <f t="shared" si="55"/>
        <v>Med</v>
      </c>
      <c r="EEU3" t="str">
        <f t="shared" si="55"/>
        <v>Med</v>
      </c>
      <c r="EEV3" t="str">
        <f t="shared" si="55"/>
        <v>Med</v>
      </c>
      <c r="EEW3" t="str">
        <f t="shared" si="55"/>
        <v>Med</v>
      </c>
      <c r="EEX3" t="str">
        <f t="shared" si="55"/>
        <v>Low</v>
      </c>
      <c r="EEY3" t="str">
        <f t="shared" si="55"/>
        <v>High</v>
      </c>
      <c r="EEZ3" t="str">
        <f t="shared" si="55"/>
        <v>Med</v>
      </c>
      <c r="EFA3" t="str">
        <f t="shared" si="55"/>
        <v>Med</v>
      </c>
      <c r="EFB3" t="str">
        <f t="shared" si="55"/>
        <v>Med</v>
      </c>
      <c r="EFC3" t="str">
        <f t="shared" si="55"/>
        <v>Med</v>
      </c>
      <c r="EFD3" t="str">
        <f t="shared" si="55"/>
        <v>Med</v>
      </c>
      <c r="EFE3" t="str">
        <f t="shared" si="55"/>
        <v>Med</v>
      </c>
      <c r="EFF3" t="str">
        <f t="shared" si="55"/>
        <v>Med</v>
      </c>
      <c r="EFG3" t="str">
        <f t="shared" si="55"/>
        <v>Med</v>
      </c>
      <c r="EFH3" t="str">
        <f t="shared" si="55"/>
        <v>Low</v>
      </c>
      <c r="EFI3" t="str">
        <f t="shared" si="55"/>
        <v>No Data</v>
      </c>
      <c r="EFJ3" t="str">
        <f t="shared" si="55"/>
        <v>Med</v>
      </c>
      <c r="EFK3" t="str">
        <f t="shared" si="55"/>
        <v>Med</v>
      </c>
      <c r="EFL3" t="str">
        <f t="shared" si="55"/>
        <v>Med</v>
      </c>
      <c r="EFM3" t="str">
        <f t="shared" si="55"/>
        <v>Med</v>
      </c>
      <c r="EFN3" t="str">
        <f t="shared" si="55"/>
        <v>No Data</v>
      </c>
      <c r="EFO3" t="str">
        <f t="shared" si="55"/>
        <v>Med</v>
      </c>
      <c r="EFP3" t="str">
        <f t="shared" si="55"/>
        <v>Med</v>
      </c>
      <c r="EFQ3" t="str">
        <f t="shared" si="55"/>
        <v>Med</v>
      </c>
      <c r="EFR3" t="str">
        <f t="shared" si="55"/>
        <v>Med</v>
      </c>
      <c r="EFS3" t="str">
        <f t="shared" si="55"/>
        <v>Med</v>
      </c>
      <c r="EFT3" t="str">
        <f t="shared" si="55"/>
        <v>Low</v>
      </c>
      <c r="EFU3" t="str">
        <f t="shared" si="55"/>
        <v>Med</v>
      </c>
      <c r="EFV3" t="str">
        <f t="shared" si="55"/>
        <v>Med</v>
      </c>
      <c r="EFW3" t="str">
        <f t="shared" si="55"/>
        <v>Med</v>
      </c>
      <c r="EFX3" t="str">
        <f t="shared" si="55"/>
        <v>Med</v>
      </c>
      <c r="EFY3" t="str">
        <f t="shared" si="55"/>
        <v>Med</v>
      </c>
      <c r="EFZ3" t="str">
        <f t="shared" si="55"/>
        <v>Med</v>
      </c>
      <c r="EGA3" t="str">
        <f t="shared" si="55"/>
        <v>Low</v>
      </c>
      <c r="EGB3" t="str">
        <f t="shared" si="55"/>
        <v>Low</v>
      </c>
      <c r="EGC3" t="str">
        <f t="shared" si="55"/>
        <v>Med</v>
      </c>
      <c r="EGD3" t="str">
        <f t="shared" si="55"/>
        <v>Med</v>
      </c>
      <c r="EGE3" t="str">
        <f t="shared" si="55"/>
        <v>Low</v>
      </c>
      <c r="EGF3" t="str">
        <f t="shared" si="55"/>
        <v>No Data</v>
      </c>
      <c r="EGG3" t="str">
        <f t="shared" si="55"/>
        <v>Med</v>
      </c>
      <c r="EGH3" t="str">
        <f t="shared" si="55"/>
        <v>No Data</v>
      </c>
      <c r="EGI3" t="str">
        <f t="shared" si="55"/>
        <v>Med</v>
      </c>
      <c r="EGJ3" t="str">
        <f t="shared" si="55"/>
        <v>Med</v>
      </c>
      <c r="EGK3" t="str">
        <f t="shared" si="55"/>
        <v>Low</v>
      </c>
      <c r="EGL3" t="str">
        <f t="shared" si="55"/>
        <v>No Data</v>
      </c>
      <c r="EGM3" t="str">
        <f t="shared" si="55"/>
        <v>No Data</v>
      </c>
      <c r="EGN3" t="str">
        <f t="shared" si="55"/>
        <v>Med</v>
      </c>
      <c r="EGO3" t="str">
        <f t="shared" si="55"/>
        <v>No Data</v>
      </c>
      <c r="EGP3" t="str">
        <f t="shared" si="55"/>
        <v>Med</v>
      </c>
      <c r="EGQ3" t="str">
        <f t="shared" si="55"/>
        <v>Med</v>
      </c>
      <c r="EGR3" t="str">
        <f t="shared" si="55"/>
        <v>Med</v>
      </c>
      <c r="EGS3" t="str">
        <f t="shared" si="55"/>
        <v>Med</v>
      </c>
      <c r="EGT3" t="str">
        <f t="shared" si="55"/>
        <v>Med</v>
      </c>
      <c r="EGU3" t="str">
        <f t="shared" si="55"/>
        <v>Med</v>
      </c>
      <c r="EGV3" t="str">
        <f t="shared" si="55"/>
        <v>Med</v>
      </c>
      <c r="EGW3" t="str">
        <f t="shared" si="55"/>
        <v>Med</v>
      </c>
      <c r="EGX3" t="str">
        <f t="shared" si="55"/>
        <v>Med</v>
      </c>
      <c r="EGY3" t="str">
        <f t="shared" si="55"/>
        <v>Low</v>
      </c>
      <c r="EGZ3" t="str">
        <f t="shared" si="55"/>
        <v>Med</v>
      </c>
      <c r="EHA3" t="str">
        <f t="shared" ref="EHA3:EJL3" si="56">IF(EHA2="","No Data",IF(EHA2&gt;=100000,"High",IF(EHA2&gt;=40000,"Med","Low")))</f>
        <v>Med</v>
      </c>
      <c r="EHB3" t="str">
        <f t="shared" si="56"/>
        <v>No Data</v>
      </c>
      <c r="EHC3" t="str">
        <f t="shared" si="56"/>
        <v>Med</v>
      </c>
      <c r="EHD3" t="str">
        <f t="shared" si="56"/>
        <v>No Data</v>
      </c>
      <c r="EHE3" t="str">
        <f t="shared" si="56"/>
        <v>Med</v>
      </c>
      <c r="EHF3" t="str">
        <f t="shared" si="56"/>
        <v>Med</v>
      </c>
      <c r="EHG3" t="str">
        <f t="shared" si="56"/>
        <v>Low</v>
      </c>
      <c r="EHH3" t="str">
        <f t="shared" si="56"/>
        <v>Low</v>
      </c>
      <c r="EHI3" t="str">
        <f t="shared" si="56"/>
        <v>Med</v>
      </c>
      <c r="EHJ3" t="str">
        <f t="shared" si="56"/>
        <v>Med</v>
      </c>
      <c r="EHK3" t="str">
        <f t="shared" si="56"/>
        <v>Med</v>
      </c>
      <c r="EHL3" t="str">
        <f t="shared" si="56"/>
        <v>Med</v>
      </c>
      <c r="EHM3" t="str">
        <f t="shared" si="56"/>
        <v>No Data</v>
      </c>
      <c r="EHN3" t="str">
        <f t="shared" si="56"/>
        <v>Med</v>
      </c>
      <c r="EHO3" t="str">
        <f t="shared" si="56"/>
        <v>Low</v>
      </c>
      <c r="EHP3" t="str">
        <f t="shared" si="56"/>
        <v>Med</v>
      </c>
      <c r="EHQ3" t="str">
        <f t="shared" si="56"/>
        <v>Low</v>
      </c>
      <c r="EHR3" t="str">
        <f t="shared" si="56"/>
        <v>No Data</v>
      </c>
      <c r="EHS3" t="str">
        <f t="shared" si="56"/>
        <v>No Data</v>
      </c>
      <c r="EHT3" t="str">
        <f t="shared" si="56"/>
        <v>Med</v>
      </c>
      <c r="EHU3" t="str">
        <f t="shared" si="56"/>
        <v>High</v>
      </c>
      <c r="EHV3" t="str">
        <f t="shared" si="56"/>
        <v>Med</v>
      </c>
      <c r="EHW3" t="str">
        <f t="shared" si="56"/>
        <v>No Data</v>
      </c>
      <c r="EHX3" t="str">
        <f t="shared" si="56"/>
        <v>Med</v>
      </c>
      <c r="EHY3" t="str">
        <f t="shared" si="56"/>
        <v>Med</v>
      </c>
      <c r="EHZ3" t="str">
        <f t="shared" si="56"/>
        <v>Med</v>
      </c>
      <c r="EIA3" t="str">
        <f t="shared" si="56"/>
        <v>Med</v>
      </c>
      <c r="EIB3" t="str">
        <f t="shared" si="56"/>
        <v>Low</v>
      </c>
      <c r="EIC3" t="str">
        <f t="shared" si="56"/>
        <v>Low</v>
      </c>
      <c r="EID3" t="str">
        <f t="shared" si="56"/>
        <v>No Data</v>
      </c>
      <c r="EIE3" t="str">
        <f t="shared" si="56"/>
        <v>Med</v>
      </c>
      <c r="EIF3" t="str">
        <f t="shared" si="56"/>
        <v>Med</v>
      </c>
      <c r="EIG3" t="str">
        <f t="shared" si="56"/>
        <v>Med</v>
      </c>
      <c r="EIH3" t="str">
        <f t="shared" si="56"/>
        <v>Med</v>
      </c>
      <c r="EII3" t="str">
        <f t="shared" si="56"/>
        <v>Med</v>
      </c>
      <c r="EIJ3" t="str">
        <f t="shared" si="56"/>
        <v>Med</v>
      </c>
      <c r="EIK3" t="str">
        <f t="shared" si="56"/>
        <v>Med</v>
      </c>
      <c r="EIL3" t="str">
        <f t="shared" si="56"/>
        <v>Med</v>
      </c>
      <c r="EIM3" t="str">
        <f t="shared" si="56"/>
        <v>Med</v>
      </c>
      <c r="EIN3" t="str">
        <f t="shared" si="56"/>
        <v>No Data</v>
      </c>
      <c r="EIO3" t="str">
        <f t="shared" si="56"/>
        <v>Med</v>
      </c>
      <c r="EIP3" t="str">
        <f t="shared" si="56"/>
        <v>Med</v>
      </c>
      <c r="EIQ3" t="str">
        <f t="shared" si="56"/>
        <v>Med</v>
      </c>
      <c r="EIR3" t="str">
        <f t="shared" si="56"/>
        <v>Med</v>
      </c>
      <c r="EIS3" t="str">
        <f t="shared" si="56"/>
        <v>Med</v>
      </c>
      <c r="EIT3" t="str">
        <f t="shared" si="56"/>
        <v>No Data</v>
      </c>
      <c r="EIU3" t="str">
        <f t="shared" si="56"/>
        <v>No Data</v>
      </c>
      <c r="EIV3" t="str">
        <f t="shared" si="56"/>
        <v>High</v>
      </c>
      <c r="EIW3" t="str">
        <f t="shared" si="56"/>
        <v>Med</v>
      </c>
      <c r="EIX3" t="str">
        <f t="shared" si="56"/>
        <v>Low</v>
      </c>
      <c r="EIY3" t="str">
        <f t="shared" si="56"/>
        <v>Med</v>
      </c>
      <c r="EIZ3" t="str">
        <f t="shared" si="56"/>
        <v>Med</v>
      </c>
      <c r="EJA3" t="str">
        <f t="shared" si="56"/>
        <v>Med</v>
      </c>
      <c r="EJB3" t="str">
        <f t="shared" si="56"/>
        <v>Med</v>
      </c>
      <c r="EJC3" t="str">
        <f t="shared" si="56"/>
        <v>Med</v>
      </c>
      <c r="EJD3" t="str">
        <f t="shared" si="56"/>
        <v>Low</v>
      </c>
      <c r="EJE3" t="str">
        <f t="shared" si="56"/>
        <v>Med</v>
      </c>
      <c r="EJF3" t="str">
        <f t="shared" si="56"/>
        <v>Med</v>
      </c>
      <c r="EJG3" t="str">
        <f t="shared" si="56"/>
        <v>Med</v>
      </c>
      <c r="EJH3" t="str">
        <f t="shared" si="56"/>
        <v>Med</v>
      </c>
      <c r="EJI3" t="str">
        <f t="shared" si="56"/>
        <v>Med</v>
      </c>
      <c r="EJJ3" t="str">
        <f t="shared" si="56"/>
        <v>Med</v>
      </c>
      <c r="EJK3" t="str">
        <f t="shared" si="56"/>
        <v>Med</v>
      </c>
      <c r="EJL3" t="str">
        <f t="shared" si="56"/>
        <v>Med</v>
      </c>
      <c r="EJM3" t="str">
        <f t="shared" ref="EJM3:ELX3" si="57">IF(EJM2="","No Data",IF(EJM2&gt;=100000,"High",IF(EJM2&gt;=40000,"Med","Low")))</f>
        <v>Med</v>
      </c>
      <c r="EJN3" t="str">
        <f t="shared" si="57"/>
        <v>Med</v>
      </c>
      <c r="EJO3" t="str">
        <f t="shared" si="57"/>
        <v>Low</v>
      </c>
      <c r="EJP3" t="str">
        <f t="shared" si="57"/>
        <v>Med</v>
      </c>
      <c r="EJQ3" t="str">
        <f t="shared" si="57"/>
        <v>Med</v>
      </c>
      <c r="EJR3" t="str">
        <f t="shared" si="57"/>
        <v>Med</v>
      </c>
      <c r="EJS3" t="str">
        <f t="shared" si="57"/>
        <v>Med</v>
      </c>
      <c r="EJT3" t="str">
        <f t="shared" si="57"/>
        <v>No Data</v>
      </c>
      <c r="EJU3" t="str">
        <f t="shared" si="57"/>
        <v>Low</v>
      </c>
      <c r="EJV3" t="str">
        <f t="shared" si="57"/>
        <v>Med</v>
      </c>
      <c r="EJW3" t="str">
        <f t="shared" si="57"/>
        <v>Med</v>
      </c>
      <c r="EJX3" t="str">
        <f t="shared" si="57"/>
        <v>Med</v>
      </c>
      <c r="EJY3" t="str">
        <f t="shared" si="57"/>
        <v>Med</v>
      </c>
      <c r="EJZ3" t="str">
        <f t="shared" si="57"/>
        <v>Med</v>
      </c>
      <c r="EKA3" t="str">
        <f t="shared" si="57"/>
        <v>Med</v>
      </c>
      <c r="EKB3" t="str">
        <f t="shared" si="57"/>
        <v>Med</v>
      </c>
      <c r="EKC3" t="str">
        <f t="shared" si="57"/>
        <v>Med</v>
      </c>
      <c r="EKD3" t="str">
        <f t="shared" si="57"/>
        <v>Med</v>
      </c>
      <c r="EKE3" t="str">
        <f t="shared" si="57"/>
        <v>Med</v>
      </c>
      <c r="EKF3" t="str">
        <f t="shared" si="57"/>
        <v>Med</v>
      </c>
      <c r="EKG3" t="str">
        <f t="shared" si="57"/>
        <v>Med</v>
      </c>
      <c r="EKH3" t="str">
        <f t="shared" si="57"/>
        <v>Med</v>
      </c>
      <c r="EKI3" t="str">
        <f t="shared" si="57"/>
        <v>No Data</v>
      </c>
      <c r="EKJ3" t="str">
        <f t="shared" si="57"/>
        <v>Med</v>
      </c>
      <c r="EKK3" t="str">
        <f t="shared" si="57"/>
        <v>Med</v>
      </c>
      <c r="EKL3" t="str">
        <f t="shared" si="57"/>
        <v>No Data</v>
      </c>
      <c r="EKM3" t="str">
        <f t="shared" si="57"/>
        <v>Med</v>
      </c>
      <c r="EKN3" t="str">
        <f t="shared" si="57"/>
        <v>Med</v>
      </c>
      <c r="EKO3" t="str">
        <f t="shared" si="57"/>
        <v>Med</v>
      </c>
      <c r="EKP3" t="str">
        <f t="shared" si="57"/>
        <v>Low</v>
      </c>
      <c r="EKQ3" t="str">
        <f t="shared" si="57"/>
        <v>Med</v>
      </c>
      <c r="EKR3" t="str">
        <f t="shared" si="57"/>
        <v>Med</v>
      </c>
      <c r="EKS3" t="str">
        <f t="shared" si="57"/>
        <v>Med</v>
      </c>
      <c r="EKT3" t="str">
        <f t="shared" si="57"/>
        <v>No Data</v>
      </c>
      <c r="EKU3" t="str">
        <f t="shared" si="57"/>
        <v>No Data</v>
      </c>
      <c r="EKV3" t="str">
        <f t="shared" si="57"/>
        <v>Med</v>
      </c>
      <c r="EKW3" t="str">
        <f t="shared" si="57"/>
        <v>Med</v>
      </c>
      <c r="EKX3" t="str">
        <f t="shared" si="57"/>
        <v>Med</v>
      </c>
      <c r="EKY3" t="str">
        <f t="shared" si="57"/>
        <v>Med</v>
      </c>
      <c r="EKZ3" t="str">
        <f t="shared" si="57"/>
        <v>Low</v>
      </c>
      <c r="ELA3" t="str">
        <f t="shared" si="57"/>
        <v>Med</v>
      </c>
      <c r="ELB3" t="str">
        <f t="shared" si="57"/>
        <v>Low</v>
      </c>
      <c r="ELC3" t="str">
        <f t="shared" si="57"/>
        <v>Med</v>
      </c>
      <c r="ELD3" t="str">
        <f t="shared" si="57"/>
        <v>Med</v>
      </c>
      <c r="ELE3" t="str">
        <f t="shared" si="57"/>
        <v>Med</v>
      </c>
      <c r="ELF3" t="str">
        <f t="shared" si="57"/>
        <v>Med</v>
      </c>
      <c r="ELG3" t="str">
        <f t="shared" si="57"/>
        <v>Med</v>
      </c>
      <c r="ELH3" t="str">
        <f t="shared" si="57"/>
        <v>Low</v>
      </c>
      <c r="ELI3" t="str">
        <f t="shared" si="57"/>
        <v>Med</v>
      </c>
      <c r="ELJ3" t="str">
        <f t="shared" si="57"/>
        <v>Med</v>
      </c>
      <c r="ELK3" t="str">
        <f t="shared" si="57"/>
        <v>Med</v>
      </c>
      <c r="ELL3" t="str">
        <f t="shared" si="57"/>
        <v>Med</v>
      </c>
      <c r="ELM3" t="str">
        <f t="shared" si="57"/>
        <v>Med</v>
      </c>
      <c r="ELN3" t="str">
        <f t="shared" si="57"/>
        <v>Med</v>
      </c>
      <c r="ELO3" t="str">
        <f t="shared" si="57"/>
        <v>Med</v>
      </c>
      <c r="ELP3" t="str">
        <f t="shared" si="57"/>
        <v>Med</v>
      </c>
      <c r="ELQ3" t="str">
        <f t="shared" si="57"/>
        <v>Med</v>
      </c>
      <c r="ELR3" t="str">
        <f t="shared" si="57"/>
        <v>Med</v>
      </c>
      <c r="ELS3" t="str">
        <f t="shared" si="57"/>
        <v>Med</v>
      </c>
      <c r="ELT3" t="str">
        <f t="shared" si="57"/>
        <v>Med</v>
      </c>
      <c r="ELU3" t="str">
        <f t="shared" si="57"/>
        <v>Low</v>
      </c>
      <c r="ELV3" t="str">
        <f t="shared" si="57"/>
        <v>Med</v>
      </c>
      <c r="ELW3" t="str">
        <f t="shared" si="57"/>
        <v>Low</v>
      </c>
      <c r="ELX3" t="str">
        <f t="shared" si="57"/>
        <v>Med</v>
      </c>
      <c r="ELY3" t="str">
        <f t="shared" ref="ELY3:EOJ3" si="58">IF(ELY2="","No Data",IF(ELY2&gt;=100000,"High",IF(ELY2&gt;=40000,"Med","Low")))</f>
        <v>Med</v>
      </c>
      <c r="ELZ3" t="str">
        <f t="shared" si="58"/>
        <v>Med</v>
      </c>
      <c r="EMA3" t="str">
        <f t="shared" si="58"/>
        <v>Med</v>
      </c>
      <c r="EMB3" t="str">
        <f t="shared" si="58"/>
        <v>Med</v>
      </c>
      <c r="EMC3" t="str">
        <f t="shared" si="58"/>
        <v>No Data</v>
      </c>
      <c r="EMD3" t="str">
        <f t="shared" si="58"/>
        <v>Low</v>
      </c>
      <c r="EME3" t="str">
        <f t="shared" si="58"/>
        <v>Med</v>
      </c>
      <c r="EMF3" t="str">
        <f t="shared" si="58"/>
        <v>Med</v>
      </c>
      <c r="EMG3" t="str">
        <f t="shared" si="58"/>
        <v>Med</v>
      </c>
      <c r="EMH3" t="str">
        <f t="shared" si="58"/>
        <v>High</v>
      </c>
      <c r="EMI3" t="str">
        <f t="shared" si="58"/>
        <v>No Data</v>
      </c>
      <c r="EMJ3" t="str">
        <f t="shared" si="58"/>
        <v>High</v>
      </c>
      <c r="EMK3" t="str">
        <f t="shared" si="58"/>
        <v>Med</v>
      </c>
      <c r="EML3" t="str">
        <f t="shared" si="58"/>
        <v>Med</v>
      </c>
      <c r="EMM3" t="str">
        <f t="shared" si="58"/>
        <v>Med</v>
      </c>
      <c r="EMN3" t="str">
        <f t="shared" si="58"/>
        <v>Med</v>
      </c>
      <c r="EMO3" t="str">
        <f t="shared" si="58"/>
        <v>Med</v>
      </c>
      <c r="EMP3" t="str">
        <f t="shared" si="58"/>
        <v>Low</v>
      </c>
      <c r="EMQ3" t="str">
        <f t="shared" si="58"/>
        <v>Med</v>
      </c>
      <c r="EMR3" t="str">
        <f t="shared" si="58"/>
        <v>No Data</v>
      </c>
      <c r="EMS3" t="str">
        <f t="shared" si="58"/>
        <v>Med</v>
      </c>
      <c r="EMT3" t="str">
        <f t="shared" si="58"/>
        <v>Med</v>
      </c>
      <c r="EMU3" t="str">
        <f t="shared" si="58"/>
        <v>Med</v>
      </c>
      <c r="EMV3" t="str">
        <f t="shared" si="58"/>
        <v>Low</v>
      </c>
      <c r="EMW3" t="str">
        <f t="shared" si="58"/>
        <v>Med</v>
      </c>
      <c r="EMX3" t="str">
        <f t="shared" si="58"/>
        <v>Med</v>
      </c>
      <c r="EMY3" t="str">
        <f t="shared" si="58"/>
        <v>High</v>
      </c>
      <c r="EMZ3" t="str">
        <f t="shared" si="58"/>
        <v>Med</v>
      </c>
      <c r="ENA3" t="str">
        <f t="shared" si="58"/>
        <v>Med</v>
      </c>
      <c r="ENB3" t="str">
        <f t="shared" si="58"/>
        <v>Med</v>
      </c>
      <c r="ENC3" t="str">
        <f t="shared" si="58"/>
        <v>Med</v>
      </c>
      <c r="END3" t="str">
        <f t="shared" si="58"/>
        <v>Med</v>
      </c>
      <c r="ENE3" t="str">
        <f t="shared" si="58"/>
        <v>Med</v>
      </c>
      <c r="ENF3" t="str">
        <f t="shared" si="58"/>
        <v>No Data</v>
      </c>
      <c r="ENG3" t="str">
        <f t="shared" si="58"/>
        <v>Med</v>
      </c>
      <c r="ENH3" t="str">
        <f t="shared" si="58"/>
        <v>Med</v>
      </c>
      <c r="ENI3" t="str">
        <f t="shared" si="58"/>
        <v>Med</v>
      </c>
      <c r="ENJ3" t="str">
        <f t="shared" si="58"/>
        <v>Med</v>
      </c>
      <c r="ENK3" t="str">
        <f t="shared" si="58"/>
        <v>Med</v>
      </c>
      <c r="ENL3" t="str">
        <f t="shared" si="58"/>
        <v>Med</v>
      </c>
      <c r="ENM3" t="str">
        <f t="shared" si="58"/>
        <v>Low</v>
      </c>
      <c r="ENN3" t="str">
        <f t="shared" si="58"/>
        <v>Med</v>
      </c>
      <c r="ENO3" t="str">
        <f t="shared" si="58"/>
        <v>Med</v>
      </c>
      <c r="ENP3" t="str">
        <f t="shared" si="58"/>
        <v>Med</v>
      </c>
      <c r="ENQ3" t="str">
        <f t="shared" si="58"/>
        <v>Med</v>
      </c>
      <c r="ENR3" t="str">
        <f t="shared" si="58"/>
        <v>Med</v>
      </c>
      <c r="ENS3" t="str">
        <f t="shared" si="58"/>
        <v>Low</v>
      </c>
      <c r="ENT3" t="str">
        <f t="shared" si="58"/>
        <v>Med</v>
      </c>
      <c r="ENU3" t="str">
        <f t="shared" si="58"/>
        <v>Med</v>
      </c>
      <c r="ENV3" t="str">
        <f t="shared" si="58"/>
        <v>No Data</v>
      </c>
      <c r="ENW3" t="str">
        <f t="shared" si="58"/>
        <v>Med</v>
      </c>
      <c r="ENX3" t="str">
        <f t="shared" si="58"/>
        <v>Med</v>
      </c>
      <c r="ENY3" t="str">
        <f t="shared" si="58"/>
        <v>Med</v>
      </c>
      <c r="ENZ3" t="str">
        <f t="shared" si="58"/>
        <v>Med</v>
      </c>
      <c r="EOA3" t="str">
        <f t="shared" si="58"/>
        <v>Med</v>
      </c>
      <c r="EOB3" t="str">
        <f t="shared" si="58"/>
        <v>No Data</v>
      </c>
      <c r="EOC3" t="str">
        <f t="shared" si="58"/>
        <v>Med</v>
      </c>
      <c r="EOD3" t="str">
        <f t="shared" si="58"/>
        <v>Med</v>
      </c>
      <c r="EOE3" t="str">
        <f t="shared" si="58"/>
        <v>No Data</v>
      </c>
      <c r="EOF3" t="str">
        <f t="shared" si="58"/>
        <v>Med</v>
      </c>
      <c r="EOG3" t="str">
        <f t="shared" si="58"/>
        <v>Med</v>
      </c>
      <c r="EOH3" t="str">
        <f t="shared" si="58"/>
        <v>Med</v>
      </c>
      <c r="EOI3" t="str">
        <f t="shared" si="58"/>
        <v>Med</v>
      </c>
      <c r="EOJ3" t="str">
        <f t="shared" si="58"/>
        <v>Med</v>
      </c>
      <c r="EOK3" t="str">
        <f t="shared" ref="EOK3:EON3" si="59">IF(EOK2="","No Data",IF(EOK2&gt;=100000,"High",IF(EOK2&gt;=40000,"Med","Low")))</f>
        <v>Med</v>
      </c>
      <c r="EOL3" t="str">
        <f t="shared" si="59"/>
        <v>Med</v>
      </c>
      <c r="EOM3" t="str">
        <f t="shared" si="59"/>
        <v>Med</v>
      </c>
      <c r="EON3" t="str">
        <f t="shared" si="59"/>
        <v>Med</v>
      </c>
    </row>
    <row r="5" spans="1:3784" x14ac:dyDescent="0.35">
      <c r="A5" t="s">
        <v>3925</v>
      </c>
    </row>
    <row r="6" spans="1:3784" x14ac:dyDescent="0.35">
      <c r="A6" t="s">
        <v>3926</v>
      </c>
      <c r="B6">
        <f>COUNTIF(B3:EON3,"High")</f>
        <v>615</v>
      </c>
    </row>
    <row r="7" spans="1:3784" x14ac:dyDescent="0.35">
      <c r="A7" t="s">
        <v>3927</v>
      </c>
      <c r="B7">
        <f>COUNTIF(B3:EON3,"Med")</f>
        <v>2495</v>
      </c>
    </row>
    <row r="8" spans="1:3784" x14ac:dyDescent="0.35">
      <c r="A8" t="s">
        <v>3928</v>
      </c>
      <c r="B8">
        <f>COUNTIF(B3:EON3,"Low")</f>
        <v>303</v>
      </c>
    </row>
    <row r="9" spans="1:3784" x14ac:dyDescent="0.35">
      <c r="A9" t="s">
        <v>3929</v>
      </c>
      <c r="B9">
        <f>COUNTIF(B3:EON3,"No Data")</f>
        <v>370</v>
      </c>
    </row>
    <row r="10" spans="1:3784" x14ac:dyDescent="0.35">
      <c r="A10" t="s">
        <v>3930</v>
      </c>
      <c r="B10">
        <f>SUM(B6:B9)</f>
        <v>3783</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F77F-C18D-4221-ABD8-82035C673ED9}">
  <dimension ref="A1"/>
  <sheetViews>
    <sheetView workbookViewId="0"/>
  </sheetViews>
  <sheetFormatPr defaultRowHeight="14.5" x14ac:dyDescent="0.3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38D04-E7E6-4488-A9AB-9914CC267B28}">
  <sheetPr>
    <pageSetUpPr fitToPage="1"/>
  </sheetPr>
  <dimension ref="A1:L32"/>
  <sheetViews>
    <sheetView topLeftCell="D1" workbookViewId="0">
      <selection activeCell="K22" sqref="K22"/>
    </sheetView>
  </sheetViews>
  <sheetFormatPr defaultRowHeight="14.5" x14ac:dyDescent="0.35"/>
  <cols>
    <col min="1" max="1" width="7.453125" style="49" customWidth="1"/>
    <col min="2" max="2" width="29" style="49" bestFit="1" customWidth="1"/>
    <col min="3" max="3" width="77.453125" style="49" bestFit="1" customWidth="1"/>
    <col min="4" max="4" width="16.7265625" bestFit="1" customWidth="1"/>
    <col min="5" max="5" width="6" bestFit="1" customWidth="1"/>
    <col min="6" max="6" width="9.81640625" style="26" bestFit="1" customWidth="1"/>
    <col min="7" max="7" width="14.1796875" style="49" bestFit="1" customWidth="1"/>
    <col min="8" max="8" width="22.81640625" bestFit="1" customWidth="1"/>
    <col min="9" max="9" width="28.453125" customWidth="1"/>
    <col min="10" max="10" width="38.7265625" customWidth="1"/>
    <col min="11" max="11" width="95.81640625" customWidth="1"/>
    <col min="12" max="12" width="25" customWidth="1"/>
  </cols>
  <sheetData>
    <row r="1" spans="1:12" x14ac:dyDescent="0.35">
      <c r="E1" s="174" t="s">
        <v>4247</v>
      </c>
      <c r="F1" s="174" t="s">
        <v>4217</v>
      </c>
      <c r="G1" s="179" t="s">
        <v>4248</v>
      </c>
      <c r="H1" s="174" t="s">
        <v>4006</v>
      </c>
      <c r="I1" s="174" t="s">
        <v>4249</v>
      </c>
      <c r="J1" s="174" t="s">
        <v>4250</v>
      </c>
      <c r="K1" s="174" t="s">
        <v>4251</v>
      </c>
      <c r="L1" s="174" t="s">
        <v>4252</v>
      </c>
    </row>
    <row r="2" spans="1:12" ht="29" x14ac:dyDescent="0.35">
      <c r="A2" s="171" t="s">
        <v>4194</v>
      </c>
      <c r="B2"/>
      <c r="C2"/>
      <c r="E2" s="172">
        <v>1</v>
      </c>
      <c r="F2" s="175" t="s">
        <v>4253</v>
      </c>
      <c r="G2" s="173" t="s">
        <v>4254</v>
      </c>
      <c r="H2" s="172" t="s">
        <v>4008</v>
      </c>
      <c r="I2" s="173" t="s">
        <v>4255</v>
      </c>
      <c r="J2" s="173" t="s">
        <v>4256</v>
      </c>
      <c r="K2" s="173" t="s">
        <v>4369</v>
      </c>
      <c r="L2" s="173" t="s">
        <v>4257</v>
      </c>
    </row>
    <row r="3" spans="1:12" ht="29" x14ac:dyDescent="0.35">
      <c r="A3"/>
      <c r="B3"/>
      <c r="C3"/>
      <c r="E3" s="172">
        <v>2</v>
      </c>
      <c r="F3" s="175" t="s">
        <v>4258</v>
      </c>
      <c r="G3" s="173" t="s">
        <v>4254</v>
      </c>
      <c r="H3" s="172" t="s">
        <v>4259</v>
      </c>
      <c r="I3" s="173" t="s">
        <v>4260</v>
      </c>
      <c r="J3" s="173" t="s">
        <v>4261</v>
      </c>
      <c r="K3" s="173" t="s">
        <v>4262</v>
      </c>
      <c r="L3" s="173" t="s">
        <v>4263</v>
      </c>
    </row>
    <row r="4" spans="1:12" ht="29" x14ac:dyDescent="0.35">
      <c r="A4" s="24" t="s">
        <v>3999</v>
      </c>
      <c r="B4" s="24" t="s">
        <v>4195</v>
      </c>
      <c r="C4" s="24" t="s">
        <v>4196</v>
      </c>
      <c r="E4" s="172">
        <v>3</v>
      </c>
      <c r="F4" s="175" t="s">
        <v>4264</v>
      </c>
      <c r="G4" s="173" t="s">
        <v>4254</v>
      </c>
      <c r="H4" s="172" t="s">
        <v>4259</v>
      </c>
      <c r="I4" s="173" t="s">
        <v>4265</v>
      </c>
      <c r="J4" s="173" t="s">
        <v>4266</v>
      </c>
      <c r="K4" s="173" t="s">
        <v>4267</v>
      </c>
      <c r="L4" s="173" t="s">
        <v>4268</v>
      </c>
    </row>
    <row r="5" spans="1:12" ht="29" x14ac:dyDescent="0.35">
      <c r="A5" s="25" t="s">
        <v>4000</v>
      </c>
      <c r="B5" s="25" t="s">
        <v>4197</v>
      </c>
      <c r="C5" s="25" t="s">
        <v>4198</v>
      </c>
      <c r="E5" s="172">
        <v>4</v>
      </c>
      <c r="F5" s="175" t="s">
        <v>4269</v>
      </c>
      <c r="G5" s="173" t="s">
        <v>4254</v>
      </c>
      <c r="H5" s="172" t="s">
        <v>4270</v>
      </c>
      <c r="I5" s="173" t="s">
        <v>4271</v>
      </c>
      <c r="J5" s="173" t="s">
        <v>4272</v>
      </c>
      <c r="K5" s="173" t="s">
        <v>4273</v>
      </c>
      <c r="L5" s="173" t="s">
        <v>4274</v>
      </c>
    </row>
    <row r="6" spans="1:12" ht="29" x14ac:dyDescent="0.35">
      <c r="A6" s="25" t="s">
        <v>4000</v>
      </c>
      <c r="B6" s="25" t="s">
        <v>4007</v>
      </c>
      <c r="C6" s="25" t="s">
        <v>4199</v>
      </c>
      <c r="E6" s="172">
        <v>5</v>
      </c>
      <c r="F6" s="175" t="s">
        <v>4275</v>
      </c>
      <c r="G6" s="173" t="s">
        <v>4254</v>
      </c>
      <c r="H6" s="172" t="s">
        <v>4276</v>
      </c>
      <c r="I6" s="173" t="s">
        <v>4277</v>
      </c>
      <c r="J6" s="173" t="s">
        <v>4278</v>
      </c>
      <c r="K6" s="173" t="s">
        <v>4279</v>
      </c>
      <c r="L6" s="173" t="s">
        <v>4280</v>
      </c>
    </row>
    <row r="7" spans="1:12" ht="29" x14ac:dyDescent="0.35">
      <c r="A7" s="25" t="s">
        <v>4000</v>
      </c>
      <c r="B7" s="25" t="s">
        <v>4200</v>
      </c>
      <c r="C7" s="25" t="s">
        <v>4201</v>
      </c>
      <c r="E7" s="172">
        <v>6</v>
      </c>
      <c r="F7" s="175" t="s">
        <v>4281</v>
      </c>
      <c r="G7" s="173" t="s">
        <v>4254</v>
      </c>
      <c r="H7" s="172" t="s">
        <v>4282</v>
      </c>
      <c r="I7" s="173" t="s">
        <v>4283</v>
      </c>
      <c r="J7" s="173" t="s">
        <v>4284</v>
      </c>
      <c r="K7" s="173" t="s">
        <v>4285</v>
      </c>
      <c r="L7" s="173" t="s">
        <v>4286</v>
      </c>
    </row>
    <row r="8" spans="1:12" ht="29" x14ac:dyDescent="0.35">
      <c r="A8" s="25" t="s">
        <v>4000</v>
      </c>
      <c r="B8" s="25" t="s">
        <v>4202</v>
      </c>
      <c r="C8" s="25" t="s">
        <v>4203</v>
      </c>
      <c r="E8" s="172">
        <v>7</v>
      </c>
      <c r="F8" s="175" t="s">
        <v>4287</v>
      </c>
      <c r="G8" s="173" t="s">
        <v>4288</v>
      </c>
      <c r="H8" s="172" t="s">
        <v>4289</v>
      </c>
      <c r="I8" s="173" t="s">
        <v>4290</v>
      </c>
      <c r="J8" s="173" t="s">
        <v>4291</v>
      </c>
      <c r="K8" s="173" t="s">
        <v>4292</v>
      </c>
      <c r="L8" s="173" t="s">
        <v>4293</v>
      </c>
    </row>
    <row r="9" spans="1:12" ht="29" x14ac:dyDescent="0.35">
      <c r="A9" s="25" t="s">
        <v>4000</v>
      </c>
      <c r="B9" s="25" t="s">
        <v>4204</v>
      </c>
      <c r="C9" s="25" t="s">
        <v>4205</v>
      </c>
      <c r="E9" s="172">
        <v>8</v>
      </c>
      <c r="F9" s="175" t="s">
        <v>4294</v>
      </c>
      <c r="G9" s="173" t="s">
        <v>4288</v>
      </c>
      <c r="H9" s="172" t="s">
        <v>4289</v>
      </c>
      <c r="I9" s="173" t="s">
        <v>4295</v>
      </c>
      <c r="J9" s="173" t="s">
        <v>4296</v>
      </c>
      <c r="K9" s="173" t="s">
        <v>4297</v>
      </c>
      <c r="L9" s="173" t="s">
        <v>4298</v>
      </c>
    </row>
    <row r="10" spans="1:12" ht="29" x14ac:dyDescent="0.35">
      <c r="A10" s="25" t="s">
        <v>4000</v>
      </c>
      <c r="B10" s="25" t="s">
        <v>4009</v>
      </c>
      <c r="C10" s="25" t="s">
        <v>4206</v>
      </c>
      <c r="E10" s="172">
        <v>9</v>
      </c>
      <c r="F10" s="175" t="s">
        <v>4299</v>
      </c>
      <c r="G10" s="173" t="s">
        <v>4288</v>
      </c>
      <c r="H10" s="172" t="s">
        <v>4300</v>
      </c>
      <c r="I10" s="173" t="s">
        <v>4301</v>
      </c>
      <c r="J10" s="173" t="s">
        <v>4302</v>
      </c>
      <c r="K10" s="173" t="s">
        <v>4303</v>
      </c>
      <c r="L10" s="173" t="s">
        <v>4304</v>
      </c>
    </row>
    <row r="11" spans="1:12" ht="29" x14ac:dyDescent="0.35">
      <c r="A11" s="25" t="s">
        <v>4000</v>
      </c>
      <c r="B11" s="25" t="s">
        <v>3967</v>
      </c>
      <c r="C11" s="25" t="s">
        <v>4207</v>
      </c>
      <c r="E11" s="172">
        <v>10</v>
      </c>
      <c r="F11" s="175" t="s">
        <v>4305</v>
      </c>
      <c r="G11" s="173" t="s">
        <v>4306</v>
      </c>
      <c r="H11" s="172" t="s">
        <v>4307</v>
      </c>
      <c r="I11" s="173" t="s">
        <v>4308</v>
      </c>
      <c r="J11" s="173" t="s">
        <v>4309</v>
      </c>
      <c r="K11" s="173" t="s">
        <v>4310</v>
      </c>
      <c r="L11" s="173" t="s">
        <v>4311</v>
      </c>
    </row>
    <row r="12" spans="1:12" ht="29" x14ac:dyDescent="0.35">
      <c r="A12" s="25" t="s">
        <v>4000</v>
      </c>
      <c r="B12" s="25" t="s">
        <v>4208</v>
      </c>
      <c r="C12" s="25" t="s">
        <v>4209</v>
      </c>
      <c r="E12" s="172">
        <v>11</v>
      </c>
      <c r="F12" s="175" t="s">
        <v>4312</v>
      </c>
      <c r="G12" s="173" t="s">
        <v>4306</v>
      </c>
      <c r="H12" s="172" t="s">
        <v>4313</v>
      </c>
      <c r="I12" s="173" t="s">
        <v>4314</v>
      </c>
      <c r="J12" s="173" t="s">
        <v>4315</v>
      </c>
      <c r="K12" s="173" t="s">
        <v>4316</v>
      </c>
      <c r="L12" s="173" t="s">
        <v>4317</v>
      </c>
    </row>
    <row r="13" spans="1:12" ht="29" x14ac:dyDescent="0.35">
      <c r="A13" s="25" t="s">
        <v>4000</v>
      </c>
      <c r="B13" s="25" t="s">
        <v>4210</v>
      </c>
      <c r="C13" s="25" t="s">
        <v>4211</v>
      </c>
      <c r="E13" s="172">
        <v>12</v>
      </c>
      <c r="F13" s="175" t="s">
        <v>4318</v>
      </c>
      <c r="G13" s="173" t="s">
        <v>4306</v>
      </c>
      <c r="H13" s="172" t="s">
        <v>4319</v>
      </c>
      <c r="I13" s="173" t="s">
        <v>4320</v>
      </c>
      <c r="J13" s="173" t="s">
        <v>4321</v>
      </c>
      <c r="K13" s="173" t="s">
        <v>4322</v>
      </c>
      <c r="L13" s="173" t="s">
        <v>4323</v>
      </c>
    </row>
    <row r="14" spans="1:12" ht="29" x14ac:dyDescent="0.35">
      <c r="A14" s="25" t="s">
        <v>4000</v>
      </c>
      <c r="B14" s="25" t="s">
        <v>4003</v>
      </c>
      <c r="C14" s="25" t="s">
        <v>4212</v>
      </c>
      <c r="E14" s="172">
        <v>13</v>
      </c>
      <c r="F14" s="175" t="s">
        <v>4324</v>
      </c>
      <c r="G14" s="173" t="s">
        <v>4325</v>
      </c>
      <c r="H14" s="172" t="s">
        <v>4326</v>
      </c>
      <c r="I14" s="173" t="s">
        <v>4327</v>
      </c>
      <c r="J14" s="173" t="s">
        <v>4328</v>
      </c>
      <c r="K14" s="173" t="s">
        <v>4329</v>
      </c>
      <c r="L14" s="173" t="s">
        <v>4330</v>
      </c>
    </row>
    <row r="15" spans="1:12" ht="29" x14ac:dyDescent="0.35">
      <c r="A15" s="25" t="s">
        <v>4000</v>
      </c>
      <c r="B15" s="25" t="s">
        <v>4004</v>
      </c>
      <c r="C15" s="25" t="s">
        <v>4213</v>
      </c>
      <c r="E15" s="172">
        <v>14</v>
      </c>
      <c r="F15" s="175" t="s">
        <v>4331</v>
      </c>
      <c r="G15" s="173" t="s">
        <v>4325</v>
      </c>
      <c r="H15" s="172" t="s">
        <v>4326</v>
      </c>
      <c r="I15" s="173" t="s">
        <v>4332</v>
      </c>
      <c r="J15" s="173" t="s">
        <v>4333</v>
      </c>
      <c r="K15" s="173" t="s">
        <v>4334</v>
      </c>
      <c r="L15" s="173" t="s">
        <v>4335</v>
      </c>
    </row>
    <row r="16" spans="1:12" ht="29" x14ac:dyDescent="0.35">
      <c r="A16" s="25" t="s">
        <v>4000</v>
      </c>
      <c r="B16" s="25" t="s">
        <v>4214</v>
      </c>
      <c r="C16" s="25" t="s">
        <v>4215</v>
      </c>
      <c r="E16" s="172">
        <v>15</v>
      </c>
      <c r="F16" s="175" t="s">
        <v>4336</v>
      </c>
      <c r="G16" s="173" t="s">
        <v>4325</v>
      </c>
      <c r="H16" s="172" t="s">
        <v>4326</v>
      </c>
      <c r="I16" s="173" t="s">
        <v>4337</v>
      </c>
      <c r="J16" s="173" t="s">
        <v>4338</v>
      </c>
      <c r="K16" s="173" t="s">
        <v>4339</v>
      </c>
      <c r="L16" s="173" t="s">
        <v>4340</v>
      </c>
    </row>
    <row r="17" spans="1:12" ht="29" x14ac:dyDescent="0.35">
      <c r="E17" s="172">
        <v>16</v>
      </c>
      <c r="F17" s="175" t="s">
        <v>4341</v>
      </c>
      <c r="G17" s="173" t="s">
        <v>4325</v>
      </c>
      <c r="H17" s="172" t="s">
        <v>4342</v>
      </c>
      <c r="I17" s="173" t="s">
        <v>4343</v>
      </c>
      <c r="J17" s="173" t="s">
        <v>4344</v>
      </c>
      <c r="K17" s="173" t="s">
        <v>4345</v>
      </c>
      <c r="L17" s="173" t="s">
        <v>4346</v>
      </c>
    </row>
    <row r="18" spans="1:12" ht="29" x14ac:dyDescent="0.35">
      <c r="A18" s="171" t="s">
        <v>4216</v>
      </c>
      <c r="B18"/>
      <c r="C18"/>
      <c r="E18" s="172">
        <v>17</v>
      </c>
      <c r="F18" s="175" t="s">
        <v>4347</v>
      </c>
      <c r="G18" s="173" t="s">
        <v>4348</v>
      </c>
      <c r="H18" s="172" t="s">
        <v>4004</v>
      </c>
      <c r="I18" s="173" t="s">
        <v>4349</v>
      </c>
      <c r="J18" s="173" t="s">
        <v>4350</v>
      </c>
      <c r="K18" s="173" t="s">
        <v>4351</v>
      </c>
      <c r="L18" s="173" t="s">
        <v>4352</v>
      </c>
    </row>
    <row r="19" spans="1:12" ht="29" x14ac:dyDescent="0.35">
      <c r="A19"/>
      <c r="B19"/>
      <c r="C19"/>
      <c r="E19" s="172">
        <v>18</v>
      </c>
      <c r="F19" s="176" t="s">
        <v>4353</v>
      </c>
      <c r="G19" s="173" t="s">
        <v>4348</v>
      </c>
      <c r="H19" s="172" t="s">
        <v>4004</v>
      </c>
      <c r="I19" s="173" t="s">
        <v>4354</v>
      </c>
      <c r="J19" s="173" t="s">
        <v>4355</v>
      </c>
      <c r="K19" s="173" t="s">
        <v>4356</v>
      </c>
      <c r="L19" s="173" t="s">
        <v>4357</v>
      </c>
    </row>
    <row r="20" spans="1:12" ht="29" x14ac:dyDescent="0.35">
      <c r="A20" s="24" t="s">
        <v>4217</v>
      </c>
      <c r="B20" s="24" t="s">
        <v>4006</v>
      </c>
      <c r="C20" s="24" t="s">
        <v>4218</v>
      </c>
      <c r="E20" s="172">
        <v>19</v>
      </c>
      <c r="F20" s="175" t="s">
        <v>4358</v>
      </c>
      <c r="G20" s="173" t="s">
        <v>4348</v>
      </c>
      <c r="H20" s="172" t="s">
        <v>3957</v>
      </c>
      <c r="I20" s="173" t="s">
        <v>4359</v>
      </c>
      <c r="J20" s="173" t="s">
        <v>4360</v>
      </c>
      <c r="K20" s="173" t="s">
        <v>4361</v>
      </c>
      <c r="L20" s="173" t="s">
        <v>4362</v>
      </c>
    </row>
    <row r="21" spans="1:12" ht="29" x14ac:dyDescent="0.35">
      <c r="A21" s="25" t="s">
        <v>4219</v>
      </c>
      <c r="B21" s="25" t="s">
        <v>4008</v>
      </c>
      <c r="C21" s="25" t="s">
        <v>4220</v>
      </c>
      <c r="E21" s="172">
        <v>20</v>
      </c>
      <c r="F21" s="177" t="s">
        <v>4363</v>
      </c>
      <c r="G21" s="173" t="s">
        <v>4364</v>
      </c>
      <c r="H21" s="172" t="s">
        <v>4214</v>
      </c>
      <c r="I21" s="173" t="s">
        <v>4365</v>
      </c>
      <c r="J21" s="173" t="s">
        <v>4366</v>
      </c>
      <c r="K21" s="173" t="s">
        <v>4367</v>
      </c>
      <c r="L21" s="173" t="s">
        <v>4368</v>
      </c>
    </row>
    <row r="22" spans="1:12" ht="29" x14ac:dyDescent="0.35">
      <c r="A22" s="25" t="s">
        <v>4221</v>
      </c>
      <c r="B22" s="25" t="s">
        <v>4007</v>
      </c>
      <c r="C22" s="25" t="s">
        <v>4222</v>
      </c>
      <c r="F22" s="178"/>
    </row>
    <row r="23" spans="1:12" ht="29" x14ac:dyDescent="0.35">
      <c r="A23" s="25" t="s">
        <v>4223</v>
      </c>
      <c r="B23" s="25" t="s">
        <v>4224</v>
      </c>
      <c r="C23" s="25" t="s">
        <v>4225</v>
      </c>
      <c r="F23" s="178"/>
    </row>
    <row r="24" spans="1:12" ht="29" x14ac:dyDescent="0.35">
      <c r="A24" s="25" t="s">
        <v>4226</v>
      </c>
      <c r="B24" s="25" t="s">
        <v>4001</v>
      </c>
      <c r="C24" s="25" t="s">
        <v>4227</v>
      </c>
      <c r="F24" s="178"/>
    </row>
    <row r="25" spans="1:12" ht="29" x14ac:dyDescent="0.35">
      <c r="A25" s="25" t="s">
        <v>4228</v>
      </c>
      <c r="B25" s="25" t="s">
        <v>4229</v>
      </c>
      <c r="C25" s="25" t="s">
        <v>4230</v>
      </c>
      <c r="F25" s="178"/>
    </row>
    <row r="26" spans="1:12" ht="29" x14ac:dyDescent="0.35">
      <c r="A26" s="25" t="s">
        <v>4231</v>
      </c>
      <c r="B26" s="25" t="s">
        <v>4002</v>
      </c>
      <c r="C26" s="25" t="s">
        <v>4232</v>
      </c>
    </row>
    <row r="27" spans="1:12" ht="29" x14ac:dyDescent="0.35">
      <c r="A27" s="25" t="s">
        <v>4233</v>
      </c>
      <c r="B27" s="25" t="s">
        <v>4234</v>
      </c>
      <c r="C27" s="25" t="s">
        <v>4235</v>
      </c>
    </row>
    <row r="28" spans="1:12" ht="29" x14ac:dyDescent="0.35">
      <c r="A28" s="25" t="s">
        <v>4236</v>
      </c>
      <c r="B28" s="25" t="s">
        <v>4237</v>
      </c>
      <c r="C28" s="25" t="s">
        <v>4238</v>
      </c>
    </row>
    <row r="29" spans="1:12" ht="29" x14ac:dyDescent="0.35">
      <c r="A29" s="25" t="s">
        <v>4239</v>
      </c>
      <c r="B29" s="25" t="s">
        <v>4240</v>
      </c>
      <c r="C29" s="25" t="s">
        <v>4241</v>
      </c>
    </row>
    <row r="30" spans="1:12" ht="29" x14ac:dyDescent="0.35">
      <c r="A30" s="25" t="s">
        <v>4242</v>
      </c>
      <c r="B30" s="25" t="s">
        <v>4005</v>
      </c>
      <c r="C30" s="25" t="s">
        <v>4243</v>
      </c>
    </row>
    <row r="32" spans="1:12" x14ac:dyDescent="0.35">
      <c r="A32" s="200" t="s">
        <v>4244</v>
      </c>
      <c r="B32" s="200"/>
      <c r="C32" s="200"/>
    </row>
  </sheetData>
  <mergeCells count="1">
    <mergeCell ref="A32:C32"/>
  </mergeCells>
  <pageMargins left="0.25" right="0.25" top="0.25" bottom="0.25" header="0.25" footer="0"/>
  <pageSetup scale="36"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9F5AC37-20A5-4DF9-AF7A-85D57BC28624}">
  <ds:schemaRefs/>
</ds:datastoreItem>
</file>

<file path=customXml/itemProps2.xml><?xml version="1.0" encoding="utf-8"?>
<ds:datastoreItem xmlns:ds="http://schemas.openxmlformats.org/officeDocument/2006/customXml" ds:itemID="{BED31524-ECEE-448F-A97A-378B8BC0D241}">
  <ds:schemaRefs/>
</ds:datastoreItem>
</file>

<file path=customXml/itemProps3.xml><?xml version="1.0" encoding="utf-8"?>
<ds:datastoreItem xmlns:ds="http://schemas.openxmlformats.org/officeDocument/2006/customXml" ds:itemID="{B7E4B143-9FC9-481D-8B18-135AD11ABCB4}">
  <ds:schemaRefs/>
</ds:datastoreItem>
</file>

<file path=customXml/itemProps4.xml><?xml version="1.0" encoding="utf-8"?>
<ds:datastoreItem xmlns:ds="http://schemas.openxmlformats.org/officeDocument/2006/customXml" ds:itemID="{E78CB761-E084-4B4D-8FDC-A22F0AD75DF4}">
  <ds:schemaRefs/>
</ds:datastoreItem>
</file>

<file path=customXml/itemProps5.xml><?xml version="1.0" encoding="utf-8"?>
<ds:datastoreItem xmlns:ds="http://schemas.openxmlformats.org/officeDocument/2006/customXml" ds:itemID="{3E1EEEB6-8DD9-4BDE-ABC8-0A9A4BFC13BB}">
  <ds:schemaRefs/>
</ds:datastoreItem>
</file>

<file path=customXml/itemProps6.xml><?xml version="1.0" encoding="utf-8"?>
<ds:datastoreItem xmlns:ds="http://schemas.openxmlformats.org/officeDocument/2006/customXml" ds:itemID="{F407A196-7468-4D2F-9801-6970C321A5E2}">
  <ds:schemaRefs/>
</ds:datastoreItem>
</file>

<file path=customXml/itemProps7.xml><?xml version="1.0" encoding="utf-8"?>
<ds:datastoreItem xmlns:ds="http://schemas.openxmlformats.org/officeDocument/2006/customXml" ds:itemID="{58832D5A-CD52-4519-86E1-98198CD62E81}">
  <ds:schemaRefs/>
</ds:datastoreItem>
</file>

<file path=customXml/itemProps8.xml><?xml version="1.0" encoding="utf-8"?>
<ds:datastoreItem xmlns:ds="http://schemas.openxmlformats.org/officeDocument/2006/customXml" ds:itemID="{E93C78FD-740D-43DA-8B3B-53726CE000FA}">
  <ds:schemaRefs/>
</ds:datastoreItem>
</file>

<file path=customXml/itemProps9.xml><?xml version="1.0" encoding="utf-8"?>
<ds:datastoreItem xmlns:ds="http://schemas.openxmlformats.org/officeDocument/2006/customXml" ds:itemID="{53114E07-B0ED-4768-8866-183C22E7C0A4}">
  <ds:schemaRefs/>
</ds:datastoreItem>
</file>

<file path=customXml/itemProps10.xml><?xml version="1.0" encoding="utf-8"?>
<ds:datastoreItem xmlns:ds="http://schemas.openxmlformats.org/officeDocument/2006/customXml" ds:itemID="{2BE27404-4601-44F9-8FEB-EED6985ADC7A}">
  <ds:schemaRefs/>
</ds:datastoreItem>
</file>

<file path=customXml/itemProps11.xml><?xml version="1.0" encoding="utf-8"?>
<ds:datastoreItem xmlns:ds="http://schemas.openxmlformats.org/officeDocument/2006/customXml" ds:itemID="{132B1BEC-A229-4A84-8824-98FB2656AEE8}">
  <ds:schemaRefs/>
</ds:datastoreItem>
</file>

<file path=customXml/itemProps12.xml><?xml version="1.0" encoding="utf-8"?>
<ds:datastoreItem xmlns:ds="http://schemas.openxmlformats.org/officeDocument/2006/customXml" ds:itemID="{7EA191CC-AF64-4A34-BFA7-711795FBFCE2}">
  <ds:schemaRefs/>
</ds:datastoreItem>
</file>

<file path=customXml/itemProps13.xml><?xml version="1.0" encoding="utf-8"?>
<ds:datastoreItem xmlns:ds="http://schemas.openxmlformats.org/officeDocument/2006/customXml" ds:itemID="{6FEAA69F-64DD-44EB-8DBC-17C7CB46EF7F}">
  <ds:schemaRefs/>
</ds:datastoreItem>
</file>

<file path=customXml/itemProps14.xml><?xml version="1.0" encoding="utf-8"?>
<ds:datastoreItem xmlns:ds="http://schemas.openxmlformats.org/officeDocument/2006/customXml" ds:itemID="{8ACFB551-F3C1-4C02-B2AC-66F61A391E37}">
  <ds:schemaRefs/>
</ds:datastoreItem>
</file>

<file path=customXml/itemProps15.xml><?xml version="1.0" encoding="utf-8"?>
<ds:datastoreItem xmlns:ds="http://schemas.openxmlformats.org/officeDocument/2006/customXml" ds:itemID="{95E53456-3212-4DBC-8F98-53B62A8D5583}">
  <ds:schemaRefs/>
</ds:datastoreItem>
</file>

<file path=customXml/itemProps16.xml><?xml version="1.0" encoding="utf-8"?>
<ds:datastoreItem xmlns:ds="http://schemas.openxmlformats.org/officeDocument/2006/customXml" ds:itemID="{5A37C5BC-CE07-4C53-A8EA-6BF05F5FB9D4}">
  <ds:schemaRefs/>
</ds:datastoreItem>
</file>

<file path=customXml/itemProps17.xml><?xml version="1.0" encoding="utf-8"?>
<ds:datastoreItem xmlns:ds="http://schemas.openxmlformats.org/officeDocument/2006/customXml" ds:itemID="{45092498-2ABB-4AED-917F-205ED2B60F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Summary</vt:lpstr>
      <vt:lpstr>Time and Place</vt:lpstr>
      <vt:lpstr>Elasticity and Sales</vt:lpstr>
      <vt:lpstr>Revenue Estimates &amp; Sensitivity</vt:lpstr>
      <vt:lpstr>Conclusion</vt:lpstr>
      <vt:lpstr>Compact tables</vt:lpstr>
      <vt:lpstr>Elasticity</vt:lpstr>
      <vt:lpstr>Revenue and Consumption</vt:lpstr>
      <vt:lpstr>Pivot</vt:lpstr>
      <vt:lpstr>Visuals</vt:lpstr>
      <vt:lpstr>dataset</vt:lpstr>
      <vt:lpstr>Data Dictionary</vt:lpstr>
      <vt:lpstr>total_sales</vt:lpstr>
      <vt:lpstr>stores</vt:lpstr>
      <vt:lpstr>soda_ppu</vt:lpstr>
      <vt:lpstr>soda_units_sold</vt:lpstr>
      <vt:lpstr>soda_sales</vt:lpstr>
      <vt:lpstr>zip_med_income</vt:lpstr>
      <vt:lpstr>zip_med_inc_updated</vt:lpstr>
      <vt:lpstr>zip_tiers</vt:lpstr>
      <vt:lpstr>Sheet2</vt:lpstr>
      <vt:lpstr>presentation plan</vt:lpstr>
      <vt:lpstr>Summary!Print_Area</vt:lpstr>
    </vt:vector>
  </TitlesOfParts>
  <Company>VITA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Elverson, Peter (TAX)</dc:creator>
  <cp:lastModifiedBy>Tracey and Wataru Höltermann</cp:lastModifiedBy>
  <cp:lastPrinted>2026-06-29T16:06:39Z</cp:lastPrinted>
  <dcterms:created xsi:type="dcterms:W3CDTF">2026-03-02T17:22:49Z</dcterms:created>
  <dcterms:modified xsi:type="dcterms:W3CDTF">2026-10-25T20:42:40Z</dcterms:modified>
</cp:coreProperties>
</file>